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W:\2018\IMPORTANTES\MODELOS DE COSTOS\CARGOS DE INTERCONEXIÓN\CARGOS\TERMINACIÓN MÓVIL\PROCEDIMIENTO MAV-2018\SEPTIEMBRE\03_Modelo_OSIPTEL\"/>
    </mc:Choice>
  </mc:AlternateContent>
  <bookViews>
    <workbookView xWindow="14490" yWindow="2310" windowWidth="4710" windowHeight="4230" tabRatio="755" firstSheet="3" activeTab="20"/>
  </bookViews>
  <sheets>
    <sheet name="C" sheetId="73" r:id="rId1"/>
    <sheet name="S" sheetId="75" r:id="rId2"/>
    <sheet name="M_C --&gt;" sheetId="77" r:id="rId3"/>
    <sheet name="Control" sheetId="6" r:id="rId4"/>
    <sheet name="Lists" sheetId="32" r:id="rId5"/>
    <sheet name="M_M --&gt;" sheetId="78" r:id="rId6"/>
    <sheet name="Trafico" sheetId="69" r:id="rId7"/>
    <sheet name="Demand" sheetId="70" r:id="rId8"/>
    <sheet name="M_C_R --&gt;" sheetId="80" r:id="rId9"/>
    <sheet name="NetworkDemand" sheetId="34" r:id="rId10"/>
    <sheet name="UtilisationFactors" sheetId="36" r:id="rId11"/>
    <sheet name="NwDesignInputs" sheetId="35" r:id="rId12"/>
    <sheet name="NetworkDesign" sheetId="37" r:id="rId13"/>
    <sheet name="AssetsInputs" sheetId="38" r:id="rId14"/>
    <sheet name="TotalNetwork" sheetId="39" r:id="rId15"/>
    <sheet name="Annualization" sheetId="40" r:id="rId16"/>
    <sheet name="ErlangTables" sheetId="41" r:id="rId17"/>
    <sheet name="M_C_S --&gt;" sheetId="81" r:id="rId18"/>
    <sheet name="RouteingFactors" sheetId="10" r:id="rId19"/>
    <sheet name="LRAIC+" sheetId="8" r:id="rId20"/>
    <sheet name="Results" sheetId="9" r:id="rId21"/>
  </sheets>
  <definedNames>
    <definedName name="_xlnm._FilterDatabase" localSheetId="19" hidden="1">'LRAIC+'!$D$684:$BC$685</definedName>
    <definedName name="_Order1" hidden="1">255</definedName>
    <definedName name="_Order2" hidden="1">255</definedName>
    <definedName name="Annual.cost.by.element">TotalNetwork!$N$7:$N$206</definedName>
    <definedName name="_xlnm.Print_Area" localSheetId="0">'C'!$A$1:$E$66</definedName>
    <definedName name="Asset.lifetimes">AssetsInputs!$K$32:$K$231</definedName>
    <definedName name="Assets.category">AssetsInputs!$D$32:$D$231</definedName>
    <definedName name="Assets.cost.trend.names">AssetsInputs!$C$8:$C$26</definedName>
    <definedName name="Assets.list">AssetsInputs!$C$32:$C$231</definedName>
    <definedName name="Assets.routeing.factor">AssetsInputs!$E$32:$E$231</definedName>
    <definedName name="Backhaul.and.core.transmission.technologies">Lists!$O$32:$O$33</definedName>
    <definedName name="Backhaul.ATM.Ladder">NwDesignInputs!$G$487:$G$489</definedName>
    <definedName name="Backhaul.Ethernet.Ladder">NwDesignInputs!$H$487:$H$489</definedName>
    <definedName name="Backhaul.rate.ATM">RouteingFactors!$F$54</definedName>
    <definedName name="Backhaul.rate.Ethernet">RouteingFactors!$F$55</definedName>
    <definedName name="Backhaul.technology.selected">NwDesignInputs!$G$479</definedName>
    <definedName name="Backhaul.technology.used">Control!$G$54</definedName>
    <definedName name="Backhaul.transmission.protocol.used">Control!$G$56</definedName>
    <definedName name="billion">1000000000</definedName>
    <definedName name="bit.conversion">1024</definedName>
    <definedName name="bit.per.byte">8</definedName>
    <definedName name="Bits.per.byte">Lists!$Q$11</definedName>
    <definedName name="boolean">Lists!$AI$5:$AI$6</definedName>
    <definedName name="BSC.capacity.used">Control!$G$63</definedName>
    <definedName name="BSC.Core.ATM.Ladder">NwDesignInputs!$G$554:$G$556</definedName>
    <definedName name="BSC.Core.Data.Protocol">NwDesignInputs!$G$561</definedName>
    <definedName name="BSC.Core.Ethernet.Ladder">NwDesignInputs!$H$554:$H$556</definedName>
    <definedName name="BSC.Core.Redundancy">NwDesignInputs!$G$564</definedName>
    <definedName name="BSC.Core.Voice.Protocol">NwDesignInputs!$G$560</definedName>
    <definedName name="BSC.Ladder">NwDesignInputs!$G$521:$G$523</definedName>
    <definedName name="Call.durations">Demand!$I$110:$I$116</definedName>
    <definedName name="Canon.Espectro.USD">NetworkDesign!$G$1335</definedName>
    <definedName name="Capacity.BSC">NwDesignInputs!$G$526</definedName>
    <definedName name="Capacity.RNC">NwDesignInputs!$G$535</definedName>
    <definedName name="CAPEX">'LRAIC+'!$F$684:$BC$684</definedName>
    <definedName name="Capex.cost.trend.by.asset">AssetsInputs!$I$32:$I$231</definedName>
    <definedName name="Capex.cost.trends">AssetsInputs!$I$8:$I$26</definedName>
    <definedName name="Carriers.3G.total">NetworkDesign!$G$235:$P$235</definedName>
    <definedName name="Carriers.LTE.total">NetworkDesign!$G$278:$P$278</definedName>
    <definedName name="CE.capacity.sites">NetworkDesign!$G$147:$P$147</definedName>
    <definedName name="CE.coverage.sites">NetworkDesign!$G$138:$P$138</definedName>
    <definedName name="cell.pi">2.6</definedName>
    <definedName name="Channel.size.GSM">NwDesignInputs!$G$134</definedName>
    <definedName name="Channel.size.LTE">NwDesignInputs!$G$136</definedName>
    <definedName name="Channel.size.UMTS">NwDesignInputs!$G$135</definedName>
    <definedName name="Channels.GSM.Capacity">NwDesignInputs!$G$167:$P$167</definedName>
    <definedName name="Channels.GSM.Coverage">NwDesignInputs!$G$165:$P$165</definedName>
    <definedName name="Channels.HSPA.Capacity">NwDesignInputs!$G$175:$P$175</definedName>
    <definedName name="Channels.HSPA.Coverage">NwDesignInputs!$G$173:$P$173</definedName>
    <definedName name="Channels.LTE.Capacity">NwDesignInputs!$G$179:$P$179</definedName>
    <definedName name="Channels.LTE.Capacity.first.capacity.band">NwDesignInputs!$G$180:$P$180</definedName>
    <definedName name="Channels.LTE.Capacity.fourth.capacity.band">NwDesignInputs!$G$183:$P$183</definedName>
    <definedName name="Channels.LTE.Capacity.second.capacity.band">NwDesignInputs!$G$181:$P$181</definedName>
    <definedName name="Channels.LTE.Capacity.third.capacity.band">NwDesignInputs!$G$182:$P$182</definedName>
    <definedName name="Channels.LTE.Coverage">NwDesignInputs!$G$177:$P$177</definedName>
    <definedName name="Channels.per.carrier">ErlangTables!$C$4332</definedName>
    <definedName name="Channels.per.TRX">ErlangTables!$C$4855</definedName>
    <definedName name="Channels.UMTS.Capacity">NwDesignInputs!$G$171:$P$171</definedName>
    <definedName name="Channels.UMTS.Coverage">NwDesignInputs!$G$169:$P$169</definedName>
    <definedName name="Check.GPRS.capacity">NetworkDesign!$D$105</definedName>
    <definedName name="Check.GSM.microcells">NetworkDesign!$D$82</definedName>
    <definedName name="Check.LTE.capacity.sites">NetworkDesign!$D$295</definedName>
    <definedName name="Check.LTE.microcells">NetworkDesign!$D$299</definedName>
    <definedName name="Check.UMTS.HSPA.capacity.sites">NetworkDesign!$D$225</definedName>
    <definedName name="Check.UMTS.HSPA.microcells">NetworkDesign!$D$229</definedName>
    <definedName name="choice">Lists!$Q$26:$Q$27</definedName>
    <definedName name="CK.size">NwDesignInputs!$G$306</definedName>
    <definedName name="core.channel.rate">NwDesignInputs!$G$640</definedName>
    <definedName name="Core.Core.ATM.Ladder">NwDesignInputs!$G$671:$G$674</definedName>
    <definedName name="Core.Core.Data.Protocol">NwDesignInputs!$H$651</definedName>
    <definedName name="Core.Core.Ethernet.Ladder">NwDesignInputs!$H$671:$H$674</definedName>
    <definedName name="Core.Core.fibre.distance">NwDesignInputs!$G$717:$G$719</definedName>
    <definedName name="Core.Core.MW.distance">NwDesignInputs!$G$723</definedName>
    <definedName name="Core.Core.Voice.Protocol">NwDesignInputs!$H$650</definedName>
    <definedName name="Core.LL.ATM.Ladder">NwDesignInputs!$G$657:$G$659</definedName>
    <definedName name="Core.LL.Ethernet.Ladder">NwDesignInputs!$H$657:$H$659</definedName>
    <definedName name="Core.LL.per.core.site">NwDesignInputs!$G$662</definedName>
    <definedName name="Core.nodes">Lists!$H$6:$H$45</definedName>
    <definedName name="Core.rate.ATM">RouteingFactors!$F$56</definedName>
    <definedName name="Core.rate.Ethernet">RouteingFactors!$F$57</definedName>
    <definedName name="Core.ring.technology.by.node.used">Control!$G$481:$G$520</definedName>
    <definedName name="Core.ring.technology.used">Control!$G$58</definedName>
    <definedName name="Core.ring.transmission.protocol.used">Control!$G$60</definedName>
    <definedName name="Core.rings.names">NwDesignInputs!$G$696:$J$696</definedName>
    <definedName name="Core.rings.nodes.per.ring.for.equipment">NwDesignInputs!$G$697:$J$712</definedName>
    <definedName name="Core.rings.nodes.per.ring.for.traffic">NwDesignInputs!$M$697:$P$712</definedName>
    <definedName name="Core.technology.selected">NwDesignInputs!$G$653</definedName>
    <definedName name="Cost.with.interconnection">Results!$F$33</definedName>
    <definedName name="Cost.without.interconnection">Results!$F$34</definedName>
    <definedName name="COSTOS.COMUNES">'LRAIC+'!$F$685:$BC$685</definedName>
    <definedName name="CTRL._.data.in.data.BH">Control!$G$472</definedName>
    <definedName name="CTRL._.data.in.voice.BH">Control!$G$469</definedName>
    <definedName name="CTRL._.voice.in.data.BH">Control!$G$471</definedName>
    <definedName name="CTRL._.voice.in.voice.BH">Control!$G$468</definedName>
    <definedName name="CTRL._.weekly.traffic.BH.days">Control!$G$466</definedName>
    <definedName name="CTRL.2G.coverage">Control!$G$328:$G$337</definedName>
    <definedName name="CTRL.3G.coverage">Control!$G$340:$G$349</definedName>
    <definedName name="CTRL.4G.coverage">Control!$G$352:$G$361</definedName>
    <definedName name="CTRL.BH.days.per.year">Control!$G$465</definedName>
    <definedName name="CTRL.BSC.sites">Control!$G$526:$G$565</definedName>
    <definedName name="CTRL.Call.durations">Control!$G$454:$G$460</definedName>
    <definedName name="CTRL.common.costs.markup">Control!$G$14</definedName>
    <definedName name="CTRL.data.distribution.2G">Control!$G$417:$G$426</definedName>
    <definedName name="CTRL.data.distribution.3G">Control!$G$429:$G$438</definedName>
    <definedName name="CTRL.data.distribution.4G">Control!$G$441:$G$450</definedName>
    <definedName name="CTRL.data.migration">Control!$G$372:$G$374</definedName>
    <definedName name="CTRL.depreciation.selected">Control!$G$24</definedName>
    <definedName name="CTRL.main.switching.sites">Control!$G$610:$G$649</definedName>
    <definedName name="CTRL.microcells.for.coverage">Control!$G$475:$G$477</definedName>
    <definedName name="CTRL.NBV.assumption">Control!$G$27</definedName>
    <definedName name="CTRL.operator.selected">Control!$G$20</definedName>
    <definedName name="CTRL.RNC.sites">Control!$G$568:$G$607</definedName>
    <definedName name="CTRL.scenario.selected">Control!$G$9</definedName>
    <definedName name="CTRL.spectrum.available.fifth.band">Control!$G$301:$G$310</definedName>
    <definedName name="CTRL.spectrum.available.fourth.band">Control!$G$265:$G$274</definedName>
    <definedName name="CTRL.spectrum.available.second.band">Control!$G$193:$G$202</definedName>
    <definedName name="CTRL.spectrum.available.sixth.band">Control!$G$313:$G$322</definedName>
    <definedName name="CTRL.spectrum.available.third.band">Control!$G$229:$G$238</definedName>
    <definedName name="CTRL.spectrum.capacity.GSM">Control!$G$111:$G$120</definedName>
    <definedName name="CTRL.spectrum.capacity.LTE.first.band">Control!$G$134:$G$143</definedName>
    <definedName name="CTRL.spectrum.capacity.LTE.fourth.band">Control!$G$167:$G$176</definedName>
    <definedName name="CTRL.spectrum.capacity.LTE.second.band">Control!$G$145:$G$154</definedName>
    <definedName name="CTRL.spectrum.capacity.LTE.third.band">Control!$G$156:$G$165</definedName>
    <definedName name="CTRL.spectrum.capacity.UMTS">Control!$G$122:$G$131</definedName>
    <definedName name="CTRL.spectrum.coverage.GSM">Control!$G$76:$G$85</definedName>
    <definedName name="CTRL.spectrum.coverage.LTE">Control!$G$98:$G$107</definedName>
    <definedName name="CTRL.spectrum.coverage.UMTS">Control!$G$87:$G$96</definedName>
    <definedName name="CTRL.spectrum.fourth.band.used.for.2G">Control!$G$277:$G$286</definedName>
    <definedName name="CTRL.spectrum.fourth.band.used.for.3G">Control!$G$289:$G$298</definedName>
    <definedName name="CTRL.spectrum.second.band.used.for.2G">Control!$G$205:$G$214</definedName>
    <definedName name="CTRL.spectrum.second.band.used.for.3G">Control!$G$217:$G$226</definedName>
    <definedName name="CTRL.spectrum.third.band.used.for.2G">Control!$G$241:$G$250</definedName>
    <definedName name="CTRL.spectrum.third.band.used.for.3G">Control!$G$253:$G$262</definedName>
    <definedName name="CTRL.voice.distribution.2G">Control!$G$380:$G$389</definedName>
    <definedName name="CTRL.voice.distribution.3G">Control!$G$392:$G$401</definedName>
    <definedName name="CTRL.voice.distribution.4G">Control!$G$404:$G$413</definedName>
    <definedName name="CTRL.voice.migration">Control!$G$367:$G$369</definedName>
    <definedName name="CTRL.WACC">Control!$G$12</definedName>
    <definedName name="CTRL.year.selected">Control!$G$22</definedName>
    <definedName name="Data.services.list">Lists!$Z$41:$Z$46</definedName>
    <definedName name="Data.services.list.units">Lists!$AA$41:$AA$46</definedName>
    <definedName name="Data.traffic.main">NetworkDemand!$G$258:$G$263</definedName>
    <definedName name="days.per.month">30.42</definedName>
    <definedName name="days.per.year">365</definedName>
    <definedName name="Depreciation">Annualization!$E$9:$E$208</definedName>
    <definedName name="Depreciation.methodologies">Lists!$AC$5:$AC$7</definedName>
    <definedName name="Distribution.of.traffic.data.core">Lists!$K$6:$K$45</definedName>
    <definedName name="Distribution.of.traffic.voice.core">Lists!$J$6:$J$45</definedName>
    <definedName name="EDGE.channel.rate">NwDesignInputs!$I$262</definedName>
    <definedName name="epsilon">Lists!$Q$14</definedName>
    <definedName name="Erlang.Table">ErlangTables!$D$10:$H$4326</definedName>
    <definedName name="Erlang.table.2G">ErlangTables!$G$4858:$K$7717</definedName>
    <definedName name="Erlang.table.2G.blocking.selected">ErlangTables!$M$4858:$M$7717</definedName>
    <definedName name="Erlang.Table.Channels">ErlangTables!$C$10:$C$4326</definedName>
    <definedName name="Erlang.Table.Header">ErlangTables!$D$9:$H$9</definedName>
    <definedName name="Erlang.Table.Header.3G">ErlangTables!$D$9:$H$9</definedName>
    <definedName name="Erlang.Table.R99.Carriers">ErlangTables!$C$4335:$C$4847</definedName>
    <definedName name="Erlang.Table.R99.Carriers.3G">ErlangTables!$G$4335:$K$4847</definedName>
    <definedName name="Erlang.table.R99.Carriers.3G.blocking.selected">ErlangTables!$M$4335:$M$4847</definedName>
    <definedName name="Erlang.Table.R99.CE">ErlangTables!$D$4337:$D$4847</definedName>
    <definedName name="Erlang.Table.TRXs">ErlangTables!$C$4858:$C$7717</definedName>
    <definedName name="Frequencies">Lists!$M$5:$M$10</definedName>
    <definedName name="Frequencies2">Lists!$M$14:$M$18</definedName>
    <definedName name="Geotypes">Lists!$B$6:$B$15</definedName>
    <definedName name="Geotypes.area">Lists!$C$6:$C$15</definedName>
    <definedName name="GPRS.channel.per.sector">NwDesignInputs!$G$258</definedName>
    <definedName name="GPRS.channel.rate">NwDesignInputs!$H$262</definedName>
    <definedName name="GPRS.EDGE.channel.ratio">NwDesignInputs!$J$262</definedName>
    <definedName name="GSM.Area.Coverage">NwDesignInputs!$G$10:$P$10</definedName>
    <definedName name="GSM.Area.Site">NwDesignInputs!$G$57:$P$57</definedName>
    <definedName name="GSM.blocking.probability">NwDesignInputs!$G$266</definedName>
    <definedName name="GSM.Blocking.Rate.Used">Control!$G$40</definedName>
    <definedName name="GSM.BTS.by.sector">NwDesignInputs!$G$221:$P$223</definedName>
    <definedName name="GSM.BTS.capacity">NwDesignInputs!$G$231:$P$231</definedName>
    <definedName name="GSM.channel.rate">NwDesignInputs!$G$262</definedName>
    <definedName name="GSM.coverage.sites">NetworkDesign!$G$16:$P$16</definedName>
    <definedName name="GSM.data.traffic.distribution">NwDesignInputs!$G$198:$P$198</definedName>
    <definedName name="GSM.minimum.TRX.capacity.layer">NwDesignInputs!$G$253:$P$253</definedName>
    <definedName name="GSM.minimum.TRX.coverage.layer">NwDesignInputs!$G$251:$P$251</definedName>
    <definedName name="GSM.Network.Voice.BHE">NwDesignInputs!$G$212:$P$212</definedName>
    <definedName name="GSM.reuse">NwDesignInputs!$G$216</definedName>
    <definedName name="GSM.reuse.factor.used">Control!$G$38</definedName>
    <definedName name="GSM.sectorisation">NwDesignInputs!$G$226:$P$226</definedName>
    <definedName name="GSM.TRX.capacity.layer">NwDesignInputs!$G$244:$P$244</definedName>
    <definedName name="GSM.TRX.coverage.and.capacity.layers">NwDesignInputs!$G$246:$P$246</definedName>
    <definedName name="GSM.TRX.coverage.layer">NwDesignInputs!$G$242:$P$242</definedName>
    <definedName name="hours.per.day">24</definedName>
    <definedName name="HSDPA.evolution.deployed">NwDesignInputs!$G$341:$P$341</definedName>
    <definedName name="HSDPA.Ladder">NwDesignInputs!$G$333:$G$338</definedName>
    <definedName name="HSDPA.minimum.carriers.deployment">NwDesignInputs!$G$344:$P$344</definedName>
    <definedName name="HSDPA.Network.BHMbits">NwDesignInputs!$G$317:$P$317</definedName>
    <definedName name="HSPA.carriers.on.coverage.sites">NetworkDesign!$G$182:$P$182</definedName>
    <definedName name="HSPA.peak.to.effective">NwDesignInputs!$G$327</definedName>
    <definedName name="HSUPA.evolution.deployed">NwDesignInputs!$G$358:$P$358</definedName>
    <definedName name="HSUPA.Ladder">NwDesignInputs!$G$350:$G$355</definedName>
    <definedName name="HSUPA.minimum.carriers.deployment">NwDesignInputs!$G$361:$P$361</definedName>
    <definedName name="HSUPA.Network.BHMbits">NwDesignInputs!$G$322:$P$322</definedName>
    <definedName name="Hub.Core.Link.ATM.Ladder">NwDesignInputs!$G$498:$G$500</definedName>
    <definedName name="Hub.Core.Link.Ethernet.Ladder">NwDesignInputs!$H$498:$H$500</definedName>
    <definedName name="Hub.core.rings.length">NwDesignInputs!$G$495:$P$495</definedName>
    <definedName name="Hub.core.transmission.protocol.selected">NwDesignInputs!$G$481</definedName>
    <definedName name="Hubs.per.link">Control!$G$694:$G$703</definedName>
    <definedName name="Hubs.per.link.inputs">Control!$G$694:$G$703</definedName>
    <definedName name="Incoming.voice.traffic.from.fixed.national">Demand!$N$10</definedName>
    <definedName name="Incoming.voice.traffic.from.international">Demand!$N$12</definedName>
    <definedName name="Incoming.voice.traffic.from.mobile.national">Demand!$N$11</definedName>
    <definedName name="Inflation.rate.average">AssetsInputs!$L$247</definedName>
    <definedName name="Interconnection.traffic.volume">Demand!$N$106</definedName>
    <definedName name="Interconnection.traffic.volume.for.macro">Results!$F$32</definedName>
    <definedName name="Interconnection.voice.selector">Lists!$X$5:$X$54</definedName>
    <definedName name="Kbits.per.Mbits">Lists!$Q$8</definedName>
    <definedName name="Lifetimes">AssetsInputs!$K$8:$K$26</definedName>
    <definedName name="LMA.hub.colocation">Control!$G$682:$G$691</definedName>
    <definedName name="LMA.hub.colocation.inputs">Control!$G$682:$G$691</definedName>
    <definedName name="LMA.ladder.ATM">NwDesignInputs!$G$463:$G$465</definedName>
    <definedName name="LMA.ladder.Ethernet">NwDesignInputs!$H$463:$H$465</definedName>
    <definedName name="LMA.LL.proportion">Control!$G$653</definedName>
    <definedName name="LMA.technologies">Lists!$O$25:$O$27</definedName>
    <definedName name="LMA.technologies.selected">NwDesignInputs!$G$450:$G$452</definedName>
    <definedName name="LMA.technologies.used">Control!$G$653:$G$655</definedName>
    <definedName name="LMA.transmission.protocol.selected">NwDesignInputs!$G$456:$G$459</definedName>
    <definedName name="LMA.transmission.protocol.used">Control!$G$49:$G$52</definedName>
    <definedName name="Locations.BSC">NwDesignInputs!$G$511:$AT$511</definedName>
    <definedName name="Locations.RNC">NwDesignInputs!$G$512:$AT$512</definedName>
    <definedName name="LTE.Area.Coverage">NwDesignInputs!$G$16:$P$16</definedName>
    <definedName name="LTE.Area.Site">NwDesignInputs!$G$61:$P$61</definedName>
    <definedName name="LTE.carriers.on.coverage.sites">NetworkDesign!$G$272:$P$272</definedName>
    <definedName name="LTE.coverage.sites">NetworkDesign!$G$36:$P$36</definedName>
    <definedName name="LTE.evolution.deployed">NwDesignInputs!$G$393:$P$393</definedName>
    <definedName name="LTE.Ladder">NwDesignInputs!$G$385:$G$390</definedName>
    <definedName name="LTE.minimum.carriers.deployment">NwDesignInputs!$G$396:$P$396</definedName>
    <definedName name="LTE.Network.BHMbits">NwDesignInputs!$G$372:$P$372</definedName>
    <definedName name="LTE.peak.to.effective">NwDesignInputs!$G$379</definedName>
    <definedName name="LTE.sectorisation">NwDesignInputs!$G$377:$P$377</definedName>
    <definedName name="LTE.voice.rate">NwDesignInputs!$G$401</definedName>
    <definedName name="Main.switching.sites">NwDesignInputs!$G$611:$AT$611</definedName>
    <definedName name="Main.switching.sites.total">NwDesignInputs!$AV$611</definedName>
    <definedName name="Mark.up.regulatory.contribution">NetworkDesign!$G$1363</definedName>
    <definedName name="Mark.up.regulatory.contribution.incoming.traffic">NetworkDesign!$G$1365</definedName>
    <definedName name="Market.demand.total">Trafico!$G$10:$G$46</definedName>
    <definedName name="Market.services">Trafico!$A$10:$A$46</definedName>
    <definedName name="Market.Share.Used">Control!$G$707:$G$726</definedName>
    <definedName name="MB.per.minute.GPRS">RouteingFactors!$F$23</definedName>
    <definedName name="MB.per.minute.HSDPA">RouteingFactors!$J$23</definedName>
    <definedName name="MB.per.minute.R99">RouteingFactors!$H$23</definedName>
    <definedName name="Microcells.for.coverage">NwDesignInputs!$K$19:$K$21</definedName>
    <definedName name="million">Lists!$Q$30</definedName>
    <definedName name="Minimum.TRX.per.sector">Control!$G$42</definedName>
    <definedName name="Minute.per.SMS.2G">RouteingFactors!$F$14</definedName>
    <definedName name="Minute.per.SMS.3G">RouteingFactors!$G$14</definedName>
    <definedName name="Minute.per.SMS.LTE">RouteingFactors!$H$14</definedName>
    <definedName name="minutes.per.hour">Lists!$Q$17</definedName>
    <definedName name="Mobile.market.services.list">Lists!$S$5:$S$24</definedName>
    <definedName name="Mobile.market.services.list.units">Lists!$T$5:$T$24</definedName>
    <definedName name="Mobile.market.volumes.total">Demand!$I$6:$I$25</definedName>
    <definedName name="months">Lists!$Q$32</definedName>
    <definedName name="months.per.year">12</definedName>
    <definedName name="MW.maximum.hop.distance">NwDesignInputs!$G$725</definedName>
    <definedName name="Network.BSC.Data.Mbit.s">NetworkDemand!$G$452</definedName>
    <definedName name="Network.BSC.Voice.Mbit.s">NetworkDemand!$G$478</definedName>
    <definedName name="Network.capex.by.element">TotalNetwork!$H$7:$H$206</definedName>
    <definedName name="Network.Core.to.Core.Data.Mbit.s">NetworkDemand!$G$706</definedName>
    <definedName name="Network.Core.to.Core.Mbit.s">NetworkDemand!$G$712</definedName>
    <definedName name="Network.Core.to.Core.Voice.Mbit.s">NetworkDemand!$G$690</definedName>
    <definedName name="Network.data.BSC.Mbit.s.by.core.node">NwDesignInputs!$G$549:$AT$549</definedName>
    <definedName name="Network.data.RNC.MSC.and.RNC.SGSN.Mbit.s.by.core.node">NwDesignInputs!$G$589:$AT$589</definedName>
    <definedName name="Network.depreciation.by.element">TotalNetwork!$I$7:$I$206</definedName>
    <definedName name="Network.element.output">'LRAIC+'!$F$267:$F$466</definedName>
    <definedName name="Network.HSPA.data.RNC.Mbit.s">NetworkDemand!$G$586</definedName>
    <definedName name="Network.HSPA.data.RNC.MSC.and.RNC.SGSN.Mbit.s">NetworkDemand!$G$593</definedName>
    <definedName name="Network.load.HSDPA">NetworkDemand!$G$314</definedName>
    <definedName name="Network.load.HSUPA">NetworkDemand!$G$315</definedName>
    <definedName name="Network.load.LTE">NetworkDemand!$G$324</definedName>
    <definedName name="Network.Load.Servers">NetworkDemand!$G$770:$G$802</definedName>
    <definedName name="Network.opex.by.element">TotalNetwork!$L$7:$L$206</definedName>
    <definedName name="Network.peak.GSM.data.load">NetworkDemand!$G$292</definedName>
    <definedName name="Network.peak.UMTS.BHE">NetworkDemand!$G$307</definedName>
    <definedName name="Network.peak.UMTS.data.BHE">NetworkDemand!$G$309</definedName>
    <definedName name="Network.peak.UMTS.voice.BHE">NetworkDemand!$G$308</definedName>
    <definedName name="Network.R99.data.RNC.Mbit.s">NetworkDemand!$G$585</definedName>
    <definedName name="Network.R99.data.RNC.MSC.and.RNC.SGSN.Mbit.s">NetworkDemand!$G$592</definedName>
    <definedName name="Network.services.list">Lists!$V$5:$V$54</definedName>
    <definedName name="Network.services.list.units">Lists!$W$5:$W$54</definedName>
    <definedName name="Network.Site.To.Core.Mbits">NwDesignInputs!$G$444:$P$444</definedName>
    <definedName name="Network.Total.2G.Backhaul.Mbit.s">NetworkDemand!$G$425</definedName>
    <definedName name="Network.Total.2G.data.Backhaul.Mbit.s">NetworkDemand!$G$432</definedName>
    <definedName name="Network.Total.2G.voice.Backhaul.Mbit.s">NetworkDemand!$G$429</definedName>
    <definedName name="Network.Total.3G.Backhaul.Mbit.s">NetworkDemand!$G$426</definedName>
    <definedName name="Network.Total.3G.HSPA.data.Backhaul.Mbit.s">NetworkDemand!$G$434</definedName>
    <definedName name="Network.Total.3G.R99.data.Backhaul.Mbit.s">NetworkDemand!$G$433</definedName>
    <definedName name="Network.Total.3G.voice.Backhaul.Mbit.s">NetworkDemand!$G$430</definedName>
    <definedName name="Network.Total.Backhaul.Mbit.s">NetworkDemand!$G$423</definedName>
    <definedName name="Network.Total.BSC.Mbit.s">NetworkDemand!$G$487</definedName>
    <definedName name="Network.total.BSC.Mbit.s.by.core.node">NwDesignInputs!$G$550:$AT$550</definedName>
    <definedName name="Network.Total.data.BSC.Mbit.s">NetworkDemand!$G$490</definedName>
    <definedName name="Network.Total.data.RNC.Mbit.s">NetworkDemand!$G$584</definedName>
    <definedName name="Network.Total.data.RNC.MSC.and.RNC.SGSN.Mbit.s">NetworkDemand!$G$591</definedName>
    <definedName name="Network.Total.LTE.Backhaul.Mbit.s">NetworkDemand!$G$427</definedName>
    <definedName name="Network.Total.LTE.data.Backhaul.Mbit.s">NetworkDemand!$G$435</definedName>
    <definedName name="Network.Total.LTE.voice.Backhaul.Mbit.s">NetworkDemand!$G$431</definedName>
    <definedName name="Network.Total.RNC.Mbit.s">NetworkDemand!$G$582</definedName>
    <definedName name="Network.total.RNC.Mbit.s.by.core.node">NwDesignInputs!$G$585:$AT$585</definedName>
    <definedName name="Network.Total.RNC.MSC.and.RNC.SGSN.Mbit.s">NetworkDemand!$G$589</definedName>
    <definedName name="Network.Total.voice.BSC.Mbit.s">NetworkDemand!$G$489</definedName>
    <definedName name="Network.Total.voice.RNC.Mbit.s">NetworkDemand!$G$583</definedName>
    <definedName name="Network.Total.voice.RNC.MSC.and.RNC.SGSN.Mbit.s">NetworkDemand!$G$590</definedName>
    <definedName name="Network.voice.BHE.2G">NetworkDemand!$G$285</definedName>
    <definedName name="Network.voice.BHE.3G">NetworkDemand!$G$286</definedName>
    <definedName name="Network.voice.BSC.Mbit.s.by.core.node">NwDesignInputs!$G$548:$AT$548</definedName>
    <definedName name="Network.voice.RNC.MSC.and.RNC.SGSN.Mbit.s.by.core.node">NwDesignInputs!$G$588:$AT$588</definedName>
    <definedName name="Number.of.core.LL.for.core.core.traffic">NwDesignInputs!$G$664</definedName>
    <definedName name="Operator.by.scenario">Control!$K$20:$M$20</definedName>
    <definedName name="Operator.generic">Lists!$AG$5</definedName>
    <definedName name="Operators.list">Lists!$AG$5:$AG$7</definedName>
    <definedName name="OPEX">'LRAIC+'!$F$683:$BC$683</definedName>
    <definedName name="Opex.cost.trends">AssetsInputs!$Q$8:$Q$26</definedName>
    <definedName name="Outgoing.voice.traffic.to.fixed.national">Demand!$N$7</definedName>
    <definedName name="Outgoing.voice.traffic.to.international">Demand!$N$9</definedName>
    <definedName name="Outgoing.voice.traffic.to.mobile.national">Demand!$N$8</definedName>
    <definedName name="PDP.context.per.sub">NetworkDemand!$G$721</definedName>
    <definedName name="Physical.collocation">NwDesignInputs!$G$419:$P$419</definedName>
    <definedName name="Physical.collocation.LTE">NwDesignInputs!$G$422:$P$422</definedName>
    <definedName name="Physical.own.tower">NwDesignInputs!$G$425:$P$425</definedName>
    <definedName name="Proportion.Core.to.Core.Data">NwDesignInputs!$G$645</definedName>
    <definedName name="Proportion.Core.to.Core.Voice">NwDesignInputs!$G$616:$G$636</definedName>
    <definedName name="Protocols">Lists!$O$20:$O$21</definedName>
    <definedName name="R99.carriers.per.coverage.site">NetworkDesign!$G$141:$P$141</definedName>
    <definedName name="R99.CE.max">NwDesignInputs!$G$302</definedName>
    <definedName name="R99.CE.min">NwDesignInputs!$G$300</definedName>
    <definedName name="R99.CE.signalling">NwDesignInputs!$G$298</definedName>
    <definedName name="Radio.Erlangs.per.Erlang">NetworkDemand!$I$144:$I$150</definedName>
    <definedName name="Radio.sites.per.hub">NwDesignInputs!$G$472:$P$472</definedName>
    <definedName name="Radio.sites.per.hub.inputs">Control!$G$670:$G$679</definedName>
    <definedName name="Radio.sites.proportion.connected.via.hubs">Control!$G$658:$G$667</definedName>
    <definedName name="Radio.technologies">Lists!$O$5:$O$8</definedName>
    <definedName name="Release99.soft.handover">NwDesignInputs!$G$295</definedName>
    <definedName name="Release99.softer.handover">NwDesignInputs!$G$296</definedName>
    <definedName name="Remote.BSC.sites">NetworkDesign!$G$668:$AT$668</definedName>
    <definedName name="Remote.BSCs.load.data">NetworkDesign!$G$682:$AT$682</definedName>
    <definedName name="Remote.BSCs.load.voice">NetworkDesign!$G$681:$AT$681</definedName>
    <definedName name="Remote.RNC.sites">NetworkDesign!$G$706:$AT$706</definedName>
    <definedName name="Remote.RNCs.load.data">NetworkDesign!$G$720:$AT$720</definedName>
    <definedName name="Remote.RNCs.load.voice">NetworkDesign!$G$719:$AT$719</definedName>
    <definedName name="Required.assets.3G.BBU.cards.for.single.RAN">NetworkDesign!$Q$348</definedName>
    <definedName name="Required.assets.3G.carriers">NetworkDesign!$Q$235</definedName>
    <definedName name="Required.assets.4G.BBU.cards.for.single.RAN">NetworkDesign!$Q$357</definedName>
    <definedName name="Required.assets.BSC">NetworkDesign!$G$663:$G$665</definedName>
    <definedName name="Required.assets.BSC.Core.Fibre.Data.Links">NetworkDesign!$L$865:$L$870</definedName>
    <definedName name="Required.assets.BSC.Core.Fibre.Voice.Links">NetworkDesign!$G$865:$G$870</definedName>
    <definedName name="Required.assets.BSC.Core.LL.Data.Links">NetworkDesign!$L$856:$L$861</definedName>
    <definedName name="Required.assets.BSC.Core.LL.Voice.Links">NetworkDesign!$G$856:$G$861</definedName>
    <definedName name="Required.assets.BSC.ports.colocated.data">NetworkDesign!$AU$1243:$AU$1248</definedName>
    <definedName name="Required.assets.BSC.ports.colocated.voice">NetworkDesign!$AU$1235:$AU$1240</definedName>
    <definedName name="Required.assets.BSC.ports.remote.data">NetworkDesign!$G$1202:$G$1207</definedName>
    <definedName name="Required.assets.BSC.ports.remote.voice">NetworkDesign!$G$1194:$G$1199</definedName>
    <definedName name="Required.assets.BSC.site">NetworkDesign!$G$670</definedName>
    <definedName name="Required.assets.CK">NetworkDesign!$Q$239</definedName>
    <definedName name="Required.assets.core.core.MW.hops">NetworkDesign!$G$1043</definedName>
    <definedName name="Required.assets.core.core.ring.fibre.length">NetworkDesign!$G$1038</definedName>
    <definedName name="Required.assets.core.leased.lines">NetworkDesign!$G$1001:$G$1006</definedName>
    <definedName name="Required.assets.Core.Nodes.By.Speed">NetworkDesign!$G$1021:$G$1028</definedName>
    <definedName name="Required.assets.HSDPA.all.steps">NetworkDesign!$G$195:$G$200</definedName>
    <definedName name="Required.assets.HSDPA.sites.1.8">NetworkDesign!$G$195</definedName>
    <definedName name="Required.assets.HSDPA.sites.10.1">NetworkDesign!$G$198</definedName>
    <definedName name="Required.assets.HSDPA.sites.14.1">NetworkDesign!$G$199</definedName>
    <definedName name="Required.assets.HSDPA.sites.21.1">NetworkDesign!$G$200</definedName>
    <definedName name="Required.assets.HSDPA.sites.3.6">NetworkDesign!$G$196</definedName>
    <definedName name="Required.assets.HSDPA.sites.7.2">NetworkDesign!$G$197</definedName>
    <definedName name="Required.assets.HSUPA.sites.0.73">NetworkDesign!$G$203</definedName>
    <definedName name="Required.assets.HSUPA.sites.1.46">NetworkDesign!$G$204</definedName>
    <definedName name="Required.assets.HSUPA.sites.11.5">NetworkDesign!$G$208</definedName>
    <definedName name="Required.assets.HSUPA.sites.2">NetworkDesign!$G$205</definedName>
    <definedName name="Required.assets.HSUPA.sites.2.93">NetworkDesign!$G$206</definedName>
    <definedName name="Required.assets.HSUPA.sites.5.76">NetworkDesign!$G$207</definedName>
    <definedName name="Required.assets.hub.core.leased.lines">NetworkDesign!$G$610:$G$615</definedName>
    <definedName name="Required.assets.hub.core.ring.access.points">NetworkDesign!$G$634:$G$639</definedName>
    <definedName name="Required.assets.hub.core.ring.fibre.length">NetworkDesign!$G$642</definedName>
    <definedName name="Required.assets.licence.fees">NetworkDesign!$G$1314</definedName>
    <definedName name="Required.assets.LMA.fibre.links">NetworkDesign!$G$572</definedName>
    <definedName name="Required.assets.LMA.leased.lines">NetworkDesign!$G$558:$G$563</definedName>
    <definedName name="Required.assets.LMA.microwave.links">NetworkDesign!$G$565:$G$570</definedName>
    <definedName name="Required.assets.LTE.all.steps">NetworkDesign!$G$282:$G$287</definedName>
    <definedName name="Required.assets.LTE.carriers">NetworkDesign!$Q$278</definedName>
    <definedName name="Required.assets.LTE.sites.10.8">NetworkDesign!$G$282</definedName>
    <definedName name="Required.assets.LTE.sites.16.2">NetworkDesign!$G$283</definedName>
    <definedName name="Required.assets.LTE.sites.21.6">NetworkDesign!$G$284</definedName>
    <definedName name="Required.assets.LTE.sites.32.4">NetworkDesign!$G$285</definedName>
    <definedName name="Required.assets.LTE.sites.43.2">NetworkDesign!$G$286</definedName>
    <definedName name="Required.assets.LTE.sites.86.4">NetworkDesign!$G$287</definedName>
    <definedName name="Required.assets.main.switching.sites">NetworkDesign!$G$982</definedName>
    <definedName name="Required.assets.own.sites">NetworkDesign!$Q$414:$Q$415</definedName>
    <definedName name="Required.assets.Ports.BSC.10M">NetworkDesign!$G$1170</definedName>
    <definedName name="Required.assets.Ports.BSC.E1">NetworkDesign!$G$1168</definedName>
    <definedName name="Required.assets.Ports.RNC.data.10M">NetworkDesign!$G$1188</definedName>
    <definedName name="Required.assets.Ports.RNC.data.E1">NetworkDesign!$G$1186</definedName>
    <definedName name="Required.assets.Ports.RNC.voice.10M">NetworkDesign!$G$1182</definedName>
    <definedName name="Required.assets.Ports.RNC.voice.E1">NetworkDesign!$G$1180</definedName>
    <definedName name="Required.assets.RNC">NetworkDesign!$G$701:$G$703</definedName>
    <definedName name="Required.assets.RNC.Core.Fibre.Data.Links">NetworkDesign!$L$955:$L$960</definedName>
    <definedName name="Required.assets.RNC.Core.Fibre.Voice.Links">NetworkDesign!$G$955:$G$960</definedName>
    <definedName name="Required.assets.RNC.Core.LL.Data.Links">NetworkDesign!$L$946:$L$951</definedName>
    <definedName name="Required.assets.RNC.Core.LL.Voice.Links">NetworkDesign!$G$946:$G$951</definedName>
    <definedName name="Required.assets.RNC.ports.colocated.data">NetworkDesign!$AU$1303:$AU$1308</definedName>
    <definedName name="Required.assets.RNC.ports.colocated.voice">NetworkDesign!$AU$1295:$AU$1300</definedName>
    <definedName name="Required.assets.RNC.ports.remote.data">NetworkDesign!$G$1262:$G$1267</definedName>
    <definedName name="Required.assets.RNC.ports.remote.voice">NetworkDesign!$G$1254:$G$1259</definedName>
    <definedName name="Required.assets.RNC.site">NetworkDesign!$G$708</definedName>
    <definedName name="Required.assets.servers">NetworkDesign!$G$1123:$G$1155</definedName>
    <definedName name="Required.assets.single.RAN.base.station">NetworkDesign!$Q$339:$Q$340</definedName>
    <definedName name="Required.assets.third.party.sites">NetworkDesign!$Q$419:$Q$420</definedName>
    <definedName name="Required.assets.TRX">NetworkDesign!$Q$89</definedName>
    <definedName name="Result.LRAIC.termination.and.origination">Results!$F$25</definedName>
    <definedName name="RF.Option.List">RouteingFactors!$C$81:$C$115</definedName>
    <definedName name="RF.Option.Table">RouteingFactors!$F$81:$BC$115</definedName>
    <definedName name="RF.subscribers">RouteingFactors!$C$104</definedName>
    <definedName name="Ring.Time.Per.Minute">NetworkDemand!$J$144:$J$150</definedName>
    <definedName name="RNC.capacity.used">Control!$G$65</definedName>
    <definedName name="RNC.Core.ATM.Ladder">NwDesignInputs!$G$594:$G$596</definedName>
    <definedName name="RNC.Core.Data.Protocol">NwDesignInputs!$G$601</definedName>
    <definedName name="RNC.Core.Ethernet.Ladder">NwDesignInputs!$H$594:$H$596</definedName>
    <definedName name="RNC.Core.Redundancy">NwDesignInputs!$G$604</definedName>
    <definedName name="RNC.Core.Voice.Protocol">NwDesignInputs!$G$600</definedName>
    <definedName name="RNC.Ladder">NwDesignInputs!$G$530:$G$532</definedName>
    <definedName name="Routeing.factors">RouteingFactors!$F$122:$BC$321</definedName>
    <definedName name="SAPBEXdnldView" hidden="1">"46UUOHMA26H2YQHKW0R7Q302F"</definedName>
    <definedName name="SAPBEXsysID" hidden="1">"B46"</definedName>
    <definedName name="SAU.per.sub">NetworkDemand!$G$723</definedName>
    <definedName name="Scenario.list">Control!$K$3:$M$3</definedName>
    <definedName name="Scenario.number">Control!$K$2:$M$2</definedName>
    <definedName name="seconds.per.hour">Lists!$Q$23</definedName>
    <definedName name="seconds.per.minute">Lists!$Q$20</definedName>
    <definedName name="Servers.Capacities">NwDesignInputs!$G$734:$G$766</definedName>
    <definedName name="Servers.List">NwDesignInputs!$D$734:$D$766</definedName>
    <definedName name="Servers.Minimums">NwDesignInputs!$I$734:$I$766</definedName>
    <definedName name="Servers.Redundancy">NwDesignInputs!$J$734:$J$766</definedName>
    <definedName name="Servers.Units">NwDesignInputs!$H$734:$H$766</definedName>
    <definedName name="Services.demand">Demand!$I$55:$I$104</definedName>
    <definedName name="Services.total.costs">'LRAIC+'!$F$680:$BC$680</definedName>
    <definedName name="sig.channel.per.TRX">NwDesignInputs!$H$258</definedName>
    <definedName name="Single.RAN.base.station.capacity">NwDesignInputs!$G$408:$P$410</definedName>
    <definedName name="Sites.multitech">NetworkDesign!$G$404:$P$404</definedName>
    <definedName name="Sites.multitech.GSM">NetworkDesign!$G$386:$P$386</definedName>
    <definedName name="Sites.multitech.LTE">NetworkDesign!$G$392:$P$392</definedName>
    <definedName name="Sites.multitech.UMTS">NetworkDesign!$G$389:$P$389</definedName>
    <definedName name="Sites.singletech.GSM">NetworkDesign!$G$395:$P$395</definedName>
    <definedName name="Sites.singletech.LTE">NetworkDesign!$G$401:$P$401</definedName>
    <definedName name="Sites.singletech.UMTS">NetworkDesign!$G$398:$P$398</definedName>
    <definedName name="Sites.total">NetworkDesign!$G$410:$P$410</definedName>
    <definedName name="Sites.Total.GSM">NetworkDesign!$G$86:$P$86</definedName>
    <definedName name="Sites.Total.LTE">NetworkDesign!$G$302:$P$302</definedName>
    <definedName name="Sites.Total.UMTS">NetworkDesign!$G$232:$P$232</definedName>
    <definedName name="SMS.services.list">Lists!$Z$30:$Z$38</definedName>
    <definedName name="SMS.services.list.units">Lists!$AA$30:$AA$38</definedName>
    <definedName name="Sol.per.USD">NwDesignInputs!$G$772</definedName>
    <definedName name="solver_eng" localSheetId="12" hidden="1">1</definedName>
    <definedName name="solver_neg" localSheetId="12" hidden="1">1</definedName>
    <definedName name="solver_num" localSheetId="12" hidden="1">0</definedName>
    <definedName name="solver_opt" localSheetId="12" hidden="1">NetworkDesign!#REF!</definedName>
    <definedName name="solver_typ" localSheetId="12" hidden="1">1</definedName>
    <definedName name="solver_val" localSheetId="12" hidden="1">0</definedName>
    <definedName name="solver_ver" localSheetId="12" hidden="1">3</definedName>
    <definedName name="Spectrum.Fee">Control!$G$68</definedName>
    <definedName name="Spectrum.GSM.Capacity">NwDesignInputs!$G$118:$P$118</definedName>
    <definedName name="Spectrum.GSM.Coverage">NwDesignInputs!$G$116:$P$116</definedName>
    <definedName name="Spectrum.LTE.Capacity">NwDesignInputs!$G$126:$P$126</definedName>
    <definedName name="Spectrum.LTE.Coverage">NwDesignInputs!$G$124:$P$124</definedName>
    <definedName name="Spectrum.UMTS.Capacity">NwDesignInputs!$G$122:$P$122</definedName>
    <definedName name="Spectrum.UMTS.Coverage">NwDesignInputs!$G$120:$P$120</definedName>
    <definedName name="Subscribers.voice.and.data">Demand!$N$23</definedName>
    <definedName name="Subscribers.voice.only">Demand!$N$22</definedName>
    <definedName name="Thousand">Lists!$Q$5</definedName>
    <definedName name="Total.annual.costs">'LRAIC+'!$D$680</definedName>
    <definedName name="TRX.Total">NetworkDesign!$G$89:$P$89</definedName>
    <definedName name="Type.of.radio.sites">Lists!$O$13:$O$16</definedName>
    <definedName name="UMTS.Area.Coverage">NwDesignInputs!$G$13:$P$13</definedName>
    <definedName name="UMTS.Area.Site">NwDesignInputs!$G$59:$P$59</definedName>
    <definedName name="UMTS.blocking.probability">NwDesignInputs!$G$304</definedName>
    <definedName name="UMTS.channel.rate">NwDesignInputs!$G$292</definedName>
    <definedName name="UMTS.coverage.sites">NetworkDesign!$G$26:$P$26</definedName>
    <definedName name="UMTS.Network.R99.BHE">NwDesignInputs!$G$282:$P$282</definedName>
    <definedName name="UMTS.Network.R99.BHE.data">NwDesignInputs!$G$285:$P$285</definedName>
    <definedName name="UMTS.Network.R99.BHE.voice">NwDesignInputs!$G$284:$P$284</definedName>
    <definedName name="UMTS.sectorisation">NwDesignInputs!$G$290:$P$290</definedName>
    <definedName name="Unit.investment.cost">AssetsInputs!$J$32:$J$231</definedName>
    <definedName name="Unit.operating.cost">AssetsInputs!$Q$32:$Q$231</definedName>
    <definedName name="Utilisation.BSC">UtilisationFactors!$G$15</definedName>
    <definedName name="Utilisation.BSC.Core">UtilisationFactors!$G$19</definedName>
    <definedName name="Utilisation.BTS">UtilisationFactors!$G$6:$P$6</definedName>
    <definedName name="Utilisation.CE">UtilisationFactors!$G$9:$P$9</definedName>
    <definedName name="Utilisation.Core.Core">UtilisationFactors!$G$21</definedName>
    <definedName name="Utilisation.Hub.Core">UtilisationFactors!$G$18</definedName>
    <definedName name="Utilisation.LMA">UtilisationFactors!$G$17</definedName>
    <definedName name="Utilisation.NodeB">UtilisationFactors!$G$8:$P$8</definedName>
    <definedName name="Utilisation.Ports">UtilisationFactors!$G$25</definedName>
    <definedName name="Utilisation.radio.assets">Control!$G$45:$G$46</definedName>
    <definedName name="Utilisation.RNC">UtilisationFactors!$G$16</definedName>
    <definedName name="Utilisation.RNC.Core">UtilisationFactors!$G$20</definedName>
    <definedName name="Utilisation.Servers">UtilisationFactors!$G$23</definedName>
    <definedName name="Utilisation.single.unit">UtilisationFactors!$G$26</definedName>
    <definedName name="Utilisation.SMSC">UtilisationFactors!$G$24</definedName>
    <definedName name="Utilisation.software">UtilisationFactors!$G$27</definedName>
    <definedName name="Utilisation.Switches">UtilisationFactors!$G$22</definedName>
    <definedName name="Utilisation.TRX">UtilisationFactors!$G$7:$P$7</definedName>
    <definedName name="Voice.services.list">Lists!$Z$5:$Z$18</definedName>
    <definedName name="Voice.services.list.units">Lists!$AA$5:$AA$18</definedName>
    <definedName name="VoLTE.services.list">Lists!$Z$21:$Z$27</definedName>
    <definedName name="VoLTE.services.list.units">Lists!$AA$21:$AA$27</definedName>
    <definedName name="Workbook.Objective">'C'!$B$6</definedName>
    <definedName name="Workbook.Status">'C'!$B$9</definedName>
    <definedName name="Workbook.Title">'C'!$B$5</definedName>
    <definedName name="Workbook.Version">'C'!$B$8</definedName>
    <definedName name="Working.capital.allowance">AssetsInputs!$G$240</definedName>
    <definedName name="wrn.12._.Month._.Revenue._.Report." hidden="1">{#N/A,#N/A,TRUE,"UK";#N/A,#N/A,TRUE,"MO";#N/A,#N/A,TRUE,"MT";#N/A,#N/A,TRUE,"ALL"}</definedName>
    <definedName name="wrn.Flash._.report?." hidden="1">{#N/A,#N/A,TRUE,"Flash";#N/A,#N/A,TRUE,"regional report"}</definedName>
    <definedName name="Years">Lists!$AK$5:$AK$9</definedName>
  </definedNames>
  <calcPr calcId="152511"/>
  <fileRecoveryPr autoRecover="0"/>
</workbook>
</file>

<file path=xl/calcChain.xml><?xml version="1.0" encoding="utf-8"?>
<calcChain xmlns="http://schemas.openxmlformats.org/spreadsheetml/2006/main">
  <c r="K63" i="38" l="1"/>
  <c r="K64" i="38"/>
  <c r="K464" i="6" l="1" a="1"/>
  <c r="M464" i="6" s="1"/>
  <c r="K749" i="6" a="1"/>
  <c r="K749" i="6" s="1"/>
  <c r="K776" i="6" a="1"/>
  <c r="K776" i="6" s="1"/>
  <c r="K814" i="6" a="1"/>
  <c r="K814" i="6" s="1"/>
  <c r="K898" i="6" a="1"/>
  <c r="K898" i="6" s="1"/>
  <c r="K910" i="6" a="1"/>
  <c r="K910" i="6" s="1"/>
  <c r="K922" i="6" a="1"/>
  <c r="K922" i="6" s="1"/>
  <c r="K937" i="6" a="1"/>
  <c r="M937" i="6" s="1"/>
  <c r="K949" i="6" a="1"/>
  <c r="M949" i="6" s="1"/>
  <c r="K961" i="6" a="1"/>
  <c r="K961" i="6" s="1"/>
  <c r="K976" i="6" a="1"/>
  <c r="L976" i="6" s="1"/>
  <c r="K988" i="6" a="1"/>
  <c r="K988" i="6" s="1"/>
  <c r="K1000" i="6" a="1"/>
  <c r="K1000" i="6" s="1"/>
  <c r="K1015" i="6" a="1"/>
  <c r="K1015" i="6" s="1"/>
  <c r="K1027" i="6" a="1"/>
  <c r="L1027" i="6" s="1"/>
  <c r="K1043" i="6" a="1"/>
  <c r="M1043" i="6" s="1"/>
  <c r="K1055" i="6" a="1"/>
  <c r="M1055" i="6" s="1"/>
  <c r="K1067" i="6" a="1"/>
  <c r="L1067" i="6" s="1"/>
  <c r="K1079" i="6" a="1"/>
  <c r="K1079" i="6" s="1"/>
  <c r="K475" i="6" s="1" a="1"/>
  <c r="K476" i="6" s="1"/>
  <c r="K1088" i="6" a="1"/>
  <c r="L1088" i="6" s="1"/>
  <c r="K1093" i="6" a="1"/>
  <c r="M1093" i="6" s="1"/>
  <c r="K1099" i="6" a="1"/>
  <c r="K1099" i="6" s="1"/>
  <c r="K1111" i="6" a="1"/>
  <c r="K1111" i="6" s="1"/>
  <c r="K1123" i="6" a="1"/>
  <c r="K1123" i="6" s="1"/>
  <c r="K1136" i="6" a="1"/>
  <c r="K1136" i="6" s="1"/>
  <c r="K1148" i="6" a="1"/>
  <c r="M1148" i="6" s="1"/>
  <c r="K1160" i="6" a="1"/>
  <c r="K1160" i="6" s="1"/>
  <c r="K1172" i="6" a="1"/>
  <c r="L1172" i="6" s="1"/>
  <c r="K1182" i="6" a="1"/>
  <c r="M1182" i="6" s="1"/>
  <c r="K1195" i="6" a="1"/>
  <c r="K1195" i="6" s="1"/>
  <c r="K653" i="6" s="1" a="1"/>
  <c r="K655" i="6" s="1"/>
  <c r="K1200" i="6" a="1"/>
  <c r="K1200" i="6" s="1"/>
  <c r="K1212" i="6" a="1"/>
  <c r="K1212" i="6" s="1"/>
  <c r="K670" i="6" s="1" a="1"/>
  <c r="K672" i="6" s="1"/>
  <c r="K1224" i="6" a="1"/>
  <c r="M1224" i="6" s="1"/>
  <c r="K1236" i="6" a="1"/>
  <c r="L1236" i="6" s="1"/>
  <c r="K1253" i="6" a="1"/>
  <c r="K1253" i="6" s="1"/>
  <c r="K1296" i="6" a="1"/>
  <c r="M1296" i="6" s="1"/>
  <c r="K1338" i="6" a="1"/>
  <c r="L1338" i="6" s="1"/>
  <c r="K1384" i="6" a="1"/>
  <c r="M1384" i="6" s="1"/>
  <c r="D1027" i="6"/>
  <c r="D1015" i="6"/>
  <c r="D976" i="6"/>
  <c r="D937" i="6"/>
  <c r="D898" i="6"/>
  <c r="D312" i="6"/>
  <c r="D300" i="6"/>
  <c r="D264" i="6"/>
  <c r="D228" i="6"/>
  <c r="D192" i="6"/>
  <c r="M1198" i="6"/>
  <c r="L1198" i="6"/>
  <c r="L653" i="6" s="1" a="1"/>
  <c r="L655" i="6" s="1"/>
  <c r="K472" i="6" a="1"/>
  <c r="K472" i="6" s="1"/>
  <c r="K471" i="6" a="1"/>
  <c r="K471" i="6" s="1"/>
  <c r="K469" i="6" a="1"/>
  <c r="K469" i="6" s="1"/>
  <c r="K468" i="6" a="1"/>
  <c r="L468" i="6" s="1"/>
  <c r="K466" i="6" a="1"/>
  <c r="K466" i="6" s="1"/>
  <c r="K465" i="6" a="1"/>
  <c r="M465" i="6" s="1"/>
  <c r="K454" i="6" a="1"/>
  <c r="K454" i="6" s="1"/>
  <c r="L441" i="6" a="1"/>
  <c r="L442" i="6" s="1"/>
  <c r="M441" i="6" a="1"/>
  <c r="M448" i="6" s="1"/>
  <c r="L429" i="6" a="1"/>
  <c r="L429" i="6" s="1"/>
  <c r="M429" i="6" a="1"/>
  <c r="M430" i="6" s="1"/>
  <c r="L417" i="6" a="1"/>
  <c r="L424" i="6" s="1"/>
  <c r="M417" i="6" a="1"/>
  <c r="M417" i="6" s="1"/>
  <c r="K404" i="6" a="1"/>
  <c r="K411" i="6" s="1"/>
  <c r="L404" i="6" a="1"/>
  <c r="L404" i="6" s="1"/>
  <c r="M404" i="6" a="1"/>
  <c r="M405" i="6" s="1"/>
  <c r="L392" i="6" a="1"/>
  <c r="L399" i="6" s="1"/>
  <c r="M392" i="6" a="1"/>
  <c r="M399" i="6" s="1"/>
  <c r="L380" i="6" a="1"/>
  <c r="L381" i="6" s="1"/>
  <c r="M380" i="6" a="1"/>
  <c r="M381" i="6" s="1"/>
  <c r="K372" i="6" a="1"/>
  <c r="K373" i="6" s="1"/>
  <c r="L372" i="6" a="1"/>
  <c r="L373" i="6" s="1"/>
  <c r="M372" i="6" a="1"/>
  <c r="M373" i="6" s="1"/>
  <c r="K367" i="6" a="1"/>
  <c r="K367" i="6" s="1"/>
  <c r="L367" i="6" a="1"/>
  <c r="L367" i="6" s="1"/>
  <c r="M367" i="6" a="1"/>
  <c r="M368" i="6" s="1"/>
  <c r="L475" i="6" a="1"/>
  <c r="L475" i="6" s="1"/>
  <c r="M475" i="6" a="1"/>
  <c r="M476" i="6" s="1"/>
  <c r="K352" i="6" a="1"/>
  <c r="K359" i="6" s="1"/>
  <c r="L352" i="6" a="1"/>
  <c r="L352" i="6" s="1"/>
  <c r="M352" i="6" a="1"/>
  <c r="M352" i="6" s="1"/>
  <c r="K340" i="6" a="1"/>
  <c r="K349" i="6" s="1"/>
  <c r="L340" i="6" a="1"/>
  <c r="L343" i="6" s="1"/>
  <c r="M340" i="6" a="1"/>
  <c r="M340" i="6" s="1"/>
  <c r="K328" i="6" a="1"/>
  <c r="K335" i="6" s="1"/>
  <c r="L328" i="6" a="1"/>
  <c r="L329" i="6" s="1"/>
  <c r="M328" i="6" a="1"/>
  <c r="M335" i="6" s="1"/>
  <c r="K313" i="6" a="1"/>
  <c r="K314" i="6" s="1"/>
  <c r="L313" i="6" a="1"/>
  <c r="L313" i="6" s="1"/>
  <c r="M313" i="6" a="1"/>
  <c r="M313" i="6" s="1"/>
  <c r="L301" i="6" a="1"/>
  <c r="L304" i="6" s="1"/>
  <c r="M301" i="6" a="1"/>
  <c r="M301" i="6" s="1"/>
  <c r="L289" i="6" a="1"/>
  <c r="L290" i="6" s="1"/>
  <c r="M289" i="6" a="1"/>
  <c r="M292" i="6" s="1"/>
  <c r="L277" i="6" a="1"/>
  <c r="L277" i="6" s="1"/>
  <c r="M277" i="6" a="1"/>
  <c r="M278" i="6" s="1"/>
  <c r="L265" i="6" a="1"/>
  <c r="L265" i="6" s="1"/>
  <c r="M265" i="6" a="1"/>
  <c r="M266" i="6" s="1"/>
  <c r="L253" i="6" a="1"/>
  <c r="L258" i="6" s="1"/>
  <c r="M253" i="6" a="1"/>
  <c r="M253" i="6" s="1"/>
  <c r="L241" i="6" a="1"/>
  <c r="L242" i="6" s="1"/>
  <c r="M241" i="6" a="1"/>
  <c r="M244" i="6" s="1"/>
  <c r="L217" i="6" a="1"/>
  <c r="L218" i="6" s="1"/>
  <c r="M217" i="6" a="1"/>
  <c r="M221" i="6" s="1"/>
  <c r="L1384" i="6" l="1"/>
  <c r="L1195" i="6"/>
  <c r="M291" i="6"/>
  <c r="K1296" i="6"/>
  <c r="K568" i="6" s="1" a="1"/>
  <c r="K568" i="6" s="1"/>
  <c r="M477" i="6"/>
  <c r="L262" i="6"/>
  <c r="M380" i="6"/>
  <c r="K1338" i="6"/>
  <c r="K610" i="6" s="1" a="1"/>
  <c r="L464" i="6"/>
  <c r="M653" i="6" a="1"/>
  <c r="M653" i="6" s="1"/>
  <c r="M1195" i="6"/>
  <c r="L253" i="6"/>
  <c r="M387" i="6"/>
  <c r="L1296" i="6"/>
  <c r="K468" i="6"/>
  <c r="L1015" i="6"/>
  <c r="L922" i="6"/>
  <c r="K464" i="6"/>
  <c r="M475" i="6"/>
  <c r="L441" i="6"/>
  <c r="K1384" i="6"/>
  <c r="M1015" i="6"/>
  <c r="M320" i="6"/>
  <c r="M1338" i="6"/>
  <c r="L417" i="6"/>
  <c r="M749" i="6"/>
  <c r="L749" i="6"/>
  <c r="L707" i="6" s="1" a="1"/>
  <c r="L710" i="6" s="1"/>
  <c r="L776" i="6"/>
  <c r="M776" i="6"/>
  <c r="M814" i="6"/>
  <c r="L814" i="6"/>
  <c r="M898" i="6"/>
  <c r="L898" i="6"/>
  <c r="M910" i="6"/>
  <c r="L910" i="6"/>
  <c r="M922" i="6"/>
  <c r="L937" i="6"/>
  <c r="K937" i="6"/>
  <c r="L949" i="6"/>
  <c r="K949" i="6"/>
  <c r="M961" i="6"/>
  <c r="L961" i="6"/>
  <c r="K976" i="6"/>
  <c r="M976" i="6"/>
  <c r="L988" i="6"/>
  <c r="M988" i="6"/>
  <c r="M1000" i="6"/>
  <c r="L1000" i="6"/>
  <c r="K1027" i="6"/>
  <c r="M1027" i="6"/>
  <c r="L1043" i="6"/>
  <c r="K1043" i="6"/>
  <c r="L1055" i="6"/>
  <c r="K1055" i="6"/>
  <c r="K1067" i="6"/>
  <c r="M1067" i="6"/>
  <c r="M1079" i="6"/>
  <c r="L1079" i="6"/>
  <c r="M1088" i="6"/>
  <c r="K1088" i="6"/>
  <c r="L1093" i="6"/>
  <c r="K1093" i="6"/>
  <c r="L1099" i="6"/>
  <c r="M1099" i="6"/>
  <c r="M1111" i="6"/>
  <c r="L1111" i="6"/>
  <c r="M1123" i="6"/>
  <c r="L1123" i="6"/>
  <c r="M1136" i="6"/>
  <c r="L1136" i="6"/>
  <c r="L1148" i="6"/>
  <c r="K1148" i="6"/>
  <c r="M1160" i="6"/>
  <c r="L1160" i="6"/>
  <c r="M1172" i="6"/>
  <c r="K1172" i="6"/>
  <c r="L1182" i="6"/>
  <c r="K1182" i="6"/>
  <c r="K658" i="6" a="1"/>
  <c r="K660" i="6" s="1"/>
  <c r="M1200" i="6"/>
  <c r="L1200" i="6"/>
  <c r="M670" i="6" s="1" a="1"/>
  <c r="L1212" i="6"/>
  <c r="M1212" i="6"/>
  <c r="L1224" i="6"/>
  <c r="K1224" i="6"/>
  <c r="K682" i="6" s="1" a="1"/>
  <c r="K682" i="6" s="1"/>
  <c r="K1236" i="6"/>
  <c r="K694" i="6" s="1" a="1"/>
  <c r="K701" i="6" s="1"/>
  <c r="M1236" i="6"/>
  <c r="K526" i="6" a="1"/>
  <c r="K526" i="6" s="1"/>
  <c r="M1253" i="6"/>
  <c r="L1253" i="6"/>
  <c r="L526" i="6" s="1" a="1"/>
  <c r="K676" i="6"/>
  <c r="M444" i="6"/>
  <c r="K675" i="6"/>
  <c r="M298" i="6"/>
  <c r="M443" i="6"/>
  <c r="K673" i="6"/>
  <c r="K679" i="6"/>
  <c r="M449" i="6"/>
  <c r="M297" i="6"/>
  <c r="M442" i="6"/>
  <c r="K671" i="6"/>
  <c r="M296" i="6"/>
  <c r="L425" i="6"/>
  <c r="M441" i="6"/>
  <c r="K670" i="6"/>
  <c r="M290" i="6"/>
  <c r="L449" i="6"/>
  <c r="K678" i="6"/>
  <c r="M289" i="6"/>
  <c r="M388" i="6"/>
  <c r="M450" i="6"/>
  <c r="L448" i="6"/>
  <c r="K677" i="6"/>
  <c r="K674" i="6"/>
  <c r="K653" i="6"/>
  <c r="K654" i="6"/>
  <c r="L654" i="6"/>
  <c r="L653" i="6"/>
  <c r="M472" i="6"/>
  <c r="L472" i="6"/>
  <c r="M471" i="6"/>
  <c r="L471" i="6"/>
  <c r="M469" i="6"/>
  <c r="L469" i="6"/>
  <c r="M468" i="6"/>
  <c r="M466" i="6"/>
  <c r="L466" i="6"/>
  <c r="L465" i="6"/>
  <c r="K465" i="6"/>
  <c r="M458" i="6"/>
  <c r="K456" i="6"/>
  <c r="L458" i="6"/>
  <c r="M455" i="6"/>
  <c r="M460" i="6"/>
  <c r="K458" i="6"/>
  <c r="L455" i="6"/>
  <c r="L460" i="6"/>
  <c r="M457" i="6"/>
  <c r="K455" i="6"/>
  <c r="K460" i="6"/>
  <c r="L457" i="6"/>
  <c r="M454" i="6"/>
  <c r="M459" i="6"/>
  <c r="K457" i="6"/>
  <c r="L454" i="6"/>
  <c r="K459" i="6"/>
  <c r="L456" i="6"/>
  <c r="L459" i="6"/>
  <c r="M456" i="6"/>
  <c r="L447" i="6"/>
  <c r="L446" i="6"/>
  <c r="L445" i="6"/>
  <c r="L444" i="6"/>
  <c r="L443" i="6"/>
  <c r="L450" i="6"/>
  <c r="M447" i="6"/>
  <c r="M446" i="6"/>
  <c r="M445" i="6"/>
  <c r="L434" i="6"/>
  <c r="L433" i="6"/>
  <c r="L438" i="6"/>
  <c r="L430" i="6"/>
  <c r="L436" i="6"/>
  <c r="L435" i="6"/>
  <c r="L432" i="6"/>
  <c r="L431" i="6"/>
  <c r="L437" i="6"/>
  <c r="M435" i="6"/>
  <c r="M434" i="6"/>
  <c r="M433" i="6"/>
  <c r="M432" i="6"/>
  <c r="M437" i="6"/>
  <c r="M429" i="6"/>
  <c r="M436" i="6"/>
  <c r="M431" i="6"/>
  <c r="M438" i="6"/>
  <c r="L423" i="6"/>
  <c r="L422" i="6"/>
  <c r="L421" i="6"/>
  <c r="L420" i="6"/>
  <c r="L419" i="6"/>
  <c r="L426" i="6"/>
  <c r="L418" i="6"/>
  <c r="M424" i="6"/>
  <c r="M423" i="6"/>
  <c r="M422" i="6"/>
  <c r="M421" i="6"/>
  <c r="M420" i="6"/>
  <c r="M419" i="6"/>
  <c r="M426" i="6"/>
  <c r="M418" i="6"/>
  <c r="M425" i="6"/>
  <c r="K410" i="6"/>
  <c r="K409" i="6"/>
  <c r="K408" i="6"/>
  <c r="K407" i="6"/>
  <c r="K406" i="6"/>
  <c r="K413" i="6"/>
  <c r="K405" i="6"/>
  <c r="K404" i="6"/>
  <c r="K412" i="6"/>
  <c r="L411" i="6"/>
  <c r="L409" i="6"/>
  <c r="L408" i="6"/>
  <c r="L407" i="6"/>
  <c r="L406" i="6"/>
  <c r="L413" i="6"/>
  <c r="L405" i="6"/>
  <c r="L410" i="6"/>
  <c r="L412" i="6"/>
  <c r="M412" i="6"/>
  <c r="M409" i="6"/>
  <c r="M408" i="6"/>
  <c r="M407" i="6"/>
  <c r="M404" i="6"/>
  <c r="M411" i="6"/>
  <c r="M410" i="6"/>
  <c r="M406" i="6"/>
  <c r="M413" i="6"/>
  <c r="L398" i="6"/>
  <c r="L397" i="6"/>
  <c r="L396" i="6"/>
  <c r="L395" i="6"/>
  <c r="L394" i="6"/>
  <c r="L401" i="6"/>
  <c r="L393" i="6"/>
  <c r="L400" i="6"/>
  <c r="L392" i="6"/>
  <c r="M398" i="6"/>
  <c r="M397" i="6"/>
  <c r="M396" i="6"/>
  <c r="M400" i="6"/>
  <c r="M395" i="6"/>
  <c r="M394" i="6"/>
  <c r="M401" i="6"/>
  <c r="M393" i="6"/>
  <c r="M392" i="6"/>
  <c r="L386" i="6"/>
  <c r="L385" i="6"/>
  <c r="L384" i="6"/>
  <c r="L388" i="6"/>
  <c r="L380" i="6"/>
  <c r="L387" i="6"/>
  <c r="L383" i="6"/>
  <c r="L382" i="6"/>
  <c r="L389" i="6"/>
  <c r="M386" i="6"/>
  <c r="M385" i="6"/>
  <c r="M384" i="6"/>
  <c r="M383" i="6"/>
  <c r="M382" i="6"/>
  <c r="M389" i="6"/>
  <c r="K372" i="6"/>
  <c r="K374" i="6"/>
  <c r="L372" i="6"/>
  <c r="L374" i="6"/>
  <c r="M372" i="6"/>
  <c r="M374" i="6"/>
  <c r="K369" i="6"/>
  <c r="K368" i="6"/>
  <c r="L369" i="6"/>
  <c r="L368" i="6"/>
  <c r="M367" i="6"/>
  <c r="M369" i="6"/>
  <c r="K475" i="6"/>
  <c r="K477" i="6"/>
  <c r="L477" i="6"/>
  <c r="L476" i="6"/>
  <c r="K360" i="6"/>
  <c r="K353" i="6"/>
  <c r="K361" i="6"/>
  <c r="K354" i="6"/>
  <c r="K355" i="6"/>
  <c r="K356" i="6"/>
  <c r="K357" i="6"/>
  <c r="K358" i="6"/>
  <c r="K352" i="6"/>
  <c r="L358" i="6"/>
  <c r="L357" i="6"/>
  <c r="L361" i="6"/>
  <c r="L353" i="6"/>
  <c r="L359" i="6"/>
  <c r="L356" i="6"/>
  <c r="L355" i="6"/>
  <c r="L354" i="6"/>
  <c r="L360" i="6"/>
  <c r="M358" i="6"/>
  <c r="M357" i="6"/>
  <c r="M356" i="6"/>
  <c r="M355" i="6"/>
  <c r="M354" i="6"/>
  <c r="M361" i="6"/>
  <c r="M353" i="6"/>
  <c r="M359" i="6"/>
  <c r="M360" i="6"/>
  <c r="K342" i="6"/>
  <c r="K343" i="6"/>
  <c r="K344" i="6"/>
  <c r="K345" i="6"/>
  <c r="K346" i="6"/>
  <c r="K340" i="6"/>
  <c r="K347" i="6"/>
  <c r="K348" i="6"/>
  <c r="K341" i="6"/>
  <c r="L342" i="6"/>
  <c r="L349" i="6"/>
  <c r="L341" i="6"/>
  <c r="L348" i="6"/>
  <c r="L340" i="6"/>
  <c r="L347" i="6"/>
  <c r="L346" i="6"/>
  <c r="L345" i="6"/>
  <c r="L344" i="6"/>
  <c r="M347" i="6"/>
  <c r="M346" i="6"/>
  <c r="M345" i="6"/>
  <c r="M344" i="6"/>
  <c r="M343" i="6"/>
  <c r="M342" i="6"/>
  <c r="M349" i="6"/>
  <c r="M341" i="6"/>
  <c r="M348" i="6"/>
  <c r="K336" i="6"/>
  <c r="K329" i="6"/>
  <c r="K337" i="6"/>
  <c r="K330" i="6"/>
  <c r="K331" i="6"/>
  <c r="K332" i="6"/>
  <c r="K333" i="6"/>
  <c r="K334" i="6"/>
  <c r="K328" i="6"/>
  <c r="L336" i="6"/>
  <c r="L328" i="6"/>
  <c r="L335" i="6"/>
  <c r="L334" i="6"/>
  <c r="L333" i="6"/>
  <c r="L332" i="6"/>
  <c r="L331" i="6"/>
  <c r="L330" i="6"/>
  <c r="L337" i="6"/>
  <c r="M334" i="6"/>
  <c r="M333" i="6"/>
  <c r="M332" i="6"/>
  <c r="M331" i="6"/>
  <c r="M330" i="6"/>
  <c r="M337" i="6"/>
  <c r="M329" i="6"/>
  <c r="M336" i="6"/>
  <c r="M328" i="6"/>
  <c r="K321" i="6"/>
  <c r="K313" i="6"/>
  <c r="K320" i="6"/>
  <c r="K319" i="6"/>
  <c r="K318" i="6"/>
  <c r="K317" i="6"/>
  <c r="K316" i="6"/>
  <c r="K315" i="6"/>
  <c r="K322" i="6"/>
  <c r="L320" i="6"/>
  <c r="L319" i="6"/>
  <c r="L318" i="6"/>
  <c r="L316" i="6"/>
  <c r="L317" i="6"/>
  <c r="L315" i="6"/>
  <c r="L322" i="6"/>
  <c r="L314" i="6"/>
  <c r="L321" i="6"/>
  <c r="M319" i="6"/>
  <c r="M318" i="6"/>
  <c r="M317" i="6"/>
  <c r="M316" i="6"/>
  <c r="M315" i="6"/>
  <c r="M322" i="6"/>
  <c r="M314" i="6"/>
  <c r="M321" i="6"/>
  <c r="L303" i="6"/>
  <c r="L310" i="6"/>
  <c r="L302" i="6"/>
  <c r="L309" i="6"/>
  <c r="L301" i="6"/>
  <c r="L308" i="6"/>
  <c r="L306" i="6"/>
  <c r="L305" i="6"/>
  <c r="L307" i="6"/>
  <c r="M308" i="6"/>
  <c r="M307" i="6"/>
  <c r="M306" i="6"/>
  <c r="M305" i="6"/>
  <c r="M303" i="6"/>
  <c r="M310" i="6"/>
  <c r="M302" i="6"/>
  <c r="M304" i="6"/>
  <c r="M309" i="6"/>
  <c r="L295" i="6"/>
  <c r="L294" i="6"/>
  <c r="L293" i="6"/>
  <c r="L297" i="6"/>
  <c r="L289" i="6"/>
  <c r="L296" i="6"/>
  <c r="L292" i="6"/>
  <c r="L291" i="6"/>
  <c r="L298" i="6"/>
  <c r="M295" i="6"/>
  <c r="M294" i="6"/>
  <c r="M293" i="6"/>
  <c r="L284" i="6"/>
  <c r="L281" i="6"/>
  <c r="L280" i="6"/>
  <c r="L279" i="6"/>
  <c r="L286" i="6"/>
  <c r="L278" i="6"/>
  <c r="L283" i="6"/>
  <c r="L282" i="6"/>
  <c r="L285" i="6"/>
  <c r="M283" i="6"/>
  <c r="M282" i="6"/>
  <c r="M281" i="6"/>
  <c r="M280" i="6"/>
  <c r="M285" i="6"/>
  <c r="M277" i="6"/>
  <c r="M284" i="6"/>
  <c r="M279" i="6"/>
  <c r="M286" i="6"/>
  <c r="L271" i="6"/>
  <c r="L270" i="6"/>
  <c r="L269" i="6"/>
  <c r="L272" i="6"/>
  <c r="L268" i="6"/>
  <c r="L267" i="6"/>
  <c r="L274" i="6"/>
  <c r="L266" i="6"/>
  <c r="L273" i="6"/>
  <c r="M273" i="6"/>
  <c r="M265" i="6"/>
  <c r="M272" i="6"/>
  <c r="M271" i="6"/>
  <c r="M268" i="6"/>
  <c r="M270" i="6"/>
  <c r="M269" i="6"/>
  <c r="M267" i="6"/>
  <c r="M274" i="6"/>
  <c r="L261" i="6"/>
  <c r="L260" i="6"/>
  <c r="L257" i="6"/>
  <c r="L256" i="6"/>
  <c r="L255" i="6"/>
  <c r="L254" i="6"/>
  <c r="M242" i="6"/>
  <c r="M250" i="6"/>
  <c r="M249" i="6"/>
  <c r="M248" i="6"/>
  <c r="M243" i="6"/>
  <c r="M241" i="6"/>
  <c r="L259" i="6"/>
  <c r="M259" i="6"/>
  <c r="M258" i="6"/>
  <c r="M257" i="6"/>
  <c r="M260" i="6"/>
  <c r="M256" i="6"/>
  <c r="M255" i="6"/>
  <c r="M262" i="6"/>
  <c r="M254" i="6"/>
  <c r="M261" i="6"/>
  <c r="L249" i="6"/>
  <c r="L241" i="6"/>
  <c r="L248" i="6"/>
  <c r="L247" i="6"/>
  <c r="L246" i="6"/>
  <c r="L245" i="6"/>
  <c r="L244" i="6"/>
  <c r="L243" i="6"/>
  <c r="L250" i="6"/>
  <c r="M247" i="6"/>
  <c r="M246" i="6"/>
  <c r="M245" i="6"/>
  <c r="L223" i="6"/>
  <c r="L222" i="6"/>
  <c r="L221" i="6"/>
  <c r="L220" i="6"/>
  <c r="L225" i="6"/>
  <c r="L217" i="6"/>
  <c r="L224" i="6"/>
  <c r="L219" i="6"/>
  <c r="L226" i="6"/>
  <c r="M220" i="6"/>
  <c r="M219" i="6"/>
  <c r="M226" i="6"/>
  <c r="M218" i="6"/>
  <c r="M225" i="6"/>
  <c r="M217" i="6"/>
  <c r="M224" i="6"/>
  <c r="M223" i="6"/>
  <c r="M222" i="6"/>
  <c r="L205" i="6" a="1"/>
  <c r="L205" i="6" s="1"/>
  <c r="M205" i="6" a="1"/>
  <c r="M209" i="6" s="1"/>
  <c r="L193" i="6" a="1"/>
  <c r="L194" i="6" s="1"/>
  <c r="M193" i="6" a="1"/>
  <c r="M193" i="6" s="1"/>
  <c r="K167" i="6" a="1"/>
  <c r="K174" i="6" s="1"/>
  <c r="L167" i="6" a="1"/>
  <c r="L168" i="6" s="1"/>
  <c r="M167" i="6" a="1"/>
  <c r="M170" i="6" s="1"/>
  <c r="K156" i="6" a="1"/>
  <c r="K157" i="6" s="1"/>
  <c r="L156" i="6" a="1"/>
  <c r="L163" i="6" s="1"/>
  <c r="M156" i="6" a="1"/>
  <c r="M156" i="6" s="1"/>
  <c r="K145" i="6" a="1"/>
  <c r="K148" i="6" s="1"/>
  <c r="L145" i="6" a="1"/>
  <c r="L145" i="6" s="1"/>
  <c r="M145" i="6" a="1"/>
  <c r="M149" i="6" s="1"/>
  <c r="K134" i="6" a="1"/>
  <c r="K134" i="6" s="1"/>
  <c r="L134" i="6" a="1"/>
  <c r="L134" i="6" s="1"/>
  <c r="M134" i="6" a="1"/>
  <c r="M135" i="6" s="1"/>
  <c r="K122" i="6" a="1"/>
  <c r="K129" i="6" s="1"/>
  <c r="M122" i="6" a="1"/>
  <c r="M125" i="6" s="1"/>
  <c r="L122" i="6" a="1"/>
  <c r="L122" i="6" s="1"/>
  <c r="K111" i="6" a="1"/>
  <c r="K116" i="6" s="1"/>
  <c r="M111" i="6" a="1"/>
  <c r="M111" i="6" s="1"/>
  <c r="L111" i="6" a="1"/>
  <c r="L111" i="6" s="1"/>
  <c r="K98" i="6" a="1"/>
  <c r="K99" i="6" s="1"/>
  <c r="M98" i="6" a="1"/>
  <c r="M98" i="6" s="1"/>
  <c r="L98" i="6" a="1"/>
  <c r="L101" i="6" s="1"/>
  <c r="K87" i="6" a="1"/>
  <c r="K94" i="6" s="1"/>
  <c r="M87" i="6" a="1"/>
  <c r="M88" i="6" s="1"/>
  <c r="L87" i="6" a="1"/>
  <c r="L87" i="6" s="1"/>
  <c r="K76" i="6" a="1"/>
  <c r="K77" i="6" s="1"/>
  <c r="M76" i="6" a="1"/>
  <c r="M83" i="6" s="1"/>
  <c r="L76" i="6" a="1"/>
  <c r="L83" i="6" s="1"/>
  <c r="M707" i="6" l="1" a="1"/>
  <c r="M710" i="6" s="1"/>
  <c r="M481" i="6" a="1"/>
  <c r="M482" i="6" s="1"/>
  <c r="L568" i="6" a="1"/>
  <c r="L591" i="6" s="1"/>
  <c r="L156" i="6"/>
  <c r="K703" i="6"/>
  <c r="K527" i="6"/>
  <c r="K696" i="6"/>
  <c r="M654" i="6"/>
  <c r="L610" i="6" a="1"/>
  <c r="L613" i="6" s="1"/>
  <c r="M610" i="6" a="1"/>
  <c r="M610" i="6" s="1"/>
  <c r="K610" i="6"/>
  <c r="K617" i="6"/>
  <c r="M655" i="6"/>
  <c r="K694" i="6"/>
  <c r="K697" i="6"/>
  <c r="M568" i="6" a="1"/>
  <c r="M588" i="6" s="1"/>
  <c r="K145" i="6"/>
  <c r="K633" i="6"/>
  <c r="L694" i="6" a="1"/>
  <c r="L694" i="6" s="1"/>
  <c r="K535" i="6"/>
  <c r="K537" i="6"/>
  <c r="K557" i="6"/>
  <c r="K612" i="6"/>
  <c r="K662" i="6"/>
  <c r="K554" i="6"/>
  <c r="K565" i="6"/>
  <c r="K111" i="6"/>
  <c r="K663" i="6"/>
  <c r="K698" i="6"/>
  <c r="K531" i="6"/>
  <c r="K539" i="6"/>
  <c r="K629" i="6"/>
  <c r="K529" i="6"/>
  <c r="K661" i="6"/>
  <c r="K543" i="6"/>
  <c r="K699" i="6"/>
  <c r="K555" i="6"/>
  <c r="K547" i="6"/>
  <c r="K637" i="6"/>
  <c r="K667" i="6"/>
  <c r="K541" i="6"/>
  <c r="K549" i="6"/>
  <c r="K562" i="6"/>
  <c r="K628" i="6"/>
  <c r="K147" i="6"/>
  <c r="K700" i="6"/>
  <c r="K532" i="6"/>
  <c r="K563" i="6"/>
  <c r="K623" i="6"/>
  <c r="K560" i="6"/>
  <c r="K702" i="6"/>
  <c r="K146" i="6"/>
  <c r="K695" i="6"/>
  <c r="K558" i="6"/>
  <c r="K552" i="6"/>
  <c r="K540" i="6"/>
  <c r="K631" i="6"/>
  <c r="L543" i="6"/>
  <c r="L556" i="6"/>
  <c r="L545" i="6"/>
  <c r="L533" i="6"/>
  <c r="L534" i="6"/>
  <c r="L529" i="6"/>
  <c r="L560" i="6"/>
  <c r="L538" i="6"/>
  <c r="L552" i="6"/>
  <c r="L553" i="6"/>
  <c r="L670" i="6" a="1"/>
  <c r="K118" i="6"/>
  <c r="K642" i="6"/>
  <c r="K630" i="6"/>
  <c r="K624" i="6"/>
  <c r="K611" i="6"/>
  <c r="K481" i="6" a="1"/>
  <c r="K500" i="6" s="1"/>
  <c r="L658" i="6" a="1"/>
  <c r="L664" i="6" s="1"/>
  <c r="K645" i="6"/>
  <c r="K636" i="6"/>
  <c r="M658" i="6" a="1"/>
  <c r="M667" i="6" s="1"/>
  <c r="K616" i="6"/>
  <c r="M526" i="6" a="1"/>
  <c r="M526" i="6" s="1"/>
  <c r="M682" i="6" a="1"/>
  <c r="M682" i="6" s="1"/>
  <c r="K154" i="6"/>
  <c r="K620" i="6"/>
  <c r="K638" i="6"/>
  <c r="K632" i="6"/>
  <c r="K619" i="6"/>
  <c r="L481" i="6" a="1"/>
  <c r="L520" i="6" s="1"/>
  <c r="L682" i="6" a="1"/>
  <c r="L690" i="6" s="1"/>
  <c r="K626" i="6"/>
  <c r="K649" i="6"/>
  <c r="K644" i="6"/>
  <c r="K153" i="6"/>
  <c r="K613" i="6"/>
  <c r="K646" i="6"/>
  <c r="K640" i="6"/>
  <c r="K627" i="6"/>
  <c r="K618" i="6"/>
  <c r="K647" i="6"/>
  <c r="K641" i="6"/>
  <c r="K622" i="6"/>
  <c r="M76" i="6"/>
  <c r="K152" i="6"/>
  <c r="K621" i="6"/>
  <c r="K615" i="6"/>
  <c r="K648" i="6"/>
  <c r="K635" i="6"/>
  <c r="M694" i="6" a="1"/>
  <c r="M677" i="6"/>
  <c r="M676" i="6"/>
  <c r="M670" i="6"/>
  <c r="M679" i="6"/>
  <c r="M675" i="6"/>
  <c r="M674" i="6"/>
  <c r="M673" i="6"/>
  <c r="M672" i="6"/>
  <c r="M671" i="6"/>
  <c r="M678" i="6"/>
  <c r="K664" i="6"/>
  <c r="K665" i="6"/>
  <c r="K659" i="6"/>
  <c r="K658" i="6"/>
  <c r="K666" i="6"/>
  <c r="K690" i="6"/>
  <c r="K684" i="6"/>
  <c r="K685" i="6"/>
  <c r="K687" i="6"/>
  <c r="K688" i="6"/>
  <c r="K689" i="6"/>
  <c r="K683" i="6"/>
  <c r="K691" i="6"/>
  <c r="K686" i="6"/>
  <c r="L563" i="6"/>
  <c r="L561" i="6"/>
  <c r="K551" i="6"/>
  <c r="K556" i="6"/>
  <c r="K545" i="6"/>
  <c r="L548" i="6"/>
  <c r="L546" i="6"/>
  <c r="K534" i="6"/>
  <c r="K559" i="6"/>
  <c r="K528" i="6"/>
  <c r="K553" i="6"/>
  <c r="K548" i="6"/>
  <c r="L558" i="6"/>
  <c r="L557" i="6"/>
  <c r="L536" i="6"/>
  <c r="K542" i="6"/>
  <c r="K530" i="6"/>
  <c r="K536" i="6"/>
  <c r="K561" i="6"/>
  <c r="K564" i="6"/>
  <c r="L544" i="6"/>
  <c r="K550" i="6"/>
  <c r="K546" i="6"/>
  <c r="K544" i="6"/>
  <c r="K538" i="6"/>
  <c r="K533" i="6"/>
  <c r="L528" i="6"/>
  <c r="L537" i="6"/>
  <c r="L539" i="6"/>
  <c r="L554" i="6"/>
  <c r="L526" i="6"/>
  <c r="L540" i="6"/>
  <c r="L555" i="6"/>
  <c r="L527" i="6"/>
  <c r="L541" i="6"/>
  <c r="L559" i="6"/>
  <c r="L530" i="6"/>
  <c r="L542" i="6"/>
  <c r="L562" i="6"/>
  <c r="L551" i="6"/>
  <c r="L531" i="6"/>
  <c r="L547" i="6"/>
  <c r="L564" i="6"/>
  <c r="L532" i="6"/>
  <c r="L549" i="6"/>
  <c r="L565" i="6"/>
  <c r="L535" i="6"/>
  <c r="L550" i="6"/>
  <c r="K580" i="6"/>
  <c r="K605" i="6"/>
  <c r="K591" i="6"/>
  <c r="K570" i="6"/>
  <c r="K603" i="6"/>
  <c r="K586" i="6"/>
  <c r="K584" i="6"/>
  <c r="K590" i="6"/>
  <c r="K594" i="6"/>
  <c r="K592" i="6"/>
  <c r="K573" i="6"/>
  <c r="K598" i="6"/>
  <c r="K577" i="6"/>
  <c r="K602" i="6"/>
  <c r="K588" i="6"/>
  <c r="K574" i="6"/>
  <c r="K599" i="6"/>
  <c r="K578" i="6"/>
  <c r="K576" i="6"/>
  <c r="K596" i="6"/>
  <c r="K582" i="6"/>
  <c r="K607" i="6"/>
  <c r="K604" i="6"/>
  <c r="K569" i="6"/>
  <c r="K600" i="6"/>
  <c r="K581" i="6"/>
  <c r="K606" i="6"/>
  <c r="K585" i="6"/>
  <c r="K571" i="6"/>
  <c r="K579" i="6"/>
  <c r="K589" i="6"/>
  <c r="K575" i="6"/>
  <c r="K593" i="6"/>
  <c r="K587" i="6"/>
  <c r="K572" i="6"/>
  <c r="K597" i="6"/>
  <c r="K583" i="6"/>
  <c r="K601" i="6"/>
  <c r="K595" i="6"/>
  <c r="K634" i="6"/>
  <c r="K614" i="6"/>
  <c r="K639" i="6"/>
  <c r="K625" i="6"/>
  <c r="K643" i="6"/>
  <c r="M208" i="6"/>
  <c r="M207" i="6"/>
  <c r="K117" i="6"/>
  <c r="M206" i="6"/>
  <c r="L76" i="6"/>
  <c r="M205" i="6"/>
  <c r="M214" i="6"/>
  <c r="M213" i="6"/>
  <c r="M212" i="6"/>
  <c r="L212" i="6"/>
  <c r="L211" i="6"/>
  <c r="L210" i="6"/>
  <c r="L209" i="6"/>
  <c r="L208" i="6"/>
  <c r="L207" i="6"/>
  <c r="L214" i="6"/>
  <c r="L206" i="6"/>
  <c r="L213" i="6"/>
  <c r="M211" i="6"/>
  <c r="M210" i="6"/>
  <c r="L201" i="6"/>
  <c r="L193" i="6"/>
  <c r="L200" i="6"/>
  <c r="L199" i="6"/>
  <c r="L198" i="6"/>
  <c r="L197" i="6"/>
  <c r="L196" i="6"/>
  <c r="L195" i="6"/>
  <c r="L202" i="6"/>
  <c r="M200" i="6"/>
  <c r="M199" i="6"/>
  <c r="M198" i="6"/>
  <c r="M197" i="6"/>
  <c r="M196" i="6"/>
  <c r="M195" i="6"/>
  <c r="M202" i="6"/>
  <c r="M194" i="6"/>
  <c r="M201" i="6"/>
  <c r="K173" i="6"/>
  <c r="K172" i="6"/>
  <c r="K171" i="6"/>
  <c r="K170" i="6"/>
  <c r="K169" i="6"/>
  <c r="K176" i="6"/>
  <c r="K168" i="6"/>
  <c r="K175" i="6"/>
  <c r="K167" i="6"/>
  <c r="L175" i="6"/>
  <c r="L173" i="6"/>
  <c r="L172" i="6"/>
  <c r="L171" i="6"/>
  <c r="L170" i="6"/>
  <c r="L167" i="6"/>
  <c r="L174" i="6"/>
  <c r="L169" i="6"/>
  <c r="L176" i="6"/>
  <c r="M169" i="6"/>
  <c r="M176" i="6"/>
  <c r="M168" i="6"/>
  <c r="M175" i="6"/>
  <c r="M167" i="6"/>
  <c r="M174" i="6"/>
  <c r="M173" i="6"/>
  <c r="M172" i="6"/>
  <c r="M171" i="6"/>
  <c r="K164" i="6"/>
  <c r="K156" i="6"/>
  <c r="K163" i="6"/>
  <c r="K162" i="6"/>
  <c r="K161" i="6"/>
  <c r="K160" i="6"/>
  <c r="K159" i="6"/>
  <c r="K158" i="6"/>
  <c r="K165" i="6"/>
  <c r="L162" i="6"/>
  <c r="L161" i="6"/>
  <c r="L160" i="6"/>
  <c r="L159" i="6"/>
  <c r="L158" i="6"/>
  <c r="L165" i="6"/>
  <c r="L157" i="6"/>
  <c r="L164" i="6"/>
  <c r="M162" i="6"/>
  <c r="M161" i="6"/>
  <c r="M160" i="6"/>
  <c r="M164" i="6"/>
  <c r="M163" i="6"/>
  <c r="M159" i="6"/>
  <c r="M158" i="6"/>
  <c r="M165" i="6"/>
  <c r="M157" i="6"/>
  <c r="K151" i="6"/>
  <c r="K150" i="6"/>
  <c r="K149" i="6"/>
  <c r="L154" i="6"/>
  <c r="L146" i="6"/>
  <c r="L152" i="6"/>
  <c r="L151" i="6"/>
  <c r="L150" i="6"/>
  <c r="L149" i="6"/>
  <c r="L148" i="6"/>
  <c r="L147" i="6"/>
  <c r="L153" i="6"/>
  <c r="M148" i="6"/>
  <c r="M147" i="6"/>
  <c r="M154" i="6"/>
  <c r="M146" i="6"/>
  <c r="M153" i="6"/>
  <c r="M145" i="6"/>
  <c r="M152" i="6"/>
  <c r="M151" i="6"/>
  <c r="M150" i="6"/>
  <c r="K141" i="6"/>
  <c r="K140" i="6"/>
  <c r="K139" i="6"/>
  <c r="K138" i="6"/>
  <c r="K137" i="6"/>
  <c r="K136" i="6"/>
  <c r="K143" i="6"/>
  <c r="K135" i="6"/>
  <c r="K142" i="6"/>
  <c r="L138" i="6"/>
  <c r="L141" i="6"/>
  <c r="L140" i="6"/>
  <c r="L139" i="6"/>
  <c r="L137" i="6"/>
  <c r="L136" i="6"/>
  <c r="L143" i="6"/>
  <c r="L135" i="6"/>
  <c r="L142" i="6"/>
  <c r="M142" i="6"/>
  <c r="M134" i="6"/>
  <c r="M141" i="6"/>
  <c r="M140" i="6"/>
  <c r="M139" i="6"/>
  <c r="M138" i="6"/>
  <c r="M137" i="6"/>
  <c r="M136" i="6"/>
  <c r="M143" i="6"/>
  <c r="K130" i="6"/>
  <c r="K123" i="6"/>
  <c r="K131" i="6"/>
  <c r="K124" i="6"/>
  <c r="K125" i="6"/>
  <c r="K126" i="6"/>
  <c r="K127" i="6"/>
  <c r="K128" i="6"/>
  <c r="K122" i="6"/>
  <c r="M124" i="6"/>
  <c r="M131" i="6"/>
  <c r="M123" i="6"/>
  <c r="M130" i="6"/>
  <c r="M122" i="6"/>
  <c r="M129" i="6"/>
  <c r="M128" i="6"/>
  <c r="M127" i="6"/>
  <c r="M126" i="6"/>
  <c r="L129" i="6"/>
  <c r="L128" i="6"/>
  <c r="L127" i="6"/>
  <c r="L126" i="6"/>
  <c r="L125" i="6"/>
  <c r="L124" i="6"/>
  <c r="L131" i="6"/>
  <c r="L123" i="6"/>
  <c r="L130" i="6"/>
  <c r="K119" i="6"/>
  <c r="K112" i="6"/>
  <c r="K120" i="6"/>
  <c r="K113" i="6"/>
  <c r="K114" i="6"/>
  <c r="K115" i="6"/>
  <c r="M118" i="6"/>
  <c r="M117" i="6"/>
  <c r="M116" i="6"/>
  <c r="M115" i="6"/>
  <c r="M114" i="6"/>
  <c r="M113" i="6"/>
  <c r="M120" i="6"/>
  <c r="M112" i="6"/>
  <c r="M119" i="6"/>
  <c r="L116" i="6"/>
  <c r="L118" i="6"/>
  <c r="L117" i="6"/>
  <c r="L115" i="6"/>
  <c r="L114" i="6"/>
  <c r="L113" i="6"/>
  <c r="L120" i="6"/>
  <c r="L112" i="6"/>
  <c r="L119" i="6"/>
  <c r="K106" i="6"/>
  <c r="K98" i="6"/>
  <c r="K105" i="6"/>
  <c r="K104" i="6"/>
  <c r="K103" i="6"/>
  <c r="K102" i="6"/>
  <c r="K101" i="6"/>
  <c r="K100" i="6"/>
  <c r="K107" i="6"/>
  <c r="M103" i="6"/>
  <c r="M105" i="6"/>
  <c r="M104" i="6"/>
  <c r="M102" i="6"/>
  <c r="M101" i="6"/>
  <c r="M100" i="6"/>
  <c r="M107" i="6"/>
  <c r="M99" i="6"/>
  <c r="M106" i="6"/>
  <c r="L100" i="6"/>
  <c r="L107" i="6"/>
  <c r="L99" i="6"/>
  <c r="L106" i="6"/>
  <c r="L98" i="6"/>
  <c r="L105" i="6"/>
  <c r="L104" i="6"/>
  <c r="L103" i="6"/>
  <c r="L102" i="6"/>
  <c r="K93" i="6"/>
  <c r="K92" i="6"/>
  <c r="K91" i="6"/>
  <c r="K90" i="6"/>
  <c r="K89" i="6"/>
  <c r="K96" i="6"/>
  <c r="K88" i="6"/>
  <c r="K95" i="6"/>
  <c r="K87" i="6"/>
  <c r="M93" i="6"/>
  <c r="M92" i="6"/>
  <c r="M91" i="6"/>
  <c r="M90" i="6"/>
  <c r="M95" i="6"/>
  <c r="M87" i="6"/>
  <c r="M94" i="6"/>
  <c r="M89" i="6"/>
  <c r="M96" i="6"/>
  <c r="L94" i="6"/>
  <c r="L93" i="6"/>
  <c r="L92" i="6"/>
  <c r="L91" i="6"/>
  <c r="L90" i="6"/>
  <c r="L89" i="6"/>
  <c r="L96" i="6"/>
  <c r="L88" i="6"/>
  <c r="L95" i="6"/>
  <c r="K84" i="6"/>
  <c r="K76" i="6"/>
  <c r="K83" i="6"/>
  <c r="K82" i="6"/>
  <c r="K81" i="6"/>
  <c r="K80" i="6"/>
  <c r="K79" i="6"/>
  <c r="K78" i="6"/>
  <c r="K85" i="6"/>
  <c r="M82" i="6"/>
  <c r="M81" i="6"/>
  <c r="M80" i="6"/>
  <c r="M79" i="6"/>
  <c r="M78" i="6"/>
  <c r="M85" i="6"/>
  <c r="M77" i="6"/>
  <c r="M84" i="6"/>
  <c r="L82" i="6"/>
  <c r="L81" i="6"/>
  <c r="L80" i="6"/>
  <c r="L79" i="6"/>
  <c r="L78" i="6"/>
  <c r="L85" i="6"/>
  <c r="L77" i="6"/>
  <c r="L84" i="6"/>
  <c r="M716" i="6"/>
  <c r="M720" i="6"/>
  <c r="L725" i="6"/>
  <c r="L717" i="6"/>
  <c r="L709" i="6"/>
  <c r="L724" i="6"/>
  <c r="L716" i="6"/>
  <c r="L708" i="6"/>
  <c r="L723" i="6"/>
  <c r="L715" i="6"/>
  <c r="L707" i="6"/>
  <c r="L722" i="6"/>
  <c r="L714" i="6"/>
  <c r="L721" i="6"/>
  <c r="L713" i="6"/>
  <c r="L720" i="6"/>
  <c r="L712" i="6"/>
  <c r="L719" i="6"/>
  <c r="L711" i="6"/>
  <c r="L726" i="6"/>
  <c r="L718" i="6"/>
  <c r="M721" i="6" l="1"/>
  <c r="M724" i="6"/>
  <c r="M718" i="6"/>
  <c r="M714" i="6"/>
  <c r="M709" i="6"/>
  <c r="M726" i="6"/>
  <c r="M722" i="6"/>
  <c r="M717" i="6"/>
  <c r="M712" i="6"/>
  <c r="M707" i="6"/>
  <c r="M725" i="6"/>
  <c r="M713" i="6"/>
  <c r="M715" i="6"/>
  <c r="M711" i="6"/>
  <c r="M723" i="6"/>
  <c r="M719" i="6"/>
  <c r="M708" i="6"/>
  <c r="L581" i="6"/>
  <c r="M496" i="6"/>
  <c r="M509" i="6"/>
  <c r="M516" i="6"/>
  <c r="M481" i="6"/>
  <c r="L568" i="6"/>
  <c r="M503" i="6"/>
  <c r="M483" i="6"/>
  <c r="M492" i="6"/>
  <c r="M518" i="6"/>
  <c r="M517" i="6"/>
  <c r="M490" i="6"/>
  <c r="M491" i="6"/>
  <c r="M487" i="6"/>
  <c r="M493" i="6"/>
  <c r="M513" i="6"/>
  <c r="M510" i="6"/>
  <c r="M495" i="6"/>
  <c r="M485" i="6"/>
  <c r="M501" i="6"/>
  <c r="M505" i="6"/>
  <c r="M497" i="6"/>
  <c r="M489" i="6"/>
  <c r="M494" i="6"/>
  <c r="L582" i="6"/>
  <c r="M488" i="6"/>
  <c r="M519" i="6"/>
  <c r="M500" i="6"/>
  <c r="M515" i="6"/>
  <c r="M512" i="6"/>
  <c r="M498" i="6"/>
  <c r="M508" i="6"/>
  <c r="M511" i="6"/>
  <c r="M486" i="6"/>
  <c r="M499" i="6"/>
  <c r="M484" i="6"/>
  <c r="M504" i="6"/>
  <c r="M507" i="6"/>
  <c r="M506" i="6"/>
  <c r="M520" i="6"/>
  <c r="M502" i="6"/>
  <c r="M514" i="6"/>
  <c r="L603" i="6"/>
  <c r="L580" i="6"/>
  <c r="L599" i="6"/>
  <c r="L597" i="6"/>
  <c r="L575" i="6"/>
  <c r="L585" i="6"/>
  <c r="L607" i="6"/>
  <c r="L596" i="6"/>
  <c r="L594" i="6"/>
  <c r="L592" i="6"/>
  <c r="L583" i="6"/>
  <c r="L573" i="6"/>
  <c r="L569" i="6"/>
  <c r="L595" i="6"/>
  <c r="L570" i="6"/>
  <c r="L572" i="6"/>
  <c r="L586" i="6"/>
  <c r="L578" i="6"/>
  <c r="L574" i="6"/>
  <c r="L577" i="6"/>
  <c r="L589" i="6"/>
  <c r="L605" i="6"/>
  <c r="L600" i="6"/>
  <c r="L571" i="6"/>
  <c r="L604" i="6"/>
  <c r="L579" i="6"/>
  <c r="L602" i="6"/>
  <c r="L584" i="6"/>
  <c r="L588" i="6"/>
  <c r="L576" i="6"/>
  <c r="L601" i="6"/>
  <c r="L606" i="6"/>
  <c r="L590" i="6"/>
  <c r="L587" i="6"/>
  <c r="L598" i="6"/>
  <c r="L593" i="6"/>
  <c r="L618" i="6"/>
  <c r="L614" i="6"/>
  <c r="L635" i="6"/>
  <c r="M579" i="6"/>
  <c r="L701" i="6"/>
  <c r="L617" i="6"/>
  <c r="M571" i="6"/>
  <c r="L634" i="6"/>
  <c r="L620" i="6"/>
  <c r="L621" i="6"/>
  <c r="M574" i="6"/>
  <c r="L700" i="6"/>
  <c r="L648" i="6"/>
  <c r="M635" i="6"/>
  <c r="L642" i="6"/>
  <c r="L641" i="6"/>
  <c r="L643" i="6"/>
  <c r="L636" i="6"/>
  <c r="M638" i="6"/>
  <c r="M629" i="6"/>
  <c r="M627" i="6"/>
  <c r="M640" i="6"/>
  <c r="M645" i="6"/>
  <c r="M621" i="6"/>
  <c r="L630" i="6"/>
  <c r="M648" i="6"/>
  <c r="L619" i="6"/>
  <c r="L625" i="6"/>
  <c r="L699" i="6"/>
  <c r="L646" i="6"/>
  <c r="L697" i="6"/>
  <c r="L616" i="6"/>
  <c r="M634" i="6"/>
  <c r="M630" i="6"/>
  <c r="M614" i="6"/>
  <c r="M643" i="6"/>
  <c r="M618" i="6"/>
  <c r="M617" i="6"/>
  <c r="L615" i="6"/>
  <c r="M620" i="6"/>
  <c r="M647" i="6"/>
  <c r="M613" i="6"/>
  <c r="M641" i="6"/>
  <c r="M632" i="6"/>
  <c r="M611" i="6"/>
  <c r="M615" i="6"/>
  <c r="L626" i="6"/>
  <c r="M633" i="6"/>
  <c r="L645" i="6"/>
  <c r="L649" i="6"/>
  <c r="L698" i="6"/>
  <c r="L703" i="6"/>
  <c r="L647" i="6"/>
  <c r="L696" i="6"/>
  <c r="M644" i="6"/>
  <c r="M626" i="6"/>
  <c r="M642" i="6"/>
  <c r="M639" i="6"/>
  <c r="L627" i="6"/>
  <c r="L637" i="6"/>
  <c r="L695" i="6"/>
  <c r="L628" i="6"/>
  <c r="L632" i="6"/>
  <c r="M628" i="6"/>
  <c r="M624" i="6"/>
  <c r="M622" i="6"/>
  <c r="M631" i="6"/>
  <c r="M625" i="6"/>
  <c r="M616" i="6"/>
  <c r="L639" i="6"/>
  <c r="L665" i="6"/>
  <c r="L612" i="6"/>
  <c r="L624" i="6"/>
  <c r="L623" i="6"/>
  <c r="M612" i="6"/>
  <c r="M619" i="6"/>
  <c r="M637" i="6"/>
  <c r="M649" i="6"/>
  <c r="L631" i="6"/>
  <c r="L644" i="6"/>
  <c r="L633" i="6"/>
  <c r="L622" i="6"/>
  <c r="L611" i="6"/>
  <c r="L610" i="6"/>
  <c r="L640" i="6"/>
  <c r="L629" i="6"/>
  <c r="L638" i="6"/>
  <c r="M636" i="6"/>
  <c r="M646" i="6"/>
  <c r="M623" i="6"/>
  <c r="M595" i="6"/>
  <c r="M606" i="6"/>
  <c r="M593" i="6"/>
  <c r="M591" i="6"/>
  <c r="M604" i="6"/>
  <c r="M603" i="6"/>
  <c r="M572" i="6"/>
  <c r="M570" i="6"/>
  <c r="M607" i="6"/>
  <c r="L702" i="6"/>
  <c r="M601" i="6"/>
  <c r="M589" i="6"/>
  <c r="M597" i="6"/>
  <c r="M569" i="6"/>
  <c r="M581" i="6"/>
  <c r="M587" i="6"/>
  <c r="M575" i="6"/>
  <c r="M583" i="6"/>
  <c r="M594" i="6"/>
  <c r="M577" i="6"/>
  <c r="M578" i="6"/>
  <c r="M586" i="6"/>
  <c r="M590" i="6"/>
  <c r="M582" i="6"/>
  <c r="M568" i="6"/>
  <c r="M592" i="6"/>
  <c r="M600" i="6"/>
  <c r="M599" i="6"/>
  <c r="M573" i="6"/>
  <c r="M576" i="6"/>
  <c r="M585" i="6"/>
  <c r="M580" i="6"/>
  <c r="M602" i="6"/>
  <c r="M584" i="6"/>
  <c r="M598" i="6"/>
  <c r="M596" i="6"/>
  <c r="M605" i="6"/>
  <c r="K494" i="6"/>
  <c r="K519" i="6"/>
  <c r="K502" i="6"/>
  <c r="K495" i="6"/>
  <c r="K517" i="6"/>
  <c r="K485" i="6"/>
  <c r="K489" i="6"/>
  <c r="K496" i="6"/>
  <c r="K513" i="6"/>
  <c r="K497" i="6"/>
  <c r="K516" i="6"/>
  <c r="K520" i="6"/>
  <c r="K492" i="6"/>
  <c r="M689" i="6"/>
  <c r="K510" i="6"/>
  <c r="K499" i="6"/>
  <c r="K483" i="6"/>
  <c r="K512" i="6"/>
  <c r="K491" i="6"/>
  <c r="K486" i="6"/>
  <c r="K506" i="6"/>
  <c r="K514" i="6"/>
  <c r="K508" i="6"/>
  <c r="K487" i="6"/>
  <c r="K505" i="6"/>
  <c r="L691" i="6"/>
  <c r="M535" i="6"/>
  <c r="M549" i="6"/>
  <c r="L519" i="6"/>
  <c r="M550" i="6"/>
  <c r="M534" i="6"/>
  <c r="M563" i="6"/>
  <c r="L658" i="6"/>
  <c r="L663" i="6"/>
  <c r="L511" i="6"/>
  <c r="M538" i="6"/>
  <c r="M547" i="6"/>
  <c r="L666" i="6"/>
  <c r="M562" i="6"/>
  <c r="L493" i="6"/>
  <c r="M537" i="6"/>
  <c r="M560" i="6"/>
  <c r="L496" i="6"/>
  <c r="M556" i="6"/>
  <c r="M552" i="6"/>
  <c r="M559" i="6"/>
  <c r="M561" i="6"/>
  <c r="L507" i="6"/>
  <c r="L512" i="6"/>
  <c r="M531" i="6"/>
  <c r="M536" i="6"/>
  <c r="M548" i="6"/>
  <c r="M528" i="6"/>
  <c r="M545" i="6"/>
  <c r="M697" i="6"/>
  <c r="M696" i="6"/>
  <c r="M700" i="6"/>
  <c r="M703" i="6"/>
  <c r="M698" i="6"/>
  <c r="M695" i="6"/>
  <c r="M701" i="6"/>
  <c r="M699" i="6"/>
  <c r="M694" i="6"/>
  <c r="M685" i="6"/>
  <c r="M687" i="6"/>
  <c r="M691" i="6"/>
  <c r="L672" i="6"/>
  <c r="L679" i="6"/>
  <c r="L677" i="6"/>
  <c r="L674" i="6"/>
  <c r="L678" i="6"/>
  <c r="L676" i="6"/>
  <c r="L673" i="6"/>
  <c r="L671" i="6"/>
  <c r="L670" i="6"/>
  <c r="L675" i="6"/>
  <c r="M558" i="6"/>
  <c r="M565" i="6"/>
  <c r="M541" i="6"/>
  <c r="M543" i="6"/>
  <c r="L682" i="6"/>
  <c r="M683" i="6"/>
  <c r="L660" i="6"/>
  <c r="L667" i="6"/>
  <c r="L659" i="6"/>
  <c r="L662" i="6"/>
  <c r="L661" i="6"/>
  <c r="M540" i="6"/>
  <c r="M554" i="6"/>
  <c r="M557" i="6"/>
  <c r="M555" i="6"/>
  <c r="M564" i="6"/>
  <c r="M684" i="6"/>
  <c r="M690" i="6"/>
  <c r="L483" i="6"/>
  <c r="L498" i="6"/>
  <c r="L508" i="6"/>
  <c r="L488" i="6"/>
  <c r="L481" i="6"/>
  <c r="L517" i="6"/>
  <c r="L491" i="6"/>
  <c r="L497" i="6"/>
  <c r="L487" i="6"/>
  <c r="L500" i="6"/>
  <c r="L515" i="6"/>
  <c r="L510" i="6"/>
  <c r="L489" i="6"/>
  <c r="L516" i="6"/>
  <c r="L513" i="6"/>
  <c r="L506" i="6"/>
  <c r="L492" i="6"/>
  <c r="L514" i="6"/>
  <c r="L505" i="6"/>
  <c r="L509" i="6"/>
  <c r="L482" i="6"/>
  <c r="L503" i="6"/>
  <c r="L494" i="6"/>
  <c r="L501" i="6"/>
  <c r="L490" i="6"/>
  <c r="L502" i="6"/>
  <c r="L495" i="6"/>
  <c r="L518" i="6"/>
  <c r="L484" i="6"/>
  <c r="M660" i="6"/>
  <c r="M658" i="6"/>
  <c r="M666" i="6"/>
  <c r="M665" i="6"/>
  <c r="M663" i="6"/>
  <c r="M664" i="6"/>
  <c r="M661" i="6"/>
  <c r="M659" i="6"/>
  <c r="M662" i="6"/>
  <c r="L486" i="6"/>
  <c r="L485" i="6"/>
  <c r="M542" i="6"/>
  <c r="M529" i="6"/>
  <c r="M532" i="6"/>
  <c r="M530" i="6"/>
  <c r="M551" i="6"/>
  <c r="M539" i="6"/>
  <c r="L683" i="6"/>
  <c r="M688" i="6"/>
  <c r="L504" i="6"/>
  <c r="L499" i="6"/>
  <c r="M527" i="6"/>
  <c r="M546" i="6"/>
  <c r="M544" i="6"/>
  <c r="M533" i="6"/>
  <c r="M553" i="6"/>
  <c r="M686" i="6"/>
  <c r="K481" i="6"/>
  <c r="K503" i="6"/>
  <c r="K498" i="6"/>
  <c r="K488" i="6"/>
  <c r="K504" i="6"/>
  <c r="K484" i="6"/>
  <c r="K518" i="6"/>
  <c r="K490" i="6"/>
  <c r="K511" i="6"/>
  <c r="K507" i="6"/>
  <c r="K509" i="6"/>
  <c r="K482" i="6"/>
  <c r="K493" i="6"/>
  <c r="K501" i="6"/>
  <c r="K515" i="6"/>
  <c r="M702" i="6"/>
  <c r="L684" i="6"/>
  <c r="L687" i="6"/>
  <c r="L688" i="6"/>
  <c r="L689" i="6"/>
  <c r="L685" i="6"/>
  <c r="L686" i="6"/>
  <c r="E109" i="35" l="1" a="1"/>
  <c r="E109" i="35" s="1"/>
  <c r="E101" i="35" a="1"/>
  <c r="E101" i="35" s="1"/>
  <c r="E93" i="35" a="1"/>
  <c r="E94" i="35" s="1"/>
  <c r="E85" i="35" a="1"/>
  <c r="E85" i="35" s="1"/>
  <c r="E38" i="35" a="1"/>
  <c r="E38" i="35" s="1"/>
  <c r="E28" i="35" a="1"/>
  <c r="E28" i="35" s="1"/>
  <c r="E93" i="35" l="1"/>
  <c r="E111" i="35"/>
  <c r="E110" i="35"/>
  <c r="E113" i="35"/>
  <c r="E112" i="35"/>
  <c r="E105" i="35"/>
  <c r="E104" i="35"/>
  <c r="E103" i="35"/>
  <c r="E102" i="35"/>
  <c r="E97" i="35"/>
  <c r="E96" i="35"/>
  <c r="E95" i="35"/>
  <c r="E89" i="35"/>
  <c r="E88" i="35"/>
  <c r="E87" i="35"/>
  <c r="E86" i="35"/>
  <c r="E42" i="35"/>
  <c r="E41" i="35"/>
  <c r="E40" i="35"/>
  <c r="E39" i="35"/>
  <c r="E32" i="35"/>
  <c r="E31" i="35"/>
  <c r="E30" i="35"/>
  <c r="E29" i="35"/>
  <c r="H14" i="9" l="1"/>
  <c r="I14" i="9"/>
  <c r="J14" i="9"/>
  <c r="K14" i="9"/>
  <c r="L14" i="9"/>
  <c r="M14" i="9"/>
  <c r="N14" i="9"/>
  <c r="O14" i="9"/>
  <c r="P14" i="9"/>
  <c r="Q14" i="9"/>
  <c r="R14" i="9"/>
  <c r="S14" i="9"/>
  <c r="T14" i="9"/>
  <c r="U14" i="9"/>
  <c r="V14" i="9"/>
  <c r="W14" i="9"/>
  <c r="X14" i="9"/>
  <c r="G14" i="9"/>
  <c r="G6" i="9" l="1"/>
  <c r="H5" i="9"/>
  <c r="I5" i="9" s="1"/>
  <c r="J5" i="9" s="1"/>
  <c r="K5" i="9" s="1"/>
  <c r="L5" i="9" s="1"/>
  <c r="M5" i="9" s="1"/>
  <c r="N5" i="9" s="1"/>
  <c r="O5" i="9" s="1"/>
  <c r="P5" i="9" s="1"/>
  <c r="Q5" i="9" s="1"/>
  <c r="R5" i="9" s="1"/>
  <c r="S5" i="9" s="1"/>
  <c r="T5" i="9" s="1"/>
  <c r="U5" i="9" s="1"/>
  <c r="V5" i="9" s="1"/>
  <c r="W5" i="9" s="1"/>
  <c r="X5" i="9" s="1"/>
  <c r="Y5" i="9" s="1"/>
  <c r="Z5" i="9" s="1"/>
  <c r="AA5" i="9" s="1"/>
  <c r="AB5" i="9" s="1"/>
  <c r="AC5" i="9" s="1"/>
  <c r="AD5" i="9" s="1"/>
  <c r="AE5" i="9" s="1"/>
  <c r="AF5" i="9" s="1"/>
  <c r="AG5" i="9" s="1"/>
  <c r="AH5" i="9" s="1"/>
  <c r="AI5" i="9" s="1"/>
  <c r="AJ5" i="9" s="1"/>
  <c r="AK5" i="9" s="1"/>
  <c r="AL5" i="9" s="1"/>
  <c r="AM5" i="9" s="1"/>
  <c r="AN5" i="9" s="1"/>
  <c r="AO5" i="9" s="1"/>
  <c r="AP5" i="9" s="1"/>
  <c r="AQ5" i="9" s="1"/>
  <c r="AR5" i="9" s="1"/>
  <c r="AS5" i="9" s="1"/>
  <c r="F478" i="8" a="1"/>
  <c r="BA478" i="8" s="1"/>
  <c r="AB6" i="9" l="1"/>
  <c r="AN6" i="9"/>
  <c r="AR6" i="9"/>
  <c r="J6" i="9"/>
  <c r="P6" i="9"/>
  <c r="AT5" i="9"/>
  <c r="Y6" i="9"/>
  <c r="AK6" i="9"/>
  <c r="K6" i="9"/>
  <c r="T6" i="9"/>
  <c r="AF6" i="9"/>
  <c r="U6" i="9"/>
  <c r="AG6" i="9"/>
  <c r="AS6" i="9"/>
  <c r="N6" i="9"/>
  <c r="R6" i="9"/>
  <c r="V6" i="9"/>
  <c r="Z6" i="9"/>
  <c r="AD6" i="9"/>
  <c r="AH6" i="9"/>
  <c r="AL6" i="9"/>
  <c r="AP6" i="9"/>
  <c r="H6" i="9"/>
  <c r="L6" i="9"/>
  <c r="X6" i="9"/>
  <c r="AJ6" i="9"/>
  <c r="Q6" i="9"/>
  <c r="AC6" i="9"/>
  <c r="AO6" i="9"/>
  <c r="O6" i="9"/>
  <c r="S6" i="9"/>
  <c r="W6" i="9"/>
  <c r="AA6" i="9"/>
  <c r="AE6" i="9"/>
  <c r="AI6" i="9"/>
  <c r="AM6" i="9"/>
  <c r="AQ6" i="9"/>
  <c r="I6" i="9"/>
  <c r="M6" i="9"/>
  <c r="H478" i="8"/>
  <c r="L478" i="8"/>
  <c r="P478" i="8"/>
  <c r="T478" i="8"/>
  <c r="X478" i="8"/>
  <c r="AB478" i="8"/>
  <c r="AF478" i="8"/>
  <c r="AJ478" i="8"/>
  <c r="AN478" i="8"/>
  <c r="AR478" i="8"/>
  <c r="AV478" i="8"/>
  <c r="AZ478" i="8"/>
  <c r="F478" i="8"/>
  <c r="J478" i="8"/>
  <c r="N478" i="8"/>
  <c r="R478" i="8"/>
  <c r="V478" i="8"/>
  <c r="Z478" i="8"/>
  <c r="AD478" i="8"/>
  <c r="AH478" i="8"/>
  <c r="AL478" i="8"/>
  <c r="AP478" i="8"/>
  <c r="AT478" i="8"/>
  <c r="AX478" i="8"/>
  <c r="BB478" i="8"/>
  <c r="G478" i="8"/>
  <c r="K478" i="8"/>
  <c r="O478" i="8"/>
  <c r="S478" i="8"/>
  <c r="W478" i="8"/>
  <c r="AA478" i="8"/>
  <c r="AE478" i="8"/>
  <c r="AI478" i="8"/>
  <c r="AM478" i="8"/>
  <c r="AQ478" i="8"/>
  <c r="AU478" i="8"/>
  <c r="AY478" i="8"/>
  <c r="BC478" i="8"/>
  <c r="I478" i="8"/>
  <c r="M478" i="8"/>
  <c r="Q478" i="8"/>
  <c r="U478" i="8"/>
  <c r="Y478" i="8"/>
  <c r="AC478" i="8"/>
  <c r="AG478" i="8"/>
  <c r="AK478" i="8"/>
  <c r="AO478" i="8"/>
  <c r="AS478" i="8"/>
  <c r="AW478" i="8"/>
  <c r="H1099" i="37"/>
  <c r="H1098" i="37"/>
  <c r="H1097" i="37"/>
  <c r="AU5" i="9" l="1"/>
  <c r="AT6" i="9"/>
  <c r="AV5" i="9" l="1"/>
  <c r="AU6" i="9"/>
  <c r="N202" i="38"/>
  <c r="N200" i="38"/>
  <c r="N199" i="38"/>
  <c r="N198" i="38"/>
  <c r="N197" i="38"/>
  <c r="N196" i="38"/>
  <c r="N195" i="38"/>
  <c r="N194" i="38"/>
  <c r="N193" i="38"/>
  <c r="N192" i="38"/>
  <c r="N191" i="38"/>
  <c r="N190" i="38"/>
  <c r="N189" i="38"/>
  <c r="N186" i="38"/>
  <c r="N185" i="38"/>
  <c r="N182" i="38"/>
  <c r="N181" i="38"/>
  <c r="N180" i="38"/>
  <c r="N179" i="38"/>
  <c r="N178" i="38"/>
  <c r="N177" i="38"/>
  <c r="N176" i="38"/>
  <c r="N175" i="38"/>
  <c r="N174" i="38"/>
  <c r="N173" i="38"/>
  <c r="N172" i="38"/>
  <c r="N170" i="38"/>
  <c r="N164" i="38"/>
  <c r="N163" i="38"/>
  <c r="N162" i="38"/>
  <c r="N161" i="38"/>
  <c r="N160" i="38"/>
  <c r="N159" i="38"/>
  <c r="N158" i="38"/>
  <c r="N157" i="38"/>
  <c r="N125" i="38"/>
  <c r="N124" i="38"/>
  <c r="N123" i="38"/>
  <c r="N122" i="38"/>
  <c r="N121" i="38"/>
  <c r="N120" i="38"/>
  <c r="N119" i="38"/>
  <c r="N118" i="38"/>
  <c r="N117" i="38"/>
  <c r="N116" i="38"/>
  <c r="N115" i="38"/>
  <c r="N114" i="38"/>
  <c r="N113" i="38"/>
  <c r="N112" i="38"/>
  <c r="N111" i="38"/>
  <c r="N110" i="38"/>
  <c r="N109" i="38"/>
  <c r="N108" i="38"/>
  <c r="N107" i="38"/>
  <c r="N106" i="38"/>
  <c r="N105" i="38"/>
  <c r="N104" i="38"/>
  <c r="N103" i="38"/>
  <c r="N101" i="38"/>
  <c r="N98" i="38"/>
  <c r="N96" i="38"/>
  <c r="N89" i="38"/>
  <c r="N66" i="38"/>
  <c r="N64" i="38"/>
  <c r="N62" i="38"/>
  <c r="N56" i="38"/>
  <c r="N47" i="38"/>
  <c r="N41" i="38"/>
  <c r="H150" i="38"/>
  <c r="H155" i="38" s="1"/>
  <c r="H147" i="38"/>
  <c r="H152" i="38" s="1"/>
  <c r="H132" i="38"/>
  <c r="H143" i="38" s="1"/>
  <c r="H149" i="38" s="1"/>
  <c r="H154" i="38" s="1"/>
  <c r="H129" i="38"/>
  <c r="H140" i="38" s="1"/>
  <c r="H146" i="38" s="1"/>
  <c r="H151" i="38" s="1"/>
  <c r="H86" i="38"/>
  <c r="H131" i="38" s="1"/>
  <c r="H142" i="38" s="1"/>
  <c r="H148" i="38" s="1"/>
  <c r="H85" i="38"/>
  <c r="H130" i="38" s="1"/>
  <c r="H136" i="38" s="1"/>
  <c r="H83" i="38"/>
  <c r="H128" i="38" s="1"/>
  <c r="H134" i="38" s="1"/>
  <c r="H82" i="38"/>
  <c r="H127" i="38" l="1"/>
  <c r="H133" i="38" s="1"/>
  <c r="N57" i="38"/>
  <c r="N90" i="38"/>
  <c r="N203" i="38"/>
  <c r="N42" i="38"/>
  <c r="N99" i="38"/>
  <c r="N48" i="38"/>
  <c r="N102" i="38"/>
  <c r="AW5" i="9"/>
  <c r="AV6" i="9"/>
  <c r="H139" i="38"/>
  <c r="H145" i="38" s="1"/>
  <c r="H135" i="38"/>
  <c r="H137" i="38"/>
  <c r="H138" i="38"/>
  <c r="N204" i="38" l="1"/>
  <c r="N58" i="38"/>
  <c r="N49" i="38"/>
  <c r="N43" i="38"/>
  <c r="N91" i="38"/>
  <c r="AX5" i="9"/>
  <c r="AW6" i="9"/>
  <c r="N92" i="38" l="1"/>
  <c r="N50" i="38"/>
  <c r="N205" i="38"/>
  <c r="N44" i="38"/>
  <c r="N59" i="38"/>
  <c r="AY5" i="9"/>
  <c r="AX6" i="9"/>
  <c r="N45" i="38" l="1"/>
  <c r="N51" i="38"/>
  <c r="N60" i="38"/>
  <c r="N206" i="38"/>
  <c r="N93" i="38"/>
  <c r="AZ5" i="9"/>
  <c r="AY6" i="9"/>
  <c r="N207" i="38" l="1"/>
  <c r="BA5" i="9"/>
  <c r="AZ6" i="9"/>
  <c r="N208" i="38" l="1"/>
  <c r="BB5" i="9"/>
  <c r="BA6" i="9"/>
  <c r="N209" i="38" l="1"/>
  <c r="BC5" i="9"/>
  <c r="BB6" i="9"/>
  <c r="N210" i="38" l="1"/>
  <c r="BD5" i="9"/>
  <c r="BC6" i="9"/>
  <c r="N211" i="38" l="1"/>
  <c r="BD6" i="9"/>
  <c r="N212" i="38" l="1"/>
  <c r="H129" i="75"/>
  <c r="E129" i="75"/>
  <c r="F128" i="75"/>
  <c r="G128" i="75" s="1"/>
  <c r="F127" i="75"/>
  <c r="F126" i="75"/>
  <c r="G126" i="75" s="1"/>
  <c r="N213" i="38" l="1"/>
  <c r="F129" i="75"/>
  <c r="G127" i="75"/>
  <c r="G129" i="75" s="1"/>
  <c r="N214" i="38" l="1"/>
  <c r="E133" i="75" a="1"/>
  <c r="F134" i="75" s="1"/>
  <c r="N215" i="38" l="1"/>
  <c r="G134" i="75"/>
  <c r="G142" i="75" s="1"/>
  <c r="H135" i="75"/>
  <c r="F133" i="75"/>
  <c r="H133" i="75"/>
  <c r="E134" i="75"/>
  <c r="F142" i="75" s="1"/>
  <c r="F135" i="75"/>
  <c r="G133" i="75"/>
  <c r="H134" i="75"/>
  <c r="E135" i="75"/>
  <c r="G135" i="75"/>
  <c r="E133" i="75"/>
  <c r="N216" i="38" l="1"/>
  <c r="G141" i="75"/>
  <c r="G143" i="75"/>
  <c r="H136" i="75"/>
  <c r="E136" i="75"/>
  <c r="F143" i="75"/>
  <c r="G136" i="75"/>
  <c r="H141" i="75"/>
  <c r="F141" i="75"/>
  <c r="F136" i="75"/>
  <c r="H142" i="75"/>
  <c r="H143" i="75"/>
  <c r="N217" i="38" l="1"/>
  <c r="G144" i="75"/>
  <c r="F144" i="75"/>
  <c r="H144" i="75"/>
  <c r="O83" i="38" l="1"/>
  <c r="O134" i="38" s="1"/>
  <c r="O150" i="38"/>
  <c r="O82" i="38"/>
  <c r="O146" i="38"/>
  <c r="O85" i="38"/>
  <c r="O142" i="38"/>
  <c r="O138" i="38"/>
  <c r="O130" i="38"/>
  <c r="O152" i="38"/>
  <c r="N218" i="38"/>
  <c r="O131" i="38"/>
  <c r="O147" i="38"/>
  <c r="O154" i="38"/>
  <c r="O132" i="38"/>
  <c r="O151" i="38"/>
  <c r="O136" i="38"/>
  <c r="O140" i="38"/>
  <c r="O148" i="38"/>
  <c r="O155" i="38"/>
  <c r="O86" i="38"/>
  <c r="O129" i="38"/>
  <c r="O137" i="38"/>
  <c r="O143" i="38"/>
  <c r="O145" i="38"/>
  <c r="O149" i="38"/>
  <c r="O135" i="38"/>
  <c r="C106" i="38" a="1"/>
  <c r="C106" i="38" s="1"/>
  <c r="C103" i="38" a="1"/>
  <c r="C103" i="38" s="1"/>
  <c r="C109" i="38" a="1"/>
  <c r="C109" i="38" s="1"/>
  <c r="O133" i="38" l="1"/>
  <c r="O139" i="38"/>
  <c r="O127" i="38"/>
  <c r="O128" i="38"/>
  <c r="N219" i="38"/>
  <c r="C108" i="38"/>
  <c r="C107" i="38"/>
  <c r="C105" i="38"/>
  <c r="C104" i="38"/>
  <c r="C111" i="38"/>
  <c r="C110" i="38"/>
  <c r="N220" i="38" l="1"/>
  <c r="E1196" i="6" a="1"/>
  <c r="E1197" i="6" s="1"/>
  <c r="N221" i="38" l="1"/>
  <c r="E1198" i="6"/>
  <c r="E1196" i="6"/>
  <c r="K990" i="6"/>
  <c r="K991" i="6" l="1"/>
  <c r="K992" i="6" s="1"/>
  <c r="K993" i="6" s="1"/>
  <c r="N222" i="38"/>
  <c r="K277" i="6" l="1" a="1"/>
  <c r="K277" i="6" s="1"/>
  <c r="N223" i="38"/>
  <c r="K280" i="6" l="1"/>
  <c r="K282" i="6"/>
  <c r="K281" i="6"/>
  <c r="K285" i="6"/>
  <c r="K283" i="6"/>
  <c r="K284" i="6"/>
  <c r="K286" i="6"/>
  <c r="K278" i="6"/>
  <c r="K279" i="6"/>
  <c r="N224" i="38"/>
  <c r="L247" i="38"/>
  <c r="N225" i="38" l="1"/>
  <c r="F22" i="70"/>
  <c r="N226" i="38" l="1"/>
  <c r="N227" i="38" l="1"/>
  <c r="N228" i="38" l="1"/>
  <c r="E1179" i="6"/>
  <c r="E460" i="6" s="1"/>
  <c r="E1178" i="6"/>
  <c r="E459" i="6" s="1"/>
  <c r="E1177" i="6"/>
  <c r="E458" i="6" s="1"/>
  <c r="E1176" i="6"/>
  <c r="E457" i="6" s="1"/>
  <c r="E1175" i="6"/>
  <c r="E456" i="6" s="1"/>
  <c r="E1174" i="6"/>
  <c r="E455" i="6" s="1"/>
  <c r="E1173" i="6"/>
  <c r="E454" i="6" s="1"/>
  <c r="N229" i="38" l="1"/>
  <c r="N230" i="38" l="1"/>
  <c r="H1102" i="37"/>
  <c r="K767" i="6" l="1"/>
  <c r="K766" i="6"/>
  <c r="K764" i="6"/>
  <c r="K761" i="6"/>
  <c r="K760" i="6"/>
  <c r="K759" i="6"/>
  <c r="K756" i="6"/>
  <c r="K755" i="6"/>
  <c r="K754" i="6"/>
  <c r="K753" i="6"/>
  <c r="K752" i="6"/>
  <c r="K751" i="6"/>
  <c r="K750" i="6"/>
  <c r="I701" i="35"/>
  <c r="Q684" i="35"/>
  <c r="O683" i="35"/>
  <c r="O682" i="35"/>
  <c r="K707" i="6" l="1" a="1"/>
  <c r="K714" i="6" s="1"/>
  <c r="G529" i="34" a="1"/>
  <c r="G535" i="34" s="1"/>
  <c r="I754" i="35" a="1"/>
  <c r="I754" i="35" s="1"/>
  <c r="G754" i="35"/>
  <c r="K711" i="6" l="1"/>
  <c r="K724" i="6"/>
  <c r="K725" i="6"/>
  <c r="K713" i="6"/>
  <c r="K719" i="6"/>
  <c r="K710" i="6"/>
  <c r="K709" i="6"/>
  <c r="K721" i="6"/>
  <c r="K715" i="6"/>
  <c r="K712" i="6"/>
  <c r="K723" i="6"/>
  <c r="K708" i="6"/>
  <c r="K717" i="6"/>
  <c r="K707" i="6"/>
  <c r="K726" i="6"/>
  <c r="K720" i="6"/>
  <c r="K718" i="6"/>
  <c r="K716" i="6"/>
  <c r="K722" i="6"/>
  <c r="G532" i="34"/>
  <c r="G529" i="34"/>
  <c r="G530" i="34"/>
  <c r="G534" i="34"/>
  <c r="G533" i="34"/>
  <c r="G531" i="34"/>
  <c r="J754" i="35"/>
  <c r="L22" i="6"/>
  <c r="M22" i="6" s="1"/>
  <c r="E167" i="6" l="1" a="1"/>
  <c r="E174" i="6" s="1"/>
  <c r="E156" i="6" a="1"/>
  <c r="E163" i="6" s="1"/>
  <c r="E145" i="6" a="1"/>
  <c r="E152" i="6" s="1"/>
  <c r="E134" i="6" a="1"/>
  <c r="E141" i="6" s="1"/>
  <c r="E122" i="6" a="1"/>
  <c r="E131" i="6" s="1"/>
  <c r="E111" i="6" a="1"/>
  <c r="E118" i="6" s="1"/>
  <c r="E98" i="6" a="1"/>
  <c r="E105" i="6" s="1"/>
  <c r="E87" i="6" a="1"/>
  <c r="E94" i="6" s="1"/>
  <c r="E779" i="6" a="1"/>
  <c r="E788" i="6" s="1"/>
  <c r="E790" i="6" a="1"/>
  <c r="E799" i="6" s="1"/>
  <c r="E801" i="6" a="1"/>
  <c r="E810" i="6" s="1"/>
  <c r="E873" i="6" a="1"/>
  <c r="E882" i="6" s="1"/>
  <c r="E862" i="6" a="1"/>
  <c r="E871" i="6" s="1"/>
  <c r="E851" i="6" a="1"/>
  <c r="E860" i="6" s="1"/>
  <c r="E840" i="6" a="1"/>
  <c r="E849" i="6" s="1"/>
  <c r="E828" i="6" a="1"/>
  <c r="E837" i="6" s="1"/>
  <c r="E817" i="6" a="1"/>
  <c r="E826" i="6" s="1"/>
  <c r="E76" i="6" a="1"/>
  <c r="E85" i="6" s="1"/>
  <c r="L939" i="6"/>
  <c r="K1017" i="6"/>
  <c r="K1002" i="6"/>
  <c r="K978" i="6"/>
  <c r="K963" i="6"/>
  <c r="K951" i="6"/>
  <c r="K939" i="6"/>
  <c r="K924" i="6"/>
  <c r="K912" i="6"/>
  <c r="K900" i="6"/>
  <c r="K979" i="6" l="1"/>
  <c r="K980" i="6" s="1"/>
  <c r="K981" i="6" s="1"/>
  <c r="K1018" i="6"/>
  <c r="K1019" i="6" s="1"/>
  <c r="K1020" i="6" s="1"/>
  <c r="K925" i="6"/>
  <c r="K926" i="6" s="1"/>
  <c r="K927" i="6" s="1"/>
  <c r="K901" i="6"/>
  <c r="K902" i="6" s="1"/>
  <c r="K903" i="6" s="1"/>
  <c r="K952" i="6"/>
  <c r="K953" i="6" s="1"/>
  <c r="K954" i="6" s="1"/>
  <c r="K1003" i="6"/>
  <c r="K1004" i="6" s="1"/>
  <c r="K1005" i="6" s="1"/>
  <c r="K913" i="6"/>
  <c r="K914" i="6" s="1"/>
  <c r="K915" i="6" s="1"/>
  <c r="K940" i="6"/>
  <c r="K941" i="6" s="1"/>
  <c r="K942" i="6" s="1"/>
  <c r="K964" i="6"/>
  <c r="K965" i="6" s="1"/>
  <c r="K966" i="6" s="1"/>
  <c r="E164" i="6"/>
  <c r="E149" i="6"/>
  <c r="E171" i="6"/>
  <c r="E134" i="6"/>
  <c r="E172" i="6"/>
  <c r="E111" i="6"/>
  <c r="E156" i="6"/>
  <c r="E167" i="6"/>
  <c r="E175" i="6"/>
  <c r="E145" i="6"/>
  <c r="E160" i="6"/>
  <c r="E168" i="6"/>
  <c r="E176" i="6"/>
  <c r="E169" i="6"/>
  <c r="E173" i="6"/>
  <c r="E170" i="6"/>
  <c r="E157" i="6"/>
  <c r="E161" i="6"/>
  <c r="E165" i="6"/>
  <c r="E158" i="6"/>
  <c r="E162" i="6"/>
  <c r="E159" i="6"/>
  <c r="E146" i="6"/>
  <c r="E150" i="6"/>
  <c r="E154" i="6"/>
  <c r="E153" i="6"/>
  <c r="E147" i="6"/>
  <c r="E151" i="6"/>
  <c r="E148" i="6"/>
  <c r="E142" i="6"/>
  <c r="E135" i="6"/>
  <c r="E139" i="6"/>
  <c r="E143" i="6"/>
  <c r="E138" i="6"/>
  <c r="E136" i="6"/>
  <c r="E140" i="6"/>
  <c r="E137" i="6"/>
  <c r="E129" i="6"/>
  <c r="E122" i="6"/>
  <c r="E126" i="6"/>
  <c r="E130" i="6"/>
  <c r="E124" i="6"/>
  <c r="E128" i="6"/>
  <c r="E125" i="6"/>
  <c r="E123" i="6"/>
  <c r="E127" i="6"/>
  <c r="E115" i="6"/>
  <c r="E112" i="6"/>
  <c r="E116" i="6"/>
  <c r="E120" i="6"/>
  <c r="E119" i="6"/>
  <c r="E113" i="6"/>
  <c r="E117" i="6"/>
  <c r="E114" i="6"/>
  <c r="E89" i="6"/>
  <c r="E91" i="6"/>
  <c r="E98" i="6"/>
  <c r="E106" i="6"/>
  <c r="E104" i="6"/>
  <c r="E93" i="6"/>
  <c r="E100" i="6"/>
  <c r="E87" i="6"/>
  <c r="E95" i="6"/>
  <c r="E102" i="6"/>
  <c r="E99" i="6"/>
  <c r="E103" i="6"/>
  <c r="E107" i="6"/>
  <c r="E101" i="6"/>
  <c r="E88" i="6"/>
  <c r="E92" i="6"/>
  <c r="E96" i="6"/>
  <c r="E90" i="6"/>
  <c r="E781" i="6"/>
  <c r="E785" i="6"/>
  <c r="E782" i="6"/>
  <c r="E786" i="6"/>
  <c r="E779" i="6"/>
  <c r="E783" i="6"/>
  <c r="E787" i="6"/>
  <c r="E780" i="6"/>
  <c r="E784" i="6"/>
  <c r="E793" i="6"/>
  <c r="E797" i="6"/>
  <c r="E796" i="6"/>
  <c r="E790" i="6"/>
  <c r="E794" i="6"/>
  <c r="E798" i="6"/>
  <c r="E792" i="6"/>
  <c r="E791" i="6"/>
  <c r="E795" i="6"/>
  <c r="E808" i="6"/>
  <c r="E801" i="6"/>
  <c r="E805" i="6"/>
  <c r="E809" i="6"/>
  <c r="E803" i="6"/>
  <c r="E807" i="6"/>
  <c r="E804" i="6"/>
  <c r="E802" i="6"/>
  <c r="E806" i="6"/>
  <c r="E876" i="6"/>
  <c r="E880" i="6"/>
  <c r="E879" i="6"/>
  <c r="E873" i="6"/>
  <c r="E877" i="6"/>
  <c r="E881" i="6"/>
  <c r="E875" i="6"/>
  <c r="E874" i="6"/>
  <c r="E878" i="6"/>
  <c r="E864" i="6"/>
  <c r="E868" i="6"/>
  <c r="E862" i="6"/>
  <c r="E866" i="6"/>
  <c r="E870" i="6"/>
  <c r="E865" i="6"/>
  <c r="E869" i="6"/>
  <c r="E863" i="6"/>
  <c r="E867" i="6"/>
  <c r="E854" i="6"/>
  <c r="E858" i="6"/>
  <c r="E857" i="6"/>
  <c r="E851" i="6"/>
  <c r="E855" i="6"/>
  <c r="E859" i="6"/>
  <c r="E853" i="6"/>
  <c r="E852" i="6"/>
  <c r="E856" i="6"/>
  <c r="E843" i="6"/>
  <c r="E847" i="6"/>
  <c r="E842" i="6"/>
  <c r="E840" i="6"/>
  <c r="E844" i="6"/>
  <c r="E848" i="6"/>
  <c r="E846" i="6"/>
  <c r="E841" i="6"/>
  <c r="E845" i="6"/>
  <c r="E831" i="6"/>
  <c r="E835" i="6"/>
  <c r="E830" i="6"/>
  <c r="E828" i="6"/>
  <c r="E832" i="6"/>
  <c r="E836" i="6"/>
  <c r="E834" i="6"/>
  <c r="E829" i="6"/>
  <c r="E833" i="6"/>
  <c r="E820" i="6"/>
  <c r="E824" i="6"/>
  <c r="E823" i="6"/>
  <c r="E817" i="6"/>
  <c r="E821" i="6"/>
  <c r="E825" i="6"/>
  <c r="E819" i="6"/>
  <c r="E818" i="6"/>
  <c r="E822" i="6"/>
  <c r="E83" i="6"/>
  <c r="E76" i="6"/>
  <c r="E80" i="6"/>
  <c r="E84" i="6"/>
  <c r="E78" i="6"/>
  <c r="E82" i="6"/>
  <c r="E79" i="6"/>
  <c r="E77" i="6"/>
  <c r="E81" i="6"/>
  <c r="K1165" i="6"/>
  <c r="K441" i="6" s="1" a="1"/>
  <c r="K1153" i="6"/>
  <c r="K429" i="6" s="1" a="1"/>
  <c r="K1141" i="6"/>
  <c r="K417" i="6" s="1" a="1"/>
  <c r="K1116" i="6"/>
  <c r="K392" i="6" s="1" a="1"/>
  <c r="K1104" i="6"/>
  <c r="K380" i="6" s="1" a="1"/>
  <c r="K265" i="6" l="1" a="1"/>
  <c r="K271" i="6" s="1"/>
  <c r="K253" i="6" a="1"/>
  <c r="K255" i="6" s="1"/>
  <c r="K301" i="6" a="1"/>
  <c r="K306" i="6" s="1"/>
  <c r="K229" i="6" a="1"/>
  <c r="K237" i="6" s="1"/>
  <c r="K289" i="6" a="1"/>
  <c r="K290" i="6" s="1"/>
  <c r="K193" i="6" a="1"/>
  <c r="K201" i="6" s="1"/>
  <c r="K241" i="6" a="1"/>
  <c r="K249" i="6" s="1"/>
  <c r="K387" i="6"/>
  <c r="K384" i="6"/>
  <c r="K383" i="6"/>
  <c r="K382" i="6"/>
  <c r="K381" i="6"/>
  <c r="K388" i="6"/>
  <c r="K386" i="6"/>
  <c r="K380" i="6"/>
  <c r="K385" i="6"/>
  <c r="K389" i="6"/>
  <c r="K399" i="6"/>
  <c r="K396" i="6"/>
  <c r="K397" i="6"/>
  <c r="K398" i="6"/>
  <c r="K400" i="6"/>
  <c r="K392" i="6"/>
  <c r="K393" i="6"/>
  <c r="K401" i="6"/>
  <c r="K394" i="6"/>
  <c r="K395" i="6"/>
  <c r="K205" i="6" a="1"/>
  <c r="K217" i="6" a="1"/>
  <c r="K424" i="6"/>
  <c r="K422" i="6"/>
  <c r="K421" i="6"/>
  <c r="K420" i="6"/>
  <c r="K419" i="6"/>
  <c r="K426" i="6"/>
  <c r="K418" i="6"/>
  <c r="K425" i="6"/>
  <c r="K423" i="6"/>
  <c r="K417" i="6"/>
  <c r="K442" i="6"/>
  <c r="K448" i="6"/>
  <c r="K447" i="6"/>
  <c r="K446" i="6"/>
  <c r="K445" i="6"/>
  <c r="K444" i="6"/>
  <c r="K443" i="6"/>
  <c r="K449" i="6"/>
  <c r="K450" i="6"/>
  <c r="K441" i="6"/>
  <c r="K429" i="6"/>
  <c r="K431" i="6"/>
  <c r="K436" i="6"/>
  <c r="K438" i="6"/>
  <c r="K430" i="6"/>
  <c r="K435" i="6"/>
  <c r="K434" i="6"/>
  <c r="K433" i="6"/>
  <c r="K432" i="6"/>
  <c r="K437" i="6"/>
  <c r="C124" i="38" a="1"/>
  <c r="C121" i="38" a="1"/>
  <c r="C118" i="38" a="1"/>
  <c r="C115" i="38" a="1"/>
  <c r="C112" i="38" a="1"/>
  <c r="C100" i="38" a="1"/>
  <c r="C97" i="38" a="1"/>
  <c r="C91" i="38" a="1"/>
  <c r="C88" i="38" a="1"/>
  <c r="C85" i="38" a="1"/>
  <c r="C82" i="38" a="1"/>
  <c r="C78" i="38" a="1"/>
  <c r="C75" i="38" a="1"/>
  <c r="C72" i="38" a="1"/>
  <c r="C69" i="38" a="1"/>
  <c r="K65" i="38"/>
  <c r="K66" i="38"/>
  <c r="K67" i="38"/>
  <c r="K68" i="38"/>
  <c r="K69" i="38"/>
  <c r="K70" i="38"/>
  <c r="K71" i="38"/>
  <c r="K72" i="38"/>
  <c r="K73" i="38"/>
  <c r="K74" i="38"/>
  <c r="K75" i="38"/>
  <c r="K76" i="38"/>
  <c r="K77" i="38"/>
  <c r="K78" i="38"/>
  <c r="K79" i="38"/>
  <c r="K80" i="38"/>
  <c r="K81" i="38"/>
  <c r="K82" i="38"/>
  <c r="K83" i="38"/>
  <c r="K84" i="38"/>
  <c r="K85" i="38"/>
  <c r="K86" i="38"/>
  <c r="K87" i="38"/>
  <c r="K88" i="38"/>
  <c r="K89" i="38"/>
  <c r="K90" i="38"/>
  <c r="K91" i="38"/>
  <c r="K92" i="38"/>
  <c r="K93" i="38"/>
  <c r="K94" i="38"/>
  <c r="K95" i="38"/>
  <c r="K96" i="38"/>
  <c r="K97" i="38"/>
  <c r="K98" i="38"/>
  <c r="K99" i="38"/>
  <c r="K100" i="38"/>
  <c r="K101" i="38"/>
  <c r="K102" i="38"/>
  <c r="K103" i="38"/>
  <c r="K104" i="38"/>
  <c r="K105" i="38"/>
  <c r="K106" i="38"/>
  <c r="K107" i="38"/>
  <c r="K108" i="38"/>
  <c r="K109" i="38"/>
  <c r="K110" i="38"/>
  <c r="K111" i="38"/>
  <c r="K112" i="38"/>
  <c r="K113" i="38"/>
  <c r="K114" i="38"/>
  <c r="K115" i="38"/>
  <c r="K116" i="38"/>
  <c r="K117" i="38"/>
  <c r="K118" i="38"/>
  <c r="K119" i="38"/>
  <c r="K120" i="38"/>
  <c r="K121" i="38"/>
  <c r="K122" i="38"/>
  <c r="K123" i="38"/>
  <c r="K124" i="38"/>
  <c r="K125" i="38"/>
  <c r="K126" i="38"/>
  <c r="C148" i="38" a="1"/>
  <c r="C149" i="38" s="1"/>
  <c r="C145" i="38" a="1"/>
  <c r="C147" i="38" s="1"/>
  <c r="C142" i="38" a="1"/>
  <c r="C144" i="38" s="1"/>
  <c r="C139" i="38" a="1"/>
  <c r="C141" i="38" s="1"/>
  <c r="C136" i="38" a="1"/>
  <c r="C138" i="38" s="1"/>
  <c r="C133" i="38" a="1"/>
  <c r="C135" i="38" s="1"/>
  <c r="C130" i="38" a="1"/>
  <c r="C132" i="38" s="1"/>
  <c r="C127" i="38" a="1"/>
  <c r="C129" i="38" s="1"/>
  <c r="C151" i="38" a="1"/>
  <c r="C153" i="38" s="1"/>
  <c r="C154" i="38" a="1"/>
  <c r="C155" i="38" s="1"/>
  <c r="C157" i="38" a="1"/>
  <c r="C158" i="38" s="1"/>
  <c r="C161" i="38" a="1"/>
  <c r="C161" i="38" s="1"/>
  <c r="K127" i="38"/>
  <c r="K128" i="38"/>
  <c r="K129" i="38"/>
  <c r="K130" i="38"/>
  <c r="K131" i="38"/>
  <c r="K132" i="38"/>
  <c r="K133" i="38"/>
  <c r="K134" i="38"/>
  <c r="K135" i="38"/>
  <c r="K136" i="38"/>
  <c r="K137" i="38"/>
  <c r="K138" i="38"/>
  <c r="K139" i="38"/>
  <c r="K140" i="38"/>
  <c r="K141" i="38"/>
  <c r="K142" i="38"/>
  <c r="K143" i="38"/>
  <c r="K144" i="38"/>
  <c r="K145" i="38"/>
  <c r="K146" i="38"/>
  <c r="K147" i="38"/>
  <c r="K148" i="38"/>
  <c r="K149" i="38"/>
  <c r="K150" i="38"/>
  <c r="K151" i="38"/>
  <c r="K152" i="38"/>
  <c r="K153" i="38"/>
  <c r="K154" i="38"/>
  <c r="K155" i="38"/>
  <c r="K156" i="38"/>
  <c r="K157" i="38"/>
  <c r="K158" i="38"/>
  <c r="K159" i="38"/>
  <c r="K160" i="38"/>
  <c r="K161" i="38"/>
  <c r="K162" i="38"/>
  <c r="K163" i="38"/>
  <c r="K164" i="38"/>
  <c r="K165" i="38"/>
  <c r="K166" i="38"/>
  <c r="K167" i="38"/>
  <c r="C168" i="38" a="1"/>
  <c r="C168" i="38" s="1"/>
  <c r="K168" i="38"/>
  <c r="K169" i="38"/>
  <c r="K170" i="38"/>
  <c r="K171" i="38"/>
  <c r="K172" i="38"/>
  <c r="K173" i="38"/>
  <c r="K174" i="38"/>
  <c r="K175" i="38"/>
  <c r="K176" i="38"/>
  <c r="K177" i="38"/>
  <c r="K178" i="38"/>
  <c r="K179" i="38"/>
  <c r="K180" i="38"/>
  <c r="K181" i="38"/>
  <c r="K182" i="38"/>
  <c r="K183" i="38"/>
  <c r="K184" i="38"/>
  <c r="K185" i="38"/>
  <c r="K186" i="38"/>
  <c r="K187" i="38"/>
  <c r="K188" i="38"/>
  <c r="K189" i="38"/>
  <c r="K190" i="38"/>
  <c r="K191" i="38"/>
  <c r="K192" i="38"/>
  <c r="K193" i="38"/>
  <c r="K194" i="38"/>
  <c r="K195" i="38"/>
  <c r="K196" i="38"/>
  <c r="K197" i="38"/>
  <c r="K198" i="38"/>
  <c r="K199" i="38"/>
  <c r="K200" i="38"/>
  <c r="K260" i="6" l="1"/>
  <c r="K269" i="6"/>
  <c r="K273" i="6"/>
  <c r="K272" i="6"/>
  <c r="K274" i="6"/>
  <c r="K267" i="6"/>
  <c r="K268" i="6"/>
  <c r="K257" i="6"/>
  <c r="K258" i="6"/>
  <c r="K259" i="6"/>
  <c r="K254" i="6"/>
  <c r="K262" i="6"/>
  <c r="K253" i="6"/>
  <c r="K256" i="6"/>
  <c r="K307" i="6"/>
  <c r="K261" i="6"/>
  <c r="K310" i="6"/>
  <c r="K305" i="6"/>
  <c r="K302" i="6"/>
  <c r="K303" i="6"/>
  <c r="K304" i="6"/>
  <c r="K308" i="6"/>
  <c r="K301" i="6"/>
  <c r="K309" i="6"/>
  <c r="K266" i="6"/>
  <c r="K270" i="6"/>
  <c r="K265" i="6"/>
  <c r="K230" i="6"/>
  <c r="K234" i="6"/>
  <c r="K235" i="6"/>
  <c r="K229" i="6"/>
  <c r="K231" i="6"/>
  <c r="K298" i="6"/>
  <c r="K297" i="6"/>
  <c r="K197" i="6"/>
  <c r="K194" i="6"/>
  <c r="K202" i="6"/>
  <c r="K291" i="6"/>
  <c r="K232" i="6"/>
  <c r="K292" i="6"/>
  <c r="K233" i="6"/>
  <c r="K293" i="6"/>
  <c r="K247" i="6"/>
  <c r="K241" i="6"/>
  <c r="K246" i="6"/>
  <c r="K193" i="6"/>
  <c r="K289" i="6"/>
  <c r="K195" i="6"/>
  <c r="K198" i="6"/>
  <c r="K248" i="6"/>
  <c r="K242" i="6"/>
  <c r="K250" i="6"/>
  <c r="K236" i="6"/>
  <c r="K200" i="6"/>
  <c r="K243" i="6"/>
  <c r="K196" i="6"/>
  <c r="K244" i="6"/>
  <c r="K238" i="6"/>
  <c r="K295" i="6"/>
  <c r="K294" i="6"/>
  <c r="K199" i="6"/>
  <c r="K245" i="6"/>
  <c r="K296" i="6"/>
  <c r="K205" i="6"/>
  <c r="K209" i="6"/>
  <c r="K214" i="6"/>
  <c r="K206" i="6"/>
  <c r="K211" i="6"/>
  <c r="K208" i="6"/>
  <c r="K207" i="6"/>
  <c r="K212" i="6"/>
  <c r="K213" i="6"/>
  <c r="K210" i="6"/>
  <c r="K217" i="6"/>
  <c r="K221" i="6"/>
  <c r="K220" i="6"/>
  <c r="K219" i="6"/>
  <c r="K226" i="6"/>
  <c r="K218" i="6"/>
  <c r="K224" i="6"/>
  <c r="K223" i="6"/>
  <c r="K225" i="6"/>
  <c r="K222" i="6"/>
  <c r="C159" i="38"/>
  <c r="C190" i="38"/>
  <c r="C178" i="38"/>
  <c r="C162" i="38"/>
  <c r="C157" i="38"/>
  <c r="C195" i="38"/>
  <c r="C179" i="38"/>
  <c r="C189" i="38"/>
  <c r="C174" i="38"/>
  <c r="C199" i="38"/>
  <c r="C185" i="38"/>
  <c r="C169" i="38"/>
  <c r="C160" i="38"/>
  <c r="C194" i="38"/>
  <c r="C183" i="38"/>
  <c r="C173" i="38"/>
  <c r="C164" i="38"/>
  <c r="C150" i="38"/>
  <c r="C77" i="38"/>
  <c r="C76" i="38"/>
  <c r="C75" i="38"/>
  <c r="C117" i="38"/>
  <c r="C116" i="38"/>
  <c r="C115" i="38"/>
  <c r="C131" i="38"/>
  <c r="C130" i="38"/>
  <c r="C137" i="38"/>
  <c r="C136" i="38"/>
  <c r="C143" i="38"/>
  <c r="C142" i="38"/>
  <c r="C80" i="38"/>
  <c r="C79" i="38"/>
  <c r="C78" i="38"/>
  <c r="C93" i="38"/>
  <c r="C92" i="38"/>
  <c r="C91" i="38"/>
  <c r="C120" i="38"/>
  <c r="C119" i="38"/>
  <c r="C118" i="38"/>
  <c r="C198" i="38"/>
  <c r="C193" i="38"/>
  <c r="C187" i="38"/>
  <c r="C182" i="38"/>
  <c r="C177" i="38"/>
  <c r="C171" i="38"/>
  <c r="C156" i="38"/>
  <c r="C151" i="38"/>
  <c r="C152" i="38"/>
  <c r="C71" i="38"/>
  <c r="C70" i="38"/>
  <c r="C69" i="38"/>
  <c r="C84" i="38"/>
  <c r="C83" i="38"/>
  <c r="C82" i="38"/>
  <c r="C99" i="38"/>
  <c r="C98" i="38"/>
  <c r="C97" i="38"/>
  <c r="C123" i="38"/>
  <c r="C122" i="38"/>
  <c r="C121" i="38"/>
  <c r="C90" i="38"/>
  <c r="C89" i="38"/>
  <c r="C88" i="38"/>
  <c r="C197" i="38"/>
  <c r="C191" i="38"/>
  <c r="C186" i="38"/>
  <c r="C181" i="38"/>
  <c r="C175" i="38"/>
  <c r="C170" i="38"/>
  <c r="C163" i="38"/>
  <c r="C154" i="38"/>
  <c r="C128" i="38"/>
  <c r="C127" i="38"/>
  <c r="C134" i="38"/>
  <c r="C133" i="38"/>
  <c r="C140" i="38"/>
  <c r="C139" i="38"/>
  <c r="C146" i="38"/>
  <c r="C145" i="38"/>
  <c r="C74" i="38"/>
  <c r="C73" i="38"/>
  <c r="C72" i="38"/>
  <c r="C87" i="38"/>
  <c r="C86" i="38"/>
  <c r="C85" i="38"/>
  <c r="C102" i="38"/>
  <c r="C101" i="38"/>
  <c r="C100" i="38"/>
  <c r="C114" i="38"/>
  <c r="C113" i="38"/>
  <c r="C112" i="38"/>
  <c r="C126" i="38"/>
  <c r="C125" i="38"/>
  <c r="C124" i="38"/>
  <c r="C148" i="38"/>
  <c r="C200" i="38"/>
  <c r="C196" i="38"/>
  <c r="C192" i="38"/>
  <c r="C188" i="38"/>
  <c r="C184" i="38"/>
  <c r="C180" i="38"/>
  <c r="C176" i="38"/>
  <c r="C172" i="38"/>
  <c r="C228" i="38" l="1" a="1"/>
  <c r="C228" i="38" s="1"/>
  <c r="C225" i="38" a="1"/>
  <c r="C225" i="38" s="1"/>
  <c r="C222" i="38" a="1"/>
  <c r="C222" i="38" s="1"/>
  <c r="C219" i="38" a="1"/>
  <c r="C219" i="38" s="1"/>
  <c r="C216" i="38" a="1"/>
  <c r="C216" i="38" s="1"/>
  <c r="C213" i="38" a="1"/>
  <c r="C213" i="38" s="1"/>
  <c r="C210" i="38" a="1"/>
  <c r="C210" i="38" s="1"/>
  <c r="C207" i="38" a="1"/>
  <c r="C207" i="38" s="1"/>
  <c r="C55" i="38" a="1"/>
  <c r="C57" i="38" s="1"/>
  <c r="C46" i="38" a="1"/>
  <c r="C47" i="38" s="1"/>
  <c r="C40" i="38" a="1"/>
  <c r="C40" i="38" s="1"/>
  <c r="D274" i="34" a="1"/>
  <c r="D278" i="34" s="1"/>
  <c r="C322" i="34" s="1"/>
  <c r="C50" i="38" l="1"/>
  <c r="C49" i="38"/>
  <c r="C43" i="38"/>
  <c r="C45" i="38"/>
  <c r="C41" i="38"/>
  <c r="C48" i="38"/>
  <c r="C46" i="38"/>
  <c r="D275" i="34"/>
  <c r="D279" i="34"/>
  <c r="C60" i="38"/>
  <c r="C56" i="38"/>
  <c r="D276" i="34"/>
  <c r="C42" i="38"/>
  <c r="C51" i="38"/>
  <c r="C59" i="38"/>
  <c r="C55" i="38"/>
  <c r="C209" i="38"/>
  <c r="C212" i="38"/>
  <c r="C215" i="38"/>
  <c r="C218" i="38"/>
  <c r="C221" i="38"/>
  <c r="C224" i="38"/>
  <c r="C227" i="38"/>
  <c r="C230" i="38"/>
  <c r="C58" i="38"/>
  <c r="C208" i="38"/>
  <c r="C211" i="38"/>
  <c r="C214" i="38"/>
  <c r="C217" i="38"/>
  <c r="C220" i="38"/>
  <c r="C223" i="38"/>
  <c r="C226" i="38"/>
  <c r="C229" i="38"/>
  <c r="D277" i="34"/>
  <c r="D274" i="34"/>
  <c r="C44" i="38"/>
  <c r="M3" i="6"/>
  <c r="L3" i="6"/>
  <c r="K3" i="6"/>
  <c r="G695" i="6" l="1"/>
  <c r="G703" i="6"/>
  <c r="G689" i="6"/>
  <c r="G675" i="6"/>
  <c r="G661" i="6"/>
  <c r="G611" i="6"/>
  <c r="G619" i="6"/>
  <c r="G627" i="6"/>
  <c r="G635" i="6"/>
  <c r="G643" i="6"/>
  <c r="G569" i="6"/>
  <c r="G577" i="6"/>
  <c r="G585" i="6"/>
  <c r="G593" i="6"/>
  <c r="G601" i="6"/>
  <c r="G527" i="6"/>
  <c r="G535" i="6"/>
  <c r="G543" i="6"/>
  <c r="G551" i="6"/>
  <c r="G559" i="6"/>
  <c r="G482" i="6"/>
  <c r="G490" i="6"/>
  <c r="G498" i="6"/>
  <c r="G506" i="6"/>
  <c r="G514" i="6"/>
  <c r="G477" i="6"/>
  <c r="G460" i="6"/>
  <c r="G448" i="6"/>
  <c r="G697" i="6"/>
  <c r="G683" i="6"/>
  <c r="G691" i="6"/>
  <c r="G677" i="6"/>
  <c r="G663" i="6"/>
  <c r="G613" i="6"/>
  <c r="G621" i="6"/>
  <c r="G629" i="6"/>
  <c r="G637" i="6"/>
  <c r="G645" i="6"/>
  <c r="G571" i="6"/>
  <c r="G579" i="6"/>
  <c r="G587" i="6"/>
  <c r="G595" i="6"/>
  <c r="G603" i="6"/>
  <c r="G529" i="6"/>
  <c r="G537" i="6"/>
  <c r="G545" i="6"/>
  <c r="G553" i="6"/>
  <c r="G561" i="6"/>
  <c r="G484" i="6"/>
  <c r="G492" i="6"/>
  <c r="G500" i="6"/>
  <c r="G508" i="6"/>
  <c r="G516" i="6"/>
  <c r="G475" i="6"/>
  <c r="G442" i="6"/>
  <c r="G450" i="6"/>
  <c r="G436" i="6"/>
  <c r="G422" i="6"/>
  <c r="G407" i="6"/>
  <c r="G393" i="6"/>
  <c r="G401" i="6"/>
  <c r="G387" i="6"/>
  <c r="G361" i="6"/>
  <c r="G329" i="6"/>
  <c r="G337" i="6"/>
  <c r="G320" i="6"/>
  <c r="G306" i="6"/>
  <c r="G292" i="6"/>
  <c r="G278" i="6"/>
  <c r="G286" i="6"/>
  <c r="G272" i="6"/>
  <c r="G258" i="6"/>
  <c r="G244" i="6"/>
  <c r="G230" i="6"/>
  <c r="G238" i="6"/>
  <c r="G224" i="6"/>
  <c r="G210" i="6"/>
  <c r="G196" i="6"/>
  <c r="G168" i="6"/>
  <c r="G176" i="6"/>
  <c r="G163" i="6"/>
  <c r="G150" i="6"/>
  <c r="G137" i="6"/>
  <c r="G123" i="6"/>
  <c r="G131" i="6"/>
  <c r="G118" i="6"/>
  <c r="G103" i="6"/>
  <c r="G90" i="6"/>
  <c r="G77" i="6"/>
  <c r="G85" i="6"/>
  <c r="G54" i="6"/>
  <c r="G40" i="6"/>
  <c r="G685" i="6"/>
  <c r="G671" i="6"/>
  <c r="G665" i="6"/>
  <c r="G623" i="6"/>
  <c r="G639" i="6"/>
  <c r="G573" i="6"/>
  <c r="G589" i="6"/>
  <c r="G605" i="6"/>
  <c r="G539" i="6"/>
  <c r="G555" i="6"/>
  <c r="G486" i="6"/>
  <c r="G502" i="6"/>
  <c r="G518" i="6"/>
  <c r="G444" i="6"/>
  <c r="G438" i="6"/>
  <c r="G409" i="6"/>
  <c r="G381" i="6"/>
  <c r="G345" i="6"/>
  <c r="G314" i="6"/>
  <c r="G308" i="6"/>
  <c r="G280" i="6"/>
  <c r="G698" i="6"/>
  <c r="G684" i="6"/>
  <c r="G682" i="6"/>
  <c r="G678" i="6"/>
  <c r="G664" i="6"/>
  <c r="G614" i="6"/>
  <c r="G622" i="6"/>
  <c r="G630" i="6"/>
  <c r="G638" i="6"/>
  <c r="G646" i="6"/>
  <c r="G572" i="6"/>
  <c r="G580" i="6"/>
  <c r="G588" i="6"/>
  <c r="G596" i="6"/>
  <c r="G604" i="6"/>
  <c r="G530" i="6"/>
  <c r="G538" i="6"/>
  <c r="G546" i="6"/>
  <c r="G554" i="6"/>
  <c r="G562" i="6"/>
  <c r="G485" i="6"/>
  <c r="G493" i="6"/>
  <c r="G501" i="6"/>
  <c r="G509" i="6"/>
  <c r="G517" i="6"/>
  <c r="G455" i="6"/>
  <c r="G443" i="6"/>
  <c r="G441" i="6"/>
  <c r="G437" i="6"/>
  <c r="G423" i="6"/>
  <c r="G408" i="6"/>
  <c r="G394" i="6"/>
  <c r="G392" i="6"/>
  <c r="G388" i="6"/>
  <c r="G356" i="6"/>
  <c r="G330" i="6"/>
  <c r="G328" i="6"/>
  <c r="G321" i="6"/>
  <c r="G307" i="6"/>
  <c r="G293" i="6"/>
  <c r="G279" i="6"/>
  <c r="G277" i="6"/>
  <c r="G273" i="6"/>
  <c r="G259" i="6"/>
  <c r="G245" i="6"/>
  <c r="G231" i="6"/>
  <c r="G229" i="6"/>
  <c r="G225" i="6"/>
  <c r="G211" i="6"/>
  <c r="G197" i="6"/>
  <c r="G169" i="6"/>
  <c r="G167" i="6"/>
  <c r="G164" i="6"/>
  <c r="G151" i="6"/>
  <c r="G138" i="6"/>
  <c r="G124" i="6"/>
  <c r="G122" i="6"/>
  <c r="G119" i="6"/>
  <c r="G104" i="6"/>
  <c r="G91" i="6"/>
  <c r="G78" i="6"/>
  <c r="G76" i="6"/>
  <c r="G52" i="6"/>
  <c r="G38" i="6"/>
  <c r="G699" i="6"/>
  <c r="G679" i="6"/>
  <c r="G615" i="6"/>
  <c r="G631" i="6"/>
  <c r="G647" i="6"/>
  <c r="G581" i="6"/>
  <c r="G597" i="6"/>
  <c r="G531" i="6"/>
  <c r="G547" i="6"/>
  <c r="G563" i="6"/>
  <c r="G494" i="6"/>
  <c r="G510" i="6"/>
  <c r="G456" i="6"/>
  <c r="G430" i="6"/>
  <c r="G424" i="6"/>
  <c r="G395" i="6"/>
  <c r="G389" i="6"/>
  <c r="G331" i="6"/>
  <c r="G322" i="6"/>
  <c r="G294" i="6"/>
  <c r="G266" i="6"/>
  <c r="G696" i="6"/>
  <c r="G690" i="6"/>
  <c r="G662" i="6"/>
  <c r="G620" i="6"/>
  <c r="G636" i="6"/>
  <c r="G570" i="6"/>
  <c r="G586" i="6"/>
  <c r="G602" i="6"/>
  <c r="G536" i="6"/>
  <c r="G552" i="6"/>
  <c r="G483" i="6"/>
  <c r="G499" i="6"/>
  <c r="G515" i="6"/>
  <c r="G454" i="6"/>
  <c r="G434" i="6"/>
  <c r="G426" i="6"/>
  <c r="G404" i="6"/>
  <c r="G384" i="6"/>
  <c r="G346" i="6"/>
  <c r="G335" i="6"/>
  <c r="G302" i="6"/>
  <c r="G291" i="6"/>
  <c r="G283" i="6"/>
  <c r="G274" i="6"/>
  <c r="G262" i="6"/>
  <c r="G250" i="6"/>
  <c r="G218" i="6"/>
  <c r="G206" i="6"/>
  <c r="G194" i="6"/>
  <c r="G170" i="6"/>
  <c r="G159" i="6"/>
  <c r="G148" i="6"/>
  <c r="G139" i="6"/>
  <c r="G127" i="6"/>
  <c r="G116" i="6"/>
  <c r="G105" i="6"/>
  <c r="G94" i="6"/>
  <c r="G83" i="6"/>
  <c r="G51" i="6"/>
  <c r="G20" i="6"/>
  <c r="G700" i="6"/>
  <c r="G672" i="6"/>
  <c r="G666" i="6"/>
  <c r="G624" i="6"/>
  <c r="G640" i="6"/>
  <c r="G574" i="6"/>
  <c r="G701" i="6"/>
  <c r="G673" i="6"/>
  <c r="G667" i="6"/>
  <c r="G625" i="6"/>
  <c r="G641" i="6"/>
  <c r="G575" i="6"/>
  <c r="G591" i="6"/>
  <c r="G607" i="6"/>
  <c r="G541" i="6"/>
  <c r="G557" i="6"/>
  <c r="G488" i="6"/>
  <c r="G504" i="6"/>
  <c r="G520" i="6"/>
  <c r="G702" i="6"/>
  <c r="G674" i="6"/>
  <c r="G658" i="6"/>
  <c r="G626" i="6"/>
  <c r="G642" i="6"/>
  <c r="G576" i="6"/>
  <c r="G592" i="6"/>
  <c r="G568" i="6"/>
  <c r="G542" i="6"/>
  <c r="G558" i="6"/>
  <c r="G489" i="6"/>
  <c r="G505" i="6"/>
  <c r="G481" i="6"/>
  <c r="G447" i="6"/>
  <c r="G418" i="6"/>
  <c r="G406" i="6"/>
  <c r="G398" i="6"/>
  <c r="G380" i="6"/>
  <c r="G349" i="6"/>
  <c r="G316" i="6"/>
  <c r="G305" i="6"/>
  <c r="G297" i="6"/>
  <c r="G267" i="6"/>
  <c r="G255" i="6"/>
  <c r="G243" i="6"/>
  <c r="G233" i="6"/>
  <c r="G221" i="6"/>
  <c r="G209" i="6"/>
  <c r="G199" i="6"/>
  <c r="G173" i="6"/>
  <c r="G162" i="6"/>
  <c r="G153" i="6"/>
  <c r="G142" i="6"/>
  <c r="G130" i="6"/>
  <c r="G111" i="6"/>
  <c r="G98" i="6"/>
  <c r="G87" i="6"/>
  <c r="G65" i="6"/>
  <c r="G46" i="6"/>
  <c r="G694" i="6"/>
  <c r="G676" i="6"/>
  <c r="G612" i="6"/>
  <c r="G628" i="6"/>
  <c r="G644" i="6"/>
  <c r="G578" i="6"/>
  <c r="G594" i="6"/>
  <c r="G528" i="6"/>
  <c r="G544" i="6"/>
  <c r="G560" i="6"/>
  <c r="G491" i="6"/>
  <c r="G507" i="6"/>
  <c r="G476" i="6"/>
  <c r="G449" i="6"/>
  <c r="G419" i="6"/>
  <c r="G410" i="6"/>
  <c r="G399" i="6"/>
  <c r="G357" i="6"/>
  <c r="G344" i="6"/>
  <c r="G317" i="6"/>
  <c r="G309" i="6"/>
  <c r="G298" i="6"/>
  <c r="G268" i="6"/>
  <c r="G256" i="6"/>
  <c r="G246" i="6"/>
  <c r="G234" i="6"/>
  <c r="G222" i="6"/>
  <c r="G212" i="6"/>
  <c r="G200" i="6"/>
  <c r="G174" i="6"/>
  <c r="G165" i="6"/>
  <c r="G154" i="6"/>
  <c r="G143" i="6"/>
  <c r="G112" i="6"/>
  <c r="G99" i="6"/>
  <c r="G88" i="6"/>
  <c r="G79" i="6"/>
  <c r="G63" i="6"/>
  <c r="G45" i="6"/>
  <c r="G686" i="6"/>
  <c r="G670" i="6"/>
  <c r="G616" i="6"/>
  <c r="G632" i="6"/>
  <c r="G648" i="6"/>
  <c r="G582" i="6"/>
  <c r="G598" i="6"/>
  <c r="G687" i="6"/>
  <c r="G649" i="6"/>
  <c r="G532" i="6"/>
  <c r="G564" i="6"/>
  <c r="G511" i="6"/>
  <c r="G446" i="6"/>
  <c r="G425" i="6"/>
  <c r="G400" i="6"/>
  <c r="G347" i="6"/>
  <c r="G319" i="6"/>
  <c r="G296" i="6"/>
  <c r="G271" i="6"/>
  <c r="G247" i="6"/>
  <c r="G219" i="6"/>
  <c r="G214" i="6"/>
  <c r="G172" i="6"/>
  <c r="G147" i="6"/>
  <c r="G134" i="6"/>
  <c r="G117" i="6"/>
  <c r="G92" i="6"/>
  <c r="G68" i="6"/>
  <c r="G22" i="6"/>
  <c r="G610" i="6"/>
  <c r="G565" i="6"/>
  <c r="G431" i="6"/>
  <c r="G417" i="6"/>
  <c r="G348" i="6"/>
  <c r="G289" i="6"/>
  <c r="G265" i="6"/>
  <c r="G220" i="6"/>
  <c r="G175" i="6"/>
  <c r="G125" i="6"/>
  <c r="G120" i="6"/>
  <c r="G60" i="6"/>
  <c r="G315" i="6"/>
  <c r="G253" i="6"/>
  <c r="G193" i="6"/>
  <c r="G114" i="6"/>
  <c r="G42" i="6"/>
  <c r="G556" i="6"/>
  <c r="G421" i="6"/>
  <c r="G318" i="6"/>
  <c r="G242" i="6"/>
  <c r="G141" i="6"/>
  <c r="G84" i="6"/>
  <c r="G688" i="6"/>
  <c r="G533" i="6"/>
  <c r="G512" i="6"/>
  <c r="G382" i="6"/>
  <c r="G313" i="6"/>
  <c r="G248" i="6"/>
  <c r="G205" i="6"/>
  <c r="G149" i="6"/>
  <c r="G93" i="6"/>
  <c r="G290" i="6"/>
  <c r="G208" i="6"/>
  <c r="G140" i="6"/>
  <c r="G82" i="6"/>
  <c r="G606" i="6"/>
  <c r="G445" i="6"/>
  <c r="G360" i="6"/>
  <c r="G270" i="6"/>
  <c r="G213" i="6"/>
  <c r="G146" i="6"/>
  <c r="G89" i="6"/>
  <c r="G659" i="6"/>
  <c r="G583" i="6"/>
  <c r="G534" i="6"/>
  <c r="G526" i="6"/>
  <c r="G513" i="6"/>
  <c r="G432" i="6"/>
  <c r="G405" i="6"/>
  <c r="G383" i="6"/>
  <c r="G332" i="6"/>
  <c r="G303" i="6"/>
  <c r="G281" i="6"/>
  <c r="G254" i="6"/>
  <c r="G249" i="6"/>
  <c r="G223" i="6"/>
  <c r="G195" i="6"/>
  <c r="G157" i="6"/>
  <c r="G152" i="6"/>
  <c r="G126" i="6"/>
  <c r="G100" i="6"/>
  <c r="G95" i="6"/>
  <c r="G58" i="6"/>
  <c r="G660" i="6"/>
  <c r="G584" i="6"/>
  <c r="G540" i="6"/>
  <c r="G487" i="6"/>
  <c r="G519" i="6"/>
  <c r="G433" i="6"/>
  <c r="G411" i="6"/>
  <c r="G385" i="6"/>
  <c r="G333" i="6"/>
  <c r="G304" i="6"/>
  <c r="G282" i="6"/>
  <c r="G257" i="6"/>
  <c r="G241" i="6"/>
  <c r="G226" i="6"/>
  <c r="G198" i="6"/>
  <c r="G158" i="6"/>
  <c r="G145" i="6"/>
  <c r="G128" i="6"/>
  <c r="G101" i="6"/>
  <c r="G96" i="6"/>
  <c r="G56" i="6"/>
  <c r="G617" i="6"/>
  <c r="G590" i="6"/>
  <c r="G548" i="6"/>
  <c r="G495" i="6"/>
  <c r="G457" i="6"/>
  <c r="G435" i="6"/>
  <c r="G412" i="6"/>
  <c r="G386" i="6"/>
  <c r="G334" i="6"/>
  <c r="G310" i="6"/>
  <c r="G284" i="6"/>
  <c r="G260" i="6"/>
  <c r="G232" i="6"/>
  <c r="G217" i="6"/>
  <c r="G201" i="6"/>
  <c r="G160" i="6"/>
  <c r="G135" i="6"/>
  <c r="G129" i="6"/>
  <c r="G102" i="6"/>
  <c r="G80" i="6"/>
  <c r="G50" i="6"/>
  <c r="G618" i="6"/>
  <c r="G599" i="6"/>
  <c r="G549" i="6"/>
  <c r="G496" i="6"/>
  <c r="G458" i="6"/>
  <c r="G429" i="6"/>
  <c r="G413" i="6"/>
  <c r="G358" i="6"/>
  <c r="G336" i="6"/>
  <c r="G301" i="6"/>
  <c r="G285" i="6"/>
  <c r="G261" i="6"/>
  <c r="G235" i="6"/>
  <c r="G207" i="6"/>
  <c r="G202" i="6"/>
  <c r="G161" i="6"/>
  <c r="G136" i="6"/>
  <c r="G113" i="6"/>
  <c r="G106" i="6"/>
  <c r="G81" i="6"/>
  <c r="G49" i="6"/>
  <c r="G633" i="6"/>
  <c r="G600" i="6"/>
  <c r="G550" i="6"/>
  <c r="G497" i="6"/>
  <c r="G459" i="6"/>
  <c r="G420" i="6"/>
  <c r="G396" i="6"/>
  <c r="G359" i="6"/>
  <c r="G269" i="6"/>
  <c r="G236" i="6"/>
  <c r="G156" i="6"/>
  <c r="G107" i="6"/>
  <c r="G634" i="6"/>
  <c r="G503" i="6"/>
  <c r="G397" i="6"/>
  <c r="G295" i="6"/>
  <c r="G237" i="6"/>
  <c r="G171" i="6"/>
  <c r="G115" i="6"/>
  <c r="G27" i="6"/>
  <c r="G343" i="6"/>
  <c r="G711" i="6"/>
  <c r="G707" i="6"/>
  <c r="G373" i="6"/>
  <c r="G712" i="6"/>
  <c r="G12" i="6"/>
  <c r="G372" i="6"/>
  <c r="G341" i="6"/>
  <c r="G713" i="6"/>
  <c r="G721" i="6"/>
  <c r="G374" i="6"/>
  <c r="G340" i="6" a="1"/>
  <c r="G340" i="6" s="1"/>
  <c r="G714" i="6"/>
  <c r="G722" i="6"/>
  <c r="G369" i="6"/>
  <c r="G355" i="6"/>
  <c r="G715" i="6"/>
  <c r="G723" i="6"/>
  <c r="G368" i="6"/>
  <c r="G354" i="6"/>
  <c r="G708" i="6"/>
  <c r="G716" i="6"/>
  <c r="G724" i="6"/>
  <c r="G367" i="6"/>
  <c r="G24" i="6"/>
  <c r="G353" i="6"/>
  <c r="G709" i="6"/>
  <c r="G717" i="6"/>
  <c r="G725" i="6"/>
  <c r="G655" i="6"/>
  <c r="G352" i="6"/>
  <c r="G710" i="6"/>
  <c r="G718" i="6"/>
  <c r="G726" i="6"/>
  <c r="G654" i="6"/>
  <c r="G719" i="6"/>
  <c r="G653" i="6"/>
  <c r="G342" i="6"/>
  <c r="G720" i="6"/>
  <c r="C479" i="8" a="1"/>
  <c r="C675" i="8" s="1"/>
  <c r="J29" i="38"/>
  <c r="C314" i="34" a="1"/>
  <c r="G466" i="6" l="1"/>
  <c r="G471" i="6"/>
  <c r="G472" i="6"/>
  <c r="G468" i="6"/>
  <c r="G469" i="6"/>
  <c r="G465" i="6"/>
  <c r="C561" i="8"/>
  <c r="C527" i="8"/>
  <c r="C569" i="8"/>
  <c r="C595" i="8"/>
  <c r="C552" i="8"/>
  <c r="C551" i="8"/>
  <c r="C555" i="8"/>
  <c r="C565" i="8"/>
  <c r="C620" i="8"/>
  <c r="C614" i="8"/>
  <c r="C557" i="8"/>
  <c r="C488" i="8"/>
  <c r="C491" i="8"/>
  <c r="C505" i="8"/>
  <c r="C554" i="8"/>
  <c r="C487" i="8"/>
  <c r="C501" i="8"/>
  <c r="C621" i="8"/>
  <c r="C492" i="8"/>
  <c r="C550" i="8"/>
  <c r="C493" i="8"/>
  <c r="C524" i="8"/>
  <c r="C562" i="8"/>
  <c r="C580" i="8"/>
  <c r="C556" i="8"/>
  <c r="C558" i="8"/>
  <c r="C576" i="8"/>
  <c r="C570" i="8"/>
  <c r="C591" i="8"/>
  <c r="C486" i="8"/>
  <c r="C616" i="8"/>
  <c r="C619" i="8"/>
  <c r="C498" i="8"/>
  <c r="C516" i="8"/>
  <c r="C615" i="8"/>
  <c r="C494" i="8"/>
  <c r="C512" i="8"/>
  <c r="C627" i="8"/>
  <c r="C634" i="8"/>
  <c r="C625" i="8"/>
  <c r="C652" i="8"/>
  <c r="C655" i="8"/>
  <c r="C678" i="8"/>
  <c r="C650" i="8"/>
  <c r="C626" i="8"/>
  <c r="C633" i="8"/>
  <c r="C644" i="8"/>
  <c r="C622" i="8"/>
  <c r="C629" i="8"/>
  <c r="C640" i="8"/>
  <c r="C547" i="8"/>
  <c r="C522" i="8"/>
  <c r="C481" i="8"/>
  <c r="C588" i="8"/>
  <c r="C611" i="8"/>
  <c r="C586" i="8"/>
  <c r="C593" i="8"/>
  <c r="C604" i="8"/>
  <c r="C639" i="8"/>
  <c r="C575" i="8"/>
  <c r="C511" i="8"/>
  <c r="C662" i="8"/>
  <c r="C598" i="8"/>
  <c r="C534" i="8"/>
  <c r="C669" i="8"/>
  <c r="C605" i="8"/>
  <c r="C541" i="8"/>
  <c r="C664" i="8"/>
  <c r="C600" i="8"/>
  <c r="C536" i="8"/>
  <c r="C643" i="8"/>
  <c r="C641" i="8"/>
  <c r="C667" i="8"/>
  <c r="C603" i="8"/>
  <c r="C539" i="8"/>
  <c r="C674" i="8"/>
  <c r="C610" i="8"/>
  <c r="C546" i="8"/>
  <c r="C482" i="8"/>
  <c r="C617" i="8"/>
  <c r="C553" i="8"/>
  <c r="C489" i="8"/>
  <c r="C628" i="8"/>
  <c r="C564" i="8"/>
  <c r="C500" i="8"/>
  <c r="C531" i="8"/>
  <c r="C506" i="8"/>
  <c r="C663" i="8"/>
  <c r="C599" i="8"/>
  <c r="C535" i="8"/>
  <c r="C670" i="8"/>
  <c r="C606" i="8"/>
  <c r="C542" i="8"/>
  <c r="C677" i="8"/>
  <c r="C613" i="8"/>
  <c r="C549" i="8"/>
  <c r="C485" i="8"/>
  <c r="C624" i="8"/>
  <c r="C560" i="8"/>
  <c r="C496" i="8"/>
  <c r="C483" i="8"/>
  <c r="C673" i="8"/>
  <c r="C668" i="8"/>
  <c r="C572" i="8"/>
  <c r="C563" i="8"/>
  <c r="C538" i="8"/>
  <c r="C529" i="8"/>
  <c r="C508" i="8"/>
  <c r="C623" i="8"/>
  <c r="C559" i="8"/>
  <c r="C495" i="8"/>
  <c r="C646" i="8"/>
  <c r="C582" i="8"/>
  <c r="C518" i="8"/>
  <c r="C653" i="8"/>
  <c r="C589" i="8"/>
  <c r="C525" i="8"/>
  <c r="C648" i="8"/>
  <c r="C584" i="8"/>
  <c r="C520" i="8"/>
  <c r="C579" i="8"/>
  <c r="C577" i="8"/>
  <c r="C651" i="8"/>
  <c r="C587" i="8"/>
  <c r="C523" i="8"/>
  <c r="C658" i="8"/>
  <c r="C594" i="8"/>
  <c r="C530" i="8"/>
  <c r="C665" i="8"/>
  <c r="C601" i="8"/>
  <c r="C537" i="8"/>
  <c r="C676" i="8"/>
  <c r="C612" i="8"/>
  <c r="C548" i="8"/>
  <c r="C484" i="8"/>
  <c r="C666" i="8"/>
  <c r="C657" i="8"/>
  <c r="C647" i="8"/>
  <c r="C583" i="8"/>
  <c r="C519" i="8"/>
  <c r="C654" i="8"/>
  <c r="C590" i="8"/>
  <c r="C526" i="8"/>
  <c r="C661" i="8"/>
  <c r="C597" i="8"/>
  <c r="C533" i="8"/>
  <c r="C672" i="8"/>
  <c r="C608" i="8"/>
  <c r="C544" i="8"/>
  <c r="C480" i="8"/>
  <c r="C618" i="8"/>
  <c r="C609" i="8"/>
  <c r="C636" i="8"/>
  <c r="C540" i="8"/>
  <c r="C515" i="8"/>
  <c r="C490" i="8"/>
  <c r="C497" i="8"/>
  <c r="C671" i="8"/>
  <c r="C607" i="8"/>
  <c r="C543" i="8"/>
  <c r="C479" i="8"/>
  <c r="C630" i="8"/>
  <c r="C566" i="8"/>
  <c r="C502" i="8"/>
  <c r="C637" i="8"/>
  <c r="C573" i="8"/>
  <c r="C509" i="8"/>
  <c r="C632" i="8"/>
  <c r="C568" i="8"/>
  <c r="C504" i="8"/>
  <c r="C499" i="8"/>
  <c r="C513" i="8"/>
  <c r="C635" i="8"/>
  <c r="C571" i="8"/>
  <c r="C507" i="8"/>
  <c r="C642" i="8"/>
  <c r="C578" i="8"/>
  <c r="C514" i="8"/>
  <c r="C649" i="8"/>
  <c r="C585" i="8"/>
  <c r="C521" i="8"/>
  <c r="C660" i="8"/>
  <c r="C596" i="8"/>
  <c r="C532" i="8"/>
  <c r="C659" i="8"/>
  <c r="C602" i="8"/>
  <c r="C545" i="8"/>
  <c r="C631" i="8"/>
  <c r="C567" i="8"/>
  <c r="C503" i="8"/>
  <c r="C638" i="8"/>
  <c r="C574" i="8"/>
  <c r="C510" i="8"/>
  <c r="C645" i="8"/>
  <c r="C581" i="8"/>
  <c r="C517" i="8"/>
  <c r="C656" i="8"/>
  <c r="C592" i="8"/>
  <c r="C528" i="8"/>
  <c r="I110" i="70" a="1"/>
  <c r="G70" i="35" a="1"/>
  <c r="L70" i="35" s="1"/>
  <c r="G73" i="35" a="1"/>
  <c r="N73" i="35" s="1"/>
  <c r="G72" i="35" a="1"/>
  <c r="H72" i="35" s="1"/>
  <c r="G74" i="35" a="1"/>
  <c r="G75" i="35" a="1"/>
  <c r="G68" i="35" a="1"/>
  <c r="G53" i="35" a="1"/>
  <c r="M53" i="35" s="1"/>
  <c r="G51" i="35" a="1"/>
  <c r="G49" i="35" a="1"/>
  <c r="C315" i="34"/>
  <c r="C314" i="34"/>
  <c r="K37" i="38"/>
  <c r="K38" i="38"/>
  <c r="K39" i="38"/>
  <c r="K40" i="38"/>
  <c r="K41" i="38"/>
  <c r="K42" i="38"/>
  <c r="K43" i="38"/>
  <c r="K44" i="38"/>
  <c r="K45" i="38"/>
  <c r="K46" i="38"/>
  <c r="K47" i="38"/>
  <c r="K48" i="38"/>
  <c r="K49" i="38"/>
  <c r="K50" i="38"/>
  <c r="K51" i="38"/>
  <c r="K52" i="38"/>
  <c r="K53" i="38"/>
  <c r="K54" i="38"/>
  <c r="K55" i="38"/>
  <c r="K56" i="38"/>
  <c r="K57" i="38"/>
  <c r="K58" i="38"/>
  <c r="K59" i="38"/>
  <c r="K60" i="38"/>
  <c r="K62" i="38"/>
  <c r="K61" i="38"/>
  <c r="I110" i="70" l="1"/>
  <c r="I113" i="70"/>
  <c r="I115" i="70"/>
  <c r="I114" i="70"/>
  <c r="I112" i="70"/>
  <c r="I111" i="70"/>
  <c r="I116" i="70"/>
  <c r="G73" i="35"/>
  <c r="H73" i="35"/>
  <c r="P70" i="35"/>
  <c r="J72" i="35"/>
  <c r="M70" i="35"/>
  <c r="J73" i="35"/>
  <c r="M73" i="35"/>
  <c r="I73" i="35"/>
  <c r="O73" i="35"/>
  <c r="L73" i="35"/>
  <c r="K73" i="35"/>
  <c r="N70" i="35"/>
  <c r="J70" i="35"/>
  <c r="M72" i="35"/>
  <c r="H70" i="35"/>
  <c r="G70" i="35"/>
  <c r="I70" i="35"/>
  <c r="O70" i="35"/>
  <c r="K70" i="35"/>
  <c r="I72" i="35"/>
  <c r="P73" i="35"/>
  <c r="O72" i="35"/>
  <c r="K72" i="35"/>
  <c r="G72" i="35"/>
  <c r="N72" i="35"/>
  <c r="P72" i="35"/>
  <c r="L72" i="35"/>
  <c r="K68" i="35"/>
  <c r="O68" i="35"/>
  <c r="G68" i="35"/>
  <c r="I68" i="35"/>
  <c r="M68" i="35"/>
  <c r="J68" i="35"/>
  <c r="H68" i="35"/>
  <c r="L68" i="35"/>
  <c r="P68" i="35"/>
  <c r="N68" i="35"/>
  <c r="G75" i="35"/>
  <c r="K75" i="35"/>
  <c r="I75" i="35"/>
  <c r="J75" i="35"/>
  <c r="L75" i="35"/>
  <c r="O75" i="35"/>
  <c r="N75" i="35"/>
  <c r="M75" i="35"/>
  <c r="P75" i="35"/>
  <c r="H75" i="35"/>
  <c r="N74" i="35"/>
  <c r="O74" i="35"/>
  <c r="M74" i="35"/>
  <c r="P74" i="35"/>
  <c r="G74" i="35"/>
  <c r="H74" i="35"/>
  <c r="K74" i="35"/>
  <c r="J74" i="35"/>
  <c r="I74" i="35"/>
  <c r="L74" i="35"/>
  <c r="L53" i="35"/>
  <c r="K53" i="35"/>
  <c r="P53" i="35"/>
  <c r="J53" i="35"/>
  <c r="N53" i="35"/>
  <c r="O53" i="35"/>
  <c r="H53" i="35"/>
  <c r="G53" i="35"/>
  <c r="I53" i="35"/>
  <c r="G51" i="35"/>
  <c r="N51" i="35"/>
  <c r="L51" i="35"/>
  <c r="K51" i="35"/>
  <c r="O51" i="35"/>
  <c r="J51" i="35"/>
  <c r="H51" i="35"/>
  <c r="P51" i="35"/>
  <c r="I51" i="35"/>
  <c r="M51" i="35"/>
  <c r="G49" i="35"/>
  <c r="M49" i="35"/>
  <c r="L49" i="35"/>
  <c r="K49" i="35"/>
  <c r="I49" i="35"/>
  <c r="H49" i="35"/>
  <c r="J49" i="35"/>
  <c r="N49" i="35"/>
  <c r="P49" i="35"/>
  <c r="O49" i="35"/>
  <c r="F194" i="35" a="1"/>
  <c r="F194" i="35" s="1"/>
  <c r="E441" i="6" l="1" a="1"/>
  <c r="E448" i="6" s="1"/>
  <c r="E429" i="6" a="1"/>
  <c r="E435" i="6" s="1"/>
  <c r="E404" i="6" a="1"/>
  <c r="E411" i="6" s="1"/>
  <c r="E392" i="6" a="1"/>
  <c r="E399" i="6" s="1"/>
  <c r="E1161" i="6" a="1"/>
  <c r="E1168" i="6" s="1"/>
  <c r="E1149" i="6" a="1"/>
  <c r="E1156" i="6" s="1"/>
  <c r="E1124" i="6" a="1"/>
  <c r="E1131" i="6" s="1"/>
  <c r="E1112" i="6" a="1"/>
  <c r="E1119" i="6" s="1"/>
  <c r="E441" i="6" l="1"/>
  <c r="E449" i="6"/>
  <c r="E443" i="6"/>
  <c r="E445" i="6"/>
  <c r="E447" i="6"/>
  <c r="E432" i="6"/>
  <c r="E436" i="6"/>
  <c r="E429" i="6"/>
  <c r="E433" i="6"/>
  <c r="E437" i="6"/>
  <c r="E430" i="6"/>
  <c r="E434" i="6"/>
  <c r="E438" i="6"/>
  <c r="E431" i="6"/>
  <c r="E442" i="6"/>
  <c r="E446" i="6"/>
  <c r="E450" i="6"/>
  <c r="E444" i="6"/>
  <c r="E404" i="6"/>
  <c r="E393" i="6"/>
  <c r="E408" i="6"/>
  <c r="E396" i="6"/>
  <c r="E412" i="6"/>
  <c r="E397" i="6"/>
  <c r="E405" i="6"/>
  <c r="E409" i="6"/>
  <c r="E413" i="6"/>
  <c r="E392" i="6"/>
  <c r="E400" i="6"/>
  <c r="E406" i="6"/>
  <c r="E410" i="6"/>
  <c r="E401" i="6"/>
  <c r="E407" i="6"/>
  <c r="E394" i="6"/>
  <c r="E398" i="6"/>
  <c r="E395" i="6"/>
  <c r="E1161" i="6"/>
  <c r="E1149" i="6"/>
  <c r="E1169" i="6"/>
  <c r="E1154" i="6"/>
  <c r="E1150" i="6"/>
  <c r="E1155" i="6"/>
  <c r="E1162" i="6"/>
  <c r="E1170" i="6"/>
  <c r="E1151" i="6"/>
  <c r="E1157" i="6"/>
  <c r="E1165" i="6"/>
  <c r="E1153" i="6"/>
  <c r="E1158" i="6"/>
  <c r="E1166" i="6"/>
  <c r="E1152" i="6"/>
  <c r="E1163" i="6"/>
  <c r="E1167" i="6"/>
  <c r="E1164" i="6"/>
  <c r="E1132" i="6"/>
  <c r="E1125" i="6"/>
  <c r="E1129" i="6"/>
  <c r="E1133" i="6"/>
  <c r="E1124" i="6"/>
  <c r="E1128" i="6"/>
  <c r="E1126" i="6"/>
  <c r="E1130" i="6"/>
  <c r="E1127" i="6"/>
  <c r="E1112" i="6"/>
  <c r="E1120" i="6"/>
  <c r="E1113" i="6"/>
  <c r="E1117" i="6"/>
  <c r="E1121" i="6"/>
  <c r="E1116" i="6"/>
  <c r="E1114" i="6"/>
  <c r="E1118" i="6"/>
  <c r="E1115" i="6"/>
  <c r="G308" i="37" l="1" a="1"/>
  <c r="P308" i="37" s="1"/>
  <c r="G408" i="35" a="1"/>
  <c r="G408" i="35" s="1"/>
  <c r="G407" i="35" a="1"/>
  <c r="P407" i="35" s="1"/>
  <c r="N308" i="37" l="1"/>
  <c r="I308" i="37"/>
  <c r="M308" i="37"/>
  <c r="J308" i="37"/>
  <c r="G308" i="37"/>
  <c r="K308" i="37"/>
  <c r="O308" i="37"/>
  <c r="H308" i="37"/>
  <c r="L308" i="37"/>
  <c r="N408" i="35"/>
  <c r="I408" i="35"/>
  <c r="P408" i="35"/>
  <c r="L408" i="35"/>
  <c r="H408" i="35"/>
  <c r="J408" i="35"/>
  <c r="M408" i="35"/>
  <c r="O408" i="35"/>
  <c r="K408" i="35"/>
  <c r="N407" i="35"/>
  <c r="I407" i="35"/>
  <c r="M407" i="35"/>
  <c r="J407" i="35"/>
  <c r="G407" i="35"/>
  <c r="K407" i="35"/>
  <c r="O407" i="35"/>
  <c r="H407" i="35"/>
  <c r="L407" i="35"/>
  <c r="G317" i="37" l="1" a="1"/>
  <c r="O318" i="37" s="1"/>
  <c r="N318" i="37" l="1"/>
  <c r="K319" i="37"/>
  <c r="H318" i="37"/>
  <c r="K318" i="37"/>
  <c r="P318" i="37"/>
  <c r="P317" i="37"/>
  <c r="N319" i="37"/>
  <c r="L318" i="37"/>
  <c r="J318" i="37"/>
  <c r="K317" i="37"/>
  <c r="N317" i="37"/>
  <c r="M318" i="37"/>
  <c r="L317" i="37"/>
  <c r="J317" i="37"/>
  <c r="L319" i="37"/>
  <c r="G317" i="37"/>
  <c r="M317" i="37"/>
  <c r="G319" i="37"/>
  <c r="G318" i="37"/>
  <c r="P319" i="37"/>
  <c r="H319" i="37"/>
  <c r="I318" i="37"/>
  <c r="I317" i="37"/>
  <c r="I319" i="37"/>
  <c r="H317" i="37"/>
  <c r="M319" i="37"/>
  <c r="O317" i="37"/>
  <c r="J319" i="37"/>
  <c r="O319" i="37"/>
  <c r="G1349" i="37"/>
  <c r="G1329" i="37"/>
  <c r="G1327" i="37"/>
  <c r="G1323" i="37"/>
  <c r="G1322" i="37"/>
  <c r="G1321" i="37"/>
  <c r="G324" i="37" l="1" a="1"/>
  <c r="L324" i="37" s="1"/>
  <c r="G323" i="37" a="1"/>
  <c r="N323" i="37" s="1"/>
  <c r="G1331" i="37"/>
  <c r="D282" i="37" a="1"/>
  <c r="D286" i="37" s="1"/>
  <c r="G246" i="37" a="1"/>
  <c r="N246" i="37" s="1"/>
  <c r="J1322" i="37" l="1"/>
  <c r="J1321" i="37"/>
  <c r="J1320" i="37"/>
  <c r="O324" i="37"/>
  <c r="H324" i="37"/>
  <c r="J324" i="37"/>
  <c r="P324" i="37"/>
  <c r="M324" i="37"/>
  <c r="G324" i="37"/>
  <c r="K323" i="37"/>
  <c r="N324" i="37"/>
  <c r="K324" i="37"/>
  <c r="I323" i="37"/>
  <c r="L323" i="37"/>
  <c r="I324" i="37"/>
  <c r="M323" i="37"/>
  <c r="J323" i="37"/>
  <c r="P323" i="37"/>
  <c r="G323" i="37"/>
  <c r="H323" i="37"/>
  <c r="O323" i="37"/>
  <c r="H246" i="37"/>
  <c r="D284" i="37"/>
  <c r="L246" i="37"/>
  <c r="P246" i="37"/>
  <c r="G246" i="37"/>
  <c r="K246" i="37"/>
  <c r="O246" i="37"/>
  <c r="D283" i="37"/>
  <c r="D287" i="37"/>
  <c r="I246" i="37"/>
  <c r="M246" i="37"/>
  <c r="D285" i="37"/>
  <c r="J246" i="37"/>
  <c r="D282" i="37"/>
  <c r="D203" i="37" a="1"/>
  <c r="D208" i="37" s="1"/>
  <c r="D195" i="37" a="1"/>
  <c r="D200" i="37" s="1"/>
  <c r="D205" i="37" l="1"/>
  <c r="D197" i="37"/>
  <c r="D195" i="37"/>
  <c r="D199" i="37"/>
  <c r="D203" i="37"/>
  <c r="D207" i="37"/>
  <c r="D198" i="37"/>
  <c r="D206" i="37"/>
  <c r="D196" i="37"/>
  <c r="D204" i="37"/>
  <c r="G154" i="37" a="1"/>
  <c r="I154" i="37" s="1"/>
  <c r="K154" i="37" l="1"/>
  <c r="L154" i="37"/>
  <c r="N154" i="37"/>
  <c r="M154" i="37"/>
  <c r="G154" i="37"/>
  <c r="O154" i="37"/>
  <c r="H154" i="37"/>
  <c r="P154" i="37"/>
  <c r="J154" i="37"/>
  <c r="C4336" i="41"/>
  <c r="C4337" i="41" s="1"/>
  <c r="C4338" i="41" s="1"/>
  <c r="C4339" i="41" s="1"/>
  <c r="C4340" i="41" s="1"/>
  <c r="C4341" i="41" s="1"/>
  <c r="C4342" i="41" s="1"/>
  <c r="C4343" i="41" s="1"/>
  <c r="C4344" i="41" s="1"/>
  <c r="C4345" i="41" s="1"/>
  <c r="C4346" i="41" s="1"/>
  <c r="C4347" i="41" s="1"/>
  <c r="C4348" i="41" s="1"/>
  <c r="C4349" i="41" s="1"/>
  <c r="C4350" i="41" s="1"/>
  <c r="C4351" i="41" s="1"/>
  <c r="C4352" i="41" s="1"/>
  <c r="C4353" i="41" s="1"/>
  <c r="C4354" i="41" s="1"/>
  <c r="C4355" i="41" s="1"/>
  <c r="C4356" i="41" s="1"/>
  <c r="C4357" i="41" s="1"/>
  <c r="C4358" i="41" s="1"/>
  <c r="C4359" i="41" s="1"/>
  <c r="C4360" i="41" s="1"/>
  <c r="C4361" i="41" s="1"/>
  <c r="C4362" i="41" s="1"/>
  <c r="C4363" i="41" s="1"/>
  <c r="C4364" i="41" s="1"/>
  <c r="C4365" i="41" s="1"/>
  <c r="C4366" i="41" s="1"/>
  <c r="C4367" i="41" s="1"/>
  <c r="C4368" i="41" s="1"/>
  <c r="C4369" i="41" s="1"/>
  <c r="C4370" i="41" s="1"/>
  <c r="C4371" i="41" s="1"/>
  <c r="C4372" i="41" s="1"/>
  <c r="C4373" i="41" s="1"/>
  <c r="C4374" i="41" s="1"/>
  <c r="C4375" i="41" s="1"/>
  <c r="C4376" i="41" s="1"/>
  <c r="C4377" i="41" s="1"/>
  <c r="C4378" i="41" s="1"/>
  <c r="C4379" i="41" s="1"/>
  <c r="C4380" i="41" s="1"/>
  <c r="C4381" i="41" s="1"/>
  <c r="C4382" i="41" s="1"/>
  <c r="C4383" i="41" s="1"/>
  <c r="C4384" i="41" s="1"/>
  <c r="C4385" i="41" s="1"/>
  <c r="C4386" i="41" s="1"/>
  <c r="C4387" i="41" s="1"/>
  <c r="C4388" i="41" s="1"/>
  <c r="C4389" i="41" s="1"/>
  <c r="C4390" i="41" s="1"/>
  <c r="C4391" i="41" s="1"/>
  <c r="C4392" i="41" s="1"/>
  <c r="C4393" i="41" s="1"/>
  <c r="C4394" i="41" s="1"/>
  <c r="C4395" i="41" s="1"/>
  <c r="C4396" i="41" s="1"/>
  <c r="C4397" i="41" s="1"/>
  <c r="C4398" i="41" s="1"/>
  <c r="C4399" i="41" s="1"/>
  <c r="C4400" i="41" s="1"/>
  <c r="C4401" i="41" s="1"/>
  <c r="C4402" i="41" s="1"/>
  <c r="C4403" i="41" s="1"/>
  <c r="C4404" i="41" s="1"/>
  <c r="C4405" i="41" s="1"/>
  <c r="C4406" i="41" s="1"/>
  <c r="C4407" i="41" s="1"/>
  <c r="C4408" i="41" s="1"/>
  <c r="C4409" i="41" s="1"/>
  <c r="C4410" i="41" s="1"/>
  <c r="C4411" i="41" s="1"/>
  <c r="C4412" i="41" s="1"/>
  <c r="C4413" i="41" s="1"/>
  <c r="C4414" i="41" s="1"/>
  <c r="C4415" i="41" s="1"/>
  <c r="C4416" i="41" s="1"/>
  <c r="C4417" i="41" s="1"/>
  <c r="C4418" i="41" s="1"/>
  <c r="C4419" i="41" s="1"/>
  <c r="C4420" i="41" s="1"/>
  <c r="C4421" i="41" s="1"/>
  <c r="C4422" i="41" s="1"/>
  <c r="C4423" i="41" s="1"/>
  <c r="C4424" i="41" s="1"/>
  <c r="C4425" i="41" s="1"/>
  <c r="C4426" i="41" s="1"/>
  <c r="C4427" i="41" s="1"/>
  <c r="C4428" i="41" s="1"/>
  <c r="C4429" i="41" s="1"/>
  <c r="C4430" i="41" s="1"/>
  <c r="C4431" i="41" s="1"/>
  <c r="C4432" i="41" s="1"/>
  <c r="C4433" i="41" s="1"/>
  <c r="C4434" i="41" s="1"/>
  <c r="C4435" i="41" s="1"/>
  <c r="C4436" i="41" s="1"/>
  <c r="C4437" i="41" s="1"/>
  <c r="C4438" i="41" s="1"/>
  <c r="C4439" i="41" s="1"/>
  <c r="C4440" i="41" s="1"/>
  <c r="C4441" i="41" s="1"/>
  <c r="C4442" i="41" s="1"/>
  <c r="C4443" i="41" s="1"/>
  <c r="C4444" i="41" s="1"/>
  <c r="C4445" i="41" s="1"/>
  <c r="C4446" i="41" s="1"/>
  <c r="C4447" i="41" s="1"/>
  <c r="C4448" i="41" s="1"/>
  <c r="C4449" i="41" s="1"/>
  <c r="C4450" i="41" s="1"/>
  <c r="C4451" i="41" s="1"/>
  <c r="C4452" i="41" s="1"/>
  <c r="C4453" i="41" s="1"/>
  <c r="C4454" i="41" s="1"/>
  <c r="C4455" i="41" s="1"/>
  <c r="C4456" i="41" s="1"/>
  <c r="C4457" i="41" s="1"/>
  <c r="C4458" i="41" s="1"/>
  <c r="C4459" i="41" s="1"/>
  <c r="C4460" i="41" s="1"/>
  <c r="C4461" i="41" s="1"/>
  <c r="C4462" i="41" s="1"/>
  <c r="C4463" i="41" s="1"/>
  <c r="C4464" i="41" s="1"/>
  <c r="C4465" i="41" s="1"/>
  <c r="C4466" i="41" s="1"/>
  <c r="C4467" i="41" s="1"/>
  <c r="C4468" i="41" s="1"/>
  <c r="C4469" i="41" s="1"/>
  <c r="C4470" i="41" s="1"/>
  <c r="C4471" i="41" s="1"/>
  <c r="C4472" i="41" s="1"/>
  <c r="C4473" i="41" s="1"/>
  <c r="C4474" i="41" s="1"/>
  <c r="C4475" i="41" s="1"/>
  <c r="C4476" i="41" s="1"/>
  <c r="C4477" i="41" s="1"/>
  <c r="C4478" i="41" s="1"/>
  <c r="C4479" i="41" s="1"/>
  <c r="C4480" i="41" s="1"/>
  <c r="C4481" i="41" s="1"/>
  <c r="C4482" i="41" s="1"/>
  <c r="C4483" i="41" s="1"/>
  <c r="C4484" i="41" s="1"/>
  <c r="C4485" i="41" s="1"/>
  <c r="C4486" i="41" s="1"/>
  <c r="C4487" i="41" s="1"/>
  <c r="C4488" i="41" s="1"/>
  <c r="C4489" i="41" s="1"/>
  <c r="C4490" i="41" s="1"/>
  <c r="C4491" i="41" s="1"/>
  <c r="C4492" i="41" s="1"/>
  <c r="C4493" i="41" s="1"/>
  <c r="C4494" i="41" s="1"/>
  <c r="C4495" i="41" s="1"/>
  <c r="C4496" i="41" s="1"/>
  <c r="C4497" i="41" s="1"/>
  <c r="C4498" i="41" s="1"/>
  <c r="C4499" i="41" s="1"/>
  <c r="C4500" i="41" s="1"/>
  <c r="C4501" i="41" s="1"/>
  <c r="C4502" i="41" s="1"/>
  <c r="C4503" i="41" s="1"/>
  <c r="C4504" i="41" s="1"/>
  <c r="C4505" i="41" s="1"/>
  <c r="C4506" i="41" s="1"/>
  <c r="C4507" i="41" s="1"/>
  <c r="C4508" i="41" s="1"/>
  <c r="C4509" i="41" s="1"/>
  <c r="C4510" i="41" s="1"/>
  <c r="C4511" i="41" s="1"/>
  <c r="C4512" i="41" s="1"/>
  <c r="C4513" i="41" s="1"/>
  <c r="C4514" i="41" s="1"/>
  <c r="C4515" i="41" s="1"/>
  <c r="C4516" i="41" s="1"/>
  <c r="C4517" i="41" s="1"/>
  <c r="C4518" i="41" s="1"/>
  <c r="C4519" i="41" s="1"/>
  <c r="C4520" i="41" s="1"/>
  <c r="C4521" i="41" s="1"/>
  <c r="C4522" i="41" s="1"/>
  <c r="C4523" i="41" s="1"/>
  <c r="C4524" i="41" s="1"/>
  <c r="C4525" i="41" s="1"/>
  <c r="C4526" i="41" s="1"/>
  <c r="C4527" i="41" s="1"/>
  <c r="C4528" i="41" s="1"/>
  <c r="C4529" i="41" s="1"/>
  <c r="C4530" i="41" s="1"/>
  <c r="C4531" i="41" s="1"/>
  <c r="C4532" i="41" s="1"/>
  <c r="C4533" i="41" s="1"/>
  <c r="C4534" i="41" s="1"/>
  <c r="C4535" i="41" s="1"/>
  <c r="C4536" i="41" s="1"/>
  <c r="C4537" i="41" s="1"/>
  <c r="C4538" i="41" s="1"/>
  <c r="C4539" i="41" s="1"/>
  <c r="C4540" i="41" s="1"/>
  <c r="C4541" i="41" s="1"/>
  <c r="C4542" i="41" s="1"/>
  <c r="C4543" i="41" s="1"/>
  <c r="C4544" i="41" s="1"/>
  <c r="C4545" i="41" s="1"/>
  <c r="C4546" i="41" s="1"/>
  <c r="C4547" i="41" s="1"/>
  <c r="C4548" i="41" s="1"/>
  <c r="C4549" i="41" s="1"/>
  <c r="C4550" i="41" s="1"/>
  <c r="C4551" i="41" s="1"/>
  <c r="C4552" i="41" s="1"/>
  <c r="C4553" i="41" s="1"/>
  <c r="C4554" i="41" s="1"/>
  <c r="C4555" i="41" s="1"/>
  <c r="C4556" i="41" s="1"/>
  <c r="C4557" i="41" s="1"/>
  <c r="C4558" i="41" s="1"/>
  <c r="C4559" i="41" s="1"/>
  <c r="C4560" i="41" s="1"/>
  <c r="C4561" i="41" s="1"/>
  <c r="C4562" i="41" s="1"/>
  <c r="C4563" i="41" s="1"/>
  <c r="C4564" i="41" s="1"/>
  <c r="C4565" i="41" s="1"/>
  <c r="C4566" i="41" s="1"/>
  <c r="C4567" i="41" s="1"/>
  <c r="C4568" i="41" s="1"/>
  <c r="C4569" i="41" s="1"/>
  <c r="C4570" i="41" s="1"/>
  <c r="C4571" i="41" s="1"/>
  <c r="C4572" i="41" s="1"/>
  <c r="C4573" i="41" s="1"/>
  <c r="C4574" i="41" s="1"/>
  <c r="C4575" i="41" s="1"/>
  <c r="C4576" i="41" s="1"/>
  <c r="C4577" i="41" s="1"/>
  <c r="C4578" i="41" s="1"/>
  <c r="C4579" i="41" s="1"/>
  <c r="C4580" i="41" s="1"/>
  <c r="C4581" i="41" s="1"/>
  <c r="C4582" i="41" s="1"/>
  <c r="C4583" i="41" s="1"/>
  <c r="C4584" i="41" s="1"/>
  <c r="C4585" i="41" s="1"/>
  <c r="C4586" i="41" s="1"/>
  <c r="C4587" i="41" s="1"/>
  <c r="C4588" i="41" s="1"/>
  <c r="C4589" i="41" s="1"/>
  <c r="C4590" i="41" s="1"/>
  <c r="C4591" i="41" s="1"/>
  <c r="C4592" i="41" s="1"/>
  <c r="C4593" i="41" s="1"/>
  <c r="C4594" i="41" s="1"/>
  <c r="C4595" i="41" s="1"/>
  <c r="C4596" i="41" s="1"/>
  <c r="C4597" i="41" s="1"/>
  <c r="C4598" i="41" s="1"/>
  <c r="C4599" i="41" s="1"/>
  <c r="C4600" i="41" s="1"/>
  <c r="C4601" i="41" s="1"/>
  <c r="C4602" i="41" s="1"/>
  <c r="C4603" i="41" s="1"/>
  <c r="C4604" i="41" s="1"/>
  <c r="C4605" i="41" s="1"/>
  <c r="C4606" i="41" s="1"/>
  <c r="C4607" i="41" s="1"/>
  <c r="C4608" i="41" s="1"/>
  <c r="C4609" i="41" s="1"/>
  <c r="C4610" i="41" s="1"/>
  <c r="C4611" i="41" s="1"/>
  <c r="C4612" i="41" s="1"/>
  <c r="C4613" i="41" s="1"/>
  <c r="C4614" i="41" s="1"/>
  <c r="C4615" i="41" s="1"/>
  <c r="C4616" i="41" s="1"/>
  <c r="C4617" i="41" s="1"/>
  <c r="C4618" i="41" s="1"/>
  <c r="C4619" i="41" s="1"/>
  <c r="C4620" i="41" s="1"/>
  <c r="C4621" i="41" s="1"/>
  <c r="C4622" i="41" s="1"/>
  <c r="C4623" i="41" s="1"/>
  <c r="C4624" i="41" s="1"/>
  <c r="C4625" i="41" s="1"/>
  <c r="C4626" i="41" s="1"/>
  <c r="C4627" i="41" s="1"/>
  <c r="C4628" i="41" s="1"/>
  <c r="C4629" i="41" s="1"/>
  <c r="C4630" i="41" s="1"/>
  <c r="C4631" i="41" s="1"/>
  <c r="C4632" i="41" s="1"/>
  <c r="C4633" i="41" s="1"/>
  <c r="C4634" i="41" s="1"/>
  <c r="C4635" i="41" s="1"/>
  <c r="C4636" i="41" s="1"/>
  <c r="C4637" i="41" s="1"/>
  <c r="C4638" i="41" s="1"/>
  <c r="C4639" i="41" s="1"/>
  <c r="C4640" i="41" s="1"/>
  <c r="C4641" i="41" s="1"/>
  <c r="C4642" i="41" s="1"/>
  <c r="C4643" i="41" s="1"/>
  <c r="C4644" i="41" s="1"/>
  <c r="C4645" i="41" s="1"/>
  <c r="C4646" i="41" s="1"/>
  <c r="C4647" i="41" s="1"/>
  <c r="C4648" i="41" s="1"/>
  <c r="C4649" i="41" s="1"/>
  <c r="C4650" i="41" s="1"/>
  <c r="C4651" i="41" s="1"/>
  <c r="C4652" i="41" s="1"/>
  <c r="C4653" i="41" s="1"/>
  <c r="C4654" i="41" s="1"/>
  <c r="C4655" i="41" s="1"/>
  <c r="C4656" i="41" s="1"/>
  <c r="C4657" i="41" s="1"/>
  <c r="C4658" i="41" s="1"/>
  <c r="C4659" i="41" s="1"/>
  <c r="C4660" i="41" s="1"/>
  <c r="C4661" i="41" s="1"/>
  <c r="C4662" i="41" s="1"/>
  <c r="C4663" i="41" s="1"/>
  <c r="C4664" i="41" s="1"/>
  <c r="C4665" i="41" s="1"/>
  <c r="C4666" i="41" s="1"/>
  <c r="C4667" i="41" s="1"/>
  <c r="C4668" i="41" s="1"/>
  <c r="C4669" i="41" s="1"/>
  <c r="C4670" i="41" s="1"/>
  <c r="C4671" i="41" s="1"/>
  <c r="C4672" i="41" s="1"/>
  <c r="C4673" i="41" s="1"/>
  <c r="C4674" i="41" s="1"/>
  <c r="C4675" i="41" s="1"/>
  <c r="C4676" i="41" s="1"/>
  <c r="C4677" i="41" s="1"/>
  <c r="C4678" i="41" s="1"/>
  <c r="C4679" i="41" s="1"/>
  <c r="C4680" i="41" s="1"/>
  <c r="C4681" i="41" s="1"/>
  <c r="C4682" i="41" s="1"/>
  <c r="C4683" i="41" s="1"/>
  <c r="C4684" i="41" s="1"/>
  <c r="C4685" i="41" s="1"/>
  <c r="C4686" i="41" s="1"/>
  <c r="C4687" i="41" s="1"/>
  <c r="C4688" i="41" s="1"/>
  <c r="C4689" i="41" s="1"/>
  <c r="C4690" i="41" s="1"/>
  <c r="C4691" i="41" s="1"/>
  <c r="C4692" i="41" s="1"/>
  <c r="C4693" i="41" s="1"/>
  <c r="C4694" i="41" s="1"/>
  <c r="C4695" i="41" s="1"/>
  <c r="C4696" i="41" s="1"/>
  <c r="C4697" i="41" s="1"/>
  <c r="C4698" i="41" s="1"/>
  <c r="C4699" i="41" s="1"/>
  <c r="C4700" i="41" s="1"/>
  <c r="C4701" i="41" s="1"/>
  <c r="C4702" i="41" s="1"/>
  <c r="C4703" i="41" s="1"/>
  <c r="C4704" i="41" s="1"/>
  <c r="C4705" i="41" s="1"/>
  <c r="C4706" i="41" s="1"/>
  <c r="C4707" i="41" s="1"/>
  <c r="C4708" i="41" s="1"/>
  <c r="C4709" i="41" s="1"/>
  <c r="C4710" i="41" s="1"/>
  <c r="C4711" i="41" s="1"/>
  <c r="C4712" i="41" s="1"/>
  <c r="C4713" i="41" s="1"/>
  <c r="C4714" i="41" s="1"/>
  <c r="C4715" i="41" s="1"/>
  <c r="C4716" i="41" s="1"/>
  <c r="C4717" i="41" s="1"/>
  <c r="C4718" i="41" s="1"/>
  <c r="C4719" i="41" s="1"/>
  <c r="C4720" i="41" s="1"/>
  <c r="C4721" i="41" s="1"/>
  <c r="C4722" i="41" s="1"/>
  <c r="C4723" i="41" s="1"/>
  <c r="C4724" i="41" s="1"/>
  <c r="C4725" i="41" s="1"/>
  <c r="C4726" i="41" s="1"/>
  <c r="C4727" i="41" s="1"/>
  <c r="C4728" i="41" s="1"/>
  <c r="C4729" i="41" s="1"/>
  <c r="C4730" i="41" s="1"/>
  <c r="C4731" i="41" s="1"/>
  <c r="C4732" i="41" s="1"/>
  <c r="C4733" i="41" s="1"/>
  <c r="C4734" i="41" s="1"/>
  <c r="C4735" i="41" s="1"/>
  <c r="C4736" i="41" s="1"/>
  <c r="C4737" i="41" s="1"/>
  <c r="C4738" i="41" s="1"/>
  <c r="C4739" i="41" s="1"/>
  <c r="C4740" i="41" s="1"/>
  <c r="C4741" i="41" s="1"/>
  <c r="C4742" i="41" s="1"/>
  <c r="C4743" i="41" s="1"/>
  <c r="C4744" i="41" s="1"/>
  <c r="C4745" i="41" s="1"/>
  <c r="C4746" i="41" s="1"/>
  <c r="C4747" i="41" s="1"/>
  <c r="C4748" i="41" s="1"/>
  <c r="C4749" i="41" s="1"/>
  <c r="C4750" i="41" s="1"/>
  <c r="C4751" i="41" s="1"/>
  <c r="C4752" i="41" s="1"/>
  <c r="C4753" i="41" s="1"/>
  <c r="C4754" i="41" s="1"/>
  <c r="C4755" i="41" s="1"/>
  <c r="C4756" i="41" s="1"/>
  <c r="C4757" i="41" s="1"/>
  <c r="C4758" i="41" s="1"/>
  <c r="C4759" i="41" s="1"/>
  <c r="C4760" i="41" s="1"/>
  <c r="C4761" i="41" s="1"/>
  <c r="C4762" i="41" s="1"/>
  <c r="C4763" i="41" s="1"/>
  <c r="C4764" i="41" s="1"/>
  <c r="C4765" i="41" s="1"/>
  <c r="C4766" i="41" s="1"/>
  <c r="C4767" i="41" s="1"/>
  <c r="C4768" i="41" s="1"/>
  <c r="C4769" i="41" s="1"/>
  <c r="C4770" i="41" s="1"/>
  <c r="C4771" i="41" s="1"/>
  <c r="C4772" i="41" s="1"/>
  <c r="C4773" i="41" s="1"/>
  <c r="C4774" i="41" s="1"/>
  <c r="C4775" i="41" s="1"/>
  <c r="C4776" i="41" s="1"/>
  <c r="C4777" i="41" s="1"/>
  <c r="C4778" i="41" s="1"/>
  <c r="C4779" i="41" s="1"/>
  <c r="C4780" i="41" s="1"/>
  <c r="C4781" i="41" s="1"/>
  <c r="C4782" i="41" s="1"/>
  <c r="C4783" i="41" s="1"/>
  <c r="C4784" i="41" s="1"/>
  <c r="C4785" i="41" s="1"/>
  <c r="C4786" i="41" s="1"/>
  <c r="C4787" i="41" s="1"/>
  <c r="C4788" i="41" s="1"/>
  <c r="C4789" i="41" s="1"/>
  <c r="C4790" i="41" s="1"/>
  <c r="C4791" i="41" s="1"/>
  <c r="C4792" i="41" s="1"/>
  <c r="C4793" i="41" s="1"/>
  <c r="C4794" i="41" s="1"/>
  <c r="C4795" i="41" s="1"/>
  <c r="C4796" i="41" s="1"/>
  <c r="C4797" i="41" s="1"/>
  <c r="C4798" i="41" s="1"/>
  <c r="C4799" i="41" s="1"/>
  <c r="C4800" i="41" s="1"/>
  <c r="C4801" i="41" s="1"/>
  <c r="C4802" i="41" s="1"/>
  <c r="C4803" i="41" s="1"/>
  <c r="C4804" i="41" s="1"/>
  <c r="C4805" i="41" s="1"/>
  <c r="C4806" i="41" s="1"/>
  <c r="C4807" i="41" s="1"/>
  <c r="C4808" i="41" s="1"/>
  <c r="C4809" i="41" s="1"/>
  <c r="C4810" i="41" s="1"/>
  <c r="C4811" i="41" s="1"/>
  <c r="C4812" i="41" s="1"/>
  <c r="C4813" i="41" s="1"/>
  <c r="C4814" i="41" s="1"/>
  <c r="C4815" i="41" s="1"/>
  <c r="C4816" i="41" s="1"/>
  <c r="C4817" i="41" s="1"/>
  <c r="C4818" i="41" s="1"/>
  <c r="C4819" i="41" s="1"/>
  <c r="C4820" i="41" s="1"/>
  <c r="C4821" i="41" s="1"/>
  <c r="C4822" i="41" s="1"/>
  <c r="C4823" i="41" s="1"/>
  <c r="C4824" i="41" s="1"/>
  <c r="C4825" i="41" s="1"/>
  <c r="C4826" i="41" s="1"/>
  <c r="C4827" i="41" s="1"/>
  <c r="C4828" i="41" s="1"/>
  <c r="C4829" i="41" s="1"/>
  <c r="C4830" i="41" s="1"/>
  <c r="C4831" i="41" s="1"/>
  <c r="C4832" i="41" s="1"/>
  <c r="C4833" i="41" s="1"/>
  <c r="C4834" i="41" s="1"/>
  <c r="C4835" i="41" s="1"/>
  <c r="C4836" i="41" s="1"/>
  <c r="C4837" i="41" s="1"/>
  <c r="C4838" i="41" s="1"/>
  <c r="C4839" i="41" s="1"/>
  <c r="C4840" i="41" s="1"/>
  <c r="C4841" i="41" s="1"/>
  <c r="C4842" i="41" s="1"/>
  <c r="C4843" i="41" s="1"/>
  <c r="C4844" i="41" s="1"/>
  <c r="C4845" i="41" s="1"/>
  <c r="C4846" i="41" s="1"/>
  <c r="C4847" i="41" s="1"/>
  <c r="C4332" i="41"/>
  <c r="D4847" i="41" l="1"/>
  <c r="D4341" i="41"/>
  <c r="E4341" i="41" s="1"/>
  <c r="F4341" i="41" s="1"/>
  <c r="D4336" i="41"/>
  <c r="D4337" i="41"/>
  <c r="E4337" i="41" s="1"/>
  <c r="F4337" i="41" s="1"/>
  <c r="K4341" i="41" l="1"/>
  <c r="G4341" i="41"/>
  <c r="J4341" i="41"/>
  <c r="H4341" i="41"/>
  <c r="I4341" i="41"/>
  <c r="K4337" i="41"/>
  <c r="J4337" i="41"/>
  <c r="G4337" i="41"/>
  <c r="I4337" i="41"/>
  <c r="H4337" i="41"/>
  <c r="D4342" i="41"/>
  <c r="E4342" i="41" s="1"/>
  <c r="F4342" i="41" s="1"/>
  <c r="D4338" i="41"/>
  <c r="E4338" i="41" s="1"/>
  <c r="F4338" i="41" s="1"/>
  <c r="D4340" i="41"/>
  <c r="E4340" i="41" s="1"/>
  <c r="F4340" i="41" s="1"/>
  <c r="D4339" i="41"/>
  <c r="E4339" i="41" s="1"/>
  <c r="F4339" i="41" s="1"/>
  <c r="E4336" i="41"/>
  <c r="F4336" i="41" s="1"/>
  <c r="K4336" i="41" l="1"/>
  <c r="J4336" i="41"/>
  <c r="I4336" i="41"/>
  <c r="H4336" i="41"/>
  <c r="G4336" i="41"/>
  <c r="J4339" i="41"/>
  <c r="I4339" i="41"/>
  <c r="G4339" i="41"/>
  <c r="H4339" i="41"/>
  <c r="K4339" i="41"/>
  <c r="K4340" i="41"/>
  <c r="J4340" i="41"/>
  <c r="I4340" i="41"/>
  <c r="H4340" i="41"/>
  <c r="G4340" i="41"/>
  <c r="H4342" i="41"/>
  <c r="G4342" i="41"/>
  <c r="I4342" i="41"/>
  <c r="K4342" i="41"/>
  <c r="J4342" i="41"/>
  <c r="H4338" i="41"/>
  <c r="G4338" i="41"/>
  <c r="J4338" i="41"/>
  <c r="K4338" i="41"/>
  <c r="I4338" i="41"/>
  <c r="D4343" i="41"/>
  <c r="E4343" i="41" s="1"/>
  <c r="F4343" i="41" s="1"/>
  <c r="G112" i="37" a="1"/>
  <c r="O112" i="37" s="1"/>
  <c r="J4343" i="41" l="1"/>
  <c r="I4343" i="41"/>
  <c r="H4343" i="41"/>
  <c r="G4343" i="41"/>
  <c r="K4343" i="41"/>
  <c r="D4344" i="41"/>
  <c r="E4344" i="41" s="1"/>
  <c r="F4344" i="41" s="1"/>
  <c r="H112" i="37"/>
  <c r="P112" i="37"/>
  <c r="I112" i="37"/>
  <c r="J112" i="37"/>
  <c r="N112" i="37"/>
  <c r="K112" i="37"/>
  <c r="L112" i="37"/>
  <c r="M112" i="37"/>
  <c r="G112" i="37"/>
  <c r="K4344" i="41" l="1"/>
  <c r="I4344" i="41"/>
  <c r="J4344" i="41"/>
  <c r="H4344" i="41"/>
  <c r="G4344" i="41"/>
  <c r="D4345" i="41"/>
  <c r="E4345" i="41" s="1"/>
  <c r="F4345" i="41" s="1"/>
  <c r="D717" i="35"/>
  <c r="D719" i="35"/>
  <c r="D718" i="35"/>
  <c r="G4345" i="41" l="1"/>
  <c r="K4345" i="41"/>
  <c r="J4345" i="41"/>
  <c r="I4345" i="41"/>
  <c r="H4345" i="41"/>
  <c r="D4346" i="41"/>
  <c r="E4346" i="41" s="1"/>
  <c r="F4346" i="41" s="1"/>
  <c r="D267" i="8" a="1"/>
  <c r="D268" i="8" s="1"/>
  <c r="H4346" i="41" l="1"/>
  <c r="G4346" i="41"/>
  <c r="J4346" i="41"/>
  <c r="K4346" i="41"/>
  <c r="I4346" i="41"/>
  <c r="D4347" i="41"/>
  <c r="E4347" i="41" s="1"/>
  <c r="F4347" i="41" s="1"/>
  <c r="D459" i="8"/>
  <c r="D451" i="8"/>
  <c r="D443" i="8"/>
  <c r="D435" i="8"/>
  <c r="D427" i="8"/>
  <c r="D419" i="8"/>
  <c r="D411" i="8"/>
  <c r="D403" i="8"/>
  <c r="D395" i="8"/>
  <c r="D387" i="8"/>
  <c r="D383" i="8"/>
  <c r="D375" i="8"/>
  <c r="D367" i="8"/>
  <c r="D359" i="8"/>
  <c r="D351" i="8"/>
  <c r="D343" i="8"/>
  <c r="D335" i="8"/>
  <c r="D327" i="8"/>
  <c r="D319" i="8"/>
  <c r="D311" i="8"/>
  <c r="D303" i="8"/>
  <c r="D295" i="8"/>
  <c r="D287" i="8"/>
  <c r="D279" i="8"/>
  <c r="D271" i="8"/>
  <c r="D462" i="8"/>
  <c r="D458" i="8"/>
  <c r="D450" i="8"/>
  <c r="D442" i="8"/>
  <c r="D434" i="8"/>
  <c r="D426" i="8"/>
  <c r="D418" i="8"/>
  <c r="D410" i="8"/>
  <c r="D402" i="8"/>
  <c r="D394" i="8"/>
  <c r="D386" i="8"/>
  <c r="D378" i="8"/>
  <c r="D370" i="8"/>
  <c r="D362" i="8"/>
  <c r="D354" i="8"/>
  <c r="D346" i="8"/>
  <c r="D342" i="8"/>
  <c r="D334" i="8"/>
  <c r="D326" i="8"/>
  <c r="D322" i="8"/>
  <c r="D314" i="8"/>
  <c r="D306" i="8"/>
  <c r="D298" i="8"/>
  <c r="D294" i="8"/>
  <c r="D286" i="8"/>
  <c r="D282" i="8"/>
  <c r="D278" i="8"/>
  <c r="D270" i="8"/>
  <c r="D465" i="8"/>
  <c r="D461" i="8"/>
  <c r="D457" i="8"/>
  <c r="D453" i="8"/>
  <c r="D449" i="8"/>
  <c r="D445" i="8"/>
  <c r="D441" i="8"/>
  <c r="D437" i="8"/>
  <c r="D433" i="8"/>
  <c r="D429" i="8"/>
  <c r="D425" i="8"/>
  <c r="D421" i="8"/>
  <c r="D417" i="8"/>
  <c r="D413" i="8"/>
  <c r="D409" i="8"/>
  <c r="D405" i="8"/>
  <c r="D401" i="8"/>
  <c r="D397" i="8"/>
  <c r="D393" i="8"/>
  <c r="D389" i="8"/>
  <c r="D385" i="8"/>
  <c r="D381" i="8"/>
  <c r="D377" i="8"/>
  <c r="D373" i="8"/>
  <c r="D369" i="8"/>
  <c r="D365" i="8"/>
  <c r="D361" i="8"/>
  <c r="D357" i="8"/>
  <c r="D353" i="8"/>
  <c r="D349" i="8"/>
  <c r="D345" i="8"/>
  <c r="D341" i="8"/>
  <c r="D337" i="8"/>
  <c r="D333" i="8"/>
  <c r="D329" i="8"/>
  <c r="D325" i="8"/>
  <c r="D321" i="8"/>
  <c r="D317" i="8"/>
  <c r="D313" i="8"/>
  <c r="D309" i="8"/>
  <c r="D305" i="8"/>
  <c r="D301" i="8"/>
  <c r="D297" i="8"/>
  <c r="D293" i="8"/>
  <c r="D289" i="8"/>
  <c r="D285" i="8"/>
  <c r="D281" i="8"/>
  <c r="D277" i="8"/>
  <c r="D273" i="8"/>
  <c r="D269" i="8"/>
  <c r="D463" i="8"/>
  <c r="D455" i="8"/>
  <c r="D447" i="8"/>
  <c r="D439" i="8"/>
  <c r="D431" i="8"/>
  <c r="D423" i="8"/>
  <c r="D415" i="8"/>
  <c r="D407" i="8"/>
  <c r="D399" i="8"/>
  <c r="D391" i="8"/>
  <c r="D379" i="8"/>
  <c r="D371" i="8"/>
  <c r="D363" i="8"/>
  <c r="D355" i="8"/>
  <c r="D347" i="8"/>
  <c r="D339" i="8"/>
  <c r="D331" i="8"/>
  <c r="D323" i="8"/>
  <c r="D315" i="8"/>
  <c r="D307" i="8"/>
  <c r="D299" i="8"/>
  <c r="D291" i="8"/>
  <c r="D283" i="8"/>
  <c r="D275" i="8"/>
  <c r="D267" i="8"/>
  <c r="D466" i="8"/>
  <c r="D454" i="8"/>
  <c r="D446" i="8"/>
  <c r="D438" i="8"/>
  <c r="D430" i="8"/>
  <c r="D422" i="8"/>
  <c r="D414" i="8"/>
  <c r="D406" i="8"/>
  <c r="D398" i="8"/>
  <c r="D390" i="8"/>
  <c r="D382" i="8"/>
  <c r="D374" i="8"/>
  <c r="D366" i="8"/>
  <c r="D358" i="8"/>
  <c r="D350" i="8"/>
  <c r="D338" i="8"/>
  <c r="D330" i="8"/>
  <c r="D318" i="8"/>
  <c r="D310" i="8"/>
  <c r="D302" i="8"/>
  <c r="D290" i="8"/>
  <c r="D274" i="8"/>
  <c r="D464" i="8"/>
  <c r="D460" i="8"/>
  <c r="D456" i="8"/>
  <c r="D452" i="8"/>
  <c r="D448" i="8"/>
  <c r="D444" i="8"/>
  <c r="D440" i="8"/>
  <c r="D436" i="8"/>
  <c r="D432" i="8"/>
  <c r="D428" i="8"/>
  <c r="D424" i="8"/>
  <c r="D420" i="8"/>
  <c r="D416" i="8"/>
  <c r="D412" i="8"/>
  <c r="D408" i="8"/>
  <c r="D404" i="8"/>
  <c r="D400" i="8"/>
  <c r="D396" i="8"/>
  <c r="D392" i="8"/>
  <c r="D388" i="8"/>
  <c r="D384" i="8"/>
  <c r="D380" i="8"/>
  <c r="D376" i="8"/>
  <c r="D372" i="8"/>
  <c r="D368" i="8"/>
  <c r="D364" i="8"/>
  <c r="D360" i="8"/>
  <c r="D356" i="8"/>
  <c r="D352" i="8"/>
  <c r="D348" i="8"/>
  <c r="D344" i="8"/>
  <c r="D340" i="8"/>
  <c r="D336" i="8"/>
  <c r="D332" i="8"/>
  <c r="D328" i="8"/>
  <c r="D324" i="8"/>
  <c r="D320" i="8"/>
  <c r="D316" i="8"/>
  <c r="D312" i="8"/>
  <c r="D308" i="8"/>
  <c r="D304" i="8"/>
  <c r="D300" i="8"/>
  <c r="D296" i="8"/>
  <c r="D292" i="8"/>
  <c r="D288" i="8"/>
  <c r="D284" i="8"/>
  <c r="D280" i="8"/>
  <c r="D276" i="8"/>
  <c r="D272" i="8"/>
  <c r="J4347" i="41" l="1"/>
  <c r="K4347" i="41"/>
  <c r="I4347" i="41"/>
  <c r="G4347" i="41"/>
  <c r="H4347" i="41"/>
  <c r="D4348" i="41"/>
  <c r="E4348" i="41" s="1"/>
  <c r="F4348" i="41" s="1"/>
  <c r="I4348" i="41" l="1"/>
  <c r="K4348" i="41"/>
  <c r="J4348" i="41"/>
  <c r="H4348" i="41"/>
  <c r="G4348" i="41"/>
  <c r="D4349" i="41"/>
  <c r="E4349" i="41" s="1"/>
  <c r="F4349" i="41" s="1"/>
  <c r="E1137" i="6" a="1"/>
  <c r="E1144" i="6" s="1"/>
  <c r="E1100" i="6" a="1"/>
  <c r="E1107" i="6" s="1"/>
  <c r="E417" i="6" a="1"/>
  <c r="E424" i="6" s="1"/>
  <c r="E380" i="6" a="1"/>
  <c r="E388" i="6" s="1"/>
  <c r="K4349" i="41" l="1"/>
  <c r="I4349" i="41"/>
  <c r="H4349" i="41"/>
  <c r="J4349" i="41"/>
  <c r="G4349" i="41"/>
  <c r="D4350" i="41"/>
  <c r="E4350" i="41" s="1"/>
  <c r="F4350" i="41" s="1"/>
  <c r="E382" i="6"/>
  <c r="E389" i="6"/>
  <c r="E1100" i="6"/>
  <c r="E421" i="6"/>
  <c r="E422" i="6"/>
  <c r="E1104" i="6"/>
  <c r="E384" i="6"/>
  <c r="E380" i="6"/>
  <c r="E385" i="6"/>
  <c r="E417" i="6"/>
  <c r="E425" i="6"/>
  <c r="E1108" i="6"/>
  <c r="E381" i="6"/>
  <c r="E386" i="6"/>
  <c r="E418" i="6"/>
  <c r="E426" i="6"/>
  <c r="E1140" i="6"/>
  <c r="E383" i="6"/>
  <c r="E387" i="6"/>
  <c r="E1143" i="6"/>
  <c r="E1139" i="6"/>
  <c r="E1146" i="6"/>
  <c r="E1142" i="6"/>
  <c r="E1138" i="6"/>
  <c r="E1145" i="6"/>
  <c r="E1141" i="6"/>
  <c r="E1137" i="6"/>
  <c r="E419" i="6"/>
  <c r="E423" i="6"/>
  <c r="E1101" i="6"/>
  <c r="E1105" i="6"/>
  <c r="E1109" i="6"/>
  <c r="E420" i="6"/>
  <c r="E1102" i="6"/>
  <c r="E1106" i="6"/>
  <c r="E1103" i="6"/>
  <c r="H4350" i="41" l="1"/>
  <c r="K4350" i="41"/>
  <c r="J4350" i="41"/>
  <c r="I4350" i="41"/>
  <c r="G4350" i="41"/>
  <c r="D4351" i="41"/>
  <c r="E4351" i="41" s="1"/>
  <c r="F4351" i="41" s="1"/>
  <c r="E289" i="6" a="1"/>
  <c r="E297" i="6" s="1"/>
  <c r="E277" i="6" a="1"/>
  <c r="E285" i="6" s="1"/>
  <c r="E253" i="6" a="1"/>
  <c r="E260" i="6" s="1"/>
  <c r="E241" i="6" a="1"/>
  <c r="E248" i="6" s="1"/>
  <c r="E217" i="6" a="1"/>
  <c r="E225" i="6" s="1"/>
  <c r="E205" i="6" a="1"/>
  <c r="E1001" i="6" a="1"/>
  <c r="E1008" i="6" s="1"/>
  <c r="E989" i="6" a="1"/>
  <c r="E996" i="6" s="1"/>
  <c r="E962" i="6" a="1"/>
  <c r="E969" i="6" s="1"/>
  <c r="E950" i="6" a="1"/>
  <c r="E957" i="6" s="1"/>
  <c r="E923" i="6" a="1"/>
  <c r="E931" i="6" s="1"/>
  <c r="E911" i="6" a="1"/>
  <c r="E918" i="6" s="1"/>
  <c r="J4351" i="41" l="1"/>
  <c r="G4351" i="41"/>
  <c r="H4351" i="41"/>
  <c r="I4351" i="41"/>
  <c r="K4351" i="41"/>
  <c r="D4352" i="41"/>
  <c r="E4352" i="41" s="1"/>
  <c r="F4352" i="41" s="1"/>
  <c r="E241" i="6"/>
  <c r="E249" i="6"/>
  <c r="E282" i="6"/>
  <c r="E966" i="6"/>
  <c r="E222" i="6"/>
  <c r="E257" i="6"/>
  <c r="E291" i="6"/>
  <c r="E226" i="6"/>
  <c r="E218" i="6"/>
  <c r="E245" i="6"/>
  <c r="E277" i="6"/>
  <c r="E212" i="6"/>
  <c r="E213" i="6"/>
  <c r="E207" i="6"/>
  <c r="E211" i="6"/>
  <c r="E206" i="6"/>
  <c r="E210" i="6"/>
  <c r="E205" i="6"/>
  <c r="E209" i="6"/>
  <c r="E214" i="6"/>
  <c r="E219" i="6"/>
  <c r="E242" i="6"/>
  <c r="E250" i="6"/>
  <c r="E261" i="6"/>
  <c r="E223" i="6"/>
  <c r="E246" i="6"/>
  <c r="E253" i="6"/>
  <c r="E284" i="6"/>
  <c r="E295" i="6"/>
  <c r="E296" i="6"/>
  <c r="E278" i="6"/>
  <c r="E289" i="6"/>
  <c r="E952" i="6"/>
  <c r="E208" i="6"/>
  <c r="E956" i="6"/>
  <c r="E220" i="6"/>
  <c r="E224" i="6"/>
  <c r="E243" i="6"/>
  <c r="E247" i="6"/>
  <c r="E254" i="6"/>
  <c r="E258" i="6"/>
  <c r="E262" i="6"/>
  <c r="E217" i="6"/>
  <c r="E221" i="6"/>
  <c r="E244" i="6"/>
  <c r="E255" i="6"/>
  <c r="E259" i="6"/>
  <c r="E256" i="6"/>
  <c r="E280" i="6"/>
  <c r="E292" i="6"/>
  <c r="E283" i="6"/>
  <c r="E279" i="6"/>
  <c r="E281" i="6"/>
  <c r="E286" i="6"/>
  <c r="E298" i="6"/>
  <c r="E294" i="6"/>
  <c r="E290" i="6"/>
  <c r="E293" i="6"/>
  <c r="E994" i="6"/>
  <c r="E989" i="6"/>
  <c r="E997" i="6"/>
  <c r="E1001" i="6"/>
  <c r="E990" i="6"/>
  <c r="E998" i="6"/>
  <c r="E1005" i="6"/>
  <c r="E951" i="6"/>
  <c r="E993" i="6"/>
  <c r="E1009" i="6"/>
  <c r="E991" i="6"/>
  <c r="E995" i="6"/>
  <c r="E1002" i="6"/>
  <c r="E1006" i="6"/>
  <c r="E1010" i="6"/>
  <c r="E992" i="6"/>
  <c r="E1003" i="6"/>
  <c r="E1007" i="6"/>
  <c r="E1004" i="6"/>
  <c r="E958" i="6"/>
  <c r="E913" i="6"/>
  <c r="E911" i="6"/>
  <c r="E917" i="6"/>
  <c r="E925" i="6"/>
  <c r="E967" i="6"/>
  <c r="E916" i="6"/>
  <c r="E924" i="6"/>
  <c r="E912" i="6"/>
  <c r="E919" i="6"/>
  <c r="E932" i="6"/>
  <c r="E954" i="6"/>
  <c r="E959" i="6"/>
  <c r="E962" i="6"/>
  <c r="E970" i="6"/>
  <c r="E950" i="6"/>
  <c r="E955" i="6"/>
  <c r="E963" i="6"/>
  <c r="E971" i="6"/>
  <c r="E915" i="6"/>
  <c r="E920" i="6"/>
  <c r="E928" i="6"/>
  <c r="E953" i="6"/>
  <c r="E964" i="6"/>
  <c r="E968" i="6"/>
  <c r="E929" i="6"/>
  <c r="E965" i="6"/>
  <c r="E926" i="6"/>
  <c r="E930" i="6"/>
  <c r="E914" i="6"/>
  <c r="E923" i="6"/>
  <c r="E927" i="6"/>
  <c r="G690" i="35"/>
  <c r="I691" i="35"/>
  <c r="H690" i="35"/>
  <c r="M692" i="35"/>
  <c r="G718" i="35" s="1"/>
  <c r="L691" i="35"/>
  <c r="K682" i="35"/>
  <c r="K691" i="35"/>
  <c r="K690" i="35"/>
  <c r="K689" i="35"/>
  <c r="K688" i="35"/>
  <c r="K687" i="35"/>
  <c r="K686" i="35"/>
  <c r="K685" i="35"/>
  <c r="K684" i="35"/>
  <c r="K683" i="35"/>
  <c r="K681" i="35"/>
  <c r="I4352" i="41" l="1"/>
  <c r="K4352" i="41"/>
  <c r="H4352" i="41"/>
  <c r="J4352" i="41"/>
  <c r="G4352" i="41"/>
  <c r="D4353" i="41"/>
  <c r="E4353" i="41" s="1"/>
  <c r="F4353" i="41" s="1"/>
  <c r="H697" i="35" a="1"/>
  <c r="H698" i="35" s="1"/>
  <c r="K4353" i="41" l="1"/>
  <c r="G4353" i="41"/>
  <c r="H4353" i="41"/>
  <c r="I4353" i="41"/>
  <c r="J4353" i="41"/>
  <c r="D4354" i="41"/>
  <c r="E4354" i="41" s="1"/>
  <c r="F4354" i="41" s="1"/>
  <c r="H704" i="35"/>
  <c r="H699" i="35"/>
  <c r="H701" i="35"/>
  <c r="H705" i="35"/>
  <c r="H700" i="35"/>
  <c r="H702" i="35"/>
  <c r="H697" i="35"/>
  <c r="H708" i="35"/>
  <c r="H703" i="35"/>
  <c r="H706" i="35"/>
  <c r="H707" i="35"/>
  <c r="H4354" i="41" l="1"/>
  <c r="G4354" i="41"/>
  <c r="K4354" i="41"/>
  <c r="J4354" i="41"/>
  <c r="I4354" i="41"/>
  <c r="D4355" i="41"/>
  <c r="E4355" i="41" s="1"/>
  <c r="F4355" i="41" s="1"/>
  <c r="N697" i="35" a="1"/>
  <c r="N708" i="35" s="1"/>
  <c r="K4355" i="41" l="1"/>
  <c r="J4355" i="41"/>
  <c r="I4355" i="41"/>
  <c r="H4355" i="41"/>
  <c r="G4355" i="41"/>
  <c r="D4356" i="41"/>
  <c r="E4356" i="41" s="1"/>
  <c r="F4356" i="41" s="1"/>
  <c r="N704" i="35"/>
  <c r="N699" i="35"/>
  <c r="N701" i="35"/>
  <c r="N698" i="35"/>
  <c r="N700" i="35"/>
  <c r="N705" i="35"/>
  <c r="N706" i="35"/>
  <c r="N707" i="35"/>
  <c r="N702" i="35"/>
  <c r="N697" i="35"/>
  <c r="N703" i="35"/>
  <c r="D723" i="35"/>
  <c r="K4356" i="41" l="1"/>
  <c r="J4356" i="41"/>
  <c r="I4356" i="41"/>
  <c r="G4356" i="41"/>
  <c r="H4356" i="41"/>
  <c r="D4357" i="41"/>
  <c r="E4357" i="41" s="1"/>
  <c r="F4357" i="41" s="1"/>
  <c r="K231" i="38"/>
  <c r="K230" i="38"/>
  <c r="K229" i="38"/>
  <c r="K228" i="38"/>
  <c r="K227" i="38"/>
  <c r="K226" i="38"/>
  <c r="K225" i="38"/>
  <c r="K224" i="38"/>
  <c r="K223" i="38"/>
  <c r="K222" i="38"/>
  <c r="K221" i="38"/>
  <c r="K220" i="38"/>
  <c r="K219" i="38"/>
  <c r="K218" i="38"/>
  <c r="K217" i="38"/>
  <c r="K216" i="38"/>
  <c r="K215" i="38"/>
  <c r="K214" i="38"/>
  <c r="K213" i="38"/>
  <c r="K212" i="38"/>
  <c r="K211" i="38"/>
  <c r="K210" i="38"/>
  <c r="K209" i="38"/>
  <c r="K208" i="38"/>
  <c r="K207" i="38"/>
  <c r="K206" i="38"/>
  <c r="K205" i="38"/>
  <c r="K204" i="38"/>
  <c r="K203" i="38"/>
  <c r="K202" i="38"/>
  <c r="K201" i="38"/>
  <c r="K36" i="38"/>
  <c r="K35" i="38"/>
  <c r="K34" i="38"/>
  <c r="K33" i="38"/>
  <c r="K32" i="38"/>
  <c r="G4357" i="41" l="1"/>
  <c r="K4357" i="41"/>
  <c r="I4357" i="41"/>
  <c r="J4357" i="41"/>
  <c r="H4357" i="41"/>
  <c r="D4358" i="41"/>
  <c r="E4358" i="41" s="1"/>
  <c r="F4358" i="41" s="1"/>
  <c r="D958" i="37" a="1"/>
  <c r="D960" i="37" s="1"/>
  <c r="D955" i="37" a="1"/>
  <c r="D957" i="37" s="1"/>
  <c r="D949" i="37" a="1"/>
  <c r="D951" i="37" s="1"/>
  <c r="D946" i="37" a="1"/>
  <c r="D948" i="37" s="1"/>
  <c r="I907" i="37" a="1"/>
  <c r="I909" i="37" s="1"/>
  <c r="G907" i="37" a="1"/>
  <c r="G909" i="37" s="1"/>
  <c r="G903" i="37"/>
  <c r="G902" i="37"/>
  <c r="L934" i="37" a="1"/>
  <c r="O934" i="37" s="1"/>
  <c r="G934" i="37" a="1"/>
  <c r="G934" i="37" s="1"/>
  <c r="F916" i="37"/>
  <c r="F917" i="37" s="1"/>
  <c r="F918" i="37" s="1"/>
  <c r="F919" i="37" s="1"/>
  <c r="F920" i="37" s="1"/>
  <c r="F921" i="37" s="1"/>
  <c r="F922" i="37" s="1"/>
  <c r="F923" i="37" s="1"/>
  <c r="F924" i="37" s="1"/>
  <c r="F925" i="37" s="1"/>
  <c r="F926" i="37" s="1"/>
  <c r="F927" i="37" s="1"/>
  <c r="F928" i="37" s="1"/>
  <c r="F929" i="37" s="1"/>
  <c r="F930" i="37" s="1"/>
  <c r="L914" i="37" a="1"/>
  <c r="L914" i="37" s="1"/>
  <c r="G914" i="37" a="1"/>
  <c r="H914" i="37" s="1"/>
  <c r="I905" i="37"/>
  <c r="G905" i="37"/>
  <c r="F883" i="37"/>
  <c r="F884" i="37" s="1"/>
  <c r="F885" i="37" s="1"/>
  <c r="F886" i="37" s="1"/>
  <c r="F887" i="37" s="1"/>
  <c r="F888" i="37" s="1"/>
  <c r="F889" i="37" s="1"/>
  <c r="F890" i="37" s="1"/>
  <c r="F891" i="37" s="1"/>
  <c r="F892" i="37" s="1"/>
  <c r="F893" i="37" s="1"/>
  <c r="F894" i="37" s="1"/>
  <c r="F895" i="37" s="1"/>
  <c r="F896" i="37" s="1"/>
  <c r="F897" i="37" s="1"/>
  <c r="L881" i="37" a="1"/>
  <c r="M881" i="37" s="1"/>
  <c r="G881" i="37" a="1"/>
  <c r="J881" i="37" s="1"/>
  <c r="L839" i="37" a="1"/>
  <c r="O839" i="37" s="1"/>
  <c r="G839" i="37" a="1"/>
  <c r="J839" i="37" s="1"/>
  <c r="F821" i="37"/>
  <c r="F822" i="37" s="1"/>
  <c r="F823" i="37" s="1"/>
  <c r="F824" i="37" s="1"/>
  <c r="F825" i="37" s="1"/>
  <c r="F826" i="37" s="1"/>
  <c r="F827" i="37" s="1"/>
  <c r="F828" i="37" s="1"/>
  <c r="F829" i="37" s="1"/>
  <c r="F830" i="37" s="1"/>
  <c r="F831" i="37" s="1"/>
  <c r="F832" i="37" s="1"/>
  <c r="F833" i="37" s="1"/>
  <c r="F834" i="37" s="1"/>
  <c r="F835" i="37" s="1"/>
  <c r="L819" i="37" a="1"/>
  <c r="N819" i="37" s="1"/>
  <c r="G819" i="37" a="1"/>
  <c r="J819" i="37" s="1"/>
  <c r="D868" i="37" a="1"/>
  <c r="D870" i="37" s="1"/>
  <c r="D865" i="37" a="1"/>
  <c r="D867" i="37" s="1"/>
  <c r="D859" i="37" a="1"/>
  <c r="D861" i="37" s="1"/>
  <c r="D856" i="37" a="1"/>
  <c r="D858" i="37" s="1"/>
  <c r="F764" i="37"/>
  <c r="F765" i="37" s="1"/>
  <c r="F766" i="37" s="1"/>
  <c r="F767" i="37" s="1"/>
  <c r="F768" i="37" s="1"/>
  <c r="F769" i="37" s="1"/>
  <c r="F770" i="37" s="1"/>
  <c r="F771" i="37" s="1"/>
  <c r="F772" i="37" s="1"/>
  <c r="F773" i="37" s="1"/>
  <c r="F774" i="37" s="1"/>
  <c r="F775" i="37" s="1"/>
  <c r="F776" i="37" s="1"/>
  <c r="F777" i="37" s="1"/>
  <c r="F778" i="37" s="1"/>
  <c r="G762" i="37" a="1"/>
  <c r="J762" i="37" s="1"/>
  <c r="D1041" i="37" s="1"/>
  <c r="F746" i="37"/>
  <c r="F747" i="37" s="1"/>
  <c r="F748" i="37" s="1"/>
  <c r="F749" i="37" s="1"/>
  <c r="F750" i="37" s="1"/>
  <c r="F751" i="37" s="1"/>
  <c r="F752" i="37" s="1"/>
  <c r="F753" i="37" s="1"/>
  <c r="F754" i="37" s="1"/>
  <c r="F755" i="37" s="1"/>
  <c r="F756" i="37" s="1"/>
  <c r="F757" i="37" s="1"/>
  <c r="F758" i="37" s="1"/>
  <c r="F759" i="37" s="1"/>
  <c r="F760" i="37" s="1"/>
  <c r="G744" i="37" a="1"/>
  <c r="J744" i="37" s="1"/>
  <c r="I4358" i="41" l="1"/>
  <c r="H4358" i="41"/>
  <c r="G4358" i="41"/>
  <c r="K4358" i="41"/>
  <c r="J4358" i="41"/>
  <c r="D4359" i="41"/>
  <c r="E4359" i="41" s="1"/>
  <c r="F4359" i="41" s="1"/>
  <c r="M914" i="37"/>
  <c r="I914" i="37"/>
  <c r="H934" i="37"/>
  <c r="N881" i="37"/>
  <c r="G914" i="37"/>
  <c r="L934" i="37"/>
  <c r="G907" i="37"/>
  <c r="I907" i="37"/>
  <c r="D946" i="37"/>
  <c r="D949" i="37"/>
  <c r="D955" i="37"/>
  <c r="D958" i="37"/>
  <c r="G908" i="37"/>
  <c r="I908" i="37"/>
  <c r="D947" i="37"/>
  <c r="D950" i="37"/>
  <c r="D956" i="37"/>
  <c r="D959" i="37"/>
  <c r="I881" i="37"/>
  <c r="H881" i="37"/>
  <c r="G881" i="37"/>
  <c r="O881" i="37"/>
  <c r="J914" i="37"/>
  <c r="N914" i="37"/>
  <c r="I934" i="37"/>
  <c r="M934" i="37"/>
  <c r="L881" i="37"/>
  <c r="O914" i="37"/>
  <c r="J934" i="37"/>
  <c r="N934" i="37"/>
  <c r="G839" i="37"/>
  <c r="H839" i="37"/>
  <c r="L839" i="37"/>
  <c r="I839" i="37"/>
  <c r="M839" i="37"/>
  <c r="N839" i="37"/>
  <c r="G819" i="37"/>
  <c r="H819" i="37"/>
  <c r="L819" i="37"/>
  <c r="I819" i="37"/>
  <c r="M819" i="37"/>
  <c r="O819" i="37"/>
  <c r="D868" i="37"/>
  <c r="D860" i="37"/>
  <c r="D869" i="37"/>
  <c r="D859" i="37"/>
  <c r="D856" i="37"/>
  <c r="D865" i="37"/>
  <c r="D857" i="37"/>
  <c r="D866" i="37"/>
  <c r="G762" i="37"/>
  <c r="H762" i="37"/>
  <c r="I762" i="37"/>
  <c r="I744" i="37"/>
  <c r="G744" i="37"/>
  <c r="H744" i="37"/>
  <c r="K4359" i="41" l="1"/>
  <c r="J4359" i="41"/>
  <c r="I4359" i="41"/>
  <c r="H4359" i="41"/>
  <c r="G4359" i="41"/>
  <c r="D4360" i="41"/>
  <c r="E4360" i="41" s="1"/>
  <c r="F4360" i="41" s="1"/>
  <c r="D1035" i="37" a="1"/>
  <c r="J906" i="37" a="1"/>
  <c r="J906" i="37" s="1"/>
  <c r="H906" i="37" a="1"/>
  <c r="K4360" i="41" l="1"/>
  <c r="J4360" i="41"/>
  <c r="I4360" i="41"/>
  <c r="H4360" i="41"/>
  <c r="G4360" i="41"/>
  <c r="D4361" i="41"/>
  <c r="E4361" i="41" s="1"/>
  <c r="F4361" i="41" s="1"/>
  <c r="D1035" i="37"/>
  <c r="D1037" i="37"/>
  <c r="D1036" i="37"/>
  <c r="J908" i="37"/>
  <c r="J907" i="37"/>
  <c r="H908" i="37"/>
  <c r="H907" i="37"/>
  <c r="H906" i="37"/>
  <c r="G4361" i="41" l="1"/>
  <c r="K4361" i="41"/>
  <c r="J4361" i="41"/>
  <c r="I4361" i="41"/>
  <c r="H4361" i="41"/>
  <c r="D4362" i="41"/>
  <c r="E4362" i="41" s="1"/>
  <c r="F4362" i="41" s="1"/>
  <c r="G726" i="37" a="1"/>
  <c r="J726" i="37" s="1"/>
  <c r="E481" i="6" a="1"/>
  <c r="E511" i="6" s="1"/>
  <c r="E1385" i="6" a="1"/>
  <c r="E1424" i="6" s="1"/>
  <c r="I812" i="37" a="1"/>
  <c r="I814" i="37" s="1"/>
  <c r="G812" i="37" a="1"/>
  <c r="G814" i="37" s="1"/>
  <c r="I810" i="37"/>
  <c r="G810" i="37"/>
  <c r="G808" i="37"/>
  <c r="G807" i="37"/>
  <c r="L786" i="37" a="1"/>
  <c r="O786" i="37" s="1"/>
  <c r="F788" i="37"/>
  <c r="F789" i="37" s="1"/>
  <c r="F790" i="37" s="1"/>
  <c r="F791" i="37" s="1"/>
  <c r="F792" i="37" s="1"/>
  <c r="F793" i="37" s="1"/>
  <c r="F794" i="37" s="1"/>
  <c r="F795" i="37" s="1"/>
  <c r="F796" i="37" s="1"/>
  <c r="F797" i="37" s="1"/>
  <c r="F798" i="37" s="1"/>
  <c r="F799" i="37" s="1"/>
  <c r="F800" i="37" s="1"/>
  <c r="F801" i="37" s="1"/>
  <c r="F802" i="37" s="1"/>
  <c r="F728" i="37"/>
  <c r="F729" i="37" s="1"/>
  <c r="F730" i="37" s="1"/>
  <c r="F731" i="37" s="1"/>
  <c r="F732" i="37" s="1"/>
  <c r="F733" i="37" s="1"/>
  <c r="F734" i="37" s="1"/>
  <c r="F735" i="37" s="1"/>
  <c r="F736" i="37" s="1"/>
  <c r="F737" i="37" s="1"/>
  <c r="F738" i="37" s="1"/>
  <c r="F739" i="37" s="1"/>
  <c r="F740" i="37" s="1"/>
  <c r="F741" i="37" s="1"/>
  <c r="F742" i="37" s="1"/>
  <c r="G786" i="37" a="1"/>
  <c r="J786" i="37" s="1"/>
  <c r="M696" i="35" a="1"/>
  <c r="M696" i="35" s="1"/>
  <c r="J697" i="35" a="1"/>
  <c r="J697" i="35" s="1"/>
  <c r="P697" i="35" s="1"/>
  <c r="I4362" i="41" l="1"/>
  <c r="H4362" i="41"/>
  <c r="G4362" i="41"/>
  <c r="J4362" i="41"/>
  <c r="K4362" i="41"/>
  <c r="D4363" i="41"/>
  <c r="E4363" i="41" s="1"/>
  <c r="F4363" i="41" s="1"/>
  <c r="I812" i="37"/>
  <c r="G812" i="37"/>
  <c r="G726" i="37"/>
  <c r="H726" i="37"/>
  <c r="I726" i="37"/>
  <c r="E483" i="6"/>
  <c r="E491" i="6"/>
  <c r="E499" i="6"/>
  <c r="E507" i="6"/>
  <c r="E516" i="6"/>
  <c r="E484" i="6"/>
  <c r="E492" i="6"/>
  <c r="E500" i="6"/>
  <c r="E508" i="6"/>
  <c r="E520" i="6"/>
  <c r="E487" i="6"/>
  <c r="E495" i="6"/>
  <c r="E503" i="6"/>
  <c r="E519" i="6"/>
  <c r="E515" i="6"/>
  <c r="E518" i="6"/>
  <c r="E514" i="6"/>
  <c r="E510" i="6"/>
  <c r="E506" i="6"/>
  <c r="E502" i="6"/>
  <c r="E498" i="6"/>
  <c r="E494" i="6"/>
  <c r="E490" i="6"/>
  <c r="E486" i="6"/>
  <c r="E482" i="6"/>
  <c r="E517" i="6"/>
  <c r="E513" i="6"/>
  <c r="E509" i="6"/>
  <c r="E505" i="6"/>
  <c r="E501" i="6"/>
  <c r="E497" i="6"/>
  <c r="E493" i="6"/>
  <c r="E489" i="6"/>
  <c r="E485" i="6"/>
  <c r="E481" i="6"/>
  <c r="E488" i="6"/>
  <c r="E496" i="6"/>
  <c r="E504" i="6"/>
  <c r="E512" i="6"/>
  <c r="E1385" i="6"/>
  <c r="E1389" i="6"/>
  <c r="E1393" i="6"/>
  <c r="E1397" i="6"/>
  <c r="E1401" i="6"/>
  <c r="E1405" i="6"/>
  <c r="E1409" i="6"/>
  <c r="E1413" i="6"/>
  <c r="E1417" i="6"/>
  <c r="E1421" i="6"/>
  <c r="E1386" i="6"/>
  <c r="E1390" i="6"/>
  <c r="E1394" i="6"/>
  <c r="E1398" i="6"/>
  <c r="E1402" i="6"/>
  <c r="E1406" i="6"/>
  <c r="E1410" i="6"/>
  <c r="E1414" i="6"/>
  <c r="E1418" i="6"/>
  <c r="E1422" i="6"/>
  <c r="E1387" i="6"/>
  <c r="E1391" i="6"/>
  <c r="E1395" i="6"/>
  <c r="E1399" i="6"/>
  <c r="E1403" i="6"/>
  <c r="E1407" i="6"/>
  <c r="E1411" i="6"/>
  <c r="E1415" i="6"/>
  <c r="E1419" i="6"/>
  <c r="E1423" i="6"/>
  <c r="E1388" i="6"/>
  <c r="E1392" i="6"/>
  <c r="E1396" i="6"/>
  <c r="E1400" i="6"/>
  <c r="E1404" i="6"/>
  <c r="E1408" i="6"/>
  <c r="E1412" i="6"/>
  <c r="E1416" i="6"/>
  <c r="E1420" i="6"/>
  <c r="G813" i="37"/>
  <c r="I813" i="37"/>
  <c r="L786" i="37"/>
  <c r="M786" i="37"/>
  <c r="N786" i="37"/>
  <c r="G786" i="37"/>
  <c r="H786" i="37"/>
  <c r="I786" i="37"/>
  <c r="O696" i="35"/>
  <c r="P696" i="35"/>
  <c r="N696" i="35"/>
  <c r="J698" i="35"/>
  <c r="K4363" i="41" l="1"/>
  <c r="J4363" i="41"/>
  <c r="I4363" i="41"/>
  <c r="H4363" i="41"/>
  <c r="G4363" i="41"/>
  <c r="D4364" i="41"/>
  <c r="E4364" i="41" s="1"/>
  <c r="F4364" i="41" s="1"/>
  <c r="H811" i="37" a="1"/>
  <c r="H811" i="37" s="1"/>
  <c r="J811" i="37" a="1"/>
  <c r="J811" i="37" s="1"/>
  <c r="G1165" i="37" a="1"/>
  <c r="P1165" i="37" s="1"/>
  <c r="G1270" i="37" a="1"/>
  <c r="AT1270" i="37" s="1"/>
  <c r="K4364" i="41" l="1"/>
  <c r="J4364" i="41"/>
  <c r="I4364" i="41"/>
  <c r="H4364" i="41"/>
  <c r="G4364" i="41"/>
  <c r="D4365" i="41"/>
  <c r="E4365" i="41" s="1"/>
  <c r="F4365" i="41" s="1"/>
  <c r="H813" i="37"/>
  <c r="J812" i="37"/>
  <c r="J813" i="37"/>
  <c r="H812" i="37"/>
  <c r="I1165" i="37"/>
  <c r="K1165" i="37"/>
  <c r="G1165" i="37"/>
  <c r="L1165" i="37"/>
  <c r="H1165" i="37"/>
  <c r="M1165" i="37"/>
  <c r="J1165" i="37"/>
  <c r="N1165" i="37"/>
  <c r="O1165" i="37"/>
  <c r="G1270" i="37"/>
  <c r="K1270" i="37"/>
  <c r="S1270" i="37"/>
  <c r="W1270" i="37"/>
  <c r="AE1270" i="37"/>
  <c r="AI1270" i="37"/>
  <c r="AQ1270" i="37"/>
  <c r="H1270" i="37"/>
  <c r="L1270" i="37"/>
  <c r="P1270" i="37"/>
  <c r="T1270" i="37"/>
  <c r="X1270" i="37"/>
  <c r="AB1270" i="37"/>
  <c r="AF1270" i="37"/>
  <c r="AJ1270" i="37"/>
  <c r="AN1270" i="37"/>
  <c r="AR1270" i="37"/>
  <c r="O1270" i="37"/>
  <c r="AA1270" i="37"/>
  <c r="AM1270" i="37"/>
  <c r="I1270" i="37"/>
  <c r="M1270" i="37"/>
  <c r="Q1270" i="37"/>
  <c r="U1270" i="37"/>
  <c r="Y1270" i="37"/>
  <c r="AC1270" i="37"/>
  <c r="AG1270" i="37"/>
  <c r="AK1270" i="37"/>
  <c r="AO1270" i="37"/>
  <c r="AS1270" i="37"/>
  <c r="J1270" i="37"/>
  <c r="N1270" i="37"/>
  <c r="R1270" i="37"/>
  <c r="V1270" i="37"/>
  <c r="Z1270" i="37"/>
  <c r="AD1270" i="37"/>
  <c r="AH1270" i="37"/>
  <c r="AL1270" i="37"/>
  <c r="AP1270" i="37"/>
  <c r="G1229" i="37" a="1"/>
  <c r="AT1229" i="37" s="1"/>
  <c r="G1289" i="37" a="1"/>
  <c r="AT1289" i="37" s="1"/>
  <c r="G1210" i="37" a="1"/>
  <c r="AT1210" i="37" s="1"/>
  <c r="G688" i="37" a="1"/>
  <c r="AT688" i="37" s="1"/>
  <c r="G610" i="35" a="1"/>
  <c r="AT610" i="35" s="1"/>
  <c r="G648" i="37" a="1"/>
  <c r="AT648" i="37" s="1"/>
  <c r="G581" i="35" a="1"/>
  <c r="AT581" i="35" s="1"/>
  <c r="I5" i="32"/>
  <c r="K6" i="32" s="1" a="1"/>
  <c r="K45" i="32" s="1"/>
  <c r="G547" i="35" a="1"/>
  <c r="AT547" i="35" s="1"/>
  <c r="G510" i="35" a="1"/>
  <c r="G510" i="35" s="1"/>
  <c r="E610" i="6" a="1"/>
  <c r="E646" i="6" s="1"/>
  <c r="E568" i="6" a="1"/>
  <c r="E605" i="6" s="1"/>
  <c r="E193" i="6" a="1"/>
  <c r="E202" i="6" s="1"/>
  <c r="E229" i="6" a="1"/>
  <c r="E238" i="6" s="1"/>
  <c r="E265" i="6" a="1"/>
  <c r="E274" i="6" s="1"/>
  <c r="E301" i="6" a="1"/>
  <c r="E310" i="6" s="1"/>
  <c r="E313" i="6" a="1"/>
  <c r="E322" i="6" s="1"/>
  <c r="E352" i="6" a="1"/>
  <c r="E361" i="6" s="1"/>
  <c r="E340" i="6" a="1"/>
  <c r="E349" i="6" s="1"/>
  <c r="E328" i="6" a="1"/>
  <c r="E337" i="6" s="1"/>
  <c r="E658" i="6" a="1"/>
  <c r="E667" i="6" s="1"/>
  <c r="E670" i="6" a="1"/>
  <c r="E679" i="6" s="1"/>
  <c r="E682" i="6" a="1"/>
  <c r="E691" i="6" s="1"/>
  <c r="E526" i="6" a="1"/>
  <c r="E526" i="6" s="1"/>
  <c r="E1339" i="6" a="1"/>
  <c r="E1378" i="6" s="1"/>
  <c r="E1297" i="6" a="1"/>
  <c r="E1336" i="6" s="1"/>
  <c r="E1237" i="6" a="1"/>
  <c r="E1246" i="6" s="1"/>
  <c r="E1225" i="6" a="1"/>
  <c r="E1234" i="6" s="1"/>
  <c r="E1213" i="6" a="1"/>
  <c r="E1222" i="6" s="1"/>
  <c r="E1201" i="6" a="1"/>
  <c r="E1210" i="6" s="1"/>
  <c r="E1068" i="6" a="1"/>
  <c r="E1077" i="6" s="1"/>
  <c r="E1056" i="6" a="1"/>
  <c r="E1065" i="6" s="1"/>
  <c r="E1044" i="6" a="1"/>
  <c r="E1053" i="6" s="1"/>
  <c r="E1028" i="6" a="1"/>
  <c r="E1037" i="6" s="1"/>
  <c r="E1016" i="6" a="1"/>
  <c r="E1025" i="6" s="1"/>
  <c r="E977" i="6" a="1"/>
  <c r="E986" i="6" s="1"/>
  <c r="E938" i="6" a="1"/>
  <c r="E947" i="6" s="1"/>
  <c r="E899" i="6" a="1"/>
  <c r="E908" i="6" s="1"/>
  <c r="E1254" i="6" a="1"/>
  <c r="E1254" i="6" s="1"/>
  <c r="G4365" i="41" l="1"/>
  <c r="K4365" i="41"/>
  <c r="J4365" i="41"/>
  <c r="I4365" i="41"/>
  <c r="H4365" i="41"/>
  <c r="D4366" i="41"/>
  <c r="E4366" i="41" s="1"/>
  <c r="F4366" i="41" s="1"/>
  <c r="E576" i="6"/>
  <c r="G610" i="35"/>
  <c r="J6" i="32" a="1"/>
  <c r="J7" i="32" s="1"/>
  <c r="G1289" i="37"/>
  <c r="G1229" i="37"/>
  <c r="O1229" i="37"/>
  <c r="W1229" i="37"/>
  <c r="AE1229" i="37"/>
  <c r="AQ1229" i="37"/>
  <c r="H1229" i="37"/>
  <c r="L1229" i="37"/>
  <c r="P1229" i="37"/>
  <c r="T1229" i="37"/>
  <c r="X1229" i="37"/>
  <c r="AB1229" i="37"/>
  <c r="AF1229" i="37"/>
  <c r="AJ1229" i="37"/>
  <c r="AN1229" i="37"/>
  <c r="AR1229" i="37"/>
  <c r="K1229" i="37"/>
  <c r="S1229" i="37"/>
  <c r="AA1229" i="37"/>
  <c r="AI1229" i="37"/>
  <c r="AM1229" i="37"/>
  <c r="I1229" i="37"/>
  <c r="M1229" i="37"/>
  <c r="Q1229" i="37"/>
  <c r="U1229" i="37"/>
  <c r="Y1229" i="37"/>
  <c r="AC1229" i="37"/>
  <c r="AG1229" i="37"/>
  <c r="AK1229" i="37"/>
  <c r="AO1229" i="37"/>
  <c r="AS1229" i="37"/>
  <c r="J1229" i="37"/>
  <c r="N1229" i="37"/>
  <c r="R1229" i="37"/>
  <c r="V1229" i="37"/>
  <c r="Z1229" i="37"/>
  <c r="AD1229" i="37"/>
  <c r="AH1229" i="37"/>
  <c r="AL1229" i="37"/>
  <c r="AP1229" i="37"/>
  <c r="K1289" i="37"/>
  <c r="O1289" i="37"/>
  <c r="W1289" i="37"/>
  <c r="K1210" i="37"/>
  <c r="O1210" i="37"/>
  <c r="H1289" i="37"/>
  <c r="S1289" i="37"/>
  <c r="S1210" i="37"/>
  <c r="G688" i="37"/>
  <c r="G1210" i="37"/>
  <c r="L1289" i="37"/>
  <c r="AA1289" i="37"/>
  <c r="AE1289" i="37"/>
  <c r="AI1289" i="37"/>
  <c r="AM1289" i="37"/>
  <c r="AQ1289" i="37"/>
  <c r="P1289" i="37"/>
  <c r="T1289" i="37"/>
  <c r="X1289" i="37"/>
  <c r="AB1289" i="37"/>
  <c r="AF1289" i="37"/>
  <c r="AJ1289" i="37"/>
  <c r="AN1289" i="37"/>
  <c r="AR1289" i="37"/>
  <c r="I1289" i="37"/>
  <c r="M1289" i="37"/>
  <c r="Q1289" i="37"/>
  <c r="U1289" i="37"/>
  <c r="Y1289" i="37"/>
  <c r="AC1289" i="37"/>
  <c r="AG1289" i="37"/>
  <c r="AK1289" i="37"/>
  <c r="AO1289" i="37"/>
  <c r="AS1289" i="37"/>
  <c r="J1289" i="37"/>
  <c r="N1289" i="37"/>
  <c r="R1289" i="37"/>
  <c r="V1289" i="37"/>
  <c r="Z1289" i="37"/>
  <c r="AD1289" i="37"/>
  <c r="AH1289" i="37"/>
  <c r="AL1289" i="37"/>
  <c r="AP1289" i="37"/>
  <c r="W1210" i="37"/>
  <c r="AA1210" i="37"/>
  <c r="AE1210" i="37"/>
  <c r="AI1210" i="37"/>
  <c r="AM1210" i="37"/>
  <c r="AQ1210" i="37"/>
  <c r="H1210" i="37"/>
  <c r="L1210" i="37"/>
  <c r="P1210" i="37"/>
  <c r="T1210" i="37"/>
  <c r="X1210" i="37"/>
  <c r="AB1210" i="37"/>
  <c r="AF1210" i="37"/>
  <c r="AJ1210" i="37"/>
  <c r="AN1210" i="37"/>
  <c r="AR1210" i="37"/>
  <c r="I1210" i="37"/>
  <c r="M1210" i="37"/>
  <c r="Q1210" i="37"/>
  <c r="U1210" i="37"/>
  <c r="Y1210" i="37"/>
  <c r="AC1210" i="37"/>
  <c r="AG1210" i="37"/>
  <c r="AK1210" i="37"/>
  <c r="AO1210" i="37"/>
  <c r="AS1210" i="37"/>
  <c r="J1210" i="37"/>
  <c r="N1210" i="37"/>
  <c r="R1210" i="37"/>
  <c r="V1210" i="37"/>
  <c r="Z1210" i="37"/>
  <c r="AD1210" i="37"/>
  <c r="AH1210" i="37"/>
  <c r="AL1210" i="37"/>
  <c r="AP1210" i="37"/>
  <c r="K688" i="37"/>
  <c r="O688" i="37"/>
  <c r="S688" i="37"/>
  <c r="W688" i="37"/>
  <c r="AA688" i="37"/>
  <c r="AE688" i="37"/>
  <c r="AI688" i="37"/>
  <c r="AQ688" i="37"/>
  <c r="H688" i="37"/>
  <c r="L688" i="37"/>
  <c r="P688" i="37"/>
  <c r="T688" i="37"/>
  <c r="X688" i="37"/>
  <c r="AB688" i="37"/>
  <c r="AF688" i="37"/>
  <c r="AJ688" i="37"/>
  <c r="AN688" i="37"/>
  <c r="AR688" i="37"/>
  <c r="AM688" i="37"/>
  <c r="I688" i="37"/>
  <c r="M688" i="37"/>
  <c r="Q688" i="37"/>
  <c r="U688" i="37"/>
  <c r="Y688" i="37"/>
  <c r="AC688" i="37"/>
  <c r="AG688" i="37"/>
  <c r="AK688" i="37"/>
  <c r="AO688" i="37"/>
  <c r="AS688" i="37"/>
  <c r="J688" i="37"/>
  <c r="N688" i="37"/>
  <c r="R688" i="37"/>
  <c r="V688" i="37"/>
  <c r="Z688" i="37"/>
  <c r="AD688" i="37"/>
  <c r="AH688" i="37"/>
  <c r="AL688" i="37"/>
  <c r="AP688" i="37"/>
  <c r="K610" i="35"/>
  <c r="O610" i="35"/>
  <c r="S610" i="35"/>
  <c r="W610" i="35"/>
  <c r="AA610" i="35"/>
  <c r="AE610" i="35"/>
  <c r="AI610" i="35"/>
  <c r="AM610" i="35"/>
  <c r="AQ610" i="35"/>
  <c r="H610" i="35"/>
  <c r="L610" i="35"/>
  <c r="P610" i="35"/>
  <c r="T610" i="35"/>
  <c r="X610" i="35"/>
  <c r="AB610" i="35"/>
  <c r="AF610" i="35"/>
  <c r="AJ610" i="35"/>
  <c r="AN610" i="35"/>
  <c r="AR610" i="35"/>
  <c r="I610" i="35"/>
  <c r="M610" i="35"/>
  <c r="Q610" i="35"/>
  <c r="U610" i="35"/>
  <c r="Y610" i="35"/>
  <c r="AC610" i="35"/>
  <c r="AG610" i="35"/>
  <c r="AK610" i="35"/>
  <c r="AO610" i="35"/>
  <c r="AS610" i="35"/>
  <c r="J610" i="35"/>
  <c r="N610" i="35"/>
  <c r="R610" i="35"/>
  <c r="V610" i="35"/>
  <c r="Z610" i="35"/>
  <c r="AD610" i="35"/>
  <c r="AH610" i="35"/>
  <c r="AL610" i="35"/>
  <c r="AP610" i="35"/>
  <c r="N648" i="37"/>
  <c r="V648" i="37"/>
  <c r="AP648" i="37"/>
  <c r="G648" i="37"/>
  <c r="K648" i="37"/>
  <c r="O648" i="37"/>
  <c r="S648" i="37"/>
  <c r="W648" i="37"/>
  <c r="AA648" i="37"/>
  <c r="AE648" i="37"/>
  <c r="AI648" i="37"/>
  <c r="AM648" i="37"/>
  <c r="AQ648" i="37"/>
  <c r="R648" i="37"/>
  <c r="Z648" i="37"/>
  <c r="AL648" i="37"/>
  <c r="H648" i="37"/>
  <c r="L648" i="37"/>
  <c r="P648" i="37"/>
  <c r="T648" i="37"/>
  <c r="X648" i="37"/>
  <c r="AB648" i="37"/>
  <c r="AF648" i="37"/>
  <c r="AJ648" i="37"/>
  <c r="AN648" i="37"/>
  <c r="AR648" i="37"/>
  <c r="I648" i="37"/>
  <c r="M648" i="37"/>
  <c r="Q648" i="37"/>
  <c r="U648" i="37"/>
  <c r="Y648" i="37"/>
  <c r="AC648" i="37"/>
  <c r="AG648" i="37"/>
  <c r="AK648" i="37"/>
  <c r="AO648" i="37"/>
  <c r="AS648" i="37"/>
  <c r="J648" i="37"/>
  <c r="AD648" i="37"/>
  <c r="AH648" i="37"/>
  <c r="K581" i="35"/>
  <c r="O581" i="35"/>
  <c r="S581" i="35"/>
  <c r="AA581" i="35"/>
  <c r="AE581" i="35"/>
  <c r="AI581" i="35"/>
  <c r="AQ581" i="35"/>
  <c r="H581" i="35"/>
  <c r="L581" i="35"/>
  <c r="P581" i="35"/>
  <c r="T581" i="35"/>
  <c r="X581" i="35"/>
  <c r="AB581" i="35"/>
  <c r="AF581" i="35"/>
  <c r="AJ581" i="35"/>
  <c r="AN581" i="35"/>
  <c r="AR581" i="35"/>
  <c r="G581" i="35"/>
  <c r="W581" i="35"/>
  <c r="AM581" i="35"/>
  <c r="I581" i="35"/>
  <c r="M581" i="35"/>
  <c r="Q581" i="35"/>
  <c r="U581" i="35"/>
  <c r="Y581" i="35"/>
  <c r="AC581" i="35"/>
  <c r="AG581" i="35"/>
  <c r="AK581" i="35"/>
  <c r="AO581" i="35"/>
  <c r="AS581" i="35"/>
  <c r="J581" i="35"/>
  <c r="N581" i="35"/>
  <c r="R581" i="35"/>
  <c r="V581" i="35"/>
  <c r="Z581" i="35"/>
  <c r="AD581" i="35"/>
  <c r="AH581" i="35"/>
  <c r="AL581" i="35"/>
  <c r="AP581" i="35"/>
  <c r="K10" i="32"/>
  <c r="K18" i="32"/>
  <c r="K22" i="32"/>
  <c r="K26" i="32"/>
  <c r="K30" i="32"/>
  <c r="K34" i="32"/>
  <c r="K42" i="32"/>
  <c r="K7" i="32"/>
  <c r="K11" i="32"/>
  <c r="K15" i="32"/>
  <c r="K19" i="32"/>
  <c r="K23" i="32"/>
  <c r="K27" i="32"/>
  <c r="K31" i="32"/>
  <c r="K35" i="32"/>
  <c r="K39" i="32"/>
  <c r="K43" i="32"/>
  <c r="K6" i="32"/>
  <c r="K14" i="32"/>
  <c r="K38" i="32"/>
  <c r="K8" i="32"/>
  <c r="K12" i="32"/>
  <c r="K16" i="32"/>
  <c r="K20" i="32"/>
  <c r="K24" i="32"/>
  <c r="K28" i="32"/>
  <c r="K32" i="32"/>
  <c r="K36" i="32"/>
  <c r="K40" i="32"/>
  <c r="K44" i="32"/>
  <c r="K9" i="32"/>
  <c r="K13" i="32"/>
  <c r="K17" i="32"/>
  <c r="K21" i="32"/>
  <c r="K25" i="32"/>
  <c r="K29" i="32"/>
  <c r="K33" i="32"/>
  <c r="K37" i="32"/>
  <c r="K41" i="32"/>
  <c r="E586" i="6"/>
  <c r="E621" i="6"/>
  <c r="E592" i="6"/>
  <c r="E570" i="6"/>
  <c r="E602" i="6"/>
  <c r="G547" i="35"/>
  <c r="K547" i="35"/>
  <c r="O547" i="35"/>
  <c r="S547" i="35"/>
  <c r="W547" i="35"/>
  <c r="AA547" i="35"/>
  <c r="AE547" i="35"/>
  <c r="AI547" i="35"/>
  <c r="AM547" i="35"/>
  <c r="AQ547" i="35"/>
  <c r="H547" i="35"/>
  <c r="L547" i="35"/>
  <c r="P547" i="35"/>
  <c r="T547" i="35"/>
  <c r="X547" i="35"/>
  <c r="AB547" i="35"/>
  <c r="AF547" i="35"/>
  <c r="AJ547" i="35"/>
  <c r="AN547" i="35"/>
  <c r="AR547" i="35"/>
  <c r="I547" i="35"/>
  <c r="M547" i="35"/>
  <c r="Q547" i="35"/>
  <c r="U547" i="35"/>
  <c r="Y547" i="35"/>
  <c r="AC547" i="35"/>
  <c r="AG547" i="35"/>
  <c r="AK547" i="35"/>
  <c r="AO547" i="35"/>
  <c r="AS547" i="35"/>
  <c r="J547" i="35"/>
  <c r="N547" i="35"/>
  <c r="R547" i="35"/>
  <c r="V547" i="35"/>
  <c r="Z547" i="35"/>
  <c r="AD547" i="35"/>
  <c r="AH547" i="35"/>
  <c r="AL547" i="35"/>
  <c r="AP547" i="35"/>
  <c r="AS510" i="35"/>
  <c r="AO510" i="35"/>
  <c r="AK510" i="35"/>
  <c r="AG510" i="35"/>
  <c r="AC510" i="35"/>
  <c r="Y510" i="35"/>
  <c r="U510" i="35"/>
  <c r="Q510" i="35"/>
  <c r="M510" i="35"/>
  <c r="I510" i="35"/>
  <c r="AT510" i="35"/>
  <c r="AP510" i="35"/>
  <c r="AL510" i="35"/>
  <c r="AH510" i="35"/>
  <c r="AD510" i="35"/>
  <c r="Z510" i="35"/>
  <c r="V510" i="35"/>
  <c r="R510" i="35"/>
  <c r="N510" i="35"/>
  <c r="J510" i="35"/>
  <c r="AR510" i="35"/>
  <c r="AN510" i="35"/>
  <c r="AJ510" i="35"/>
  <c r="AF510" i="35"/>
  <c r="AB510" i="35"/>
  <c r="X510" i="35"/>
  <c r="T510" i="35"/>
  <c r="P510" i="35"/>
  <c r="L510" i="35"/>
  <c r="H510" i="35"/>
  <c r="AQ510" i="35"/>
  <c r="AM510" i="35"/>
  <c r="AI510" i="35"/>
  <c r="AE510" i="35"/>
  <c r="AA510" i="35"/>
  <c r="W510" i="35"/>
  <c r="S510" i="35"/>
  <c r="O510" i="35"/>
  <c r="K510" i="35"/>
  <c r="E629" i="6"/>
  <c r="E578" i="6"/>
  <c r="E594" i="6"/>
  <c r="E610" i="6"/>
  <c r="E637" i="6"/>
  <c r="E568" i="6"/>
  <c r="E584" i="6"/>
  <c r="E600" i="6"/>
  <c r="E613" i="6"/>
  <c r="E645" i="6"/>
  <c r="E614" i="6"/>
  <c r="E622" i="6"/>
  <c r="E630" i="6"/>
  <c r="E638" i="6"/>
  <c r="E648" i="6"/>
  <c r="E644" i="6"/>
  <c r="E640" i="6"/>
  <c r="E636" i="6"/>
  <c r="E632" i="6"/>
  <c r="E628" i="6"/>
  <c r="E624" i="6"/>
  <c r="E620" i="6"/>
  <c r="E616" i="6"/>
  <c r="E612" i="6"/>
  <c r="E647" i="6"/>
  <c r="E643" i="6"/>
  <c r="E639" i="6"/>
  <c r="E635" i="6"/>
  <c r="E631" i="6"/>
  <c r="E627" i="6"/>
  <c r="E623" i="6"/>
  <c r="E619" i="6"/>
  <c r="E615" i="6"/>
  <c r="E611" i="6"/>
  <c r="E617" i="6"/>
  <c r="E625" i="6"/>
  <c r="E633" i="6"/>
  <c r="E641" i="6"/>
  <c r="E649" i="6"/>
  <c r="E266" i="6"/>
  <c r="E618" i="6"/>
  <c r="E626" i="6"/>
  <c r="E634" i="6"/>
  <c r="E642" i="6"/>
  <c r="E572" i="6"/>
  <c r="E580" i="6"/>
  <c r="E588" i="6"/>
  <c r="E596" i="6"/>
  <c r="E604" i="6"/>
  <c r="E574" i="6"/>
  <c r="E582" i="6"/>
  <c r="E590" i="6"/>
  <c r="E598" i="6"/>
  <c r="E606" i="6"/>
  <c r="E271" i="6"/>
  <c r="E571" i="6"/>
  <c r="E575" i="6"/>
  <c r="E579" i="6"/>
  <c r="E583" i="6"/>
  <c r="E587" i="6"/>
  <c r="E591" i="6"/>
  <c r="E595" i="6"/>
  <c r="E599" i="6"/>
  <c r="E603" i="6"/>
  <c r="E607" i="6"/>
  <c r="E569" i="6"/>
  <c r="E573" i="6"/>
  <c r="E577" i="6"/>
  <c r="E581" i="6"/>
  <c r="E585" i="6"/>
  <c r="E589" i="6"/>
  <c r="E593" i="6"/>
  <c r="E597" i="6"/>
  <c r="E601" i="6"/>
  <c r="E267" i="6"/>
  <c r="E269" i="6"/>
  <c r="E265" i="6"/>
  <c r="E270" i="6"/>
  <c r="E196" i="6"/>
  <c r="E200" i="6"/>
  <c r="E199" i="6"/>
  <c r="E193" i="6"/>
  <c r="E197" i="6"/>
  <c r="E201" i="6"/>
  <c r="E195" i="6"/>
  <c r="E194" i="6"/>
  <c r="E198" i="6"/>
  <c r="E232" i="6"/>
  <c r="E236" i="6"/>
  <c r="E231" i="6"/>
  <c r="E229" i="6"/>
  <c r="E233" i="6"/>
  <c r="E237" i="6"/>
  <c r="E235" i="6"/>
  <c r="E230" i="6"/>
  <c r="E234" i="6"/>
  <c r="E268" i="6"/>
  <c r="E272" i="6"/>
  <c r="E273" i="6"/>
  <c r="E304" i="6"/>
  <c r="E308" i="6"/>
  <c r="E307" i="6"/>
  <c r="E301" i="6"/>
  <c r="E305" i="6"/>
  <c r="E309" i="6"/>
  <c r="E303" i="6"/>
  <c r="E302" i="6"/>
  <c r="E306" i="6"/>
  <c r="E316" i="6"/>
  <c r="E320" i="6"/>
  <c r="E319" i="6"/>
  <c r="E313" i="6"/>
  <c r="E317" i="6"/>
  <c r="E321" i="6"/>
  <c r="E315" i="6"/>
  <c r="E314" i="6"/>
  <c r="E318" i="6"/>
  <c r="E355" i="6"/>
  <c r="E359" i="6"/>
  <c r="E358" i="6"/>
  <c r="E352" i="6"/>
  <c r="E356" i="6"/>
  <c r="E360" i="6"/>
  <c r="E354" i="6"/>
  <c r="E353" i="6"/>
  <c r="E357" i="6"/>
  <c r="E343" i="6"/>
  <c r="E347" i="6"/>
  <c r="E342" i="6"/>
  <c r="E340" i="6"/>
  <c r="E344" i="6"/>
  <c r="E348" i="6"/>
  <c r="E346" i="6"/>
  <c r="E341" i="6"/>
  <c r="E345" i="6"/>
  <c r="E331" i="6"/>
  <c r="E335" i="6"/>
  <c r="E330" i="6"/>
  <c r="E328" i="6"/>
  <c r="E332" i="6"/>
  <c r="E336" i="6"/>
  <c r="E334" i="6"/>
  <c r="E329" i="6"/>
  <c r="E333" i="6"/>
  <c r="E660" i="6"/>
  <c r="E664" i="6"/>
  <c r="E661" i="6"/>
  <c r="E665" i="6"/>
  <c r="E658" i="6"/>
  <c r="E662" i="6"/>
  <c r="E666" i="6"/>
  <c r="E659" i="6"/>
  <c r="E663" i="6"/>
  <c r="E673" i="6"/>
  <c r="E677" i="6"/>
  <c r="E676" i="6"/>
  <c r="E670" i="6"/>
  <c r="E674" i="6"/>
  <c r="E678" i="6"/>
  <c r="E672" i="6"/>
  <c r="E671" i="6"/>
  <c r="E675" i="6"/>
  <c r="E685" i="6"/>
  <c r="E689" i="6"/>
  <c r="E684" i="6"/>
  <c r="E682" i="6"/>
  <c r="E686" i="6"/>
  <c r="E690" i="6"/>
  <c r="E688" i="6"/>
  <c r="E683" i="6"/>
  <c r="E687" i="6"/>
  <c r="E564" i="6"/>
  <c r="E560" i="6"/>
  <c r="E556" i="6"/>
  <c r="E552" i="6"/>
  <c r="E548" i="6"/>
  <c r="E544" i="6"/>
  <c r="E540" i="6"/>
  <c r="E536" i="6"/>
  <c r="E532" i="6"/>
  <c r="E528" i="6"/>
  <c r="E565" i="6"/>
  <c r="E561" i="6"/>
  <c r="E557" i="6"/>
  <c r="E553" i="6"/>
  <c r="E549" i="6"/>
  <c r="E545" i="6"/>
  <c r="E541" i="6"/>
  <c r="E537" i="6"/>
  <c r="E533" i="6"/>
  <c r="E529" i="6"/>
  <c r="E563" i="6"/>
  <c r="E559" i="6"/>
  <c r="E555" i="6"/>
  <c r="E551" i="6"/>
  <c r="E547" i="6"/>
  <c r="E543" i="6"/>
  <c r="E539" i="6"/>
  <c r="E535" i="6"/>
  <c r="E531" i="6"/>
  <c r="E527" i="6"/>
  <c r="E562" i="6"/>
  <c r="E558" i="6"/>
  <c r="E554" i="6"/>
  <c r="E550" i="6"/>
  <c r="E546" i="6"/>
  <c r="E542" i="6"/>
  <c r="E538" i="6"/>
  <c r="E534" i="6"/>
  <c r="E530" i="6"/>
  <c r="E1347" i="6"/>
  <c r="E1363" i="6"/>
  <c r="E1351" i="6"/>
  <c r="E1367" i="6"/>
  <c r="E1339" i="6"/>
  <c r="E1355" i="6"/>
  <c r="E1371" i="6"/>
  <c r="E1343" i="6"/>
  <c r="E1359" i="6"/>
  <c r="E1375" i="6"/>
  <c r="E1297" i="6"/>
  <c r="E1313" i="6"/>
  <c r="E1329" i="6"/>
  <c r="E1340" i="6"/>
  <c r="E1344" i="6"/>
  <c r="E1348" i="6"/>
  <c r="E1352" i="6"/>
  <c r="E1356" i="6"/>
  <c r="E1360" i="6"/>
  <c r="E1364" i="6"/>
  <c r="E1368" i="6"/>
  <c r="E1372" i="6"/>
  <c r="E1376" i="6"/>
  <c r="E1309" i="6"/>
  <c r="E1325" i="6"/>
  <c r="E1301" i="6"/>
  <c r="E1317" i="6"/>
  <c r="E1333" i="6"/>
  <c r="E1341" i="6"/>
  <c r="E1345" i="6"/>
  <c r="E1349" i="6"/>
  <c r="E1353" i="6"/>
  <c r="E1357" i="6"/>
  <c r="E1361" i="6"/>
  <c r="E1365" i="6"/>
  <c r="E1369" i="6"/>
  <c r="E1373" i="6"/>
  <c r="E1377" i="6"/>
  <c r="E1305" i="6"/>
  <c r="E1321" i="6"/>
  <c r="E1342" i="6"/>
  <c r="E1346" i="6"/>
  <c r="E1350" i="6"/>
  <c r="E1354" i="6"/>
  <c r="E1358" i="6"/>
  <c r="E1362" i="6"/>
  <c r="E1366" i="6"/>
  <c r="E1370" i="6"/>
  <c r="E1374" i="6"/>
  <c r="E1298" i="6"/>
  <c r="E1302" i="6"/>
  <c r="E1306" i="6"/>
  <c r="E1310" i="6"/>
  <c r="E1314" i="6"/>
  <c r="E1318" i="6"/>
  <c r="E1322" i="6"/>
  <c r="E1326" i="6"/>
  <c r="E1330" i="6"/>
  <c r="E1334" i="6"/>
  <c r="E1299" i="6"/>
  <c r="E1303" i="6"/>
  <c r="E1307" i="6"/>
  <c r="E1311" i="6"/>
  <c r="E1315" i="6"/>
  <c r="E1319" i="6"/>
  <c r="E1323" i="6"/>
  <c r="E1327" i="6"/>
  <c r="E1331" i="6"/>
  <c r="E1335" i="6"/>
  <c r="E1300" i="6"/>
  <c r="E1304" i="6"/>
  <c r="E1308" i="6"/>
  <c r="E1312" i="6"/>
  <c r="E1316" i="6"/>
  <c r="E1320" i="6"/>
  <c r="E1324" i="6"/>
  <c r="E1328" i="6"/>
  <c r="E1332" i="6"/>
  <c r="E1240" i="6"/>
  <c r="E1244" i="6"/>
  <c r="E1239" i="6"/>
  <c r="E1237" i="6"/>
  <c r="E1241" i="6"/>
  <c r="E1245" i="6"/>
  <c r="E1243" i="6"/>
  <c r="E1238" i="6"/>
  <c r="E1242" i="6"/>
  <c r="E1228" i="6"/>
  <c r="E1232" i="6"/>
  <c r="E1227" i="6"/>
  <c r="E1225" i="6"/>
  <c r="E1229" i="6"/>
  <c r="E1233" i="6"/>
  <c r="E1231" i="6"/>
  <c r="E1226" i="6"/>
  <c r="E1230" i="6"/>
  <c r="E1220" i="6"/>
  <c r="E1213" i="6"/>
  <c r="E1217" i="6"/>
  <c r="E1221" i="6"/>
  <c r="E1215" i="6"/>
  <c r="E1219" i="6"/>
  <c r="E1216" i="6"/>
  <c r="E1214" i="6"/>
  <c r="E1218" i="6"/>
  <c r="E1208" i="6"/>
  <c r="E1201" i="6"/>
  <c r="E1205" i="6"/>
  <c r="E1209" i="6"/>
  <c r="E1203" i="6"/>
  <c r="E1207" i="6"/>
  <c r="E1204" i="6"/>
  <c r="E1202" i="6"/>
  <c r="E1206" i="6"/>
  <c r="E1071" i="6"/>
  <c r="E1075" i="6"/>
  <c r="E1070" i="6"/>
  <c r="E1068" i="6"/>
  <c r="E1072" i="6"/>
  <c r="E1076" i="6"/>
  <c r="E1074" i="6"/>
  <c r="E1069" i="6"/>
  <c r="E1073" i="6"/>
  <c r="E1063" i="6"/>
  <c r="E1058" i="6"/>
  <c r="E1062" i="6"/>
  <c r="E1059" i="6"/>
  <c r="E1056" i="6"/>
  <c r="E1060" i="6"/>
  <c r="E1064" i="6"/>
  <c r="E1057" i="6"/>
  <c r="E1061" i="6"/>
  <c r="E1047" i="6"/>
  <c r="E1051" i="6"/>
  <c r="E1046" i="6"/>
  <c r="E1044" i="6"/>
  <c r="E1048" i="6"/>
  <c r="E1052" i="6"/>
  <c r="E1050" i="6"/>
  <c r="E1045" i="6"/>
  <c r="E1049" i="6"/>
  <c r="E1031" i="6"/>
  <c r="E1035" i="6"/>
  <c r="E1028" i="6"/>
  <c r="E1032" i="6"/>
  <c r="E1036" i="6"/>
  <c r="E1030" i="6"/>
  <c r="E1034" i="6"/>
  <c r="E1029" i="6"/>
  <c r="E1033" i="6"/>
  <c r="E1019" i="6"/>
  <c r="E1023" i="6"/>
  <c r="E1018" i="6"/>
  <c r="E1016" i="6"/>
  <c r="E1020" i="6"/>
  <c r="E1024" i="6"/>
  <c r="E1022" i="6"/>
  <c r="E1017" i="6"/>
  <c r="E1021" i="6"/>
  <c r="E980" i="6"/>
  <c r="E984" i="6"/>
  <c r="E979" i="6"/>
  <c r="E977" i="6"/>
  <c r="E981" i="6"/>
  <c r="E985" i="6"/>
  <c r="E983" i="6"/>
  <c r="E978" i="6"/>
  <c r="E982" i="6"/>
  <c r="E941" i="6"/>
  <c r="E945" i="6"/>
  <c r="E940" i="6"/>
  <c r="E944" i="6"/>
  <c r="E938" i="6"/>
  <c r="E942" i="6"/>
  <c r="E946" i="6"/>
  <c r="E939" i="6"/>
  <c r="E943" i="6"/>
  <c r="E902" i="6"/>
  <c r="E906" i="6"/>
  <c r="E901" i="6"/>
  <c r="E905" i="6"/>
  <c r="E899" i="6"/>
  <c r="E903" i="6"/>
  <c r="E907" i="6"/>
  <c r="E900" i="6"/>
  <c r="E904" i="6"/>
  <c r="E1292" i="6"/>
  <c r="E1288" i="6"/>
  <c r="E1284" i="6"/>
  <c r="E1280" i="6"/>
  <c r="E1276" i="6"/>
  <c r="E1272" i="6"/>
  <c r="E1268" i="6"/>
  <c r="E1264" i="6"/>
  <c r="E1260" i="6"/>
  <c r="E1256" i="6"/>
  <c r="E1293" i="6"/>
  <c r="E1289" i="6"/>
  <c r="E1285" i="6"/>
  <c r="E1281" i="6"/>
  <c r="E1277" i="6"/>
  <c r="E1273" i="6"/>
  <c r="E1269" i="6"/>
  <c r="E1265" i="6"/>
  <c r="E1261" i="6"/>
  <c r="E1257" i="6"/>
  <c r="E1291" i="6"/>
  <c r="E1287" i="6"/>
  <c r="E1283" i="6"/>
  <c r="E1279" i="6"/>
  <c r="E1275" i="6"/>
  <c r="E1271" i="6"/>
  <c r="E1267" i="6"/>
  <c r="E1263" i="6"/>
  <c r="E1259" i="6"/>
  <c r="E1255" i="6"/>
  <c r="E1290" i="6"/>
  <c r="E1286" i="6"/>
  <c r="E1282" i="6"/>
  <c r="E1278" i="6"/>
  <c r="E1274" i="6"/>
  <c r="E1270" i="6"/>
  <c r="E1266" i="6"/>
  <c r="E1262" i="6"/>
  <c r="E1258" i="6"/>
  <c r="G517" i="35" l="1" a="1"/>
  <c r="I4366" i="41"/>
  <c r="H4366" i="41"/>
  <c r="G4366" i="41"/>
  <c r="K4366" i="41"/>
  <c r="J4366" i="41"/>
  <c r="D4367" i="41"/>
  <c r="E4367" i="41" s="1"/>
  <c r="F4367" i="41" s="1"/>
  <c r="J19" i="32"/>
  <c r="J35" i="32"/>
  <c r="J13" i="32"/>
  <c r="J29" i="32"/>
  <c r="J45" i="32"/>
  <c r="J18" i="32"/>
  <c r="J34" i="32"/>
  <c r="J12" i="32"/>
  <c r="J28" i="32"/>
  <c r="J44" i="32"/>
  <c r="J23" i="32"/>
  <c r="J39" i="32"/>
  <c r="J17" i="32"/>
  <c r="J33" i="32"/>
  <c r="J6" i="32"/>
  <c r="J22" i="32"/>
  <c r="J38" i="32"/>
  <c r="J16" i="32"/>
  <c r="J32" i="32"/>
  <c r="J11" i="32"/>
  <c r="J27" i="32"/>
  <c r="J43" i="32"/>
  <c r="J21" i="32"/>
  <c r="J37" i="32"/>
  <c r="J10" i="32"/>
  <c r="J26" i="32"/>
  <c r="J42" i="32"/>
  <c r="J20" i="32"/>
  <c r="J36" i="32"/>
  <c r="J15" i="32"/>
  <c r="J31" i="32"/>
  <c r="J9" i="32"/>
  <c r="J25" i="32"/>
  <c r="J41" i="32"/>
  <c r="J14" i="32"/>
  <c r="J30" i="32"/>
  <c r="J8" i="32"/>
  <c r="J24" i="32"/>
  <c r="J40" i="32"/>
  <c r="K5" i="32"/>
  <c r="G516" i="35" l="1" a="1"/>
  <c r="G517" i="35"/>
  <c r="AS517" i="35"/>
  <c r="M517" i="35"/>
  <c r="Z517" i="35"/>
  <c r="AG517" i="35"/>
  <c r="AN517" i="35"/>
  <c r="X517" i="35"/>
  <c r="H517" i="35"/>
  <c r="AM517" i="35"/>
  <c r="W517" i="35"/>
  <c r="AD517" i="35"/>
  <c r="AT517" i="35"/>
  <c r="U517" i="35"/>
  <c r="P517" i="35"/>
  <c r="AE517" i="35"/>
  <c r="V517" i="35"/>
  <c r="AH517" i="35"/>
  <c r="AR517" i="35"/>
  <c r="L517" i="35"/>
  <c r="AA517" i="35"/>
  <c r="AP517" i="35"/>
  <c r="AK517" i="35"/>
  <c r="I517" i="35"/>
  <c r="N517" i="35"/>
  <c r="AC517" i="35"/>
  <c r="AJ517" i="35"/>
  <c r="T517" i="35"/>
  <c r="AL517" i="35"/>
  <c r="AI517" i="35"/>
  <c r="S517" i="35"/>
  <c r="Y517" i="35"/>
  <c r="J517" i="35"/>
  <c r="AF517" i="35"/>
  <c r="R517" i="35"/>
  <c r="O517" i="35"/>
  <c r="Q517" i="35"/>
  <c r="AO517" i="35"/>
  <c r="AB517" i="35"/>
  <c r="AQ517" i="35"/>
  <c r="K517" i="35"/>
  <c r="K4367" i="41"/>
  <c r="J4367" i="41"/>
  <c r="I4367" i="41"/>
  <c r="H4367" i="41"/>
  <c r="G4367" i="41"/>
  <c r="D4368" i="41"/>
  <c r="E4368" i="41" s="1"/>
  <c r="F4368" i="41" s="1"/>
  <c r="J5" i="32"/>
  <c r="G642" i="35"/>
  <c r="G516" i="35" l="1"/>
  <c r="AT516" i="35"/>
  <c r="AD516" i="35"/>
  <c r="N516" i="35"/>
  <c r="AK516" i="35"/>
  <c r="U516" i="35"/>
  <c r="AR516" i="35"/>
  <c r="AB516" i="35"/>
  <c r="L516" i="35"/>
  <c r="AI516" i="35"/>
  <c r="S516" i="35"/>
  <c r="AL516" i="35"/>
  <c r="AS516" i="35"/>
  <c r="M516" i="35"/>
  <c r="T516" i="35"/>
  <c r="AA516" i="35"/>
  <c r="AH516" i="35"/>
  <c r="AO516" i="35"/>
  <c r="I516" i="35"/>
  <c r="P516" i="35"/>
  <c r="W516" i="35"/>
  <c r="AP516" i="35"/>
  <c r="Z516" i="35"/>
  <c r="J516" i="35"/>
  <c r="AG516" i="35"/>
  <c r="Q516" i="35"/>
  <c r="AN516" i="35"/>
  <c r="X516" i="35"/>
  <c r="H516" i="35"/>
  <c r="AE516" i="35"/>
  <c r="O516" i="35"/>
  <c r="V516" i="35"/>
  <c r="AC516" i="35"/>
  <c r="AJ516" i="35"/>
  <c r="AQ516" i="35"/>
  <c r="K516" i="35"/>
  <c r="R516" i="35"/>
  <c r="Y516" i="35"/>
  <c r="AF516" i="35"/>
  <c r="AM516" i="35"/>
  <c r="K4368" i="41"/>
  <c r="J4368" i="41"/>
  <c r="I4368" i="41"/>
  <c r="G4368" i="41"/>
  <c r="H4368" i="41"/>
  <c r="D4369" i="41"/>
  <c r="E4369" i="41" s="1"/>
  <c r="F4369" i="41" s="1"/>
  <c r="G723" i="35"/>
  <c r="G1041" i="37" s="1"/>
  <c r="G1043" i="37" s="1"/>
  <c r="E141" i="39" s="1"/>
  <c r="O681" i="35"/>
  <c r="I697" i="35" s="1" a="1"/>
  <c r="G717" i="35"/>
  <c r="G689" i="35"/>
  <c r="G688" i="35"/>
  <c r="G687" i="35"/>
  <c r="G686" i="35"/>
  <c r="G685" i="35"/>
  <c r="G684" i="35"/>
  <c r="G683" i="35"/>
  <c r="G682" i="35"/>
  <c r="G681" i="35"/>
  <c r="I697" i="35" l="1"/>
  <c r="I700" i="35"/>
  <c r="I698" i="35"/>
  <c r="I699" i="35"/>
  <c r="G4369" i="41"/>
  <c r="K4369" i="41"/>
  <c r="I4369" i="41"/>
  <c r="H4369" i="41"/>
  <c r="J4369" i="41"/>
  <c r="D4370" i="41"/>
  <c r="E4370" i="41" s="1"/>
  <c r="F4370" i="41" s="1"/>
  <c r="G697" i="35" a="1"/>
  <c r="G700" i="35" s="1"/>
  <c r="O698" i="35" l="1" a="1"/>
  <c r="O699" i="35" s="1"/>
  <c r="I4370" i="41"/>
  <c r="H4370" i="41"/>
  <c r="G4370" i="41"/>
  <c r="J4370" i="41"/>
  <c r="K4370" i="41"/>
  <c r="D4371" i="41"/>
  <c r="E4371" i="41" s="1"/>
  <c r="F4371" i="41" s="1"/>
  <c r="G699" i="35"/>
  <c r="G706" i="35"/>
  <c r="G697" i="35"/>
  <c r="G701" i="35"/>
  <c r="G705" i="35"/>
  <c r="G707" i="35"/>
  <c r="G702" i="35"/>
  <c r="G704" i="35"/>
  <c r="G703" i="35"/>
  <c r="G698" i="35"/>
  <c r="E750" i="6" a="1"/>
  <c r="E769" i="6" s="1"/>
  <c r="E707" i="6" a="1"/>
  <c r="E726" i="6" s="1"/>
  <c r="O700" i="35" l="1"/>
  <c r="O698" i="35"/>
  <c r="K4371" i="41"/>
  <c r="J4371" i="41"/>
  <c r="I4371" i="41"/>
  <c r="H4371" i="41"/>
  <c r="G4371" i="41"/>
  <c r="D4372" i="41"/>
  <c r="E4372" i="41" s="1"/>
  <c r="F4372" i="41" s="1"/>
  <c r="M697" i="35" a="1"/>
  <c r="M699" i="35" s="1"/>
  <c r="G745" i="37" a="1"/>
  <c r="E755" i="6"/>
  <c r="E763" i="6"/>
  <c r="E711" i="6"/>
  <c r="E716" i="6"/>
  <c r="E721" i="6"/>
  <c r="E707" i="6"/>
  <c r="E712" i="6"/>
  <c r="E717" i="6"/>
  <c r="E723" i="6"/>
  <c r="E750" i="6"/>
  <c r="E758" i="6"/>
  <c r="E766" i="6"/>
  <c r="E709" i="6"/>
  <c r="E715" i="6"/>
  <c r="E720" i="6"/>
  <c r="E725" i="6"/>
  <c r="E754" i="6"/>
  <c r="E762" i="6"/>
  <c r="E708" i="6"/>
  <c r="E713" i="6"/>
  <c r="E719" i="6"/>
  <c r="E724" i="6"/>
  <c r="E751" i="6"/>
  <c r="E759" i="6"/>
  <c r="E767" i="6"/>
  <c r="E710" i="6"/>
  <c r="E714" i="6"/>
  <c r="E718" i="6"/>
  <c r="E722" i="6"/>
  <c r="E752" i="6"/>
  <c r="E756" i="6"/>
  <c r="E760" i="6"/>
  <c r="E764" i="6"/>
  <c r="E768" i="6"/>
  <c r="E753" i="6"/>
  <c r="E757" i="6"/>
  <c r="E761" i="6"/>
  <c r="E765" i="6"/>
  <c r="K4372" i="41" l="1"/>
  <c r="J4372" i="41"/>
  <c r="I4372" i="41"/>
  <c r="H4372" i="41"/>
  <c r="G4372" i="41"/>
  <c r="D4373" i="41"/>
  <c r="E4373" i="41" s="1"/>
  <c r="F4373" i="41" s="1"/>
  <c r="M701" i="35"/>
  <c r="M697" i="35"/>
  <c r="M706" i="35"/>
  <c r="M700" i="35"/>
  <c r="M705" i="35"/>
  <c r="M707" i="35"/>
  <c r="M702" i="35"/>
  <c r="M703" i="35"/>
  <c r="M698" i="35"/>
  <c r="M704" i="35"/>
  <c r="G745" i="37"/>
  <c r="J752" i="37"/>
  <c r="I759" i="37"/>
  <c r="I753" i="37"/>
  <c r="I748" i="37"/>
  <c r="H759" i="37"/>
  <c r="H755" i="37"/>
  <c r="H751" i="37"/>
  <c r="H747" i="37"/>
  <c r="J758" i="37"/>
  <c r="J751" i="37"/>
  <c r="I760" i="37"/>
  <c r="I745" i="37"/>
  <c r="G757" i="37"/>
  <c r="G753" i="37"/>
  <c r="G749" i="37"/>
  <c r="J757" i="37"/>
  <c r="I750" i="37"/>
  <c r="H757" i="37"/>
  <c r="H749" i="37"/>
  <c r="J754" i="37"/>
  <c r="I755" i="37"/>
  <c r="G755" i="37"/>
  <c r="G747" i="37"/>
  <c r="J746" i="37"/>
  <c r="I749" i="37"/>
  <c r="H756" i="37"/>
  <c r="H748" i="37"/>
  <c r="J753" i="37"/>
  <c r="I752" i="37"/>
  <c r="G754" i="37"/>
  <c r="G746" i="37"/>
  <c r="J759" i="37"/>
  <c r="J750" i="37"/>
  <c r="I757" i="37"/>
  <c r="I751" i="37"/>
  <c r="I747" i="37"/>
  <c r="H758" i="37"/>
  <c r="H754" i="37"/>
  <c r="H750" i="37"/>
  <c r="H746" i="37"/>
  <c r="J756" i="37"/>
  <c r="J749" i="37"/>
  <c r="I758" i="37"/>
  <c r="G760" i="37"/>
  <c r="G756" i="37"/>
  <c r="G752" i="37"/>
  <c r="G748" i="37"/>
  <c r="J748" i="37"/>
  <c r="I756" i="37"/>
  <c r="I746" i="37"/>
  <c r="H753" i="37"/>
  <c r="H745" i="37"/>
  <c r="J747" i="37"/>
  <c r="G759" i="37"/>
  <c r="G751" i="37"/>
  <c r="J755" i="37"/>
  <c r="I754" i="37"/>
  <c r="H760" i="37"/>
  <c r="H752" i="37"/>
  <c r="J760" i="37"/>
  <c r="J745" i="37"/>
  <c r="G758" i="37"/>
  <c r="G750" i="37"/>
  <c r="G4373" i="41" l="1"/>
  <c r="K4373" i="41"/>
  <c r="H4373" i="41"/>
  <c r="I4373" i="41"/>
  <c r="J4373" i="41"/>
  <c r="D4374" i="41"/>
  <c r="E4374" i="41" s="1"/>
  <c r="F4374" i="41" s="1"/>
  <c r="G727" i="37" a="1"/>
  <c r="G727" i="37" s="1"/>
  <c r="I776" i="37"/>
  <c r="I778" i="37"/>
  <c r="G776" i="37"/>
  <c r="G777" i="37"/>
  <c r="J767" i="37"/>
  <c r="I775" i="37"/>
  <c r="J769" i="37"/>
  <c r="I777" i="37"/>
  <c r="I772" i="37"/>
  <c r="J765" i="37"/>
  <c r="I774" i="37"/>
  <c r="J774" i="37"/>
  <c r="J768" i="37"/>
  <c r="I773" i="37"/>
  <c r="J776" i="37"/>
  <c r="J770" i="37"/>
  <c r="J778" i="37"/>
  <c r="J773" i="37"/>
  <c r="J766" i="37"/>
  <c r="G778" i="37"/>
  <c r="J777" i="37"/>
  <c r="J771" i="37"/>
  <c r="J772" i="37"/>
  <c r="J775" i="37"/>
  <c r="I4374" i="41" l="1"/>
  <c r="H4374" i="41"/>
  <c r="G4374" i="41"/>
  <c r="K4374" i="41"/>
  <c r="J4374" i="41"/>
  <c r="D4375" i="41"/>
  <c r="E4375" i="41" s="1"/>
  <c r="F4375" i="41" s="1"/>
  <c r="G729" i="37"/>
  <c r="G728" i="37"/>
  <c r="G734" i="37"/>
  <c r="G735" i="37"/>
  <c r="H729" i="37"/>
  <c r="H732" i="37"/>
  <c r="H734" i="37"/>
  <c r="H735" i="37"/>
  <c r="J729" i="37"/>
  <c r="J789" i="37" s="1"/>
  <c r="J822" i="37" s="1"/>
  <c r="J732" i="37"/>
  <c r="O792" i="37" s="1"/>
  <c r="O825" i="37" s="1"/>
  <c r="J734" i="37"/>
  <c r="O889" i="37" s="1"/>
  <c r="O922" i="37" s="1"/>
  <c r="J735" i="37"/>
  <c r="O795" i="37" s="1"/>
  <c r="O828" i="37" s="1"/>
  <c r="I729" i="37"/>
  <c r="I732" i="37"/>
  <c r="I734" i="37"/>
  <c r="I735" i="37"/>
  <c r="I890" i="37" s="1"/>
  <c r="I923" i="37" s="1"/>
  <c r="G733" i="37"/>
  <c r="H733" i="37"/>
  <c r="J733" i="37"/>
  <c r="O888" i="37" s="1"/>
  <c r="O921" i="37" s="1"/>
  <c r="I733" i="37"/>
  <c r="G732" i="37"/>
  <c r="H736" i="37"/>
  <c r="J736" i="37"/>
  <c r="O796" i="37" s="1"/>
  <c r="O829" i="37" s="1"/>
  <c r="I736" i="37"/>
  <c r="N796" i="37" s="1"/>
  <c r="N829" i="37" s="1"/>
  <c r="G738" i="37"/>
  <c r="H738" i="37"/>
  <c r="J738" i="37"/>
  <c r="J798" i="37" s="1"/>
  <c r="J831" i="37" s="1"/>
  <c r="I738" i="37"/>
  <c r="I798" i="37" s="1"/>
  <c r="I831" i="37" s="1"/>
  <c r="G739" i="37"/>
  <c r="H739" i="37"/>
  <c r="J739" i="37"/>
  <c r="J894" i="37" s="1"/>
  <c r="J927" i="37" s="1"/>
  <c r="I739" i="37"/>
  <c r="N799" i="37" s="1"/>
  <c r="N832" i="37" s="1"/>
  <c r="G737" i="37"/>
  <c r="H737" i="37"/>
  <c r="J737" i="37"/>
  <c r="J797" i="37" s="1"/>
  <c r="J830" i="37" s="1"/>
  <c r="I737" i="37"/>
  <c r="I892" i="37" s="1"/>
  <c r="I925" i="37" s="1"/>
  <c r="G736" i="37"/>
  <c r="H740" i="37"/>
  <c r="J740" i="37"/>
  <c r="O895" i="37" s="1"/>
  <c r="O928" i="37" s="1"/>
  <c r="I740" i="37"/>
  <c r="I800" i="37" s="1"/>
  <c r="I833" i="37" s="1"/>
  <c r="G742" i="37"/>
  <c r="G802" i="37" s="1"/>
  <c r="G835" i="37" s="1"/>
  <c r="H742" i="37"/>
  <c r="M802" i="37" s="1"/>
  <c r="J742" i="37"/>
  <c r="O897" i="37" s="1"/>
  <c r="O930" i="37" s="1"/>
  <c r="I742" i="37"/>
  <c r="I802" i="37" s="1"/>
  <c r="I835" i="37" s="1"/>
  <c r="H727" i="37"/>
  <c r="J727" i="37"/>
  <c r="I727" i="37"/>
  <c r="G740" i="37"/>
  <c r="G800" i="37" s="1"/>
  <c r="G833" i="37" s="1"/>
  <c r="G741" i="37"/>
  <c r="L896" i="37" s="1"/>
  <c r="L929" i="37" s="1"/>
  <c r="H741" i="37"/>
  <c r="J741" i="37"/>
  <c r="O801" i="37" s="1"/>
  <c r="O834" i="37" s="1"/>
  <c r="I741" i="37"/>
  <c r="I801" i="37" s="1"/>
  <c r="I834" i="37" s="1"/>
  <c r="H728" i="37"/>
  <c r="J728" i="37"/>
  <c r="I728" i="37"/>
  <c r="G730" i="37"/>
  <c r="H730" i="37"/>
  <c r="J730" i="37"/>
  <c r="O885" i="37" s="1"/>
  <c r="O918" i="37" s="1"/>
  <c r="I730" i="37"/>
  <c r="G731" i="37"/>
  <c r="H731" i="37"/>
  <c r="J731" i="37"/>
  <c r="J791" i="37" s="1"/>
  <c r="J824" i="37" s="1"/>
  <c r="I731" i="37"/>
  <c r="G762" i="34"/>
  <c r="K4375" i="41" l="1"/>
  <c r="J4375" i="41"/>
  <c r="I4375" i="41"/>
  <c r="H4375" i="41"/>
  <c r="G4375" i="41"/>
  <c r="D4376" i="41"/>
  <c r="E4376" i="41" s="1"/>
  <c r="F4376" i="41" s="1"/>
  <c r="J884" i="37"/>
  <c r="J917" i="37" s="1"/>
  <c r="O791" i="37"/>
  <c r="O824" i="37" s="1"/>
  <c r="J790" i="37"/>
  <c r="J823" i="37" s="1"/>
  <c r="H802" i="37"/>
  <c r="O886" i="37"/>
  <c r="O919" i="37" s="1"/>
  <c r="H897" i="37"/>
  <c r="H930" i="37" s="1"/>
  <c r="O790" i="37"/>
  <c r="O823" i="37" s="1"/>
  <c r="J887" i="37"/>
  <c r="J920" i="37" s="1"/>
  <c r="L802" i="37"/>
  <c r="L835" i="37" s="1"/>
  <c r="G896" i="37"/>
  <c r="G929" i="37" s="1"/>
  <c r="L897" i="37"/>
  <c r="L930" i="37" s="1"/>
  <c r="O794" i="37"/>
  <c r="O827" i="37" s="1"/>
  <c r="G801" i="37"/>
  <c r="G834" i="37" s="1"/>
  <c r="O884" i="37"/>
  <c r="O917" i="37" s="1"/>
  <c r="L801" i="37"/>
  <c r="L834" i="37" s="1"/>
  <c r="G897" i="37"/>
  <c r="G930" i="37" s="1"/>
  <c r="O789" i="37"/>
  <c r="O822" i="37" s="1"/>
  <c r="J793" i="37"/>
  <c r="J826" i="37" s="1"/>
  <c r="J888" i="37"/>
  <c r="J921" i="37" s="1"/>
  <c r="J794" i="37"/>
  <c r="J827" i="37" s="1"/>
  <c r="O893" i="37"/>
  <c r="O926" i="37" s="1"/>
  <c r="J893" i="37"/>
  <c r="J926" i="37" s="1"/>
  <c r="J796" i="37"/>
  <c r="J829" i="37" s="1"/>
  <c r="J801" i="37"/>
  <c r="J834" i="37" s="1"/>
  <c r="O800" i="37"/>
  <c r="O833" i="37" s="1"/>
  <c r="O802" i="37"/>
  <c r="O835" i="37" s="1"/>
  <c r="O797" i="37"/>
  <c r="O830" i="37" s="1"/>
  <c r="O891" i="37"/>
  <c r="O924" i="37" s="1"/>
  <c r="O892" i="37"/>
  <c r="O925" i="37" s="1"/>
  <c r="O896" i="37"/>
  <c r="O929" i="37" s="1"/>
  <c r="J799" i="37"/>
  <c r="J832" i="37" s="1"/>
  <c r="J897" i="37"/>
  <c r="J930" i="37" s="1"/>
  <c r="J895" i="37"/>
  <c r="J928" i="37" s="1"/>
  <c r="O894" i="37"/>
  <c r="O927" i="37" s="1"/>
  <c r="J802" i="37"/>
  <c r="J835" i="37" s="1"/>
  <c r="J800" i="37"/>
  <c r="J833" i="37" s="1"/>
  <c r="J892" i="37"/>
  <c r="J925" i="37" s="1"/>
  <c r="O799" i="37"/>
  <c r="O832" i="37" s="1"/>
  <c r="O798" i="37"/>
  <c r="O831" i="37" s="1"/>
  <c r="J891" i="37"/>
  <c r="J924" i="37" s="1"/>
  <c r="O793" i="37"/>
  <c r="O826" i="37" s="1"/>
  <c r="J889" i="37"/>
  <c r="J922" i="37" s="1"/>
  <c r="J896" i="37"/>
  <c r="J929" i="37" s="1"/>
  <c r="N802" i="37"/>
  <c r="N835" i="37" s="1"/>
  <c r="N896" i="37"/>
  <c r="N929" i="37" s="1"/>
  <c r="L895" i="37"/>
  <c r="N893" i="37"/>
  <c r="N926" i="37" s="1"/>
  <c r="I896" i="37"/>
  <c r="I929" i="37" s="1"/>
  <c r="L800" i="37"/>
  <c r="L833" i="37" s="1"/>
  <c r="I897" i="37"/>
  <c r="I930" i="37" s="1"/>
  <c r="N895" i="37"/>
  <c r="N928" i="37" s="1"/>
  <c r="I891" i="37"/>
  <c r="I924" i="37" s="1"/>
  <c r="I797" i="37"/>
  <c r="I830" i="37" s="1"/>
  <c r="N890" i="37"/>
  <c r="N923" i="37" s="1"/>
  <c r="N801" i="37"/>
  <c r="N834" i="37" s="1"/>
  <c r="G895" i="37"/>
  <c r="N897" i="37"/>
  <c r="N930" i="37" s="1"/>
  <c r="I799" i="37"/>
  <c r="I832" i="37" s="1"/>
  <c r="O890" i="37"/>
  <c r="O923" i="37" s="1"/>
  <c r="J886" i="37"/>
  <c r="J919" i="37" s="1"/>
  <c r="J885" i="37"/>
  <c r="J918" i="37" s="1"/>
  <c r="M897" i="37"/>
  <c r="M930" i="37" s="1"/>
  <c r="J792" i="37"/>
  <c r="J825" i="37" s="1"/>
  <c r="O887" i="37"/>
  <c r="O920" i="37" s="1"/>
  <c r="N800" i="37"/>
  <c r="N833" i="37" s="1"/>
  <c r="N797" i="37"/>
  <c r="N830" i="37" s="1"/>
  <c r="N894" i="37"/>
  <c r="N927" i="37" s="1"/>
  <c r="N798" i="37"/>
  <c r="N831" i="37" s="1"/>
  <c r="I796" i="37"/>
  <c r="I829" i="37" s="1"/>
  <c r="N795" i="37"/>
  <c r="J795" i="37"/>
  <c r="J828" i="37" s="1"/>
  <c r="I895" i="37"/>
  <c r="I928" i="37" s="1"/>
  <c r="N892" i="37"/>
  <c r="N925" i="37" s="1"/>
  <c r="I894" i="37"/>
  <c r="I927" i="37" s="1"/>
  <c r="I893" i="37"/>
  <c r="I926" i="37" s="1"/>
  <c r="N891" i="37"/>
  <c r="N924" i="37" s="1"/>
  <c r="I795" i="37"/>
  <c r="J890" i="37"/>
  <c r="J923" i="37" s="1"/>
  <c r="E770" i="34" a="1"/>
  <c r="E770" i="34" s="1"/>
  <c r="D770" i="34" a="1"/>
  <c r="D772" i="34" s="1"/>
  <c r="E1123" i="37" a="1"/>
  <c r="E1153" i="37" s="1"/>
  <c r="D1123" i="37" a="1"/>
  <c r="D1155" i="37" s="1"/>
  <c r="H1119" i="37"/>
  <c r="H1118" i="37"/>
  <c r="H1116" i="37"/>
  <c r="H1115" i="37"/>
  <c r="H1113" i="37"/>
  <c r="H1117" i="37"/>
  <c r="H1114" i="37"/>
  <c r="H1112" i="37"/>
  <c r="H1111" i="37"/>
  <c r="H1110" i="37"/>
  <c r="H1109" i="37"/>
  <c r="H1108" i="37"/>
  <c r="H1107" i="37"/>
  <c r="H1106" i="37"/>
  <c r="H1105" i="37"/>
  <c r="H1104" i="37"/>
  <c r="H1103" i="37"/>
  <c r="H1101" i="37"/>
  <c r="H1100" i="37"/>
  <c r="H1096" i="37"/>
  <c r="H1095" i="37"/>
  <c r="H1094" i="37"/>
  <c r="H1093" i="37"/>
  <c r="H1092" i="37"/>
  <c r="H1091" i="37"/>
  <c r="H1090" i="37"/>
  <c r="H1089" i="37"/>
  <c r="H1088" i="37"/>
  <c r="E1051" i="37" a="1"/>
  <c r="E1053" i="37" s="1"/>
  <c r="D1051" i="37" a="1"/>
  <c r="D1051" i="37" s="1"/>
  <c r="E1087" i="37" a="1"/>
  <c r="D1087" i="37" a="1"/>
  <c r="D1089" i="37" s="1"/>
  <c r="K4376" i="41" l="1"/>
  <c r="J4376" i="41"/>
  <c r="I4376" i="41"/>
  <c r="H4376" i="41"/>
  <c r="G4376" i="41"/>
  <c r="D4377" i="41"/>
  <c r="E4377" i="41" s="1"/>
  <c r="F4377" i="41" s="1"/>
  <c r="D1112" i="37"/>
  <c r="D1094" i="37"/>
  <c r="D1078" i="37"/>
  <c r="D1104" i="37"/>
  <c r="D1132" i="37"/>
  <c r="D1141" i="37"/>
  <c r="D1152" i="37"/>
  <c r="D1106" i="37"/>
  <c r="D1090" i="37"/>
  <c r="D1062" i="37"/>
  <c r="D1124" i="37"/>
  <c r="D1133" i="37"/>
  <c r="D1144" i="37"/>
  <c r="D1125" i="37"/>
  <c r="D1136" i="37"/>
  <c r="D1148" i="37"/>
  <c r="D1096" i="37"/>
  <c r="D1128" i="37"/>
  <c r="D1140" i="37"/>
  <c r="D1149" i="37"/>
  <c r="D1114" i="37"/>
  <c r="D1098" i="37"/>
  <c r="D1088" i="37"/>
  <c r="D1077" i="37"/>
  <c r="D1061" i="37"/>
  <c r="E1066" i="37"/>
  <c r="D1129" i="37"/>
  <c r="D1137" i="37"/>
  <c r="D1145" i="37"/>
  <c r="D1153" i="37"/>
  <c r="D1070" i="37"/>
  <c r="D1054" i="37"/>
  <c r="E1060" i="37"/>
  <c r="D1069" i="37"/>
  <c r="D1053" i="37"/>
  <c r="E1055" i="37"/>
  <c r="E1126" i="37"/>
  <c r="E1134" i="37"/>
  <c r="E1142" i="37"/>
  <c r="E1154" i="37"/>
  <c r="E1080" i="37"/>
  <c r="E1070" i="37"/>
  <c r="E1079" i="37"/>
  <c r="E1074" i="37"/>
  <c r="E1068" i="37"/>
  <c r="E1063" i="37"/>
  <c r="E1058" i="37"/>
  <c r="E1052" i="37"/>
  <c r="D1126" i="37"/>
  <c r="D1130" i="37"/>
  <c r="D1134" i="37"/>
  <c r="D1138" i="37"/>
  <c r="D1142" i="37"/>
  <c r="D1146" i="37"/>
  <c r="D1150" i="37"/>
  <c r="D1154" i="37"/>
  <c r="E1124" i="37"/>
  <c r="E1128" i="37"/>
  <c r="E1132" i="37"/>
  <c r="E1136" i="37"/>
  <c r="E1140" i="37"/>
  <c r="E1144" i="37"/>
  <c r="E1148" i="37"/>
  <c r="E1152" i="37"/>
  <c r="E1082" i="37"/>
  <c r="E1076" i="37"/>
  <c r="E1071" i="37"/>
  <c r="E1130" i="37"/>
  <c r="E1138" i="37"/>
  <c r="E1146" i="37"/>
  <c r="E1150" i="37"/>
  <c r="E1075" i="37"/>
  <c r="E1064" i="37"/>
  <c r="E1059" i="37"/>
  <c r="E1054" i="37"/>
  <c r="E1123" i="37"/>
  <c r="E1127" i="37"/>
  <c r="E1131" i="37"/>
  <c r="E1135" i="37"/>
  <c r="E1139" i="37"/>
  <c r="E1143" i="37"/>
  <c r="E1147" i="37"/>
  <c r="E1151" i="37"/>
  <c r="E1155" i="37"/>
  <c r="D1074" i="37"/>
  <c r="D1066" i="37"/>
  <c r="D1058" i="37"/>
  <c r="D1082" i="37"/>
  <c r="D1073" i="37"/>
  <c r="D1065" i="37"/>
  <c r="D1057" i="37"/>
  <c r="E1083" i="37"/>
  <c r="E1078" i="37"/>
  <c r="E1072" i="37"/>
  <c r="E1067" i="37"/>
  <c r="E1062" i="37"/>
  <c r="E1056" i="37"/>
  <c r="E1051" i="37"/>
  <c r="D1123" i="37"/>
  <c r="D1127" i="37"/>
  <c r="D1131" i="37"/>
  <c r="D1135" i="37"/>
  <c r="D1139" i="37"/>
  <c r="D1143" i="37"/>
  <c r="D1147" i="37"/>
  <c r="D1151" i="37"/>
  <c r="E1125" i="37"/>
  <c r="E1129" i="37"/>
  <c r="E1133" i="37"/>
  <c r="E1137" i="37"/>
  <c r="E1141" i="37"/>
  <c r="E1145" i="37"/>
  <c r="E1149" i="37"/>
  <c r="D799" i="34"/>
  <c r="D795" i="34"/>
  <c r="D791" i="34"/>
  <c r="D787" i="34"/>
  <c r="D783" i="34"/>
  <c r="D779" i="34"/>
  <c r="D775" i="34"/>
  <c r="D771" i="34"/>
  <c r="E801" i="34"/>
  <c r="E797" i="34"/>
  <c r="E793" i="34"/>
  <c r="E789" i="34"/>
  <c r="E785" i="34"/>
  <c r="E781" i="34"/>
  <c r="E777" i="34"/>
  <c r="E773" i="34"/>
  <c r="D802" i="34"/>
  <c r="D798" i="34"/>
  <c r="D794" i="34"/>
  <c r="D790" i="34"/>
  <c r="D786" i="34"/>
  <c r="D782" i="34"/>
  <c r="D778" i="34"/>
  <c r="D774" i="34"/>
  <c r="D770" i="34"/>
  <c r="E800" i="34"/>
  <c r="E796" i="34"/>
  <c r="E792" i="34"/>
  <c r="E788" i="34"/>
  <c r="E784" i="34"/>
  <c r="E780" i="34"/>
  <c r="E776" i="34"/>
  <c r="E772" i="34"/>
  <c r="E799" i="34"/>
  <c r="E795" i="34"/>
  <c r="E791" i="34"/>
  <c r="E787" i="34"/>
  <c r="E783" i="34"/>
  <c r="E779" i="34"/>
  <c r="E775" i="34"/>
  <c r="E771" i="34"/>
  <c r="D801" i="34"/>
  <c r="D797" i="34"/>
  <c r="D793" i="34"/>
  <c r="D789" i="34"/>
  <c r="D785" i="34"/>
  <c r="D781" i="34"/>
  <c r="D777" i="34"/>
  <c r="D773" i="34"/>
  <c r="D800" i="34"/>
  <c r="D796" i="34"/>
  <c r="D792" i="34"/>
  <c r="D788" i="34"/>
  <c r="D784" i="34"/>
  <c r="D780" i="34"/>
  <c r="D776" i="34"/>
  <c r="E802" i="34"/>
  <c r="E798" i="34"/>
  <c r="E794" i="34"/>
  <c r="E790" i="34"/>
  <c r="E786" i="34"/>
  <c r="E782" i="34"/>
  <c r="E778" i="34"/>
  <c r="E774" i="34"/>
  <c r="D1081" i="37"/>
  <c r="D1118" i="37"/>
  <c r="D1110" i="37"/>
  <c r="D1102" i="37"/>
  <c r="D1080" i="37"/>
  <c r="D1076" i="37"/>
  <c r="D1072" i="37"/>
  <c r="D1064" i="37"/>
  <c r="D1060" i="37"/>
  <c r="D1056" i="37"/>
  <c r="D1052" i="37"/>
  <c r="D1068" i="37"/>
  <c r="D1116" i="37"/>
  <c r="D1108" i="37"/>
  <c r="D1100" i="37"/>
  <c r="D1092" i="37"/>
  <c r="D1083" i="37"/>
  <c r="D1079" i="37"/>
  <c r="D1075" i="37"/>
  <c r="D1071" i="37"/>
  <c r="D1067" i="37"/>
  <c r="D1063" i="37"/>
  <c r="D1059" i="37"/>
  <c r="D1055" i="37"/>
  <c r="E1081" i="37"/>
  <c r="E1077" i="37"/>
  <c r="E1073" i="37"/>
  <c r="E1069" i="37"/>
  <c r="E1065" i="37"/>
  <c r="E1061" i="37"/>
  <c r="E1057" i="37"/>
  <c r="E1087" i="37"/>
  <c r="E1091" i="37"/>
  <c r="E1095" i="37"/>
  <c r="E1099" i="37"/>
  <c r="E1103" i="37"/>
  <c r="E1107" i="37"/>
  <c r="E1111" i="37"/>
  <c r="E1115" i="37"/>
  <c r="E1119" i="37"/>
  <c r="E1088" i="37"/>
  <c r="E1092" i="37"/>
  <c r="E1096" i="37"/>
  <c r="E1100" i="37"/>
  <c r="E1104" i="37"/>
  <c r="E1108" i="37"/>
  <c r="E1112" i="37"/>
  <c r="E1116" i="37"/>
  <c r="E1089" i="37"/>
  <c r="E1093" i="37"/>
  <c r="E1097" i="37"/>
  <c r="E1101" i="37"/>
  <c r="E1105" i="37"/>
  <c r="E1109" i="37"/>
  <c r="E1113" i="37"/>
  <c r="E1117" i="37"/>
  <c r="E1114" i="37"/>
  <c r="E1098" i="37"/>
  <c r="E1118" i="37"/>
  <c r="E1102" i="37"/>
  <c r="E1110" i="37"/>
  <c r="E1094" i="37"/>
  <c r="E1106" i="37"/>
  <c r="E1090" i="37"/>
  <c r="D1119" i="37"/>
  <c r="D1115" i="37"/>
  <c r="D1111" i="37"/>
  <c r="D1107" i="37"/>
  <c r="D1103" i="37"/>
  <c r="D1099" i="37"/>
  <c r="D1095" i="37"/>
  <c r="D1091" i="37"/>
  <c r="D1087" i="37"/>
  <c r="D1117" i="37"/>
  <c r="D1113" i="37"/>
  <c r="D1109" i="37"/>
  <c r="D1105" i="37"/>
  <c r="D1101" i="37"/>
  <c r="D1097" i="37"/>
  <c r="D1093" i="37"/>
  <c r="G4377" i="41" l="1"/>
  <c r="K4377" i="41"/>
  <c r="H4377" i="41"/>
  <c r="I4377" i="41"/>
  <c r="J4377" i="41"/>
  <c r="D4378" i="41"/>
  <c r="E4378" i="41" s="1"/>
  <c r="F4378" i="41" s="1"/>
  <c r="D453" i="37" a="1"/>
  <c r="D453" i="37" s="1"/>
  <c r="E49" i="6" a="1"/>
  <c r="E49" i="6" s="1"/>
  <c r="D456" i="35" a="1"/>
  <c r="D456" i="35" s="1"/>
  <c r="I4378" i="41" l="1"/>
  <c r="H4378" i="41"/>
  <c r="G4378" i="41"/>
  <c r="K4378" i="41"/>
  <c r="J4378" i="41"/>
  <c r="D4379" i="41"/>
  <c r="E4379" i="41" s="1"/>
  <c r="F4379" i="41" s="1"/>
  <c r="D456" i="37"/>
  <c r="D455" i="37"/>
  <c r="D454" i="37"/>
  <c r="E50" i="6"/>
  <c r="E52" i="6"/>
  <c r="E51" i="6"/>
  <c r="D459" i="35"/>
  <c r="D458" i="35"/>
  <c r="D457" i="35"/>
  <c r="K4379" i="41" l="1"/>
  <c r="J4379" i="41"/>
  <c r="I4379" i="41"/>
  <c r="H4379" i="41"/>
  <c r="G4379" i="41"/>
  <c r="D4380" i="41"/>
  <c r="E4380" i="41" s="1"/>
  <c r="F4380" i="41" s="1"/>
  <c r="K4380" i="41" l="1"/>
  <c r="J4380" i="41"/>
  <c r="I4380" i="41"/>
  <c r="G4380" i="41"/>
  <c r="H4380" i="41"/>
  <c r="D4381" i="41"/>
  <c r="E4381" i="41" s="1"/>
  <c r="F4381" i="41" s="1"/>
  <c r="G4381" i="41" l="1"/>
  <c r="K4381" i="41"/>
  <c r="J4381" i="41"/>
  <c r="I4381" i="41"/>
  <c r="H4381" i="41"/>
  <c r="D4382" i="41"/>
  <c r="E4382" i="41" s="1"/>
  <c r="F4382" i="41" s="1"/>
  <c r="P21" i="38"/>
  <c r="I4382" i="41" l="1"/>
  <c r="H4382" i="41"/>
  <c r="G4382" i="41"/>
  <c r="K4382" i="41"/>
  <c r="J4382" i="41"/>
  <c r="D4383" i="41"/>
  <c r="E4383" i="41" s="1"/>
  <c r="F4383" i="41" s="1"/>
  <c r="K4383" i="41" l="1"/>
  <c r="J4383" i="41"/>
  <c r="I4383" i="41"/>
  <c r="H4383" i="41"/>
  <c r="G4383" i="41"/>
  <c r="D4384" i="41"/>
  <c r="E4384" i="41" s="1"/>
  <c r="F4384" i="41" s="1"/>
  <c r="G764" i="35"/>
  <c r="G761" i="35"/>
  <c r="G755" i="35" a="1"/>
  <c r="G755" i="35" s="1"/>
  <c r="G751" i="35"/>
  <c r="K4384" i="41" l="1"/>
  <c r="J4384" i="41"/>
  <c r="I4384" i="41"/>
  <c r="H4384" i="41"/>
  <c r="G4384" i="41"/>
  <c r="D4385" i="41"/>
  <c r="E4385" i="41" s="1"/>
  <c r="F4385" i="41" s="1"/>
  <c r="G758" i="35"/>
  <c r="G757" i="35"/>
  <c r="G756" i="35"/>
  <c r="G759" i="35"/>
  <c r="I757" i="35" a="1"/>
  <c r="I759" i="35" s="1"/>
  <c r="I764" i="35"/>
  <c r="I761" i="35"/>
  <c r="J750" i="35"/>
  <c r="J1087" i="37" s="1" a="1"/>
  <c r="I750" i="35"/>
  <c r="G4385" i="41" l="1"/>
  <c r="K4385" i="41"/>
  <c r="J4385" i="41"/>
  <c r="I4385" i="41"/>
  <c r="H4385" i="41"/>
  <c r="D4386" i="41"/>
  <c r="E4386" i="41" s="1"/>
  <c r="F4386" i="41" s="1"/>
  <c r="J1089" i="37"/>
  <c r="J1091" i="37"/>
  <c r="J1099" i="37"/>
  <c r="J1107" i="37"/>
  <c r="J1115" i="37"/>
  <c r="J1092" i="37"/>
  <c r="J1100" i="37"/>
  <c r="J1108" i="37"/>
  <c r="J1116" i="37"/>
  <c r="J1095" i="37"/>
  <c r="J1111" i="37"/>
  <c r="J1088" i="37"/>
  <c r="J1096" i="37"/>
  <c r="J1104" i="37"/>
  <c r="J1112" i="37"/>
  <c r="J1087" i="37"/>
  <c r="J1103" i="37"/>
  <c r="J1119" i="37"/>
  <c r="J1110" i="37"/>
  <c r="J1094" i="37"/>
  <c r="J1113" i="37"/>
  <c r="J1097" i="37"/>
  <c r="J1102" i="37"/>
  <c r="J1105" i="37"/>
  <c r="J1114" i="37"/>
  <c r="J1101" i="37"/>
  <c r="J1106" i="37"/>
  <c r="J1090" i="37"/>
  <c r="J1109" i="37"/>
  <c r="J1093" i="37"/>
  <c r="J1118" i="37"/>
  <c r="J1098" i="37"/>
  <c r="J1117" i="37"/>
  <c r="G1087" i="37" a="1"/>
  <c r="G1097" i="37" s="1"/>
  <c r="I758" i="35"/>
  <c r="I757" i="35"/>
  <c r="I4386" i="41" l="1"/>
  <c r="H4386" i="41"/>
  <c r="G4386" i="41"/>
  <c r="K4386" i="41"/>
  <c r="J4386" i="41"/>
  <c r="D4387" i="41"/>
  <c r="E4387" i="41" s="1"/>
  <c r="F4387" i="41" s="1"/>
  <c r="G1107" i="37"/>
  <c r="G1094" i="37"/>
  <c r="G1116" i="37"/>
  <c r="G1088" i="37"/>
  <c r="G1118" i="37"/>
  <c r="G1109" i="37"/>
  <c r="G1115" i="37"/>
  <c r="G1110" i="37"/>
  <c r="G1093" i="37"/>
  <c r="G1112" i="37"/>
  <c r="G1091" i="37"/>
  <c r="G1117" i="37"/>
  <c r="G1108" i="37"/>
  <c r="G1099" i="37"/>
  <c r="G1102" i="37"/>
  <c r="G1101" i="37"/>
  <c r="I1087" i="37" a="1"/>
  <c r="I1100" i="37" s="1"/>
  <c r="G1104" i="37"/>
  <c r="G1096" i="37"/>
  <c r="G1119" i="37"/>
  <c r="G1103" i="37"/>
  <c r="G1087" i="37"/>
  <c r="G1106" i="37"/>
  <c r="G1090" i="37"/>
  <c r="G1105" i="37"/>
  <c r="G1089" i="37"/>
  <c r="G1100" i="37"/>
  <c r="G1092" i="37"/>
  <c r="G1111" i="37"/>
  <c r="G1095" i="37"/>
  <c r="G1114" i="37"/>
  <c r="G1098" i="37"/>
  <c r="G1113" i="37"/>
  <c r="K4387" i="41" l="1"/>
  <c r="J4387" i="41"/>
  <c r="I4387" i="41"/>
  <c r="H4387" i="41"/>
  <c r="G4387" i="41"/>
  <c r="D4388" i="41"/>
  <c r="E4388" i="41" s="1"/>
  <c r="F4388" i="41" s="1"/>
  <c r="I1107" i="37"/>
  <c r="I1091" i="37"/>
  <c r="I1110" i="37"/>
  <c r="I1094" i="37"/>
  <c r="I1109" i="37"/>
  <c r="I1093" i="37"/>
  <c r="I1108" i="37"/>
  <c r="I1092" i="37"/>
  <c r="I1111" i="37"/>
  <c r="I1095" i="37"/>
  <c r="I1114" i="37"/>
  <c r="I1098" i="37"/>
  <c r="I1113" i="37"/>
  <c r="I1097" i="37"/>
  <c r="I1112" i="37"/>
  <c r="I1096" i="37"/>
  <c r="I1119" i="37"/>
  <c r="I1103" i="37"/>
  <c r="I1087" i="37"/>
  <c r="I1106" i="37"/>
  <c r="I1090" i="37"/>
  <c r="I1105" i="37"/>
  <c r="I1089" i="37"/>
  <c r="I1104" i="37"/>
  <c r="I1088" i="37"/>
  <c r="I1115" i="37"/>
  <c r="I1099" i="37"/>
  <c r="I1118" i="37"/>
  <c r="I1102" i="37"/>
  <c r="I1117" i="37"/>
  <c r="I1101" i="37"/>
  <c r="I1116" i="37"/>
  <c r="K4388" i="41" l="1"/>
  <c r="J4388" i="41"/>
  <c r="I4388" i="41"/>
  <c r="H4388" i="41"/>
  <c r="G4388" i="41"/>
  <c r="D4389" i="41"/>
  <c r="E4389" i="41" s="1"/>
  <c r="F4389" i="41" s="1"/>
  <c r="G4389" i="41" l="1"/>
  <c r="K4389" i="41"/>
  <c r="J4389" i="41"/>
  <c r="I4389" i="41"/>
  <c r="H4389" i="41"/>
  <c r="D4390" i="41"/>
  <c r="E4390" i="41" s="1"/>
  <c r="F4390" i="41" s="1"/>
  <c r="D535" i="37"/>
  <c r="E531" i="37" a="1"/>
  <c r="E531" i="37" s="1"/>
  <c r="E528" i="37" a="1"/>
  <c r="E528" i="37" s="1"/>
  <c r="D528" i="37"/>
  <c r="E524" i="37" a="1"/>
  <c r="E525" i="37" s="1"/>
  <c r="E521" i="37" a="1"/>
  <c r="E522" i="37" s="1"/>
  <c r="D521" i="37"/>
  <c r="I4390" i="41" l="1"/>
  <c r="H4390" i="41"/>
  <c r="G4390" i="41"/>
  <c r="K4390" i="41"/>
  <c r="J4390" i="41"/>
  <c r="D4391" i="41"/>
  <c r="E4391" i="41" s="1"/>
  <c r="F4391" i="41" s="1"/>
  <c r="E524" i="37"/>
  <c r="E521" i="37"/>
  <c r="E523" i="37"/>
  <c r="E526" i="37"/>
  <c r="E529" i="37"/>
  <c r="E532" i="37"/>
  <c r="E530" i="37"/>
  <c r="E533" i="37"/>
  <c r="K4391" i="41" l="1"/>
  <c r="J4391" i="41"/>
  <c r="I4391" i="41"/>
  <c r="H4391" i="41"/>
  <c r="G4391" i="41"/>
  <c r="D4392" i="41"/>
  <c r="E4392" i="41" s="1"/>
  <c r="F4392" i="41" s="1"/>
  <c r="K4392" i="41" l="1"/>
  <c r="J4392" i="41"/>
  <c r="I4392" i="41"/>
  <c r="H4392" i="41"/>
  <c r="G4392" i="41"/>
  <c r="D4393" i="41"/>
  <c r="E4393" i="41" s="1"/>
  <c r="F4393" i="41" s="1"/>
  <c r="G4393" i="41" l="1"/>
  <c r="K4393" i="41"/>
  <c r="J4393" i="41"/>
  <c r="H4393" i="41"/>
  <c r="I4393" i="41"/>
  <c r="D4394" i="41"/>
  <c r="E4394" i="41" s="1"/>
  <c r="F4394" i="41" s="1"/>
  <c r="P31" i="35"/>
  <c r="O31" i="35"/>
  <c r="N31" i="35"/>
  <c r="M31" i="35"/>
  <c r="L31" i="35"/>
  <c r="K31" i="35"/>
  <c r="J31" i="35"/>
  <c r="I31" i="35"/>
  <c r="H31" i="35"/>
  <c r="G31" i="35"/>
  <c r="I4394" i="41" l="1"/>
  <c r="H4394" i="41"/>
  <c r="G4394" i="41"/>
  <c r="K4394" i="41"/>
  <c r="J4394" i="41"/>
  <c r="D4395" i="41"/>
  <c r="E4395" i="41" s="1"/>
  <c r="F4395" i="41" s="1"/>
  <c r="G66" i="35" a="1"/>
  <c r="N66" i="35" s="1"/>
  <c r="H81" i="35"/>
  <c r="K4395" i="41" l="1"/>
  <c r="J4395" i="41"/>
  <c r="I4395" i="41"/>
  <c r="H4395" i="41"/>
  <c r="G4395" i="41"/>
  <c r="D4396" i="41"/>
  <c r="E4396" i="41" s="1"/>
  <c r="F4396" i="41" s="1"/>
  <c r="I81" i="35"/>
  <c r="K66" i="35"/>
  <c r="L66" i="35"/>
  <c r="G66" i="35"/>
  <c r="O66" i="35"/>
  <c r="H66" i="35"/>
  <c r="P66" i="35"/>
  <c r="I66" i="35"/>
  <c r="M66" i="35"/>
  <c r="J66" i="35"/>
  <c r="K4396" i="41" l="1"/>
  <c r="J4396" i="41"/>
  <c r="I4396" i="41"/>
  <c r="H4396" i="41"/>
  <c r="G4396" i="41"/>
  <c r="D4397" i="41"/>
  <c r="E4397" i="41" s="1"/>
  <c r="F4397" i="41" s="1"/>
  <c r="J81" i="35"/>
  <c r="L12" i="6"/>
  <c r="M12" i="6" l="1"/>
  <c r="G4397" i="41"/>
  <c r="K4397" i="41"/>
  <c r="J4397" i="41"/>
  <c r="I4397" i="41"/>
  <c r="H4397" i="41"/>
  <c r="D4398" i="41"/>
  <c r="E4398" i="41" s="1"/>
  <c r="F4398" i="41" s="1"/>
  <c r="K81" i="35"/>
  <c r="H144" i="34" a="1"/>
  <c r="H144" i="34" s="1"/>
  <c r="I4398" i="41" l="1"/>
  <c r="H4398" i="41"/>
  <c r="G4398" i="41"/>
  <c r="J4398" i="41"/>
  <c r="K4398" i="41"/>
  <c r="D4399" i="41"/>
  <c r="E4399" i="41" s="1"/>
  <c r="F4399" i="41" s="1"/>
  <c r="L81" i="35"/>
  <c r="H147" i="34"/>
  <c r="H150" i="34"/>
  <c r="H146" i="34"/>
  <c r="H149" i="34"/>
  <c r="H145" i="34"/>
  <c r="H148" i="34"/>
  <c r="D6" i="8" a="1"/>
  <c r="D16" i="8" s="1"/>
  <c r="C6" i="8" a="1"/>
  <c r="C27" i="8" s="1"/>
  <c r="F60" i="8" a="1"/>
  <c r="F60" i="8" s="1"/>
  <c r="F121" i="10" a="1"/>
  <c r="BC121" i="10" s="1"/>
  <c r="F80" i="10" a="1"/>
  <c r="AZ80" i="10" s="1"/>
  <c r="K4399" i="41" l="1"/>
  <c r="J4399" i="41"/>
  <c r="I4399" i="41"/>
  <c r="H4399" i="41"/>
  <c r="G4399" i="41"/>
  <c r="D4400" i="41"/>
  <c r="E4400" i="41" s="1"/>
  <c r="F4400" i="41" s="1"/>
  <c r="M81" i="35"/>
  <c r="I80" i="10"/>
  <c r="M80" i="10"/>
  <c r="Q80" i="10"/>
  <c r="U80" i="10"/>
  <c r="Y80" i="10"/>
  <c r="AC80" i="10"/>
  <c r="AG80" i="10"/>
  <c r="AK80" i="10"/>
  <c r="AO80" i="10"/>
  <c r="AS80" i="10"/>
  <c r="AW80" i="10"/>
  <c r="BA80" i="10"/>
  <c r="H121" i="10"/>
  <c r="L121" i="10"/>
  <c r="P121" i="10"/>
  <c r="T121" i="10"/>
  <c r="X121" i="10"/>
  <c r="AB121" i="10"/>
  <c r="AF121" i="10"/>
  <c r="AJ121" i="10"/>
  <c r="AN121" i="10"/>
  <c r="AR121" i="10"/>
  <c r="AV121" i="10"/>
  <c r="AZ121" i="10"/>
  <c r="I121" i="10"/>
  <c r="M121" i="10"/>
  <c r="Q121" i="10"/>
  <c r="U121" i="10"/>
  <c r="Y121" i="10"/>
  <c r="AC121" i="10"/>
  <c r="AG121" i="10"/>
  <c r="AK121" i="10"/>
  <c r="AO121" i="10"/>
  <c r="AS121" i="10"/>
  <c r="AW121" i="10"/>
  <c r="BA121" i="10"/>
  <c r="F80" i="10"/>
  <c r="N80" i="10"/>
  <c r="V80" i="10"/>
  <c r="AH80" i="10"/>
  <c r="G80" i="10"/>
  <c r="K80" i="10"/>
  <c r="O80" i="10"/>
  <c r="S80" i="10"/>
  <c r="W80" i="10"/>
  <c r="AA80" i="10"/>
  <c r="AE80" i="10"/>
  <c r="AI80" i="10"/>
  <c r="AM80" i="10"/>
  <c r="AQ80" i="10"/>
  <c r="AU80" i="10"/>
  <c r="AY80" i="10"/>
  <c r="BC80" i="10"/>
  <c r="F121" i="10"/>
  <c r="J121" i="10"/>
  <c r="N121" i="10"/>
  <c r="R121" i="10"/>
  <c r="V121" i="10"/>
  <c r="Z121" i="10"/>
  <c r="AD121" i="10"/>
  <c r="AH121" i="10"/>
  <c r="AL121" i="10"/>
  <c r="AP121" i="10"/>
  <c r="AT121" i="10"/>
  <c r="AX121" i="10"/>
  <c r="BB121" i="10"/>
  <c r="J80" i="10"/>
  <c r="R80" i="10"/>
  <c r="Z80" i="10"/>
  <c r="AD80" i="10"/>
  <c r="AL80" i="10"/>
  <c r="AP80" i="10"/>
  <c r="AT80" i="10"/>
  <c r="AX80" i="10"/>
  <c r="BB80" i="10"/>
  <c r="H80" i="10"/>
  <c r="L80" i="10"/>
  <c r="P80" i="10"/>
  <c r="T80" i="10"/>
  <c r="X80" i="10"/>
  <c r="AB80" i="10"/>
  <c r="AF80" i="10"/>
  <c r="AJ80" i="10"/>
  <c r="AN80" i="10"/>
  <c r="AR80" i="10"/>
  <c r="AV80" i="10"/>
  <c r="G121" i="10"/>
  <c r="K121" i="10"/>
  <c r="O121" i="10"/>
  <c r="S121" i="10"/>
  <c r="W121" i="10"/>
  <c r="AA121" i="10"/>
  <c r="AE121" i="10"/>
  <c r="AI121" i="10"/>
  <c r="AM121" i="10"/>
  <c r="AQ121" i="10"/>
  <c r="AU121" i="10"/>
  <c r="AY121" i="10"/>
  <c r="M60" i="8"/>
  <c r="Q60" i="8"/>
  <c r="C10" i="8"/>
  <c r="C15" i="8"/>
  <c r="C43" i="8"/>
  <c r="C23" i="8"/>
  <c r="C47" i="8"/>
  <c r="C39" i="8"/>
  <c r="D48" i="8"/>
  <c r="D26" i="8"/>
  <c r="D37" i="8"/>
  <c r="I60" i="8"/>
  <c r="D7" i="8"/>
  <c r="D8" i="8"/>
  <c r="D13" i="8"/>
  <c r="D18" i="8"/>
  <c r="D24" i="8"/>
  <c r="D29" i="8"/>
  <c r="D34" i="8"/>
  <c r="D40" i="8"/>
  <c r="D45" i="8"/>
  <c r="D50" i="8"/>
  <c r="D9" i="8"/>
  <c r="D14" i="8"/>
  <c r="D20" i="8"/>
  <c r="D25" i="8"/>
  <c r="D30" i="8"/>
  <c r="D36" i="8"/>
  <c r="D41" i="8"/>
  <c r="D46" i="8"/>
  <c r="D52" i="8"/>
  <c r="D54" i="8"/>
  <c r="D44" i="8"/>
  <c r="D33" i="8"/>
  <c r="D22" i="8"/>
  <c r="D12" i="8"/>
  <c r="D53" i="8"/>
  <c r="D42" i="8"/>
  <c r="D32" i="8"/>
  <c r="D21" i="8"/>
  <c r="D10" i="8"/>
  <c r="D49" i="8"/>
  <c r="D38" i="8"/>
  <c r="D28" i="8"/>
  <c r="D17" i="8"/>
  <c r="D6" i="8"/>
  <c r="C55" i="8"/>
  <c r="C31" i="8"/>
  <c r="BA60" i="8"/>
  <c r="AS60" i="8"/>
  <c r="AK60" i="8"/>
  <c r="Y60" i="8"/>
  <c r="AZ60" i="8"/>
  <c r="AV60" i="8"/>
  <c r="AR60" i="8"/>
  <c r="AN60" i="8"/>
  <c r="AJ60" i="8"/>
  <c r="AF60" i="8"/>
  <c r="AB60" i="8"/>
  <c r="X60" i="8"/>
  <c r="T60" i="8"/>
  <c r="P60" i="8"/>
  <c r="L60" i="8"/>
  <c r="H60" i="8"/>
  <c r="AW60" i="8"/>
  <c r="AO60" i="8"/>
  <c r="AG60" i="8"/>
  <c r="AC60" i="8"/>
  <c r="U60" i="8"/>
  <c r="BC60" i="8"/>
  <c r="AY60" i="8"/>
  <c r="AU60" i="8"/>
  <c r="AQ60" i="8"/>
  <c r="AM60" i="8"/>
  <c r="AI60" i="8"/>
  <c r="AE60" i="8"/>
  <c r="AA60" i="8"/>
  <c r="W60" i="8"/>
  <c r="S60" i="8"/>
  <c r="O60" i="8"/>
  <c r="K60" i="8"/>
  <c r="G60" i="8"/>
  <c r="C8" i="8"/>
  <c r="C12" i="8"/>
  <c r="C6" i="8"/>
  <c r="C11" i="8"/>
  <c r="C16" i="8"/>
  <c r="C20" i="8"/>
  <c r="C24" i="8"/>
  <c r="C28" i="8"/>
  <c r="C32" i="8"/>
  <c r="C36" i="8"/>
  <c r="C40" i="8"/>
  <c r="C44" i="8"/>
  <c r="C48" i="8"/>
  <c r="C52" i="8"/>
  <c r="C7" i="8"/>
  <c r="C13" i="8"/>
  <c r="C17" i="8"/>
  <c r="C21" i="8"/>
  <c r="C25" i="8"/>
  <c r="C29" i="8"/>
  <c r="C33" i="8"/>
  <c r="C37" i="8"/>
  <c r="C41" i="8"/>
  <c r="C45" i="8"/>
  <c r="C49" i="8"/>
  <c r="C53" i="8"/>
  <c r="C9" i="8"/>
  <c r="C14" i="8"/>
  <c r="C18" i="8"/>
  <c r="C22" i="8"/>
  <c r="C26" i="8"/>
  <c r="C30" i="8"/>
  <c r="C34" i="8"/>
  <c r="C38" i="8"/>
  <c r="C42" i="8"/>
  <c r="C46" i="8"/>
  <c r="C50" i="8"/>
  <c r="C54" i="8"/>
  <c r="BB60" i="8"/>
  <c r="AX60" i="8"/>
  <c r="AT60" i="8"/>
  <c r="AP60" i="8"/>
  <c r="AL60" i="8"/>
  <c r="AH60" i="8"/>
  <c r="AD60" i="8"/>
  <c r="Z60" i="8"/>
  <c r="V60" i="8"/>
  <c r="R60" i="8"/>
  <c r="N60" i="8"/>
  <c r="J60" i="8"/>
  <c r="C51" i="8"/>
  <c r="C35" i="8"/>
  <c r="C19" i="8"/>
  <c r="D55" i="8"/>
  <c r="D51" i="8"/>
  <c r="D47" i="8"/>
  <c r="D43" i="8"/>
  <c r="D39" i="8"/>
  <c r="D35" i="8"/>
  <c r="D31" i="8"/>
  <c r="D27" i="8"/>
  <c r="D23" i="8"/>
  <c r="D19" i="8"/>
  <c r="D15" i="8"/>
  <c r="D11" i="8"/>
  <c r="K4400" i="41" l="1"/>
  <c r="J4400" i="41"/>
  <c r="I4400" i="41"/>
  <c r="H4400" i="41"/>
  <c r="G4400" i="41"/>
  <c r="D4401" i="41"/>
  <c r="E4401" i="41" s="1"/>
  <c r="F4401" i="41" s="1"/>
  <c r="N81" i="35"/>
  <c r="E694" i="6" a="1"/>
  <c r="E703" i="6" s="1"/>
  <c r="G4401" i="41" l="1"/>
  <c r="K4401" i="41"/>
  <c r="J4401" i="41"/>
  <c r="I4401" i="41"/>
  <c r="H4401" i="41"/>
  <c r="D4402" i="41"/>
  <c r="E4402" i="41" s="1"/>
  <c r="F4402" i="41" s="1"/>
  <c r="O81" i="35"/>
  <c r="E696" i="6"/>
  <c r="E700" i="6"/>
  <c r="E697" i="6"/>
  <c r="E701" i="6"/>
  <c r="E694" i="6"/>
  <c r="E698" i="6"/>
  <c r="E702" i="6"/>
  <c r="E695" i="6"/>
  <c r="E699" i="6"/>
  <c r="M939" i="6"/>
  <c r="M940" i="6" s="1"/>
  <c r="M941" i="6" s="1"/>
  <c r="M942" i="6" s="1"/>
  <c r="L940" i="6"/>
  <c r="I4402" i="41" l="1"/>
  <c r="H4402" i="41"/>
  <c r="G4402" i="41"/>
  <c r="J4402" i="41"/>
  <c r="K4402" i="41"/>
  <c r="D4403" i="41"/>
  <c r="E4403" i="41" s="1"/>
  <c r="F4403" i="41" s="1"/>
  <c r="P81" i="35"/>
  <c r="L941" i="6"/>
  <c r="G363" i="37" a="1"/>
  <c r="G428" i="37" a="1"/>
  <c r="I428" i="37" s="1"/>
  <c r="G467" i="37" a="1"/>
  <c r="O467" i="37" s="1"/>
  <c r="G483" i="37" a="1"/>
  <c r="N483" i="37" s="1"/>
  <c r="G580" i="37" a="1"/>
  <c r="K580" i="37" s="1"/>
  <c r="G605" i="37" a="1"/>
  <c r="M605" i="37" s="1"/>
  <c r="G630" i="37" a="1"/>
  <c r="I630" i="37" s="1"/>
  <c r="G1177" i="37" a="1"/>
  <c r="L942" i="6" l="1"/>
  <c r="M229" i="6" s="1" a="1"/>
  <c r="K4403" i="41"/>
  <c r="J4403" i="41"/>
  <c r="I4403" i="41"/>
  <c r="H4403" i="41"/>
  <c r="G4403" i="41"/>
  <c r="D4404" i="41"/>
  <c r="E4404" i="41" s="1"/>
  <c r="F4404" i="41" s="1"/>
  <c r="J428" i="37"/>
  <c r="J630" i="37"/>
  <c r="G483" i="37"/>
  <c r="I483" i="37"/>
  <c r="L483" i="37"/>
  <c r="O483" i="37"/>
  <c r="M467" i="37"/>
  <c r="P630" i="37"/>
  <c r="J580" i="37"/>
  <c r="H483" i="37"/>
  <c r="M483" i="37"/>
  <c r="H467" i="37"/>
  <c r="P467" i="37"/>
  <c r="M428" i="37"/>
  <c r="I467" i="37"/>
  <c r="K483" i="37"/>
  <c r="P483" i="37"/>
  <c r="L467" i="37"/>
  <c r="P1177" i="37"/>
  <c r="L1177" i="37"/>
  <c r="H1177" i="37"/>
  <c r="K1177" i="37"/>
  <c r="M363" i="37"/>
  <c r="I363" i="37"/>
  <c r="P363" i="37"/>
  <c r="L363" i="37"/>
  <c r="H363" i="37"/>
  <c r="N363" i="37"/>
  <c r="G1177" i="37"/>
  <c r="M1177" i="37"/>
  <c r="P605" i="37"/>
  <c r="L605" i="37"/>
  <c r="H605" i="37"/>
  <c r="O605" i="37"/>
  <c r="K605" i="37"/>
  <c r="G605" i="37"/>
  <c r="N605" i="37"/>
  <c r="G363" i="37"/>
  <c r="O363" i="37"/>
  <c r="I1177" i="37"/>
  <c r="N1177" i="37"/>
  <c r="O630" i="37"/>
  <c r="K630" i="37"/>
  <c r="G630" i="37"/>
  <c r="N630" i="37"/>
  <c r="L630" i="37"/>
  <c r="I605" i="37"/>
  <c r="M580" i="37"/>
  <c r="I580" i="37"/>
  <c r="P580" i="37"/>
  <c r="L580" i="37"/>
  <c r="H580" i="37"/>
  <c r="N580" i="37"/>
  <c r="J363" i="37"/>
  <c r="J1177" i="37"/>
  <c r="O1177" i="37"/>
  <c r="H630" i="37"/>
  <c r="M630" i="37"/>
  <c r="J605" i="37"/>
  <c r="G580" i="37"/>
  <c r="O580" i="37"/>
  <c r="P428" i="37"/>
  <c r="L428" i="37"/>
  <c r="H428" i="37"/>
  <c r="O428" i="37"/>
  <c r="K428" i="37"/>
  <c r="G428" i="37"/>
  <c r="N428" i="37"/>
  <c r="K363" i="37"/>
  <c r="J467" i="37"/>
  <c r="N467" i="37"/>
  <c r="J483" i="37"/>
  <c r="G467" i="37"/>
  <c r="K467" i="37"/>
  <c r="D572" i="37"/>
  <c r="E568" i="37" a="1"/>
  <c r="E569" i="37" s="1"/>
  <c r="E565" i="37" a="1"/>
  <c r="E566" i="37" s="1"/>
  <c r="D565" i="37"/>
  <c r="E561" i="37" a="1"/>
  <c r="E563" i="37" s="1"/>
  <c r="E558" i="37" a="1"/>
  <c r="E560" i="37" s="1"/>
  <c r="D558" i="37"/>
  <c r="D553" i="37"/>
  <c r="E549" i="37" a="1"/>
  <c r="E549" i="37" s="1"/>
  <c r="E546" i="37" a="1"/>
  <c r="E546" i="37" s="1"/>
  <c r="D546" i="37"/>
  <c r="E542" i="37" a="1"/>
  <c r="E543" i="37" s="1"/>
  <c r="E539" i="37" a="1"/>
  <c r="E540" i="37" s="1"/>
  <c r="D539" i="37"/>
  <c r="D517" i="37"/>
  <c r="E513" i="37" a="1"/>
  <c r="E515" i="37" s="1"/>
  <c r="E510" i="37" a="1"/>
  <c r="E512" i="37" s="1"/>
  <c r="D510" i="37"/>
  <c r="E506" i="37" a="1"/>
  <c r="E506" i="37" s="1"/>
  <c r="E503" i="37" a="1"/>
  <c r="E503" i="37" s="1"/>
  <c r="D503" i="37"/>
  <c r="D499" i="37"/>
  <c r="E495" i="37" a="1"/>
  <c r="E497" i="37" s="1"/>
  <c r="E492" i="37" a="1"/>
  <c r="E494" i="37" s="1"/>
  <c r="D492" i="37"/>
  <c r="G48" i="37" a="1"/>
  <c r="G8" i="37" a="1"/>
  <c r="J8" i="37" s="1"/>
  <c r="G82" i="35" a="1"/>
  <c r="N82" i="35" s="1"/>
  <c r="M236" i="6" l="1"/>
  <c r="M232" i="6"/>
  <c r="M237" i="6"/>
  <c r="M231" i="6"/>
  <c r="M238" i="6"/>
  <c r="M230" i="6"/>
  <c r="M235" i="6"/>
  <c r="M229" i="6"/>
  <c r="M234" i="6"/>
  <c r="M233" i="6"/>
  <c r="L229" i="6" a="1"/>
  <c r="K4404" i="41"/>
  <c r="J4404" i="41"/>
  <c r="I4404" i="41"/>
  <c r="H4404" i="41"/>
  <c r="G4404" i="41"/>
  <c r="D4405" i="41"/>
  <c r="E4405" i="41" s="1"/>
  <c r="F4405" i="41" s="1"/>
  <c r="E514" i="37"/>
  <c r="E510" i="37"/>
  <c r="E507" i="37"/>
  <c r="E548" i="37"/>
  <c r="E493" i="37"/>
  <c r="E508" i="37"/>
  <c r="E511" i="37"/>
  <c r="E544" i="37"/>
  <c r="E570" i="37"/>
  <c r="E504" i="37"/>
  <c r="E513" i="37"/>
  <c r="E505" i="37"/>
  <c r="E541" i="37"/>
  <c r="E550" i="37"/>
  <c r="E567" i="37"/>
  <c r="E547" i="37"/>
  <c r="E551" i="37"/>
  <c r="E561" i="37"/>
  <c r="E539" i="37"/>
  <c r="E542" i="37"/>
  <c r="E559" i="37"/>
  <c r="E562" i="37"/>
  <c r="E565" i="37"/>
  <c r="E568" i="37"/>
  <c r="E558" i="37"/>
  <c r="E495" i="37"/>
  <c r="E492" i="37"/>
  <c r="E496" i="37"/>
  <c r="M48" i="37"/>
  <c r="I48" i="37"/>
  <c r="P48" i="37"/>
  <c r="L48" i="37"/>
  <c r="H48" i="37"/>
  <c r="O48" i="37"/>
  <c r="K48" i="37"/>
  <c r="G48" i="37"/>
  <c r="H8" i="37"/>
  <c r="L8" i="37"/>
  <c r="P8" i="37"/>
  <c r="I8" i="37"/>
  <c r="M8" i="37"/>
  <c r="J48" i="37"/>
  <c r="O8" i="37"/>
  <c r="G8" i="37"/>
  <c r="N8" i="37"/>
  <c r="K8" i="37"/>
  <c r="N48" i="37"/>
  <c r="O82" i="35"/>
  <c r="G82" i="35"/>
  <c r="H82" i="35"/>
  <c r="P82" i="35"/>
  <c r="K82" i="35"/>
  <c r="L82" i="35"/>
  <c r="I82" i="35"/>
  <c r="M82" i="35"/>
  <c r="J82" i="35"/>
  <c r="G371" i="35" a="1"/>
  <c r="N371" i="35" s="1"/>
  <c r="G469" i="35" a="1"/>
  <c r="P469" i="35" s="1"/>
  <c r="G443" i="35" a="1"/>
  <c r="N443" i="35" s="1"/>
  <c r="G417" i="35" a="1"/>
  <c r="N417" i="35" s="1"/>
  <c r="G395" i="35" a="1"/>
  <c r="G360" i="35" a="1"/>
  <c r="N360" i="35" s="1"/>
  <c r="G343" i="35" a="1"/>
  <c r="N343" i="35" s="1"/>
  <c r="G321" i="35" a="1"/>
  <c r="N321" i="35" s="1"/>
  <c r="G316" i="35" a="1"/>
  <c r="K316" i="35" s="1"/>
  <c r="G281" i="35" a="1"/>
  <c r="O281" i="35" s="1"/>
  <c r="G219" i="35" a="1"/>
  <c r="N219" i="35" s="1"/>
  <c r="G211" i="35" a="1"/>
  <c r="M211" i="35" s="1"/>
  <c r="G139" i="35" a="1"/>
  <c r="P139" i="35" s="1"/>
  <c r="G5" i="36" a="1"/>
  <c r="O5" i="36" s="1"/>
  <c r="G158" i="35" a="1"/>
  <c r="N158" i="35" s="1"/>
  <c r="G164" i="35" a="1"/>
  <c r="M164" i="35" s="1"/>
  <c r="G189" i="35" a="1"/>
  <c r="P189" i="35" s="1"/>
  <c r="G223" i="35" a="1"/>
  <c r="G223" i="35" s="1"/>
  <c r="G47" i="35" a="1"/>
  <c r="N47" i="35" s="1"/>
  <c r="J28" i="35"/>
  <c r="K28" i="35"/>
  <c r="L28" i="35"/>
  <c r="M28" i="35"/>
  <c r="N28" i="35"/>
  <c r="O28" i="35"/>
  <c r="P28" i="35"/>
  <c r="J30" i="35"/>
  <c r="K30" i="35"/>
  <c r="L30" i="35"/>
  <c r="M30" i="35"/>
  <c r="N30" i="35"/>
  <c r="O30" i="35"/>
  <c r="P30" i="35"/>
  <c r="G26" i="35" a="1"/>
  <c r="N26" i="35" s="1"/>
  <c r="G8" i="35" a="1"/>
  <c r="G8" i="35" s="1"/>
  <c r="L230" i="6" l="1"/>
  <c r="L234" i="6"/>
  <c r="L233" i="6"/>
  <c r="L232" i="6"/>
  <c r="L231" i="6"/>
  <c r="L237" i="6"/>
  <c r="L238" i="6"/>
  <c r="L229" i="6"/>
  <c r="L236" i="6"/>
  <c r="L235" i="6"/>
  <c r="G4405" i="41"/>
  <c r="K4405" i="41"/>
  <c r="H4405" i="41"/>
  <c r="J4405" i="41"/>
  <c r="I4405" i="41"/>
  <c r="D4406" i="41"/>
  <c r="E4406" i="41" s="1"/>
  <c r="F4406" i="41" s="1"/>
  <c r="H5" i="36"/>
  <c r="L5" i="36"/>
  <c r="G5" i="36"/>
  <c r="I360" i="35"/>
  <c r="K343" i="35"/>
  <c r="M5" i="36"/>
  <c r="J223" i="35"/>
  <c r="I5" i="36"/>
  <c r="P5" i="36"/>
  <c r="G219" i="35"/>
  <c r="K417" i="35"/>
  <c r="K5" i="36"/>
  <c r="L321" i="35"/>
  <c r="I47" i="35"/>
  <c r="I223" i="35"/>
  <c r="G164" i="35"/>
  <c r="G211" i="35"/>
  <c r="O321" i="35"/>
  <c r="L360" i="35"/>
  <c r="I211" i="35"/>
  <c r="G321" i="35"/>
  <c r="G360" i="35"/>
  <c r="M360" i="35"/>
  <c r="N223" i="35"/>
  <c r="H321" i="35"/>
  <c r="G343" i="35"/>
  <c r="H360" i="35"/>
  <c r="O360" i="35"/>
  <c r="J8" i="35"/>
  <c r="I164" i="35"/>
  <c r="G158" i="35"/>
  <c r="K211" i="35"/>
  <c r="H219" i="35"/>
  <c r="G281" i="35"/>
  <c r="M281" i="35"/>
  <c r="L417" i="35"/>
  <c r="G443" i="35"/>
  <c r="L443" i="35"/>
  <c r="P158" i="35"/>
  <c r="L281" i="35"/>
  <c r="K443" i="35"/>
  <c r="P443" i="35"/>
  <c r="M223" i="35"/>
  <c r="K164" i="35"/>
  <c r="H158" i="35"/>
  <c r="O211" i="35"/>
  <c r="L219" i="35"/>
  <c r="H281" i="35"/>
  <c r="P281" i="35"/>
  <c r="I321" i="35"/>
  <c r="P321" i="35"/>
  <c r="O343" i="35"/>
  <c r="G417" i="35"/>
  <c r="O417" i="35"/>
  <c r="H443" i="35"/>
  <c r="M443" i="35"/>
  <c r="I469" i="35"/>
  <c r="O164" i="35"/>
  <c r="L158" i="35"/>
  <c r="P219" i="35"/>
  <c r="I281" i="35"/>
  <c r="K321" i="35"/>
  <c r="K360" i="35"/>
  <c r="P360" i="35"/>
  <c r="H417" i="35"/>
  <c r="P417" i="35"/>
  <c r="I443" i="35"/>
  <c r="O443" i="35"/>
  <c r="M469" i="35"/>
  <c r="N8" i="35"/>
  <c r="P47" i="35"/>
  <c r="L47" i="35"/>
  <c r="H47" i="35"/>
  <c r="O47" i="35"/>
  <c r="K47" i="35"/>
  <c r="G47" i="35"/>
  <c r="M47" i="35"/>
  <c r="J47" i="35"/>
  <c r="I189" i="35"/>
  <c r="M189" i="35"/>
  <c r="J164" i="35"/>
  <c r="N164" i="35"/>
  <c r="K158" i="35"/>
  <c r="O158" i="35"/>
  <c r="I139" i="35"/>
  <c r="M139" i="35"/>
  <c r="J211" i="35"/>
  <c r="N211" i="35"/>
  <c r="K219" i="35"/>
  <c r="O219" i="35"/>
  <c r="J189" i="35"/>
  <c r="N189" i="35"/>
  <c r="J139" i="35"/>
  <c r="N139" i="35"/>
  <c r="M316" i="35"/>
  <c r="I316" i="35"/>
  <c r="P316" i="35"/>
  <c r="L316" i="35"/>
  <c r="H316" i="35"/>
  <c r="N316" i="35"/>
  <c r="M395" i="35"/>
  <c r="I395" i="35"/>
  <c r="P395" i="35"/>
  <c r="L395" i="35"/>
  <c r="H395" i="35"/>
  <c r="O395" i="35"/>
  <c r="K395" i="35"/>
  <c r="G395" i="35"/>
  <c r="P223" i="35"/>
  <c r="L223" i="35"/>
  <c r="H223" i="35"/>
  <c r="G189" i="35"/>
  <c r="K189" i="35"/>
  <c r="O189" i="35"/>
  <c r="H164" i="35"/>
  <c r="L164" i="35"/>
  <c r="P164" i="35"/>
  <c r="I158" i="35"/>
  <c r="M158" i="35"/>
  <c r="J5" i="36"/>
  <c r="N5" i="36"/>
  <c r="G139" i="35"/>
  <c r="K139" i="35"/>
  <c r="O139" i="35"/>
  <c r="H211" i="35"/>
  <c r="L211" i="35"/>
  <c r="P211" i="35"/>
  <c r="I219" i="35"/>
  <c r="M219" i="35"/>
  <c r="G316" i="35"/>
  <c r="O316" i="35"/>
  <c r="J395" i="35"/>
  <c r="M371" i="35"/>
  <c r="I371" i="35"/>
  <c r="P371" i="35"/>
  <c r="L371" i="35"/>
  <c r="H371" i="35"/>
  <c r="O371" i="35"/>
  <c r="K371" i="35"/>
  <c r="G371" i="35"/>
  <c r="O223" i="35"/>
  <c r="K223" i="35"/>
  <c r="H189" i="35"/>
  <c r="L189" i="35"/>
  <c r="J158" i="35"/>
  <c r="H139" i="35"/>
  <c r="L139" i="35"/>
  <c r="J219" i="35"/>
  <c r="J316" i="35"/>
  <c r="N395" i="35"/>
  <c r="J371" i="35"/>
  <c r="J281" i="35"/>
  <c r="N281" i="35"/>
  <c r="M321" i="35"/>
  <c r="H343" i="35"/>
  <c r="L343" i="35"/>
  <c r="P343" i="35"/>
  <c r="J469" i="35"/>
  <c r="N469" i="35"/>
  <c r="K281" i="35"/>
  <c r="J321" i="35"/>
  <c r="I343" i="35"/>
  <c r="M343" i="35"/>
  <c r="J360" i="35"/>
  <c r="I417" i="35"/>
  <c r="M417" i="35"/>
  <c r="J443" i="35"/>
  <c r="G469" i="35"/>
  <c r="K469" i="35"/>
  <c r="O469" i="35"/>
  <c r="J343" i="35"/>
  <c r="J417" i="35"/>
  <c r="H469" i="35"/>
  <c r="L469" i="35"/>
  <c r="M8" i="35"/>
  <c r="I8" i="35"/>
  <c r="G26" i="35"/>
  <c r="O26" i="35"/>
  <c r="P8" i="35"/>
  <c r="L8" i="35"/>
  <c r="H8" i="35"/>
  <c r="H26" i="35"/>
  <c r="L26" i="35"/>
  <c r="P26" i="35"/>
  <c r="K26" i="35"/>
  <c r="O8" i="35"/>
  <c r="K8" i="35"/>
  <c r="I26" i="35"/>
  <c r="M26" i="35"/>
  <c r="J26" i="35"/>
  <c r="I4406" i="41" l="1"/>
  <c r="H4406" i="41"/>
  <c r="G4406" i="41"/>
  <c r="K4406" i="41"/>
  <c r="J4406" i="41"/>
  <c r="D4407" i="41"/>
  <c r="E4407" i="41" s="1"/>
  <c r="F4407" i="41" s="1"/>
  <c r="D122" i="10" a="1"/>
  <c r="D122" i="10" s="1"/>
  <c r="AI102" i="10"/>
  <c r="AH102" i="10"/>
  <c r="AG102" i="10"/>
  <c r="AF102" i="10"/>
  <c r="AE102" i="10"/>
  <c r="AD102" i="10"/>
  <c r="AC102" i="10"/>
  <c r="AB102" i="10"/>
  <c r="AA102" i="10"/>
  <c r="Z102" i="10"/>
  <c r="Y102" i="10"/>
  <c r="X102" i="10"/>
  <c r="W102" i="10"/>
  <c r="V102" i="10"/>
  <c r="U102" i="10"/>
  <c r="T102" i="10"/>
  <c r="S102" i="10"/>
  <c r="R102" i="10"/>
  <c r="Q102" i="10"/>
  <c r="P102" i="10"/>
  <c r="O102" i="10"/>
  <c r="N102" i="10"/>
  <c r="M102" i="10"/>
  <c r="L102" i="10"/>
  <c r="K102" i="10"/>
  <c r="J102" i="10"/>
  <c r="I102" i="10"/>
  <c r="H102" i="10"/>
  <c r="G102" i="10"/>
  <c r="F102" i="10"/>
  <c r="AN101" i="10"/>
  <c r="AM101" i="10"/>
  <c r="AL101" i="10"/>
  <c r="AK101" i="10"/>
  <c r="AJ101" i="10"/>
  <c r="AM97" i="10"/>
  <c r="AM96" i="10"/>
  <c r="AK42" i="10"/>
  <c r="AK41" i="10"/>
  <c r="AM81" i="10"/>
  <c r="AM83" i="10" s="1"/>
  <c r="AJ59" i="10" a="1"/>
  <c r="AJ59" i="10" s="1"/>
  <c r="K4407" i="41" l="1"/>
  <c r="J4407" i="41"/>
  <c r="I4407" i="41"/>
  <c r="H4407" i="41"/>
  <c r="G4407" i="41"/>
  <c r="D4408" i="41"/>
  <c r="E4408" i="41" s="1"/>
  <c r="F4408" i="41" s="1"/>
  <c r="D313" i="10"/>
  <c r="D245" i="10"/>
  <c r="D320" i="10"/>
  <c r="F320" i="10" s="1" a="1"/>
  <c r="D288" i="10"/>
  <c r="D237" i="10"/>
  <c r="D141" i="10"/>
  <c r="D319" i="10"/>
  <c r="F319" i="10" s="1" a="1"/>
  <c r="D304" i="10"/>
  <c r="F304" i="10" s="1" a="1"/>
  <c r="D283" i="10"/>
  <c r="D261" i="10"/>
  <c r="D229" i="10"/>
  <c r="D197" i="10"/>
  <c r="D165" i="10"/>
  <c r="D133" i="10"/>
  <c r="F133" i="10" s="1" a="1"/>
  <c r="D293" i="10"/>
  <c r="D272" i="10"/>
  <c r="F272" i="10" s="1" a="1"/>
  <c r="D213" i="10"/>
  <c r="F213" i="10" s="1" a="1"/>
  <c r="D181" i="10"/>
  <c r="D149" i="10"/>
  <c r="D309" i="10"/>
  <c r="D267" i="10"/>
  <c r="D205" i="10"/>
  <c r="D173" i="10"/>
  <c r="D315" i="10"/>
  <c r="F315" i="10" s="1" a="1"/>
  <c r="D299" i="10"/>
  <c r="D277" i="10"/>
  <c r="F277" i="10" s="1" a="1"/>
  <c r="D253" i="10"/>
  <c r="D221" i="10"/>
  <c r="D189" i="10"/>
  <c r="D157" i="10"/>
  <c r="D125" i="10"/>
  <c r="D308" i="10"/>
  <c r="D303" i="10"/>
  <c r="F303" i="10" s="1" a="1"/>
  <c r="D297" i="10"/>
  <c r="D292" i="10"/>
  <c r="D287" i="10"/>
  <c r="D281" i="10"/>
  <c r="D276" i="10"/>
  <c r="F276" i="10" s="1" a="1"/>
  <c r="D271" i="10"/>
  <c r="F271" i="10" s="1" a="1"/>
  <c r="D265" i="10"/>
  <c r="D260" i="10"/>
  <c r="D252" i="10"/>
  <c r="D244" i="10"/>
  <c r="D236" i="10"/>
  <c r="D228" i="10"/>
  <c r="D220" i="10"/>
  <c r="D212" i="10"/>
  <c r="D204" i="10"/>
  <c r="D196" i="10"/>
  <c r="D188" i="10"/>
  <c r="D180" i="10"/>
  <c r="D172" i="10"/>
  <c r="D164" i="10"/>
  <c r="D156" i="10"/>
  <c r="D148" i="10"/>
  <c r="D140" i="10"/>
  <c r="F140" i="10" s="1" a="1"/>
  <c r="D132" i="10"/>
  <c r="F132" i="10" s="1" a="1"/>
  <c r="D124" i="10"/>
  <c r="D317" i="10"/>
  <c r="F317" i="10" s="1" a="1"/>
  <c r="D312" i="10"/>
  <c r="D307" i="10"/>
  <c r="D301" i="10"/>
  <c r="D296" i="10"/>
  <c r="D291" i="10"/>
  <c r="D285" i="10"/>
  <c r="D280" i="10"/>
  <c r="D275" i="10"/>
  <c r="D269" i="10"/>
  <c r="F269" i="10" s="1" a="1"/>
  <c r="D264" i="10"/>
  <c r="D257" i="10"/>
  <c r="D249" i="10"/>
  <c r="D241" i="10"/>
  <c r="D233" i="10"/>
  <c r="D225" i="10"/>
  <c r="D217" i="10"/>
  <c r="D209" i="10"/>
  <c r="D201" i="10"/>
  <c r="F201" i="10" s="1" a="1"/>
  <c r="D193" i="10"/>
  <c r="D185" i="10"/>
  <c r="D177" i="10"/>
  <c r="D169" i="10"/>
  <c r="D161" i="10"/>
  <c r="D153" i="10"/>
  <c r="D145" i="10"/>
  <c r="D137" i="10"/>
  <c r="F137" i="10" s="1" a="1"/>
  <c r="D129" i="10"/>
  <c r="D321" i="10"/>
  <c r="D316" i="10"/>
  <c r="F316" i="10" s="1" a="1"/>
  <c r="D311" i="10"/>
  <c r="D305" i="10"/>
  <c r="F305" i="10" s="1" a="1"/>
  <c r="D300" i="10"/>
  <c r="D295" i="10"/>
  <c r="D289" i="10"/>
  <c r="D284" i="10"/>
  <c r="D279" i="10"/>
  <c r="F279" i="10" s="1" a="1"/>
  <c r="D273" i="10"/>
  <c r="F273" i="10" s="1" a="1"/>
  <c r="D268" i="10"/>
  <c r="D263" i="10"/>
  <c r="D256" i="10"/>
  <c r="D248" i="10"/>
  <c r="D240" i="10"/>
  <c r="D232" i="10"/>
  <c r="D224" i="10"/>
  <c r="D216" i="10"/>
  <c r="D208" i="10"/>
  <c r="D200" i="10"/>
  <c r="D192" i="10"/>
  <c r="D184" i="10"/>
  <c r="D176" i="10"/>
  <c r="D168" i="10"/>
  <c r="D160" i="10"/>
  <c r="D152" i="10"/>
  <c r="D144" i="10"/>
  <c r="D136" i="10"/>
  <c r="F136" i="10" s="1" a="1"/>
  <c r="D128" i="10"/>
  <c r="D259" i="10"/>
  <c r="D255" i="10"/>
  <c r="D251" i="10"/>
  <c r="D247" i="10"/>
  <c r="D243" i="10"/>
  <c r="D239" i="10"/>
  <c r="F239" i="10" s="1" a="1"/>
  <c r="D235" i="10"/>
  <c r="D231" i="10"/>
  <c r="D227" i="10"/>
  <c r="F227" i="10" s="1" a="1"/>
  <c r="D223" i="10"/>
  <c r="D219" i="10"/>
  <c r="D215" i="10"/>
  <c r="D211" i="10"/>
  <c r="D207" i="10"/>
  <c r="D203" i="10"/>
  <c r="D199" i="10"/>
  <c r="D195" i="10"/>
  <c r="D191" i="10"/>
  <c r="D187" i="10"/>
  <c r="D183" i="10"/>
  <c r="D179" i="10"/>
  <c r="D175" i="10"/>
  <c r="D171" i="10"/>
  <c r="D167" i="10"/>
  <c r="D163" i="10"/>
  <c r="D159" i="10"/>
  <c r="D155" i="10"/>
  <c r="D151" i="10"/>
  <c r="D147" i="10"/>
  <c r="D143" i="10"/>
  <c r="D139" i="10"/>
  <c r="F139" i="10" s="1" a="1"/>
  <c r="D135" i="10"/>
  <c r="F135" i="10" s="1" a="1"/>
  <c r="D131" i="10"/>
  <c r="F131" i="10" s="1" a="1"/>
  <c r="D127" i="10"/>
  <c r="D123" i="10"/>
  <c r="D318" i="10"/>
  <c r="F318" i="10" s="1" a="1"/>
  <c r="D314" i="10"/>
  <c r="D310" i="10"/>
  <c r="D306" i="10"/>
  <c r="F306" i="10" s="1" a="1"/>
  <c r="D302" i="10"/>
  <c r="D298" i="10"/>
  <c r="D294" i="10"/>
  <c r="D290" i="10"/>
  <c r="D286" i="10"/>
  <c r="D282" i="10"/>
  <c r="D278" i="10"/>
  <c r="F278" i="10" s="1" a="1"/>
  <c r="D274" i="10"/>
  <c r="D270" i="10"/>
  <c r="F270" i="10" s="1" a="1"/>
  <c r="D266" i="10"/>
  <c r="F266" i="10" s="1" a="1"/>
  <c r="D262" i="10"/>
  <c r="D258" i="10"/>
  <c r="D254" i="10"/>
  <c r="D250" i="10"/>
  <c r="D246" i="10"/>
  <c r="D242" i="10"/>
  <c r="D238" i="10"/>
  <c r="D234" i="10"/>
  <c r="D230" i="10"/>
  <c r="D226" i="10"/>
  <c r="D222" i="10"/>
  <c r="D218" i="10"/>
  <c r="D214" i="10"/>
  <c r="F214" i="10" s="1" a="1"/>
  <c r="D210" i="10"/>
  <c r="D206" i="10"/>
  <c r="D202" i="10"/>
  <c r="F202" i="10" s="1" a="1"/>
  <c r="D198" i="10"/>
  <c r="D194" i="10"/>
  <c r="D190" i="10"/>
  <c r="D186" i="10"/>
  <c r="D182" i="10"/>
  <c r="D178" i="10"/>
  <c r="D174" i="10"/>
  <c r="D170" i="10"/>
  <c r="D166" i="10"/>
  <c r="D162" i="10"/>
  <c r="D158" i="10"/>
  <c r="D154" i="10"/>
  <c r="D150" i="10"/>
  <c r="D146" i="10"/>
  <c r="D142" i="10"/>
  <c r="D138" i="10"/>
  <c r="F138" i="10" s="1" a="1"/>
  <c r="D134" i="10"/>
  <c r="F134" i="10" s="1" a="1"/>
  <c r="D130" i="10"/>
  <c r="F130" i="10" s="1" a="1"/>
  <c r="D126" i="10"/>
  <c r="AM59" i="10"/>
  <c r="AL59" i="10"/>
  <c r="AK59" i="10"/>
  <c r="AN59" i="10"/>
  <c r="K4408" i="41" l="1"/>
  <c r="J4408" i="41"/>
  <c r="I4408" i="41"/>
  <c r="H4408" i="41"/>
  <c r="G4408" i="41"/>
  <c r="D4409" i="41"/>
  <c r="E4409" i="41" s="1"/>
  <c r="F4409" i="41" s="1"/>
  <c r="H306" i="10"/>
  <c r="L306" i="10"/>
  <c r="P306" i="10"/>
  <c r="T306" i="10"/>
  <c r="X306" i="10"/>
  <c r="AB306" i="10"/>
  <c r="AF306" i="10"/>
  <c r="AJ306" i="10"/>
  <c r="AN306" i="10"/>
  <c r="AR306" i="10"/>
  <c r="AV306" i="10"/>
  <c r="AZ306" i="10"/>
  <c r="I306" i="10"/>
  <c r="M306" i="10"/>
  <c r="Q306" i="10"/>
  <c r="U306" i="10"/>
  <c r="Y306" i="10"/>
  <c r="AC306" i="10"/>
  <c r="AG306" i="10"/>
  <c r="AK306" i="10"/>
  <c r="AO306" i="10"/>
  <c r="AS306" i="10"/>
  <c r="AW306" i="10"/>
  <c r="BA306" i="10"/>
  <c r="F306" i="10"/>
  <c r="J306" i="10"/>
  <c r="N306" i="10"/>
  <c r="R306" i="10"/>
  <c r="V306" i="10"/>
  <c r="Z306" i="10"/>
  <c r="AD306" i="10"/>
  <c r="AH306" i="10"/>
  <c r="AL306" i="10"/>
  <c r="AP306" i="10"/>
  <c r="AT306" i="10"/>
  <c r="AX306" i="10"/>
  <c r="BB306" i="10"/>
  <c r="G306" i="10"/>
  <c r="K306" i="10"/>
  <c r="O306" i="10"/>
  <c r="S306" i="10"/>
  <c r="W306" i="10"/>
  <c r="AA306" i="10"/>
  <c r="AE306" i="10"/>
  <c r="AI306" i="10"/>
  <c r="AM306" i="10"/>
  <c r="AQ306" i="10"/>
  <c r="AU306" i="10"/>
  <c r="AY306" i="10"/>
  <c r="BC306" i="10"/>
  <c r="G139" i="10"/>
  <c r="K139" i="10"/>
  <c r="O139" i="10"/>
  <c r="S139" i="10"/>
  <c r="W139" i="10"/>
  <c r="AA139" i="10"/>
  <c r="AE139" i="10"/>
  <c r="AI139" i="10"/>
  <c r="AM139" i="10"/>
  <c r="AQ139" i="10"/>
  <c r="AU139" i="10"/>
  <c r="AY139" i="10"/>
  <c r="BC139" i="10"/>
  <c r="H139" i="10"/>
  <c r="L139" i="10"/>
  <c r="P139" i="10"/>
  <c r="T139" i="10"/>
  <c r="X139" i="10"/>
  <c r="AB139" i="10"/>
  <c r="AF139" i="10"/>
  <c r="AJ139" i="10"/>
  <c r="AN139" i="10"/>
  <c r="AR139" i="10"/>
  <c r="AV139" i="10"/>
  <c r="AZ139" i="10"/>
  <c r="I139" i="10"/>
  <c r="M139" i="10"/>
  <c r="Q139" i="10"/>
  <c r="U139" i="10"/>
  <c r="Y139" i="10"/>
  <c r="AC139" i="10"/>
  <c r="AG139" i="10"/>
  <c r="AK139" i="10"/>
  <c r="AO139" i="10"/>
  <c r="AS139" i="10"/>
  <c r="AW139" i="10"/>
  <c r="BA139" i="10"/>
  <c r="F139" i="10"/>
  <c r="J139" i="10"/>
  <c r="N139" i="10"/>
  <c r="R139" i="10"/>
  <c r="V139" i="10"/>
  <c r="Z139" i="10"/>
  <c r="AD139" i="10"/>
  <c r="AH139" i="10"/>
  <c r="AL139" i="10"/>
  <c r="AP139" i="10"/>
  <c r="AT139" i="10"/>
  <c r="AX139" i="10"/>
  <c r="BB139" i="10"/>
  <c r="H136" i="10"/>
  <c r="L136" i="10"/>
  <c r="P136" i="10"/>
  <c r="T136" i="10"/>
  <c r="X136" i="10"/>
  <c r="AB136" i="10"/>
  <c r="AF136" i="10"/>
  <c r="AJ136" i="10"/>
  <c r="AN136" i="10"/>
  <c r="AR136" i="10"/>
  <c r="AV136" i="10"/>
  <c r="AZ136" i="10"/>
  <c r="I136" i="10"/>
  <c r="M136" i="10"/>
  <c r="Q136" i="10"/>
  <c r="U136" i="10"/>
  <c r="Y136" i="10"/>
  <c r="AC136" i="10"/>
  <c r="AG136" i="10"/>
  <c r="AK136" i="10"/>
  <c r="AO136" i="10"/>
  <c r="AS136" i="10"/>
  <c r="AW136" i="10"/>
  <c r="BA136" i="10"/>
  <c r="F136" i="10"/>
  <c r="J136" i="10"/>
  <c r="N136" i="10"/>
  <c r="R136" i="10"/>
  <c r="V136" i="10"/>
  <c r="Z136" i="10"/>
  <c r="AD136" i="10"/>
  <c r="AH136" i="10"/>
  <c r="AL136" i="10"/>
  <c r="AP136" i="10"/>
  <c r="AT136" i="10"/>
  <c r="AX136" i="10"/>
  <c r="BB136" i="10"/>
  <c r="G136" i="10"/>
  <c r="K136" i="10"/>
  <c r="O136" i="10"/>
  <c r="S136" i="10"/>
  <c r="W136" i="10"/>
  <c r="AA136" i="10"/>
  <c r="AE136" i="10"/>
  <c r="AI136" i="10"/>
  <c r="AM136" i="10"/>
  <c r="AQ136" i="10"/>
  <c r="AU136" i="10"/>
  <c r="AY136" i="10"/>
  <c r="BC136" i="10"/>
  <c r="G305" i="10"/>
  <c r="K305" i="10"/>
  <c r="O305" i="10"/>
  <c r="S305" i="10"/>
  <c r="W305" i="10"/>
  <c r="AA305" i="10"/>
  <c r="AE305" i="10"/>
  <c r="AI305" i="10"/>
  <c r="AM305" i="10"/>
  <c r="AQ305" i="10"/>
  <c r="AU305" i="10"/>
  <c r="AY305" i="10"/>
  <c r="BC305" i="10"/>
  <c r="H305" i="10"/>
  <c r="L305" i="10"/>
  <c r="P305" i="10"/>
  <c r="T305" i="10"/>
  <c r="X305" i="10"/>
  <c r="AB305" i="10"/>
  <c r="AF305" i="10"/>
  <c r="AJ305" i="10"/>
  <c r="AN305" i="10"/>
  <c r="AR305" i="10"/>
  <c r="AV305" i="10"/>
  <c r="AZ305" i="10"/>
  <c r="I305" i="10"/>
  <c r="M305" i="10"/>
  <c r="Q305" i="10"/>
  <c r="U305" i="10"/>
  <c r="Y305" i="10"/>
  <c r="AC305" i="10"/>
  <c r="AG305" i="10"/>
  <c r="AK305" i="10"/>
  <c r="AO305" i="10"/>
  <c r="AS305" i="10"/>
  <c r="AW305" i="10"/>
  <c r="BA305" i="10"/>
  <c r="F305" i="10"/>
  <c r="J305" i="10"/>
  <c r="N305" i="10"/>
  <c r="R305" i="10"/>
  <c r="V305" i="10"/>
  <c r="Z305" i="10"/>
  <c r="AD305" i="10"/>
  <c r="AH305" i="10"/>
  <c r="AL305" i="10"/>
  <c r="AP305" i="10"/>
  <c r="AT305" i="10"/>
  <c r="AX305" i="10"/>
  <c r="BB305" i="10"/>
  <c r="F276" i="10"/>
  <c r="J276" i="10"/>
  <c r="N276" i="10"/>
  <c r="R276" i="10"/>
  <c r="V276" i="10"/>
  <c r="Z276" i="10"/>
  <c r="AD276" i="10"/>
  <c r="AH276" i="10"/>
  <c r="AL276" i="10"/>
  <c r="AP276" i="10"/>
  <c r="AT276" i="10"/>
  <c r="AX276" i="10"/>
  <c r="BB276" i="10"/>
  <c r="G276" i="10"/>
  <c r="K276" i="10"/>
  <c r="O276" i="10"/>
  <c r="S276" i="10"/>
  <c r="W276" i="10"/>
  <c r="AA276" i="10"/>
  <c r="AE276" i="10"/>
  <c r="AI276" i="10"/>
  <c r="AM276" i="10"/>
  <c r="AQ276" i="10"/>
  <c r="AU276" i="10"/>
  <c r="AY276" i="10"/>
  <c r="BC276" i="10"/>
  <c r="H276" i="10"/>
  <c r="L276" i="10"/>
  <c r="P276" i="10"/>
  <c r="T276" i="10"/>
  <c r="X276" i="10"/>
  <c r="AB276" i="10"/>
  <c r="AF276" i="10"/>
  <c r="AJ276" i="10"/>
  <c r="AN276" i="10"/>
  <c r="AR276" i="10"/>
  <c r="AV276" i="10"/>
  <c r="AZ276" i="10"/>
  <c r="I276" i="10"/>
  <c r="M276" i="10"/>
  <c r="Q276" i="10"/>
  <c r="U276" i="10"/>
  <c r="Y276" i="10"/>
  <c r="AC276" i="10"/>
  <c r="AG276" i="10"/>
  <c r="AK276" i="10"/>
  <c r="AO276" i="10"/>
  <c r="AS276" i="10"/>
  <c r="AW276" i="10"/>
  <c r="BA276" i="10"/>
  <c r="G277" i="10"/>
  <c r="K277" i="10"/>
  <c r="O277" i="10"/>
  <c r="S277" i="10"/>
  <c r="W277" i="10"/>
  <c r="AA277" i="10"/>
  <c r="AE277" i="10"/>
  <c r="AI277" i="10"/>
  <c r="AM277" i="10"/>
  <c r="AQ277" i="10"/>
  <c r="AU277" i="10"/>
  <c r="AY277" i="10"/>
  <c r="BC277" i="10"/>
  <c r="H277" i="10"/>
  <c r="L277" i="10"/>
  <c r="P277" i="10"/>
  <c r="T277" i="10"/>
  <c r="X277" i="10"/>
  <c r="AB277" i="10"/>
  <c r="AF277" i="10"/>
  <c r="AJ277" i="10"/>
  <c r="AN277" i="10"/>
  <c r="AR277" i="10"/>
  <c r="AV277" i="10"/>
  <c r="AZ277" i="10"/>
  <c r="I277" i="10"/>
  <c r="M277" i="10"/>
  <c r="Q277" i="10"/>
  <c r="U277" i="10"/>
  <c r="Y277" i="10"/>
  <c r="AC277" i="10"/>
  <c r="AG277" i="10"/>
  <c r="AK277" i="10"/>
  <c r="AO277" i="10"/>
  <c r="AS277" i="10"/>
  <c r="AW277" i="10"/>
  <c r="BA277" i="10"/>
  <c r="F277" i="10"/>
  <c r="J277" i="10"/>
  <c r="N277" i="10"/>
  <c r="R277" i="10"/>
  <c r="V277" i="10"/>
  <c r="Z277" i="10"/>
  <c r="AD277" i="10"/>
  <c r="AH277" i="10"/>
  <c r="AL277" i="10"/>
  <c r="AP277" i="10"/>
  <c r="AT277" i="10"/>
  <c r="AX277" i="10"/>
  <c r="BB277" i="10"/>
  <c r="I133" i="10"/>
  <c r="M133" i="10"/>
  <c r="Q133" i="10"/>
  <c r="U133" i="10"/>
  <c r="Y133" i="10"/>
  <c r="AC133" i="10"/>
  <c r="AG133" i="10"/>
  <c r="AK133" i="10"/>
  <c r="AO133" i="10"/>
  <c r="AS133" i="10"/>
  <c r="AW133" i="10"/>
  <c r="BA133" i="10"/>
  <c r="F133" i="10"/>
  <c r="J133" i="10"/>
  <c r="N133" i="10"/>
  <c r="R133" i="10"/>
  <c r="V133" i="10"/>
  <c r="Z133" i="10"/>
  <c r="AD133" i="10"/>
  <c r="AH133" i="10"/>
  <c r="AL133" i="10"/>
  <c r="AP133" i="10"/>
  <c r="AT133" i="10"/>
  <c r="AX133" i="10"/>
  <c r="BB133" i="10"/>
  <c r="G133" i="10"/>
  <c r="K133" i="10"/>
  <c r="O133" i="10"/>
  <c r="S133" i="10"/>
  <c r="W133" i="10"/>
  <c r="AA133" i="10"/>
  <c r="AE133" i="10"/>
  <c r="AI133" i="10"/>
  <c r="AM133" i="10"/>
  <c r="AQ133" i="10"/>
  <c r="AU133" i="10"/>
  <c r="AY133" i="10"/>
  <c r="BC133" i="10"/>
  <c r="H133" i="10"/>
  <c r="L133" i="10"/>
  <c r="P133" i="10"/>
  <c r="T133" i="10"/>
  <c r="X133" i="10"/>
  <c r="AB133" i="10"/>
  <c r="AF133" i="10"/>
  <c r="AJ133" i="10"/>
  <c r="AN133" i="10"/>
  <c r="AR133" i="10"/>
  <c r="AV133" i="10"/>
  <c r="AZ133" i="10"/>
  <c r="F130" i="10"/>
  <c r="J130" i="10"/>
  <c r="N130" i="10"/>
  <c r="R130" i="10"/>
  <c r="V130" i="10"/>
  <c r="Z130" i="10"/>
  <c r="AD130" i="10"/>
  <c r="AH130" i="10"/>
  <c r="AL130" i="10"/>
  <c r="AP130" i="10"/>
  <c r="AT130" i="10"/>
  <c r="AX130" i="10"/>
  <c r="BB130" i="10"/>
  <c r="G130" i="10"/>
  <c r="K130" i="10"/>
  <c r="O130" i="10"/>
  <c r="S130" i="10"/>
  <c r="W130" i="10"/>
  <c r="AA130" i="10"/>
  <c r="AE130" i="10"/>
  <c r="AI130" i="10"/>
  <c r="AM130" i="10"/>
  <c r="AQ130" i="10"/>
  <c r="AU130" i="10"/>
  <c r="AY130" i="10"/>
  <c r="BC130" i="10"/>
  <c r="H130" i="10"/>
  <c r="L130" i="10"/>
  <c r="P130" i="10"/>
  <c r="T130" i="10"/>
  <c r="X130" i="10"/>
  <c r="AB130" i="10"/>
  <c r="AF130" i="10"/>
  <c r="AJ130" i="10"/>
  <c r="AN130" i="10"/>
  <c r="AR130" i="10"/>
  <c r="AV130" i="10"/>
  <c r="AZ130" i="10"/>
  <c r="I130" i="10"/>
  <c r="M130" i="10"/>
  <c r="Q130" i="10"/>
  <c r="U130" i="10"/>
  <c r="Y130" i="10"/>
  <c r="AC130" i="10"/>
  <c r="AG130" i="10"/>
  <c r="AK130" i="10"/>
  <c r="AO130" i="10"/>
  <c r="AS130" i="10"/>
  <c r="AW130" i="10"/>
  <c r="BA130" i="10"/>
  <c r="F134" i="10"/>
  <c r="J134" i="10"/>
  <c r="N134" i="10"/>
  <c r="R134" i="10"/>
  <c r="V134" i="10"/>
  <c r="Z134" i="10"/>
  <c r="AD134" i="10"/>
  <c r="AH134" i="10"/>
  <c r="AL134" i="10"/>
  <c r="AP134" i="10"/>
  <c r="AT134" i="10"/>
  <c r="AX134" i="10"/>
  <c r="BB134" i="10"/>
  <c r="G134" i="10"/>
  <c r="K134" i="10"/>
  <c r="O134" i="10"/>
  <c r="S134" i="10"/>
  <c r="W134" i="10"/>
  <c r="AA134" i="10"/>
  <c r="AE134" i="10"/>
  <c r="AI134" i="10"/>
  <c r="AM134" i="10"/>
  <c r="AQ134" i="10"/>
  <c r="AU134" i="10"/>
  <c r="AY134" i="10"/>
  <c r="BC134" i="10"/>
  <c r="H134" i="10"/>
  <c r="L134" i="10"/>
  <c r="P134" i="10"/>
  <c r="T134" i="10"/>
  <c r="X134" i="10"/>
  <c r="AB134" i="10"/>
  <c r="AF134" i="10"/>
  <c r="AJ134" i="10"/>
  <c r="AN134" i="10"/>
  <c r="AR134" i="10"/>
  <c r="AV134" i="10"/>
  <c r="AZ134" i="10"/>
  <c r="I134" i="10"/>
  <c r="M134" i="10"/>
  <c r="Q134" i="10"/>
  <c r="U134" i="10"/>
  <c r="Y134" i="10"/>
  <c r="AC134" i="10"/>
  <c r="AG134" i="10"/>
  <c r="AK134" i="10"/>
  <c r="AO134" i="10"/>
  <c r="AS134" i="10"/>
  <c r="AW134" i="10"/>
  <c r="BA134" i="10"/>
  <c r="H214" i="10"/>
  <c r="L214" i="10"/>
  <c r="P214" i="10"/>
  <c r="T214" i="10"/>
  <c r="X214" i="10"/>
  <c r="AB214" i="10"/>
  <c r="AF214" i="10"/>
  <c r="AJ214" i="10"/>
  <c r="AN214" i="10"/>
  <c r="AR214" i="10"/>
  <c r="AV214" i="10"/>
  <c r="AZ214" i="10"/>
  <c r="I214" i="10"/>
  <c r="M214" i="10"/>
  <c r="Q214" i="10"/>
  <c r="U214" i="10"/>
  <c r="Y214" i="10"/>
  <c r="AC214" i="10"/>
  <c r="AG214" i="10"/>
  <c r="AK214" i="10"/>
  <c r="AO214" i="10"/>
  <c r="AS214" i="10"/>
  <c r="AW214" i="10"/>
  <c r="BA214" i="10"/>
  <c r="F214" i="10"/>
  <c r="J214" i="10"/>
  <c r="N214" i="10"/>
  <c r="R214" i="10"/>
  <c r="V214" i="10"/>
  <c r="Z214" i="10"/>
  <c r="AD214" i="10"/>
  <c r="AH214" i="10"/>
  <c r="AL214" i="10"/>
  <c r="AP214" i="10"/>
  <c r="AT214" i="10"/>
  <c r="AX214" i="10"/>
  <c r="BB214" i="10"/>
  <c r="G214" i="10"/>
  <c r="K214" i="10"/>
  <c r="O214" i="10"/>
  <c r="S214" i="10"/>
  <c r="W214" i="10"/>
  <c r="AA214" i="10"/>
  <c r="AE214" i="10"/>
  <c r="AI214" i="10"/>
  <c r="AM214" i="10"/>
  <c r="AQ214" i="10"/>
  <c r="AU214" i="10"/>
  <c r="AY214" i="10"/>
  <c r="BC214" i="10"/>
  <c r="H278" i="10"/>
  <c r="L278" i="10"/>
  <c r="P278" i="10"/>
  <c r="T278" i="10"/>
  <c r="X278" i="10"/>
  <c r="AB278" i="10"/>
  <c r="AF278" i="10"/>
  <c r="AJ278" i="10"/>
  <c r="AN278" i="10"/>
  <c r="AR278" i="10"/>
  <c r="AV278" i="10"/>
  <c r="AZ278" i="10"/>
  <c r="I278" i="10"/>
  <c r="M278" i="10"/>
  <c r="Q278" i="10"/>
  <c r="U278" i="10"/>
  <c r="Y278" i="10"/>
  <c r="AC278" i="10"/>
  <c r="AG278" i="10"/>
  <c r="AK278" i="10"/>
  <c r="AO278" i="10"/>
  <c r="AS278" i="10"/>
  <c r="AW278" i="10"/>
  <c r="BA278" i="10"/>
  <c r="F278" i="10"/>
  <c r="J278" i="10"/>
  <c r="N278" i="10"/>
  <c r="R278" i="10"/>
  <c r="V278" i="10"/>
  <c r="Z278" i="10"/>
  <c r="AD278" i="10"/>
  <c r="AH278" i="10"/>
  <c r="AL278" i="10"/>
  <c r="AP278" i="10"/>
  <c r="AT278" i="10"/>
  <c r="AX278" i="10"/>
  <c r="BB278" i="10"/>
  <c r="G278" i="10"/>
  <c r="K278" i="10"/>
  <c r="O278" i="10"/>
  <c r="S278" i="10"/>
  <c r="W278" i="10"/>
  <c r="AA278" i="10"/>
  <c r="AE278" i="10"/>
  <c r="AI278" i="10"/>
  <c r="AM278" i="10"/>
  <c r="AQ278" i="10"/>
  <c r="AU278" i="10"/>
  <c r="AY278" i="10"/>
  <c r="BC278" i="10"/>
  <c r="I239" i="10"/>
  <c r="M239" i="10"/>
  <c r="Q239" i="10"/>
  <c r="U239" i="10"/>
  <c r="Y239" i="10"/>
  <c r="AC239" i="10"/>
  <c r="AG239" i="10"/>
  <c r="AK239" i="10"/>
  <c r="AO239" i="10"/>
  <c r="AS239" i="10"/>
  <c r="AW239" i="10"/>
  <c r="BA239" i="10"/>
  <c r="F239" i="10"/>
  <c r="J239" i="10"/>
  <c r="N239" i="10"/>
  <c r="R239" i="10"/>
  <c r="V239" i="10"/>
  <c r="Z239" i="10"/>
  <c r="AD239" i="10"/>
  <c r="AH239" i="10"/>
  <c r="AL239" i="10"/>
  <c r="AP239" i="10"/>
  <c r="AT239" i="10"/>
  <c r="AX239" i="10"/>
  <c r="BB239" i="10"/>
  <c r="G239" i="10"/>
  <c r="K239" i="10"/>
  <c r="O239" i="10"/>
  <c r="S239" i="10"/>
  <c r="W239" i="10"/>
  <c r="AA239" i="10"/>
  <c r="AE239" i="10"/>
  <c r="AI239" i="10"/>
  <c r="AM239" i="10"/>
  <c r="AQ239" i="10"/>
  <c r="AU239" i="10"/>
  <c r="AY239" i="10"/>
  <c r="BC239" i="10"/>
  <c r="H239" i="10"/>
  <c r="L239" i="10"/>
  <c r="P239" i="10"/>
  <c r="T239" i="10"/>
  <c r="X239" i="10"/>
  <c r="AB239" i="10"/>
  <c r="AF239" i="10"/>
  <c r="AJ239" i="10"/>
  <c r="AN239" i="10"/>
  <c r="AR239" i="10"/>
  <c r="AV239" i="10"/>
  <c r="AZ239" i="10"/>
  <c r="I137" i="10"/>
  <c r="M137" i="10"/>
  <c r="Q137" i="10"/>
  <c r="U137" i="10"/>
  <c r="Y137" i="10"/>
  <c r="AC137" i="10"/>
  <c r="AG137" i="10"/>
  <c r="AK137" i="10"/>
  <c r="AO137" i="10"/>
  <c r="AS137" i="10"/>
  <c r="AW137" i="10"/>
  <c r="BA137" i="10"/>
  <c r="F137" i="10"/>
  <c r="J137" i="10"/>
  <c r="N137" i="10"/>
  <c r="R137" i="10"/>
  <c r="V137" i="10"/>
  <c r="Z137" i="10"/>
  <c r="AD137" i="10"/>
  <c r="AH137" i="10"/>
  <c r="AL137" i="10"/>
  <c r="AP137" i="10"/>
  <c r="AT137" i="10"/>
  <c r="AX137" i="10"/>
  <c r="BB137" i="10"/>
  <c r="G137" i="10"/>
  <c r="K137" i="10"/>
  <c r="O137" i="10"/>
  <c r="S137" i="10"/>
  <c r="W137" i="10"/>
  <c r="AA137" i="10"/>
  <c r="AE137" i="10"/>
  <c r="AI137" i="10"/>
  <c r="AM137" i="10"/>
  <c r="AQ137" i="10"/>
  <c r="AU137" i="10"/>
  <c r="AY137" i="10"/>
  <c r="BC137" i="10"/>
  <c r="H137" i="10"/>
  <c r="L137" i="10"/>
  <c r="P137" i="10"/>
  <c r="T137" i="10"/>
  <c r="X137" i="10"/>
  <c r="AB137" i="10"/>
  <c r="AF137" i="10"/>
  <c r="AJ137" i="10"/>
  <c r="AN137" i="10"/>
  <c r="AR137" i="10"/>
  <c r="AV137" i="10"/>
  <c r="AZ137" i="10"/>
  <c r="G201" i="10"/>
  <c r="K201" i="10"/>
  <c r="O201" i="10"/>
  <c r="S201" i="10"/>
  <c r="W201" i="10"/>
  <c r="AA201" i="10"/>
  <c r="AE201" i="10"/>
  <c r="AI201" i="10"/>
  <c r="AM201" i="10"/>
  <c r="AQ201" i="10"/>
  <c r="AU201" i="10"/>
  <c r="AY201" i="10"/>
  <c r="BC201" i="10"/>
  <c r="H201" i="10"/>
  <c r="L201" i="10"/>
  <c r="P201" i="10"/>
  <c r="T201" i="10"/>
  <c r="X201" i="10"/>
  <c r="AB201" i="10"/>
  <c r="AF201" i="10"/>
  <c r="AJ201" i="10"/>
  <c r="AN201" i="10"/>
  <c r="AR201" i="10"/>
  <c r="AV201" i="10"/>
  <c r="AZ201" i="10"/>
  <c r="I201" i="10"/>
  <c r="M201" i="10"/>
  <c r="Q201" i="10"/>
  <c r="U201" i="10"/>
  <c r="Y201" i="10"/>
  <c r="AC201" i="10"/>
  <c r="AG201" i="10"/>
  <c r="AK201" i="10"/>
  <c r="AO201" i="10"/>
  <c r="AS201" i="10"/>
  <c r="AW201" i="10"/>
  <c r="BA201" i="10"/>
  <c r="F201" i="10"/>
  <c r="J201" i="10"/>
  <c r="N201" i="10"/>
  <c r="R201" i="10"/>
  <c r="V201" i="10"/>
  <c r="Z201" i="10"/>
  <c r="AD201" i="10"/>
  <c r="AH201" i="10"/>
  <c r="AL201" i="10"/>
  <c r="AP201" i="10"/>
  <c r="AT201" i="10"/>
  <c r="AX201" i="10"/>
  <c r="BB201" i="10"/>
  <c r="H132" i="10"/>
  <c r="L132" i="10"/>
  <c r="P132" i="10"/>
  <c r="T132" i="10"/>
  <c r="X132" i="10"/>
  <c r="AB132" i="10"/>
  <c r="AF132" i="10"/>
  <c r="AJ132" i="10"/>
  <c r="AN132" i="10"/>
  <c r="AR132" i="10"/>
  <c r="AV132" i="10"/>
  <c r="AZ132" i="10"/>
  <c r="I132" i="10"/>
  <c r="M132" i="10"/>
  <c r="Q132" i="10"/>
  <c r="U132" i="10"/>
  <c r="Y132" i="10"/>
  <c r="AC132" i="10"/>
  <c r="AG132" i="10"/>
  <c r="AK132" i="10"/>
  <c r="AO132" i="10"/>
  <c r="AS132" i="10"/>
  <c r="AW132" i="10"/>
  <c r="BA132" i="10"/>
  <c r="F132" i="10"/>
  <c r="J132" i="10"/>
  <c r="N132" i="10"/>
  <c r="R132" i="10"/>
  <c r="V132" i="10"/>
  <c r="Z132" i="10"/>
  <c r="AD132" i="10"/>
  <c r="AH132" i="10"/>
  <c r="AL132" i="10"/>
  <c r="AP132" i="10"/>
  <c r="AT132" i="10"/>
  <c r="AX132" i="10"/>
  <c r="BB132" i="10"/>
  <c r="G132" i="10"/>
  <c r="K132" i="10"/>
  <c r="O132" i="10"/>
  <c r="S132" i="10"/>
  <c r="W132" i="10"/>
  <c r="AA132" i="10"/>
  <c r="AE132" i="10"/>
  <c r="AI132" i="10"/>
  <c r="AM132" i="10"/>
  <c r="AQ132" i="10"/>
  <c r="AU132" i="10"/>
  <c r="AY132" i="10"/>
  <c r="BC132" i="10"/>
  <c r="I303" i="10"/>
  <c r="M303" i="10"/>
  <c r="Q303" i="10"/>
  <c r="U303" i="10"/>
  <c r="Y303" i="10"/>
  <c r="AC303" i="10"/>
  <c r="AG303" i="10"/>
  <c r="AK303" i="10"/>
  <c r="AO303" i="10"/>
  <c r="AS303" i="10"/>
  <c r="AW303" i="10"/>
  <c r="BA303" i="10"/>
  <c r="F303" i="10"/>
  <c r="J303" i="10"/>
  <c r="N303" i="10"/>
  <c r="R303" i="10"/>
  <c r="V303" i="10"/>
  <c r="Z303" i="10"/>
  <c r="AD303" i="10"/>
  <c r="AH303" i="10"/>
  <c r="AL303" i="10"/>
  <c r="AP303" i="10"/>
  <c r="AT303" i="10"/>
  <c r="AX303" i="10"/>
  <c r="BB303" i="10"/>
  <c r="G303" i="10"/>
  <c r="K303" i="10"/>
  <c r="O303" i="10"/>
  <c r="S303" i="10"/>
  <c r="W303" i="10"/>
  <c r="AA303" i="10"/>
  <c r="AE303" i="10"/>
  <c r="AI303" i="10"/>
  <c r="AM303" i="10"/>
  <c r="AQ303" i="10"/>
  <c r="AU303" i="10"/>
  <c r="AY303" i="10"/>
  <c r="BC303" i="10"/>
  <c r="H303" i="10"/>
  <c r="L303" i="10"/>
  <c r="P303" i="10"/>
  <c r="T303" i="10"/>
  <c r="X303" i="10"/>
  <c r="AB303" i="10"/>
  <c r="AF303" i="10"/>
  <c r="AJ303" i="10"/>
  <c r="AN303" i="10"/>
  <c r="AR303" i="10"/>
  <c r="AV303" i="10"/>
  <c r="AZ303" i="10"/>
  <c r="G213" i="10"/>
  <c r="K213" i="10"/>
  <c r="O213" i="10"/>
  <c r="S213" i="10"/>
  <c r="W213" i="10"/>
  <c r="AA213" i="10"/>
  <c r="AE213" i="10"/>
  <c r="AI213" i="10"/>
  <c r="AM213" i="10"/>
  <c r="AQ213" i="10"/>
  <c r="AU213" i="10"/>
  <c r="AY213" i="10"/>
  <c r="BC213" i="10"/>
  <c r="H213" i="10"/>
  <c r="L213" i="10"/>
  <c r="P213" i="10"/>
  <c r="T213" i="10"/>
  <c r="X213" i="10"/>
  <c r="AB213" i="10"/>
  <c r="AF213" i="10"/>
  <c r="AJ213" i="10"/>
  <c r="AN213" i="10"/>
  <c r="AR213" i="10"/>
  <c r="AV213" i="10"/>
  <c r="AZ213" i="10"/>
  <c r="I213" i="10"/>
  <c r="M213" i="10"/>
  <c r="Q213" i="10"/>
  <c r="U213" i="10"/>
  <c r="Y213" i="10"/>
  <c r="AC213" i="10"/>
  <c r="AG213" i="10"/>
  <c r="AK213" i="10"/>
  <c r="AO213" i="10"/>
  <c r="AS213" i="10"/>
  <c r="AW213" i="10"/>
  <c r="BA213" i="10"/>
  <c r="F213" i="10"/>
  <c r="J213" i="10"/>
  <c r="N213" i="10"/>
  <c r="R213" i="10"/>
  <c r="V213" i="10"/>
  <c r="Z213" i="10"/>
  <c r="AD213" i="10"/>
  <c r="AH213" i="10"/>
  <c r="AL213" i="10"/>
  <c r="AP213" i="10"/>
  <c r="AT213" i="10"/>
  <c r="AX213" i="10"/>
  <c r="BB213" i="10"/>
  <c r="F138" i="10"/>
  <c r="J138" i="10"/>
  <c r="N138" i="10"/>
  <c r="R138" i="10"/>
  <c r="V138" i="10"/>
  <c r="Z138" i="10"/>
  <c r="AD138" i="10"/>
  <c r="AH138" i="10"/>
  <c r="AL138" i="10"/>
  <c r="AP138" i="10"/>
  <c r="AT138" i="10"/>
  <c r="AX138" i="10"/>
  <c r="BB138" i="10"/>
  <c r="G138" i="10"/>
  <c r="K138" i="10"/>
  <c r="O138" i="10"/>
  <c r="S138" i="10"/>
  <c r="W138" i="10"/>
  <c r="AA138" i="10"/>
  <c r="AE138" i="10"/>
  <c r="AI138" i="10"/>
  <c r="AM138" i="10"/>
  <c r="AQ138" i="10"/>
  <c r="AU138" i="10"/>
  <c r="AY138" i="10"/>
  <c r="BC138" i="10"/>
  <c r="H138" i="10"/>
  <c r="L138" i="10"/>
  <c r="P138" i="10"/>
  <c r="T138" i="10"/>
  <c r="X138" i="10"/>
  <c r="AB138" i="10"/>
  <c r="AF138" i="10"/>
  <c r="AJ138" i="10"/>
  <c r="AN138" i="10"/>
  <c r="AR138" i="10"/>
  <c r="AV138" i="10"/>
  <c r="AZ138" i="10"/>
  <c r="I138" i="10"/>
  <c r="M138" i="10"/>
  <c r="Q138" i="10"/>
  <c r="U138" i="10"/>
  <c r="Y138" i="10"/>
  <c r="AC138" i="10"/>
  <c r="AG138" i="10"/>
  <c r="AK138" i="10"/>
  <c r="AO138" i="10"/>
  <c r="AS138" i="10"/>
  <c r="AW138" i="10"/>
  <c r="BA138" i="10"/>
  <c r="H202" i="10"/>
  <c r="L202" i="10"/>
  <c r="P202" i="10"/>
  <c r="T202" i="10"/>
  <c r="X202" i="10"/>
  <c r="AB202" i="10"/>
  <c r="AF202" i="10"/>
  <c r="AJ202" i="10"/>
  <c r="AN202" i="10"/>
  <c r="AR202" i="10"/>
  <c r="AV202" i="10"/>
  <c r="AZ202" i="10"/>
  <c r="I202" i="10"/>
  <c r="M202" i="10"/>
  <c r="Q202" i="10"/>
  <c r="U202" i="10"/>
  <c r="Y202" i="10"/>
  <c r="AC202" i="10"/>
  <c r="AG202" i="10"/>
  <c r="AK202" i="10"/>
  <c r="AO202" i="10"/>
  <c r="AS202" i="10"/>
  <c r="AW202" i="10"/>
  <c r="BA202" i="10"/>
  <c r="F202" i="10"/>
  <c r="J202" i="10"/>
  <c r="N202" i="10"/>
  <c r="R202" i="10"/>
  <c r="V202" i="10"/>
  <c r="Z202" i="10"/>
  <c r="AD202" i="10"/>
  <c r="AH202" i="10"/>
  <c r="AL202" i="10"/>
  <c r="AP202" i="10"/>
  <c r="AT202" i="10"/>
  <c r="AX202" i="10"/>
  <c r="BB202" i="10"/>
  <c r="G202" i="10"/>
  <c r="K202" i="10"/>
  <c r="O202" i="10"/>
  <c r="S202" i="10"/>
  <c r="W202" i="10"/>
  <c r="AA202" i="10"/>
  <c r="AE202" i="10"/>
  <c r="AI202" i="10"/>
  <c r="AM202" i="10"/>
  <c r="AQ202" i="10"/>
  <c r="AU202" i="10"/>
  <c r="AY202" i="10"/>
  <c r="BC202" i="10"/>
  <c r="H266" i="10"/>
  <c r="L266" i="10"/>
  <c r="P266" i="10"/>
  <c r="T266" i="10"/>
  <c r="X266" i="10"/>
  <c r="AB266" i="10"/>
  <c r="AF266" i="10"/>
  <c r="AJ266" i="10"/>
  <c r="AN266" i="10"/>
  <c r="AR266" i="10"/>
  <c r="AV266" i="10"/>
  <c r="AZ266" i="10"/>
  <c r="I266" i="10"/>
  <c r="M266" i="10"/>
  <c r="Q266" i="10"/>
  <c r="U266" i="10"/>
  <c r="Y266" i="10"/>
  <c r="AC266" i="10"/>
  <c r="AG266" i="10"/>
  <c r="AK266" i="10"/>
  <c r="AO266" i="10"/>
  <c r="AS266" i="10"/>
  <c r="AW266" i="10"/>
  <c r="BA266" i="10"/>
  <c r="F266" i="10"/>
  <c r="J266" i="10"/>
  <c r="N266" i="10"/>
  <c r="R266" i="10"/>
  <c r="V266" i="10"/>
  <c r="Z266" i="10"/>
  <c r="AD266" i="10"/>
  <c r="AH266" i="10"/>
  <c r="AL266" i="10"/>
  <c r="AP266" i="10"/>
  <c r="AT266" i="10"/>
  <c r="AX266" i="10"/>
  <c r="BB266" i="10"/>
  <c r="G266" i="10"/>
  <c r="K266" i="10"/>
  <c r="O266" i="10"/>
  <c r="S266" i="10"/>
  <c r="W266" i="10"/>
  <c r="AA266" i="10"/>
  <c r="AE266" i="10"/>
  <c r="AI266" i="10"/>
  <c r="AM266" i="10"/>
  <c r="AQ266" i="10"/>
  <c r="AU266" i="10"/>
  <c r="AY266" i="10"/>
  <c r="BC266" i="10"/>
  <c r="G131" i="10"/>
  <c r="K131" i="10"/>
  <c r="O131" i="10"/>
  <c r="S131" i="10"/>
  <c r="W131" i="10"/>
  <c r="AA131" i="10"/>
  <c r="AE131" i="10"/>
  <c r="AI131" i="10"/>
  <c r="AM131" i="10"/>
  <c r="AQ131" i="10"/>
  <c r="AU131" i="10"/>
  <c r="AY131" i="10"/>
  <c r="BC131" i="10"/>
  <c r="H131" i="10"/>
  <c r="L131" i="10"/>
  <c r="P131" i="10"/>
  <c r="T131" i="10"/>
  <c r="X131" i="10"/>
  <c r="AB131" i="10"/>
  <c r="AF131" i="10"/>
  <c r="AJ131" i="10"/>
  <c r="AN131" i="10"/>
  <c r="AR131" i="10"/>
  <c r="AV131" i="10"/>
  <c r="AZ131" i="10"/>
  <c r="I131" i="10"/>
  <c r="M131" i="10"/>
  <c r="Q131" i="10"/>
  <c r="U131" i="10"/>
  <c r="Y131" i="10"/>
  <c r="AC131" i="10"/>
  <c r="AG131" i="10"/>
  <c r="AK131" i="10"/>
  <c r="AO131" i="10"/>
  <c r="AS131" i="10"/>
  <c r="AW131" i="10"/>
  <c r="BA131" i="10"/>
  <c r="F131" i="10"/>
  <c r="J131" i="10"/>
  <c r="N131" i="10"/>
  <c r="R131" i="10"/>
  <c r="V131" i="10"/>
  <c r="Z131" i="10"/>
  <c r="AD131" i="10"/>
  <c r="AH131" i="10"/>
  <c r="AL131" i="10"/>
  <c r="AP131" i="10"/>
  <c r="AT131" i="10"/>
  <c r="AX131" i="10"/>
  <c r="BB131" i="10"/>
  <c r="I227" i="10"/>
  <c r="M227" i="10"/>
  <c r="Q227" i="10"/>
  <c r="U227" i="10"/>
  <c r="Y227" i="10"/>
  <c r="AC227" i="10"/>
  <c r="AG227" i="10"/>
  <c r="AK227" i="10"/>
  <c r="AO227" i="10"/>
  <c r="AS227" i="10"/>
  <c r="AW227" i="10"/>
  <c r="BA227" i="10"/>
  <c r="F227" i="10"/>
  <c r="J227" i="10"/>
  <c r="N227" i="10"/>
  <c r="R227" i="10"/>
  <c r="V227" i="10"/>
  <c r="Z227" i="10"/>
  <c r="AD227" i="10"/>
  <c r="AH227" i="10"/>
  <c r="AL227" i="10"/>
  <c r="AP227" i="10"/>
  <c r="AT227" i="10"/>
  <c r="AX227" i="10"/>
  <c r="BB227" i="10"/>
  <c r="G227" i="10"/>
  <c r="K227" i="10"/>
  <c r="O227" i="10"/>
  <c r="S227" i="10"/>
  <c r="W227" i="10"/>
  <c r="AA227" i="10"/>
  <c r="AE227" i="10"/>
  <c r="AI227" i="10"/>
  <c r="AM227" i="10"/>
  <c r="AQ227" i="10"/>
  <c r="AU227" i="10"/>
  <c r="AY227" i="10"/>
  <c r="BC227" i="10"/>
  <c r="H227" i="10"/>
  <c r="L227" i="10"/>
  <c r="P227" i="10"/>
  <c r="T227" i="10"/>
  <c r="X227" i="10"/>
  <c r="AB227" i="10"/>
  <c r="AF227" i="10"/>
  <c r="AJ227" i="10"/>
  <c r="AN227" i="10"/>
  <c r="AR227" i="10"/>
  <c r="AV227" i="10"/>
  <c r="AZ227" i="10"/>
  <c r="G273" i="10"/>
  <c r="K273" i="10"/>
  <c r="O273" i="10"/>
  <c r="S273" i="10"/>
  <c r="W273" i="10"/>
  <c r="AA273" i="10"/>
  <c r="AE273" i="10"/>
  <c r="AI273" i="10"/>
  <c r="AM273" i="10"/>
  <c r="AQ273" i="10"/>
  <c r="AU273" i="10"/>
  <c r="AY273" i="10"/>
  <c r="BC273" i="10"/>
  <c r="H273" i="10"/>
  <c r="L273" i="10"/>
  <c r="P273" i="10"/>
  <c r="T273" i="10"/>
  <c r="X273" i="10"/>
  <c r="AB273" i="10"/>
  <c r="AF273" i="10"/>
  <c r="AJ273" i="10"/>
  <c r="AN273" i="10"/>
  <c r="AR273" i="10"/>
  <c r="AV273" i="10"/>
  <c r="AZ273" i="10"/>
  <c r="I273" i="10"/>
  <c r="M273" i="10"/>
  <c r="Q273" i="10"/>
  <c r="U273" i="10"/>
  <c r="Y273" i="10"/>
  <c r="AC273" i="10"/>
  <c r="AG273" i="10"/>
  <c r="AK273" i="10"/>
  <c r="AO273" i="10"/>
  <c r="AS273" i="10"/>
  <c r="AW273" i="10"/>
  <c r="BA273" i="10"/>
  <c r="F273" i="10"/>
  <c r="J273" i="10"/>
  <c r="N273" i="10"/>
  <c r="R273" i="10"/>
  <c r="V273" i="10"/>
  <c r="Z273" i="10"/>
  <c r="AD273" i="10"/>
  <c r="AH273" i="10"/>
  <c r="AL273" i="10"/>
  <c r="AP273" i="10"/>
  <c r="AT273" i="10"/>
  <c r="AX273" i="10"/>
  <c r="BB273" i="10"/>
  <c r="F316" i="10"/>
  <c r="J316" i="10"/>
  <c r="N316" i="10"/>
  <c r="R316" i="10"/>
  <c r="V316" i="10"/>
  <c r="Z316" i="10"/>
  <c r="AD316" i="10"/>
  <c r="AH316" i="10"/>
  <c r="AL316" i="10"/>
  <c r="AP316" i="10"/>
  <c r="AT316" i="10"/>
  <c r="AX316" i="10"/>
  <c r="BB316" i="10"/>
  <c r="G316" i="10"/>
  <c r="K316" i="10"/>
  <c r="O316" i="10"/>
  <c r="S316" i="10"/>
  <c r="W316" i="10"/>
  <c r="AA316" i="10"/>
  <c r="AE316" i="10"/>
  <c r="AI316" i="10"/>
  <c r="AM316" i="10"/>
  <c r="AQ316" i="10"/>
  <c r="AU316" i="10"/>
  <c r="AY316" i="10"/>
  <c r="BC316" i="10"/>
  <c r="H316" i="10"/>
  <c r="L316" i="10"/>
  <c r="P316" i="10"/>
  <c r="T316" i="10"/>
  <c r="X316" i="10"/>
  <c r="AB316" i="10"/>
  <c r="AF316" i="10"/>
  <c r="AJ316" i="10"/>
  <c r="AN316" i="10"/>
  <c r="AR316" i="10"/>
  <c r="AV316" i="10"/>
  <c r="AZ316" i="10"/>
  <c r="I316" i="10"/>
  <c r="M316" i="10"/>
  <c r="Q316" i="10"/>
  <c r="U316" i="10"/>
  <c r="Y316" i="10"/>
  <c r="AC316" i="10"/>
  <c r="AG316" i="10"/>
  <c r="AK316" i="10"/>
  <c r="AO316" i="10"/>
  <c r="AS316" i="10"/>
  <c r="AW316" i="10"/>
  <c r="BA316" i="10"/>
  <c r="G269" i="10"/>
  <c r="K269" i="10"/>
  <c r="O269" i="10"/>
  <c r="S269" i="10"/>
  <c r="W269" i="10"/>
  <c r="AA269" i="10"/>
  <c r="AE269" i="10"/>
  <c r="AI269" i="10"/>
  <c r="AM269" i="10"/>
  <c r="AQ269" i="10"/>
  <c r="AU269" i="10"/>
  <c r="AY269" i="10"/>
  <c r="BC269" i="10"/>
  <c r="H269" i="10"/>
  <c r="L269" i="10"/>
  <c r="P269" i="10"/>
  <c r="T269" i="10"/>
  <c r="X269" i="10"/>
  <c r="AB269" i="10"/>
  <c r="AF269" i="10"/>
  <c r="AJ269" i="10"/>
  <c r="AN269" i="10"/>
  <c r="AR269" i="10"/>
  <c r="AV269" i="10"/>
  <c r="AZ269" i="10"/>
  <c r="I269" i="10"/>
  <c r="M269" i="10"/>
  <c r="Q269" i="10"/>
  <c r="U269" i="10"/>
  <c r="Y269" i="10"/>
  <c r="AC269" i="10"/>
  <c r="AG269" i="10"/>
  <c r="AK269" i="10"/>
  <c r="AO269" i="10"/>
  <c r="AS269" i="10"/>
  <c r="AW269" i="10"/>
  <c r="BA269" i="10"/>
  <c r="F269" i="10"/>
  <c r="J269" i="10"/>
  <c r="N269" i="10"/>
  <c r="R269" i="10"/>
  <c r="V269" i="10"/>
  <c r="Z269" i="10"/>
  <c r="AD269" i="10"/>
  <c r="AH269" i="10"/>
  <c r="AL269" i="10"/>
  <c r="AP269" i="10"/>
  <c r="AT269" i="10"/>
  <c r="AX269" i="10"/>
  <c r="BB269" i="10"/>
  <c r="H140" i="10"/>
  <c r="L140" i="10"/>
  <c r="P140" i="10"/>
  <c r="T140" i="10"/>
  <c r="X140" i="10"/>
  <c r="AB140" i="10"/>
  <c r="AF140" i="10"/>
  <c r="AJ140" i="10"/>
  <c r="AN140" i="10"/>
  <c r="AR140" i="10"/>
  <c r="AV140" i="10"/>
  <c r="AZ140" i="10"/>
  <c r="I140" i="10"/>
  <c r="M140" i="10"/>
  <c r="Q140" i="10"/>
  <c r="U140" i="10"/>
  <c r="Y140" i="10"/>
  <c r="AC140" i="10"/>
  <c r="AG140" i="10"/>
  <c r="AK140" i="10"/>
  <c r="AO140" i="10"/>
  <c r="AS140" i="10"/>
  <c r="AW140" i="10"/>
  <c r="BA140" i="10"/>
  <c r="F140" i="10"/>
  <c r="J140" i="10"/>
  <c r="N140" i="10"/>
  <c r="R140" i="10"/>
  <c r="V140" i="10"/>
  <c r="Z140" i="10"/>
  <c r="AD140" i="10"/>
  <c r="AH140" i="10"/>
  <c r="AL140" i="10"/>
  <c r="AP140" i="10"/>
  <c r="AT140" i="10"/>
  <c r="AX140" i="10"/>
  <c r="BB140" i="10"/>
  <c r="G140" i="10"/>
  <c r="K140" i="10"/>
  <c r="O140" i="10"/>
  <c r="S140" i="10"/>
  <c r="W140" i="10"/>
  <c r="AA140" i="10"/>
  <c r="AE140" i="10"/>
  <c r="AI140" i="10"/>
  <c r="AM140" i="10"/>
  <c r="AQ140" i="10"/>
  <c r="AU140" i="10"/>
  <c r="AY140" i="10"/>
  <c r="BC140" i="10"/>
  <c r="I315" i="10"/>
  <c r="M315" i="10"/>
  <c r="Q315" i="10"/>
  <c r="U315" i="10"/>
  <c r="Y315" i="10"/>
  <c r="AC315" i="10"/>
  <c r="AG315" i="10"/>
  <c r="AK315" i="10"/>
  <c r="AO315" i="10"/>
  <c r="AS315" i="10"/>
  <c r="AW315" i="10"/>
  <c r="BA315" i="10"/>
  <c r="F315" i="10"/>
  <c r="J315" i="10"/>
  <c r="N315" i="10"/>
  <c r="R315" i="10"/>
  <c r="V315" i="10"/>
  <c r="Z315" i="10"/>
  <c r="AD315" i="10"/>
  <c r="AH315" i="10"/>
  <c r="AL315" i="10"/>
  <c r="AP315" i="10"/>
  <c r="AT315" i="10"/>
  <c r="AX315" i="10"/>
  <c r="BB315" i="10"/>
  <c r="G315" i="10"/>
  <c r="K315" i="10"/>
  <c r="O315" i="10"/>
  <c r="S315" i="10"/>
  <c r="W315" i="10"/>
  <c r="AA315" i="10"/>
  <c r="AE315" i="10"/>
  <c r="AI315" i="10"/>
  <c r="AM315" i="10"/>
  <c r="AQ315" i="10"/>
  <c r="AU315" i="10"/>
  <c r="AY315" i="10"/>
  <c r="BC315" i="10"/>
  <c r="H315" i="10"/>
  <c r="L315" i="10"/>
  <c r="P315" i="10"/>
  <c r="T315" i="10"/>
  <c r="X315" i="10"/>
  <c r="AB315" i="10"/>
  <c r="AF315" i="10"/>
  <c r="AJ315" i="10"/>
  <c r="AN315" i="10"/>
  <c r="AR315" i="10"/>
  <c r="AV315" i="10"/>
  <c r="AZ315" i="10"/>
  <c r="F272" i="10"/>
  <c r="J272" i="10"/>
  <c r="N272" i="10"/>
  <c r="R272" i="10"/>
  <c r="V272" i="10"/>
  <c r="Z272" i="10"/>
  <c r="AD272" i="10"/>
  <c r="AH272" i="10"/>
  <c r="AL272" i="10"/>
  <c r="AP272" i="10"/>
  <c r="AT272" i="10"/>
  <c r="AX272" i="10"/>
  <c r="BB272" i="10"/>
  <c r="G272" i="10"/>
  <c r="K272" i="10"/>
  <c r="O272" i="10"/>
  <c r="S272" i="10"/>
  <c r="W272" i="10"/>
  <c r="AA272" i="10"/>
  <c r="AE272" i="10"/>
  <c r="AI272" i="10"/>
  <c r="AM272" i="10"/>
  <c r="AQ272" i="10"/>
  <c r="AU272" i="10"/>
  <c r="AY272" i="10"/>
  <c r="BC272" i="10"/>
  <c r="H272" i="10"/>
  <c r="L272" i="10"/>
  <c r="P272" i="10"/>
  <c r="T272" i="10"/>
  <c r="X272" i="10"/>
  <c r="AB272" i="10"/>
  <c r="AF272" i="10"/>
  <c r="AJ272" i="10"/>
  <c r="AN272" i="10"/>
  <c r="AR272" i="10"/>
  <c r="AV272" i="10"/>
  <c r="AZ272" i="10"/>
  <c r="I272" i="10"/>
  <c r="M272" i="10"/>
  <c r="Q272" i="10"/>
  <c r="U272" i="10"/>
  <c r="Y272" i="10"/>
  <c r="AC272" i="10"/>
  <c r="AG272" i="10"/>
  <c r="AK272" i="10"/>
  <c r="AO272" i="10"/>
  <c r="AS272" i="10"/>
  <c r="AW272" i="10"/>
  <c r="BA272" i="10"/>
  <c r="F304" i="10"/>
  <c r="J304" i="10"/>
  <c r="N304" i="10"/>
  <c r="R304" i="10"/>
  <c r="V304" i="10"/>
  <c r="Z304" i="10"/>
  <c r="AD304" i="10"/>
  <c r="AH304" i="10"/>
  <c r="AL304" i="10"/>
  <c r="AP304" i="10"/>
  <c r="AT304" i="10"/>
  <c r="AX304" i="10"/>
  <c r="BB304" i="10"/>
  <c r="G304" i="10"/>
  <c r="K304" i="10"/>
  <c r="O304" i="10"/>
  <c r="S304" i="10"/>
  <c r="W304" i="10"/>
  <c r="AA304" i="10"/>
  <c r="AE304" i="10"/>
  <c r="AI304" i="10"/>
  <c r="AM304" i="10"/>
  <c r="AQ304" i="10"/>
  <c r="AU304" i="10"/>
  <c r="AY304" i="10"/>
  <c r="BC304" i="10"/>
  <c r="H304" i="10"/>
  <c r="L304" i="10"/>
  <c r="P304" i="10"/>
  <c r="T304" i="10"/>
  <c r="X304" i="10"/>
  <c r="AB304" i="10"/>
  <c r="AF304" i="10"/>
  <c r="AJ304" i="10"/>
  <c r="AN304" i="10"/>
  <c r="AR304" i="10"/>
  <c r="AV304" i="10"/>
  <c r="AZ304" i="10"/>
  <c r="I304" i="10"/>
  <c r="M304" i="10"/>
  <c r="Q304" i="10"/>
  <c r="U304" i="10"/>
  <c r="Y304" i="10"/>
  <c r="AC304" i="10"/>
  <c r="AG304" i="10"/>
  <c r="AK304" i="10"/>
  <c r="AO304" i="10"/>
  <c r="AS304" i="10"/>
  <c r="AW304" i="10"/>
  <c r="BA304" i="10"/>
  <c r="H270" i="10"/>
  <c r="L270" i="10"/>
  <c r="P270" i="10"/>
  <c r="T270" i="10"/>
  <c r="X270" i="10"/>
  <c r="AB270" i="10"/>
  <c r="AF270" i="10"/>
  <c r="AJ270" i="10"/>
  <c r="AN270" i="10"/>
  <c r="AR270" i="10"/>
  <c r="AV270" i="10"/>
  <c r="AZ270" i="10"/>
  <c r="I270" i="10"/>
  <c r="M270" i="10"/>
  <c r="Q270" i="10"/>
  <c r="U270" i="10"/>
  <c r="Y270" i="10"/>
  <c r="AC270" i="10"/>
  <c r="AG270" i="10"/>
  <c r="AK270" i="10"/>
  <c r="AO270" i="10"/>
  <c r="AS270" i="10"/>
  <c r="AW270" i="10"/>
  <c r="BA270" i="10"/>
  <c r="F270" i="10"/>
  <c r="J270" i="10"/>
  <c r="N270" i="10"/>
  <c r="R270" i="10"/>
  <c r="V270" i="10"/>
  <c r="Z270" i="10"/>
  <c r="AD270" i="10"/>
  <c r="AH270" i="10"/>
  <c r="AL270" i="10"/>
  <c r="AP270" i="10"/>
  <c r="AT270" i="10"/>
  <c r="AX270" i="10"/>
  <c r="BB270" i="10"/>
  <c r="G270" i="10"/>
  <c r="K270" i="10"/>
  <c r="O270" i="10"/>
  <c r="S270" i="10"/>
  <c r="W270" i="10"/>
  <c r="AA270" i="10"/>
  <c r="AE270" i="10"/>
  <c r="AI270" i="10"/>
  <c r="AM270" i="10"/>
  <c r="AQ270" i="10"/>
  <c r="AU270" i="10"/>
  <c r="AY270" i="10"/>
  <c r="BC270" i="10"/>
  <c r="H318" i="10"/>
  <c r="L318" i="10"/>
  <c r="P318" i="10"/>
  <c r="T318" i="10"/>
  <c r="X318" i="10"/>
  <c r="AB318" i="10"/>
  <c r="AF318" i="10"/>
  <c r="AJ318" i="10"/>
  <c r="AN318" i="10"/>
  <c r="AR318" i="10"/>
  <c r="AV318" i="10"/>
  <c r="AZ318" i="10"/>
  <c r="I318" i="10"/>
  <c r="M318" i="10"/>
  <c r="Q318" i="10"/>
  <c r="U318" i="10"/>
  <c r="Y318" i="10"/>
  <c r="AC318" i="10"/>
  <c r="AG318" i="10"/>
  <c r="AK318" i="10"/>
  <c r="AO318" i="10"/>
  <c r="AS318" i="10"/>
  <c r="AW318" i="10"/>
  <c r="BA318" i="10"/>
  <c r="F318" i="10"/>
  <c r="J318" i="10"/>
  <c r="N318" i="10"/>
  <c r="R318" i="10"/>
  <c r="V318" i="10"/>
  <c r="Z318" i="10"/>
  <c r="AD318" i="10"/>
  <c r="AH318" i="10"/>
  <c r="AL318" i="10"/>
  <c r="AP318" i="10"/>
  <c r="AT318" i="10"/>
  <c r="AX318" i="10"/>
  <c r="BB318" i="10"/>
  <c r="G318" i="10"/>
  <c r="K318" i="10"/>
  <c r="O318" i="10"/>
  <c r="S318" i="10"/>
  <c r="W318" i="10"/>
  <c r="AA318" i="10"/>
  <c r="AE318" i="10"/>
  <c r="AI318" i="10"/>
  <c r="AM318" i="10"/>
  <c r="AQ318" i="10"/>
  <c r="AU318" i="10"/>
  <c r="AY318" i="10"/>
  <c r="BC318" i="10"/>
  <c r="G135" i="10"/>
  <c r="K135" i="10"/>
  <c r="O135" i="10"/>
  <c r="S135" i="10"/>
  <c r="W135" i="10"/>
  <c r="AA135" i="10"/>
  <c r="AE135" i="10"/>
  <c r="AI135" i="10"/>
  <c r="AM135" i="10"/>
  <c r="AQ135" i="10"/>
  <c r="AU135" i="10"/>
  <c r="AY135" i="10"/>
  <c r="BC135" i="10"/>
  <c r="H135" i="10"/>
  <c r="L135" i="10"/>
  <c r="P135" i="10"/>
  <c r="T135" i="10"/>
  <c r="X135" i="10"/>
  <c r="AB135" i="10"/>
  <c r="AF135" i="10"/>
  <c r="AJ135" i="10"/>
  <c r="AN135" i="10"/>
  <c r="AR135" i="10"/>
  <c r="AV135" i="10"/>
  <c r="AZ135" i="10"/>
  <c r="I135" i="10"/>
  <c r="M135" i="10"/>
  <c r="Q135" i="10"/>
  <c r="U135" i="10"/>
  <c r="Y135" i="10"/>
  <c r="AC135" i="10"/>
  <c r="AG135" i="10"/>
  <c r="AK135" i="10"/>
  <c r="AO135" i="10"/>
  <c r="AS135" i="10"/>
  <c r="AW135" i="10"/>
  <c r="BA135" i="10"/>
  <c r="F135" i="10"/>
  <c r="J135" i="10"/>
  <c r="N135" i="10"/>
  <c r="R135" i="10"/>
  <c r="V135" i="10"/>
  <c r="Z135" i="10"/>
  <c r="AD135" i="10"/>
  <c r="AH135" i="10"/>
  <c r="AL135" i="10"/>
  <c r="AP135" i="10"/>
  <c r="AT135" i="10"/>
  <c r="AX135" i="10"/>
  <c r="BB135" i="10"/>
  <c r="I279" i="10"/>
  <c r="M279" i="10"/>
  <c r="Q279" i="10"/>
  <c r="U279" i="10"/>
  <c r="Y279" i="10"/>
  <c r="AC279" i="10"/>
  <c r="AG279" i="10"/>
  <c r="AK279" i="10"/>
  <c r="AO279" i="10"/>
  <c r="AS279" i="10"/>
  <c r="AW279" i="10"/>
  <c r="BA279" i="10"/>
  <c r="F279" i="10"/>
  <c r="J279" i="10"/>
  <c r="N279" i="10"/>
  <c r="R279" i="10"/>
  <c r="V279" i="10"/>
  <c r="Z279" i="10"/>
  <c r="AD279" i="10"/>
  <c r="AH279" i="10"/>
  <c r="AL279" i="10"/>
  <c r="AP279" i="10"/>
  <c r="AT279" i="10"/>
  <c r="AX279" i="10"/>
  <c r="BB279" i="10"/>
  <c r="G279" i="10"/>
  <c r="K279" i="10"/>
  <c r="O279" i="10"/>
  <c r="S279" i="10"/>
  <c r="W279" i="10"/>
  <c r="AA279" i="10"/>
  <c r="AE279" i="10"/>
  <c r="AI279" i="10"/>
  <c r="AM279" i="10"/>
  <c r="AQ279" i="10"/>
  <c r="AU279" i="10"/>
  <c r="AY279" i="10"/>
  <c r="BC279" i="10"/>
  <c r="H279" i="10"/>
  <c r="L279" i="10"/>
  <c r="P279" i="10"/>
  <c r="T279" i="10"/>
  <c r="X279" i="10"/>
  <c r="AB279" i="10"/>
  <c r="AF279" i="10"/>
  <c r="AJ279" i="10"/>
  <c r="AN279" i="10"/>
  <c r="AR279" i="10"/>
  <c r="AV279" i="10"/>
  <c r="AZ279" i="10"/>
  <c r="G317" i="10"/>
  <c r="K317" i="10"/>
  <c r="O317" i="10"/>
  <c r="S317" i="10"/>
  <c r="W317" i="10"/>
  <c r="AA317" i="10"/>
  <c r="AE317" i="10"/>
  <c r="AI317" i="10"/>
  <c r="AM317" i="10"/>
  <c r="AQ317" i="10"/>
  <c r="AU317" i="10"/>
  <c r="AY317" i="10"/>
  <c r="BC317" i="10"/>
  <c r="H317" i="10"/>
  <c r="L317" i="10"/>
  <c r="P317" i="10"/>
  <c r="T317" i="10"/>
  <c r="X317" i="10"/>
  <c r="AB317" i="10"/>
  <c r="AF317" i="10"/>
  <c r="AJ317" i="10"/>
  <c r="AN317" i="10"/>
  <c r="AR317" i="10"/>
  <c r="AV317" i="10"/>
  <c r="AZ317" i="10"/>
  <c r="I317" i="10"/>
  <c r="M317" i="10"/>
  <c r="Q317" i="10"/>
  <c r="U317" i="10"/>
  <c r="Y317" i="10"/>
  <c r="AC317" i="10"/>
  <c r="AG317" i="10"/>
  <c r="AK317" i="10"/>
  <c r="AO317" i="10"/>
  <c r="AS317" i="10"/>
  <c r="AW317" i="10"/>
  <c r="BA317" i="10"/>
  <c r="F317" i="10"/>
  <c r="J317" i="10"/>
  <c r="N317" i="10"/>
  <c r="R317" i="10"/>
  <c r="V317" i="10"/>
  <c r="Z317" i="10"/>
  <c r="AD317" i="10"/>
  <c r="AH317" i="10"/>
  <c r="AL317" i="10"/>
  <c r="AP317" i="10"/>
  <c r="AT317" i="10"/>
  <c r="AX317" i="10"/>
  <c r="BB317" i="10"/>
  <c r="I271" i="10"/>
  <c r="M271" i="10"/>
  <c r="Q271" i="10"/>
  <c r="U271" i="10"/>
  <c r="Y271" i="10"/>
  <c r="AC271" i="10"/>
  <c r="AG271" i="10"/>
  <c r="AK271" i="10"/>
  <c r="AO271" i="10"/>
  <c r="AS271" i="10"/>
  <c r="AW271" i="10"/>
  <c r="BA271" i="10"/>
  <c r="F271" i="10"/>
  <c r="J271" i="10"/>
  <c r="N271" i="10"/>
  <c r="R271" i="10"/>
  <c r="V271" i="10"/>
  <c r="Z271" i="10"/>
  <c r="AD271" i="10"/>
  <c r="AH271" i="10"/>
  <c r="AL271" i="10"/>
  <c r="AP271" i="10"/>
  <c r="AT271" i="10"/>
  <c r="AX271" i="10"/>
  <c r="BB271" i="10"/>
  <c r="G271" i="10"/>
  <c r="K271" i="10"/>
  <c r="O271" i="10"/>
  <c r="S271" i="10"/>
  <c r="W271" i="10"/>
  <c r="AA271" i="10"/>
  <c r="AE271" i="10"/>
  <c r="AI271" i="10"/>
  <c r="AM271" i="10"/>
  <c r="AQ271" i="10"/>
  <c r="AU271" i="10"/>
  <c r="AY271" i="10"/>
  <c r="BC271" i="10"/>
  <c r="H271" i="10"/>
  <c r="L271" i="10"/>
  <c r="P271" i="10"/>
  <c r="T271" i="10"/>
  <c r="X271" i="10"/>
  <c r="AB271" i="10"/>
  <c r="AF271" i="10"/>
  <c r="AJ271" i="10"/>
  <c r="AN271" i="10"/>
  <c r="AR271" i="10"/>
  <c r="AV271" i="10"/>
  <c r="AZ271" i="10"/>
  <c r="I319" i="10"/>
  <c r="M319" i="10"/>
  <c r="Q319" i="10"/>
  <c r="U319" i="10"/>
  <c r="Y319" i="10"/>
  <c r="AC319" i="10"/>
  <c r="AG319" i="10"/>
  <c r="AK319" i="10"/>
  <c r="AO319" i="10"/>
  <c r="AS319" i="10"/>
  <c r="AW319" i="10"/>
  <c r="BA319" i="10"/>
  <c r="F319" i="10"/>
  <c r="J319" i="10"/>
  <c r="N319" i="10"/>
  <c r="R319" i="10"/>
  <c r="V319" i="10"/>
  <c r="Z319" i="10"/>
  <c r="AD319" i="10"/>
  <c r="AH319" i="10"/>
  <c r="AL319" i="10"/>
  <c r="AP319" i="10"/>
  <c r="AT319" i="10"/>
  <c r="AX319" i="10"/>
  <c r="BB319" i="10"/>
  <c r="G319" i="10"/>
  <c r="K319" i="10"/>
  <c r="O319" i="10"/>
  <c r="S319" i="10"/>
  <c r="W319" i="10"/>
  <c r="AA319" i="10"/>
  <c r="AE319" i="10"/>
  <c r="AI319" i="10"/>
  <c r="AM319" i="10"/>
  <c r="AQ319" i="10"/>
  <c r="AU319" i="10"/>
  <c r="AY319" i="10"/>
  <c r="BC319" i="10"/>
  <c r="H319" i="10"/>
  <c r="L319" i="10"/>
  <c r="P319" i="10"/>
  <c r="T319" i="10"/>
  <c r="X319" i="10"/>
  <c r="AB319" i="10"/>
  <c r="AF319" i="10"/>
  <c r="AJ319" i="10"/>
  <c r="AN319" i="10"/>
  <c r="AR319" i="10"/>
  <c r="AV319" i="10"/>
  <c r="AZ319" i="10"/>
  <c r="F320" i="10"/>
  <c r="J320" i="10"/>
  <c r="N320" i="10"/>
  <c r="R320" i="10"/>
  <c r="V320" i="10"/>
  <c r="Z320" i="10"/>
  <c r="AD320" i="10"/>
  <c r="AH320" i="10"/>
  <c r="AL320" i="10"/>
  <c r="AP320" i="10"/>
  <c r="AT320" i="10"/>
  <c r="AX320" i="10"/>
  <c r="BB320" i="10"/>
  <c r="G320" i="10"/>
  <c r="K320" i="10"/>
  <c r="O320" i="10"/>
  <c r="S320" i="10"/>
  <c r="W320" i="10"/>
  <c r="AA320" i="10"/>
  <c r="AE320" i="10"/>
  <c r="AI320" i="10"/>
  <c r="AM320" i="10"/>
  <c r="AQ320" i="10"/>
  <c r="AU320" i="10"/>
  <c r="AY320" i="10"/>
  <c r="BC320" i="10"/>
  <c r="H320" i="10"/>
  <c r="L320" i="10"/>
  <c r="P320" i="10"/>
  <c r="T320" i="10"/>
  <c r="X320" i="10"/>
  <c r="AB320" i="10"/>
  <c r="AF320" i="10"/>
  <c r="AJ320" i="10"/>
  <c r="AN320" i="10"/>
  <c r="AR320" i="10"/>
  <c r="AV320" i="10"/>
  <c r="AZ320" i="10"/>
  <c r="I320" i="10"/>
  <c r="M320" i="10"/>
  <c r="Q320" i="10"/>
  <c r="U320" i="10"/>
  <c r="Y320" i="10"/>
  <c r="AC320" i="10"/>
  <c r="AG320" i="10"/>
  <c r="AK320" i="10"/>
  <c r="AO320" i="10"/>
  <c r="AS320" i="10"/>
  <c r="AW320" i="10"/>
  <c r="BA320" i="10"/>
  <c r="AJ69" i="10" a="1"/>
  <c r="AL69" i="10" s="1"/>
  <c r="AL102" i="10" s="1"/>
  <c r="H4409" i="41" l="1"/>
  <c r="G4409" i="41"/>
  <c r="J4409" i="41"/>
  <c r="I4409" i="41"/>
  <c r="K4409" i="41"/>
  <c r="D4410" i="41"/>
  <c r="E4410" i="41" s="1"/>
  <c r="F4410" i="41" s="1"/>
  <c r="AJ69" i="10"/>
  <c r="AJ102" i="10" s="1"/>
  <c r="AM69" i="10"/>
  <c r="AM102" i="10" s="1"/>
  <c r="AK69" i="10"/>
  <c r="AK102" i="10" s="1"/>
  <c r="AN69" i="10"/>
  <c r="AN102" i="10" s="1"/>
  <c r="J4410" i="41" l="1"/>
  <c r="I4410" i="41"/>
  <c r="G4410" i="41"/>
  <c r="H4410" i="41"/>
  <c r="K4410" i="41"/>
  <c r="D4411" i="41"/>
  <c r="E4411" i="41" s="1"/>
  <c r="F4411" i="41" s="1"/>
  <c r="N36" i="10"/>
  <c r="N35" i="10"/>
  <c r="N34" i="10"/>
  <c r="N33" i="10"/>
  <c r="N32" i="10"/>
  <c r="N31" i="10"/>
  <c r="M31" i="10" a="1"/>
  <c r="M32" i="10" s="1"/>
  <c r="K4411" i="41" l="1"/>
  <c r="I4411" i="41"/>
  <c r="H4411" i="41"/>
  <c r="J4411" i="41"/>
  <c r="G4411" i="41"/>
  <c r="D4412" i="41"/>
  <c r="E4412" i="41" s="1"/>
  <c r="F4412" i="41" s="1"/>
  <c r="M31" i="10"/>
  <c r="M35" i="10"/>
  <c r="M34" i="10"/>
  <c r="M33" i="10"/>
  <c r="M36" i="10"/>
  <c r="K4412" i="41" l="1"/>
  <c r="J4412" i="41"/>
  <c r="H4412" i="41"/>
  <c r="G4412" i="41"/>
  <c r="I4412" i="41"/>
  <c r="D4413" i="41"/>
  <c r="E4413" i="41" s="1"/>
  <c r="F4413" i="41" s="1"/>
  <c r="M18" i="10"/>
  <c r="H4413" i="41" l="1"/>
  <c r="G4413" i="41"/>
  <c r="K4413" i="41"/>
  <c r="J4413" i="41"/>
  <c r="I4413" i="41"/>
  <c r="D4414" i="41"/>
  <c r="E4414" i="41" s="1"/>
  <c r="F4414" i="41" s="1"/>
  <c r="M21" i="10"/>
  <c r="AN66" i="10"/>
  <c r="AN65" i="10"/>
  <c r="AN63" i="10"/>
  <c r="AN96" i="10" s="1"/>
  <c r="AN64" i="10"/>
  <c r="AN97" i="10" s="1"/>
  <c r="H9" i="10"/>
  <c r="G9" i="10"/>
  <c r="G13" i="10" s="1"/>
  <c r="G14" i="10" s="1"/>
  <c r="AF45" i="10" s="1"/>
  <c r="J4414" i="41" l="1"/>
  <c r="I4414" i="41"/>
  <c r="G4414" i="41"/>
  <c r="K4414" i="41"/>
  <c r="H4414" i="41"/>
  <c r="D4415" i="41"/>
  <c r="E4415" i="41" s="1"/>
  <c r="F4415" i="41" s="1"/>
  <c r="AD45" i="10"/>
  <c r="AE45" i="10"/>
  <c r="M42" i="10"/>
  <c r="M41" i="10"/>
  <c r="T39" i="10" a="1"/>
  <c r="W39" i="10" s="1"/>
  <c r="M39" i="10" a="1"/>
  <c r="M39" i="10" s="1"/>
  <c r="M105" i="10" s="1"/>
  <c r="F39" i="10" a="1"/>
  <c r="F39" i="10" s="1"/>
  <c r="F62" i="10" a="1"/>
  <c r="BB62" i="10" s="1"/>
  <c r="F38" i="10" a="1"/>
  <c r="G38" i="10" s="1"/>
  <c r="K4415" i="41" l="1"/>
  <c r="I4415" i="41"/>
  <c r="H4415" i="41"/>
  <c r="J4415" i="41"/>
  <c r="G4415" i="41"/>
  <c r="D4416" i="41"/>
  <c r="E4416" i="41" s="1"/>
  <c r="F4416" i="41" s="1"/>
  <c r="W81" i="10"/>
  <c r="W90" i="10" s="1"/>
  <c r="W105" i="10"/>
  <c r="F105" i="10"/>
  <c r="AA39" i="10"/>
  <c r="AD39" i="10"/>
  <c r="AD81" i="10" s="1"/>
  <c r="AD92" i="10" s="1"/>
  <c r="T39" i="10"/>
  <c r="P39" i="10"/>
  <c r="P105" i="10" s="1"/>
  <c r="U39" i="10"/>
  <c r="Y39" i="10"/>
  <c r="Z39" i="10"/>
  <c r="V39" i="10"/>
  <c r="F38" i="10"/>
  <c r="I39" i="10"/>
  <c r="I105" i="10" s="1"/>
  <c r="X39" i="10"/>
  <c r="H62" i="10"/>
  <c r="L62" i="10"/>
  <c r="P62" i="10"/>
  <c r="T62" i="10"/>
  <c r="X62" i="10"/>
  <c r="AB62" i="10"/>
  <c r="AF62" i="10"/>
  <c r="AJ62" i="10"/>
  <c r="AN62" i="10"/>
  <c r="AR62" i="10"/>
  <c r="AV62" i="10"/>
  <c r="AZ62" i="10"/>
  <c r="L39" i="10"/>
  <c r="H39" i="10"/>
  <c r="H105" i="10" s="1"/>
  <c r="S39" i="10"/>
  <c r="S105" i="10" s="1"/>
  <c r="O39" i="10"/>
  <c r="O105" i="10" s="1"/>
  <c r="BB38" i="10"/>
  <c r="AX38" i="10"/>
  <c r="AT38" i="10"/>
  <c r="AP38" i="10"/>
  <c r="AL38" i="10"/>
  <c r="AH38" i="10"/>
  <c r="AD38" i="10"/>
  <c r="Z38" i="10"/>
  <c r="V38" i="10"/>
  <c r="R38" i="10"/>
  <c r="N38" i="10"/>
  <c r="J38" i="10"/>
  <c r="G62" i="10"/>
  <c r="K62" i="10"/>
  <c r="O62" i="10"/>
  <c r="S62" i="10"/>
  <c r="W62" i="10"/>
  <c r="AA62" i="10"/>
  <c r="AE62" i="10"/>
  <c r="AI62" i="10"/>
  <c r="AM62" i="10"/>
  <c r="AQ62" i="10"/>
  <c r="AU62" i="10"/>
  <c r="AY62" i="10"/>
  <c r="BC62" i="10"/>
  <c r="BA38" i="10"/>
  <c r="AW38" i="10"/>
  <c r="AS38" i="10"/>
  <c r="AO38" i="10"/>
  <c r="AK38" i="10"/>
  <c r="AG38" i="10"/>
  <c r="AC38" i="10"/>
  <c r="Y38" i="10"/>
  <c r="U38" i="10"/>
  <c r="Q38" i="10"/>
  <c r="M38" i="10"/>
  <c r="I38" i="10"/>
  <c r="AZ38" i="10"/>
  <c r="AV38" i="10"/>
  <c r="AR38" i="10"/>
  <c r="AN38" i="10"/>
  <c r="AJ38" i="10"/>
  <c r="AF38" i="10"/>
  <c r="AB38" i="10"/>
  <c r="X38" i="10"/>
  <c r="T38" i="10"/>
  <c r="P38" i="10"/>
  <c r="L38" i="10"/>
  <c r="H38" i="10"/>
  <c r="M62" i="10"/>
  <c r="U62" i="10"/>
  <c r="Y62" i="10"/>
  <c r="AG62" i="10"/>
  <c r="AS62" i="10"/>
  <c r="BA62" i="10"/>
  <c r="G39" i="10"/>
  <c r="G105" i="10" s="1"/>
  <c r="R39" i="10"/>
  <c r="R105" i="10" s="1"/>
  <c r="N39" i="10"/>
  <c r="N105" i="10" s="1"/>
  <c r="I62" i="10"/>
  <c r="Q62" i="10"/>
  <c r="AC62" i="10"/>
  <c r="AK62" i="10"/>
  <c r="AO62" i="10"/>
  <c r="AW62" i="10"/>
  <c r="K39" i="10"/>
  <c r="K105" i="10" s="1"/>
  <c r="BC38" i="10"/>
  <c r="AY38" i="10"/>
  <c r="AU38" i="10"/>
  <c r="AQ38" i="10"/>
  <c r="AM38" i="10"/>
  <c r="AI38" i="10"/>
  <c r="AE38" i="10"/>
  <c r="AA38" i="10"/>
  <c r="W38" i="10"/>
  <c r="S38" i="10"/>
  <c r="O38" i="10"/>
  <c r="K38" i="10"/>
  <c r="F62" i="10"/>
  <c r="J62" i="10"/>
  <c r="N62" i="10"/>
  <c r="R62" i="10"/>
  <c r="V62" i="10"/>
  <c r="Z62" i="10"/>
  <c r="AD62" i="10"/>
  <c r="AH62" i="10"/>
  <c r="AL62" i="10"/>
  <c r="AP62" i="10"/>
  <c r="AT62" i="10"/>
  <c r="AX62" i="10"/>
  <c r="J39" i="10"/>
  <c r="J105" i="10" s="1"/>
  <c r="Q39" i="10"/>
  <c r="Q105" i="10" s="1"/>
  <c r="K4416" i="41" l="1"/>
  <c r="J4416" i="41"/>
  <c r="I4416" i="41"/>
  <c r="H4416" i="41"/>
  <c r="G4416" i="41"/>
  <c r="D4417" i="41"/>
  <c r="E4417" i="41" s="1"/>
  <c r="F4417" i="41" s="1"/>
  <c r="W88" i="10"/>
  <c r="V81" i="10"/>
  <c r="V88" i="10" s="1"/>
  <c r="V105" i="10"/>
  <c r="U81" i="10"/>
  <c r="U90" i="10" s="1"/>
  <c r="U105" i="10"/>
  <c r="Z81" i="10"/>
  <c r="Z88" i="10" s="1"/>
  <c r="Z105" i="10"/>
  <c r="L105" i="10"/>
  <c r="X81" i="10"/>
  <c r="X88" i="10" s="1"/>
  <c r="X105" i="10"/>
  <c r="Y81" i="10"/>
  <c r="Y90" i="10" s="1"/>
  <c r="Y105" i="10"/>
  <c r="T81" i="10"/>
  <c r="T88" i="10" s="1"/>
  <c r="T105" i="10"/>
  <c r="AD83" i="10"/>
  <c r="AD84" i="10"/>
  <c r="AI39" i="10"/>
  <c r="AH39" i="10"/>
  <c r="AE39" i="10"/>
  <c r="AE81" i="10" s="1"/>
  <c r="AE92" i="10" s="1"/>
  <c r="AF39" i="10"/>
  <c r="AF81" i="10" s="1"/>
  <c r="AF92" i="10" s="1"/>
  <c r="AB39" i="10"/>
  <c r="AC39" i="10"/>
  <c r="AG39" i="10"/>
  <c r="H4417" i="41" l="1"/>
  <c r="G4417" i="41"/>
  <c r="J4417" i="41"/>
  <c r="I4417" i="41"/>
  <c r="K4417" i="41"/>
  <c r="D4418" i="41"/>
  <c r="E4418" i="41" s="1"/>
  <c r="F4418" i="41" s="1"/>
  <c r="Y88" i="10"/>
  <c r="F265" i="10" a="1"/>
  <c r="S265" i="10" s="1"/>
  <c r="F268" i="10" a="1"/>
  <c r="F268" i="10" s="1"/>
  <c r="F274" i="10" a="1"/>
  <c r="H274" i="10" s="1"/>
  <c r="V90" i="10"/>
  <c r="U88" i="10"/>
  <c r="Z90" i="10"/>
  <c r="X90" i="10"/>
  <c r="T90" i="10"/>
  <c r="AF83" i="10"/>
  <c r="AF84" i="10"/>
  <c r="AE83" i="10"/>
  <c r="AE84" i="10"/>
  <c r="J4418" i="41" l="1"/>
  <c r="I4418" i="41"/>
  <c r="G4418" i="41"/>
  <c r="K4418" i="41"/>
  <c r="H4418" i="41"/>
  <c r="D4419" i="41"/>
  <c r="E4419" i="41" s="1"/>
  <c r="F4419" i="41" s="1"/>
  <c r="AS265" i="10"/>
  <c r="AB265" i="10"/>
  <c r="O265" i="10"/>
  <c r="F265" i="10"/>
  <c r="AN265" i="10"/>
  <c r="AA265" i="10"/>
  <c r="R265" i="10"/>
  <c r="AZ265" i="10"/>
  <c r="AM265" i="10"/>
  <c r="AD265" i="10"/>
  <c r="Q265" i="10"/>
  <c r="AY265" i="10"/>
  <c r="J265" i="10"/>
  <c r="AR265" i="10"/>
  <c r="AE265" i="10"/>
  <c r="V265" i="10"/>
  <c r="I265" i="10"/>
  <c r="AQ265" i="10"/>
  <c r="AH265" i="10"/>
  <c r="U265" i="10"/>
  <c r="BC265" i="10"/>
  <c r="AT265" i="10"/>
  <c r="AG265" i="10"/>
  <c r="P265" i="10"/>
  <c r="AP265" i="10"/>
  <c r="AC265" i="10"/>
  <c r="L265" i="10"/>
  <c r="BB265" i="10"/>
  <c r="AO265" i="10"/>
  <c r="X265" i="10"/>
  <c r="K265" i="10"/>
  <c r="BA265" i="10"/>
  <c r="AJ265" i="10"/>
  <c r="W265" i="10"/>
  <c r="N265" i="10"/>
  <c r="AV265" i="10"/>
  <c r="AI265" i="10"/>
  <c r="Z265" i="10"/>
  <c r="M265" i="10"/>
  <c r="AU265" i="10"/>
  <c r="AL265" i="10"/>
  <c r="Y265" i="10"/>
  <c r="H265" i="10"/>
  <c r="AX265" i="10"/>
  <c r="AK265" i="10"/>
  <c r="T265" i="10"/>
  <c r="G265" i="10"/>
  <c r="AW265" i="10"/>
  <c r="AF265" i="10"/>
  <c r="G268" i="10"/>
  <c r="O268" i="10"/>
  <c r="AE268" i="10"/>
  <c r="AX268" i="10"/>
  <c r="BB268" i="10"/>
  <c r="T268" i="10"/>
  <c r="AO268" i="10"/>
  <c r="R268" i="10"/>
  <c r="AG268" i="10"/>
  <c r="N268" i="10"/>
  <c r="Y268" i="10"/>
  <c r="U268" i="10"/>
  <c r="AJ268" i="10"/>
  <c r="Q268" i="10"/>
  <c r="M268" i="10"/>
  <c r="AM268" i="10"/>
  <c r="BC268" i="10"/>
  <c r="L268" i="10"/>
  <c r="P268" i="10"/>
  <c r="AK268" i="10"/>
  <c r="AA268" i="10"/>
  <c r="AH268" i="10"/>
  <c r="AB268" i="10"/>
  <c r="AT268" i="10"/>
  <c r="AR268" i="10"/>
  <c r="K268" i="10"/>
  <c r="AC268" i="10"/>
  <c r="AQ268" i="10"/>
  <c r="J268" i="10"/>
  <c r="AV268" i="10"/>
  <c r="AI268" i="10"/>
  <c r="V268" i="10"/>
  <c r="AZ268" i="10"/>
  <c r="BA268" i="10"/>
  <c r="AD268" i="10"/>
  <c r="AY268" i="10"/>
  <c r="AL268" i="10"/>
  <c r="AU268" i="10"/>
  <c r="AN268" i="10"/>
  <c r="AS268" i="10"/>
  <c r="H268" i="10"/>
  <c r="Z268" i="10"/>
  <c r="X268" i="10"/>
  <c r="AP268" i="10"/>
  <c r="I268" i="10"/>
  <c r="W268" i="10"/>
  <c r="AW268" i="10"/>
  <c r="AF268" i="10"/>
  <c r="S268" i="10"/>
  <c r="AQ274" i="10"/>
  <c r="AA274" i="10"/>
  <c r="K274" i="10"/>
  <c r="AT274" i="10"/>
  <c r="AD274" i="10"/>
  <c r="N274" i="10"/>
  <c r="AW274" i="10"/>
  <c r="AG274" i="10"/>
  <c r="Q274" i="10"/>
  <c r="AV274" i="10"/>
  <c r="AF274" i="10"/>
  <c r="P274" i="10"/>
  <c r="AU274" i="10"/>
  <c r="O274" i="10"/>
  <c r="AH274" i="10"/>
  <c r="BA274" i="10"/>
  <c r="U274" i="10"/>
  <c r="T274" i="10"/>
  <c r="BC274" i="10"/>
  <c r="AM274" i="10"/>
  <c r="W274" i="10"/>
  <c r="G274" i="10"/>
  <c r="AP274" i="10"/>
  <c r="Z274" i="10"/>
  <c r="J274" i="10"/>
  <c r="AS274" i="10"/>
  <c r="AC274" i="10"/>
  <c r="M274" i="10"/>
  <c r="AR274" i="10"/>
  <c r="AB274" i="10"/>
  <c r="L274" i="10"/>
  <c r="AE274" i="10"/>
  <c r="AX274" i="10"/>
  <c r="R274" i="10"/>
  <c r="AK274" i="10"/>
  <c r="AZ274" i="10"/>
  <c r="AJ274" i="10"/>
  <c r="AY274" i="10"/>
  <c r="AI274" i="10"/>
  <c r="S274" i="10"/>
  <c r="BB274" i="10"/>
  <c r="AL274" i="10"/>
  <c r="V274" i="10"/>
  <c r="F274" i="10"/>
  <c r="AO274" i="10"/>
  <c r="Y274" i="10"/>
  <c r="I274" i="10"/>
  <c r="AN274" i="10"/>
  <c r="X274" i="10"/>
  <c r="G699" i="34"/>
  <c r="G631" i="35"/>
  <c r="G632" i="35"/>
  <c r="G633" i="35"/>
  <c r="G634" i="35"/>
  <c r="G635" i="35"/>
  <c r="G636" i="35"/>
  <c r="G630" i="35"/>
  <c r="G629" i="35"/>
  <c r="G628" i="35"/>
  <c r="G627" i="35"/>
  <c r="G626" i="35"/>
  <c r="G625" i="35"/>
  <c r="G624" i="35"/>
  <c r="G623" i="35"/>
  <c r="G391" i="34" a="1"/>
  <c r="G391" i="34" s="1"/>
  <c r="G367" i="34" a="1"/>
  <c r="G372" i="34" s="1"/>
  <c r="G552" i="34" a="1"/>
  <c r="G558" i="34" s="1"/>
  <c r="G545" i="34" a="1"/>
  <c r="G551" i="34" s="1"/>
  <c r="G456" i="34" a="1"/>
  <c r="G456" i="34" s="1"/>
  <c r="G383" i="34" a="1"/>
  <c r="G383" i="34" s="1"/>
  <c r="G376" i="34" a="1"/>
  <c r="G376" i="34" s="1"/>
  <c r="K4419" i="41" l="1"/>
  <c r="I4419" i="41"/>
  <c r="H4419" i="41"/>
  <c r="J4419" i="41"/>
  <c r="G4419" i="41"/>
  <c r="D4420" i="41"/>
  <c r="E4420" i="41" s="1"/>
  <c r="F4420" i="41" s="1"/>
  <c r="F59" i="10" a="1"/>
  <c r="F59" i="10" s="1"/>
  <c r="G668" i="34" a="1"/>
  <c r="G668" i="34" s="1"/>
  <c r="G396" i="34"/>
  <c r="G392" i="34"/>
  <c r="G386" i="34"/>
  <c r="G397" i="34"/>
  <c r="G394" i="34"/>
  <c r="G379" i="34"/>
  <c r="G459" i="34"/>
  <c r="G393" i="34"/>
  <c r="G395" i="34"/>
  <c r="G382" i="34"/>
  <c r="G378" i="34"/>
  <c r="G389" i="34"/>
  <c r="G385" i="34"/>
  <c r="G462" i="34"/>
  <c r="G458" i="34"/>
  <c r="G381" i="34"/>
  <c r="G377" i="34"/>
  <c r="G388" i="34"/>
  <c r="G384" i="34"/>
  <c r="G461" i="34"/>
  <c r="G457" i="34"/>
  <c r="G380" i="34"/>
  <c r="G387" i="34"/>
  <c r="G460" i="34"/>
  <c r="G548" i="34"/>
  <c r="G555" i="34"/>
  <c r="G369" i="34"/>
  <c r="G373" i="34"/>
  <c r="G545" i="34"/>
  <c r="G549" i="34"/>
  <c r="G552" i="34"/>
  <c r="G556" i="34"/>
  <c r="G546" i="34"/>
  <c r="G550" i="34"/>
  <c r="G553" i="34"/>
  <c r="G557" i="34"/>
  <c r="G370" i="34"/>
  <c r="G367" i="34"/>
  <c r="G371" i="34"/>
  <c r="G547" i="34"/>
  <c r="G554" i="34"/>
  <c r="G368" i="34"/>
  <c r="K4420" i="41" l="1"/>
  <c r="J4420" i="41"/>
  <c r="H4420" i="41"/>
  <c r="G4420" i="41"/>
  <c r="I4420" i="41"/>
  <c r="D4421" i="41"/>
  <c r="E4421" i="41" s="1"/>
  <c r="F4421" i="41" s="1"/>
  <c r="M59" i="10"/>
  <c r="AD59" i="10" s="1"/>
  <c r="O59" i="10"/>
  <c r="AE59" i="10" s="1"/>
  <c r="V59" i="10"/>
  <c r="AH59" i="10" s="1"/>
  <c r="N59" i="10"/>
  <c r="W59" i="10"/>
  <c r="K59" i="10"/>
  <c r="AC59" i="10" s="1"/>
  <c r="J59" i="10"/>
  <c r="X59" i="10"/>
  <c r="S59" i="10"/>
  <c r="R59" i="10"/>
  <c r="AF59" i="10" s="1"/>
  <c r="T59" i="10"/>
  <c r="AG59" i="10" s="1"/>
  <c r="L59" i="10"/>
  <c r="G59" i="10"/>
  <c r="Y59" i="10"/>
  <c r="AI59" i="10" s="1"/>
  <c r="H59" i="10"/>
  <c r="AB59" i="10" s="1"/>
  <c r="U59" i="10"/>
  <c r="I59" i="10"/>
  <c r="P59" i="10"/>
  <c r="Q59" i="10"/>
  <c r="Z59" i="10"/>
  <c r="AA59" i="10"/>
  <c r="G670" i="34"/>
  <c r="G673" i="34"/>
  <c r="G683" i="34"/>
  <c r="G680" i="34"/>
  <c r="G669" i="34"/>
  <c r="G675" i="34"/>
  <c r="G678" i="34"/>
  <c r="G681" i="34"/>
  <c r="G688" i="34"/>
  <c r="G672" i="34"/>
  <c r="G686" i="34"/>
  <c r="G679" i="34"/>
  <c r="G682" i="34"/>
  <c r="G685" i="34"/>
  <c r="G676" i="34"/>
  <c r="G687" i="34"/>
  <c r="G671" i="34"/>
  <c r="G674" i="34"/>
  <c r="G677" i="34"/>
  <c r="G684" i="34"/>
  <c r="H4421" i="41" l="1"/>
  <c r="G4421" i="41"/>
  <c r="K4421" i="41"/>
  <c r="J4421" i="41"/>
  <c r="I4421" i="41"/>
  <c r="D4422" i="41"/>
  <c r="E4422" i="41" s="1"/>
  <c r="F4422" i="41" s="1"/>
  <c r="F68" i="10" a="1"/>
  <c r="G68" i="10" s="1"/>
  <c r="G101" i="10" s="1"/>
  <c r="J4422" i="41" l="1"/>
  <c r="I4422" i="41"/>
  <c r="G4422" i="41"/>
  <c r="K4422" i="41"/>
  <c r="H4422" i="41"/>
  <c r="D4423" i="41"/>
  <c r="E4423" i="41" s="1"/>
  <c r="F4423" i="41" s="1"/>
  <c r="P68" i="10"/>
  <c r="P101" i="10" s="1"/>
  <c r="Q68" i="10"/>
  <c r="Q101" i="10" s="1"/>
  <c r="K68" i="10"/>
  <c r="K101" i="10" s="1"/>
  <c r="X68" i="10"/>
  <c r="X101" i="10" s="1"/>
  <c r="S68" i="10"/>
  <c r="S101" i="10" s="1"/>
  <c r="H68" i="10"/>
  <c r="H101" i="10" s="1"/>
  <c r="AH68" i="10"/>
  <c r="AH101" i="10" s="1"/>
  <c r="V68" i="10"/>
  <c r="V101" i="10" s="1"/>
  <c r="L68" i="10"/>
  <c r="L101" i="10" s="1"/>
  <c r="N68" i="10"/>
  <c r="N101" i="10" s="1"/>
  <c r="AF68" i="10"/>
  <c r="AF101" i="10" s="1"/>
  <c r="AE68" i="10"/>
  <c r="AE101" i="10" s="1"/>
  <c r="AD68" i="10"/>
  <c r="AD101" i="10" s="1"/>
  <c r="F68" i="10"/>
  <c r="F101" i="10" s="1"/>
  <c r="Z68" i="10"/>
  <c r="Z101" i="10" s="1"/>
  <c r="AC68" i="10"/>
  <c r="AC101" i="10" s="1"/>
  <c r="T68" i="10"/>
  <c r="T101" i="10" s="1"/>
  <c r="R68" i="10"/>
  <c r="R101" i="10" s="1"/>
  <c r="I68" i="10"/>
  <c r="I101" i="10" s="1"/>
  <c r="AI68" i="10"/>
  <c r="AI101" i="10" s="1"/>
  <c r="Y68" i="10"/>
  <c r="Y101" i="10" s="1"/>
  <c r="AB68" i="10"/>
  <c r="AB101" i="10" s="1"/>
  <c r="M68" i="10"/>
  <c r="M101" i="10" s="1"/>
  <c r="AG68" i="10"/>
  <c r="AG101" i="10" s="1"/>
  <c r="U68" i="10"/>
  <c r="U101" i="10" s="1"/>
  <c r="W68" i="10"/>
  <c r="W101" i="10" s="1"/>
  <c r="J68" i="10"/>
  <c r="J101" i="10" s="1"/>
  <c r="O68" i="10"/>
  <c r="O101" i="10" s="1"/>
  <c r="AA68" i="10"/>
  <c r="AA101" i="10" s="1"/>
  <c r="G120" i="34"/>
  <c r="K4423" i="41" l="1"/>
  <c r="I4423" i="41"/>
  <c r="H4423" i="41"/>
  <c r="J4423" i="41"/>
  <c r="G4423" i="41"/>
  <c r="D4424" i="41"/>
  <c r="E4424" i="41" s="1"/>
  <c r="F4424" i="41" s="1"/>
  <c r="G494" i="35" a="1"/>
  <c r="G494" i="35" s="1"/>
  <c r="G513" i="34" a="1"/>
  <c r="G519" i="34" s="1"/>
  <c r="G520" i="34" a="1"/>
  <c r="G520" i="34" s="1"/>
  <c r="G463" i="34" a="1"/>
  <c r="G463" i="34" s="1"/>
  <c r="G359" i="34" a="1"/>
  <c r="G359" i="34" s="1"/>
  <c r="G352" i="34" a="1"/>
  <c r="G352" i="34" s="1"/>
  <c r="K4424" i="41" l="1"/>
  <c r="J4424" i="41"/>
  <c r="I4424" i="41"/>
  <c r="H4424" i="41"/>
  <c r="G4424" i="41"/>
  <c r="D4425" i="41"/>
  <c r="E4425" i="41" s="1"/>
  <c r="F4425" i="41" s="1"/>
  <c r="G355" i="34"/>
  <c r="N494" i="35"/>
  <c r="J494" i="35"/>
  <c r="M494" i="35"/>
  <c r="I494" i="35"/>
  <c r="P494" i="35"/>
  <c r="L494" i="35"/>
  <c r="H494" i="35"/>
  <c r="O494" i="35"/>
  <c r="K494" i="35"/>
  <c r="G526" i="34"/>
  <c r="G523" i="34"/>
  <c r="G466" i="34"/>
  <c r="G522" i="34"/>
  <c r="G525" i="34"/>
  <c r="G521" i="34"/>
  <c r="G513" i="34"/>
  <c r="G517" i="34"/>
  <c r="G362" i="34"/>
  <c r="G524" i="34"/>
  <c r="G514" i="34"/>
  <c r="G518" i="34"/>
  <c r="G516" i="34"/>
  <c r="G515" i="34"/>
  <c r="G358" i="34"/>
  <c r="G354" i="34"/>
  <c r="G365" i="34"/>
  <c r="G361" i="34"/>
  <c r="G469" i="34"/>
  <c r="G465" i="34"/>
  <c r="G357" i="34"/>
  <c r="G353" i="34"/>
  <c r="G364" i="34"/>
  <c r="G360" i="34"/>
  <c r="G468" i="34"/>
  <c r="G464" i="34"/>
  <c r="G356" i="34"/>
  <c r="G363" i="34"/>
  <c r="G467" i="34"/>
  <c r="H4425" i="41" l="1"/>
  <c r="G4425" i="41"/>
  <c r="J4425" i="41"/>
  <c r="I4425" i="41"/>
  <c r="K4425" i="41"/>
  <c r="D4426" i="41"/>
  <c r="E4426" i="41" s="1"/>
  <c r="F4426" i="41" s="1"/>
  <c r="G334" i="34"/>
  <c r="G153" i="34" a="1"/>
  <c r="G153" i="34" s="1"/>
  <c r="D150" i="34"/>
  <c r="D149" i="34"/>
  <c r="D148" i="34"/>
  <c r="D147" i="34"/>
  <c r="D146" i="34"/>
  <c r="D145" i="34"/>
  <c r="D144" i="34"/>
  <c r="C111" i="70"/>
  <c r="C112" i="70"/>
  <c r="C113" i="70"/>
  <c r="C114" i="70"/>
  <c r="C115" i="70"/>
  <c r="C116" i="70"/>
  <c r="C110" i="70"/>
  <c r="E198" i="35" a="1"/>
  <c r="E201" i="35" s="1"/>
  <c r="E192" i="35" a="1"/>
  <c r="E194" i="35" s="1"/>
  <c r="E5" i="32"/>
  <c r="F6" i="32" s="1" a="1"/>
  <c r="F15" i="32" s="1"/>
  <c r="C5" i="32"/>
  <c r="D6" i="32" s="1" a="1"/>
  <c r="J4426" i="41" l="1"/>
  <c r="I4426" i="41"/>
  <c r="G4426" i="41"/>
  <c r="K4426" i="41"/>
  <c r="H4426" i="41"/>
  <c r="D4427" i="41"/>
  <c r="E4427" i="41" s="1"/>
  <c r="F4427" i="41" s="1"/>
  <c r="G154" i="34"/>
  <c r="G158" i="34"/>
  <c r="G155" i="34"/>
  <c r="D153" i="34" a="1"/>
  <c r="D153" i="34" s="1"/>
  <c r="G156" i="34"/>
  <c r="G159" i="34"/>
  <c r="G157" i="34"/>
  <c r="E195" i="35"/>
  <c r="E192" i="35"/>
  <c r="E193" i="35"/>
  <c r="E200" i="35"/>
  <c r="E199" i="35"/>
  <c r="E198" i="35"/>
  <c r="D6" i="32"/>
  <c r="D10" i="32"/>
  <c r="D14" i="32"/>
  <c r="D7" i="32"/>
  <c r="D11" i="32"/>
  <c r="D15" i="32"/>
  <c r="D8" i="32"/>
  <c r="D12" i="32"/>
  <c r="D9" i="32"/>
  <c r="D13" i="32"/>
  <c r="F8" i="32"/>
  <c r="F12" i="32"/>
  <c r="F6" i="32"/>
  <c r="F10" i="32"/>
  <c r="F14" i="32"/>
  <c r="F9" i="32"/>
  <c r="F13" i="32"/>
  <c r="F7" i="32"/>
  <c r="F11" i="32"/>
  <c r="Z41" i="32" a="1"/>
  <c r="Z41" i="32" s="1"/>
  <c r="Z30" i="32" a="1"/>
  <c r="Z30" i="32" s="1"/>
  <c r="Z21" i="32" a="1"/>
  <c r="Z21" i="32" s="1"/>
  <c r="Z5" i="32" a="1"/>
  <c r="AA11" i="32" s="1"/>
  <c r="K4427" i="41" l="1"/>
  <c r="I4427" i="41"/>
  <c r="H4427" i="41"/>
  <c r="J4427" i="41"/>
  <c r="G4427" i="41"/>
  <c r="D4428" i="41"/>
  <c r="E4428" i="41" s="1"/>
  <c r="F4428" i="41" s="1"/>
  <c r="D155" i="34"/>
  <c r="D159" i="34"/>
  <c r="D158" i="34"/>
  <c r="D154" i="34"/>
  <c r="D157" i="34"/>
  <c r="D156" i="34"/>
  <c r="AA37" i="32"/>
  <c r="Z37" i="32"/>
  <c r="AA24" i="32"/>
  <c r="AA33" i="32"/>
  <c r="Z33" i="32"/>
  <c r="Z11" i="32"/>
  <c r="AA8" i="32"/>
  <c r="AA5" i="32"/>
  <c r="Z17" i="32"/>
  <c r="AA10" i="32"/>
  <c r="AA7" i="32"/>
  <c r="Z5" i="32"/>
  <c r="AA22" i="32"/>
  <c r="AA35" i="32"/>
  <c r="AA31" i="32"/>
  <c r="Z35" i="32"/>
  <c r="Z31" i="32"/>
  <c r="Z15" i="32"/>
  <c r="AA9" i="32"/>
  <c r="Z7" i="32"/>
  <c r="Z13" i="32"/>
  <c r="Z9" i="32"/>
  <c r="AA6" i="32"/>
  <c r="AA26" i="32"/>
  <c r="AA46" i="32"/>
  <c r="AA44" i="32"/>
  <c r="AA42" i="32"/>
  <c r="Z26" i="32"/>
  <c r="Z24" i="32"/>
  <c r="Z22" i="32"/>
  <c r="AA38" i="32"/>
  <c r="AA36" i="32"/>
  <c r="AA34" i="32"/>
  <c r="AA32" i="32"/>
  <c r="AA30" i="32"/>
  <c r="Z46" i="32"/>
  <c r="Z44" i="32"/>
  <c r="Z42" i="32"/>
  <c r="Z18" i="32"/>
  <c r="Z16" i="32"/>
  <c r="Z14" i="32"/>
  <c r="Z12" i="32"/>
  <c r="Z10" i="32"/>
  <c r="Z8" i="32"/>
  <c r="Z6" i="32"/>
  <c r="AA27" i="32"/>
  <c r="AA25" i="32"/>
  <c r="AA23" i="32"/>
  <c r="AA21" i="32"/>
  <c r="Z38" i="32"/>
  <c r="Z36" i="32"/>
  <c r="Z34" i="32"/>
  <c r="Z32" i="32"/>
  <c r="AA45" i="32"/>
  <c r="AA43" i="32"/>
  <c r="AA41" i="32"/>
  <c r="AA18" i="32"/>
  <c r="AA16" i="32"/>
  <c r="AA14" i="32"/>
  <c r="AA12" i="32"/>
  <c r="AA17" i="32"/>
  <c r="AA15" i="32"/>
  <c r="AA13" i="32"/>
  <c r="Z27" i="32"/>
  <c r="Z25" i="32"/>
  <c r="Z23" i="32"/>
  <c r="Z45" i="32"/>
  <c r="Z43" i="32"/>
  <c r="F5" i="32"/>
  <c r="D5" i="32"/>
  <c r="E9" i="34" a="1"/>
  <c r="E9" i="34" s="1"/>
  <c r="D9" i="34" a="1"/>
  <c r="D18" i="34" s="1"/>
  <c r="E6" i="70" a="1"/>
  <c r="E6" i="70" s="1"/>
  <c r="C6" i="70" a="1"/>
  <c r="C6" i="70" s="1"/>
  <c r="C55" i="70" a="1"/>
  <c r="C57" i="70" s="1"/>
  <c r="E55" i="70" a="1"/>
  <c r="E57" i="70" s="1"/>
  <c r="G48" i="70"/>
  <c r="I23" i="70"/>
  <c r="I22" i="70"/>
  <c r="C529" i="34" l="1" a="1"/>
  <c r="C330" i="34" a="1"/>
  <c r="C332" i="34" s="1"/>
  <c r="C391" i="34" a="1"/>
  <c r="C394" i="34" s="1"/>
  <c r="D233" i="34" a="1"/>
  <c r="D241" i="34" s="1"/>
  <c r="D258" i="34" a="1"/>
  <c r="C376" i="34" a="1"/>
  <c r="C352" i="34" a="1"/>
  <c r="C367" i="34" a="1"/>
  <c r="D244" i="34" a="1"/>
  <c r="K4428" i="41"/>
  <c r="J4428" i="41"/>
  <c r="H4428" i="41"/>
  <c r="G4428" i="41"/>
  <c r="I4428" i="41"/>
  <c r="D4429" i="41"/>
  <c r="E4429" i="41" s="1"/>
  <c r="F4429" i="41" s="1"/>
  <c r="C682" i="34" a="1"/>
  <c r="C685" i="34" s="1"/>
  <c r="D742" i="34" a="1"/>
  <c r="C613" i="34" a="1"/>
  <c r="C636" i="34" a="1"/>
  <c r="C659" i="34" a="1"/>
  <c r="D630" i="35" a="1"/>
  <c r="D221" i="34" a="1"/>
  <c r="E203" i="34" a="1"/>
  <c r="E194" i="34" a="1"/>
  <c r="D194" i="34" a="1"/>
  <c r="D203" i="34" a="1"/>
  <c r="D112" i="34" a="1"/>
  <c r="D117" i="34" s="1"/>
  <c r="D212" i="34" a="1"/>
  <c r="D123" i="34" a="1"/>
  <c r="E132" i="34" a="1"/>
  <c r="E123" i="34" a="1"/>
  <c r="E112" i="34" a="1"/>
  <c r="E88" i="34" a="1"/>
  <c r="D132" i="34" a="1"/>
  <c r="D88" i="34" a="1"/>
  <c r="D728" i="34" a="1"/>
  <c r="D616" i="35" a="1"/>
  <c r="C668" i="34" a="1"/>
  <c r="C599" i="34" a="1"/>
  <c r="C622" i="34" a="1"/>
  <c r="C645" i="34" a="1"/>
  <c r="C513" i="34" a="1"/>
  <c r="C545" i="34" a="1"/>
  <c r="C456" i="34" a="1"/>
  <c r="D178" i="34" a="1"/>
  <c r="D97" i="34" a="1"/>
  <c r="D73" i="34" a="1"/>
  <c r="D162" i="34" a="1"/>
  <c r="E97" i="34" a="1"/>
  <c r="E73" i="34" a="1"/>
  <c r="D33" i="34"/>
  <c r="D28" i="34"/>
  <c r="D45" i="34"/>
  <c r="D17" i="34"/>
  <c r="D44" i="34"/>
  <c r="D14" i="34"/>
  <c r="E66" i="70"/>
  <c r="D37" i="34"/>
  <c r="D25" i="34"/>
  <c r="D13" i="34"/>
  <c r="D52" i="34"/>
  <c r="D36" i="34"/>
  <c r="D21" i="34"/>
  <c r="D9" i="34"/>
  <c r="D53" i="34"/>
  <c r="D41" i="34"/>
  <c r="D29" i="34"/>
  <c r="D20" i="34"/>
  <c r="D12" i="34"/>
  <c r="E60" i="70"/>
  <c r="E59" i="70"/>
  <c r="C25" i="70"/>
  <c r="D57" i="34"/>
  <c r="D49" i="34"/>
  <c r="E71" i="70"/>
  <c r="E55" i="70"/>
  <c r="C9" i="70"/>
  <c r="I9" i="70" s="1"/>
  <c r="D56" i="34"/>
  <c r="D48" i="34"/>
  <c r="D40" i="34"/>
  <c r="D32" i="34"/>
  <c r="D24" i="34"/>
  <c r="D16" i="34"/>
  <c r="D10" i="34"/>
  <c r="E56" i="34"/>
  <c r="E52" i="34"/>
  <c r="E48" i="34"/>
  <c r="E44" i="34"/>
  <c r="E40" i="34"/>
  <c r="E36" i="34"/>
  <c r="E32" i="34"/>
  <c r="E28" i="34"/>
  <c r="E24" i="34"/>
  <c r="E20" i="34"/>
  <c r="E16" i="34"/>
  <c r="E12" i="34"/>
  <c r="C21" i="70"/>
  <c r="E55" i="34"/>
  <c r="E51" i="34"/>
  <c r="E47" i="34"/>
  <c r="E43" i="34"/>
  <c r="E39" i="34"/>
  <c r="E35" i="34"/>
  <c r="E31" i="34"/>
  <c r="E27" i="34"/>
  <c r="E23" i="34"/>
  <c r="E19" i="34"/>
  <c r="E15" i="34"/>
  <c r="E11" i="34"/>
  <c r="I6" i="70"/>
  <c r="C17" i="70"/>
  <c r="I17" i="70" s="1"/>
  <c r="D55" i="34"/>
  <c r="D51" i="34"/>
  <c r="D47" i="34"/>
  <c r="D43" i="34"/>
  <c r="D39" i="34"/>
  <c r="D35" i="34"/>
  <c r="D31" i="34"/>
  <c r="D27" i="34"/>
  <c r="D23" i="34"/>
  <c r="D19" i="34"/>
  <c r="D15" i="34"/>
  <c r="D11" i="34"/>
  <c r="E58" i="34"/>
  <c r="E54" i="34"/>
  <c r="E50" i="34"/>
  <c r="E46" i="34"/>
  <c r="E42" i="34"/>
  <c r="E38" i="34"/>
  <c r="E34" i="34"/>
  <c r="E30" i="34"/>
  <c r="E26" i="34"/>
  <c r="E22" i="34"/>
  <c r="E18" i="34"/>
  <c r="E14" i="34"/>
  <c r="E10" i="34"/>
  <c r="C13" i="70"/>
  <c r="D58" i="34"/>
  <c r="D54" i="34"/>
  <c r="D50" i="34"/>
  <c r="D46" i="34"/>
  <c r="D42" i="34"/>
  <c r="D38" i="34"/>
  <c r="D34" i="34"/>
  <c r="D30" i="34"/>
  <c r="D26" i="34"/>
  <c r="D22" i="34"/>
  <c r="E57" i="34"/>
  <c r="E53" i="34"/>
  <c r="E49" i="34"/>
  <c r="E45" i="34"/>
  <c r="E41" i="34"/>
  <c r="E37" i="34"/>
  <c r="E33" i="34"/>
  <c r="E29" i="34"/>
  <c r="E25" i="34"/>
  <c r="E21" i="34"/>
  <c r="E17" i="34"/>
  <c r="E13" i="34"/>
  <c r="E103" i="70"/>
  <c r="E95" i="70"/>
  <c r="E87" i="70"/>
  <c r="E79" i="70"/>
  <c r="E100" i="70"/>
  <c r="E92" i="70"/>
  <c r="E84" i="70"/>
  <c r="E76" i="70"/>
  <c r="E70" i="70"/>
  <c r="E64" i="70"/>
  <c r="E99" i="70"/>
  <c r="E91" i="70"/>
  <c r="E83" i="70"/>
  <c r="E75" i="70"/>
  <c r="E68" i="70"/>
  <c r="E63" i="70"/>
  <c r="E58" i="70"/>
  <c r="C64" i="70"/>
  <c r="C23" i="70"/>
  <c r="C19" i="70"/>
  <c r="C15" i="70"/>
  <c r="I15" i="70" s="1"/>
  <c r="C11" i="70"/>
  <c r="I11" i="70" s="1"/>
  <c r="C7" i="70"/>
  <c r="I7" i="70" s="1"/>
  <c r="E24" i="70"/>
  <c r="E20" i="70"/>
  <c r="E16" i="70"/>
  <c r="E12" i="70"/>
  <c r="E8" i="70"/>
  <c r="C24" i="70"/>
  <c r="C20" i="70"/>
  <c r="I20" i="70" s="1"/>
  <c r="C16" i="70"/>
  <c r="I16" i="70" s="1"/>
  <c r="C12" i="70"/>
  <c r="I12" i="70" s="1"/>
  <c r="C8" i="70"/>
  <c r="I8" i="70" s="1"/>
  <c r="E25" i="70"/>
  <c r="E21" i="70"/>
  <c r="E17" i="70"/>
  <c r="E13" i="70"/>
  <c r="E9" i="70"/>
  <c r="E104" i="70"/>
  <c r="E96" i="70"/>
  <c r="E88" i="70"/>
  <c r="E80" i="70"/>
  <c r="E72" i="70"/>
  <c r="E67" i="70"/>
  <c r="E62" i="70"/>
  <c r="E56" i="70"/>
  <c r="C59" i="70"/>
  <c r="C22" i="70"/>
  <c r="C18" i="70"/>
  <c r="C14" i="70"/>
  <c r="C10" i="70"/>
  <c r="I10" i="70" s="1"/>
  <c r="E23" i="70"/>
  <c r="E19" i="70"/>
  <c r="E15" i="70"/>
  <c r="E11" i="70"/>
  <c r="E7" i="70"/>
  <c r="E22" i="70"/>
  <c r="E18" i="70"/>
  <c r="E14" i="70"/>
  <c r="E10" i="70"/>
  <c r="C100" i="70"/>
  <c r="C92" i="70"/>
  <c r="C84" i="70"/>
  <c r="C79" i="70"/>
  <c r="C74" i="70"/>
  <c r="C68" i="70"/>
  <c r="C63" i="70"/>
  <c r="C58" i="70"/>
  <c r="C99" i="70"/>
  <c r="C91" i="70"/>
  <c r="C83" i="70"/>
  <c r="C78" i="70"/>
  <c r="C72" i="70"/>
  <c r="C67" i="70"/>
  <c r="C62" i="70"/>
  <c r="C56" i="70"/>
  <c r="C103" i="70"/>
  <c r="C95" i="70"/>
  <c r="C87" i="70"/>
  <c r="C80" i="70"/>
  <c r="C75" i="70"/>
  <c r="C70" i="70"/>
  <c r="E102" i="70"/>
  <c r="E98" i="70"/>
  <c r="E94" i="70"/>
  <c r="E90" i="70"/>
  <c r="E86" i="70"/>
  <c r="E82" i="70"/>
  <c r="E78" i="70"/>
  <c r="E74" i="70"/>
  <c r="E101" i="70"/>
  <c r="E97" i="70"/>
  <c r="E93" i="70"/>
  <c r="E89" i="70"/>
  <c r="E85" i="70"/>
  <c r="E81" i="70"/>
  <c r="E77" i="70"/>
  <c r="E73" i="70"/>
  <c r="E69" i="70"/>
  <c r="E65" i="70"/>
  <c r="E61" i="70"/>
  <c r="C104" i="70"/>
  <c r="C96" i="70"/>
  <c r="C88" i="70"/>
  <c r="C82" i="70"/>
  <c r="C76" i="70"/>
  <c r="C71" i="70"/>
  <c r="C66" i="70"/>
  <c r="C60" i="70"/>
  <c r="C55" i="70"/>
  <c r="C102" i="70"/>
  <c r="C98" i="70"/>
  <c r="C94" i="70"/>
  <c r="C90" i="70"/>
  <c r="C86" i="70"/>
  <c r="C101" i="70"/>
  <c r="C97" i="70"/>
  <c r="C93" i="70"/>
  <c r="C89" i="70"/>
  <c r="C85" i="70"/>
  <c r="C81" i="70"/>
  <c r="C77" i="70"/>
  <c r="C73" i="70"/>
  <c r="C69" i="70"/>
  <c r="C65" i="70"/>
  <c r="C61" i="70"/>
  <c r="C542" i="34" l="1"/>
  <c r="C531" i="34"/>
  <c r="C536" i="34"/>
  <c r="C537" i="34"/>
  <c r="C532" i="34"/>
  <c r="C534" i="34"/>
  <c r="C535" i="34"/>
  <c r="C541" i="34"/>
  <c r="C540" i="34"/>
  <c r="C538" i="34"/>
  <c r="C533" i="34"/>
  <c r="C530" i="34"/>
  <c r="C539" i="34"/>
  <c r="C529" i="34"/>
  <c r="C392" i="34"/>
  <c r="C397" i="34"/>
  <c r="C331" i="34"/>
  <c r="D236" i="34"/>
  <c r="C330" i="34"/>
  <c r="D239" i="34"/>
  <c r="D238" i="34"/>
  <c r="C393" i="34"/>
  <c r="C334" i="34"/>
  <c r="D233" i="34"/>
  <c r="C396" i="34"/>
  <c r="C391" i="34"/>
  <c r="C335" i="34"/>
  <c r="C333" i="34"/>
  <c r="D235" i="34"/>
  <c r="D240" i="34"/>
  <c r="D234" i="34"/>
  <c r="D237" i="34"/>
  <c r="C395" i="34"/>
  <c r="C387" i="34"/>
  <c r="C382" i="34"/>
  <c r="C388" i="34"/>
  <c r="C380" i="34"/>
  <c r="C386" i="34"/>
  <c r="C378" i="34"/>
  <c r="C384" i="34"/>
  <c r="C376" i="34"/>
  <c r="C385" i="34"/>
  <c r="C379" i="34"/>
  <c r="C389" i="34"/>
  <c r="C383" i="34"/>
  <c r="C377" i="34"/>
  <c r="C381" i="34"/>
  <c r="D251" i="34"/>
  <c r="D252" i="34"/>
  <c r="D246" i="34"/>
  <c r="D249" i="34"/>
  <c r="D244" i="34"/>
  <c r="D250" i="34"/>
  <c r="D245" i="34"/>
  <c r="D248" i="34"/>
  <c r="D247" i="34"/>
  <c r="D261" i="34"/>
  <c r="D262" i="34"/>
  <c r="D258" i="34"/>
  <c r="D260" i="34"/>
  <c r="D259" i="34"/>
  <c r="D263" i="34"/>
  <c r="C370" i="34"/>
  <c r="C367" i="34"/>
  <c r="C373" i="34"/>
  <c r="C371" i="34"/>
  <c r="C369" i="34"/>
  <c r="C368" i="34"/>
  <c r="C372" i="34"/>
  <c r="C362" i="34"/>
  <c r="C357" i="34"/>
  <c r="C353" i="34"/>
  <c r="C365" i="34"/>
  <c r="C361" i="34"/>
  <c r="C355" i="34"/>
  <c r="C352" i="34"/>
  <c r="C359" i="34"/>
  <c r="C356" i="34"/>
  <c r="C363" i="34"/>
  <c r="C360" i="34"/>
  <c r="C354" i="34"/>
  <c r="C364" i="34"/>
  <c r="C358" i="34"/>
  <c r="H4429" i="41"/>
  <c r="G4429" i="41"/>
  <c r="K4429" i="41"/>
  <c r="J4429" i="41"/>
  <c r="I4429" i="41"/>
  <c r="D4430" i="41"/>
  <c r="E4430" i="41" s="1"/>
  <c r="F4430" i="41" s="1"/>
  <c r="C682" i="34"/>
  <c r="C686" i="34"/>
  <c r="C687" i="34"/>
  <c r="C684" i="34"/>
  <c r="C688" i="34"/>
  <c r="C683" i="34"/>
  <c r="D742" i="34"/>
  <c r="D746" i="34"/>
  <c r="D743" i="34"/>
  <c r="D747" i="34"/>
  <c r="D745" i="34"/>
  <c r="D744" i="34"/>
  <c r="D748" i="34"/>
  <c r="C615" i="34"/>
  <c r="C619" i="34"/>
  <c r="C614" i="34"/>
  <c r="C616" i="34"/>
  <c r="C613" i="34"/>
  <c r="C617" i="34"/>
  <c r="C618" i="34"/>
  <c r="D630" i="35"/>
  <c r="D634" i="35"/>
  <c r="D633" i="35"/>
  <c r="D631" i="35"/>
  <c r="D635" i="35"/>
  <c r="D632" i="35"/>
  <c r="D636" i="35"/>
  <c r="C662" i="34"/>
  <c r="C663" i="34"/>
  <c r="C665" i="34"/>
  <c r="C661" i="34"/>
  <c r="C664" i="34"/>
  <c r="C660" i="34"/>
  <c r="C659" i="34"/>
  <c r="C639" i="34"/>
  <c r="C642" i="34"/>
  <c r="C638" i="34"/>
  <c r="C641" i="34"/>
  <c r="C637" i="34"/>
  <c r="C640" i="34"/>
  <c r="C636" i="34"/>
  <c r="D112" i="34"/>
  <c r="D226" i="34"/>
  <c r="D222" i="34"/>
  <c r="D223" i="34"/>
  <c r="D225" i="34"/>
  <c r="D221" i="34"/>
  <c r="D224" i="34"/>
  <c r="D227" i="34"/>
  <c r="E199" i="34"/>
  <c r="E195" i="34"/>
  <c r="E198" i="34"/>
  <c r="E194" i="34"/>
  <c r="E197" i="34"/>
  <c r="E200" i="34"/>
  <c r="E196" i="34"/>
  <c r="E208" i="34"/>
  <c r="E204" i="34"/>
  <c r="E207" i="34"/>
  <c r="E203" i="34"/>
  <c r="E206" i="34"/>
  <c r="E209" i="34"/>
  <c r="E205" i="34"/>
  <c r="D208" i="34"/>
  <c r="D204" i="34"/>
  <c r="D207" i="34"/>
  <c r="D203" i="34"/>
  <c r="D206" i="34"/>
  <c r="D209" i="34"/>
  <c r="D205" i="34"/>
  <c r="D199" i="34"/>
  <c r="D195" i="34"/>
  <c r="D198" i="34"/>
  <c r="D194" i="34"/>
  <c r="D197" i="34"/>
  <c r="D200" i="34"/>
  <c r="D196" i="34"/>
  <c r="D118" i="34"/>
  <c r="D115" i="34"/>
  <c r="D116" i="34"/>
  <c r="D113" i="34"/>
  <c r="D114" i="34"/>
  <c r="D218" i="34"/>
  <c r="D214" i="34"/>
  <c r="D217" i="34"/>
  <c r="D213" i="34"/>
  <c r="D216" i="34"/>
  <c r="D212" i="34"/>
  <c r="D215" i="34"/>
  <c r="E88" i="34"/>
  <c r="E92" i="34"/>
  <c r="E89" i="34"/>
  <c r="E93" i="34"/>
  <c r="E91" i="34"/>
  <c r="E90" i="34"/>
  <c r="E94" i="34"/>
  <c r="D127" i="34"/>
  <c r="D123" i="34"/>
  <c r="D126" i="34"/>
  <c r="D129" i="34"/>
  <c r="D125" i="34"/>
  <c r="D128" i="34"/>
  <c r="D124" i="34"/>
  <c r="E117" i="34"/>
  <c r="E113" i="34"/>
  <c r="E118" i="34"/>
  <c r="E114" i="34"/>
  <c r="E116" i="34"/>
  <c r="E112" i="34"/>
  <c r="E115" i="34"/>
  <c r="D88" i="34"/>
  <c r="D92" i="34"/>
  <c r="D89" i="34"/>
  <c r="D93" i="34"/>
  <c r="D90" i="34"/>
  <c r="D94" i="34"/>
  <c r="D91" i="34"/>
  <c r="E127" i="34"/>
  <c r="E123" i="34"/>
  <c r="E126" i="34"/>
  <c r="E129" i="34"/>
  <c r="E125" i="34"/>
  <c r="E128" i="34"/>
  <c r="E124" i="34"/>
  <c r="D136" i="34"/>
  <c r="D132" i="34"/>
  <c r="D135" i="34"/>
  <c r="D138" i="34"/>
  <c r="D134" i="34"/>
  <c r="D137" i="34"/>
  <c r="D133" i="34"/>
  <c r="E136" i="34"/>
  <c r="E132" i="34"/>
  <c r="E135" i="34"/>
  <c r="E138" i="34"/>
  <c r="E134" i="34"/>
  <c r="E137" i="34"/>
  <c r="E133" i="34"/>
  <c r="D741" i="34"/>
  <c r="D737" i="34"/>
  <c r="D733" i="34"/>
  <c r="D729" i="34"/>
  <c r="D740" i="34"/>
  <c r="D736" i="34"/>
  <c r="D732" i="34"/>
  <c r="D728" i="34"/>
  <c r="D739" i="34"/>
  <c r="D735" i="34"/>
  <c r="D731" i="34"/>
  <c r="D738" i="34"/>
  <c r="D734" i="34"/>
  <c r="D730" i="34"/>
  <c r="D627" i="35"/>
  <c r="D623" i="35"/>
  <c r="D619" i="35"/>
  <c r="D626" i="35"/>
  <c r="D622" i="35"/>
  <c r="D618" i="35"/>
  <c r="D629" i="35"/>
  <c r="D625" i="35"/>
  <c r="D621" i="35"/>
  <c r="D617" i="35"/>
  <c r="D628" i="35"/>
  <c r="D624" i="35"/>
  <c r="D620" i="35"/>
  <c r="D616" i="35"/>
  <c r="C635" i="34"/>
  <c r="C631" i="34"/>
  <c r="C627" i="34"/>
  <c r="C623" i="34"/>
  <c r="C625" i="34"/>
  <c r="C632" i="34"/>
  <c r="C628" i="34"/>
  <c r="C624" i="34"/>
  <c r="C634" i="34"/>
  <c r="C630" i="34"/>
  <c r="C626" i="34"/>
  <c r="C622" i="34"/>
  <c r="C633" i="34"/>
  <c r="C629" i="34"/>
  <c r="C655" i="34"/>
  <c r="C651" i="34"/>
  <c r="C647" i="34"/>
  <c r="C652" i="34"/>
  <c r="C658" i="34"/>
  <c r="C654" i="34"/>
  <c r="C650" i="34"/>
  <c r="C646" i="34"/>
  <c r="C657" i="34"/>
  <c r="C653" i="34"/>
  <c r="C649" i="34"/>
  <c r="C645" i="34"/>
  <c r="C656" i="34"/>
  <c r="C648" i="34"/>
  <c r="C611" i="34"/>
  <c r="C607" i="34"/>
  <c r="C603" i="34"/>
  <c r="C599" i="34"/>
  <c r="C609" i="34"/>
  <c r="C605" i="34"/>
  <c r="C601" i="34"/>
  <c r="C612" i="34"/>
  <c r="C608" i="34"/>
  <c r="C604" i="34"/>
  <c r="C600" i="34"/>
  <c r="C610" i="34"/>
  <c r="C606" i="34"/>
  <c r="C602" i="34"/>
  <c r="C679" i="34"/>
  <c r="C675" i="34"/>
  <c r="C671" i="34"/>
  <c r="C678" i="34"/>
  <c r="C674" i="34"/>
  <c r="C670" i="34"/>
  <c r="C681" i="34"/>
  <c r="C677" i="34"/>
  <c r="C673" i="34"/>
  <c r="C669" i="34"/>
  <c r="C680" i="34"/>
  <c r="C676" i="34"/>
  <c r="C672" i="34"/>
  <c r="C668" i="34"/>
  <c r="C558" i="34"/>
  <c r="C554" i="34"/>
  <c r="C550" i="34"/>
  <c r="C546" i="34"/>
  <c r="C557" i="34"/>
  <c r="C553" i="34"/>
  <c r="C549" i="34"/>
  <c r="C545" i="34"/>
  <c r="C556" i="34"/>
  <c r="C552" i="34"/>
  <c r="C548" i="34"/>
  <c r="C555" i="34"/>
  <c r="C551" i="34"/>
  <c r="C547" i="34"/>
  <c r="C525" i="34"/>
  <c r="C521" i="34"/>
  <c r="C517" i="34"/>
  <c r="C513" i="34"/>
  <c r="C524" i="34"/>
  <c r="C520" i="34"/>
  <c r="C516" i="34"/>
  <c r="C523" i="34"/>
  <c r="C519" i="34"/>
  <c r="C515" i="34"/>
  <c r="C526" i="34"/>
  <c r="C522" i="34"/>
  <c r="C518" i="34"/>
  <c r="C514" i="34"/>
  <c r="C459" i="34"/>
  <c r="C463" i="34"/>
  <c r="C467" i="34"/>
  <c r="C456" i="34"/>
  <c r="C460" i="34"/>
  <c r="C464" i="34"/>
  <c r="C468" i="34"/>
  <c r="C457" i="34"/>
  <c r="C461" i="34"/>
  <c r="C465" i="34"/>
  <c r="C469" i="34"/>
  <c r="C458" i="34"/>
  <c r="C462" i="34"/>
  <c r="C466" i="34"/>
  <c r="D172" i="34"/>
  <c r="D168" i="34"/>
  <c r="D164" i="34"/>
  <c r="D174" i="34"/>
  <c r="D170" i="34"/>
  <c r="D166" i="34"/>
  <c r="D162" i="34"/>
  <c r="D175" i="34"/>
  <c r="D171" i="34"/>
  <c r="D167" i="34"/>
  <c r="D163" i="34"/>
  <c r="D173" i="34"/>
  <c r="D169" i="34"/>
  <c r="D165" i="34"/>
  <c r="D76" i="34"/>
  <c r="D80" i="34"/>
  <c r="D84" i="34"/>
  <c r="D78" i="34"/>
  <c r="D86" i="34"/>
  <c r="D73" i="34"/>
  <c r="D77" i="34"/>
  <c r="D81" i="34"/>
  <c r="D85" i="34"/>
  <c r="D74" i="34"/>
  <c r="D82" i="34"/>
  <c r="D79" i="34"/>
  <c r="D83" i="34"/>
  <c r="D75" i="34"/>
  <c r="E75" i="34"/>
  <c r="E79" i="34"/>
  <c r="E83" i="34"/>
  <c r="E73" i="34"/>
  <c r="E77" i="34"/>
  <c r="E81" i="34"/>
  <c r="E85" i="34"/>
  <c r="E76" i="34"/>
  <c r="E80" i="34"/>
  <c r="E84" i="34"/>
  <c r="E78" i="34"/>
  <c r="E82" i="34"/>
  <c r="E86" i="34"/>
  <c r="E74" i="34"/>
  <c r="D108" i="34"/>
  <c r="D104" i="34"/>
  <c r="D100" i="34"/>
  <c r="D110" i="34"/>
  <c r="D106" i="34"/>
  <c r="D102" i="34"/>
  <c r="D107" i="34"/>
  <c r="D103" i="34"/>
  <c r="D99" i="34"/>
  <c r="D98" i="34"/>
  <c r="D109" i="34"/>
  <c r="D105" i="34"/>
  <c r="D101" i="34"/>
  <c r="D97" i="34"/>
  <c r="E109" i="34"/>
  <c r="E105" i="34"/>
  <c r="E101" i="34"/>
  <c r="E97" i="34"/>
  <c r="E107" i="34"/>
  <c r="E103" i="34"/>
  <c r="E99" i="34"/>
  <c r="E110" i="34"/>
  <c r="E98" i="34"/>
  <c r="E108" i="34"/>
  <c r="E104" i="34"/>
  <c r="E100" i="34"/>
  <c r="E106" i="34"/>
  <c r="E102" i="34"/>
  <c r="D189" i="34"/>
  <c r="D185" i="34"/>
  <c r="D181" i="34"/>
  <c r="D191" i="34"/>
  <c r="D187" i="34"/>
  <c r="D183" i="34"/>
  <c r="D179" i="34"/>
  <c r="D188" i="34"/>
  <c r="D184" i="34"/>
  <c r="D180" i="34"/>
  <c r="D190" i="34"/>
  <c r="D186" i="34"/>
  <c r="D182" i="34"/>
  <c r="D178" i="34"/>
  <c r="J4430" i="41" l="1"/>
  <c r="I4430" i="41"/>
  <c r="G4430" i="41"/>
  <c r="K4430" i="41"/>
  <c r="H4430" i="41"/>
  <c r="D4431" i="41"/>
  <c r="E4431" i="41" s="1"/>
  <c r="F4431" i="41" s="1"/>
  <c r="K4431" i="41" l="1"/>
  <c r="I4431" i="41"/>
  <c r="H4431" i="41"/>
  <c r="G4431" i="41"/>
  <c r="J4431" i="41"/>
  <c r="D4432" i="41"/>
  <c r="E4432" i="41" s="1"/>
  <c r="F4432" i="41" s="1"/>
  <c r="K4432" i="41" l="1"/>
  <c r="J4432" i="41"/>
  <c r="I4432" i="41"/>
  <c r="H4432" i="41"/>
  <c r="G4432" i="41"/>
  <c r="D4433" i="41"/>
  <c r="E4433" i="41" s="1"/>
  <c r="F4433" i="41" s="1"/>
  <c r="J18" i="10"/>
  <c r="H18" i="10"/>
  <c r="F18" i="10"/>
  <c r="H4433" i="41" l="1"/>
  <c r="G4433" i="41"/>
  <c r="J4433" i="41"/>
  <c r="I4433" i="41"/>
  <c r="K4433" i="41"/>
  <c r="D4434" i="41"/>
  <c r="E4434" i="41" s="1"/>
  <c r="F4434" i="41" s="1"/>
  <c r="F21" i="10"/>
  <c r="AJ65" i="10"/>
  <c r="AJ66" i="10"/>
  <c r="AJ63" i="10"/>
  <c r="AJ96" i="10" s="1"/>
  <c r="AJ64" i="10"/>
  <c r="AJ97" i="10" s="1"/>
  <c r="H21" i="10"/>
  <c r="AK66" i="10"/>
  <c r="AK63" i="10"/>
  <c r="AK96" i="10" s="1"/>
  <c r="AK64" i="10"/>
  <c r="AK97" i="10" s="1"/>
  <c r="AK65" i="10"/>
  <c r="J21" i="10"/>
  <c r="AL63" i="10"/>
  <c r="AL96" i="10" s="1"/>
  <c r="AL64" i="10"/>
  <c r="AL97" i="10" s="1"/>
  <c r="AL65" i="10"/>
  <c r="AL66" i="10"/>
  <c r="J4434" i="41" l="1"/>
  <c r="I4434" i="41"/>
  <c r="G4434" i="41"/>
  <c r="H4434" i="41"/>
  <c r="K4434" i="41"/>
  <c r="D4435" i="41"/>
  <c r="E4435" i="41" s="1"/>
  <c r="F4435" i="41" s="1"/>
  <c r="AJ71" i="10" a="1"/>
  <c r="K4435" i="41" l="1"/>
  <c r="I4435" i="41"/>
  <c r="H4435" i="41"/>
  <c r="J4435" i="41"/>
  <c r="G4435" i="41"/>
  <c r="D4436" i="41"/>
  <c r="E4436" i="41" s="1"/>
  <c r="F4436" i="41" s="1"/>
  <c r="AJ71" i="10"/>
  <c r="AN71" i="10"/>
  <c r="AM72" i="10"/>
  <c r="AM99" i="10" s="1"/>
  <c r="AM71" i="10"/>
  <c r="AL72" i="10"/>
  <c r="AL99" i="10" s="1"/>
  <c r="AK71" i="10"/>
  <c r="AJ72" i="10"/>
  <c r="AJ99" i="10" s="1"/>
  <c r="AN72" i="10"/>
  <c r="AN99" i="10" s="1"/>
  <c r="AL71" i="10"/>
  <c r="AK72" i="10"/>
  <c r="AK99" i="10" s="1"/>
  <c r="K4436" i="41" l="1"/>
  <c r="J4436" i="41"/>
  <c r="H4436" i="41"/>
  <c r="G4436" i="41"/>
  <c r="I4436" i="41"/>
  <c r="D4437" i="41"/>
  <c r="E4437" i="41" s="1"/>
  <c r="F4437" i="41" s="1"/>
  <c r="AM98" i="10"/>
  <c r="AM100" i="10" s="1"/>
  <c r="AK98" i="10"/>
  <c r="AK100" i="10" s="1"/>
  <c r="AN98" i="10"/>
  <c r="AN100" i="10" s="1"/>
  <c r="AL98" i="10"/>
  <c r="AL100" i="10" s="1"/>
  <c r="AJ98" i="10"/>
  <c r="AJ100" i="10" s="1"/>
  <c r="D4859" i="41"/>
  <c r="D4860" i="41"/>
  <c r="D4861" i="41"/>
  <c r="D4862" i="41"/>
  <c r="D4863" i="41"/>
  <c r="D4864" i="41"/>
  <c r="D4865" i="41"/>
  <c r="D4866" i="41"/>
  <c r="D4867" i="41"/>
  <c r="D4868" i="41"/>
  <c r="D4869" i="41"/>
  <c r="D4870" i="41"/>
  <c r="D4871" i="41"/>
  <c r="D4872" i="41"/>
  <c r="D4873" i="41"/>
  <c r="D4874" i="41"/>
  <c r="D4875" i="41"/>
  <c r="D4876" i="41"/>
  <c r="D4877" i="41"/>
  <c r="D4878" i="41"/>
  <c r="D4879" i="41"/>
  <c r="D4880" i="41"/>
  <c r="D4881" i="41"/>
  <c r="D4882" i="41"/>
  <c r="D4883" i="41"/>
  <c r="D4884" i="41"/>
  <c r="D4885" i="41"/>
  <c r="D4886" i="41"/>
  <c r="D4887" i="41"/>
  <c r="D4888" i="41"/>
  <c r="D4889" i="41"/>
  <c r="D4890" i="41"/>
  <c r="D4891" i="41"/>
  <c r="D4892" i="41"/>
  <c r="D4893" i="41"/>
  <c r="D4894" i="41"/>
  <c r="D4895" i="41"/>
  <c r="D4896" i="41"/>
  <c r="D4897" i="41"/>
  <c r="D4898" i="41"/>
  <c r="D4899" i="41"/>
  <c r="D4900" i="41"/>
  <c r="D4901" i="41"/>
  <c r="D4902" i="41"/>
  <c r="D4903" i="41"/>
  <c r="D4904" i="41"/>
  <c r="D4905" i="41"/>
  <c r="D4906" i="41"/>
  <c r="D4907" i="41"/>
  <c r="D4908" i="41"/>
  <c r="D4909" i="41"/>
  <c r="D4910" i="41"/>
  <c r="D4911" i="41"/>
  <c r="D4912" i="41"/>
  <c r="D4913" i="41"/>
  <c r="D4914" i="41"/>
  <c r="D4915" i="41"/>
  <c r="D4916" i="41"/>
  <c r="D4917" i="41"/>
  <c r="D4918" i="41"/>
  <c r="D4919" i="41"/>
  <c r="D4920" i="41"/>
  <c r="D4921" i="41"/>
  <c r="D4922" i="41"/>
  <c r="D4923" i="41"/>
  <c r="D4924" i="41"/>
  <c r="D4925" i="41"/>
  <c r="D4926" i="41"/>
  <c r="D4927" i="41"/>
  <c r="D4928" i="41"/>
  <c r="D4929" i="41"/>
  <c r="D4930" i="41"/>
  <c r="D4931" i="41"/>
  <c r="D4932" i="41"/>
  <c r="D4933" i="41"/>
  <c r="D4934" i="41"/>
  <c r="D4935" i="41"/>
  <c r="D4936" i="41"/>
  <c r="D4937" i="41"/>
  <c r="D4938" i="41"/>
  <c r="D4939" i="41"/>
  <c r="D4940" i="41"/>
  <c r="D4941" i="41"/>
  <c r="D4942" i="41"/>
  <c r="D4943" i="41"/>
  <c r="D4944" i="41"/>
  <c r="D4945" i="41"/>
  <c r="D4946" i="41"/>
  <c r="D4947" i="41"/>
  <c r="D4948" i="41"/>
  <c r="D4949" i="41"/>
  <c r="D4950" i="41"/>
  <c r="D4951" i="41"/>
  <c r="D4952" i="41"/>
  <c r="D4953" i="41"/>
  <c r="D4954" i="41"/>
  <c r="D4955" i="41"/>
  <c r="D4956" i="41"/>
  <c r="D4957" i="41"/>
  <c r="D4958" i="41"/>
  <c r="D4959" i="41"/>
  <c r="D4960" i="41"/>
  <c r="D4961" i="41"/>
  <c r="D4962" i="41"/>
  <c r="D4963" i="41"/>
  <c r="D4964" i="41"/>
  <c r="D4965" i="41"/>
  <c r="D4966" i="41"/>
  <c r="D4967" i="41"/>
  <c r="D4968" i="41"/>
  <c r="D4969" i="41"/>
  <c r="D4970" i="41"/>
  <c r="D4971" i="41"/>
  <c r="D4972" i="41"/>
  <c r="D4973" i="41"/>
  <c r="D4974" i="41"/>
  <c r="D4975" i="41"/>
  <c r="D4976" i="41"/>
  <c r="D4977" i="41"/>
  <c r="D4978" i="41"/>
  <c r="D4979" i="41"/>
  <c r="D4980" i="41"/>
  <c r="D4981" i="41"/>
  <c r="D4982" i="41"/>
  <c r="D4983" i="41"/>
  <c r="D4984" i="41"/>
  <c r="D4985" i="41"/>
  <c r="D4986" i="41"/>
  <c r="D4987" i="41"/>
  <c r="D4988" i="41"/>
  <c r="D4989" i="41"/>
  <c r="D4990" i="41"/>
  <c r="D4991" i="41"/>
  <c r="D4992" i="41"/>
  <c r="D4993" i="41"/>
  <c r="D4994" i="41"/>
  <c r="D4995" i="41"/>
  <c r="D4996" i="41"/>
  <c r="D4997" i="41"/>
  <c r="D4998" i="41"/>
  <c r="D4999" i="41"/>
  <c r="D5000" i="41"/>
  <c r="D5001" i="41"/>
  <c r="D5002" i="41"/>
  <c r="D5003" i="41"/>
  <c r="D5004" i="41"/>
  <c r="D5005" i="41"/>
  <c r="D5006" i="41"/>
  <c r="D5007" i="41"/>
  <c r="D5008" i="41"/>
  <c r="D5009" i="41"/>
  <c r="D5010" i="41"/>
  <c r="D5011" i="41"/>
  <c r="D5012" i="41"/>
  <c r="D5013" i="41"/>
  <c r="D5014" i="41"/>
  <c r="D5015" i="41"/>
  <c r="D5016" i="41"/>
  <c r="D5017" i="41"/>
  <c r="D5018" i="41"/>
  <c r="D5019" i="41"/>
  <c r="D5020" i="41"/>
  <c r="D5021" i="41"/>
  <c r="D5022" i="41"/>
  <c r="D5023" i="41"/>
  <c r="D5024" i="41"/>
  <c r="D5025" i="41"/>
  <c r="D5026" i="41"/>
  <c r="D5027" i="41"/>
  <c r="D5028" i="41"/>
  <c r="D5029" i="41"/>
  <c r="D5030" i="41"/>
  <c r="D5031" i="41"/>
  <c r="D5032" i="41"/>
  <c r="D5033" i="41"/>
  <c r="D5034" i="41"/>
  <c r="D5035" i="41"/>
  <c r="D5036" i="41"/>
  <c r="D5037" i="41"/>
  <c r="D5038" i="41"/>
  <c r="D5039" i="41"/>
  <c r="D5040" i="41"/>
  <c r="D5041" i="41"/>
  <c r="D5042" i="41"/>
  <c r="D5043" i="41"/>
  <c r="D5044" i="41"/>
  <c r="D5045" i="41"/>
  <c r="D5046" i="41"/>
  <c r="D5047" i="41"/>
  <c r="D5048" i="41"/>
  <c r="D5049" i="41"/>
  <c r="D5050" i="41"/>
  <c r="D5051" i="41"/>
  <c r="D5052" i="41"/>
  <c r="D5053" i="41"/>
  <c r="D5054" i="41"/>
  <c r="D5055" i="41"/>
  <c r="D5056" i="41"/>
  <c r="D5057" i="41"/>
  <c r="D5058" i="41"/>
  <c r="D5059" i="41"/>
  <c r="D5060" i="41"/>
  <c r="D5061" i="41"/>
  <c r="D5062" i="41"/>
  <c r="D5063" i="41"/>
  <c r="D5064" i="41"/>
  <c r="D5065" i="41"/>
  <c r="D5066" i="41"/>
  <c r="D5067" i="41"/>
  <c r="D5068" i="41"/>
  <c r="D5069" i="41"/>
  <c r="D5070" i="41"/>
  <c r="D5071" i="41"/>
  <c r="D5072" i="41"/>
  <c r="D5073" i="41"/>
  <c r="D5074" i="41"/>
  <c r="D5075" i="41"/>
  <c r="D5076" i="41"/>
  <c r="D5077" i="41"/>
  <c r="D5078" i="41"/>
  <c r="D5079" i="41"/>
  <c r="D5080" i="41"/>
  <c r="D5081" i="41"/>
  <c r="D5082" i="41"/>
  <c r="D5083" i="41"/>
  <c r="D5084" i="41"/>
  <c r="D5085" i="41"/>
  <c r="D5086" i="41"/>
  <c r="D5087" i="41"/>
  <c r="D5088" i="41"/>
  <c r="D5089" i="41"/>
  <c r="D5090" i="41"/>
  <c r="D5091" i="41"/>
  <c r="D5092" i="41"/>
  <c r="D5093" i="41"/>
  <c r="D5094" i="41"/>
  <c r="D5095" i="41"/>
  <c r="D5096" i="41"/>
  <c r="D5097" i="41"/>
  <c r="D5098" i="41"/>
  <c r="D5099" i="41"/>
  <c r="D5100" i="41"/>
  <c r="D5101" i="41"/>
  <c r="D5102" i="41"/>
  <c r="D5103" i="41"/>
  <c r="D5104" i="41"/>
  <c r="D5105" i="41"/>
  <c r="D5106" i="41"/>
  <c r="D5107" i="41"/>
  <c r="D5108" i="41"/>
  <c r="D5109" i="41"/>
  <c r="D5110" i="41"/>
  <c r="D5111" i="41"/>
  <c r="D5112" i="41"/>
  <c r="D5113" i="41"/>
  <c r="D5114" i="41"/>
  <c r="D5115" i="41"/>
  <c r="D5116" i="41"/>
  <c r="D5117" i="41"/>
  <c r="D5118" i="41"/>
  <c r="D5119" i="41"/>
  <c r="D5120" i="41"/>
  <c r="D5121" i="41"/>
  <c r="D5122" i="41"/>
  <c r="D5123" i="41"/>
  <c r="D5124" i="41"/>
  <c r="D5125" i="41"/>
  <c r="D5126" i="41"/>
  <c r="D5127" i="41"/>
  <c r="D5128" i="41"/>
  <c r="D5129" i="41"/>
  <c r="D5130" i="41"/>
  <c r="D5131" i="41"/>
  <c r="D5132" i="41"/>
  <c r="D5133" i="41"/>
  <c r="D5134" i="41"/>
  <c r="D5135" i="41"/>
  <c r="D5136" i="41"/>
  <c r="D5137" i="41"/>
  <c r="D5138" i="41"/>
  <c r="D5139" i="41"/>
  <c r="D5140" i="41"/>
  <c r="D5141" i="41"/>
  <c r="D5142" i="41"/>
  <c r="D5143" i="41"/>
  <c r="D5144" i="41"/>
  <c r="D5145" i="41"/>
  <c r="D5146" i="41"/>
  <c r="D5147" i="41"/>
  <c r="D5148" i="41"/>
  <c r="D5149" i="41"/>
  <c r="D5150" i="41"/>
  <c r="D5151" i="41"/>
  <c r="D5152" i="41"/>
  <c r="D5153" i="41"/>
  <c r="D5154" i="41"/>
  <c r="D5155" i="41"/>
  <c r="D5156" i="41"/>
  <c r="D5157" i="41"/>
  <c r="D5158" i="41"/>
  <c r="D5159" i="41"/>
  <c r="D5160" i="41"/>
  <c r="D5161" i="41"/>
  <c r="D5162" i="41"/>
  <c r="D5163" i="41"/>
  <c r="D5164" i="41"/>
  <c r="D5165" i="41"/>
  <c r="D5166" i="41"/>
  <c r="D5167" i="41"/>
  <c r="D5168" i="41"/>
  <c r="D5169" i="41"/>
  <c r="D5170" i="41"/>
  <c r="D5171" i="41"/>
  <c r="D5172" i="41"/>
  <c r="D5173" i="41"/>
  <c r="D5174" i="41"/>
  <c r="D5175" i="41"/>
  <c r="D5176" i="41"/>
  <c r="D5177" i="41"/>
  <c r="D5178" i="41"/>
  <c r="D5179" i="41"/>
  <c r="D5180" i="41"/>
  <c r="D5181" i="41"/>
  <c r="D5182" i="41"/>
  <c r="D5183" i="41"/>
  <c r="D5184" i="41"/>
  <c r="D5185" i="41"/>
  <c r="D5186" i="41"/>
  <c r="D5187" i="41"/>
  <c r="D5188" i="41"/>
  <c r="D5189" i="41"/>
  <c r="D5190" i="41"/>
  <c r="D5191" i="41"/>
  <c r="D5192" i="41"/>
  <c r="D5193" i="41"/>
  <c r="D5194" i="41"/>
  <c r="D5195" i="41"/>
  <c r="D5196" i="41"/>
  <c r="D5197" i="41"/>
  <c r="D5198" i="41"/>
  <c r="D5199" i="41"/>
  <c r="D5200" i="41"/>
  <c r="D5201" i="41"/>
  <c r="D5202" i="41"/>
  <c r="D5203" i="41"/>
  <c r="D5204" i="41"/>
  <c r="D5205" i="41"/>
  <c r="D5206" i="41"/>
  <c r="D5207" i="41"/>
  <c r="D5208" i="41"/>
  <c r="D5209" i="41"/>
  <c r="D5210" i="41"/>
  <c r="D5211" i="41"/>
  <c r="D5212" i="41"/>
  <c r="D5213" i="41"/>
  <c r="D5214" i="41"/>
  <c r="D5215" i="41"/>
  <c r="D5216" i="41"/>
  <c r="D5217" i="41"/>
  <c r="D5218" i="41"/>
  <c r="D5219" i="41"/>
  <c r="D5220" i="41"/>
  <c r="D5221" i="41"/>
  <c r="D5222" i="41"/>
  <c r="D5223" i="41"/>
  <c r="D5224" i="41"/>
  <c r="D5225" i="41"/>
  <c r="D5226" i="41"/>
  <c r="D5227" i="41"/>
  <c r="D5228" i="41"/>
  <c r="D5229" i="41"/>
  <c r="D5230" i="41"/>
  <c r="D5231" i="41"/>
  <c r="D5232" i="41"/>
  <c r="D5233" i="41"/>
  <c r="D5234" i="41"/>
  <c r="D5235" i="41"/>
  <c r="D5236" i="41"/>
  <c r="D5237" i="41"/>
  <c r="D5238" i="41"/>
  <c r="D5239" i="41"/>
  <c r="D5240" i="41"/>
  <c r="D5241" i="41"/>
  <c r="D5242" i="41"/>
  <c r="D5243" i="41"/>
  <c r="D5244" i="41"/>
  <c r="D5245" i="41"/>
  <c r="D5246" i="41"/>
  <c r="D5247" i="41"/>
  <c r="D5248" i="41"/>
  <c r="D5249" i="41"/>
  <c r="D5250" i="41"/>
  <c r="D5251" i="41"/>
  <c r="D5252" i="41"/>
  <c r="D5253" i="41"/>
  <c r="D5254" i="41"/>
  <c r="D5255" i="41"/>
  <c r="D5256" i="41"/>
  <c r="D5257" i="41"/>
  <c r="D5258" i="41"/>
  <c r="D5259" i="41"/>
  <c r="D5260" i="41"/>
  <c r="D5261" i="41"/>
  <c r="D5262" i="41"/>
  <c r="D5263" i="41"/>
  <c r="D5264" i="41"/>
  <c r="D5265" i="41"/>
  <c r="D5266" i="41"/>
  <c r="D5267" i="41"/>
  <c r="D5268" i="41"/>
  <c r="D5269" i="41"/>
  <c r="D5270" i="41"/>
  <c r="D5271" i="41"/>
  <c r="D5272" i="41"/>
  <c r="D5273" i="41"/>
  <c r="D5274" i="41"/>
  <c r="D5275" i="41"/>
  <c r="D5276" i="41"/>
  <c r="D5277" i="41"/>
  <c r="D5278" i="41"/>
  <c r="D5279" i="41"/>
  <c r="D5280" i="41"/>
  <c r="D5281" i="41"/>
  <c r="D5282" i="41"/>
  <c r="D5283" i="41"/>
  <c r="D5284" i="41"/>
  <c r="D5285" i="41"/>
  <c r="D5286" i="41"/>
  <c r="D5287" i="41"/>
  <c r="D5288" i="41"/>
  <c r="D5289" i="41"/>
  <c r="D5290" i="41"/>
  <c r="D5291" i="41"/>
  <c r="D5292" i="41"/>
  <c r="D5293" i="41"/>
  <c r="D5294" i="41"/>
  <c r="D5295" i="41"/>
  <c r="D5296" i="41"/>
  <c r="D5297" i="41"/>
  <c r="D5298" i="41"/>
  <c r="D5299" i="41"/>
  <c r="D5300" i="41"/>
  <c r="D5301" i="41"/>
  <c r="D5302" i="41"/>
  <c r="D5303" i="41"/>
  <c r="D5304" i="41"/>
  <c r="D5305" i="41"/>
  <c r="D5306" i="41"/>
  <c r="D5307" i="41"/>
  <c r="D5308" i="41"/>
  <c r="D5309" i="41"/>
  <c r="D5310" i="41"/>
  <c r="D5311" i="41"/>
  <c r="D5312" i="41"/>
  <c r="D5313" i="41"/>
  <c r="D5314" i="41"/>
  <c r="D5315" i="41"/>
  <c r="D5316" i="41"/>
  <c r="D5317" i="41"/>
  <c r="D5318" i="41"/>
  <c r="D5319" i="41"/>
  <c r="D5320" i="41"/>
  <c r="D5321" i="41"/>
  <c r="D5322" i="41"/>
  <c r="D5323" i="41"/>
  <c r="D5324" i="41"/>
  <c r="D5325" i="41"/>
  <c r="D5326" i="41"/>
  <c r="D5327" i="41"/>
  <c r="D5328" i="41"/>
  <c r="D5329" i="41"/>
  <c r="D5330" i="41"/>
  <c r="D5331" i="41"/>
  <c r="D5332" i="41"/>
  <c r="D5333" i="41"/>
  <c r="D5334" i="41"/>
  <c r="D5335" i="41"/>
  <c r="D5336" i="41"/>
  <c r="D5337" i="41"/>
  <c r="D5338" i="41"/>
  <c r="D5339" i="41"/>
  <c r="D5340" i="41"/>
  <c r="D5341" i="41"/>
  <c r="D5342" i="41"/>
  <c r="D5343" i="41"/>
  <c r="D5344" i="41"/>
  <c r="D5345" i="41"/>
  <c r="D5346" i="41"/>
  <c r="D5347" i="41"/>
  <c r="D5348" i="41"/>
  <c r="D5349" i="41"/>
  <c r="D5350" i="41"/>
  <c r="D5351" i="41"/>
  <c r="D5352" i="41"/>
  <c r="D5353" i="41"/>
  <c r="D5354" i="41"/>
  <c r="D5355" i="41"/>
  <c r="D5356" i="41"/>
  <c r="D5357" i="41"/>
  <c r="D5358" i="41"/>
  <c r="D5359" i="41"/>
  <c r="D5360" i="41"/>
  <c r="D5361" i="41"/>
  <c r="D5362" i="41"/>
  <c r="D5363" i="41"/>
  <c r="D5364" i="41"/>
  <c r="D5365" i="41"/>
  <c r="D5366" i="41"/>
  <c r="D5367" i="41"/>
  <c r="D5368" i="41"/>
  <c r="D5369" i="41"/>
  <c r="D5370" i="41"/>
  <c r="D5371" i="41"/>
  <c r="D5372" i="41"/>
  <c r="D5373" i="41"/>
  <c r="D5374" i="41"/>
  <c r="D5375" i="41"/>
  <c r="D5376" i="41"/>
  <c r="D5377" i="41"/>
  <c r="D5378" i="41"/>
  <c r="D5379" i="41"/>
  <c r="D5380" i="41"/>
  <c r="D5381" i="41"/>
  <c r="D5382" i="41"/>
  <c r="D5383" i="41"/>
  <c r="D5384" i="41"/>
  <c r="D5385" i="41"/>
  <c r="D5386" i="41"/>
  <c r="D5387" i="41"/>
  <c r="D5388" i="41"/>
  <c r="D5389" i="41"/>
  <c r="D5390" i="41"/>
  <c r="D5391" i="41"/>
  <c r="D5392" i="41"/>
  <c r="D5393" i="41"/>
  <c r="D5394" i="41"/>
  <c r="D5395" i="41"/>
  <c r="D5396" i="41"/>
  <c r="D5397" i="41"/>
  <c r="D5398" i="41"/>
  <c r="D5399" i="41"/>
  <c r="D5400" i="41"/>
  <c r="D5401" i="41"/>
  <c r="D5402" i="41"/>
  <c r="D5403" i="41"/>
  <c r="D5404" i="41"/>
  <c r="D5405" i="41"/>
  <c r="D5406" i="41"/>
  <c r="D5407" i="41"/>
  <c r="D5408" i="41"/>
  <c r="D5409" i="41"/>
  <c r="D5410" i="41"/>
  <c r="D5411" i="41"/>
  <c r="D5412" i="41"/>
  <c r="D5413" i="41"/>
  <c r="D5414" i="41"/>
  <c r="D5415" i="41"/>
  <c r="D5416" i="41"/>
  <c r="D5417" i="41"/>
  <c r="D5418" i="41"/>
  <c r="D5419" i="41"/>
  <c r="D5420" i="41"/>
  <c r="D5421" i="41"/>
  <c r="D5422" i="41"/>
  <c r="D5423" i="41"/>
  <c r="D5424" i="41"/>
  <c r="D5425" i="41"/>
  <c r="D5426" i="41"/>
  <c r="D5427" i="41"/>
  <c r="D5428" i="41"/>
  <c r="D5429" i="41"/>
  <c r="D5430" i="41"/>
  <c r="D5431" i="41"/>
  <c r="D5432" i="41"/>
  <c r="D5433" i="41"/>
  <c r="D5434" i="41"/>
  <c r="D5435" i="41"/>
  <c r="D5436" i="41"/>
  <c r="D5437" i="41"/>
  <c r="D5438" i="41"/>
  <c r="D5439" i="41"/>
  <c r="D5440" i="41"/>
  <c r="D5441" i="41"/>
  <c r="D5442" i="41"/>
  <c r="D5443" i="41"/>
  <c r="D5444" i="41"/>
  <c r="D5445" i="41"/>
  <c r="D5446" i="41"/>
  <c r="D5447" i="41"/>
  <c r="D5448" i="41"/>
  <c r="D5449" i="41"/>
  <c r="D5450" i="41"/>
  <c r="D5451" i="41"/>
  <c r="D5452" i="41"/>
  <c r="D5453" i="41"/>
  <c r="D5454" i="41"/>
  <c r="D5455" i="41"/>
  <c r="D5456" i="41"/>
  <c r="D5457" i="41"/>
  <c r="D5458" i="41"/>
  <c r="D5459" i="41"/>
  <c r="D5460" i="41"/>
  <c r="D5461" i="41"/>
  <c r="D5462" i="41"/>
  <c r="D5463" i="41"/>
  <c r="D5464" i="41"/>
  <c r="D5465" i="41"/>
  <c r="D5466" i="41"/>
  <c r="D5467" i="41"/>
  <c r="D5468" i="41"/>
  <c r="D5469" i="41"/>
  <c r="D5470" i="41"/>
  <c r="D5471" i="41"/>
  <c r="D5472" i="41"/>
  <c r="D5473" i="41"/>
  <c r="D5474" i="41"/>
  <c r="D5475" i="41"/>
  <c r="D5476" i="41"/>
  <c r="D5477" i="41"/>
  <c r="D5478" i="41"/>
  <c r="D5479" i="41"/>
  <c r="D5480" i="41"/>
  <c r="D5481" i="41"/>
  <c r="D5482" i="41"/>
  <c r="D5483" i="41"/>
  <c r="D5484" i="41"/>
  <c r="D5485" i="41"/>
  <c r="D5486" i="41"/>
  <c r="D5487" i="41"/>
  <c r="D5488" i="41"/>
  <c r="D5489" i="41"/>
  <c r="D5490" i="41"/>
  <c r="D5491" i="41"/>
  <c r="D5492" i="41"/>
  <c r="D5493" i="41"/>
  <c r="D5494" i="41"/>
  <c r="D5495" i="41"/>
  <c r="D5496" i="41"/>
  <c r="D5497" i="41"/>
  <c r="D5498" i="41"/>
  <c r="D5499" i="41"/>
  <c r="D5500" i="41"/>
  <c r="D5501" i="41"/>
  <c r="D5502" i="41"/>
  <c r="D5503" i="41"/>
  <c r="D5504" i="41"/>
  <c r="D5505" i="41"/>
  <c r="D5506" i="41"/>
  <c r="D5507" i="41"/>
  <c r="D5508" i="41"/>
  <c r="D5509" i="41"/>
  <c r="D5510" i="41"/>
  <c r="D5511" i="41"/>
  <c r="D5512" i="41"/>
  <c r="D5513" i="41"/>
  <c r="D5514" i="41"/>
  <c r="D5515" i="41"/>
  <c r="D5516" i="41"/>
  <c r="D5517" i="41"/>
  <c r="D5518" i="41"/>
  <c r="D5519" i="41"/>
  <c r="D5520" i="41"/>
  <c r="D5521" i="41"/>
  <c r="D5522" i="41"/>
  <c r="D5523" i="41"/>
  <c r="D5524" i="41"/>
  <c r="D5525" i="41"/>
  <c r="D5526" i="41"/>
  <c r="D5527" i="41"/>
  <c r="D5528" i="41"/>
  <c r="D5529" i="41"/>
  <c r="D5530" i="41"/>
  <c r="D5531" i="41"/>
  <c r="D5532" i="41"/>
  <c r="D5533" i="41"/>
  <c r="D5534" i="41"/>
  <c r="D5535" i="41"/>
  <c r="D5536" i="41"/>
  <c r="D5537" i="41"/>
  <c r="D5538" i="41"/>
  <c r="D5539" i="41"/>
  <c r="D5540" i="41"/>
  <c r="D5541" i="41"/>
  <c r="D5542" i="41"/>
  <c r="D5543" i="41"/>
  <c r="D5544" i="41"/>
  <c r="D5545" i="41"/>
  <c r="D5546" i="41"/>
  <c r="D5547" i="41"/>
  <c r="D5548" i="41"/>
  <c r="D5549" i="41"/>
  <c r="D5550" i="41"/>
  <c r="D5551" i="41"/>
  <c r="D5552" i="41"/>
  <c r="D5553" i="41"/>
  <c r="D5554" i="41"/>
  <c r="D5555" i="41"/>
  <c r="D5556" i="41"/>
  <c r="D5557" i="41"/>
  <c r="D5558" i="41"/>
  <c r="D5559" i="41"/>
  <c r="D5560" i="41"/>
  <c r="D5561" i="41"/>
  <c r="D5562" i="41"/>
  <c r="D5563" i="41"/>
  <c r="D5564" i="41"/>
  <c r="D5565" i="41"/>
  <c r="D5566" i="41"/>
  <c r="D5567" i="41"/>
  <c r="D5568" i="41"/>
  <c r="D5569" i="41"/>
  <c r="D5570" i="41"/>
  <c r="D5571" i="41"/>
  <c r="D5572" i="41"/>
  <c r="D5573" i="41"/>
  <c r="D5574" i="41"/>
  <c r="D5575" i="41"/>
  <c r="D5576" i="41"/>
  <c r="D5577" i="41"/>
  <c r="D5578" i="41"/>
  <c r="D5579" i="41"/>
  <c r="D5580" i="41"/>
  <c r="D5581" i="41"/>
  <c r="D5582" i="41"/>
  <c r="D5583" i="41"/>
  <c r="D5584" i="41"/>
  <c r="D5585" i="41"/>
  <c r="D5586" i="41"/>
  <c r="D5587" i="41"/>
  <c r="D5588" i="41"/>
  <c r="D5589" i="41"/>
  <c r="D5590" i="41"/>
  <c r="D5591" i="41"/>
  <c r="D5592" i="41"/>
  <c r="D5593" i="41"/>
  <c r="D5594" i="41"/>
  <c r="D5595" i="41"/>
  <c r="D5596" i="41"/>
  <c r="D5597" i="41"/>
  <c r="D5598" i="41"/>
  <c r="D5599" i="41"/>
  <c r="D5600" i="41"/>
  <c r="D5601" i="41"/>
  <c r="D5602" i="41"/>
  <c r="D5603" i="41"/>
  <c r="D5604" i="41"/>
  <c r="D5605" i="41"/>
  <c r="D5606" i="41"/>
  <c r="D5607" i="41"/>
  <c r="D5608" i="41"/>
  <c r="D5609" i="41"/>
  <c r="D5610" i="41"/>
  <c r="D5611" i="41"/>
  <c r="D5612" i="41"/>
  <c r="D5613" i="41"/>
  <c r="D5614" i="41"/>
  <c r="D5615" i="41"/>
  <c r="D5616" i="41"/>
  <c r="D5617" i="41"/>
  <c r="D5618" i="41"/>
  <c r="D5619" i="41"/>
  <c r="D5620" i="41"/>
  <c r="D5621" i="41"/>
  <c r="D5622" i="41"/>
  <c r="D5623" i="41"/>
  <c r="D5624" i="41"/>
  <c r="D5625" i="41"/>
  <c r="D5626" i="41"/>
  <c r="D5627" i="41"/>
  <c r="D5628" i="41"/>
  <c r="D5629" i="41"/>
  <c r="D5630" i="41"/>
  <c r="D5631" i="41"/>
  <c r="D5632" i="41"/>
  <c r="D5633" i="41"/>
  <c r="D5634" i="41"/>
  <c r="D5635" i="41"/>
  <c r="D5636" i="41"/>
  <c r="D5637" i="41"/>
  <c r="D5638" i="41"/>
  <c r="D5639" i="41"/>
  <c r="D5640" i="41"/>
  <c r="D5641" i="41"/>
  <c r="D5642" i="41"/>
  <c r="D5643" i="41"/>
  <c r="D5644" i="41"/>
  <c r="D5645" i="41"/>
  <c r="D5646" i="41"/>
  <c r="D5647" i="41"/>
  <c r="D5648" i="41"/>
  <c r="D5649" i="41"/>
  <c r="D5650" i="41"/>
  <c r="D5651" i="41"/>
  <c r="D5652" i="41"/>
  <c r="D5653" i="41"/>
  <c r="D5654" i="41"/>
  <c r="D5655" i="41"/>
  <c r="D5656" i="41"/>
  <c r="D5657" i="41"/>
  <c r="D5658" i="41"/>
  <c r="D5659" i="41"/>
  <c r="D5660" i="41"/>
  <c r="D5661" i="41"/>
  <c r="D5662" i="41"/>
  <c r="D5663" i="41"/>
  <c r="D5664" i="41"/>
  <c r="D5665" i="41"/>
  <c r="D5666" i="41"/>
  <c r="D5667" i="41"/>
  <c r="D5668" i="41"/>
  <c r="D5669" i="41"/>
  <c r="D5670" i="41"/>
  <c r="D5671" i="41"/>
  <c r="D5672" i="41"/>
  <c r="D5673" i="41"/>
  <c r="D5674" i="41"/>
  <c r="D5675" i="41"/>
  <c r="D5676" i="41"/>
  <c r="D5677" i="41"/>
  <c r="D5678" i="41"/>
  <c r="D5679" i="41"/>
  <c r="D5680" i="41"/>
  <c r="D5681" i="41"/>
  <c r="D5682" i="41"/>
  <c r="D5683" i="41"/>
  <c r="D5684" i="41"/>
  <c r="D5685" i="41"/>
  <c r="D5686" i="41"/>
  <c r="D5687" i="41"/>
  <c r="D5688" i="41"/>
  <c r="D5689" i="41"/>
  <c r="D5690" i="41"/>
  <c r="D5691" i="41"/>
  <c r="D5692" i="41"/>
  <c r="D5693" i="41"/>
  <c r="D5694" i="41"/>
  <c r="D5695" i="41"/>
  <c r="D5696" i="41"/>
  <c r="D5697" i="41"/>
  <c r="D5698" i="41"/>
  <c r="D5699" i="41"/>
  <c r="D5700" i="41"/>
  <c r="D5701" i="41"/>
  <c r="D5702" i="41"/>
  <c r="D5703" i="41"/>
  <c r="D5704" i="41"/>
  <c r="D5705" i="41"/>
  <c r="D5706" i="41"/>
  <c r="D5707" i="41"/>
  <c r="D5708" i="41"/>
  <c r="D5709" i="41"/>
  <c r="D5710" i="41"/>
  <c r="D5711" i="41"/>
  <c r="D5712" i="41"/>
  <c r="D5713" i="41"/>
  <c r="D5714" i="41"/>
  <c r="D5715" i="41"/>
  <c r="D5716" i="41"/>
  <c r="D5717" i="41"/>
  <c r="D5718" i="41"/>
  <c r="D5719" i="41"/>
  <c r="D5720" i="41"/>
  <c r="D5721" i="41"/>
  <c r="D5722" i="41"/>
  <c r="D5723" i="41"/>
  <c r="D5724" i="41"/>
  <c r="D5725" i="41"/>
  <c r="D5726" i="41"/>
  <c r="D5727" i="41"/>
  <c r="D5728" i="41"/>
  <c r="D5729" i="41"/>
  <c r="D5730" i="41"/>
  <c r="D5731" i="41"/>
  <c r="D5732" i="41"/>
  <c r="D5733" i="41"/>
  <c r="D5734" i="41"/>
  <c r="D5735" i="41"/>
  <c r="D5736" i="41"/>
  <c r="D5737" i="41"/>
  <c r="D5738" i="41"/>
  <c r="D5739" i="41"/>
  <c r="D5740" i="41"/>
  <c r="D5741" i="41"/>
  <c r="D5742" i="41"/>
  <c r="D5743" i="41"/>
  <c r="D5744" i="41"/>
  <c r="D5745" i="41"/>
  <c r="D5746" i="41"/>
  <c r="D5747" i="41"/>
  <c r="D5748" i="41"/>
  <c r="D5749" i="41"/>
  <c r="D5750" i="41"/>
  <c r="D5751" i="41"/>
  <c r="D5752" i="41"/>
  <c r="D5753" i="41"/>
  <c r="D5754" i="41"/>
  <c r="D5755" i="41"/>
  <c r="D5756" i="41"/>
  <c r="D5757" i="41"/>
  <c r="D5758" i="41"/>
  <c r="D5759" i="41"/>
  <c r="D5760" i="41"/>
  <c r="D5761" i="41"/>
  <c r="D5762" i="41"/>
  <c r="D5763" i="41"/>
  <c r="D5764" i="41"/>
  <c r="D5765" i="41"/>
  <c r="D5766" i="41"/>
  <c r="D5767" i="41"/>
  <c r="D5768" i="41"/>
  <c r="D5769" i="41"/>
  <c r="D5770" i="41"/>
  <c r="D5771" i="41"/>
  <c r="D5772" i="41"/>
  <c r="D5773" i="41"/>
  <c r="D5774" i="41"/>
  <c r="D5775" i="41"/>
  <c r="D5776" i="41"/>
  <c r="D5777" i="41"/>
  <c r="D5778" i="41"/>
  <c r="D5779" i="41"/>
  <c r="D5780" i="41"/>
  <c r="D5781" i="41"/>
  <c r="D5782" i="41"/>
  <c r="D5783" i="41"/>
  <c r="D5784" i="41"/>
  <c r="D5785" i="41"/>
  <c r="D5786" i="41"/>
  <c r="D5787" i="41"/>
  <c r="D5788" i="41"/>
  <c r="D5789" i="41"/>
  <c r="D5790" i="41"/>
  <c r="D5791" i="41"/>
  <c r="D5792" i="41"/>
  <c r="D5793" i="41"/>
  <c r="D5794" i="41"/>
  <c r="D5795" i="41"/>
  <c r="D5796" i="41"/>
  <c r="D5797" i="41"/>
  <c r="D5798" i="41"/>
  <c r="D5799" i="41"/>
  <c r="D5800" i="41"/>
  <c r="D5801" i="41"/>
  <c r="D5802" i="41"/>
  <c r="D5803" i="41"/>
  <c r="D5804" i="41"/>
  <c r="D5805" i="41"/>
  <c r="D5806" i="41"/>
  <c r="D5807" i="41"/>
  <c r="D5808" i="41"/>
  <c r="D5809" i="41"/>
  <c r="D5810" i="41"/>
  <c r="D5811" i="41"/>
  <c r="D5812" i="41"/>
  <c r="D5813" i="41"/>
  <c r="D5814" i="41"/>
  <c r="D5815" i="41"/>
  <c r="D5816" i="41"/>
  <c r="D5817" i="41"/>
  <c r="D5818" i="41"/>
  <c r="D5819" i="41"/>
  <c r="D5820" i="41"/>
  <c r="D5821" i="41"/>
  <c r="D5822" i="41"/>
  <c r="D5823" i="41"/>
  <c r="D5824" i="41"/>
  <c r="D5825" i="41"/>
  <c r="D5826" i="41"/>
  <c r="D5827" i="41"/>
  <c r="D5828" i="41"/>
  <c r="D5829" i="41"/>
  <c r="D5830" i="41"/>
  <c r="D5831" i="41"/>
  <c r="D5832" i="41"/>
  <c r="D5833" i="41"/>
  <c r="D5834" i="41"/>
  <c r="D5835" i="41"/>
  <c r="D5836" i="41"/>
  <c r="D5837" i="41"/>
  <c r="D5838" i="41"/>
  <c r="D5839" i="41"/>
  <c r="D5840" i="41"/>
  <c r="D5841" i="41"/>
  <c r="D5842" i="41"/>
  <c r="D5843" i="41"/>
  <c r="D5844" i="41"/>
  <c r="D5845" i="41"/>
  <c r="D5846" i="41"/>
  <c r="D5847" i="41"/>
  <c r="D5848" i="41"/>
  <c r="D5849" i="41"/>
  <c r="D5850" i="41"/>
  <c r="D5851" i="41"/>
  <c r="D5852" i="41"/>
  <c r="D5853" i="41"/>
  <c r="D5854" i="41"/>
  <c r="D5855" i="41"/>
  <c r="D5856" i="41"/>
  <c r="D5857" i="41"/>
  <c r="D5858" i="41"/>
  <c r="D5859" i="41"/>
  <c r="D5860" i="41"/>
  <c r="D5861" i="41"/>
  <c r="D5862" i="41"/>
  <c r="D5863" i="41"/>
  <c r="D5864" i="41"/>
  <c r="D5865" i="41"/>
  <c r="D5866" i="41"/>
  <c r="D5867" i="41"/>
  <c r="D5868" i="41"/>
  <c r="D5869" i="41"/>
  <c r="D5870" i="41"/>
  <c r="D5871" i="41"/>
  <c r="D5872" i="41"/>
  <c r="D5873" i="41"/>
  <c r="D5874" i="41"/>
  <c r="D5875" i="41"/>
  <c r="D5876" i="41"/>
  <c r="D5877" i="41"/>
  <c r="D5878" i="41"/>
  <c r="D5879" i="41"/>
  <c r="D5880" i="41"/>
  <c r="D5881" i="41"/>
  <c r="D5882" i="41"/>
  <c r="D5883" i="41"/>
  <c r="D5884" i="41"/>
  <c r="D5885" i="41"/>
  <c r="D5886" i="41"/>
  <c r="D5887" i="41"/>
  <c r="D5888" i="41"/>
  <c r="D5889" i="41"/>
  <c r="D5890" i="41"/>
  <c r="D5891" i="41"/>
  <c r="D5892" i="41"/>
  <c r="D5893" i="41"/>
  <c r="D5894" i="41"/>
  <c r="D5895" i="41"/>
  <c r="D5896" i="41"/>
  <c r="D5897" i="41"/>
  <c r="D5898" i="41"/>
  <c r="D5899" i="41"/>
  <c r="D5900" i="41"/>
  <c r="D5901" i="41"/>
  <c r="D5902" i="41"/>
  <c r="D5903" i="41"/>
  <c r="D5904" i="41"/>
  <c r="D5905" i="41"/>
  <c r="D5906" i="41"/>
  <c r="D5907" i="41"/>
  <c r="D5908" i="41"/>
  <c r="D5909" i="41"/>
  <c r="D5910" i="41"/>
  <c r="D5911" i="41"/>
  <c r="D5912" i="41"/>
  <c r="D5913" i="41"/>
  <c r="D5914" i="41"/>
  <c r="D5915" i="41"/>
  <c r="D5916" i="41"/>
  <c r="D5917" i="41"/>
  <c r="D5918" i="41"/>
  <c r="D5919" i="41"/>
  <c r="D5920" i="41"/>
  <c r="D5921" i="41"/>
  <c r="D5922" i="41"/>
  <c r="D5923" i="41"/>
  <c r="D5924" i="41"/>
  <c r="D5925" i="41"/>
  <c r="D5926" i="41"/>
  <c r="D5927" i="41"/>
  <c r="D5928" i="41"/>
  <c r="D5929" i="41"/>
  <c r="D5930" i="41"/>
  <c r="D5931" i="41"/>
  <c r="D5932" i="41"/>
  <c r="D5933" i="41"/>
  <c r="D5934" i="41"/>
  <c r="D5935" i="41"/>
  <c r="D5936" i="41"/>
  <c r="D5937" i="41"/>
  <c r="D5938" i="41"/>
  <c r="D5939" i="41"/>
  <c r="D5940" i="41"/>
  <c r="D5941" i="41"/>
  <c r="D5942" i="41"/>
  <c r="D5943" i="41"/>
  <c r="D5944" i="41"/>
  <c r="D5945" i="41"/>
  <c r="D5946" i="41"/>
  <c r="D5947" i="41"/>
  <c r="D5948" i="41"/>
  <c r="D5949" i="41"/>
  <c r="D5950" i="41"/>
  <c r="D5951" i="41"/>
  <c r="D5952" i="41"/>
  <c r="D5953" i="41"/>
  <c r="D5954" i="41"/>
  <c r="D5955" i="41"/>
  <c r="D5956" i="41"/>
  <c r="D5957" i="41"/>
  <c r="D5958" i="41"/>
  <c r="D5959" i="41"/>
  <c r="D5960" i="41"/>
  <c r="D5961" i="41"/>
  <c r="D5962" i="41"/>
  <c r="D5963" i="41"/>
  <c r="D5964" i="41"/>
  <c r="D5965" i="41"/>
  <c r="D5966" i="41"/>
  <c r="D5967" i="41"/>
  <c r="D5968" i="41"/>
  <c r="D5969" i="41"/>
  <c r="D5970" i="41"/>
  <c r="D5971" i="41"/>
  <c r="D5972" i="41"/>
  <c r="D5973" i="41"/>
  <c r="D5974" i="41"/>
  <c r="D5975" i="41"/>
  <c r="D5976" i="41"/>
  <c r="D5977" i="41"/>
  <c r="D5978" i="41"/>
  <c r="D5979" i="41"/>
  <c r="D5980" i="41"/>
  <c r="D5981" i="41"/>
  <c r="D5982" i="41"/>
  <c r="D5983" i="41"/>
  <c r="D5984" i="41"/>
  <c r="D5985" i="41"/>
  <c r="D5986" i="41"/>
  <c r="D5987" i="41"/>
  <c r="D5988" i="41"/>
  <c r="D5989" i="41"/>
  <c r="D5990" i="41"/>
  <c r="D5991" i="41"/>
  <c r="D5992" i="41"/>
  <c r="D5993" i="41"/>
  <c r="D5994" i="41"/>
  <c r="D5995" i="41"/>
  <c r="D5996" i="41"/>
  <c r="D5997" i="41"/>
  <c r="D5998" i="41"/>
  <c r="D5999" i="41"/>
  <c r="D6000" i="41"/>
  <c r="D6001" i="41"/>
  <c r="D6002" i="41"/>
  <c r="D6003" i="41"/>
  <c r="D6004" i="41"/>
  <c r="D6005" i="41"/>
  <c r="D6006" i="41"/>
  <c r="D6007" i="41"/>
  <c r="D6008" i="41"/>
  <c r="D6009" i="41"/>
  <c r="D6010" i="41"/>
  <c r="D6011" i="41"/>
  <c r="D6012" i="41"/>
  <c r="D6013" i="41"/>
  <c r="D6014" i="41"/>
  <c r="D6015" i="41"/>
  <c r="D6016" i="41"/>
  <c r="D6017" i="41"/>
  <c r="D6018" i="41"/>
  <c r="D6019" i="41"/>
  <c r="D6020" i="41"/>
  <c r="D6021" i="41"/>
  <c r="D6022" i="41"/>
  <c r="D6023" i="41"/>
  <c r="D6024" i="41"/>
  <c r="D6025" i="41"/>
  <c r="D6026" i="41"/>
  <c r="D6027" i="41"/>
  <c r="D6028" i="41"/>
  <c r="D6029" i="41"/>
  <c r="D6030" i="41"/>
  <c r="D6031" i="41"/>
  <c r="D6032" i="41"/>
  <c r="D6033" i="41"/>
  <c r="D6034" i="41"/>
  <c r="D6035" i="41"/>
  <c r="D6036" i="41"/>
  <c r="D6037" i="41"/>
  <c r="D6038" i="41"/>
  <c r="D6039" i="41"/>
  <c r="D6040" i="41"/>
  <c r="D6041" i="41"/>
  <c r="D6042" i="41"/>
  <c r="D6043" i="41"/>
  <c r="D6044" i="41"/>
  <c r="D6045" i="41"/>
  <c r="D6046" i="41"/>
  <c r="D6047" i="41"/>
  <c r="D6048" i="41"/>
  <c r="D6049" i="41"/>
  <c r="D6050" i="41"/>
  <c r="D6051" i="41"/>
  <c r="D6052" i="41"/>
  <c r="D6053" i="41"/>
  <c r="D6054" i="41"/>
  <c r="D6055" i="41"/>
  <c r="D6056" i="41"/>
  <c r="D6057" i="41"/>
  <c r="D6058" i="41"/>
  <c r="D6059" i="41"/>
  <c r="D6060" i="41"/>
  <c r="D6061" i="41"/>
  <c r="D6062" i="41"/>
  <c r="D6063" i="41"/>
  <c r="D6064" i="41"/>
  <c r="D6065" i="41"/>
  <c r="D6066" i="41"/>
  <c r="D6067" i="41"/>
  <c r="D6068" i="41"/>
  <c r="D6069" i="41"/>
  <c r="D6070" i="41"/>
  <c r="D6071" i="41"/>
  <c r="D6072" i="41"/>
  <c r="D6073" i="41"/>
  <c r="D6074" i="41"/>
  <c r="D6075" i="41"/>
  <c r="D6076" i="41"/>
  <c r="D6077" i="41"/>
  <c r="D6078" i="41"/>
  <c r="D6079" i="41"/>
  <c r="D6080" i="41"/>
  <c r="D6081" i="41"/>
  <c r="D6082" i="41"/>
  <c r="D6083" i="41"/>
  <c r="D6084" i="41"/>
  <c r="D6085" i="41"/>
  <c r="D6086" i="41"/>
  <c r="D6087" i="41"/>
  <c r="D6088" i="41"/>
  <c r="D6089" i="41"/>
  <c r="D6090" i="41"/>
  <c r="D6091" i="41"/>
  <c r="D6092" i="41"/>
  <c r="D6093" i="41"/>
  <c r="D6094" i="41"/>
  <c r="D6095" i="41"/>
  <c r="D6096" i="41"/>
  <c r="D6097" i="41"/>
  <c r="D6098" i="41"/>
  <c r="D6099" i="41"/>
  <c r="D6100" i="41"/>
  <c r="D6101" i="41"/>
  <c r="D6102" i="41"/>
  <c r="D6103" i="41"/>
  <c r="D6104" i="41"/>
  <c r="D6105" i="41"/>
  <c r="D6106" i="41"/>
  <c r="D6107" i="41"/>
  <c r="D6108" i="41"/>
  <c r="D6109" i="41"/>
  <c r="D6110" i="41"/>
  <c r="D6111" i="41"/>
  <c r="D6112" i="41"/>
  <c r="D6113" i="41"/>
  <c r="D6114" i="41"/>
  <c r="D6115" i="41"/>
  <c r="D6116" i="41"/>
  <c r="D6117" i="41"/>
  <c r="D6118" i="41"/>
  <c r="D6119" i="41"/>
  <c r="D6120" i="41"/>
  <c r="D6121" i="41"/>
  <c r="D6122" i="41"/>
  <c r="D6123" i="41"/>
  <c r="D6124" i="41"/>
  <c r="D6125" i="41"/>
  <c r="D6126" i="41"/>
  <c r="D6127" i="41"/>
  <c r="D6128" i="41"/>
  <c r="D6129" i="41"/>
  <c r="D6130" i="41"/>
  <c r="D6131" i="41"/>
  <c r="D6132" i="41"/>
  <c r="D6133" i="41"/>
  <c r="D6134" i="41"/>
  <c r="D6135" i="41"/>
  <c r="D6136" i="41"/>
  <c r="D6137" i="41"/>
  <c r="D6138" i="41"/>
  <c r="D6139" i="41"/>
  <c r="D6140" i="41"/>
  <c r="D6141" i="41"/>
  <c r="D6142" i="41"/>
  <c r="D6143" i="41"/>
  <c r="D6144" i="41"/>
  <c r="D6145" i="41"/>
  <c r="D6146" i="41"/>
  <c r="D6147" i="41"/>
  <c r="D6148" i="41"/>
  <c r="D6149" i="41"/>
  <c r="D6150" i="41"/>
  <c r="D6151" i="41"/>
  <c r="D6152" i="41"/>
  <c r="D6153" i="41"/>
  <c r="D6154" i="41"/>
  <c r="D6155" i="41"/>
  <c r="D6156" i="41"/>
  <c r="D6157" i="41"/>
  <c r="D6158" i="41"/>
  <c r="D6159" i="41"/>
  <c r="D6160" i="41"/>
  <c r="D6161" i="41"/>
  <c r="D6162" i="41"/>
  <c r="D6163" i="41"/>
  <c r="D6164" i="41"/>
  <c r="D6165" i="41"/>
  <c r="D6166" i="41"/>
  <c r="D6167" i="41"/>
  <c r="D6168" i="41"/>
  <c r="D6169" i="41"/>
  <c r="D6170" i="41"/>
  <c r="D6171" i="41"/>
  <c r="D6172" i="41"/>
  <c r="D6173" i="41"/>
  <c r="D6174" i="41"/>
  <c r="D6175" i="41"/>
  <c r="D6176" i="41"/>
  <c r="D6177" i="41"/>
  <c r="D6178" i="41"/>
  <c r="D6179" i="41"/>
  <c r="D6180" i="41"/>
  <c r="D6181" i="41"/>
  <c r="D6182" i="41"/>
  <c r="D6183" i="41"/>
  <c r="D6184" i="41"/>
  <c r="D6185" i="41"/>
  <c r="D6186" i="41"/>
  <c r="D6187" i="41"/>
  <c r="D6188" i="41"/>
  <c r="D6189" i="41"/>
  <c r="D6190" i="41"/>
  <c r="D6191" i="41"/>
  <c r="D6192" i="41"/>
  <c r="D6193" i="41"/>
  <c r="D6194" i="41"/>
  <c r="D6195" i="41"/>
  <c r="D6196" i="41"/>
  <c r="D6197" i="41"/>
  <c r="D6198" i="41"/>
  <c r="D6199" i="41"/>
  <c r="D6200" i="41"/>
  <c r="D6201" i="41"/>
  <c r="D6202" i="41"/>
  <c r="D6203" i="41"/>
  <c r="D6204" i="41"/>
  <c r="D6205" i="41"/>
  <c r="D6206" i="41"/>
  <c r="D6207" i="41"/>
  <c r="D6208" i="41"/>
  <c r="D6209" i="41"/>
  <c r="D6210" i="41"/>
  <c r="D6211" i="41"/>
  <c r="D6212" i="41"/>
  <c r="D6213" i="41"/>
  <c r="D6214" i="41"/>
  <c r="D6215" i="41"/>
  <c r="D6216" i="41"/>
  <c r="D6217" i="41"/>
  <c r="D6218" i="41"/>
  <c r="D6219" i="41"/>
  <c r="D6220" i="41"/>
  <c r="D6221" i="41"/>
  <c r="D6222" i="41"/>
  <c r="D6223" i="41"/>
  <c r="D6224" i="41"/>
  <c r="D6225" i="41"/>
  <c r="D6226" i="41"/>
  <c r="D6227" i="41"/>
  <c r="D6228" i="41"/>
  <c r="D6229" i="41"/>
  <c r="D6230" i="41"/>
  <c r="D6231" i="41"/>
  <c r="D6232" i="41"/>
  <c r="D6233" i="41"/>
  <c r="D6234" i="41"/>
  <c r="D6235" i="41"/>
  <c r="D6236" i="41"/>
  <c r="D6237" i="41"/>
  <c r="D6238" i="41"/>
  <c r="D6239" i="41"/>
  <c r="D6240" i="41"/>
  <c r="D6241" i="41"/>
  <c r="D6242" i="41"/>
  <c r="D6243" i="41"/>
  <c r="D6244" i="41"/>
  <c r="D6245" i="41"/>
  <c r="D6246" i="41"/>
  <c r="D6247" i="41"/>
  <c r="D6248" i="41"/>
  <c r="D6249" i="41"/>
  <c r="D6250" i="41"/>
  <c r="D6251" i="41"/>
  <c r="D6252" i="41"/>
  <c r="D6253" i="41"/>
  <c r="D6254" i="41"/>
  <c r="D6255" i="41"/>
  <c r="D6256" i="41"/>
  <c r="D6257" i="41"/>
  <c r="D6258" i="41"/>
  <c r="D6259" i="41"/>
  <c r="D6260" i="41"/>
  <c r="D6261" i="41"/>
  <c r="D6262" i="41"/>
  <c r="D6263" i="41"/>
  <c r="D6264" i="41"/>
  <c r="D6265" i="41"/>
  <c r="D6266" i="41"/>
  <c r="D6267" i="41"/>
  <c r="D6268" i="41"/>
  <c r="D6269" i="41"/>
  <c r="D6270" i="41"/>
  <c r="D6271" i="41"/>
  <c r="D6272" i="41"/>
  <c r="D6273" i="41"/>
  <c r="D6274" i="41"/>
  <c r="D6275" i="41"/>
  <c r="D6276" i="41"/>
  <c r="D6277" i="41"/>
  <c r="D6278" i="41"/>
  <c r="D6279" i="41"/>
  <c r="D6280" i="41"/>
  <c r="D6281" i="41"/>
  <c r="D6282" i="41"/>
  <c r="D6283" i="41"/>
  <c r="D6284" i="41"/>
  <c r="D6285" i="41"/>
  <c r="D6286" i="41"/>
  <c r="D6287" i="41"/>
  <c r="D6288" i="41"/>
  <c r="D6289" i="41"/>
  <c r="D6290" i="41"/>
  <c r="D6291" i="41"/>
  <c r="D6292" i="41"/>
  <c r="D6293" i="41"/>
  <c r="D6294" i="41"/>
  <c r="D6295" i="41"/>
  <c r="D6296" i="41"/>
  <c r="D6297" i="41"/>
  <c r="D6298" i="41"/>
  <c r="D6299" i="41"/>
  <c r="D6300" i="41"/>
  <c r="D6301" i="41"/>
  <c r="D6302" i="41"/>
  <c r="D6303" i="41"/>
  <c r="D6304" i="41"/>
  <c r="D6305" i="41"/>
  <c r="D6306" i="41"/>
  <c r="D6307" i="41"/>
  <c r="D6308" i="41"/>
  <c r="D6309" i="41"/>
  <c r="D6310" i="41"/>
  <c r="D6311" i="41"/>
  <c r="D6312" i="41"/>
  <c r="D6313" i="41"/>
  <c r="D6314" i="41"/>
  <c r="D6315" i="41"/>
  <c r="D6316" i="41"/>
  <c r="D6317" i="41"/>
  <c r="D6318" i="41"/>
  <c r="D6319" i="41"/>
  <c r="D6320" i="41"/>
  <c r="D6321" i="41"/>
  <c r="D6322" i="41"/>
  <c r="D6323" i="41"/>
  <c r="D6324" i="41"/>
  <c r="D6325" i="41"/>
  <c r="D6326" i="41"/>
  <c r="D6327" i="41"/>
  <c r="D6328" i="41"/>
  <c r="D6329" i="41"/>
  <c r="D6330" i="41"/>
  <c r="D6331" i="41"/>
  <c r="D6332" i="41"/>
  <c r="D6333" i="41"/>
  <c r="D6334" i="41"/>
  <c r="D6335" i="41"/>
  <c r="D6336" i="41"/>
  <c r="D6337" i="41"/>
  <c r="D6338" i="41"/>
  <c r="D6339" i="41"/>
  <c r="D6340" i="41"/>
  <c r="D6341" i="41"/>
  <c r="D6342" i="41"/>
  <c r="D6343" i="41"/>
  <c r="D6344" i="41"/>
  <c r="D6345" i="41"/>
  <c r="D6346" i="41"/>
  <c r="D6347" i="41"/>
  <c r="D6348" i="41"/>
  <c r="D6349" i="41"/>
  <c r="D6350" i="41"/>
  <c r="D6351" i="41"/>
  <c r="D6352" i="41"/>
  <c r="D6353" i="41"/>
  <c r="D6354" i="41"/>
  <c r="D6355" i="41"/>
  <c r="D6356" i="41"/>
  <c r="D6357" i="41"/>
  <c r="D6358" i="41"/>
  <c r="D6359" i="41"/>
  <c r="D6360" i="41"/>
  <c r="D6361" i="41"/>
  <c r="D6362" i="41"/>
  <c r="D6363" i="41"/>
  <c r="D6364" i="41"/>
  <c r="D6365" i="41"/>
  <c r="D6366" i="41"/>
  <c r="D6367" i="41"/>
  <c r="D6368" i="41"/>
  <c r="D6369" i="41"/>
  <c r="D6370" i="41"/>
  <c r="D6371" i="41"/>
  <c r="D6372" i="41"/>
  <c r="D6373" i="41"/>
  <c r="D6374" i="41"/>
  <c r="D6375" i="41"/>
  <c r="D6376" i="41"/>
  <c r="D6377" i="41"/>
  <c r="D6378" i="41"/>
  <c r="D6379" i="41"/>
  <c r="D6380" i="41"/>
  <c r="D6381" i="41"/>
  <c r="D6382" i="41"/>
  <c r="D6383" i="41"/>
  <c r="D6384" i="41"/>
  <c r="D6385" i="41"/>
  <c r="D6386" i="41"/>
  <c r="D6387" i="41"/>
  <c r="D6388" i="41"/>
  <c r="D6389" i="41"/>
  <c r="D6390" i="41"/>
  <c r="D6391" i="41"/>
  <c r="D6392" i="41"/>
  <c r="D6393" i="41"/>
  <c r="D6394" i="41"/>
  <c r="D6395" i="41"/>
  <c r="D6396" i="41"/>
  <c r="D6397" i="41"/>
  <c r="D6398" i="41"/>
  <c r="D6399" i="41"/>
  <c r="D6400" i="41"/>
  <c r="D6401" i="41"/>
  <c r="D6402" i="41"/>
  <c r="D6403" i="41"/>
  <c r="D6404" i="41"/>
  <c r="D6405" i="41"/>
  <c r="D6406" i="41"/>
  <c r="D6407" i="41"/>
  <c r="D6408" i="41"/>
  <c r="D6409" i="41"/>
  <c r="D6410" i="41"/>
  <c r="D6411" i="41"/>
  <c r="D6412" i="41"/>
  <c r="D6413" i="41"/>
  <c r="D6414" i="41"/>
  <c r="D6415" i="41"/>
  <c r="D6416" i="41"/>
  <c r="D6417" i="41"/>
  <c r="D6418" i="41"/>
  <c r="D6419" i="41"/>
  <c r="D6420" i="41"/>
  <c r="D6421" i="41"/>
  <c r="D6422" i="41"/>
  <c r="D6423" i="41"/>
  <c r="D6424" i="41"/>
  <c r="D6425" i="41"/>
  <c r="D6426" i="41"/>
  <c r="D6427" i="41"/>
  <c r="D6428" i="41"/>
  <c r="D6429" i="41"/>
  <c r="D6430" i="41"/>
  <c r="D6431" i="41"/>
  <c r="D6432" i="41"/>
  <c r="D6433" i="41"/>
  <c r="D6434" i="41"/>
  <c r="D6435" i="41"/>
  <c r="D6436" i="41"/>
  <c r="D6437" i="41"/>
  <c r="D6438" i="41"/>
  <c r="D6439" i="41"/>
  <c r="D6440" i="41"/>
  <c r="D6441" i="41"/>
  <c r="D6442" i="41"/>
  <c r="D6443" i="41"/>
  <c r="D6444" i="41"/>
  <c r="D6445" i="41"/>
  <c r="D6446" i="41"/>
  <c r="D6447" i="41"/>
  <c r="D6448" i="41"/>
  <c r="D6449" i="41"/>
  <c r="D6450" i="41"/>
  <c r="D6451" i="41"/>
  <c r="D6452" i="41"/>
  <c r="D6453" i="41"/>
  <c r="D6454" i="41"/>
  <c r="D6455" i="41"/>
  <c r="D6456" i="41"/>
  <c r="D6457" i="41"/>
  <c r="D6458" i="41"/>
  <c r="D6459" i="41"/>
  <c r="D6460" i="41"/>
  <c r="D6461" i="41"/>
  <c r="D6462" i="41"/>
  <c r="D6463" i="41"/>
  <c r="D6464" i="41"/>
  <c r="D6465" i="41"/>
  <c r="D6466" i="41"/>
  <c r="D6467" i="41"/>
  <c r="D6468" i="41"/>
  <c r="D6469" i="41"/>
  <c r="D6470" i="41"/>
  <c r="D6471" i="41"/>
  <c r="D6472" i="41"/>
  <c r="D6473" i="41"/>
  <c r="D6474" i="41"/>
  <c r="D6475" i="41"/>
  <c r="D6476" i="41"/>
  <c r="D6477" i="41"/>
  <c r="D6478" i="41"/>
  <c r="D6479" i="41"/>
  <c r="D6480" i="41"/>
  <c r="D6481" i="41"/>
  <c r="D6482" i="41"/>
  <c r="D6483" i="41"/>
  <c r="D6484" i="41"/>
  <c r="D6485" i="41"/>
  <c r="D6486" i="41"/>
  <c r="D6487" i="41"/>
  <c r="D6488" i="41"/>
  <c r="D6489" i="41"/>
  <c r="D6490" i="41"/>
  <c r="D6491" i="41"/>
  <c r="D6492" i="41"/>
  <c r="D6493" i="41"/>
  <c r="D6494" i="41"/>
  <c r="D6495" i="41"/>
  <c r="D6496" i="41"/>
  <c r="D6497" i="41"/>
  <c r="D6498" i="41"/>
  <c r="D6499" i="41"/>
  <c r="D6500" i="41"/>
  <c r="D6501" i="41"/>
  <c r="D6502" i="41"/>
  <c r="D6503" i="41"/>
  <c r="D6504" i="41"/>
  <c r="D6505" i="41"/>
  <c r="D6506" i="41"/>
  <c r="D6507" i="41"/>
  <c r="D6508" i="41"/>
  <c r="D6509" i="41"/>
  <c r="D6510" i="41"/>
  <c r="D6511" i="41"/>
  <c r="D6512" i="41"/>
  <c r="D6513" i="41"/>
  <c r="D6514" i="41"/>
  <c r="D6515" i="41"/>
  <c r="D6516" i="41"/>
  <c r="D6517" i="41"/>
  <c r="D6518" i="41"/>
  <c r="D6519" i="41"/>
  <c r="D6520" i="41"/>
  <c r="D6521" i="41"/>
  <c r="D6522" i="41"/>
  <c r="D6523" i="41"/>
  <c r="D6524" i="41"/>
  <c r="D6525" i="41"/>
  <c r="D6526" i="41"/>
  <c r="D6527" i="41"/>
  <c r="D6528" i="41"/>
  <c r="D6529" i="41"/>
  <c r="D6530" i="41"/>
  <c r="D6531" i="41"/>
  <c r="D6532" i="41"/>
  <c r="D6533" i="41"/>
  <c r="D6534" i="41"/>
  <c r="D6535" i="41"/>
  <c r="D6536" i="41"/>
  <c r="D6537" i="41"/>
  <c r="D6538" i="41"/>
  <c r="D6539" i="41"/>
  <c r="D6540" i="41"/>
  <c r="D6541" i="41"/>
  <c r="D6542" i="41"/>
  <c r="D6543" i="41"/>
  <c r="D6544" i="41"/>
  <c r="D6545" i="41"/>
  <c r="D6546" i="41"/>
  <c r="D6547" i="41"/>
  <c r="D6548" i="41"/>
  <c r="D6549" i="41"/>
  <c r="D6550" i="41"/>
  <c r="D6551" i="41"/>
  <c r="D6552" i="41"/>
  <c r="D6553" i="41"/>
  <c r="D6554" i="41"/>
  <c r="D6555" i="41"/>
  <c r="D6556" i="41"/>
  <c r="D6557" i="41"/>
  <c r="D6558" i="41"/>
  <c r="D6559" i="41"/>
  <c r="D6560" i="41"/>
  <c r="D6561" i="41"/>
  <c r="D6562" i="41"/>
  <c r="D6563" i="41"/>
  <c r="D6564" i="41"/>
  <c r="D6565" i="41"/>
  <c r="D6566" i="41"/>
  <c r="D6567" i="41"/>
  <c r="D6568" i="41"/>
  <c r="D6569" i="41"/>
  <c r="D6570" i="41"/>
  <c r="D6571" i="41"/>
  <c r="D6572" i="41"/>
  <c r="D6573" i="41"/>
  <c r="D6574" i="41"/>
  <c r="D6575" i="41"/>
  <c r="D6576" i="41"/>
  <c r="D6577" i="41"/>
  <c r="D6578" i="41"/>
  <c r="D6579" i="41"/>
  <c r="D6580" i="41"/>
  <c r="D6581" i="41"/>
  <c r="D6582" i="41"/>
  <c r="D6583" i="41"/>
  <c r="D6584" i="41"/>
  <c r="D6585" i="41"/>
  <c r="D6586" i="41"/>
  <c r="D6587" i="41"/>
  <c r="D6588" i="41"/>
  <c r="D6589" i="41"/>
  <c r="D6590" i="41"/>
  <c r="D6591" i="41"/>
  <c r="D6592" i="41"/>
  <c r="D6593" i="41"/>
  <c r="D6594" i="41"/>
  <c r="D6595" i="41"/>
  <c r="D6596" i="41"/>
  <c r="D6597" i="41"/>
  <c r="D6598" i="41"/>
  <c r="D6599" i="41"/>
  <c r="D6600" i="41"/>
  <c r="D6601" i="41"/>
  <c r="D6602" i="41"/>
  <c r="D6603" i="41"/>
  <c r="D6604" i="41"/>
  <c r="D6605" i="41"/>
  <c r="D6606" i="41"/>
  <c r="D6607" i="41"/>
  <c r="D6608" i="41"/>
  <c r="D6609" i="41"/>
  <c r="D6610" i="41"/>
  <c r="D6611" i="41"/>
  <c r="D6612" i="41"/>
  <c r="D6613" i="41"/>
  <c r="D6614" i="41"/>
  <c r="D6615" i="41"/>
  <c r="D6616" i="41"/>
  <c r="D6617" i="41"/>
  <c r="D6618" i="41"/>
  <c r="D6619" i="41"/>
  <c r="D6620" i="41"/>
  <c r="D6621" i="41"/>
  <c r="D6622" i="41"/>
  <c r="D6623" i="41"/>
  <c r="D6624" i="41"/>
  <c r="D6625" i="41"/>
  <c r="D6626" i="41"/>
  <c r="D6627" i="41"/>
  <c r="D6628" i="41"/>
  <c r="D6629" i="41"/>
  <c r="D6630" i="41"/>
  <c r="D6631" i="41"/>
  <c r="D6632" i="41"/>
  <c r="D6633" i="41"/>
  <c r="D6634" i="41"/>
  <c r="D6635" i="41"/>
  <c r="D6636" i="41"/>
  <c r="D6637" i="41"/>
  <c r="D6638" i="41"/>
  <c r="D6639" i="41"/>
  <c r="D6640" i="41"/>
  <c r="D6641" i="41"/>
  <c r="D6642" i="41"/>
  <c r="D6643" i="41"/>
  <c r="D6644" i="41"/>
  <c r="D6645" i="41"/>
  <c r="D6646" i="41"/>
  <c r="D6647" i="41"/>
  <c r="D6648" i="41"/>
  <c r="D6649" i="41"/>
  <c r="D6650" i="41"/>
  <c r="D6651" i="41"/>
  <c r="D6652" i="41"/>
  <c r="D6653" i="41"/>
  <c r="D6654" i="41"/>
  <c r="D6655" i="41"/>
  <c r="D6656" i="41"/>
  <c r="D6657" i="41"/>
  <c r="D6658" i="41"/>
  <c r="D6659" i="41"/>
  <c r="D6660" i="41"/>
  <c r="D6661" i="41"/>
  <c r="D6662" i="41"/>
  <c r="D6663" i="41"/>
  <c r="D6664" i="41"/>
  <c r="D6665" i="41"/>
  <c r="D6666" i="41"/>
  <c r="D6667" i="41"/>
  <c r="D6668" i="41"/>
  <c r="D6669" i="41"/>
  <c r="D6670" i="41"/>
  <c r="D6671" i="41"/>
  <c r="D6672" i="41"/>
  <c r="D6673" i="41"/>
  <c r="D6674" i="41"/>
  <c r="D6675" i="41"/>
  <c r="D6676" i="41"/>
  <c r="D6677" i="41"/>
  <c r="D6678" i="41"/>
  <c r="D6679" i="41"/>
  <c r="D6680" i="41"/>
  <c r="D6681" i="41"/>
  <c r="D6682" i="41"/>
  <c r="D6683" i="41"/>
  <c r="D6684" i="41"/>
  <c r="D6685" i="41"/>
  <c r="D6686" i="41"/>
  <c r="D6687" i="41"/>
  <c r="D6688" i="41"/>
  <c r="D6689" i="41"/>
  <c r="D6690" i="41"/>
  <c r="D6691" i="41"/>
  <c r="D6692" i="41"/>
  <c r="D6693" i="41"/>
  <c r="D6694" i="41"/>
  <c r="D6695" i="41"/>
  <c r="D6696" i="41"/>
  <c r="D6697" i="41"/>
  <c r="D6698" i="41"/>
  <c r="D6699" i="41"/>
  <c r="D6700" i="41"/>
  <c r="D6701" i="41"/>
  <c r="D6702" i="41"/>
  <c r="D6703" i="41"/>
  <c r="D6704" i="41"/>
  <c r="D6705" i="41"/>
  <c r="D6706" i="41"/>
  <c r="D6707" i="41"/>
  <c r="D6708" i="41"/>
  <c r="D6709" i="41"/>
  <c r="D6710" i="41"/>
  <c r="D6711" i="41"/>
  <c r="D6712" i="41"/>
  <c r="D6713" i="41"/>
  <c r="D6714" i="41"/>
  <c r="D6715" i="41"/>
  <c r="D6716" i="41"/>
  <c r="D6717" i="41"/>
  <c r="D6718" i="41"/>
  <c r="D6719" i="41"/>
  <c r="D6720" i="41"/>
  <c r="D6721" i="41"/>
  <c r="D6722" i="41"/>
  <c r="D6723" i="41"/>
  <c r="D6724" i="41"/>
  <c r="D6725" i="41"/>
  <c r="D6726" i="41"/>
  <c r="D6727" i="41"/>
  <c r="D6728" i="41"/>
  <c r="D6729" i="41"/>
  <c r="D6730" i="41"/>
  <c r="D6731" i="41"/>
  <c r="D6732" i="41"/>
  <c r="D6733" i="41"/>
  <c r="D6734" i="41"/>
  <c r="D6735" i="41"/>
  <c r="D6736" i="41"/>
  <c r="D6737" i="41"/>
  <c r="D6738" i="41"/>
  <c r="D6739" i="41"/>
  <c r="D6740" i="41"/>
  <c r="D6741" i="41"/>
  <c r="D6742" i="41"/>
  <c r="D6743" i="41"/>
  <c r="D6744" i="41"/>
  <c r="D6745" i="41"/>
  <c r="D6746" i="41"/>
  <c r="D6747" i="41"/>
  <c r="D6748" i="41"/>
  <c r="D6749" i="41"/>
  <c r="D6750" i="41"/>
  <c r="D6751" i="41"/>
  <c r="D6752" i="41"/>
  <c r="D6753" i="41"/>
  <c r="D6754" i="41"/>
  <c r="D6755" i="41"/>
  <c r="D6756" i="41"/>
  <c r="D6757" i="41"/>
  <c r="D6758" i="41"/>
  <c r="D6759" i="41"/>
  <c r="D6760" i="41"/>
  <c r="D6761" i="41"/>
  <c r="D6762" i="41"/>
  <c r="D6763" i="41"/>
  <c r="D6764" i="41"/>
  <c r="D6765" i="41"/>
  <c r="D6766" i="41"/>
  <c r="D6767" i="41"/>
  <c r="D6768" i="41"/>
  <c r="D6769" i="41"/>
  <c r="D6770" i="41"/>
  <c r="D6771" i="41"/>
  <c r="D6772" i="41"/>
  <c r="D6773" i="41"/>
  <c r="D6774" i="41"/>
  <c r="D6775" i="41"/>
  <c r="D6776" i="41"/>
  <c r="D6777" i="41"/>
  <c r="D6778" i="41"/>
  <c r="D6779" i="41"/>
  <c r="D6780" i="41"/>
  <c r="D6781" i="41"/>
  <c r="D6782" i="41"/>
  <c r="D6783" i="41"/>
  <c r="D6784" i="41"/>
  <c r="D6785" i="41"/>
  <c r="D6786" i="41"/>
  <c r="D6787" i="41"/>
  <c r="D6788" i="41"/>
  <c r="D6789" i="41"/>
  <c r="D6790" i="41"/>
  <c r="D6791" i="41"/>
  <c r="D6792" i="41"/>
  <c r="D6793" i="41"/>
  <c r="D6794" i="41"/>
  <c r="D6795" i="41"/>
  <c r="D6796" i="41"/>
  <c r="D6797" i="41"/>
  <c r="D6798" i="41"/>
  <c r="D6799" i="41"/>
  <c r="D6800" i="41"/>
  <c r="D6801" i="41"/>
  <c r="D6802" i="41"/>
  <c r="D6803" i="41"/>
  <c r="D6804" i="41"/>
  <c r="D6805" i="41"/>
  <c r="D6806" i="41"/>
  <c r="D6807" i="41"/>
  <c r="D6808" i="41"/>
  <c r="D6809" i="41"/>
  <c r="D6810" i="41"/>
  <c r="D6811" i="41"/>
  <c r="D6812" i="41"/>
  <c r="D6813" i="41"/>
  <c r="D6814" i="41"/>
  <c r="D6815" i="41"/>
  <c r="D6816" i="41"/>
  <c r="D6817" i="41"/>
  <c r="D6818" i="41"/>
  <c r="D6819" i="41"/>
  <c r="D6820" i="41"/>
  <c r="D6821" i="41"/>
  <c r="D6822" i="41"/>
  <c r="D6823" i="41"/>
  <c r="D6824" i="41"/>
  <c r="D6825" i="41"/>
  <c r="D6826" i="41"/>
  <c r="D6827" i="41"/>
  <c r="D6828" i="41"/>
  <c r="D6829" i="41"/>
  <c r="D6830" i="41"/>
  <c r="D6831" i="41"/>
  <c r="D6832" i="41"/>
  <c r="D6833" i="41"/>
  <c r="D6834" i="41"/>
  <c r="D6835" i="41"/>
  <c r="D6836" i="41"/>
  <c r="D6837" i="41"/>
  <c r="D6838" i="41"/>
  <c r="D6839" i="41"/>
  <c r="D6840" i="41"/>
  <c r="D6841" i="41"/>
  <c r="D6842" i="41"/>
  <c r="D6843" i="41"/>
  <c r="D6844" i="41"/>
  <c r="D6845" i="41"/>
  <c r="D6846" i="41"/>
  <c r="D6847" i="41"/>
  <c r="D6848" i="41"/>
  <c r="D6849" i="41"/>
  <c r="D6850" i="41"/>
  <c r="D6851" i="41"/>
  <c r="D6852" i="41"/>
  <c r="D6853" i="41"/>
  <c r="D6854" i="41"/>
  <c r="D6855" i="41"/>
  <c r="D6856" i="41"/>
  <c r="D6857" i="41"/>
  <c r="D6858" i="41"/>
  <c r="D6859" i="41"/>
  <c r="D6860" i="41"/>
  <c r="D6861" i="41"/>
  <c r="D6862" i="41"/>
  <c r="D6863" i="41"/>
  <c r="D6864" i="41"/>
  <c r="D6865" i="41"/>
  <c r="D6866" i="41"/>
  <c r="D6867" i="41"/>
  <c r="D6868" i="41"/>
  <c r="D6869" i="41"/>
  <c r="D6870" i="41"/>
  <c r="D6871" i="41"/>
  <c r="D6872" i="41"/>
  <c r="D6873" i="41"/>
  <c r="D6874" i="41"/>
  <c r="D6875" i="41"/>
  <c r="D6876" i="41"/>
  <c r="D6877" i="41"/>
  <c r="D6878" i="41"/>
  <c r="D6879" i="41"/>
  <c r="D6880" i="41"/>
  <c r="D6881" i="41"/>
  <c r="D6882" i="41"/>
  <c r="D6883" i="41"/>
  <c r="D6884" i="41"/>
  <c r="D6885" i="41"/>
  <c r="D6886" i="41"/>
  <c r="D6887" i="41"/>
  <c r="D6888" i="41"/>
  <c r="D6889" i="41"/>
  <c r="D6890" i="41"/>
  <c r="D6891" i="41"/>
  <c r="D6892" i="41"/>
  <c r="D6893" i="41"/>
  <c r="D6894" i="41"/>
  <c r="D6895" i="41"/>
  <c r="D6896" i="41"/>
  <c r="D6897" i="41"/>
  <c r="D6898" i="41"/>
  <c r="D6899" i="41"/>
  <c r="D6900" i="41"/>
  <c r="D6901" i="41"/>
  <c r="D6902" i="41"/>
  <c r="D6903" i="41"/>
  <c r="D6904" i="41"/>
  <c r="D6905" i="41"/>
  <c r="D6906" i="41"/>
  <c r="D6907" i="41"/>
  <c r="D6908" i="41"/>
  <c r="D6909" i="41"/>
  <c r="D6910" i="41"/>
  <c r="D6911" i="41"/>
  <c r="D6912" i="41"/>
  <c r="D6913" i="41"/>
  <c r="D6914" i="41"/>
  <c r="D6915" i="41"/>
  <c r="D6916" i="41"/>
  <c r="D6917" i="41"/>
  <c r="D6918" i="41"/>
  <c r="D6919" i="41"/>
  <c r="D6920" i="41"/>
  <c r="D6921" i="41"/>
  <c r="D6922" i="41"/>
  <c r="D6923" i="41"/>
  <c r="D6924" i="41"/>
  <c r="D6925" i="41"/>
  <c r="D6926" i="41"/>
  <c r="D6927" i="41"/>
  <c r="D6928" i="41"/>
  <c r="D6929" i="41"/>
  <c r="D6930" i="41"/>
  <c r="D6931" i="41"/>
  <c r="D6932" i="41"/>
  <c r="D6933" i="41"/>
  <c r="D6934" i="41"/>
  <c r="D6935" i="41"/>
  <c r="D6936" i="41"/>
  <c r="D6937" i="41"/>
  <c r="D6938" i="41"/>
  <c r="D6939" i="41"/>
  <c r="D6940" i="41"/>
  <c r="D6941" i="41"/>
  <c r="D6942" i="41"/>
  <c r="D6943" i="41"/>
  <c r="D6944" i="41"/>
  <c r="D6945" i="41"/>
  <c r="D6946" i="41"/>
  <c r="D6947" i="41"/>
  <c r="D6948" i="41"/>
  <c r="D6949" i="41"/>
  <c r="D6950" i="41"/>
  <c r="D6951" i="41"/>
  <c r="D6952" i="41"/>
  <c r="D6953" i="41"/>
  <c r="D6954" i="41"/>
  <c r="D6955" i="41"/>
  <c r="D6956" i="41"/>
  <c r="D6957" i="41"/>
  <c r="D6958" i="41"/>
  <c r="D6959" i="41"/>
  <c r="D6960" i="41"/>
  <c r="D6961" i="41"/>
  <c r="D6962" i="41"/>
  <c r="D6963" i="41"/>
  <c r="D6964" i="41"/>
  <c r="D6965" i="41"/>
  <c r="D6966" i="41"/>
  <c r="D6967" i="41"/>
  <c r="D6968" i="41"/>
  <c r="D6969" i="41"/>
  <c r="D6970" i="41"/>
  <c r="D6971" i="41"/>
  <c r="D6972" i="41"/>
  <c r="D6973" i="41"/>
  <c r="D6974" i="41"/>
  <c r="D6975" i="41"/>
  <c r="D6976" i="41"/>
  <c r="D6977" i="41"/>
  <c r="D6978" i="41"/>
  <c r="D6979" i="41"/>
  <c r="D6980" i="41"/>
  <c r="D6981" i="41"/>
  <c r="D6982" i="41"/>
  <c r="D6983" i="41"/>
  <c r="D6984" i="41"/>
  <c r="D6985" i="41"/>
  <c r="D6986" i="41"/>
  <c r="D6987" i="41"/>
  <c r="D6988" i="41"/>
  <c r="D6989" i="41"/>
  <c r="D6990" i="41"/>
  <c r="D6991" i="41"/>
  <c r="D6992" i="41"/>
  <c r="D6993" i="41"/>
  <c r="D6994" i="41"/>
  <c r="D6995" i="41"/>
  <c r="D6996" i="41"/>
  <c r="D6997" i="41"/>
  <c r="D6998" i="41"/>
  <c r="D6999" i="41"/>
  <c r="D7000" i="41"/>
  <c r="D7001" i="41"/>
  <c r="D7002" i="41"/>
  <c r="D7003" i="41"/>
  <c r="D7004" i="41"/>
  <c r="D7005" i="41"/>
  <c r="D7006" i="41"/>
  <c r="D7007" i="41"/>
  <c r="D7008" i="41"/>
  <c r="D7009" i="41"/>
  <c r="D7010" i="41"/>
  <c r="D7011" i="41"/>
  <c r="D7012" i="41"/>
  <c r="D7013" i="41"/>
  <c r="D7014" i="41"/>
  <c r="D7015" i="41"/>
  <c r="D7016" i="41"/>
  <c r="D7017" i="41"/>
  <c r="D7018" i="41"/>
  <c r="D7019" i="41"/>
  <c r="D7020" i="41"/>
  <c r="D7021" i="41"/>
  <c r="D7022" i="41"/>
  <c r="D7023" i="41"/>
  <c r="D7024" i="41"/>
  <c r="D7025" i="41"/>
  <c r="D7026" i="41"/>
  <c r="D7027" i="41"/>
  <c r="D7028" i="41"/>
  <c r="D7029" i="41"/>
  <c r="D7030" i="41"/>
  <c r="D7031" i="41"/>
  <c r="D7032" i="41"/>
  <c r="D7033" i="41"/>
  <c r="D7034" i="41"/>
  <c r="D7035" i="41"/>
  <c r="D7036" i="41"/>
  <c r="D7037" i="41"/>
  <c r="D7038" i="41"/>
  <c r="D7039" i="41"/>
  <c r="D7040" i="41"/>
  <c r="D7041" i="41"/>
  <c r="D7042" i="41"/>
  <c r="D7043" i="41"/>
  <c r="D7044" i="41"/>
  <c r="D7045" i="41"/>
  <c r="D7046" i="41"/>
  <c r="D7047" i="41"/>
  <c r="D7048" i="41"/>
  <c r="D7049" i="41"/>
  <c r="D7050" i="41"/>
  <c r="D7051" i="41"/>
  <c r="D7052" i="41"/>
  <c r="D7053" i="41"/>
  <c r="D7054" i="41"/>
  <c r="D7055" i="41"/>
  <c r="D7056" i="41"/>
  <c r="D7057" i="41"/>
  <c r="D7058" i="41"/>
  <c r="D7059" i="41"/>
  <c r="D7060" i="41"/>
  <c r="D7061" i="41"/>
  <c r="D7062" i="41"/>
  <c r="D7063" i="41"/>
  <c r="D7064" i="41"/>
  <c r="D7065" i="41"/>
  <c r="D7066" i="41"/>
  <c r="D7067" i="41"/>
  <c r="D7068" i="41"/>
  <c r="D7069" i="41"/>
  <c r="D7070" i="41"/>
  <c r="D7071" i="41"/>
  <c r="D7072" i="41"/>
  <c r="D7073" i="41"/>
  <c r="D7074" i="41"/>
  <c r="D7075" i="41"/>
  <c r="D7076" i="41"/>
  <c r="D7077" i="41"/>
  <c r="D7078" i="41"/>
  <c r="D7079" i="41"/>
  <c r="D7080" i="41"/>
  <c r="D7081" i="41"/>
  <c r="D7082" i="41"/>
  <c r="D7083" i="41"/>
  <c r="D7084" i="41"/>
  <c r="D7085" i="41"/>
  <c r="D7086" i="41"/>
  <c r="D7087" i="41"/>
  <c r="D7088" i="41"/>
  <c r="D7089" i="41"/>
  <c r="D7090" i="41"/>
  <c r="D7091" i="41"/>
  <c r="D7092" i="41"/>
  <c r="D7093" i="41"/>
  <c r="D7094" i="41"/>
  <c r="D7095" i="41"/>
  <c r="D7096" i="41"/>
  <c r="D7097" i="41"/>
  <c r="D7098" i="41"/>
  <c r="D7099" i="41"/>
  <c r="D7100" i="41"/>
  <c r="D7101" i="41"/>
  <c r="D7102" i="41"/>
  <c r="D7103" i="41"/>
  <c r="D7104" i="41"/>
  <c r="D7105" i="41"/>
  <c r="D7106" i="41"/>
  <c r="D7107" i="41"/>
  <c r="D7108" i="41"/>
  <c r="D7109" i="41"/>
  <c r="D7110" i="41"/>
  <c r="D7111" i="41"/>
  <c r="D7112" i="41"/>
  <c r="D7113" i="41"/>
  <c r="D7114" i="41"/>
  <c r="D7115" i="41"/>
  <c r="D7116" i="41"/>
  <c r="D7117" i="41"/>
  <c r="D7118" i="41"/>
  <c r="D7119" i="41"/>
  <c r="D7120" i="41"/>
  <c r="D7121" i="41"/>
  <c r="D7122" i="41"/>
  <c r="D7123" i="41"/>
  <c r="D7124" i="41"/>
  <c r="D7125" i="41"/>
  <c r="D7126" i="41"/>
  <c r="D7127" i="41"/>
  <c r="D7128" i="41"/>
  <c r="D7129" i="41"/>
  <c r="D7130" i="41"/>
  <c r="D7131" i="41"/>
  <c r="D7132" i="41"/>
  <c r="D7133" i="41"/>
  <c r="D7134" i="41"/>
  <c r="D7135" i="41"/>
  <c r="D7136" i="41"/>
  <c r="D7137" i="41"/>
  <c r="D7138" i="41"/>
  <c r="D7139" i="41"/>
  <c r="D7140" i="41"/>
  <c r="D7141" i="41"/>
  <c r="D7142" i="41"/>
  <c r="D7143" i="41"/>
  <c r="D7144" i="41"/>
  <c r="D7145" i="41"/>
  <c r="D7146" i="41"/>
  <c r="D7147" i="41"/>
  <c r="D7148" i="41"/>
  <c r="D7149" i="41"/>
  <c r="D7150" i="41"/>
  <c r="D7151" i="41"/>
  <c r="D7152" i="41"/>
  <c r="D7153" i="41"/>
  <c r="D7154" i="41"/>
  <c r="D7155" i="41"/>
  <c r="D7156" i="41"/>
  <c r="D7157" i="41"/>
  <c r="D7158" i="41"/>
  <c r="D7159" i="41"/>
  <c r="D7160" i="41"/>
  <c r="D7161" i="41"/>
  <c r="D7162" i="41"/>
  <c r="D7163" i="41"/>
  <c r="D7164" i="41"/>
  <c r="D7165" i="41"/>
  <c r="D7166" i="41"/>
  <c r="D7167" i="41"/>
  <c r="D7168" i="41"/>
  <c r="D7169" i="41"/>
  <c r="D7170" i="41"/>
  <c r="D7171" i="41"/>
  <c r="D7172" i="41"/>
  <c r="D7173" i="41"/>
  <c r="D7174" i="41"/>
  <c r="D7175" i="41"/>
  <c r="D7176" i="41"/>
  <c r="D7177" i="41"/>
  <c r="D7178" i="41"/>
  <c r="D7179" i="41"/>
  <c r="D7180" i="41"/>
  <c r="D7181" i="41"/>
  <c r="D7182" i="41"/>
  <c r="D7183" i="41"/>
  <c r="D7184" i="41"/>
  <c r="D7185" i="41"/>
  <c r="D7186" i="41"/>
  <c r="D7187" i="41"/>
  <c r="D7188" i="41"/>
  <c r="D7189" i="41"/>
  <c r="D7190" i="41"/>
  <c r="D7191" i="41"/>
  <c r="D7192" i="41"/>
  <c r="D7193" i="41"/>
  <c r="D7194" i="41"/>
  <c r="D7195" i="41"/>
  <c r="D7196" i="41"/>
  <c r="D7197" i="41"/>
  <c r="D7198" i="41"/>
  <c r="D7199" i="41"/>
  <c r="D7200" i="41"/>
  <c r="D7201" i="41"/>
  <c r="D7202" i="41"/>
  <c r="D7203" i="41"/>
  <c r="D7204" i="41"/>
  <c r="D7205" i="41"/>
  <c r="D7206" i="41"/>
  <c r="D7207" i="41"/>
  <c r="D7208" i="41"/>
  <c r="D7209" i="41"/>
  <c r="D7210" i="41"/>
  <c r="D7211" i="41"/>
  <c r="D7212" i="41"/>
  <c r="D7213" i="41"/>
  <c r="D7214" i="41"/>
  <c r="D7215" i="41"/>
  <c r="D7216" i="41"/>
  <c r="D7217" i="41"/>
  <c r="D7218" i="41"/>
  <c r="D7219" i="41"/>
  <c r="D7220" i="41"/>
  <c r="D7221" i="41"/>
  <c r="D7222" i="41"/>
  <c r="D7223" i="41"/>
  <c r="D7224" i="41"/>
  <c r="D7225" i="41"/>
  <c r="D7226" i="41"/>
  <c r="D7227" i="41"/>
  <c r="D7228" i="41"/>
  <c r="D7229" i="41"/>
  <c r="D7230" i="41"/>
  <c r="D7231" i="41"/>
  <c r="D7232" i="41"/>
  <c r="D7233" i="41"/>
  <c r="D7234" i="41"/>
  <c r="D7235" i="41"/>
  <c r="D7236" i="41"/>
  <c r="D7237" i="41"/>
  <c r="D7238" i="41"/>
  <c r="D7239" i="41"/>
  <c r="D7240" i="41"/>
  <c r="D7241" i="41"/>
  <c r="D7242" i="41"/>
  <c r="D7243" i="41"/>
  <c r="D7244" i="41"/>
  <c r="D7245" i="41"/>
  <c r="D7246" i="41"/>
  <c r="D7247" i="41"/>
  <c r="D7248" i="41"/>
  <c r="D7249" i="41"/>
  <c r="D7250" i="41"/>
  <c r="D7251" i="41"/>
  <c r="D7252" i="41"/>
  <c r="D7253" i="41"/>
  <c r="D7254" i="41"/>
  <c r="D7255" i="41"/>
  <c r="D7256" i="41"/>
  <c r="D7257" i="41"/>
  <c r="D7258" i="41"/>
  <c r="D7259" i="41"/>
  <c r="D7260" i="41"/>
  <c r="D7261" i="41"/>
  <c r="D7262" i="41"/>
  <c r="D7263" i="41"/>
  <c r="D7264" i="41"/>
  <c r="D7265" i="41"/>
  <c r="D7266" i="41"/>
  <c r="D7267" i="41"/>
  <c r="D7268" i="41"/>
  <c r="D7269" i="41"/>
  <c r="D7270" i="41"/>
  <c r="D7271" i="41"/>
  <c r="D7272" i="41"/>
  <c r="D7273" i="41"/>
  <c r="D7274" i="41"/>
  <c r="D7275" i="41"/>
  <c r="D7276" i="41"/>
  <c r="D7277" i="41"/>
  <c r="D7278" i="41"/>
  <c r="D7279" i="41"/>
  <c r="D7280" i="41"/>
  <c r="D7281" i="41"/>
  <c r="D7282" i="41"/>
  <c r="D7283" i="41"/>
  <c r="D7284" i="41"/>
  <c r="D7285" i="41"/>
  <c r="D7286" i="41"/>
  <c r="D7287" i="41"/>
  <c r="D7288" i="41"/>
  <c r="D7289" i="41"/>
  <c r="D7290" i="41"/>
  <c r="D7291" i="41"/>
  <c r="D7292" i="41"/>
  <c r="D7293" i="41"/>
  <c r="D7294" i="41"/>
  <c r="D7295" i="41"/>
  <c r="D7296" i="41"/>
  <c r="D7297" i="41"/>
  <c r="D7298" i="41"/>
  <c r="D7299" i="41"/>
  <c r="D7300" i="41"/>
  <c r="D7301" i="41"/>
  <c r="D7302" i="41"/>
  <c r="D7303" i="41"/>
  <c r="D7304" i="41"/>
  <c r="D7305" i="41"/>
  <c r="D7306" i="41"/>
  <c r="D7307" i="41"/>
  <c r="D7308" i="41"/>
  <c r="D7309" i="41"/>
  <c r="D7310" i="41"/>
  <c r="D7311" i="41"/>
  <c r="D7312" i="41"/>
  <c r="D7313" i="41"/>
  <c r="D7314" i="41"/>
  <c r="D7315" i="41"/>
  <c r="D7316" i="41"/>
  <c r="D7317" i="41"/>
  <c r="D7318" i="41"/>
  <c r="D7319" i="41"/>
  <c r="D7320" i="41"/>
  <c r="D7321" i="41"/>
  <c r="D7322" i="41"/>
  <c r="D7323" i="41"/>
  <c r="D7324" i="41"/>
  <c r="D7325" i="41"/>
  <c r="D7326" i="41"/>
  <c r="D7327" i="41"/>
  <c r="D7328" i="41"/>
  <c r="D7329" i="41"/>
  <c r="D7330" i="41"/>
  <c r="D7331" i="41"/>
  <c r="D7332" i="41"/>
  <c r="D7333" i="41"/>
  <c r="D7334" i="41"/>
  <c r="D7335" i="41"/>
  <c r="D7336" i="41"/>
  <c r="D7337" i="41"/>
  <c r="D7338" i="41"/>
  <c r="D7339" i="41"/>
  <c r="D7340" i="41"/>
  <c r="D7341" i="41"/>
  <c r="D7342" i="41"/>
  <c r="D7343" i="41"/>
  <c r="D7344" i="41"/>
  <c r="D7345" i="41"/>
  <c r="D7346" i="41"/>
  <c r="D7347" i="41"/>
  <c r="D7348" i="41"/>
  <c r="D7349" i="41"/>
  <c r="D7350" i="41"/>
  <c r="D7351" i="41"/>
  <c r="D7352" i="41"/>
  <c r="D7353" i="41"/>
  <c r="D7354" i="41"/>
  <c r="D7355" i="41"/>
  <c r="D7356" i="41"/>
  <c r="D7357" i="41"/>
  <c r="D7358" i="41"/>
  <c r="D7359" i="41"/>
  <c r="D7360" i="41"/>
  <c r="D7361" i="41"/>
  <c r="D7362" i="41"/>
  <c r="D7363" i="41"/>
  <c r="D7364" i="41"/>
  <c r="D7365" i="41"/>
  <c r="D7366" i="41"/>
  <c r="D7367" i="41"/>
  <c r="D7368" i="41"/>
  <c r="D7369" i="41"/>
  <c r="D7370" i="41"/>
  <c r="D7371" i="41"/>
  <c r="D7372" i="41"/>
  <c r="D7373" i="41"/>
  <c r="D7374" i="41"/>
  <c r="D7375" i="41"/>
  <c r="D7376" i="41"/>
  <c r="D7377" i="41"/>
  <c r="D7378" i="41"/>
  <c r="D7379" i="41"/>
  <c r="D7380" i="41"/>
  <c r="D7381" i="41"/>
  <c r="D7382" i="41"/>
  <c r="D7383" i="41"/>
  <c r="D7384" i="41"/>
  <c r="D7385" i="41"/>
  <c r="D7386" i="41"/>
  <c r="D7387" i="41"/>
  <c r="D7388" i="41"/>
  <c r="D7389" i="41"/>
  <c r="D7390" i="41"/>
  <c r="D7391" i="41"/>
  <c r="D7392" i="41"/>
  <c r="D7393" i="41"/>
  <c r="D7394" i="41"/>
  <c r="D7395" i="41"/>
  <c r="D7396" i="41"/>
  <c r="D7397" i="41"/>
  <c r="D7398" i="41"/>
  <c r="D7399" i="41"/>
  <c r="D7400" i="41"/>
  <c r="D7401" i="41"/>
  <c r="D7402" i="41"/>
  <c r="D7403" i="41"/>
  <c r="D7404" i="41"/>
  <c r="D7405" i="41"/>
  <c r="D7406" i="41"/>
  <c r="D7407" i="41"/>
  <c r="D7408" i="41"/>
  <c r="D7409" i="41"/>
  <c r="D7410" i="41"/>
  <c r="D7411" i="41"/>
  <c r="D7412" i="41"/>
  <c r="D7413" i="41"/>
  <c r="D7414" i="41"/>
  <c r="D7415" i="41"/>
  <c r="D7416" i="41"/>
  <c r="D7417" i="41"/>
  <c r="D7418" i="41"/>
  <c r="D7419" i="41"/>
  <c r="D7420" i="41"/>
  <c r="D7421" i="41"/>
  <c r="D7422" i="41"/>
  <c r="D7423" i="41"/>
  <c r="D7424" i="41"/>
  <c r="D7425" i="41"/>
  <c r="D7426" i="41"/>
  <c r="D7427" i="41"/>
  <c r="D7428" i="41"/>
  <c r="D7429" i="41"/>
  <c r="D7430" i="41"/>
  <c r="D7431" i="41"/>
  <c r="D7432" i="41"/>
  <c r="D7433" i="41"/>
  <c r="D7434" i="41"/>
  <c r="D7435" i="41"/>
  <c r="D7436" i="41"/>
  <c r="D7437" i="41"/>
  <c r="D7438" i="41"/>
  <c r="D7439" i="41"/>
  <c r="D7440" i="41"/>
  <c r="D7441" i="41"/>
  <c r="D7442" i="41"/>
  <c r="D7443" i="41"/>
  <c r="D7444" i="41"/>
  <c r="D7445" i="41"/>
  <c r="D7446" i="41"/>
  <c r="D7447" i="41"/>
  <c r="D7448" i="41"/>
  <c r="D7449" i="41"/>
  <c r="D7450" i="41"/>
  <c r="D7451" i="41"/>
  <c r="D7452" i="41"/>
  <c r="D7453" i="41"/>
  <c r="D7454" i="41"/>
  <c r="D7455" i="41"/>
  <c r="D7456" i="41"/>
  <c r="D7457" i="41"/>
  <c r="D7458" i="41"/>
  <c r="D7459" i="41"/>
  <c r="D7460" i="41"/>
  <c r="D7461" i="41"/>
  <c r="D7462" i="41"/>
  <c r="D7463" i="41"/>
  <c r="D7464" i="41"/>
  <c r="D7465" i="41"/>
  <c r="D7466" i="41"/>
  <c r="D7467" i="41"/>
  <c r="D7468" i="41"/>
  <c r="D7469" i="41"/>
  <c r="D7470" i="41"/>
  <c r="D7471" i="41"/>
  <c r="D7472" i="41"/>
  <c r="D7473" i="41"/>
  <c r="D7474" i="41"/>
  <c r="D7475" i="41"/>
  <c r="D7476" i="41"/>
  <c r="D7477" i="41"/>
  <c r="D7478" i="41"/>
  <c r="D7479" i="41"/>
  <c r="D7480" i="41"/>
  <c r="D7481" i="41"/>
  <c r="D7482" i="41"/>
  <c r="D7483" i="41"/>
  <c r="D7484" i="41"/>
  <c r="D7485" i="41"/>
  <c r="D7486" i="41"/>
  <c r="D7487" i="41"/>
  <c r="D7488" i="41"/>
  <c r="D7489" i="41"/>
  <c r="D7490" i="41"/>
  <c r="D7491" i="41"/>
  <c r="D7492" i="41"/>
  <c r="D7493" i="41"/>
  <c r="D7494" i="41"/>
  <c r="D7495" i="41"/>
  <c r="D7496" i="41"/>
  <c r="D7497" i="41"/>
  <c r="D7498" i="41"/>
  <c r="D7499" i="41"/>
  <c r="D7500" i="41"/>
  <c r="D7501" i="41"/>
  <c r="D7502" i="41"/>
  <c r="D7503" i="41"/>
  <c r="D7504" i="41"/>
  <c r="D7505" i="41"/>
  <c r="D7506" i="41"/>
  <c r="D7507" i="41"/>
  <c r="D7508" i="41"/>
  <c r="D7509" i="41"/>
  <c r="D7510" i="41"/>
  <c r="D7511" i="41"/>
  <c r="D7512" i="41"/>
  <c r="D7513" i="41"/>
  <c r="D7514" i="41"/>
  <c r="D7515" i="41"/>
  <c r="D7516" i="41"/>
  <c r="D7517" i="41"/>
  <c r="D7518" i="41"/>
  <c r="D7519" i="41"/>
  <c r="D7520" i="41"/>
  <c r="D7521" i="41"/>
  <c r="D7522" i="41"/>
  <c r="D7523" i="41"/>
  <c r="D7524" i="41"/>
  <c r="D7525" i="41"/>
  <c r="D7526" i="41"/>
  <c r="D7527" i="41"/>
  <c r="D7528" i="41"/>
  <c r="D7529" i="41"/>
  <c r="D7530" i="41"/>
  <c r="D7531" i="41"/>
  <c r="D7532" i="41"/>
  <c r="D7533" i="41"/>
  <c r="D7534" i="41"/>
  <c r="D7535" i="41"/>
  <c r="D7536" i="41"/>
  <c r="D7537" i="41"/>
  <c r="D7538" i="41"/>
  <c r="D7539" i="41"/>
  <c r="D7540" i="41"/>
  <c r="D7541" i="41"/>
  <c r="D7542" i="41"/>
  <c r="D7543" i="41"/>
  <c r="D7544" i="41"/>
  <c r="D7545" i="41"/>
  <c r="D7546" i="41"/>
  <c r="D7547" i="41"/>
  <c r="D7548" i="41"/>
  <c r="D7549" i="41"/>
  <c r="D7550" i="41"/>
  <c r="D7551" i="41"/>
  <c r="D7552" i="41"/>
  <c r="D7553" i="41"/>
  <c r="D7554" i="41"/>
  <c r="D7555" i="41"/>
  <c r="D7556" i="41"/>
  <c r="D7557" i="41"/>
  <c r="D7558" i="41"/>
  <c r="D7559" i="41"/>
  <c r="D7560" i="41"/>
  <c r="D7561" i="41"/>
  <c r="D7562" i="41"/>
  <c r="D7563" i="41"/>
  <c r="D7564" i="41"/>
  <c r="D7565" i="41"/>
  <c r="D7566" i="41"/>
  <c r="D7567" i="41"/>
  <c r="D7568" i="41"/>
  <c r="D7569" i="41"/>
  <c r="D7570" i="41"/>
  <c r="D7571" i="41"/>
  <c r="D7572" i="41"/>
  <c r="D7573" i="41"/>
  <c r="D7574" i="41"/>
  <c r="D7575" i="41"/>
  <c r="D7576" i="41"/>
  <c r="D7577" i="41"/>
  <c r="D7578" i="41"/>
  <c r="D7579" i="41"/>
  <c r="D7580" i="41"/>
  <c r="D7581" i="41"/>
  <c r="D7582" i="41"/>
  <c r="D7583" i="41"/>
  <c r="D7584" i="41"/>
  <c r="D7585" i="41"/>
  <c r="D7586" i="41"/>
  <c r="D7587" i="41"/>
  <c r="D7588" i="41"/>
  <c r="D7589" i="41"/>
  <c r="D7590" i="41"/>
  <c r="D7591" i="41"/>
  <c r="D7592" i="41"/>
  <c r="D7593" i="41"/>
  <c r="D7594" i="41"/>
  <c r="D7595" i="41"/>
  <c r="D7596" i="41"/>
  <c r="D7597" i="41"/>
  <c r="D7598" i="41"/>
  <c r="D7599" i="41"/>
  <c r="D7600" i="41"/>
  <c r="D7601" i="41"/>
  <c r="D7602" i="41"/>
  <c r="D7603" i="41"/>
  <c r="D7604" i="41"/>
  <c r="D7605" i="41"/>
  <c r="D7606" i="41"/>
  <c r="D7607" i="41"/>
  <c r="D7608" i="41"/>
  <c r="D7609" i="41"/>
  <c r="D7610" i="41"/>
  <c r="D7611" i="41"/>
  <c r="D7612" i="41"/>
  <c r="D7613" i="41"/>
  <c r="D7614" i="41"/>
  <c r="D7615" i="41"/>
  <c r="D7616" i="41"/>
  <c r="D7617" i="41"/>
  <c r="D7618" i="41"/>
  <c r="D7619" i="41"/>
  <c r="D7620" i="41"/>
  <c r="D7621" i="41"/>
  <c r="D7622" i="41"/>
  <c r="D7623" i="41"/>
  <c r="D7624" i="41"/>
  <c r="D7625" i="41"/>
  <c r="D7626" i="41"/>
  <c r="D7627" i="41"/>
  <c r="D7628" i="41"/>
  <c r="D7629" i="41"/>
  <c r="D7630" i="41"/>
  <c r="D7631" i="41"/>
  <c r="D7632" i="41"/>
  <c r="D7633" i="41"/>
  <c r="D7634" i="41"/>
  <c r="D7635" i="41"/>
  <c r="D7636" i="41"/>
  <c r="D7637" i="41"/>
  <c r="D7638" i="41"/>
  <c r="D7639" i="41"/>
  <c r="D7640" i="41"/>
  <c r="D7641" i="41"/>
  <c r="D7642" i="41"/>
  <c r="D7643" i="41"/>
  <c r="D7644" i="41"/>
  <c r="D7645" i="41"/>
  <c r="D7646" i="41"/>
  <c r="D7647" i="41"/>
  <c r="D7648" i="41"/>
  <c r="D7649" i="41"/>
  <c r="D7650" i="41"/>
  <c r="D7651" i="41"/>
  <c r="D7652" i="41"/>
  <c r="D7653" i="41"/>
  <c r="D7654" i="41"/>
  <c r="D7655" i="41"/>
  <c r="D7656" i="41"/>
  <c r="D7657" i="41"/>
  <c r="D7658" i="41"/>
  <c r="D7659" i="41"/>
  <c r="D7660" i="41"/>
  <c r="D7661" i="41"/>
  <c r="D7662" i="41"/>
  <c r="D7663" i="41"/>
  <c r="D7664" i="41"/>
  <c r="D7665" i="41"/>
  <c r="D7666" i="41"/>
  <c r="D7667" i="41"/>
  <c r="D7668" i="41"/>
  <c r="D7669" i="41"/>
  <c r="D7670" i="41"/>
  <c r="D7671" i="41"/>
  <c r="D7672" i="41"/>
  <c r="D7673" i="41"/>
  <c r="D7674" i="41"/>
  <c r="D7675" i="41"/>
  <c r="D7676" i="41"/>
  <c r="D7677" i="41"/>
  <c r="D7678" i="41"/>
  <c r="D7679" i="41"/>
  <c r="D7680" i="41"/>
  <c r="D7681" i="41"/>
  <c r="D7682" i="41"/>
  <c r="D7683" i="41"/>
  <c r="D7684" i="41"/>
  <c r="D7685" i="41"/>
  <c r="D7686" i="41"/>
  <c r="D7687" i="41"/>
  <c r="D7688" i="41"/>
  <c r="D7689" i="41"/>
  <c r="D7690" i="41"/>
  <c r="D7691" i="41"/>
  <c r="D7692" i="41"/>
  <c r="D7693" i="41"/>
  <c r="D7694" i="41"/>
  <c r="D7695" i="41"/>
  <c r="D7696" i="41"/>
  <c r="D7697" i="41"/>
  <c r="D7698" i="41"/>
  <c r="D7699" i="41"/>
  <c r="D7700" i="41"/>
  <c r="D7701" i="41"/>
  <c r="D7702" i="41"/>
  <c r="D7703" i="41"/>
  <c r="D7704" i="41"/>
  <c r="D7705" i="41"/>
  <c r="D7706" i="41"/>
  <c r="D7707" i="41"/>
  <c r="D7708" i="41"/>
  <c r="D7709" i="41"/>
  <c r="D7710" i="41"/>
  <c r="D7711" i="41"/>
  <c r="D7712" i="41"/>
  <c r="D7713" i="41"/>
  <c r="D7714" i="41"/>
  <c r="D7715" i="41"/>
  <c r="D7716" i="41"/>
  <c r="D7717" i="41"/>
  <c r="B8" i="39"/>
  <c r="B9" i="39" s="1"/>
  <c r="B10" i="39" s="1"/>
  <c r="B11" i="39" s="1"/>
  <c r="B12" i="39" s="1"/>
  <c r="B13" i="39" s="1"/>
  <c r="B14" i="39" s="1"/>
  <c r="B15" i="39" s="1"/>
  <c r="B16" i="39" s="1"/>
  <c r="B17" i="39" s="1"/>
  <c r="B18" i="39" s="1"/>
  <c r="B19" i="39" s="1"/>
  <c r="B20" i="39" s="1"/>
  <c r="B21" i="39" s="1"/>
  <c r="B22" i="39" s="1"/>
  <c r="B23" i="39" s="1"/>
  <c r="B24" i="39" s="1"/>
  <c r="B25" i="39" s="1"/>
  <c r="B26" i="39" s="1"/>
  <c r="B27" i="39" s="1"/>
  <c r="B28" i="39" s="1"/>
  <c r="B29" i="39" s="1"/>
  <c r="B30" i="39" s="1"/>
  <c r="B31" i="39" s="1"/>
  <c r="B32" i="39" s="1"/>
  <c r="B33" i="39" s="1"/>
  <c r="B34" i="39" s="1"/>
  <c r="B35" i="39" s="1"/>
  <c r="B36" i="39" s="1"/>
  <c r="B37" i="39" s="1"/>
  <c r="B38" i="39" s="1"/>
  <c r="B39" i="39" s="1"/>
  <c r="B40" i="39" s="1"/>
  <c r="B41" i="39" s="1"/>
  <c r="B42" i="39" s="1"/>
  <c r="B43" i="39" s="1"/>
  <c r="B44" i="39" s="1"/>
  <c r="B45" i="39" s="1"/>
  <c r="B46" i="39" s="1"/>
  <c r="B47" i="39" s="1"/>
  <c r="B48" i="39" s="1"/>
  <c r="B49" i="39" s="1"/>
  <c r="B50" i="39" s="1"/>
  <c r="B51" i="39" s="1"/>
  <c r="B52" i="39" s="1"/>
  <c r="B53" i="39" s="1"/>
  <c r="B54" i="39" s="1"/>
  <c r="B55" i="39" s="1"/>
  <c r="B56" i="39" s="1"/>
  <c r="B57" i="39" s="1"/>
  <c r="B58" i="39" s="1"/>
  <c r="B59" i="39" s="1"/>
  <c r="B60" i="39" s="1"/>
  <c r="B61" i="39" s="1"/>
  <c r="B62" i="39" s="1"/>
  <c r="B63" i="39" s="1"/>
  <c r="B64" i="39" s="1"/>
  <c r="B65" i="39" s="1"/>
  <c r="B66" i="39" s="1"/>
  <c r="B67" i="39" s="1"/>
  <c r="B68" i="39" s="1"/>
  <c r="B69" i="39" s="1"/>
  <c r="B70" i="39" s="1"/>
  <c r="B71" i="39" s="1"/>
  <c r="B72" i="39" s="1"/>
  <c r="B73" i="39" s="1"/>
  <c r="B74" i="39" s="1"/>
  <c r="B75" i="39" s="1"/>
  <c r="B76" i="39" s="1"/>
  <c r="B77" i="39" s="1"/>
  <c r="B78" i="39" s="1"/>
  <c r="B79" i="39" s="1"/>
  <c r="B80" i="39" s="1"/>
  <c r="B81" i="39" s="1"/>
  <c r="B82" i="39" s="1"/>
  <c r="B83" i="39" s="1"/>
  <c r="B84" i="39" s="1"/>
  <c r="B85" i="39" s="1"/>
  <c r="B86" i="39" s="1"/>
  <c r="B87" i="39" s="1"/>
  <c r="B88" i="39" s="1"/>
  <c r="B89" i="39" s="1"/>
  <c r="B90" i="39" s="1"/>
  <c r="B91" i="39" s="1"/>
  <c r="B92" i="39" s="1"/>
  <c r="B93" i="39" s="1"/>
  <c r="B94" i="39" s="1"/>
  <c r="B95" i="39" s="1"/>
  <c r="B96" i="39" s="1"/>
  <c r="B97" i="39" s="1"/>
  <c r="B98" i="39" s="1"/>
  <c r="B99" i="39" s="1"/>
  <c r="B100" i="39" s="1"/>
  <c r="B101" i="39" s="1"/>
  <c r="B102" i="39" s="1"/>
  <c r="B103" i="39" s="1"/>
  <c r="B104" i="39" s="1"/>
  <c r="B105" i="39" s="1"/>
  <c r="B106" i="39" s="1"/>
  <c r="B107" i="39" s="1"/>
  <c r="B108" i="39" s="1"/>
  <c r="B109" i="39" s="1"/>
  <c r="B110" i="39" s="1"/>
  <c r="B111" i="39" s="1"/>
  <c r="B112" i="39" s="1"/>
  <c r="B113" i="39" s="1"/>
  <c r="B114" i="39" s="1"/>
  <c r="B115" i="39" s="1"/>
  <c r="B116" i="39" s="1"/>
  <c r="B117" i="39" s="1"/>
  <c r="B118" i="39" s="1"/>
  <c r="B119" i="39" s="1"/>
  <c r="B120" i="39" s="1"/>
  <c r="B121" i="39" s="1"/>
  <c r="B122" i="39" s="1"/>
  <c r="B123" i="39" s="1"/>
  <c r="B124" i="39" s="1"/>
  <c r="B125" i="39" s="1"/>
  <c r="B126" i="39" s="1"/>
  <c r="B127" i="39" s="1"/>
  <c r="B128" i="39" s="1"/>
  <c r="B129" i="39" s="1"/>
  <c r="B130" i="39" s="1"/>
  <c r="B131" i="39" s="1"/>
  <c r="B132" i="39" s="1"/>
  <c r="B133" i="39" s="1"/>
  <c r="B134" i="39" s="1"/>
  <c r="B135" i="39" s="1"/>
  <c r="B136" i="39" s="1"/>
  <c r="B137" i="39" s="1"/>
  <c r="B138" i="39" s="1"/>
  <c r="B139" i="39" s="1"/>
  <c r="B140" i="39" s="1"/>
  <c r="B141" i="39" s="1"/>
  <c r="B142" i="39" s="1"/>
  <c r="B143" i="39" s="1"/>
  <c r="B144" i="39" s="1"/>
  <c r="B145" i="39" s="1"/>
  <c r="B146" i="39" s="1"/>
  <c r="B147" i="39" s="1"/>
  <c r="B148" i="39" s="1"/>
  <c r="B149" i="39" s="1"/>
  <c r="B150" i="39" s="1"/>
  <c r="B151" i="39" s="1"/>
  <c r="B152" i="39" s="1"/>
  <c r="B153" i="39" s="1"/>
  <c r="B154" i="39" s="1"/>
  <c r="B155" i="39" s="1"/>
  <c r="B156" i="39" s="1"/>
  <c r="B157" i="39" s="1"/>
  <c r="B158" i="39" s="1"/>
  <c r="B159" i="39" s="1"/>
  <c r="B160" i="39" s="1"/>
  <c r="B161" i="39" s="1"/>
  <c r="B162" i="39" s="1"/>
  <c r="B163" i="39" s="1"/>
  <c r="B164" i="39" s="1"/>
  <c r="B165" i="39" s="1"/>
  <c r="B166" i="39" s="1"/>
  <c r="B167" i="39" s="1"/>
  <c r="B168" i="39" s="1"/>
  <c r="B169" i="39" s="1"/>
  <c r="B170" i="39" s="1"/>
  <c r="B171" i="39" s="1"/>
  <c r="B172" i="39" s="1"/>
  <c r="B173" i="39" s="1"/>
  <c r="B174" i="39" s="1"/>
  <c r="B175" i="39" s="1"/>
  <c r="B176" i="39" s="1"/>
  <c r="B177" i="39" s="1"/>
  <c r="B178" i="39" s="1"/>
  <c r="B179" i="39" s="1"/>
  <c r="B180" i="39" s="1"/>
  <c r="B181" i="39" s="1"/>
  <c r="B182" i="39" s="1"/>
  <c r="B183" i="39" s="1"/>
  <c r="B184" i="39" s="1"/>
  <c r="B185" i="39" s="1"/>
  <c r="B186" i="39" s="1"/>
  <c r="B187" i="39" s="1"/>
  <c r="B188" i="39" s="1"/>
  <c r="B189" i="39" s="1"/>
  <c r="B190" i="39" s="1"/>
  <c r="B191" i="39" s="1"/>
  <c r="B192" i="39" s="1"/>
  <c r="B193" i="39" s="1"/>
  <c r="B194" i="39" s="1"/>
  <c r="B195" i="39" s="1"/>
  <c r="B196" i="39" s="1"/>
  <c r="B197" i="39" s="1"/>
  <c r="B198" i="39" s="1"/>
  <c r="B199" i="39" s="1"/>
  <c r="B200" i="39" s="1"/>
  <c r="B201" i="39" s="1"/>
  <c r="B202" i="39" s="1"/>
  <c r="B203" i="39" s="1"/>
  <c r="B204" i="39" s="1"/>
  <c r="B205" i="39" s="1"/>
  <c r="B206" i="39" s="1"/>
  <c r="E206" i="39"/>
  <c r="B33" i="38"/>
  <c r="B34" i="38" s="1"/>
  <c r="B35" i="38" s="1"/>
  <c r="B36" i="38" s="1"/>
  <c r="B37" i="38" s="1"/>
  <c r="B38" i="38" s="1"/>
  <c r="B39" i="38" s="1"/>
  <c r="B40" i="38" s="1"/>
  <c r="B41" i="38" s="1"/>
  <c r="B42" i="38" s="1"/>
  <c r="B43" i="38" s="1"/>
  <c r="B44" i="38" s="1"/>
  <c r="B45" i="38" s="1"/>
  <c r="B46" i="38" s="1"/>
  <c r="B47" i="38" s="1"/>
  <c r="B48" i="38" s="1"/>
  <c r="B49" i="38" s="1"/>
  <c r="B50" i="38" s="1"/>
  <c r="B51" i="38" s="1"/>
  <c r="B52" i="38" s="1"/>
  <c r="B53" i="38" s="1"/>
  <c r="B54" i="38" s="1"/>
  <c r="B55" i="38" s="1"/>
  <c r="B56" i="38" s="1"/>
  <c r="B57" i="38" s="1"/>
  <c r="B58" i="38" s="1"/>
  <c r="B59" i="38" s="1"/>
  <c r="B60" i="38" s="1"/>
  <c r="B61" i="38" s="1"/>
  <c r="B62" i="38" s="1"/>
  <c r="B63" i="38" s="1"/>
  <c r="B64" i="38" s="1"/>
  <c r="B65" i="38" s="1"/>
  <c r="B66" i="38" s="1"/>
  <c r="B67" i="38" s="1"/>
  <c r="B68" i="38" s="1"/>
  <c r="B69" i="38" s="1"/>
  <c r="B70" i="38" s="1"/>
  <c r="B71" i="38" s="1"/>
  <c r="B72" i="38" s="1"/>
  <c r="B73" i="38" s="1"/>
  <c r="B74" i="38" s="1"/>
  <c r="B75" i="38" s="1"/>
  <c r="B76" i="38" s="1"/>
  <c r="B77" i="38" s="1"/>
  <c r="B78" i="38" s="1"/>
  <c r="B79" i="38" s="1"/>
  <c r="B80" i="38" s="1"/>
  <c r="B81" i="38" s="1"/>
  <c r="B82" i="38" s="1"/>
  <c r="B83" i="38" s="1"/>
  <c r="B84" i="38" s="1"/>
  <c r="B85" i="38" s="1"/>
  <c r="B86" i="38" s="1"/>
  <c r="B87" i="38" s="1"/>
  <c r="B88" i="38" s="1"/>
  <c r="B89" i="38" s="1"/>
  <c r="B90" i="38" s="1"/>
  <c r="B91" i="38" s="1"/>
  <c r="B92" i="38" s="1"/>
  <c r="B93" i="38" s="1"/>
  <c r="B94" i="38" s="1"/>
  <c r="B95" i="38" s="1"/>
  <c r="B96" i="38" s="1"/>
  <c r="B97" i="38" s="1"/>
  <c r="B98" i="38" s="1"/>
  <c r="B99" i="38" s="1"/>
  <c r="B100" i="38" s="1"/>
  <c r="B101" i="38" s="1"/>
  <c r="B102" i="38" s="1"/>
  <c r="B103" i="38" s="1"/>
  <c r="B104" i="38" s="1"/>
  <c r="B105" i="38" s="1"/>
  <c r="B106" i="38" s="1"/>
  <c r="B107" i="38" s="1"/>
  <c r="B108" i="38" s="1"/>
  <c r="B109" i="38" s="1"/>
  <c r="B110" i="38" s="1"/>
  <c r="B111" i="38" s="1"/>
  <c r="B112" i="38" s="1"/>
  <c r="B113" i="38" s="1"/>
  <c r="B114" i="38" s="1"/>
  <c r="B115" i="38" s="1"/>
  <c r="B116" i="38" s="1"/>
  <c r="B117" i="38" s="1"/>
  <c r="B118" i="38" s="1"/>
  <c r="B119" i="38" s="1"/>
  <c r="B120" i="38" s="1"/>
  <c r="B121" i="38" s="1"/>
  <c r="B122" i="38" s="1"/>
  <c r="B123" i="38" s="1"/>
  <c r="B124" i="38" s="1"/>
  <c r="B125" i="38" s="1"/>
  <c r="B126" i="38" s="1"/>
  <c r="B127" i="38" s="1"/>
  <c r="B128" i="38" s="1"/>
  <c r="B129" i="38" s="1"/>
  <c r="B130" i="38" s="1"/>
  <c r="B131" i="38" s="1"/>
  <c r="B132" i="38" s="1"/>
  <c r="B133" i="38" s="1"/>
  <c r="B134" i="38" s="1"/>
  <c r="B135" i="38" s="1"/>
  <c r="B136" i="38" s="1"/>
  <c r="B137" i="38" s="1"/>
  <c r="B138" i="38" s="1"/>
  <c r="B139" i="38" s="1"/>
  <c r="B140" i="38" s="1"/>
  <c r="B141" i="38" s="1"/>
  <c r="B142" i="38" s="1"/>
  <c r="B143" i="38" s="1"/>
  <c r="B144" i="38" s="1"/>
  <c r="B145" i="38" s="1"/>
  <c r="B146" i="38" s="1"/>
  <c r="B147" i="38" s="1"/>
  <c r="B148" i="38" s="1"/>
  <c r="B149" i="38" s="1"/>
  <c r="B150" i="38" s="1"/>
  <c r="B151" i="38" s="1"/>
  <c r="B152" i="38" s="1"/>
  <c r="B153" i="38" s="1"/>
  <c r="B154" i="38" s="1"/>
  <c r="B155" i="38" s="1"/>
  <c r="B156" i="38" s="1"/>
  <c r="B157" i="38" s="1"/>
  <c r="B158" i="38" s="1"/>
  <c r="B159" i="38" s="1"/>
  <c r="B160" i="38" s="1"/>
  <c r="B161" i="38" s="1"/>
  <c r="B162" i="38" s="1"/>
  <c r="B163" i="38" s="1"/>
  <c r="B164" i="38" s="1"/>
  <c r="B165" i="38" s="1"/>
  <c r="B166" i="38" s="1"/>
  <c r="B167" i="38" s="1"/>
  <c r="B168" i="38" s="1"/>
  <c r="B169" i="38" s="1"/>
  <c r="B170" i="38" s="1"/>
  <c r="B171" i="38" s="1"/>
  <c r="B172" i="38" s="1"/>
  <c r="B173" i="38" s="1"/>
  <c r="B174" i="38" s="1"/>
  <c r="B175" i="38" s="1"/>
  <c r="B176" i="38" s="1"/>
  <c r="B177" i="38" s="1"/>
  <c r="B178" i="38" s="1"/>
  <c r="B179" i="38" s="1"/>
  <c r="B180" i="38" s="1"/>
  <c r="B181" i="38" s="1"/>
  <c r="B182" i="38" s="1"/>
  <c r="B183" i="38" s="1"/>
  <c r="B184" i="38" s="1"/>
  <c r="B185" i="38" s="1"/>
  <c r="B186" i="38" s="1"/>
  <c r="B187" i="38" s="1"/>
  <c r="B188" i="38" s="1"/>
  <c r="B189" i="38" s="1"/>
  <c r="B190" i="38" s="1"/>
  <c r="B191" i="38" s="1"/>
  <c r="B192" i="38" s="1"/>
  <c r="B193" i="38" s="1"/>
  <c r="B194" i="38" s="1"/>
  <c r="B195" i="38" s="1"/>
  <c r="B196" i="38" s="1"/>
  <c r="B197" i="38" s="1"/>
  <c r="B198" i="38" s="1"/>
  <c r="B199" i="38" s="1"/>
  <c r="B200" i="38" s="1"/>
  <c r="B201" i="38" s="1"/>
  <c r="B202" i="38" s="1"/>
  <c r="B203" i="38" s="1"/>
  <c r="B204" i="38" s="1"/>
  <c r="B205" i="38" s="1"/>
  <c r="B206" i="38" s="1"/>
  <c r="B207" i="38" s="1"/>
  <c r="B208" i="38" s="1"/>
  <c r="B209" i="38" s="1"/>
  <c r="B210" i="38" s="1"/>
  <c r="B211" i="38" s="1"/>
  <c r="B212" i="38" s="1"/>
  <c r="B213" i="38" s="1"/>
  <c r="B214" i="38" s="1"/>
  <c r="B215" i="38" s="1"/>
  <c r="B216" i="38" s="1"/>
  <c r="B217" i="38" s="1"/>
  <c r="B218" i="38" s="1"/>
  <c r="B219" i="38" s="1"/>
  <c r="B220" i="38" s="1"/>
  <c r="B221" i="38" s="1"/>
  <c r="B222" i="38" s="1"/>
  <c r="B223" i="38" s="1"/>
  <c r="B224" i="38" s="1"/>
  <c r="B225" i="38" s="1"/>
  <c r="B226" i="38" s="1"/>
  <c r="B227" i="38" s="1"/>
  <c r="B228" i="38" s="1"/>
  <c r="B229" i="38" s="1"/>
  <c r="B230" i="38" s="1"/>
  <c r="B231" i="38" s="1"/>
  <c r="G463" i="37" a="1"/>
  <c r="G464" i="37" s="1"/>
  <c r="I463" i="37" a="1"/>
  <c r="I463" i="37" s="1"/>
  <c r="E485" i="37" a="1"/>
  <c r="E485" i="37" s="1"/>
  <c r="E488" i="37" a="1"/>
  <c r="E488" i="37" s="1"/>
  <c r="G601" i="37" a="1"/>
  <c r="G601" i="37" s="1"/>
  <c r="I601" i="37" a="1"/>
  <c r="I601" i="37" s="1"/>
  <c r="D610" i="37" a="1"/>
  <c r="D610" i="37" s="1"/>
  <c r="D613" i="37" a="1"/>
  <c r="D614" i="37" s="1"/>
  <c r="G626" i="37" a="1"/>
  <c r="I626" i="37" a="1"/>
  <c r="I626" i="37" s="1"/>
  <c r="D634" i="37" a="1"/>
  <c r="D634" i="37" s="1"/>
  <c r="D637" i="37" a="1"/>
  <c r="G992" i="37" a="1"/>
  <c r="G992" i="37" s="1"/>
  <c r="I992" i="37" a="1"/>
  <c r="I992" i="37" s="1"/>
  <c r="D1001" i="37" a="1"/>
  <c r="D1002" i="37" s="1"/>
  <c r="D1004" i="37" a="1"/>
  <c r="D1005" i="37" s="1"/>
  <c r="G1013" i="37" a="1"/>
  <c r="G1013" i="37" s="1"/>
  <c r="I1013" i="37" a="1"/>
  <c r="I1013" i="37" s="1"/>
  <c r="E1021" i="37" a="1"/>
  <c r="E1021" i="37" s="1"/>
  <c r="E1025" i="37" a="1"/>
  <c r="H1087" i="37"/>
  <c r="D1194" i="37" a="1"/>
  <c r="D1194" i="37" s="1"/>
  <c r="D1197" i="37" a="1"/>
  <c r="D1198" i="37" s="1"/>
  <c r="D1202" i="37" a="1"/>
  <c r="D1204" i="37" s="1"/>
  <c r="D1205" i="37" a="1"/>
  <c r="D1207" i="37" s="1"/>
  <c r="G1220" i="37"/>
  <c r="G1221" i="37"/>
  <c r="G1225" i="37" a="1"/>
  <c r="G1226" i="37" s="1"/>
  <c r="I1225" i="37" a="1"/>
  <c r="I1225" i="37" s="1"/>
  <c r="D1235" i="37" a="1"/>
  <c r="D1238" i="37" a="1"/>
  <c r="D1238" i="37" s="1"/>
  <c r="D1243" i="37" a="1"/>
  <c r="D1244" i="37" s="1"/>
  <c r="D1246" i="37" a="1"/>
  <c r="D1247" i="37" s="1"/>
  <c r="D1254" i="37" a="1"/>
  <c r="D1254" i="37" s="1"/>
  <c r="D1257" i="37" a="1"/>
  <c r="D1258" i="37" s="1"/>
  <c r="D1262" i="37" a="1"/>
  <c r="D1263" i="37" s="1"/>
  <c r="D1265" i="37" a="1"/>
  <c r="D1266" i="37" s="1"/>
  <c r="G1280" i="37"/>
  <c r="G1281" i="37"/>
  <c r="G1285" i="37" a="1"/>
  <c r="G1286" i="37" s="1"/>
  <c r="I1285" i="37" a="1"/>
  <c r="I1285" i="37" s="1"/>
  <c r="D1295" i="37" a="1"/>
  <c r="D1298" i="37" a="1"/>
  <c r="D1298" i="37" s="1"/>
  <c r="D1303" i="37" a="1"/>
  <c r="D1304" i="37" s="1"/>
  <c r="D1306" i="37" a="1"/>
  <c r="D1306" i="37" s="1"/>
  <c r="G28" i="35"/>
  <c r="H28" i="35"/>
  <c r="I28" i="35"/>
  <c r="G30" i="35"/>
  <c r="H30" i="35"/>
  <c r="I30" i="35"/>
  <c r="J226" i="35"/>
  <c r="J262" i="35"/>
  <c r="J150" i="34"/>
  <c r="G332" i="34"/>
  <c r="G498" i="34"/>
  <c r="G38" i="35" l="1" a="1"/>
  <c r="H4437" i="41"/>
  <c r="G4437" i="41"/>
  <c r="K4437" i="41"/>
  <c r="J4437" i="41"/>
  <c r="I4437" i="41"/>
  <c r="D4438" i="41"/>
  <c r="E4438" i="41" s="1"/>
  <c r="F4438" i="41" s="1"/>
  <c r="J149" i="34"/>
  <c r="J144" i="34"/>
  <c r="N226" i="35"/>
  <c r="M226" i="35"/>
  <c r="I226" i="35"/>
  <c r="P226" i="35"/>
  <c r="L226" i="35"/>
  <c r="H226" i="35"/>
  <c r="O226" i="35"/>
  <c r="K226" i="35"/>
  <c r="G226" i="35"/>
  <c r="D1205" i="37"/>
  <c r="D1195" i="37"/>
  <c r="I994" i="37"/>
  <c r="E1023" i="37"/>
  <c r="E487" i="37"/>
  <c r="G1015" i="37"/>
  <c r="I993" i="37"/>
  <c r="I628" i="37"/>
  <c r="I465" i="37"/>
  <c r="D1206" i="37"/>
  <c r="I1014" i="37"/>
  <c r="I464" i="37"/>
  <c r="D1202" i="37"/>
  <c r="I602" i="37"/>
  <c r="G1014" i="37"/>
  <c r="I627" i="37"/>
  <c r="E486" i="37"/>
  <c r="D1307" i="37"/>
  <c r="D1203" i="37"/>
  <c r="D1196" i="37"/>
  <c r="G1016" i="37"/>
  <c r="D635" i="37"/>
  <c r="E490" i="37"/>
  <c r="G463" i="37"/>
  <c r="D1308" i="37"/>
  <c r="D1303" i="37"/>
  <c r="I1287" i="37"/>
  <c r="D1265" i="37"/>
  <c r="D1262" i="37"/>
  <c r="D1255" i="37"/>
  <c r="D1246" i="37"/>
  <c r="G1225" i="37"/>
  <c r="E1024" i="37"/>
  <c r="I1016" i="37"/>
  <c r="D1004" i="37"/>
  <c r="G994" i="37"/>
  <c r="I603" i="37"/>
  <c r="G1285" i="37"/>
  <c r="D1267" i="37"/>
  <c r="D1264" i="37"/>
  <c r="D1248" i="37"/>
  <c r="D1243" i="37"/>
  <c r="I1227" i="37"/>
  <c r="E1022" i="37"/>
  <c r="I1015" i="37"/>
  <c r="D1006" i="37"/>
  <c r="G993" i="37"/>
  <c r="D611" i="37"/>
  <c r="E489" i="37"/>
  <c r="D1256" i="37"/>
  <c r="J145" i="34"/>
  <c r="J147" i="34"/>
  <c r="J146" i="34"/>
  <c r="G627" i="37"/>
  <c r="G628" i="37"/>
  <c r="G626" i="37"/>
  <c r="D1295" i="37"/>
  <c r="D1296" i="37"/>
  <c r="D1297" i="37"/>
  <c r="D1235" i="37"/>
  <c r="D1236" i="37"/>
  <c r="D1237" i="37"/>
  <c r="E1025" i="37"/>
  <c r="E1027" i="37"/>
  <c r="E1026" i="37"/>
  <c r="E1028" i="37"/>
  <c r="D637" i="37"/>
  <c r="D639" i="37"/>
  <c r="D638" i="37"/>
  <c r="D1300" i="37"/>
  <c r="D1299" i="37"/>
  <c r="I1286" i="37"/>
  <c r="D1259" i="37"/>
  <c r="D1257" i="37"/>
  <c r="D1240" i="37"/>
  <c r="D1239" i="37"/>
  <c r="I1226" i="37"/>
  <c r="D1199" i="37"/>
  <c r="D1197" i="37"/>
  <c r="D1003" i="37"/>
  <c r="D1001" i="37"/>
  <c r="D613" i="37"/>
  <c r="D615" i="37"/>
  <c r="G602" i="37"/>
  <c r="G603" i="37"/>
  <c r="D1305" i="37"/>
  <c r="G1287" i="37"/>
  <c r="D1245" i="37"/>
  <c r="G1227" i="37"/>
  <c r="D636" i="37"/>
  <c r="D612" i="37"/>
  <c r="G465" i="37"/>
  <c r="G38" i="35" l="1"/>
  <c r="P41" i="35"/>
  <c r="I40" i="35"/>
  <c r="L38" i="35"/>
  <c r="L41" i="35"/>
  <c r="O39" i="35"/>
  <c r="P38" i="35"/>
  <c r="G39" i="35"/>
  <c r="M38" i="35"/>
  <c r="I38" i="35"/>
  <c r="O40" i="35"/>
  <c r="N38" i="35"/>
  <c r="N41" i="35"/>
  <c r="N61" i="35" s="1"/>
  <c r="G40" i="35"/>
  <c r="H42" i="35"/>
  <c r="M42" i="35"/>
  <c r="I42" i="35"/>
  <c r="O41" i="35"/>
  <c r="O61" i="35" s="1"/>
  <c r="L40" i="35"/>
  <c r="J39" i="35"/>
  <c r="H41" i="35"/>
  <c r="K39" i="35"/>
  <c r="K42" i="35"/>
  <c r="N40" i="35"/>
  <c r="H38" i="35"/>
  <c r="M41" i="35"/>
  <c r="O42" i="35"/>
  <c r="L39" i="35"/>
  <c r="P42" i="35"/>
  <c r="I41" i="35"/>
  <c r="P40" i="35"/>
  <c r="J41" i="35"/>
  <c r="K41" i="35"/>
  <c r="G41" i="35"/>
  <c r="O38" i="35"/>
  <c r="J40" i="35"/>
  <c r="P39" i="35"/>
  <c r="L42" i="35"/>
  <c r="H39" i="35"/>
  <c r="G42" i="35"/>
  <c r="J38" i="35"/>
  <c r="I39" i="35"/>
  <c r="K38" i="35"/>
  <c r="N42" i="35"/>
  <c r="J42" i="35"/>
  <c r="N39" i="35"/>
  <c r="K40" i="35"/>
  <c r="H40" i="35"/>
  <c r="M39" i="35"/>
  <c r="M40" i="35"/>
  <c r="G322" i="37" a="1"/>
  <c r="G322" i="37" s="1"/>
  <c r="J4438" i="41"/>
  <c r="I4438" i="41"/>
  <c r="G4438" i="41"/>
  <c r="K4438" i="41"/>
  <c r="H4438" i="41"/>
  <c r="D4439" i="41"/>
  <c r="E4439" i="41" s="1"/>
  <c r="F4439" i="41" s="1"/>
  <c r="H1224" i="37" a="1"/>
  <c r="H1226" i="37" s="1"/>
  <c r="H991" i="37" a="1"/>
  <c r="H993" i="37" s="1"/>
  <c r="J1224" i="37" a="1"/>
  <c r="J1224" i="37" s="1"/>
  <c r="H1012" i="37" a="1"/>
  <c r="H1012" i="37" s="1"/>
  <c r="J600" i="37" a="1"/>
  <c r="J602" i="37" s="1"/>
  <c r="H462" i="37" a="1"/>
  <c r="H463" i="37" s="1"/>
  <c r="H1284" i="37" a="1"/>
  <c r="H1285" i="37" s="1"/>
  <c r="J991" i="37" a="1"/>
  <c r="J1284" i="37" a="1"/>
  <c r="J1284" i="37" s="1"/>
  <c r="J625" i="37" a="1"/>
  <c r="J625" i="37" s="1"/>
  <c r="J462" i="37" a="1"/>
  <c r="J462" i="37" s="1"/>
  <c r="J1012" i="37" a="1"/>
  <c r="J1012" i="37" s="1"/>
  <c r="H600" i="37" a="1"/>
  <c r="H600" i="37" s="1"/>
  <c r="J148" i="34"/>
  <c r="F40" i="10" s="1" a="1"/>
  <c r="H625" i="37" a="1"/>
  <c r="I61" i="35" l="1"/>
  <c r="J61" i="35"/>
  <c r="H61" i="35"/>
  <c r="L61" i="35"/>
  <c r="G61" i="35"/>
  <c r="M61" i="35"/>
  <c r="P61" i="35"/>
  <c r="K61" i="35"/>
  <c r="M59" i="35"/>
  <c r="M57" i="35"/>
  <c r="L59" i="35"/>
  <c r="L57" i="35"/>
  <c r="P59" i="35"/>
  <c r="P57" i="35"/>
  <c r="N59" i="35"/>
  <c r="N57" i="35"/>
  <c r="K59" i="35"/>
  <c r="K57" i="35"/>
  <c r="O59" i="35"/>
  <c r="O57" i="35"/>
  <c r="I57" i="35"/>
  <c r="I59" i="35"/>
  <c r="J59" i="35"/>
  <c r="J57" i="35"/>
  <c r="H57" i="35"/>
  <c r="H59" i="35"/>
  <c r="G59" i="35"/>
  <c r="G57" i="35"/>
  <c r="P322" i="37"/>
  <c r="H322" i="37"/>
  <c r="N322" i="37"/>
  <c r="I322" i="37"/>
  <c r="K322" i="37"/>
  <c r="L322" i="37"/>
  <c r="O322" i="37"/>
  <c r="J322" i="37"/>
  <c r="M322" i="37"/>
  <c r="K4439" i="41"/>
  <c r="I4439" i="41"/>
  <c r="H4439" i="41"/>
  <c r="J4439" i="41"/>
  <c r="G4439" i="41"/>
  <c r="D4440" i="41"/>
  <c r="E4440" i="41" s="1"/>
  <c r="F4440" i="41" s="1"/>
  <c r="H1225" i="37"/>
  <c r="H1224" i="37"/>
  <c r="H991" i="37"/>
  <c r="G40" i="10"/>
  <c r="I40" i="10"/>
  <c r="F40" i="10"/>
  <c r="F81" i="10" s="1"/>
  <c r="K40" i="10"/>
  <c r="H40" i="10"/>
  <c r="J40" i="10"/>
  <c r="L40" i="10"/>
  <c r="L81" i="10" s="1"/>
  <c r="M40" i="10" a="1"/>
  <c r="J601" i="37"/>
  <c r="J600" i="37"/>
  <c r="H992" i="37"/>
  <c r="J1226" i="37"/>
  <c r="H1015" i="37"/>
  <c r="H1014" i="37"/>
  <c r="H1013" i="37"/>
  <c r="J1225" i="37"/>
  <c r="J1286" i="37"/>
  <c r="H462" i="37"/>
  <c r="J1285" i="37"/>
  <c r="H464" i="37"/>
  <c r="J627" i="37"/>
  <c r="J626" i="37"/>
  <c r="H1284" i="37"/>
  <c r="H1286" i="37"/>
  <c r="J991" i="37"/>
  <c r="J992" i="37"/>
  <c r="J993" i="37"/>
  <c r="J463" i="37"/>
  <c r="J464" i="37"/>
  <c r="H602" i="37"/>
  <c r="J1014" i="37"/>
  <c r="J1013" i="37"/>
  <c r="J1015" i="37"/>
  <c r="H601" i="37"/>
  <c r="H626" i="37"/>
  <c r="H627" i="37"/>
  <c r="H625" i="37"/>
  <c r="K4440" i="41" l="1"/>
  <c r="J4440" i="41"/>
  <c r="I4440" i="41"/>
  <c r="H4440" i="41"/>
  <c r="G4440" i="41"/>
  <c r="D4441" i="41"/>
  <c r="E4441" i="41" s="1"/>
  <c r="F4441" i="41" s="1"/>
  <c r="Q40" i="10"/>
  <c r="R40" i="10"/>
  <c r="M40" i="10"/>
  <c r="M81" i="10" s="1"/>
  <c r="O40" i="10"/>
  <c r="P40" i="10"/>
  <c r="N40" i="10"/>
  <c r="S40" i="10"/>
  <c r="L91" i="10"/>
  <c r="L82" i="10"/>
  <c r="L95" i="10"/>
  <c r="H4441" i="41" l="1"/>
  <c r="G4441" i="41"/>
  <c r="J4441" i="41"/>
  <c r="I4441" i="41"/>
  <c r="K4441" i="41"/>
  <c r="D4442" i="41"/>
  <c r="E4442" i="41" s="1"/>
  <c r="F4442" i="41" s="1"/>
  <c r="M95" i="10"/>
  <c r="M84" i="10"/>
  <c r="M92" i="10"/>
  <c r="M83" i="10"/>
  <c r="J4442" i="41" l="1"/>
  <c r="I4442" i="41"/>
  <c r="G4442" i="41"/>
  <c r="K4442" i="41"/>
  <c r="H4442" i="41"/>
  <c r="D4443" i="41"/>
  <c r="E4443" i="41" s="1"/>
  <c r="F4443" i="41" s="1"/>
  <c r="K4443" i="41" l="1"/>
  <c r="I4443" i="41"/>
  <c r="H4443" i="41"/>
  <c r="J4443" i="41"/>
  <c r="G4443" i="41"/>
  <c r="D4444" i="41"/>
  <c r="E4444" i="41" s="1"/>
  <c r="F4444" i="41" s="1"/>
  <c r="K4444" i="41" l="1"/>
  <c r="J4444" i="41"/>
  <c r="H4444" i="41"/>
  <c r="G4444" i="41"/>
  <c r="I4444" i="41"/>
  <c r="D4445" i="41"/>
  <c r="E4445" i="41" s="1"/>
  <c r="F4445" i="41" s="1"/>
  <c r="H4445" i="41" l="1"/>
  <c r="G4445" i="41"/>
  <c r="K4445" i="41"/>
  <c r="J4445" i="41"/>
  <c r="I4445" i="41"/>
  <c r="D4446" i="41"/>
  <c r="E4446" i="41" s="1"/>
  <c r="F4446" i="41" s="1"/>
  <c r="J4446" i="41" l="1"/>
  <c r="I4446" i="41"/>
  <c r="G4446" i="41"/>
  <c r="K4446" i="41"/>
  <c r="H4446" i="41"/>
  <c r="D4447" i="41"/>
  <c r="E4447" i="41" s="1"/>
  <c r="F4447" i="41" s="1"/>
  <c r="K4447" i="41" l="1"/>
  <c r="I4447" i="41"/>
  <c r="H4447" i="41"/>
  <c r="J4447" i="41"/>
  <c r="G4447" i="41"/>
  <c r="D4448" i="41"/>
  <c r="E4448" i="41" s="1"/>
  <c r="F4448" i="41" s="1"/>
  <c r="K4448" i="41" l="1"/>
  <c r="J4448" i="41"/>
  <c r="I4448" i="41"/>
  <c r="H4448" i="41"/>
  <c r="G4448" i="41"/>
  <c r="D4449" i="41"/>
  <c r="E4449" i="41" s="1"/>
  <c r="F4449" i="41" s="1"/>
  <c r="L2" i="6"/>
  <c r="M2" i="6" s="1"/>
  <c r="H4449" i="41" l="1"/>
  <c r="G4449" i="41"/>
  <c r="J4449" i="41"/>
  <c r="I4449" i="41"/>
  <c r="K4449" i="41"/>
  <c r="D4450" i="41"/>
  <c r="E4450" i="41" s="1"/>
  <c r="F4450" i="41" s="1"/>
  <c r="J4450" i="41" l="1"/>
  <c r="I4450" i="41"/>
  <c r="G4450" i="41"/>
  <c r="K4450" i="41"/>
  <c r="H4450" i="41"/>
  <c r="D4451" i="41"/>
  <c r="E4451" i="41" s="1"/>
  <c r="F4451" i="41" s="1"/>
  <c r="K4451" i="41" l="1"/>
  <c r="I4451" i="41"/>
  <c r="H4451" i="41"/>
  <c r="J4451" i="41"/>
  <c r="G4451" i="41"/>
  <c r="D4452" i="41"/>
  <c r="E4452" i="41" s="1"/>
  <c r="F4452" i="41" s="1"/>
  <c r="K4452" i="41" l="1"/>
  <c r="J4452" i="41"/>
  <c r="H4452" i="41"/>
  <c r="G4452" i="41"/>
  <c r="I4452" i="41"/>
  <c r="D4453" i="41"/>
  <c r="E4453" i="41" s="1"/>
  <c r="F4453" i="41" s="1"/>
  <c r="H4453" i="41" l="1"/>
  <c r="G4453" i="41"/>
  <c r="K4453" i="41"/>
  <c r="J4453" i="41"/>
  <c r="I4453" i="41"/>
  <c r="D4454" i="41"/>
  <c r="E4454" i="41" s="1"/>
  <c r="F4454" i="41" s="1"/>
  <c r="J4454" i="41" l="1"/>
  <c r="I4454" i="41"/>
  <c r="G4454" i="41"/>
  <c r="K4454" i="41"/>
  <c r="H4454" i="41"/>
  <c r="D4455" i="41"/>
  <c r="E4455" i="41" s="1"/>
  <c r="F4455" i="41" s="1"/>
  <c r="K4455" i="41" l="1"/>
  <c r="I4455" i="41"/>
  <c r="H4455" i="41"/>
  <c r="J4455" i="41"/>
  <c r="G4455" i="41"/>
  <c r="D4456" i="41"/>
  <c r="E4456" i="41" s="1"/>
  <c r="F4456" i="41" s="1"/>
  <c r="K4456" i="41" l="1"/>
  <c r="J4456" i="41"/>
  <c r="I4456" i="41"/>
  <c r="H4456" i="41"/>
  <c r="G4456" i="41"/>
  <c r="D4457" i="41"/>
  <c r="E4457" i="41" s="1"/>
  <c r="F4457" i="41" s="1"/>
  <c r="H4457" i="41" l="1"/>
  <c r="G4457" i="41"/>
  <c r="J4457" i="41"/>
  <c r="I4457" i="41"/>
  <c r="K4457" i="41"/>
  <c r="D4458" i="41"/>
  <c r="E4458" i="41" s="1"/>
  <c r="F4458" i="41" s="1"/>
  <c r="L16" i="6"/>
  <c r="M16" i="6" s="1"/>
  <c r="L15" i="6"/>
  <c r="J4458" i="41" l="1"/>
  <c r="I4458" i="41"/>
  <c r="G4458" i="41"/>
  <c r="K4458" i="41"/>
  <c r="H4458" i="41"/>
  <c r="D4459" i="41"/>
  <c r="E4459" i="41" s="1"/>
  <c r="F4459" i="41" s="1"/>
  <c r="M15" i="6"/>
  <c r="K4459" i="41" l="1"/>
  <c r="I4459" i="41"/>
  <c r="H4459" i="41"/>
  <c r="J4459" i="41"/>
  <c r="G4459" i="41"/>
  <c r="D4460" i="41"/>
  <c r="E4460" i="41" s="1"/>
  <c r="F4460" i="41" s="1"/>
  <c r="K4460" i="41" l="1"/>
  <c r="J4460" i="41"/>
  <c r="H4460" i="41"/>
  <c r="G4460" i="41"/>
  <c r="I4460" i="41"/>
  <c r="D4461" i="41"/>
  <c r="E4461" i="41" s="1"/>
  <c r="F4461" i="41" s="1"/>
  <c r="H4461" i="41" l="1"/>
  <c r="G4461" i="41"/>
  <c r="K4461" i="41"/>
  <c r="J4461" i="41"/>
  <c r="I4461" i="41"/>
  <c r="D4462" i="41"/>
  <c r="E4462" i="41" s="1"/>
  <c r="F4462" i="41" s="1"/>
  <c r="J4462" i="41" l="1"/>
  <c r="I4462" i="41"/>
  <c r="G4462" i="41"/>
  <c r="K4462" i="41"/>
  <c r="H4462" i="41"/>
  <c r="D4463" i="41"/>
  <c r="E4463" i="41" s="1"/>
  <c r="F4463" i="41" s="1"/>
  <c r="K4463" i="41" l="1"/>
  <c r="I4463" i="41"/>
  <c r="H4463" i="41"/>
  <c r="J4463" i="41"/>
  <c r="G4463" i="41"/>
  <c r="D4464" i="41"/>
  <c r="E4464" i="41" s="1"/>
  <c r="F4464" i="41" s="1"/>
  <c r="K4464" i="41" l="1"/>
  <c r="J4464" i="41"/>
  <c r="I4464" i="41"/>
  <c r="H4464" i="41"/>
  <c r="G4464" i="41"/>
  <c r="D4465" i="41"/>
  <c r="E4465" i="41" s="1"/>
  <c r="F4465" i="41" s="1"/>
  <c r="H4465" i="41" l="1"/>
  <c r="G4465" i="41"/>
  <c r="J4465" i="41"/>
  <c r="I4465" i="41"/>
  <c r="K4465" i="41"/>
  <c r="D4466" i="41"/>
  <c r="E4466" i="41" s="1"/>
  <c r="F4466" i="41" s="1"/>
  <c r="K4466" i="41" l="1"/>
  <c r="J4466" i="41"/>
  <c r="I4466" i="41"/>
  <c r="G4466" i="41"/>
  <c r="H4466" i="41"/>
  <c r="D4467" i="41"/>
  <c r="E4467" i="41" s="1"/>
  <c r="F4467" i="41" s="1"/>
  <c r="H4467" i="41" l="1"/>
  <c r="G4467" i="41"/>
  <c r="K4467" i="41"/>
  <c r="J4467" i="41"/>
  <c r="I4467" i="41"/>
  <c r="D4468" i="41"/>
  <c r="E4468" i="41" s="1"/>
  <c r="F4468" i="41" s="1"/>
  <c r="J4468" i="41" l="1"/>
  <c r="I4468" i="41"/>
  <c r="G4468" i="41"/>
  <c r="K4468" i="41"/>
  <c r="H4468" i="41"/>
  <c r="D4469" i="41"/>
  <c r="E4469" i="41" s="1"/>
  <c r="F4469" i="41" s="1"/>
  <c r="K4469" i="41" l="1"/>
  <c r="I4469" i="41"/>
  <c r="H4469" i="41"/>
  <c r="J4469" i="41"/>
  <c r="G4469" i="41"/>
  <c r="D4470" i="41"/>
  <c r="E4470" i="41" s="1"/>
  <c r="F4470" i="41" s="1"/>
  <c r="K4470" i="41" l="1"/>
  <c r="J4470" i="41"/>
  <c r="H4470" i="41"/>
  <c r="G4470" i="41"/>
  <c r="I4470" i="41"/>
  <c r="D4471" i="41"/>
  <c r="E4471" i="41" s="1"/>
  <c r="F4471" i="41" s="1"/>
  <c r="H4471" i="41" l="1"/>
  <c r="G4471" i="41"/>
  <c r="K4471" i="41"/>
  <c r="I4471" i="41"/>
  <c r="J4471" i="41"/>
  <c r="D4472" i="41"/>
  <c r="E4472" i="41" s="1"/>
  <c r="F4472" i="41" s="1"/>
  <c r="J4472" i="41" l="1"/>
  <c r="I4472" i="41"/>
  <c r="G4472" i="41"/>
  <c r="H4472" i="41"/>
  <c r="K4472" i="41"/>
  <c r="D4473" i="41"/>
  <c r="E4473" i="41" s="1"/>
  <c r="F4473" i="41" s="1"/>
  <c r="K4473" i="41" l="1"/>
  <c r="I4473" i="41"/>
  <c r="H4473" i="41"/>
  <c r="J4473" i="41"/>
  <c r="G4473" i="41"/>
  <c r="D4474" i="41"/>
  <c r="E4474" i="41" s="1"/>
  <c r="F4474" i="41" s="1"/>
  <c r="K4474" i="41" l="1"/>
  <c r="J4474" i="41"/>
  <c r="I4474" i="41"/>
  <c r="G4474" i="41"/>
  <c r="H4474" i="41"/>
  <c r="D4475" i="41"/>
  <c r="E4475" i="41" s="1"/>
  <c r="F4475" i="41" s="1"/>
  <c r="H4475" i="41" l="1"/>
  <c r="G4475" i="41"/>
  <c r="J4475" i="41"/>
  <c r="I4475" i="41"/>
  <c r="K4475" i="41"/>
  <c r="D4476" i="41"/>
  <c r="E4476" i="41" s="1"/>
  <c r="F4476" i="41" s="1"/>
  <c r="J4476" i="41" l="1"/>
  <c r="I4476" i="41"/>
  <c r="G4476" i="41"/>
  <c r="K4476" i="41"/>
  <c r="H4476" i="41"/>
  <c r="D4477" i="41"/>
  <c r="E4477" i="41" s="1"/>
  <c r="F4477" i="41" s="1"/>
  <c r="K4477" i="41" l="1"/>
  <c r="I4477" i="41"/>
  <c r="H4477" i="41"/>
  <c r="J4477" i="41"/>
  <c r="G4477" i="41"/>
  <c r="D4478" i="41"/>
  <c r="E4478" i="41" s="1"/>
  <c r="F4478" i="41" s="1"/>
  <c r="K4478" i="41" l="1"/>
  <c r="J4478" i="41"/>
  <c r="I4478" i="41"/>
  <c r="H4478" i="41"/>
  <c r="G4478" i="41"/>
  <c r="D4479" i="41"/>
  <c r="E4479" i="41" s="1"/>
  <c r="F4479" i="41" s="1"/>
  <c r="G32" i="37" a="1"/>
  <c r="G22" i="37" a="1"/>
  <c r="H4479" i="41" l="1"/>
  <c r="G4479" i="41"/>
  <c r="K4479" i="41"/>
  <c r="I4479" i="41"/>
  <c r="J4479" i="41"/>
  <c r="D4480" i="41"/>
  <c r="E4480" i="41" s="1"/>
  <c r="F4480" i="41" s="1"/>
  <c r="J22" i="37"/>
  <c r="N22" i="37"/>
  <c r="G22" i="37"/>
  <c r="K22" i="37"/>
  <c r="O22" i="37"/>
  <c r="H22" i="37"/>
  <c r="L22" i="37"/>
  <c r="P22" i="37"/>
  <c r="I22" i="37"/>
  <c r="M22" i="37"/>
  <c r="J32" i="37"/>
  <c r="N32" i="37"/>
  <c r="G32" i="37"/>
  <c r="K32" i="37"/>
  <c r="O32" i="37"/>
  <c r="H32" i="37"/>
  <c r="L32" i="37"/>
  <c r="P32" i="37"/>
  <c r="M32" i="37"/>
  <c r="I32" i="37"/>
  <c r="J4480" i="41" l="1"/>
  <c r="I4480" i="41"/>
  <c r="G4480" i="41"/>
  <c r="H4480" i="41"/>
  <c r="K4480" i="41"/>
  <c r="D4481" i="41"/>
  <c r="E4481" i="41" s="1"/>
  <c r="F4481" i="41" s="1"/>
  <c r="K4481" i="41" l="1"/>
  <c r="I4481" i="41"/>
  <c r="H4481" i="41"/>
  <c r="J4481" i="41"/>
  <c r="G4481" i="41"/>
  <c r="D4482" i="41"/>
  <c r="E4482" i="41" s="1"/>
  <c r="F4482" i="41" s="1"/>
  <c r="G331" i="34"/>
  <c r="G497" i="34"/>
  <c r="E304" i="34"/>
  <c r="E299" i="34"/>
  <c r="G696" i="34"/>
  <c r="G695" i="34"/>
  <c r="G697" i="34"/>
  <c r="G461" i="37"/>
  <c r="G599" i="37"/>
  <c r="G624" i="37"/>
  <c r="G1223" i="37"/>
  <c r="G1283" i="37"/>
  <c r="G996" i="37"/>
  <c r="G1018" i="37"/>
  <c r="G486" i="35"/>
  <c r="G1011" i="37"/>
  <c r="G990" i="37"/>
  <c r="G462" i="35"/>
  <c r="K4482" i="41" l="1"/>
  <c r="J4482" i="41"/>
  <c r="I4482" i="41"/>
  <c r="G4482" i="41"/>
  <c r="H4482" i="41"/>
  <c r="D4483" i="41"/>
  <c r="E4483" i="41" s="1"/>
  <c r="F4483" i="41" s="1"/>
  <c r="D663" i="37" a="1"/>
  <c r="D665" i="37" s="1"/>
  <c r="D448" i="37" a="1"/>
  <c r="D485" i="37"/>
  <c r="D450" i="35" a="1"/>
  <c r="D701" i="37" a="1"/>
  <c r="I461" i="37"/>
  <c r="I599" i="37"/>
  <c r="I624" i="37"/>
  <c r="I990" i="37"/>
  <c r="I1011" i="37"/>
  <c r="H462" i="35"/>
  <c r="I1223" i="37"/>
  <c r="I1283" i="37"/>
  <c r="I996" i="37"/>
  <c r="I1018" i="37"/>
  <c r="H486" i="35"/>
  <c r="C496" i="34" a="1"/>
  <c r="C695" i="34" a="1"/>
  <c r="C441" i="34" a="1"/>
  <c r="H4483" i="41" l="1"/>
  <c r="G4483" i="41"/>
  <c r="K4483" i="41"/>
  <c r="J4483" i="41"/>
  <c r="I4483" i="41"/>
  <c r="D4484" i="41"/>
  <c r="E4484" i="41" s="1"/>
  <c r="F4484" i="41" s="1"/>
  <c r="D663" i="37"/>
  <c r="D664" i="37"/>
  <c r="C696" i="34"/>
  <c r="C698" i="34"/>
  <c r="C699" i="34"/>
  <c r="C695" i="34"/>
  <c r="C697" i="34"/>
  <c r="C700" i="34"/>
  <c r="C442" i="34"/>
  <c r="C446" i="34"/>
  <c r="C441" i="34"/>
  <c r="C445" i="34"/>
  <c r="C443" i="34"/>
  <c r="C444" i="34"/>
  <c r="C498" i="34"/>
  <c r="C501" i="34"/>
  <c r="C500" i="34"/>
  <c r="C496" i="34"/>
  <c r="C497" i="34"/>
  <c r="C499" i="34"/>
  <c r="D701" i="37"/>
  <c r="D702" i="37"/>
  <c r="D703" i="37"/>
  <c r="D449" i="37"/>
  <c r="D448" i="37"/>
  <c r="D450" i="37"/>
  <c r="D450" i="35"/>
  <c r="D452" i="35"/>
  <c r="D451" i="35"/>
  <c r="J4484" i="41" l="1"/>
  <c r="I4484" i="41"/>
  <c r="G4484" i="41"/>
  <c r="K4484" i="41"/>
  <c r="H4484" i="41"/>
  <c r="D4485" i="41"/>
  <c r="E4485" i="41" s="1"/>
  <c r="F4485" i="41" s="1"/>
  <c r="C267" i="8" a="1"/>
  <c r="C61" i="8" a="1"/>
  <c r="K4485" i="41" l="1"/>
  <c r="I4485" i="41"/>
  <c r="H4485" i="41"/>
  <c r="J4485" i="41"/>
  <c r="G4485" i="41"/>
  <c r="D4486" i="41"/>
  <c r="E4486" i="41" s="1"/>
  <c r="F4486" i="41" s="1"/>
  <c r="C260" i="8"/>
  <c r="C256" i="8"/>
  <c r="C252" i="8"/>
  <c r="C248" i="8"/>
  <c r="C244" i="8"/>
  <c r="C240" i="8"/>
  <c r="C236" i="8"/>
  <c r="C232" i="8"/>
  <c r="C228" i="8"/>
  <c r="C224" i="8"/>
  <c r="C220" i="8"/>
  <c r="C216" i="8"/>
  <c r="C259" i="8"/>
  <c r="C255" i="8"/>
  <c r="C251" i="8"/>
  <c r="C247" i="8"/>
  <c r="C243" i="8"/>
  <c r="C239" i="8"/>
  <c r="C235" i="8"/>
  <c r="C231" i="8"/>
  <c r="C227" i="8"/>
  <c r="C223" i="8"/>
  <c r="C219" i="8"/>
  <c r="C257" i="8"/>
  <c r="C249" i="8"/>
  <c r="C241" i="8"/>
  <c r="C233" i="8"/>
  <c r="C225" i="8"/>
  <c r="C217" i="8"/>
  <c r="C212" i="8"/>
  <c r="C208" i="8"/>
  <c r="C204" i="8"/>
  <c r="C200" i="8"/>
  <c r="C196" i="8"/>
  <c r="C192" i="8"/>
  <c r="C188" i="8"/>
  <c r="C184" i="8"/>
  <c r="C180" i="8"/>
  <c r="C258" i="8"/>
  <c r="C250" i="8"/>
  <c r="C242" i="8"/>
  <c r="C234" i="8"/>
  <c r="C226" i="8"/>
  <c r="C218" i="8"/>
  <c r="C215" i="8"/>
  <c r="C211" i="8"/>
  <c r="C207" i="8"/>
  <c r="C203" i="8"/>
  <c r="C199" i="8"/>
  <c r="C195" i="8"/>
  <c r="C191" i="8"/>
  <c r="C187" i="8"/>
  <c r="C183" i="8"/>
  <c r="C253" i="8"/>
  <c r="C245" i="8"/>
  <c r="C237" i="8"/>
  <c r="C229" i="8"/>
  <c r="C221" i="8"/>
  <c r="C214" i="8"/>
  <c r="C210" i="8"/>
  <c r="C206" i="8"/>
  <c r="C202" i="8"/>
  <c r="C198" i="8"/>
  <c r="C194" i="8"/>
  <c r="C190" i="8"/>
  <c r="C186" i="8"/>
  <c r="C182" i="8"/>
  <c r="C254" i="8"/>
  <c r="C246" i="8"/>
  <c r="C238" i="8"/>
  <c r="C230" i="8"/>
  <c r="C222" i="8"/>
  <c r="C213" i="8"/>
  <c r="C209" i="8"/>
  <c r="C205" i="8"/>
  <c r="C201" i="8"/>
  <c r="C197" i="8"/>
  <c r="C193" i="8"/>
  <c r="C189" i="8"/>
  <c r="C185" i="8"/>
  <c r="C181" i="8"/>
  <c r="C179" i="8"/>
  <c r="C175" i="8"/>
  <c r="C171" i="8"/>
  <c r="C167" i="8"/>
  <c r="C163" i="8"/>
  <c r="C159" i="8"/>
  <c r="C155" i="8"/>
  <c r="C151" i="8"/>
  <c r="C147" i="8"/>
  <c r="C143" i="8"/>
  <c r="C139" i="8"/>
  <c r="C135" i="8"/>
  <c r="C131" i="8"/>
  <c r="C127" i="8"/>
  <c r="C123" i="8"/>
  <c r="C119" i="8"/>
  <c r="C178" i="8"/>
  <c r="C174" i="8"/>
  <c r="C170" i="8"/>
  <c r="C166" i="8"/>
  <c r="C162" i="8"/>
  <c r="C158" i="8"/>
  <c r="C154" i="8"/>
  <c r="C150" i="8"/>
  <c r="C146" i="8"/>
  <c r="C142" i="8"/>
  <c r="C138" i="8"/>
  <c r="C134" i="8"/>
  <c r="C130" i="8"/>
  <c r="C126" i="8"/>
  <c r="C122" i="8"/>
  <c r="C177" i="8"/>
  <c r="C173" i="8"/>
  <c r="C169" i="8"/>
  <c r="C165" i="8"/>
  <c r="C161" i="8"/>
  <c r="C157" i="8"/>
  <c r="C153" i="8"/>
  <c r="C149" i="8"/>
  <c r="C145" i="8"/>
  <c r="C141" i="8"/>
  <c r="C137" i="8"/>
  <c r="C133" i="8"/>
  <c r="C129" i="8"/>
  <c r="C125" i="8"/>
  <c r="C121" i="8"/>
  <c r="C176" i="8"/>
  <c r="C172" i="8"/>
  <c r="C168" i="8"/>
  <c r="C164" i="8"/>
  <c r="C160" i="8"/>
  <c r="C156" i="8"/>
  <c r="C152" i="8"/>
  <c r="C148" i="8"/>
  <c r="C144" i="8"/>
  <c r="C140" i="8"/>
  <c r="C136" i="8"/>
  <c r="C132" i="8"/>
  <c r="C128" i="8"/>
  <c r="C124" i="8"/>
  <c r="C120" i="8"/>
  <c r="C116" i="8"/>
  <c r="C112" i="8"/>
  <c r="C108" i="8"/>
  <c r="C104" i="8"/>
  <c r="C100" i="8"/>
  <c r="C96" i="8"/>
  <c r="C92" i="8"/>
  <c r="C88" i="8"/>
  <c r="C84" i="8"/>
  <c r="C80" i="8"/>
  <c r="C76" i="8"/>
  <c r="C72" i="8"/>
  <c r="C68" i="8"/>
  <c r="C64" i="8"/>
  <c r="C115" i="8"/>
  <c r="C111" i="8"/>
  <c r="C107" i="8"/>
  <c r="C103" i="8"/>
  <c r="C99" i="8"/>
  <c r="C95" i="8"/>
  <c r="C91" i="8"/>
  <c r="C87" i="8"/>
  <c r="C83" i="8"/>
  <c r="C79" i="8"/>
  <c r="C75" i="8"/>
  <c r="C71" i="8"/>
  <c r="C67" i="8"/>
  <c r="C63" i="8"/>
  <c r="C61" i="8"/>
  <c r="C118" i="8"/>
  <c r="C114" i="8"/>
  <c r="C110" i="8"/>
  <c r="C106" i="8"/>
  <c r="C102" i="8"/>
  <c r="C98" i="8"/>
  <c r="C94" i="8"/>
  <c r="C90" i="8"/>
  <c r="C86" i="8"/>
  <c r="C82" i="8"/>
  <c r="C78" i="8"/>
  <c r="C74" i="8"/>
  <c r="C70" i="8"/>
  <c r="C66" i="8"/>
  <c r="C62" i="8"/>
  <c r="C117" i="8"/>
  <c r="C113" i="8"/>
  <c r="C109" i="8"/>
  <c r="C105" i="8"/>
  <c r="C101" i="8"/>
  <c r="C97" i="8"/>
  <c r="C93" i="8"/>
  <c r="C89" i="8"/>
  <c r="C85" i="8"/>
  <c r="C81" i="8"/>
  <c r="C77" i="8"/>
  <c r="C73" i="8"/>
  <c r="C69" i="8"/>
  <c r="C65" i="8"/>
  <c r="C464" i="8"/>
  <c r="C460" i="8"/>
  <c r="C456" i="8"/>
  <c r="C452" i="8"/>
  <c r="C448" i="8"/>
  <c r="C444" i="8"/>
  <c r="C440" i="8"/>
  <c r="C436" i="8"/>
  <c r="C432" i="8"/>
  <c r="C428" i="8"/>
  <c r="C424" i="8"/>
  <c r="C420" i="8"/>
  <c r="C416" i="8"/>
  <c r="C412" i="8"/>
  <c r="C408" i="8"/>
  <c r="C404" i="8"/>
  <c r="C400" i="8"/>
  <c r="C396" i="8"/>
  <c r="C392" i="8"/>
  <c r="C388" i="8"/>
  <c r="C384" i="8"/>
  <c r="C380" i="8"/>
  <c r="C376" i="8"/>
  <c r="C372" i="8"/>
  <c r="C368" i="8"/>
  <c r="C364" i="8"/>
  <c r="C360" i="8"/>
  <c r="C356" i="8"/>
  <c r="C352" i="8"/>
  <c r="C465" i="8"/>
  <c r="C461" i="8"/>
  <c r="C457" i="8"/>
  <c r="C453" i="8"/>
  <c r="C449" i="8"/>
  <c r="C445" i="8"/>
  <c r="C441" i="8"/>
  <c r="C437" i="8"/>
  <c r="C433" i="8"/>
  <c r="C429" i="8"/>
  <c r="C425" i="8"/>
  <c r="C421" i="8"/>
  <c r="C417" i="8"/>
  <c r="C413" i="8"/>
  <c r="C409" i="8"/>
  <c r="C405" i="8"/>
  <c r="C401" i="8"/>
  <c r="C397" i="8"/>
  <c r="C393" i="8"/>
  <c r="C389" i="8"/>
  <c r="C385" i="8"/>
  <c r="C381" i="8"/>
  <c r="C377" i="8"/>
  <c r="C373" i="8"/>
  <c r="C369" i="8"/>
  <c r="C365" i="8"/>
  <c r="C361" i="8"/>
  <c r="C357" i="8"/>
  <c r="C353" i="8"/>
  <c r="C349" i="8"/>
  <c r="C345" i="8"/>
  <c r="C341" i="8"/>
  <c r="C337" i="8"/>
  <c r="C333" i="8"/>
  <c r="C329" i="8"/>
  <c r="C325" i="8"/>
  <c r="C321" i="8"/>
  <c r="C317" i="8"/>
  <c r="C313" i="8"/>
  <c r="C309" i="8"/>
  <c r="C305" i="8"/>
  <c r="C301" i="8"/>
  <c r="C297" i="8"/>
  <c r="C293" i="8"/>
  <c r="C289" i="8"/>
  <c r="C285" i="8"/>
  <c r="C281" i="8"/>
  <c r="C277" i="8"/>
  <c r="C273" i="8"/>
  <c r="C269" i="8"/>
  <c r="C466" i="8"/>
  <c r="C462" i="8"/>
  <c r="C458" i="8"/>
  <c r="C454" i="8"/>
  <c r="C450" i="8"/>
  <c r="C446" i="8"/>
  <c r="C442" i="8"/>
  <c r="C438" i="8"/>
  <c r="C434" i="8"/>
  <c r="C430" i="8"/>
  <c r="C426" i="8"/>
  <c r="C422" i="8"/>
  <c r="C418" i="8"/>
  <c r="C414" i="8"/>
  <c r="C410" i="8"/>
  <c r="C406" i="8"/>
  <c r="C402" i="8"/>
  <c r="C398" i="8"/>
  <c r="C394" i="8"/>
  <c r="C390" i="8"/>
  <c r="C386" i="8"/>
  <c r="C382" i="8"/>
  <c r="C378" i="8"/>
  <c r="C374" i="8"/>
  <c r="C370" i="8"/>
  <c r="C366" i="8"/>
  <c r="C362" i="8"/>
  <c r="C358" i="8"/>
  <c r="C354" i="8"/>
  <c r="C350" i="8"/>
  <c r="C346" i="8"/>
  <c r="C342" i="8"/>
  <c r="C338" i="8"/>
  <c r="C334" i="8"/>
  <c r="C330" i="8"/>
  <c r="C326" i="8"/>
  <c r="C322" i="8"/>
  <c r="C318" i="8"/>
  <c r="C314" i="8"/>
  <c r="C310" i="8"/>
  <c r="C306" i="8"/>
  <c r="C302" i="8"/>
  <c r="C298" i="8"/>
  <c r="C294" i="8"/>
  <c r="C290" i="8"/>
  <c r="C286" i="8"/>
  <c r="C282" i="8"/>
  <c r="C278" i="8"/>
  <c r="C274" i="8"/>
  <c r="C270" i="8"/>
  <c r="C463" i="8"/>
  <c r="C459" i="8"/>
  <c r="C455" i="8"/>
  <c r="C451" i="8"/>
  <c r="C447" i="8"/>
  <c r="C443" i="8"/>
  <c r="C439" i="8"/>
  <c r="C435" i="8"/>
  <c r="C431" i="8"/>
  <c r="C427" i="8"/>
  <c r="C423" i="8"/>
  <c r="C419" i="8"/>
  <c r="C415" i="8"/>
  <c r="C411" i="8"/>
  <c r="C407" i="8"/>
  <c r="C403" i="8"/>
  <c r="C399" i="8"/>
  <c r="C395" i="8"/>
  <c r="C391" i="8"/>
  <c r="C387" i="8"/>
  <c r="C383" i="8"/>
  <c r="C379" i="8"/>
  <c r="C375" i="8"/>
  <c r="C371" i="8"/>
  <c r="C367" i="8"/>
  <c r="C363" i="8"/>
  <c r="C359" i="8"/>
  <c r="C355" i="8"/>
  <c r="C351" i="8"/>
  <c r="C347" i="8"/>
  <c r="C343" i="8"/>
  <c r="C339" i="8"/>
  <c r="C335" i="8"/>
  <c r="C331" i="8"/>
  <c r="C327" i="8"/>
  <c r="C323" i="8"/>
  <c r="C319" i="8"/>
  <c r="C315" i="8"/>
  <c r="C311" i="8"/>
  <c r="C307" i="8"/>
  <c r="C303" i="8"/>
  <c r="C299" i="8"/>
  <c r="C295" i="8"/>
  <c r="C291" i="8"/>
  <c r="C287" i="8"/>
  <c r="C283" i="8"/>
  <c r="C279" i="8"/>
  <c r="C275" i="8"/>
  <c r="C271" i="8"/>
  <c r="C344" i="8"/>
  <c r="C328" i="8"/>
  <c r="C312" i="8"/>
  <c r="C296" i="8"/>
  <c r="C280" i="8"/>
  <c r="C348" i="8"/>
  <c r="C332" i="8"/>
  <c r="C316" i="8"/>
  <c r="C300" i="8"/>
  <c r="C284" i="8"/>
  <c r="C268" i="8"/>
  <c r="C336" i="8"/>
  <c r="C320" i="8"/>
  <c r="C304" i="8"/>
  <c r="C288" i="8"/>
  <c r="C272" i="8"/>
  <c r="C267" i="8"/>
  <c r="C340" i="8"/>
  <c r="C324" i="8"/>
  <c r="C308" i="8"/>
  <c r="C292" i="8"/>
  <c r="C276" i="8"/>
  <c r="K4486" i="41" l="1"/>
  <c r="J4486" i="41"/>
  <c r="H4486" i="41"/>
  <c r="G4486" i="41"/>
  <c r="I4486" i="41"/>
  <c r="D4487" i="41"/>
  <c r="E4487" i="41" s="1"/>
  <c r="F4487" i="41" s="1"/>
  <c r="H4487" i="41" l="1"/>
  <c r="G4487" i="41"/>
  <c r="K4487" i="41"/>
  <c r="I4487" i="41"/>
  <c r="J4487" i="41"/>
  <c r="D4488" i="41"/>
  <c r="E4488" i="41" s="1"/>
  <c r="F4488" i="41" s="1"/>
  <c r="J4488" i="41" l="1"/>
  <c r="I4488" i="41"/>
  <c r="G4488" i="41"/>
  <c r="H4488" i="41"/>
  <c r="K4488" i="41"/>
  <c r="D4489" i="41"/>
  <c r="E4489" i="41" s="1"/>
  <c r="F4489" i="41" s="1"/>
  <c r="K4489" i="41" l="1"/>
  <c r="I4489" i="41"/>
  <c r="H4489" i="41"/>
  <c r="J4489" i="41"/>
  <c r="G4489" i="41"/>
  <c r="D4490" i="41"/>
  <c r="E4490" i="41" s="1"/>
  <c r="F4490" i="41" s="1"/>
  <c r="K4490" i="41" l="1"/>
  <c r="J4490" i="41"/>
  <c r="I4490" i="41"/>
  <c r="G4490" i="41"/>
  <c r="H4490" i="41"/>
  <c r="D4491" i="41"/>
  <c r="E4491" i="41" s="1"/>
  <c r="F4491" i="41" s="1"/>
  <c r="G12" i="37" a="1"/>
  <c r="E4985" i="41"/>
  <c r="F4985" i="41" s="1"/>
  <c r="E4989" i="41"/>
  <c r="F4989" i="41" s="1"/>
  <c r="E4993" i="41"/>
  <c r="F4993" i="41" s="1"/>
  <c r="E4997" i="41"/>
  <c r="F4997" i="41" s="1"/>
  <c r="E5001" i="41"/>
  <c r="F5001" i="41" s="1"/>
  <c r="E5005" i="41"/>
  <c r="F5005" i="41" s="1"/>
  <c r="E5009" i="41"/>
  <c r="F5009" i="41" s="1"/>
  <c r="E5013" i="41"/>
  <c r="F5013" i="41" s="1"/>
  <c r="E5017" i="41"/>
  <c r="F5017" i="41" s="1"/>
  <c r="E5021" i="41"/>
  <c r="F5021" i="41" s="1"/>
  <c r="E5025" i="41"/>
  <c r="F5025" i="41" s="1"/>
  <c r="E5029" i="41"/>
  <c r="F5029" i="41" s="1"/>
  <c r="E5033" i="41"/>
  <c r="F5033" i="41" s="1"/>
  <c r="E5037" i="41"/>
  <c r="F5037" i="41" s="1"/>
  <c r="E5041" i="41"/>
  <c r="F5041" i="41" s="1"/>
  <c r="E5045" i="41"/>
  <c r="F5045" i="41" s="1"/>
  <c r="E5049" i="41"/>
  <c r="F5049" i="41" s="1"/>
  <c r="E5053" i="41"/>
  <c r="F5053" i="41" s="1"/>
  <c r="E5057" i="41"/>
  <c r="F5057" i="41" s="1"/>
  <c r="E5061" i="41"/>
  <c r="F5061" i="41" s="1"/>
  <c r="E5065" i="41"/>
  <c r="F5065" i="41" s="1"/>
  <c r="E5069" i="41"/>
  <c r="F5069" i="41" s="1"/>
  <c r="E5073" i="41"/>
  <c r="F5073" i="41" s="1"/>
  <c r="E5077" i="41"/>
  <c r="F5077" i="41" s="1"/>
  <c r="E5081" i="41"/>
  <c r="F5081" i="41" s="1"/>
  <c r="E5085" i="41"/>
  <c r="F5085" i="41" s="1"/>
  <c r="E5089" i="41"/>
  <c r="F5089" i="41" s="1"/>
  <c r="E5093" i="41"/>
  <c r="F5093" i="41" s="1"/>
  <c r="E5097" i="41"/>
  <c r="F5097" i="41" s="1"/>
  <c r="E5101" i="41"/>
  <c r="F5101" i="41" s="1"/>
  <c r="E5105" i="41"/>
  <c r="F5105" i="41" s="1"/>
  <c r="E5109" i="41"/>
  <c r="F5109" i="41" s="1"/>
  <c r="E5113" i="41"/>
  <c r="F5113" i="41" s="1"/>
  <c r="E5117" i="41"/>
  <c r="F5117" i="41" s="1"/>
  <c r="E5121" i="41"/>
  <c r="F5121" i="41" s="1"/>
  <c r="E5125" i="41"/>
  <c r="F5125" i="41" s="1"/>
  <c r="E5129" i="41"/>
  <c r="F5129" i="41" s="1"/>
  <c r="E5133" i="41"/>
  <c r="F5133" i="41" s="1"/>
  <c r="E5137" i="41"/>
  <c r="F5137" i="41" s="1"/>
  <c r="E5141" i="41"/>
  <c r="F5141" i="41" s="1"/>
  <c r="E5145" i="41"/>
  <c r="F5145" i="41" s="1"/>
  <c r="E5149" i="41"/>
  <c r="F5149" i="41" s="1"/>
  <c r="E5153" i="41"/>
  <c r="F5153" i="41" s="1"/>
  <c r="E5157" i="41"/>
  <c r="F5157" i="41" s="1"/>
  <c r="E5161" i="41"/>
  <c r="F5161" i="41" s="1"/>
  <c r="E4988" i="41"/>
  <c r="F4988" i="41" s="1"/>
  <c r="E4992" i="41"/>
  <c r="F4992" i="41" s="1"/>
  <c r="E4996" i="41"/>
  <c r="F4996" i="41" s="1"/>
  <c r="E5000" i="41"/>
  <c r="F5000" i="41" s="1"/>
  <c r="E5004" i="41"/>
  <c r="F5004" i="41" s="1"/>
  <c r="E5008" i="41"/>
  <c r="F5008" i="41" s="1"/>
  <c r="E5012" i="41"/>
  <c r="F5012" i="41" s="1"/>
  <c r="E5016" i="41"/>
  <c r="F5016" i="41" s="1"/>
  <c r="E5020" i="41"/>
  <c r="F5020" i="41" s="1"/>
  <c r="E5024" i="41"/>
  <c r="F5024" i="41" s="1"/>
  <c r="E5028" i="41"/>
  <c r="F5028" i="41" s="1"/>
  <c r="E5032" i="41"/>
  <c r="F5032" i="41" s="1"/>
  <c r="E5036" i="41"/>
  <c r="F5036" i="41" s="1"/>
  <c r="E5040" i="41"/>
  <c r="F5040" i="41" s="1"/>
  <c r="E5044" i="41"/>
  <c r="F5044" i="41" s="1"/>
  <c r="E5048" i="41"/>
  <c r="F5048" i="41" s="1"/>
  <c r="E5052" i="41"/>
  <c r="F5052" i="41" s="1"/>
  <c r="E5056" i="41"/>
  <c r="F5056" i="41" s="1"/>
  <c r="E5060" i="41"/>
  <c r="F5060" i="41" s="1"/>
  <c r="E5064" i="41"/>
  <c r="F5064" i="41" s="1"/>
  <c r="E5068" i="41"/>
  <c r="F5068" i="41" s="1"/>
  <c r="E5072" i="41"/>
  <c r="F5072" i="41" s="1"/>
  <c r="E5076" i="41"/>
  <c r="F5076" i="41" s="1"/>
  <c r="E5080" i="41"/>
  <c r="F5080" i="41" s="1"/>
  <c r="E5084" i="41"/>
  <c r="F5084" i="41" s="1"/>
  <c r="E5088" i="41"/>
  <c r="F5088" i="41" s="1"/>
  <c r="E5092" i="41"/>
  <c r="F5092" i="41" s="1"/>
  <c r="E5096" i="41"/>
  <c r="F5096" i="41" s="1"/>
  <c r="E5100" i="41"/>
  <c r="F5100" i="41" s="1"/>
  <c r="E5104" i="41"/>
  <c r="F5104" i="41" s="1"/>
  <c r="E5110" i="41"/>
  <c r="F5110" i="41" s="1"/>
  <c r="E5114" i="41"/>
  <c r="F5114" i="41" s="1"/>
  <c r="E5118" i="41"/>
  <c r="F5118" i="41" s="1"/>
  <c r="E5122" i="41"/>
  <c r="F5122" i="41" s="1"/>
  <c r="E5126" i="41"/>
  <c r="F5126" i="41" s="1"/>
  <c r="E5130" i="41"/>
  <c r="F5130" i="41" s="1"/>
  <c r="E5134" i="41"/>
  <c r="F5134" i="41" s="1"/>
  <c r="E5138" i="41"/>
  <c r="F5138" i="41" s="1"/>
  <c r="E5142" i="41"/>
  <c r="F5142" i="41" s="1"/>
  <c r="E5146" i="41"/>
  <c r="F5146" i="41" s="1"/>
  <c r="E5150" i="41"/>
  <c r="F5150" i="41" s="1"/>
  <c r="E5154" i="41"/>
  <c r="F5154" i="41" s="1"/>
  <c r="E5158" i="41"/>
  <c r="F5158" i="41" s="1"/>
  <c r="E4987" i="41"/>
  <c r="F4987" i="41" s="1"/>
  <c r="E4991" i="41"/>
  <c r="F4991" i="41" s="1"/>
  <c r="E4995" i="41"/>
  <c r="F4995" i="41" s="1"/>
  <c r="E4999" i="41"/>
  <c r="F4999" i="41" s="1"/>
  <c r="E5003" i="41"/>
  <c r="F5003" i="41" s="1"/>
  <c r="E5007" i="41"/>
  <c r="F5007" i="41" s="1"/>
  <c r="E5011" i="41"/>
  <c r="F5011" i="41" s="1"/>
  <c r="E5015" i="41"/>
  <c r="F5015" i="41" s="1"/>
  <c r="E5019" i="41"/>
  <c r="F5019" i="41" s="1"/>
  <c r="E5023" i="41"/>
  <c r="F5023" i="41" s="1"/>
  <c r="E5027" i="41"/>
  <c r="F5027" i="41" s="1"/>
  <c r="E5031" i="41"/>
  <c r="F5031" i="41" s="1"/>
  <c r="E5035" i="41"/>
  <c r="F5035" i="41" s="1"/>
  <c r="E5039" i="41"/>
  <c r="F5039" i="41" s="1"/>
  <c r="E5043" i="41"/>
  <c r="F5043" i="41" s="1"/>
  <c r="E5047" i="41"/>
  <c r="F5047" i="41" s="1"/>
  <c r="E5051" i="41"/>
  <c r="F5051" i="41" s="1"/>
  <c r="E5055" i="41"/>
  <c r="F5055" i="41" s="1"/>
  <c r="E5059" i="41"/>
  <c r="F5059" i="41" s="1"/>
  <c r="E5063" i="41"/>
  <c r="F5063" i="41" s="1"/>
  <c r="E5067" i="41"/>
  <c r="F5067" i="41" s="1"/>
  <c r="E5071" i="41"/>
  <c r="F5071" i="41" s="1"/>
  <c r="E5075" i="41"/>
  <c r="F5075" i="41" s="1"/>
  <c r="E5079" i="41"/>
  <c r="F5079" i="41" s="1"/>
  <c r="E5083" i="41"/>
  <c r="F5083" i="41" s="1"/>
  <c r="E5087" i="41"/>
  <c r="F5087" i="41" s="1"/>
  <c r="E5091" i="41"/>
  <c r="F5091" i="41" s="1"/>
  <c r="E5095" i="41"/>
  <c r="F5095" i="41" s="1"/>
  <c r="E5099" i="41"/>
  <c r="F5099" i="41" s="1"/>
  <c r="E5103" i="41"/>
  <c r="F5103" i="41" s="1"/>
  <c r="E5107" i="41"/>
  <c r="F5107" i="41" s="1"/>
  <c r="E5111" i="41"/>
  <c r="F5111" i="41" s="1"/>
  <c r="E5115" i="41"/>
  <c r="F5115" i="41" s="1"/>
  <c r="E5119" i="41"/>
  <c r="F5119" i="41" s="1"/>
  <c r="E5123" i="41"/>
  <c r="F5123" i="41" s="1"/>
  <c r="E5127" i="41"/>
  <c r="F5127" i="41" s="1"/>
  <c r="E5131" i="41"/>
  <c r="F5131" i="41" s="1"/>
  <c r="E5135" i="41"/>
  <c r="F5135" i="41" s="1"/>
  <c r="E5139" i="41"/>
  <c r="F5139" i="41" s="1"/>
  <c r="E5143" i="41"/>
  <c r="F5143" i="41" s="1"/>
  <c r="E5147" i="41"/>
  <c r="F5147" i="41" s="1"/>
  <c r="E5151" i="41"/>
  <c r="F5151" i="41" s="1"/>
  <c r="E5155" i="41"/>
  <c r="F5155" i="41" s="1"/>
  <c r="E5159" i="41"/>
  <c r="F5159" i="41" s="1"/>
  <c r="E5162" i="41"/>
  <c r="F5162" i="41" s="1"/>
  <c r="E5164" i="41"/>
  <c r="F5164" i="41" s="1"/>
  <c r="E5166" i="41"/>
  <c r="F5166" i="41" s="1"/>
  <c r="E5168" i="41"/>
  <c r="F5168" i="41" s="1"/>
  <c r="E5170" i="41"/>
  <c r="F5170" i="41" s="1"/>
  <c r="E5172" i="41"/>
  <c r="F5172" i="41" s="1"/>
  <c r="E5174" i="41"/>
  <c r="F5174" i="41" s="1"/>
  <c r="E5176" i="41"/>
  <c r="F5176" i="41" s="1"/>
  <c r="E5178" i="41"/>
  <c r="F5178" i="41" s="1"/>
  <c r="E5180" i="41"/>
  <c r="F5180" i="41" s="1"/>
  <c r="E5181" i="41"/>
  <c r="F5181" i="41" s="1"/>
  <c r="E5182" i="41"/>
  <c r="F5182" i="41" s="1"/>
  <c r="E5183" i="41"/>
  <c r="F5183" i="41" s="1"/>
  <c r="E5184" i="41"/>
  <c r="F5184" i="41" s="1"/>
  <c r="E5185" i="41"/>
  <c r="F5185" i="41" s="1"/>
  <c r="E5186" i="41"/>
  <c r="F5186" i="41" s="1"/>
  <c r="E5187" i="41"/>
  <c r="F5187" i="41" s="1"/>
  <c r="E5188" i="41"/>
  <c r="F5188" i="41" s="1"/>
  <c r="E5189" i="41"/>
  <c r="F5189" i="41" s="1"/>
  <c r="E5190" i="41"/>
  <c r="F5190" i="41" s="1"/>
  <c r="E5191" i="41"/>
  <c r="F5191" i="41" s="1"/>
  <c r="E5192" i="41"/>
  <c r="F5192" i="41" s="1"/>
  <c r="E5193" i="41"/>
  <c r="F5193" i="41" s="1"/>
  <c r="E5194" i="41"/>
  <c r="F5194" i="41" s="1"/>
  <c r="E5195" i="41"/>
  <c r="F5195" i="41" s="1"/>
  <c r="E5196" i="41"/>
  <c r="F5196" i="41" s="1"/>
  <c r="E5197" i="41"/>
  <c r="F5197" i="41" s="1"/>
  <c r="E5198" i="41"/>
  <c r="F5198" i="41" s="1"/>
  <c r="E5199" i="41"/>
  <c r="F5199" i="41" s="1"/>
  <c r="E5200" i="41"/>
  <c r="F5200" i="41" s="1"/>
  <c r="E5201" i="41"/>
  <c r="F5201" i="41" s="1"/>
  <c r="E5202" i="41"/>
  <c r="F5202" i="41" s="1"/>
  <c r="E5203" i="41"/>
  <c r="F5203" i="41" s="1"/>
  <c r="E5204" i="41"/>
  <c r="F5204" i="41" s="1"/>
  <c r="E5205" i="41"/>
  <c r="F5205" i="41" s="1"/>
  <c r="E5206" i="41"/>
  <c r="F5206" i="41" s="1"/>
  <c r="E5207" i="41"/>
  <c r="F5207" i="41" s="1"/>
  <c r="E5208" i="41"/>
  <c r="F5208" i="41" s="1"/>
  <c r="E5209" i="41"/>
  <c r="F5209" i="41" s="1"/>
  <c r="E5210" i="41"/>
  <c r="F5210" i="41" s="1"/>
  <c r="E5211" i="41"/>
  <c r="F5211" i="41" s="1"/>
  <c r="E5212" i="41"/>
  <c r="F5212" i="41" s="1"/>
  <c r="E5213" i="41"/>
  <c r="F5213" i="41" s="1"/>
  <c r="E5214" i="41"/>
  <c r="F5214" i="41" s="1"/>
  <c r="E5215" i="41"/>
  <c r="F5215" i="41" s="1"/>
  <c r="E5216" i="41"/>
  <c r="F5216" i="41" s="1"/>
  <c r="E5217" i="41"/>
  <c r="F5217" i="41" s="1"/>
  <c r="E5218" i="41"/>
  <c r="F5218" i="41" s="1"/>
  <c r="E5219" i="41"/>
  <c r="F5219" i="41" s="1"/>
  <c r="E5220" i="41"/>
  <c r="F5220" i="41" s="1"/>
  <c r="E5221" i="41"/>
  <c r="F5221" i="41" s="1"/>
  <c r="E5222" i="41"/>
  <c r="F5222" i="41" s="1"/>
  <c r="E5223" i="41"/>
  <c r="F5223" i="41" s="1"/>
  <c r="E5224" i="41"/>
  <c r="F5224" i="41" s="1"/>
  <c r="E5225" i="41"/>
  <c r="F5225" i="41" s="1"/>
  <c r="E5226" i="41"/>
  <c r="F5226" i="41" s="1"/>
  <c r="E5227" i="41"/>
  <c r="F5227" i="41" s="1"/>
  <c r="E5228" i="41"/>
  <c r="F5228" i="41" s="1"/>
  <c r="E5229" i="41"/>
  <c r="F5229" i="41" s="1"/>
  <c r="E5230" i="41"/>
  <c r="F5230" i="41" s="1"/>
  <c r="E5231" i="41"/>
  <c r="F5231" i="41" s="1"/>
  <c r="E5232" i="41"/>
  <c r="F5232" i="41" s="1"/>
  <c r="E5233" i="41"/>
  <c r="F5233" i="41" s="1"/>
  <c r="E5234" i="41"/>
  <c r="F5234" i="41" s="1"/>
  <c r="E5235" i="41"/>
  <c r="F5235" i="41" s="1"/>
  <c r="E5236" i="41"/>
  <c r="F5236" i="41" s="1"/>
  <c r="E5237" i="41"/>
  <c r="F5237" i="41" s="1"/>
  <c r="E5238" i="41"/>
  <c r="F5238" i="41" s="1"/>
  <c r="E5239" i="41"/>
  <c r="F5239" i="41" s="1"/>
  <c r="E5240" i="41"/>
  <c r="F5240" i="41" s="1"/>
  <c r="E5241" i="41"/>
  <c r="F5241" i="41" s="1"/>
  <c r="E5242" i="41"/>
  <c r="F5242" i="41" s="1"/>
  <c r="E5243" i="41"/>
  <c r="F5243" i="41" s="1"/>
  <c r="E5244" i="41"/>
  <c r="F5244" i="41" s="1"/>
  <c r="E5245" i="41"/>
  <c r="F5245" i="41" s="1"/>
  <c r="E5246" i="41"/>
  <c r="F5246" i="41" s="1"/>
  <c r="E5247" i="41"/>
  <c r="F5247" i="41" s="1"/>
  <c r="E5248" i="41"/>
  <c r="F5248" i="41" s="1"/>
  <c r="E5249" i="41"/>
  <c r="F5249" i="41" s="1"/>
  <c r="E5250" i="41"/>
  <c r="F5250" i="41" s="1"/>
  <c r="E5251" i="41"/>
  <c r="F5251" i="41" s="1"/>
  <c r="E5252" i="41"/>
  <c r="F5252" i="41" s="1"/>
  <c r="E5253" i="41"/>
  <c r="F5253" i="41" s="1"/>
  <c r="E4986" i="41"/>
  <c r="F4986" i="41" s="1"/>
  <c r="E4994" i="41"/>
  <c r="F4994" i="41" s="1"/>
  <c r="E5002" i="41"/>
  <c r="F5002" i="41" s="1"/>
  <c r="E5010" i="41"/>
  <c r="F5010" i="41" s="1"/>
  <c r="E5018" i="41"/>
  <c r="F5018" i="41" s="1"/>
  <c r="E5026" i="41"/>
  <c r="F5026" i="41" s="1"/>
  <c r="E5034" i="41"/>
  <c r="F5034" i="41" s="1"/>
  <c r="E5042" i="41"/>
  <c r="F5042" i="41" s="1"/>
  <c r="E5050" i="41"/>
  <c r="F5050" i="41" s="1"/>
  <c r="E5058" i="41"/>
  <c r="F5058" i="41" s="1"/>
  <c r="E5066" i="41"/>
  <c r="F5066" i="41" s="1"/>
  <c r="E5074" i="41"/>
  <c r="F5074" i="41" s="1"/>
  <c r="E5082" i="41"/>
  <c r="F5082" i="41" s="1"/>
  <c r="E5090" i="41"/>
  <c r="F5090" i="41" s="1"/>
  <c r="E5098" i="41"/>
  <c r="F5098" i="41" s="1"/>
  <c r="E5106" i="41"/>
  <c r="F5106" i="41" s="1"/>
  <c r="E5108" i="41"/>
  <c r="F5108" i="41" s="1"/>
  <c r="E5112" i="41"/>
  <c r="F5112" i="41" s="1"/>
  <c r="E5116" i="41"/>
  <c r="F5116" i="41" s="1"/>
  <c r="E5120" i="41"/>
  <c r="F5120" i="41" s="1"/>
  <c r="E5124" i="41"/>
  <c r="F5124" i="41" s="1"/>
  <c r="E5128" i="41"/>
  <c r="F5128" i="41" s="1"/>
  <c r="E5132" i="41"/>
  <c r="F5132" i="41" s="1"/>
  <c r="E5136" i="41"/>
  <c r="F5136" i="41" s="1"/>
  <c r="E5140" i="41"/>
  <c r="F5140" i="41" s="1"/>
  <c r="E5144" i="41"/>
  <c r="F5144" i="41" s="1"/>
  <c r="E5148" i="41"/>
  <c r="F5148" i="41" s="1"/>
  <c r="E5152" i="41"/>
  <c r="F5152" i="41" s="1"/>
  <c r="E5156" i="41"/>
  <c r="F5156" i="41" s="1"/>
  <c r="E5160" i="41"/>
  <c r="F5160" i="41" s="1"/>
  <c r="E5264" i="41"/>
  <c r="F5264" i="41" s="1"/>
  <c r="E5265" i="41"/>
  <c r="F5265" i="41" s="1"/>
  <c r="E5266" i="41"/>
  <c r="F5266" i="41" s="1"/>
  <c r="E5267" i="41"/>
  <c r="F5267" i="41" s="1"/>
  <c r="E5268" i="41"/>
  <c r="F5268" i="41" s="1"/>
  <c r="E5269" i="41"/>
  <c r="F5269" i="41" s="1"/>
  <c r="E5270" i="41"/>
  <c r="F5270" i="41" s="1"/>
  <c r="E5271" i="41"/>
  <c r="F5271" i="41" s="1"/>
  <c r="E5272" i="41"/>
  <c r="F5272" i="41" s="1"/>
  <c r="E5273" i="41"/>
  <c r="F5273" i="41" s="1"/>
  <c r="E5274" i="41"/>
  <c r="F5274" i="41" s="1"/>
  <c r="E5275" i="41"/>
  <c r="F5275" i="41" s="1"/>
  <c r="E5276" i="41"/>
  <c r="F5276" i="41" s="1"/>
  <c r="E5277" i="41"/>
  <c r="F5277" i="41" s="1"/>
  <c r="E5278" i="41"/>
  <c r="F5278" i="41" s="1"/>
  <c r="E5279" i="41"/>
  <c r="F5279" i="41" s="1"/>
  <c r="E5280" i="41"/>
  <c r="F5280" i="41" s="1"/>
  <c r="E5281" i="41"/>
  <c r="F5281" i="41" s="1"/>
  <c r="E5282" i="41"/>
  <c r="F5282" i="41" s="1"/>
  <c r="E5283" i="41"/>
  <c r="F5283" i="41" s="1"/>
  <c r="E5284" i="41"/>
  <c r="F5284" i="41" s="1"/>
  <c r="E5285" i="41"/>
  <c r="F5285" i="41" s="1"/>
  <c r="E5286" i="41"/>
  <c r="F5286" i="41" s="1"/>
  <c r="E5287" i="41"/>
  <c r="F5287" i="41" s="1"/>
  <c r="E5288" i="41"/>
  <c r="F5288" i="41" s="1"/>
  <c r="E5289" i="41"/>
  <c r="F5289" i="41" s="1"/>
  <c r="E5290" i="41"/>
  <c r="F5290" i="41" s="1"/>
  <c r="E5291" i="41"/>
  <c r="F5291" i="41" s="1"/>
  <c r="E5292" i="41"/>
  <c r="F5292" i="41" s="1"/>
  <c r="E5293" i="41"/>
  <c r="F5293" i="41" s="1"/>
  <c r="E5294" i="41"/>
  <c r="F5294" i="41" s="1"/>
  <c r="E5295" i="41"/>
  <c r="F5295" i="41" s="1"/>
  <c r="E5296" i="41"/>
  <c r="F5296" i="41" s="1"/>
  <c r="E5297" i="41"/>
  <c r="F5297" i="41" s="1"/>
  <c r="E5298" i="41"/>
  <c r="F5298" i="41" s="1"/>
  <c r="E5299" i="41"/>
  <c r="F5299" i="41" s="1"/>
  <c r="E5300" i="41"/>
  <c r="F5300" i="41" s="1"/>
  <c r="E5301" i="41"/>
  <c r="F5301" i="41" s="1"/>
  <c r="E5302" i="41"/>
  <c r="F5302" i="41" s="1"/>
  <c r="E5303" i="41"/>
  <c r="F5303" i="41" s="1"/>
  <c r="E5304" i="41"/>
  <c r="F5304" i="41" s="1"/>
  <c r="E5305" i="41"/>
  <c r="F5305" i="41" s="1"/>
  <c r="E5306" i="41"/>
  <c r="F5306" i="41" s="1"/>
  <c r="E5307" i="41"/>
  <c r="F5307" i="41" s="1"/>
  <c r="E5308" i="41"/>
  <c r="F5308" i="41" s="1"/>
  <c r="E5309" i="41"/>
  <c r="F5309" i="41" s="1"/>
  <c r="E5310" i="41"/>
  <c r="F5310" i="41" s="1"/>
  <c r="E5311" i="41"/>
  <c r="F5311" i="41" s="1"/>
  <c r="E5312" i="41"/>
  <c r="F5312" i="41" s="1"/>
  <c r="E5313" i="41"/>
  <c r="F5313" i="41" s="1"/>
  <c r="E5314" i="41"/>
  <c r="F5314" i="41" s="1"/>
  <c r="E5315" i="41"/>
  <c r="F5315" i="41" s="1"/>
  <c r="E5316" i="41"/>
  <c r="F5316" i="41" s="1"/>
  <c r="E5317" i="41"/>
  <c r="F5317" i="41" s="1"/>
  <c r="E5318" i="41"/>
  <c r="F5318" i="41" s="1"/>
  <c r="E5319" i="41"/>
  <c r="F5319" i="41" s="1"/>
  <c r="E5320" i="41"/>
  <c r="F5320" i="41" s="1"/>
  <c r="E5321" i="41"/>
  <c r="F5321" i="41" s="1"/>
  <c r="E5322" i="41"/>
  <c r="F5322" i="41" s="1"/>
  <c r="E5323" i="41"/>
  <c r="F5323" i="41" s="1"/>
  <c r="E5324" i="41"/>
  <c r="F5324" i="41" s="1"/>
  <c r="E5325" i="41"/>
  <c r="F5325" i="41" s="1"/>
  <c r="E5326" i="41"/>
  <c r="F5326" i="41" s="1"/>
  <c r="E5327" i="41"/>
  <c r="F5327" i="41" s="1"/>
  <c r="E5328" i="41"/>
  <c r="F5328" i="41" s="1"/>
  <c r="E5329" i="41"/>
  <c r="F5329" i="41" s="1"/>
  <c r="E5330" i="41"/>
  <c r="F5330" i="41" s="1"/>
  <c r="E5331" i="41"/>
  <c r="F5331" i="41" s="1"/>
  <c r="E5332" i="41"/>
  <c r="F5332" i="41" s="1"/>
  <c r="E5333" i="41"/>
  <c r="F5333" i="41" s="1"/>
  <c r="E5334" i="41"/>
  <c r="F5334" i="41" s="1"/>
  <c r="E5335" i="41"/>
  <c r="F5335" i="41" s="1"/>
  <c r="E5336" i="41"/>
  <c r="F5336" i="41" s="1"/>
  <c r="E5337" i="41"/>
  <c r="F5337" i="41" s="1"/>
  <c r="E5338" i="41"/>
  <c r="F5338" i="41" s="1"/>
  <c r="E5339" i="41"/>
  <c r="F5339" i="41" s="1"/>
  <c r="E5340" i="41"/>
  <c r="F5340" i="41" s="1"/>
  <c r="E5341" i="41"/>
  <c r="F5341" i="41" s="1"/>
  <c r="E5342" i="41"/>
  <c r="F5342" i="41" s="1"/>
  <c r="E5343" i="41"/>
  <c r="F5343" i="41" s="1"/>
  <c r="E5344" i="41"/>
  <c r="F5344" i="41" s="1"/>
  <c r="E5345" i="41"/>
  <c r="F5345" i="41" s="1"/>
  <c r="E5346" i="41"/>
  <c r="F5346" i="41" s="1"/>
  <c r="E5347" i="41"/>
  <c r="F5347" i="41" s="1"/>
  <c r="E5348" i="41"/>
  <c r="F5348" i="41" s="1"/>
  <c r="E5349" i="41"/>
  <c r="F5349" i="41" s="1"/>
  <c r="E5350" i="41"/>
  <c r="F5350" i="41" s="1"/>
  <c r="E5351" i="41"/>
  <c r="F5351" i="41" s="1"/>
  <c r="E5352" i="41"/>
  <c r="F5352" i="41" s="1"/>
  <c r="E5353" i="41"/>
  <c r="F5353" i="41" s="1"/>
  <c r="E5354" i="41"/>
  <c r="F5354" i="41" s="1"/>
  <c r="E5355" i="41"/>
  <c r="F5355" i="41" s="1"/>
  <c r="E5356" i="41"/>
  <c r="F5356" i="41" s="1"/>
  <c r="E5357" i="41"/>
  <c r="F5357" i="41" s="1"/>
  <c r="E5358" i="41"/>
  <c r="F5358" i="41" s="1"/>
  <c r="E5359" i="41"/>
  <c r="F5359" i="41" s="1"/>
  <c r="E5360" i="41"/>
  <c r="F5360" i="41" s="1"/>
  <c r="E5361" i="41"/>
  <c r="F5361" i="41" s="1"/>
  <c r="E5362" i="41"/>
  <c r="F5362" i="41" s="1"/>
  <c r="E5363" i="41"/>
  <c r="F5363" i="41" s="1"/>
  <c r="E5364" i="41"/>
  <c r="F5364" i="41" s="1"/>
  <c r="E5365" i="41"/>
  <c r="F5365" i="41" s="1"/>
  <c r="E5366" i="41"/>
  <c r="F5366" i="41" s="1"/>
  <c r="E5367" i="41"/>
  <c r="F5367" i="41" s="1"/>
  <c r="E5368" i="41"/>
  <c r="F5368" i="41" s="1"/>
  <c r="E5369" i="41"/>
  <c r="F5369" i="41" s="1"/>
  <c r="E5370" i="41"/>
  <c r="F5370" i="41" s="1"/>
  <c r="E5371" i="41"/>
  <c r="F5371" i="41" s="1"/>
  <c r="E5372" i="41"/>
  <c r="F5372" i="41" s="1"/>
  <c r="E5373" i="41"/>
  <c r="F5373" i="41" s="1"/>
  <c r="E5374" i="41"/>
  <c r="F5374" i="41" s="1"/>
  <c r="E5375" i="41"/>
  <c r="F5375" i="41" s="1"/>
  <c r="E5376" i="41"/>
  <c r="F5376" i="41" s="1"/>
  <c r="E5377" i="41"/>
  <c r="F5377" i="41" s="1"/>
  <c r="E5378" i="41"/>
  <c r="F5378" i="41" s="1"/>
  <c r="E5379" i="41"/>
  <c r="F5379" i="41" s="1"/>
  <c r="E5380" i="41"/>
  <c r="F5380" i="41" s="1"/>
  <c r="E5381" i="41"/>
  <c r="F5381" i="41" s="1"/>
  <c r="E5382" i="41"/>
  <c r="F5382" i="41" s="1"/>
  <c r="E5383" i="41"/>
  <c r="F5383" i="41" s="1"/>
  <c r="E5384" i="41"/>
  <c r="F5384" i="41" s="1"/>
  <c r="E5385" i="41"/>
  <c r="F5385" i="41" s="1"/>
  <c r="E5386" i="41"/>
  <c r="F5386" i="41" s="1"/>
  <c r="E5387" i="41"/>
  <c r="F5387" i="41" s="1"/>
  <c r="E5388" i="41"/>
  <c r="F5388" i="41" s="1"/>
  <c r="E5389" i="41"/>
  <c r="F5389" i="41" s="1"/>
  <c r="E5390" i="41"/>
  <c r="F5390" i="41" s="1"/>
  <c r="E5391" i="41"/>
  <c r="F5391" i="41" s="1"/>
  <c r="E5392" i="41"/>
  <c r="F5392" i="41" s="1"/>
  <c r="E5393" i="41"/>
  <c r="F5393" i="41" s="1"/>
  <c r="E5394" i="41"/>
  <c r="F5394" i="41" s="1"/>
  <c r="E5395" i="41"/>
  <c r="F5395" i="41" s="1"/>
  <c r="E5396" i="41"/>
  <c r="F5396" i="41" s="1"/>
  <c r="E5397" i="41"/>
  <c r="F5397" i="41" s="1"/>
  <c r="E5398" i="41"/>
  <c r="F5398" i="41" s="1"/>
  <c r="E5399" i="41"/>
  <c r="F5399" i="41" s="1"/>
  <c r="E5400" i="41"/>
  <c r="F5400" i="41" s="1"/>
  <c r="E5401" i="41"/>
  <c r="F5401" i="41" s="1"/>
  <c r="E5402" i="41"/>
  <c r="F5402" i="41" s="1"/>
  <c r="E5403" i="41"/>
  <c r="F5403" i="41" s="1"/>
  <c r="E5404" i="41"/>
  <c r="F5404" i="41" s="1"/>
  <c r="E5405" i="41"/>
  <c r="F5405" i="41" s="1"/>
  <c r="E5406" i="41"/>
  <c r="F5406" i="41" s="1"/>
  <c r="E5407" i="41"/>
  <c r="F5407" i="41" s="1"/>
  <c r="E5408" i="41"/>
  <c r="F5408" i="41" s="1"/>
  <c r="E5409" i="41"/>
  <c r="F5409" i="41" s="1"/>
  <c r="E5410" i="41"/>
  <c r="F5410" i="41" s="1"/>
  <c r="E5411" i="41"/>
  <c r="F5411" i="41" s="1"/>
  <c r="E5412" i="41"/>
  <c r="F5412" i="41" s="1"/>
  <c r="E5413" i="41"/>
  <c r="F5413" i="41" s="1"/>
  <c r="E5414" i="41"/>
  <c r="F5414" i="41" s="1"/>
  <c r="E5415" i="41"/>
  <c r="F5415" i="41" s="1"/>
  <c r="E5416" i="41"/>
  <c r="F5416" i="41" s="1"/>
  <c r="E5417" i="41"/>
  <c r="F5417" i="41" s="1"/>
  <c r="E5418" i="41"/>
  <c r="F5418" i="41" s="1"/>
  <c r="E5419" i="41"/>
  <c r="F5419" i="41" s="1"/>
  <c r="E5420" i="41"/>
  <c r="F5420" i="41" s="1"/>
  <c r="E5421" i="41"/>
  <c r="F5421" i="41" s="1"/>
  <c r="E5422" i="41"/>
  <c r="F5422" i="41" s="1"/>
  <c r="E5423" i="41"/>
  <c r="F5423" i="41" s="1"/>
  <c r="E5424" i="41"/>
  <c r="F5424" i="41" s="1"/>
  <c r="E5425" i="41"/>
  <c r="F5425" i="41" s="1"/>
  <c r="E5426" i="41"/>
  <c r="F5426" i="41" s="1"/>
  <c r="E5427" i="41"/>
  <c r="F5427" i="41" s="1"/>
  <c r="E5428" i="41"/>
  <c r="F5428" i="41" s="1"/>
  <c r="E5429" i="41"/>
  <c r="F5429" i="41" s="1"/>
  <c r="E5430" i="41"/>
  <c r="F5430" i="41" s="1"/>
  <c r="E5431" i="41"/>
  <c r="F5431" i="41" s="1"/>
  <c r="E5432" i="41"/>
  <c r="F5432" i="41" s="1"/>
  <c r="E5433" i="41"/>
  <c r="F5433" i="41" s="1"/>
  <c r="E5434" i="41"/>
  <c r="F5434" i="41" s="1"/>
  <c r="E5435" i="41"/>
  <c r="F5435" i="41" s="1"/>
  <c r="E5436" i="41"/>
  <c r="F5436" i="41" s="1"/>
  <c r="E5437" i="41"/>
  <c r="F5437" i="41" s="1"/>
  <c r="E5438" i="41"/>
  <c r="F5438" i="41" s="1"/>
  <c r="E5439" i="41"/>
  <c r="F5439" i="41" s="1"/>
  <c r="E5440" i="41"/>
  <c r="F5440" i="41" s="1"/>
  <c r="E5441" i="41"/>
  <c r="F5441" i="41" s="1"/>
  <c r="E5442" i="41"/>
  <c r="F5442" i="41" s="1"/>
  <c r="E5443" i="41"/>
  <c r="F5443" i="41" s="1"/>
  <c r="E5444" i="41"/>
  <c r="F5444" i="41" s="1"/>
  <c r="E5445" i="41"/>
  <c r="F5445" i="41" s="1"/>
  <c r="E5446" i="41"/>
  <c r="F5446" i="41" s="1"/>
  <c r="E5447" i="41"/>
  <c r="F5447" i="41" s="1"/>
  <c r="E5448" i="41"/>
  <c r="F5448" i="41" s="1"/>
  <c r="E5449" i="41"/>
  <c r="F5449" i="41" s="1"/>
  <c r="E5450" i="41"/>
  <c r="F5450" i="41" s="1"/>
  <c r="E5451" i="41"/>
  <c r="F5451" i="41" s="1"/>
  <c r="E5452" i="41"/>
  <c r="F5452" i="41" s="1"/>
  <c r="E5453" i="41"/>
  <c r="F5453" i="41" s="1"/>
  <c r="E5454" i="41"/>
  <c r="F5454" i="41" s="1"/>
  <c r="E5455" i="41"/>
  <c r="F5455" i="41" s="1"/>
  <c r="E5456" i="41"/>
  <c r="F5456" i="41" s="1"/>
  <c r="E5457" i="41"/>
  <c r="F5457" i="41" s="1"/>
  <c r="E5458" i="41"/>
  <c r="F5458" i="41" s="1"/>
  <c r="E5459" i="41"/>
  <c r="F5459" i="41" s="1"/>
  <c r="E5460" i="41"/>
  <c r="F5460" i="41" s="1"/>
  <c r="E5461" i="41"/>
  <c r="F5461" i="41" s="1"/>
  <c r="E5462" i="41"/>
  <c r="F5462" i="41" s="1"/>
  <c r="E5463" i="41"/>
  <c r="F5463" i="41" s="1"/>
  <c r="E5464" i="41"/>
  <c r="F5464" i="41" s="1"/>
  <c r="E5465" i="41"/>
  <c r="F5465" i="41" s="1"/>
  <c r="E5466" i="41"/>
  <c r="F5466" i="41" s="1"/>
  <c r="E5467" i="41"/>
  <c r="F5467" i="41" s="1"/>
  <c r="E5468" i="41"/>
  <c r="F5468" i="41" s="1"/>
  <c r="E5469" i="41"/>
  <c r="F5469" i="41" s="1"/>
  <c r="E5470" i="41"/>
  <c r="F5470" i="41" s="1"/>
  <c r="E5471" i="41"/>
  <c r="F5471" i="41" s="1"/>
  <c r="E5472" i="41"/>
  <c r="F5472" i="41" s="1"/>
  <c r="E5473" i="41"/>
  <c r="F5473" i="41" s="1"/>
  <c r="E5474" i="41"/>
  <c r="F5474" i="41" s="1"/>
  <c r="E5475" i="41"/>
  <c r="F5475" i="41" s="1"/>
  <c r="E5476" i="41"/>
  <c r="F5476" i="41" s="1"/>
  <c r="E5477" i="41"/>
  <c r="F5477" i="41" s="1"/>
  <c r="E5478" i="41"/>
  <c r="F5478" i="41" s="1"/>
  <c r="E5479" i="41"/>
  <c r="F5479" i="41" s="1"/>
  <c r="E5480" i="41"/>
  <c r="F5480" i="41" s="1"/>
  <c r="E5481" i="41"/>
  <c r="F5481" i="41" s="1"/>
  <c r="E5482" i="41"/>
  <c r="F5482" i="41" s="1"/>
  <c r="E5483" i="41"/>
  <c r="F5483" i="41" s="1"/>
  <c r="E5484" i="41"/>
  <c r="F5484" i="41" s="1"/>
  <c r="E5485" i="41"/>
  <c r="F5485" i="41" s="1"/>
  <c r="E5486" i="41"/>
  <c r="F5486" i="41" s="1"/>
  <c r="E5487" i="41"/>
  <c r="F5487" i="41" s="1"/>
  <c r="E5488" i="41"/>
  <c r="F5488" i="41" s="1"/>
  <c r="E5489" i="41"/>
  <c r="F5489" i="41" s="1"/>
  <c r="E5490" i="41"/>
  <c r="F5490" i="41" s="1"/>
  <c r="E5491" i="41"/>
  <c r="F5491" i="41" s="1"/>
  <c r="E5492" i="41"/>
  <c r="F5492" i="41" s="1"/>
  <c r="E5493" i="41"/>
  <c r="F5493" i="41" s="1"/>
  <c r="E5494" i="41"/>
  <c r="F5494" i="41" s="1"/>
  <c r="E5495" i="41"/>
  <c r="F5495" i="41" s="1"/>
  <c r="E5496" i="41"/>
  <c r="F5496" i="41" s="1"/>
  <c r="E5497" i="41"/>
  <c r="F5497" i="41" s="1"/>
  <c r="E5498" i="41"/>
  <c r="F5498" i="41" s="1"/>
  <c r="E5499" i="41"/>
  <c r="F5499" i="41" s="1"/>
  <c r="E5500" i="41"/>
  <c r="F5500" i="41" s="1"/>
  <c r="E4990" i="41"/>
  <c r="F4990" i="41" s="1"/>
  <c r="E4998" i="41"/>
  <c r="F4998" i="41" s="1"/>
  <c r="E5006" i="41"/>
  <c r="F5006" i="41" s="1"/>
  <c r="E5014" i="41"/>
  <c r="F5014" i="41" s="1"/>
  <c r="E5022" i="41"/>
  <c r="F5022" i="41" s="1"/>
  <c r="E5030" i="41"/>
  <c r="F5030" i="41" s="1"/>
  <c r="E5038" i="41"/>
  <c r="F5038" i="41" s="1"/>
  <c r="E5046" i="41"/>
  <c r="F5046" i="41" s="1"/>
  <c r="E5054" i="41"/>
  <c r="F5054" i="41" s="1"/>
  <c r="E5062" i="41"/>
  <c r="F5062" i="41" s="1"/>
  <c r="E5070" i="41"/>
  <c r="F5070" i="41" s="1"/>
  <c r="E5078" i="41"/>
  <c r="F5078" i="41" s="1"/>
  <c r="E5086" i="41"/>
  <c r="F5086" i="41" s="1"/>
  <c r="E5094" i="41"/>
  <c r="F5094" i="41" s="1"/>
  <c r="E5102" i="41"/>
  <c r="F5102" i="41" s="1"/>
  <c r="E5501" i="41"/>
  <c r="F5501" i="41" s="1"/>
  <c r="E5505" i="41"/>
  <c r="F5505" i="41" s="1"/>
  <c r="E5502" i="41"/>
  <c r="F5502" i="41" s="1"/>
  <c r="E5506" i="41"/>
  <c r="F5506" i="41" s="1"/>
  <c r="E5509" i="41"/>
  <c r="F5509" i="41" s="1"/>
  <c r="E5511" i="41"/>
  <c r="F5511" i="41" s="1"/>
  <c r="E5513" i="41"/>
  <c r="F5513" i="41" s="1"/>
  <c r="E5515" i="41"/>
  <c r="F5515" i="41" s="1"/>
  <c r="E5517" i="41"/>
  <c r="F5517" i="41" s="1"/>
  <c r="E5519" i="41"/>
  <c r="F5519" i="41" s="1"/>
  <c r="E5521" i="41"/>
  <c r="F5521" i="41" s="1"/>
  <c r="E5523" i="41"/>
  <c r="F5523" i="41" s="1"/>
  <c r="E5525" i="41"/>
  <c r="F5525" i="41" s="1"/>
  <c r="E5527" i="41"/>
  <c r="F5527" i="41" s="1"/>
  <c r="E5529" i="41"/>
  <c r="F5529" i="41" s="1"/>
  <c r="E5531" i="41"/>
  <c r="F5531" i="41" s="1"/>
  <c r="E5533" i="41"/>
  <c r="F5533" i="41" s="1"/>
  <c r="E5535" i="41"/>
  <c r="F5535" i="41" s="1"/>
  <c r="E5537" i="41"/>
  <c r="F5537" i="41" s="1"/>
  <c r="E5539" i="41"/>
  <c r="F5539" i="41" s="1"/>
  <c r="E5541" i="41"/>
  <c r="F5541" i="41" s="1"/>
  <c r="E5543" i="41"/>
  <c r="F5543" i="41" s="1"/>
  <c r="E5545" i="41"/>
  <c r="F5545" i="41" s="1"/>
  <c r="E5503" i="41"/>
  <c r="F5503" i="41" s="1"/>
  <c r="E5507" i="41"/>
  <c r="F5507" i="41" s="1"/>
  <c r="E5514" i="41"/>
  <c r="F5514" i="41" s="1"/>
  <c r="E5522" i="41"/>
  <c r="F5522" i="41" s="1"/>
  <c r="E5530" i="41"/>
  <c r="F5530" i="41" s="1"/>
  <c r="E5538" i="41"/>
  <c r="F5538" i="41" s="1"/>
  <c r="E5546" i="41"/>
  <c r="F5546" i="41" s="1"/>
  <c r="E5550" i="41"/>
  <c r="F5550" i="41" s="1"/>
  <c r="E5554" i="41"/>
  <c r="F5554" i="41" s="1"/>
  <c r="E5558" i="41"/>
  <c r="F5558" i="41" s="1"/>
  <c r="E5562" i="41"/>
  <c r="F5562" i="41" s="1"/>
  <c r="E5566" i="41"/>
  <c r="F5566" i="41" s="1"/>
  <c r="E5570" i="41"/>
  <c r="F5570" i="41" s="1"/>
  <c r="E5574" i="41"/>
  <c r="F5574" i="41" s="1"/>
  <c r="E5578" i="41"/>
  <c r="F5578" i="41" s="1"/>
  <c r="E5582" i="41"/>
  <c r="F5582" i="41" s="1"/>
  <c r="E5586" i="41"/>
  <c r="F5586" i="41" s="1"/>
  <c r="E5590" i="41"/>
  <c r="F5590" i="41" s="1"/>
  <c r="E5594" i="41"/>
  <c r="F5594" i="41" s="1"/>
  <c r="E5598" i="41"/>
  <c r="F5598" i="41" s="1"/>
  <c r="E5602" i="41"/>
  <c r="F5602" i="41" s="1"/>
  <c r="E5606" i="41"/>
  <c r="F5606" i="41" s="1"/>
  <c r="E5610" i="41"/>
  <c r="F5610" i="41" s="1"/>
  <c r="E5614" i="41"/>
  <c r="F5614" i="41" s="1"/>
  <c r="E5618" i="41"/>
  <c r="F5618" i="41" s="1"/>
  <c r="E5622" i="41"/>
  <c r="F5622" i="41" s="1"/>
  <c r="E5626" i="41"/>
  <c r="F5626" i="41" s="1"/>
  <c r="E5630" i="41"/>
  <c r="F5630" i="41" s="1"/>
  <c r="E5634" i="41"/>
  <c r="F5634" i="41" s="1"/>
  <c r="E5638" i="41"/>
  <c r="F5638" i="41" s="1"/>
  <c r="E5642" i="41"/>
  <c r="F5642" i="41" s="1"/>
  <c r="E5646" i="41"/>
  <c r="F5646" i="41" s="1"/>
  <c r="E5650" i="41"/>
  <c r="F5650" i="41" s="1"/>
  <c r="E5654" i="41"/>
  <c r="F5654" i="41" s="1"/>
  <c r="E5658" i="41"/>
  <c r="F5658" i="41" s="1"/>
  <c r="E5662" i="41"/>
  <c r="F5662" i="41" s="1"/>
  <c r="E5666" i="41"/>
  <c r="F5666" i="41" s="1"/>
  <c r="E5670" i="41"/>
  <c r="F5670" i="41" s="1"/>
  <c r="E5674" i="41"/>
  <c r="F5674" i="41" s="1"/>
  <c r="E5678" i="41"/>
  <c r="F5678" i="41" s="1"/>
  <c r="E5682" i="41"/>
  <c r="F5682" i="41" s="1"/>
  <c r="E5686" i="41"/>
  <c r="F5686" i="41" s="1"/>
  <c r="E5690" i="41"/>
  <c r="F5690" i="41" s="1"/>
  <c r="E5694" i="41"/>
  <c r="F5694" i="41" s="1"/>
  <c r="E5698" i="41"/>
  <c r="F5698" i="41" s="1"/>
  <c r="E5702" i="41"/>
  <c r="F5702" i="41" s="1"/>
  <c r="E5706" i="41"/>
  <c r="F5706" i="41" s="1"/>
  <c r="E5710" i="41"/>
  <c r="F5710" i="41" s="1"/>
  <c r="E5714" i="41"/>
  <c r="F5714" i="41" s="1"/>
  <c r="E5718" i="41"/>
  <c r="F5718" i="41" s="1"/>
  <c r="E5722" i="41"/>
  <c r="F5722" i="41" s="1"/>
  <c r="E5726" i="41"/>
  <c r="F5726" i="41" s="1"/>
  <c r="E5730" i="41"/>
  <c r="F5730" i="41" s="1"/>
  <c r="E5734" i="41"/>
  <c r="F5734" i="41" s="1"/>
  <c r="E5738" i="41"/>
  <c r="F5738" i="41" s="1"/>
  <c r="E5742" i="41"/>
  <c r="F5742" i="41" s="1"/>
  <c r="E5746" i="41"/>
  <c r="F5746" i="41" s="1"/>
  <c r="E5750" i="41"/>
  <c r="F5750" i="41" s="1"/>
  <c r="E5754" i="41"/>
  <c r="F5754" i="41" s="1"/>
  <c r="E5758" i="41"/>
  <c r="F5758" i="41" s="1"/>
  <c r="E5504" i="41"/>
  <c r="F5504" i="41" s="1"/>
  <c r="E5508" i="41"/>
  <c r="F5508" i="41" s="1"/>
  <c r="E5516" i="41"/>
  <c r="F5516" i="41" s="1"/>
  <c r="E5524" i="41"/>
  <c r="F5524" i="41" s="1"/>
  <c r="E5532" i="41"/>
  <c r="F5532" i="41" s="1"/>
  <c r="E5540" i="41"/>
  <c r="F5540" i="41" s="1"/>
  <c r="E5549" i="41"/>
  <c r="F5549" i="41" s="1"/>
  <c r="E5553" i="41"/>
  <c r="F5553" i="41" s="1"/>
  <c r="E5557" i="41"/>
  <c r="F5557" i="41" s="1"/>
  <c r="E5561" i="41"/>
  <c r="F5561" i="41" s="1"/>
  <c r="E5565" i="41"/>
  <c r="F5565" i="41" s="1"/>
  <c r="E5569" i="41"/>
  <c r="F5569" i="41" s="1"/>
  <c r="E5573" i="41"/>
  <c r="F5573" i="41" s="1"/>
  <c r="E5577" i="41"/>
  <c r="F5577" i="41" s="1"/>
  <c r="E5581" i="41"/>
  <c r="F5581" i="41" s="1"/>
  <c r="E5585" i="41"/>
  <c r="F5585" i="41" s="1"/>
  <c r="E5589" i="41"/>
  <c r="F5589" i="41" s="1"/>
  <c r="E5593" i="41"/>
  <c r="F5593" i="41" s="1"/>
  <c r="E5597" i="41"/>
  <c r="F5597" i="41" s="1"/>
  <c r="E5601" i="41"/>
  <c r="F5601" i="41" s="1"/>
  <c r="E5605" i="41"/>
  <c r="F5605" i="41" s="1"/>
  <c r="E5609" i="41"/>
  <c r="F5609" i="41" s="1"/>
  <c r="E5613" i="41"/>
  <c r="F5613" i="41" s="1"/>
  <c r="E5617" i="41"/>
  <c r="F5617" i="41" s="1"/>
  <c r="E5621" i="41"/>
  <c r="F5621" i="41" s="1"/>
  <c r="E5625" i="41"/>
  <c r="F5625" i="41" s="1"/>
  <c r="E5629" i="41"/>
  <c r="F5629" i="41" s="1"/>
  <c r="E5633" i="41"/>
  <c r="F5633" i="41" s="1"/>
  <c r="E5637" i="41"/>
  <c r="F5637" i="41" s="1"/>
  <c r="E5641" i="41"/>
  <c r="F5641" i="41" s="1"/>
  <c r="E5645" i="41"/>
  <c r="F5645" i="41" s="1"/>
  <c r="E5649" i="41"/>
  <c r="F5649" i="41" s="1"/>
  <c r="E5653" i="41"/>
  <c r="F5653" i="41" s="1"/>
  <c r="E5657" i="41"/>
  <c r="F5657" i="41" s="1"/>
  <c r="E5661" i="41"/>
  <c r="F5661" i="41" s="1"/>
  <c r="E5665" i="41"/>
  <c r="F5665" i="41" s="1"/>
  <c r="E5669" i="41"/>
  <c r="F5669" i="41" s="1"/>
  <c r="E5673" i="41"/>
  <c r="F5673" i="41" s="1"/>
  <c r="E5677" i="41"/>
  <c r="F5677" i="41" s="1"/>
  <c r="E5681" i="41"/>
  <c r="F5681" i="41" s="1"/>
  <c r="E5685" i="41"/>
  <c r="F5685" i="41" s="1"/>
  <c r="E5689" i="41"/>
  <c r="F5689" i="41" s="1"/>
  <c r="E5693" i="41"/>
  <c r="F5693" i="41" s="1"/>
  <c r="E5697" i="41"/>
  <c r="F5697" i="41" s="1"/>
  <c r="E5701" i="41"/>
  <c r="F5701" i="41" s="1"/>
  <c r="E5705" i="41"/>
  <c r="F5705" i="41" s="1"/>
  <c r="E5709" i="41"/>
  <c r="F5709" i="41" s="1"/>
  <c r="E5713" i="41"/>
  <c r="F5713" i="41" s="1"/>
  <c r="E5717" i="41"/>
  <c r="F5717" i="41" s="1"/>
  <c r="E5721" i="41"/>
  <c r="F5721" i="41" s="1"/>
  <c r="E5725" i="41"/>
  <c r="F5725" i="41" s="1"/>
  <c r="E5729" i="41"/>
  <c r="F5729" i="41" s="1"/>
  <c r="E5733" i="41"/>
  <c r="F5733" i="41" s="1"/>
  <c r="E5737" i="41"/>
  <c r="F5737" i="41" s="1"/>
  <c r="E5741" i="41"/>
  <c r="F5741" i="41" s="1"/>
  <c r="E5745" i="41"/>
  <c r="F5745" i="41" s="1"/>
  <c r="E5749" i="41"/>
  <c r="F5749" i="41" s="1"/>
  <c r="E5753" i="41"/>
  <c r="F5753" i="41" s="1"/>
  <c r="E5757" i="41"/>
  <c r="F5757" i="41" s="1"/>
  <c r="E5761" i="41"/>
  <c r="F5761" i="41" s="1"/>
  <c r="E5762" i="41"/>
  <c r="F5762" i="41" s="1"/>
  <c r="E5763" i="41"/>
  <c r="F5763" i="41" s="1"/>
  <c r="E5764" i="41"/>
  <c r="F5764" i="41" s="1"/>
  <c r="E5765" i="41"/>
  <c r="F5765" i="41" s="1"/>
  <c r="E5766" i="41"/>
  <c r="F5766" i="41" s="1"/>
  <c r="E5767" i="41"/>
  <c r="F5767" i="41" s="1"/>
  <c r="E5768" i="41"/>
  <c r="F5768" i="41" s="1"/>
  <c r="E5769" i="41"/>
  <c r="F5769" i="41" s="1"/>
  <c r="E5770" i="41"/>
  <c r="F5770" i="41" s="1"/>
  <c r="E5771" i="41"/>
  <c r="F5771" i="41" s="1"/>
  <c r="E5772" i="41"/>
  <c r="F5772" i="41" s="1"/>
  <c r="E5773" i="41"/>
  <c r="F5773" i="41" s="1"/>
  <c r="E5774" i="41"/>
  <c r="F5774" i="41" s="1"/>
  <c r="E5775" i="41"/>
  <c r="F5775" i="41" s="1"/>
  <c r="E5776" i="41"/>
  <c r="F5776" i="41" s="1"/>
  <c r="E5777" i="41"/>
  <c r="F5777" i="41" s="1"/>
  <c r="E5778" i="41"/>
  <c r="F5778" i="41" s="1"/>
  <c r="E5779" i="41"/>
  <c r="F5779" i="41" s="1"/>
  <c r="E5780" i="41"/>
  <c r="F5780" i="41" s="1"/>
  <c r="E5781" i="41"/>
  <c r="F5781" i="41" s="1"/>
  <c r="E5782" i="41"/>
  <c r="F5782" i="41" s="1"/>
  <c r="E5783" i="41"/>
  <c r="F5783" i="41" s="1"/>
  <c r="E5784" i="41"/>
  <c r="F5784" i="41" s="1"/>
  <c r="E5786" i="41"/>
  <c r="F5786" i="41" s="1"/>
  <c r="E5510" i="41"/>
  <c r="F5510" i="41" s="1"/>
  <c r="E5518" i="41"/>
  <c r="F5518" i="41" s="1"/>
  <c r="E5526" i="41"/>
  <c r="F5526" i="41" s="1"/>
  <c r="E5534" i="41"/>
  <c r="F5534" i="41" s="1"/>
  <c r="E5542" i="41"/>
  <c r="F5542" i="41" s="1"/>
  <c r="E5548" i="41"/>
  <c r="F5548" i="41" s="1"/>
  <c r="E5552" i="41"/>
  <c r="F5552" i="41" s="1"/>
  <c r="E5556" i="41"/>
  <c r="F5556" i="41" s="1"/>
  <c r="E5560" i="41"/>
  <c r="F5560" i="41" s="1"/>
  <c r="E5564" i="41"/>
  <c r="F5564" i="41" s="1"/>
  <c r="E5568" i="41"/>
  <c r="F5568" i="41" s="1"/>
  <c r="E5572" i="41"/>
  <c r="F5572" i="41" s="1"/>
  <c r="E5576" i="41"/>
  <c r="F5576" i="41" s="1"/>
  <c r="E5580" i="41"/>
  <c r="F5580" i="41" s="1"/>
  <c r="E5584" i="41"/>
  <c r="F5584" i="41" s="1"/>
  <c r="E5588" i="41"/>
  <c r="F5588" i="41" s="1"/>
  <c r="E5592" i="41"/>
  <c r="F5592" i="41" s="1"/>
  <c r="E5596" i="41"/>
  <c r="F5596" i="41" s="1"/>
  <c r="E5600" i="41"/>
  <c r="F5600" i="41" s="1"/>
  <c r="E5604" i="41"/>
  <c r="F5604" i="41" s="1"/>
  <c r="E5608" i="41"/>
  <c r="F5608" i="41" s="1"/>
  <c r="E5612" i="41"/>
  <c r="F5612" i="41" s="1"/>
  <c r="E5616" i="41"/>
  <c r="F5616" i="41" s="1"/>
  <c r="E5620" i="41"/>
  <c r="F5620" i="41" s="1"/>
  <c r="E5624" i="41"/>
  <c r="F5624" i="41" s="1"/>
  <c r="E5628" i="41"/>
  <c r="F5628" i="41" s="1"/>
  <c r="E5632" i="41"/>
  <c r="F5632" i="41" s="1"/>
  <c r="E5636" i="41"/>
  <c r="F5636" i="41" s="1"/>
  <c r="E5640" i="41"/>
  <c r="F5640" i="41" s="1"/>
  <c r="E5644" i="41"/>
  <c r="F5644" i="41" s="1"/>
  <c r="E5648" i="41"/>
  <c r="F5648" i="41" s="1"/>
  <c r="E5652" i="41"/>
  <c r="F5652" i="41" s="1"/>
  <c r="E5656" i="41"/>
  <c r="F5656" i="41" s="1"/>
  <c r="E5660" i="41"/>
  <c r="F5660" i="41" s="1"/>
  <c r="E5664" i="41"/>
  <c r="F5664" i="41" s="1"/>
  <c r="E5668" i="41"/>
  <c r="F5668" i="41" s="1"/>
  <c r="E5672" i="41"/>
  <c r="F5672" i="41" s="1"/>
  <c r="E5676" i="41"/>
  <c r="F5676" i="41" s="1"/>
  <c r="E5680" i="41"/>
  <c r="F5680" i="41" s="1"/>
  <c r="E5684" i="41"/>
  <c r="F5684" i="41" s="1"/>
  <c r="E5688" i="41"/>
  <c r="F5688" i="41" s="1"/>
  <c r="E5692" i="41"/>
  <c r="F5692" i="41" s="1"/>
  <c r="E5696" i="41"/>
  <c r="F5696" i="41" s="1"/>
  <c r="E5700" i="41"/>
  <c r="F5700" i="41" s="1"/>
  <c r="E5704" i="41"/>
  <c r="F5704" i="41" s="1"/>
  <c r="E5708" i="41"/>
  <c r="F5708" i="41" s="1"/>
  <c r="E5712" i="41"/>
  <c r="F5712" i="41" s="1"/>
  <c r="E5716" i="41"/>
  <c r="F5716" i="41" s="1"/>
  <c r="E5720" i="41"/>
  <c r="F5720" i="41" s="1"/>
  <c r="E5724" i="41"/>
  <c r="F5724" i="41" s="1"/>
  <c r="E5728" i="41"/>
  <c r="F5728" i="41" s="1"/>
  <c r="E5732" i="41"/>
  <c r="F5732" i="41" s="1"/>
  <c r="E5736" i="41"/>
  <c r="F5736" i="41" s="1"/>
  <c r="E5740" i="41"/>
  <c r="F5740" i="41" s="1"/>
  <c r="E5744" i="41"/>
  <c r="F5744" i="41" s="1"/>
  <c r="E5748" i="41"/>
  <c r="F5748" i="41" s="1"/>
  <c r="E5752" i="41"/>
  <c r="F5752" i="41" s="1"/>
  <c r="E5756" i="41"/>
  <c r="F5756" i="41" s="1"/>
  <c r="E5760" i="41"/>
  <c r="F5760" i="41" s="1"/>
  <c r="E5512" i="41"/>
  <c r="F5512" i="41" s="1"/>
  <c r="E5544" i="41"/>
  <c r="F5544" i="41" s="1"/>
  <c r="E5547" i="41"/>
  <c r="F5547" i="41" s="1"/>
  <c r="E5555" i="41"/>
  <c r="F5555" i="41" s="1"/>
  <c r="E5563" i="41"/>
  <c r="F5563" i="41" s="1"/>
  <c r="E5571" i="41"/>
  <c r="F5571" i="41" s="1"/>
  <c r="E5579" i="41"/>
  <c r="F5579" i="41" s="1"/>
  <c r="E5587" i="41"/>
  <c r="F5587" i="41" s="1"/>
  <c r="E5595" i="41"/>
  <c r="F5595" i="41" s="1"/>
  <c r="E5603" i="41"/>
  <c r="F5603" i="41" s="1"/>
  <c r="E5611" i="41"/>
  <c r="F5611" i="41" s="1"/>
  <c r="E5619" i="41"/>
  <c r="F5619" i="41" s="1"/>
  <c r="E5627" i="41"/>
  <c r="F5627" i="41" s="1"/>
  <c r="E5635" i="41"/>
  <c r="F5635" i="41" s="1"/>
  <c r="E5643" i="41"/>
  <c r="F5643" i="41" s="1"/>
  <c r="E5651" i="41"/>
  <c r="F5651" i="41" s="1"/>
  <c r="E5659" i="41"/>
  <c r="F5659" i="41" s="1"/>
  <c r="E5667" i="41"/>
  <c r="F5667" i="41" s="1"/>
  <c r="E5675" i="41"/>
  <c r="F5675" i="41" s="1"/>
  <c r="E5683" i="41"/>
  <c r="F5683" i="41" s="1"/>
  <c r="E5691" i="41"/>
  <c r="F5691" i="41" s="1"/>
  <c r="E5699" i="41"/>
  <c r="F5699" i="41" s="1"/>
  <c r="E5707" i="41"/>
  <c r="F5707" i="41" s="1"/>
  <c r="E5715" i="41"/>
  <c r="F5715" i="41" s="1"/>
  <c r="E5723" i="41"/>
  <c r="F5723" i="41" s="1"/>
  <c r="E5731" i="41"/>
  <c r="F5731" i="41" s="1"/>
  <c r="E5739" i="41"/>
  <c r="F5739" i="41" s="1"/>
  <c r="E5747" i="41"/>
  <c r="F5747" i="41" s="1"/>
  <c r="E5755" i="41"/>
  <c r="F5755" i="41" s="1"/>
  <c r="E5536" i="41"/>
  <c r="F5536" i="41" s="1"/>
  <c r="E5528" i="41"/>
  <c r="F5528" i="41" s="1"/>
  <c r="E5551" i="41"/>
  <c r="F5551" i="41" s="1"/>
  <c r="E5559" i="41"/>
  <c r="F5559" i="41" s="1"/>
  <c r="E5567" i="41"/>
  <c r="F5567" i="41" s="1"/>
  <c r="E5575" i="41"/>
  <c r="F5575" i="41" s="1"/>
  <c r="E5583" i="41"/>
  <c r="F5583" i="41" s="1"/>
  <c r="E5591" i="41"/>
  <c r="F5591" i="41" s="1"/>
  <c r="E5599" i="41"/>
  <c r="F5599" i="41" s="1"/>
  <c r="E5607" i="41"/>
  <c r="F5607" i="41" s="1"/>
  <c r="E5615" i="41"/>
  <c r="F5615" i="41" s="1"/>
  <c r="E5623" i="41"/>
  <c r="F5623" i="41" s="1"/>
  <c r="E5631" i="41"/>
  <c r="F5631" i="41" s="1"/>
  <c r="E5639" i="41"/>
  <c r="F5639" i="41" s="1"/>
  <c r="E5647" i="41"/>
  <c r="F5647" i="41" s="1"/>
  <c r="E5655" i="41"/>
  <c r="F5655" i="41" s="1"/>
  <c r="E5663" i="41"/>
  <c r="F5663" i="41" s="1"/>
  <c r="E5671" i="41"/>
  <c r="F5671" i="41" s="1"/>
  <c r="E5679" i="41"/>
  <c r="F5679" i="41" s="1"/>
  <c r="E5687" i="41"/>
  <c r="F5687" i="41" s="1"/>
  <c r="E5695" i="41"/>
  <c r="F5695" i="41" s="1"/>
  <c r="E5703" i="41"/>
  <c r="F5703" i="41" s="1"/>
  <c r="E5711" i="41"/>
  <c r="F5711" i="41" s="1"/>
  <c r="E5719" i="41"/>
  <c r="F5719" i="41" s="1"/>
  <c r="E5727" i="41"/>
  <c r="F5727" i="41" s="1"/>
  <c r="E5735" i="41"/>
  <c r="F5735" i="41" s="1"/>
  <c r="E5743" i="41"/>
  <c r="F5743" i="41" s="1"/>
  <c r="E5751" i="41"/>
  <c r="F5751" i="41" s="1"/>
  <c r="E5759" i="41"/>
  <c r="F5759" i="41" s="1"/>
  <c r="E5785" i="41"/>
  <c r="F5785" i="41" s="1"/>
  <c r="E5520" i="41"/>
  <c r="F5520" i="41" s="1"/>
  <c r="E6067" i="41"/>
  <c r="F6067" i="41" s="1"/>
  <c r="E6071" i="41"/>
  <c r="F6071" i="41" s="1"/>
  <c r="E6075" i="41"/>
  <c r="F6075" i="41" s="1"/>
  <c r="E6079" i="41"/>
  <c r="F6079" i="41" s="1"/>
  <c r="E6083" i="41"/>
  <c r="F6083" i="41" s="1"/>
  <c r="E6087" i="41"/>
  <c r="F6087" i="41" s="1"/>
  <c r="E6091" i="41"/>
  <c r="F6091" i="41" s="1"/>
  <c r="E6095" i="41"/>
  <c r="F6095" i="41" s="1"/>
  <c r="E6099" i="41"/>
  <c r="F6099" i="41" s="1"/>
  <c r="E6103" i="41"/>
  <c r="F6103" i="41" s="1"/>
  <c r="E6107" i="41"/>
  <c r="F6107" i="41" s="1"/>
  <c r="E6111" i="41"/>
  <c r="F6111" i="41" s="1"/>
  <c r="E6115" i="41"/>
  <c r="F6115" i="41" s="1"/>
  <c r="E6119" i="41"/>
  <c r="F6119" i="41" s="1"/>
  <c r="E6123" i="41"/>
  <c r="F6123" i="41" s="1"/>
  <c r="E6127" i="41"/>
  <c r="F6127" i="41" s="1"/>
  <c r="E6131" i="41"/>
  <c r="F6131" i="41" s="1"/>
  <c r="E6135" i="41"/>
  <c r="F6135" i="41" s="1"/>
  <c r="E6139" i="41"/>
  <c r="F6139" i="41" s="1"/>
  <c r="E6143" i="41"/>
  <c r="F6143" i="41" s="1"/>
  <c r="E6147" i="41"/>
  <c r="F6147" i="41" s="1"/>
  <c r="E6151" i="41"/>
  <c r="F6151" i="41" s="1"/>
  <c r="E6155" i="41"/>
  <c r="F6155" i="41" s="1"/>
  <c r="E6159" i="41"/>
  <c r="F6159" i="41" s="1"/>
  <c r="E6163" i="41"/>
  <c r="F6163" i="41" s="1"/>
  <c r="E6167" i="41"/>
  <c r="F6167" i="41" s="1"/>
  <c r="E6171" i="41"/>
  <c r="F6171" i="41" s="1"/>
  <c r="E6175" i="41"/>
  <c r="F6175" i="41" s="1"/>
  <c r="E6179" i="41"/>
  <c r="F6179" i="41" s="1"/>
  <c r="E6183" i="41"/>
  <c r="F6183" i="41" s="1"/>
  <c r="E6187" i="41"/>
  <c r="F6187" i="41" s="1"/>
  <c r="E6191" i="41"/>
  <c r="F6191" i="41" s="1"/>
  <c r="E6195" i="41"/>
  <c r="F6195" i="41" s="1"/>
  <c r="E6199" i="41"/>
  <c r="F6199" i="41" s="1"/>
  <c r="E6203" i="41"/>
  <c r="F6203" i="41" s="1"/>
  <c r="E6207" i="41"/>
  <c r="F6207" i="41" s="1"/>
  <c r="E6211" i="41"/>
  <c r="F6211" i="41" s="1"/>
  <c r="E6215" i="41"/>
  <c r="F6215" i="41" s="1"/>
  <c r="E6219" i="41"/>
  <c r="F6219" i="41" s="1"/>
  <c r="E6223" i="41"/>
  <c r="F6223" i="41" s="1"/>
  <c r="E6227" i="41"/>
  <c r="F6227" i="41" s="1"/>
  <c r="E6231" i="41"/>
  <c r="F6231" i="41" s="1"/>
  <c r="E6235" i="41"/>
  <c r="F6235" i="41" s="1"/>
  <c r="E6239" i="41"/>
  <c r="F6239" i="41" s="1"/>
  <c r="E6243" i="41"/>
  <c r="F6243" i="41" s="1"/>
  <c r="E6247" i="41"/>
  <c r="F6247" i="41" s="1"/>
  <c r="E6251" i="41"/>
  <c r="F6251" i="41" s="1"/>
  <c r="E6255" i="41"/>
  <c r="F6255" i="41" s="1"/>
  <c r="E6259" i="41"/>
  <c r="F6259" i="41" s="1"/>
  <c r="E6263" i="41"/>
  <c r="F6263" i="41" s="1"/>
  <c r="E6267" i="41"/>
  <c r="F6267" i="41" s="1"/>
  <c r="E6271" i="41"/>
  <c r="F6271" i="41" s="1"/>
  <c r="E6275" i="41"/>
  <c r="F6275" i="41" s="1"/>
  <c r="E6279" i="41"/>
  <c r="F6279" i="41" s="1"/>
  <c r="E6283" i="41"/>
  <c r="F6283" i="41" s="1"/>
  <c r="E6287" i="41"/>
  <c r="F6287" i="41" s="1"/>
  <c r="E6291" i="41"/>
  <c r="F6291" i="41" s="1"/>
  <c r="E6295" i="41"/>
  <c r="F6295" i="41" s="1"/>
  <c r="E6299" i="41"/>
  <c r="F6299" i="41" s="1"/>
  <c r="E6303" i="41"/>
  <c r="F6303" i="41" s="1"/>
  <c r="E6307" i="41"/>
  <c r="F6307" i="41" s="1"/>
  <c r="E6311" i="41"/>
  <c r="F6311" i="41" s="1"/>
  <c r="E6315" i="41"/>
  <c r="F6315" i="41" s="1"/>
  <c r="E6319" i="41"/>
  <c r="F6319" i="41" s="1"/>
  <c r="E6323" i="41"/>
  <c r="F6323" i="41" s="1"/>
  <c r="E6327" i="41"/>
  <c r="F6327" i="41" s="1"/>
  <c r="E6331" i="41"/>
  <c r="F6331" i="41" s="1"/>
  <c r="E6335" i="41"/>
  <c r="F6335" i="41" s="1"/>
  <c r="E6339" i="41"/>
  <c r="F6339" i="41" s="1"/>
  <c r="E6343" i="41"/>
  <c r="F6343" i="41" s="1"/>
  <c r="E6347" i="41"/>
  <c r="F6347" i="41" s="1"/>
  <c r="E6351" i="41"/>
  <c r="F6351" i="41" s="1"/>
  <c r="E6355" i="41"/>
  <c r="F6355" i="41" s="1"/>
  <c r="E6359" i="41"/>
  <c r="F6359" i="41" s="1"/>
  <c r="E6363" i="41"/>
  <c r="F6363" i="41" s="1"/>
  <c r="E6367" i="41"/>
  <c r="F6367" i="41" s="1"/>
  <c r="E6371" i="41"/>
  <c r="F6371" i="41" s="1"/>
  <c r="E6375" i="41"/>
  <c r="F6375" i="41" s="1"/>
  <c r="E6379" i="41"/>
  <c r="F6379" i="41" s="1"/>
  <c r="E6383" i="41"/>
  <c r="F6383" i="41" s="1"/>
  <c r="E6387" i="41"/>
  <c r="F6387" i="41" s="1"/>
  <c r="E6391" i="41"/>
  <c r="F6391" i="41" s="1"/>
  <c r="E6395" i="41"/>
  <c r="F6395" i="41" s="1"/>
  <c r="E6399" i="41"/>
  <c r="F6399" i="41" s="1"/>
  <c r="E6403" i="41"/>
  <c r="F6403" i="41" s="1"/>
  <c r="E6407" i="41"/>
  <c r="F6407" i="41" s="1"/>
  <c r="E6411" i="41"/>
  <c r="F6411" i="41" s="1"/>
  <c r="E6415" i="41"/>
  <c r="F6415" i="41" s="1"/>
  <c r="E6419" i="41"/>
  <c r="F6419" i="41" s="1"/>
  <c r="E6423" i="41"/>
  <c r="F6423" i="41" s="1"/>
  <c r="E6427" i="41"/>
  <c r="F6427" i="41" s="1"/>
  <c r="E6431" i="41"/>
  <c r="F6431" i="41" s="1"/>
  <c r="E6435" i="41"/>
  <c r="F6435" i="41" s="1"/>
  <c r="E6439" i="41"/>
  <c r="F6439" i="41" s="1"/>
  <c r="E6443" i="41"/>
  <c r="F6443" i="41" s="1"/>
  <c r="E6447" i="41"/>
  <c r="F6447" i="41" s="1"/>
  <c r="E6451" i="41"/>
  <c r="F6451" i="41" s="1"/>
  <c r="E6455" i="41"/>
  <c r="F6455" i="41" s="1"/>
  <c r="E6459" i="41"/>
  <c r="F6459" i="41" s="1"/>
  <c r="E6463" i="41"/>
  <c r="F6463" i="41" s="1"/>
  <c r="E6467" i="41"/>
  <c r="F6467" i="41" s="1"/>
  <c r="E6471" i="41"/>
  <c r="F6471" i="41" s="1"/>
  <c r="E6475" i="41"/>
  <c r="F6475" i="41" s="1"/>
  <c r="E6479" i="41"/>
  <c r="F6479" i="41" s="1"/>
  <c r="E6483" i="41"/>
  <c r="F6483" i="41" s="1"/>
  <c r="E6487" i="41"/>
  <c r="F6487" i="41" s="1"/>
  <c r="E6491" i="41"/>
  <c r="F6491" i="41" s="1"/>
  <c r="E6066" i="41"/>
  <c r="F6066" i="41" s="1"/>
  <c r="E6070" i="41"/>
  <c r="F6070" i="41" s="1"/>
  <c r="E6074" i="41"/>
  <c r="F6074" i="41" s="1"/>
  <c r="E6078" i="41"/>
  <c r="F6078" i="41" s="1"/>
  <c r="E6082" i="41"/>
  <c r="F6082" i="41" s="1"/>
  <c r="E6086" i="41"/>
  <c r="F6086" i="41" s="1"/>
  <c r="E6090" i="41"/>
  <c r="F6090" i="41" s="1"/>
  <c r="E6094" i="41"/>
  <c r="F6094" i="41" s="1"/>
  <c r="E6098" i="41"/>
  <c r="F6098" i="41" s="1"/>
  <c r="E6102" i="41"/>
  <c r="F6102" i="41" s="1"/>
  <c r="E6106" i="41"/>
  <c r="F6106" i="41" s="1"/>
  <c r="E6110" i="41"/>
  <c r="F6110" i="41" s="1"/>
  <c r="E6114" i="41"/>
  <c r="F6114" i="41" s="1"/>
  <c r="E6118" i="41"/>
  <c r="F6118" i="41" s="1"/>
  <c r="E6122" i="41"/>
  <c r="F6122" i="41" s="1"/>
  <c r="E6126" i="41"/>
  <c r="F6126" i="41" s="1"/>
  <c r="E6130" i="41"/>
  <c r="F6130" i="41" s="1"/>
  <c r="E6134" i="41"/>
  <c r="F6134" i="41" s="1"/>
  <c r="E6138" i="41"/>
  <c r="F6138" i="41" s="1"/>
  <c r="E6142" i="41"/>
  <c r="F6142" i="41" s="1"/>
  <c r="E6146" i="41"/>
  <c r="F6146" i="41" s="1"/>
  <c r="E6150" i="41"/>
  <c r="F6150" i="41" s="1"/>
  <c r="E6154" i="41"/>
  <c r="F6154" i="41" s="1"/>
  <c r="E6158" i="41"/>
  <c r="F6158" i="41" s="1"/>
  <c r="E6162" i="41"/>
  <c r="F6162" i="41" s="1"/>
  <c r="E6166" i="41"/>
  <c r="F6166" i="41" s="1"/>
  <c r="E6170" i="41"/>
  <c r="F6170" i="41" s="1"/>
  <c r="E6174" i="41"/>
  <c r="F6174" i="41" s="1"/>
  <c r="E6178" i="41"/>
  <c r="F6178" i="41" s="1"/>
  <c r="E6182" i="41"/>
  <c r="F6182" i="41" s="1"/>
  <c r="E6186" i="41"/>
  <c r="F6186" i="41" s="1"/>
  <c r="E6190" i="41"/>
  <c r="F6190" i="41" s="1"/>
  <c r="E6194" i="41"/>
  <c r="F6194" i="41" s="1"/>
  <c r="E6198" i="41"/>
  <c r="F6198" i="41" s="1"/>
  <c r="E6202" i="41"/>
  <c r="F6202" i="41" s="1"/>
  <c r="E6206" i="41"/>
  <c r="F6206" i="41" s="1"/>
  <c r="E6210" i="41"/>
  <c r="F6210" i="41" s="1"/>
  <c r="E6214" i="41"/>
  <c r="F6214" i="41" s="1"/>
  <c r="E6218" i="41"/>
  <c r="F6218" i="41" s="1"/>
  <c r="E6222" i="41"/>
  <c r="F6222" i="41" s="1"/>
  <c r="E6226" i="41"/>
  <c r="F6226" i="41" s="1"/>
  <c r="E6230" i="41"/>
  <c r="F6230" i="41" s="1"/>
  <c r="E6234" i="41"/>
  <c r="F6234" i="41" s="1"/>
  <c r="E6238" i="41"/>
  <c r="F6238" i="41" s="1"/>
  <c r="E6242" i="41"/>
  <c r="F6242" i="41" s="1"/>
  <c r="E6246" i="41"/>
  <c r="F6246" i="41" s="1"/>
  <c r="E6250" i="41"/>
  <c r="F6250" i="41" s="1"/>
  <c r="E6254" i="41"/>
  <c r="F6254" i="41" s="1"/>
  <c r="E6258" i="41"/>
  <c r="F6258" i="41" s="1"/>
  <c r="E6262" i="41"/>
  <c r="F6262" i="41" s="1"/>
  <c r="E6266" i="41"/>
  <c r="F6266" i="41" s="1"/>
  <c r="E6270" i="41"/>
  <c r="F6270" i="41" s="1"/>
  <c r="E6274" i="41"/>
  <c r="F6274" i="41" s="1"/>
  <c r="E6278" i="41"/>
  <c r="F6278" i="41" s="1"/>
  <c r="E6282" i="41"/>
  <c r="F6282" i="41" s="1"/>
  <c r="E6286" i="41"/>
  <c r="F6286" i="41" s="1"/>
  <c r="E6290" i="41"/>
  <c r="F6290" i="41" s="1"/>
  <c r="E6294" i="41"/>
  <c r="F6294" i="41" s="1"/>
  <c r="E6298" i="41"/>
  <c r="F6298" i="41" s="1"/>
  <c r="E6302" i="41"/>
  <c r="F6302" i="41" s="1"/>
  <c r="E6306" i="41"/>
  <c r="F6306" i="41" s="1"/>
  <c r="E6310" i="41"/>
  <c r="F6310" i="41" s="1"/>
  <c r="E6314" i="41"/>
  <c r="F6314" i="41" s="1"/>
  <c r="E6318" i="41"/>
  <c r="F6318" i="41" s="1"/>
  <c r="E6322" i="41"/>
  <c r="F6322" i="41" s="1"/>
  <c r="E6326" i="41"/>
  <c r="F6326" i="41" s="1"/>
  <c r="E6330" i="41"/>
  <c r="F6330" i="41" s="1"/>
  <c r="E6334" i="41"/>
  <c r="F6334" i="41" s="1"/>
  <c r="E6338" i="41"/>
  <c r="F6338" i="41" s="1"/>
  <c r="E6342" i="41"/>
  <c r="F6342" i="41" s="1"/>
  <c r="E6346" i="41"/>
  <c r="F6346" i="41" s="1"/>
  <c r="E6350" i="41"/>
  <c r="F6350" i="41" s="1"/>
  <c r="E6354" i="41"/>
  <c r="F6354" i="41" s="1"/>
  <c r="E6358" i="41"/>
  <c r="F6358" i="41" s="1"/>
  <c r="E6362" i="41"/>
  <c r="F6362" i="41" s="1"/>
  <c r="E6366" i="41"/>
  <c r="F6366" i="41" s="1"/>
  <c r="E6370" i="41"/>
  <c r="F6370" i="41" s="1"/>
  <c r="E6374" i="41"/>
  <c r="F6374" i="41" s="1"/>
  <c r="E6378" i="41"/>
  <c r="F6378" i="41" s="1"/>
  <c r="E6382" i="41"/>
  <c r="F6382" i="41" s="1"/>
  <c r="E6386" i="41"/>
  <c r="F6386" i="41" s="1"/>
  <c r="E6390" i="41"/>
  <c r="F6390" i="41" s="1"/>
  <c r="E6394" i="41"/>
  <c r="F6394" i="41" s="1"/>
  <c r="E6398" i="41"/>
  <c r="F6398" i="41" s="1"/>
  <c r="E6402" i="41"/>
  <c r="F6402" i="41" s="1"/>
  <c r="E6406" i="41"/>
  <c r="F6406" i="41" s="1"/>
  <c r="E6410" i="41"/>
  <c r="F6410" i="41" s="1"/>
  <c r="E6414" i="41"/>
  <c r="F6414" i="41" s="1"/>
  <c r="E6418" i="41"/>
  <c r="F6418" i="41" s="1"/>
  <c r="E6422" i="41"/>
  <c r="F6422" i="41" s="1"/>
  <c r="E6426" i="41"/>
  <c r="F6426" i="41" s="1"/>
  <c r="E6430" i="41"/>
  <c r="F6430" i="41" s="1"/>
  <c r="E6434" i="41"/>
  <c r="F6434" i="41" s="1"/>
  <c r="E6438" i="41"/>
  <c r="F6438" i="41" s="1"/>
  <c r="E6442" i="41"/>
  <c r="F6442" i="41" s="1"/>
  <c r="E6446" i="41"/>
  <c r="F6446" i="41" s="1"/>
  <c r="E6450" i="41"/>
  <c r="F6450" i="41" s="1"/>
  <c r="E6454" i="41"/>
  <c r="F6454" i="41" s="1"/>
  <c r="E6458" i="41"/>
  <c r="F6458" i="41" s="1"/>
  <c r="E6462" i="41"/>
  <c r="F6462" i="41" s="1"/>
  <c r="E6466" i="41"/>
  <c r="F6466" i="41" s="1"/>
  <c r="E6470" i="41"/>
  <c r="F6470" i="41" s="1"/>
  <c r="E6474" i="41"/>
  <c r="F6474" i="41" s="1"/>
  <c r="E6478" i="41"/>
  <c r="F6478" i="41" s="1"/>
  <c r="E6482" i="41"/>
  <c r="F6482" i="41" s="1"/>
  <c r="E6486" i="41"/>
  <c r="F6486" i="41" s="1"/>
  <c r="E6490" i="41"/>
  <c r="F6490" i="41" s="1"/>
  <c r="E6494" i="41"/>
  <c r="F6494" i="41" s="1"/>
  <c r="E6495" i="41"/>
  <c r="F6495" i="41" s="1"/>
  <c r="E6496" i="41"/>
  <c r="F6496" i="41" s="1"/>
  <c r="E6497" i="41"/>
  <c r="F6497" i="41" s="1"/>
  <c r="E6498" i="41"/>
  <c r="F6498" i="41" s="1"/>
  <c r="E6499" i="41"/>
  <c r="F6499" i="41" s="1"/>
  <c r="E6500" i="41"/>
  <c r="F6500" i="41" s="1"/>
  <c r="E6501" i="41"/>
  <c r="F6501" i="41" s="1"/>
  <c r="E6502" i="41"/>
  <c r="F6502" i="41" s="1"/>
  <c r="E6503" i="41"/>
  <c r="F6503" i="41" s="1"/>
  <c r="E6504" i="41"/>
  <c r="F6504" i="41" s="1"/>
  <c r="E6505" i="41"/>
  <c r="F6505" i="41" s="1"/>
  <c r="E6506" i="41"/>
  <c r="F6506" i="41" s="1"/>
  <c r="E6507" i="41"/>
  <c r="F6507" i="41" s="1"/>
  <c r="E6508" i="41"/>
  <c r="F6508" i="41" s="1"/>
  <c r="E6509" i="41"/>
  <c r="F6509" i="41" s="1"/>
  <c r="E6510" i="41"/>
  <c r="F6510" i="41" s="1"/>
  <c r="E6511" i="41"/>
  <c r="F6511" i="41" s="1"/>
  <c r="E6512" i="41"/>
  <c r="F6512" i="41" s="1"/>
  <c r="E6513" i="41"/>
  <c r="F6513" i="41" s="1"/>
  <c r="E6514" i="41"/>
  <c r="F6514" i="41" s="1"/>
  <c r="E6515" i="41"/>
  <c r="F6515" i="41" s="1"/>
  <c r="E6516" i="41"/>
  <c r="F6516" i="41" s="1"/>
  <c r="E6517" i="41"/>
  <c r="F6517" i="41" s="1"/>
  <c r="E6518" i="41"/>
  <c r="F6518" i="41" s="1"/>
  <c r="E6519" i="41"/>
  <c r="F6519" i="41" s="1"/>
  <c r="E6520" i="41"/>
  <c r="F6520" i="41" s="1"/>
  <c r="E6521" i="41"/>
  <c r="F6521" i="41" s="1"/>
  <c r="E6522" i="41"/>
  <c r="F6522" i="41" s="1"/>
  <c r="E6523" i="41"/>
  <c r="F6523" i="41" s="1"/>
  <c r="E6524" i="41"/>
  <c r="F6524" i="41" s="1"/>
  <c r="E6525" i="41"/>
  <c r="F6525" i="41" s="1"/>
  <c r="E6526" i="41"/>
  <c r="F6526" i="41" s="1"/>
  <c r="E6527" i="41"/>
  <c r="F6527" i="41" s="1"/>
  <c r="E6528" i="41"/>
  <c r="F6528" i="41" s="1"/>
  <c r="E6529" i="41"/>
  <c r="F6529" i="41" s="1"/>
  <c r="E6530" i="41"/>
  <c r="F6530" i="41" s="1"/>
  <c r="E6531" i="41"/>
  <c r="F6531" i="41" s="1"/>
  <c r="E6532" i="41"/>
  <c r="F6532" i="41" s="1"/>
  <c r="E6533" i="41"/>
  <c r="F6533" i="41" s="1"/>
  <c r="E6534" i="41"/>
  <c r="F6534" i="41" s="1"/>
  <c r="E6535" i="41"/>
  <c r="F6535" i="41" s="1"/>
  <c r="E6536" i="41"/>
  <c r="F6536" i="41" s="1"/>
  <c r="E6537" i="41"/>
  <c r="F6537" i="41" s="1"/>
  <c r="E6538" i="41"/>
  <c r="F6538" i="41" s="1"/>
  <c r="E6539" i="41"/>
  <c r="F6539" i="41" s="1"/>
  <c r="E6540" i="41"/>
  <c r="F6540" i="41" s="1"/>
  <c r="E6541" i="41"/>
  <c r="F6541" i="41" s="1"/>
  <c r="E6542" i="41"/>
  <c r="F6542" i="41" s="1"/>
  <c r="E6543" i="41"/>
  <c r="F6543" i="41" s="1"/>
  <c r="E6544" i="41"/>
  <c r="F6544" i="41" s="1"/>
  <c r="E6545" i="41"/>
  <c r="F6545" i="41" s="1"/>
  <c r="E6546" i="41"/>
  <c r="F6546" i="41" s="1"/>
  <c r="E6547" i="41"/>
  <c r="F6547" i="41" s="1"/>
  <c r="E6548" i="41"/>
  <c r="F6548" i="41" s="1"/>
  <c r="E6549" i="41"/>
  <c r="F6549" i="41" s="1"/>
  <c r="E6550" i="41"/>
  <c r="F6550" i="41" s="1"/>
  <c r="E6551" i="41"/>
  <c r="F6551" i="41" s="1"/>
  <c r="E6552" i="41"/>
  <c r="F6552" i="41" s="1"/>
  <c r="E6553" i="41"/>
  <c r="F6553" i="41" s="1"/>
  <c r="E6554" i="41"/>
  <c r="F6554" i="41" s="1"/>
  <c r="E6555" i="41"/>
  <c r="F6555" i="41" s="1"/>
  <c r="E6556" i="41"/>
  <c r="F6556" i="41" s="1"/>
  <c r="E6557" i="41"/>
  <c r="F6557" i="41" s="1"/>
  <c r="E6558" i="41"/>
  <c r="F6558" i="41" s="1"/>
  <c r="E6559" i="41"/>
  <c r="F6559" i="41" s="1"/>
  <c r="E6560" i="41"/>
  <c r="F6560" i="41" s="1"/>
  <c r="E6561" i="41"/>
  <c r="F6561" i="41" s="1"/>
  <c r="E6562" i="41"/>
  <c r="F6562" i="41" s="1"/>
  <c r="E6563" i="41"/>
  <c r="F6563" i="41" s="1"/>
  <c r="E6564" i="41"/>
  <c r="F6564" i="41" s="1"/>
  <c r="E6565" i="41"/>
  <c r="F6565" i="41" s="1"/>
  <c r="E6566" i="41"/>
  <c r="F6566" i="41" s="1"/>
  <c r="E6567" i="41"/>
  <c r="F6567" i="41" s="1"/>
  <c r="E6568" i="41"/>
  <c r="F6568" i="41" s="1"/>
  <c r="E6569" i="41"/>
  <c r="F6569" i="41" s="1"/>
  <c r="E6570" i="41"/>
  <c r="F6570" i="41" s="1"/>
  <c r="E6571" i="41"/>
  <c r="F6571" i="41" s="1"/>
  <c r="E6572" i="41"/>
  <c r="F6572" i="41" s="1"/>
  <c r="E6573" i="41"/>
  <c r="F6573" i="41" s="1"/>
  <c r="E6574" i="41"/>
  <c r="F6574" i="41" s="1"/>
  <c r="E6575" i="41"/>
  <c r="F6575" i="41" s="1"/>
  <c r="E6576" i="41"/>
  <c r="F6576" i="41" s="1"/>
  <c r="E6577" i="41"/>
  <c r="F6577" i="41" s="1"/>
  <c r="E6578" i="41"/>
  <c r="F6578" i="41" s="1"/>
  <c r="E6579" i="41"/>
  <c r="F6579" i="41" s="1"/>
  <c r="E6580" i="41"/>
  <c r="F6580" i="41" s="1"/>
  <c r="E6581" i="41"/>
  <c r="F6581" i="41" s="1"/>
  <c r="E6582" i="41"/>
  <c r="F6582" i="41" s="1"/>
  <c r="E6583" i="41"/>
  <c r="F6583" i="41" s="1"/>
  <c r="E6584" i="41"/>
  <c r="F6584" i="41" s="1"/>
  <c r="E6585" i="41"/>
  <c r="F6585" i="41" s="1"/>
  <c r="E6586" i="41"/>
  <c r="F6586" i="41" s="1"/>
  <c r="E6587" i="41"/>
  <c r="F6587" i="41" s="1"/>
  <c r="E6588" i="41"/>
  <c r="F6588" i="41" s="1"/>
  <c r="E6589" i="41"/>
  <c r="F6589" i="41" s="1"/>
  <c r="E6590" i="41"/>
  <c r="F6590" i="41" s="1"/>
  <c r="E6591" i="41"/>
  <c r="F6591" i="41" s="1"/>
  <c r="E6592" i="41"/>
  <c r="F6592" i="41" s="1"/>
  <c r="E6593" i="41"/>
  <c r="F6593" i="41" s="1"/>
  <c r="E6594" i="41"/>
  <c r="F6594" i="41" s="1"/>
  <c r="E6595" i="41"/>
  <c r="F6595" i="41" s="1"/>
  <c r="E6596" i="41"/>
  <c r="F6596" i="41" s="1"/>
  <c r="E6597" i="41"/>
  <c r="F6597" i="41" s="1"/>
  <c r="E6598" i="41"/>
  <c r="F6598" i="41" s="1"/>
  <c r="E6599" i="41"/>
  <c r="F6599" i="41" s="1"/>
  <c r="E6600" i="41"/>
  <c r="F6600" i="41" s="1"/>
  <c r="E6601" i="41"/>
  <c r="F6601" i="41" s="1"/>
  <c r="E6602" i="41"/>
  <c r="F6602" i="41" s="1"/>
  <c r="E6603" i="41"/>
  <c r="F6603" i="41" s="1"/>
  <c r="E6604" i="41"/>
  <c r="F6604" i="41" s="1"/>
  <c r="E6605" i="41"/>
  <c r="F6605" i="41" s="1"/>
  <c r="E6606" i="41"/>
  <c r="F6606" i="41" s="1"/>
  <c r="E6607" i="41"/>
  <c r="F6607" i="41" s="1"/>
  <c r="E6608" i="41"/>
  <c r="F6608" i="41" s="1"/>
  <c r="E6609" i="41"/>
  <c r="F6609" i="41" s="1"/>
  <c r="E6610" i="41"/>
  <c r="F6610" i="41" s="1"/>
  <c r="E6611" i="41"/>
  <c r="F6611" i="41" s="1"/>
  <c r="E6612" i="41"/>
  <c r="F6612" i="41" s="1"/>
  <c r="E6613" i="41"/>
  <c r="F6613" i="41" s="1"/>
  <c r="E6614" i="41"/>
  <c r="F6614" i="41" s="1"/>
  <c r="E6615" i="41"/>
  <c r="F6615" i="41" s="1"/>
  <c r="E6616" i="41"/>
  <c r="F6616" i="41" s="1"/>
  <c r="E6617" i="41"/>
  <c r="F6617" i="41" s="1"/>
  <c r="E6619" i="41"/>
  <c r="F6619" i="41" s="1"/>
  <c r="E6621" i="41"/>
  <c r="F6621" i="41" s="1"/>
  <c r="E6623" i="41"/>
  <c r="F6623" i="41" s="1"/>
  <c r="E6625" i="41"/>
  <c r="F6625" i="41" s="1"/>
  <c r="E6627" i="41"/>
  <c r="F6627" i="41" s="1"/>
  <c r="E6629" i="41"/>
  <c r="F6629" i="41" s="1"/>
  <c r="E6065" i="41"/>
  <c r="F6065" i="41" s="1"/>
  <c r="E6069" i="41"/>
  <c r="F6069" i="41" s="1"/>
  <c r="E6073" i="41"/>
  <c r="F6073" i="41" s="1"/>
  <c r="E6077" i="41"/>
  <c r="F6077" i="41" s="1"/>
  <c r="E6081" i="41"/>
  <c r="F6081" i="41" s="1"/>
  <c r="E6085" i="41"/>
  <c r="F6085" i="41" s="1"/>
  <c r="E6089" i="41"/>
  <c r="F6089" i="41" s="1"/>
  <c r="E6093" i="41"/>
  <c r="F6093" i="41" s="1"/>
  <c r="E6097" i="41"/>
  <c r="F6097" i="41" s="1"/>
  <c r="E6101" i="41"/>
  <c r="F6101" i="41" s="1"/>
  <c r="E6105" i="41"/>
  <c r="F6105" i="41" s="1"/>
  <c r="E6109" i="41"/>
  <c r="F6109" i="41" s="1"/>
  <c r="E6113" i="41"/>
  <c r="F6113" i="41" s="1"/>
  <c r="E6117" i="41"/>
  <c r="F6117" i="41" s="1"/>
  <c r="E6121" i="41"/>
  <c r="F6121" i="41" s="1"/>
  <c r="E6125" i="41"/>
  <c r="F6125" i="41" s="1"/>
  <c r="E6129" i="41"/>
  <c r="F6129" i="41" s="1"/>
  <c r="E6133" i="41"/>
  <c r="F6133" i="41" s="1"/>
  <c r="E6137" i="41"/>
  <c r="F6137" i="41" s="1"/>
  <c r="E6141" i="41"/>
  <c r="F6141" i="41" s="1"/>
  <c r="E6145" i="41"/>
  <c r="F6145" i="41" s="1"/>
  <c r="E6149" i="41"/>
  <c r="F6149" i="41" s="1"/>
  <c r="E6153" i="41"/>
  <c r="F6153" i="41" s="1"/>
  <c r="E6157" i="41"/>
  <c r="F6157" i="41" s="1"/>
  <c r="E6161" i="41"/>
  <c r="F6161" i="41" s="1"/>
  <c r="E6165" i="41"/>
  <c r="F6165" i="41" s="1"/>
  <c r="E6169" i="41"/>
  <c r="F6169" i="41" s="1"/>
  <c r="E6173" i="41"/>
  <c r="F6173" i="41" s="1"/>
  <c r="E6177" i="41"/>
  <c r="F6177" i="41" s="1"/>
  <c r="E6181" i="41"/>
  <c r="F6181" i="41" s="1"/>
  <c r="E6185" i="41"/>
  <c r="F6185" i="41" s="1"/>
  <c r="E6189" i="41"/>
  <c r="F6189" i="41" s="1"/>
  <c r="E6193" i="41"/>
  <c r="F6193" i="41" s="1"/>
  <c r="E6197" i="41"/>
  <c r="F6197" i="41" s="1"/>
  <c r="E6201" i="41"/>
  <c r="F6201" i="41" s="1"/>
  <c r="E6205" i="41"/>
  <c r="F6205" i="41" s="1"/>
  <c r="E6209" i="41"/>
  <c r="F6209" i="41" s="1"/>
  <c r="E6213" i="41"/>
  <c r="F6213" i="41" s="1"/>
  <c r="E6217" i="41"/>
  <c r="F6217" i="41" s="1"/>
  <c r="E6221" i="41"/>
  <c r="F6221" i="41" s="1"/>
  <c r="E6225" i="41"/>
  <c r="F6225" i="41" s="1"/>
  <c r="E6229" i="41"/>
  <c r="F6229" i="41" s="1"/>
  <c r="E6233" i="41"/>
  <c r="F6233" i="41" s="1"/>
  <c r="E6237" i="41"/>
  <c r="F6237" i="41" s="1"/>
  <c r="E6241" i="41"/>
  <c r="F6241" i="41" s="1"/>
  <c r="E6245" i="41"/>
  <c r="F6245" i="41" s="1"/>
  <c r="E6249" i="41"/>
  <c r="F6249" i="41" s="1"/>
  <c r="E6253" i="41"/>
  <c r="F6253" i="41" s="1"/>
  <c r="E6257" i="41"/>
  <c r="F6257" i="41" s="1"/>
  <c r="E6261" i="41"/>
  <c r="F6261" i="41" s="1"/>
  <c r="E6265" i="41"/>
  <c r="F6265" i="41" s="1"/>
  <c r="E6269" i="41"/>
  <c r="F6269" i="41" s="1"/>
  <c r="E6273" i="41"/>
  <c r="F6273" i="41" s="1"/>
  <c r="E6277" i="41"/>
  <c r="F6277" i="41" s="1"/>
  <c r="E6281" i="41"/>
  <c r="F6281" i="41" s="1"/>
  <c r="E6285" i="41"/>
  <c r="F6285" i="41" s="1"/>
  <c r="E6289" i="41"/>
  <c r="F6289" i="41" s="1"/>
  <c r="E6293" i="41"/>
  <c r="F6293" i="41" s="1"/>
  <c r="E6297" i="41"/>
  <c r="F6297" i="41" s="1"/>
  <c r="E6301" i="41"/>
  <c r="F6301" i="41" s="1"/>
  <c r="E6305" i="41"/>
  <c r="F6305" i="41" s="1"/>
  <c r="E6309" i="41"/>
  <c r="F6309" i="41" s="1"/>
  <c r="E6313" i="41"/>
  <c r="F6313" i="41" s="1"/>
  <c r="E6317" i="41"/>
  <c r="F6317" i="41" s="1"/>
  <c r="E6321" i="41"/>
  <c r="F6321" i="41" s="1"/>
  <c r="E6325" i="41"/>
  <c r="F6325" i="41" s="1"/>
  <c r="E6329" i="41"/>
  <c r="F6329" i="41" s="1"/>
  <c r="E6333" i="41"/>
  <c r="F6333" i="41" s="1"/>
  <c r="E6337" i="41"/>
  <c r="F6337" i="41" s="1"/>
  <c r="E6341" i="41"/>
  <c r="F6341" i="41" s="1"/>
  <c r="E6345" i="41"/>
  <c r="F6345" i="41" s="1"/>
  <c r="E6349" i="41"/>
  <c r="F6349" i="41" s="1"/>
  <c r="E6353" i="41"/>
  <c r="F6353" i="41" s="1"/>
  <c r="E6357" i="41"/>
  <c r="F6357" i="41" s="1"/>
  <c r="E6361" i="41"/>
  <c r="F6361" i="41" s="1"/>
  <c r="E6365" i="41"/>
  <c r="F6365" i="41" s="1"/>
  <c r="E6369" i="41"/>
  <c r="F6369" i="41" s="1"/>
  <c r="E6373" i="41"/>
  <c r="F6373" i="41" s="1"/>
  <c r="E6377" i="41"/>
  <c r="F6377" i="41" s="1"/>
  <c r="E6381" i="41"/>
  <c r="F6381" i="41" s="1"/>
  <c r="E6385" i="41"/>
  <c r="F6385" i="41" s="1"/>
  <c r="E6389" i="41"/>
  <c r="F6389" i="41" s="1"/>
  <c r="E6393" i="41"/>
  <c r="F6393" i="41" s="1"/>
  <c r="E6397" i="41"/>
  <c r="F6397" i="41" s="1"/>
  <c r="E6401" i="41"/>
  <c r="F6401" i="41" s="1"/>
  <c r="E6405" i="41"/>
  <c r="F6405" i="41" s="1"/>
  <c r="E6409" i="41"/>
  <c r="F6409" i="41" s="1"/>
  <c r="E6413" i="41"/>
  <c r="F6413" i="41" s="1"/>
  <c r="E6417" i="41"/>
  <c r="F6417" i="41" s="1"/>
  <c r="E6421" i="41"/>
  <c r="F6421" i="41" s="1"/>
  <c r="E6425" i="41"/>
  <c r="F6425" i="41" s="1"/>
  <c r="E6429" i="41"/>
  <c r="F6429" i="41" s="1"/>
  <c r="E6433" i="41"/>
  <c r="F6433" i="41" s="1"/>
  <c r="E6437" i="41"/>
  <c r="F6437" i="41" s="1"/>
  <c r="E6441" i="41"/>
  <c r="F6441" i="41" s="1"/>
  <c r="E6445" i="41"/>
  <c r="F6445" i="41" s="1"/>
  <c r="E6449" i="41"/>
  <c r="F6449" i="41" s="1"/>
  <c r="E6453" i="41"/>
  <c r="F6453" i="41" s="1"/>
  <c r="E6457" i="41"/>
  <c r="F6457" i="41" s="1"/>
  <c r="E6461" i="41"/>
  <c r="F6461" i="41" s="1"/>
  <c r="E6465" i="41"/>
  <c r="F6465" i="41" s="1"/>
  <c r="E6469" i="41"/>
  <c r="F6469" i="41" s="1"/>
  <c r="E6473" i="41"/>
  <c r="F6473" i="41" s="1"/>
  <c r="E6477" i="41"/>
  <c r="F6477" i="41" s="1"/>
  <c r="E6481" i="41"/>
  <c r="F6481" i="41" s="1"/>
  <c r="E6485" i="41"/>
  <c r="F6485" i="41" s="1"/>
  <c r="E6489" i="41"/>
  <c r="F6489" i="41" s="1"/>
  <c r="E6493" i="41"/>
  <c r="F6493" i="41" s="1"/>
  <c r="E6068" i="41"/>
  <c r="F6068" i="41" s="1"/>
  <c r="E6076" i="41"/>
  <c r="F6076" i="41" s="1"/>
  <c r="E6084" i="41"/>
  <c r="F6084" i="41" s="1"/>
  <c r="E6092" i="41"/>
  <c r="F6092" i="41" s="1"/>
  <c r="E6100" i="41"/>
  <c r="F6100" i="41" s="1"/>
  <c r="E6108" i="41"/>
  <c r="F6108" i="41" s="1"/>
  <c r="E6116" i="41"/>
  <c r="F6116" i="41" s="1"/>
  <c r="E6124" i="41"/>
  <c r="F6124" i="41" s="1"/>
  <c r="E6132" i="41"/>
  <c r="F6132" i="41" s="1"/>
  <c r="E6140" i="41"/>
  <c r="F6140" i="41" s="1"/>
  <c r="E6148" i="41"/>
  <c r="F6148" i="41" s="1"/>
  <c r="E6156" i="41"/>
  <c r="F6156" i="41" s="1"/>
  <c r="E6164" i="41"/>
  <c r="F6164" i="41" s="1"/>
  <c r="E6172" i="41"/>
  <c r="F6172" i="41" s="1"/>
  <c r="E6180" i="41"/>
  <c r="F6180" i="41" s="1"/>
  <c r="E6188" i="41"/>
  <c r="F6188" i="41" s="1"/>
  <c r="E6196" i="41"/>
  <c r="F6196" i="41" s="1"/>
  <c r="E6204" i="41"/>
  <c r="F6204" i="41" s="1"/>
  <c r="E6212" i="41"/>
  <c r="F6212" i="41" s="1"/>
  <c r="E6220" i="41"/>
  <c r="F6220" i="41" s="1"/>
  <c r="E6228" i="41"/>
  <c r="F6228" i="41" s="1"/>
  <c r="E6236" i="41"/>
  <c r="F6236" i="41" s="1"/>
  <c r="E6244" i="41"/>
  <c r="F6244" i="41" s="1"/>
  <c r="E6252" i="41"/>
  <c r="F6252" i="41" s="1"/>
  <c r="E6260" i="41"/>
  <c r="F6260" i="41" s="1"/>
  <c r="E6268" i="41"/>
  <c r="F6268" i="41" s="1"/>
  <c r="E6276" i="41"/>
  <c r="F6276" i="41" s="1"/>
  <c r="E6284" i="41"/>
  <c r="F6284" i="41" s="1"/>
  <c r="E6292" i="41"/>
  <c r="F6292" i="41" s="1"/>
  <c r="E6300" i="41"/>
  <c r="F6300" i="41" s="1"/>
  <c r="E6308" i="41"/>
  <c r="F6308" i="41" s="1"/>
  <c r="E6316" i="41"/>
  <c r="F6316" i="41" s="1"/>
  <c r="E6324" i="41"/>
  <c r="F6324" i="41" s="1"/>
  <c r="E6332" i="41"/>
  <c r="F6332" i="41" s="1"/>
  <c r="E6340" i="41"/>
  <c r="F6340" i="41" s="1"/>
  <c r="E6348" i="41"/>
  <c r="F6348" i="41" s="1"/>
  <c r="E6356" i="41"/>
  <c r="F6356" i="41" s="1"/>
  <c r="E6364" i="41"/>
  <c r="F6364" i="41" s="1"/>
  <c r="E6372" i="41"/>
  <c r="F6372" i="41" s="1"/>
  <c r="E6380" i="41"/>
  <c r="F6380" i="41" s="1"/>
  <c r="E6388" i="41"/>
  <c r="F6388" i="41" s="1"/>
  <c r="E6396" i="41"/>
  <c r="F6396" i="41" s="1"/>
  <c r="E6404" i="41"/>
  <c r="F6404" i="41" s="1"/>
  <c r="E6412" i="41"/>
  <c r="F6412" i="41" s="1"/>
  <c r="E6420" i="41"/>
  <c r="F6420" i="41" s="1"/>
  <c r="E6428" i="41"/>
  <c r="F6428" i="41" s="1"/>
  <c r="E6436" i="41"/>
  <c r="F6436" i="41" s="1"/>
  <c r="E6444" i="41"/>
  <c r="F6444" i="41" s="1"/>
  <c r="E6452" i="41"/>
  <c r="F6452" i="41" s="1"/>
  <c r="E6460" i="41"/>
  <c r="F6460" i="41" s="1"/>
  <c r="E6468" i="41"/>
  <c r="F6468" i="41" s="1"/>
  <c r="E6476" i="41"/>
  <c r="F6476" i="41" s="1"/>
  <c r="E6484" i="41"/>
  <c r="F6484" i="41" s="1"/>
  <c r="E6492" i="41"/>
  <c r="F6492" i="41" s="1"/>
  <c r="E6618" i="41"/>
  <c r="F6618" i="41" s="1"/>
  <c r="E6626" i="41"/>
  <c r="F6626" i="41" s="1"/>
  <c r="E6632" i="41"/>
  <c r="F6632" i="41" s="1"/>
  <c r="E6636" i="41"/>
  <c r="F6636" i="41" s="1"/>
  <c r="E6640" i="41"/>
  <c r="F6640" i="41" s="1"/>
  <c r="E6644" i="41"/>
  <c r="F6644" i="41" s="1"/>
  <c r="E6648" i="41"/>
  <c r="F6648" i="41" s="1"/>
  <c r="E6652" i="41"/>
  <c r="F6652" i="41" s="1"/>
  <c r="E6656" i="41"/>
  <c r="F6656" i="41" s="1"/>
  <c r="E6660" i="41"/>
  <c r="F6660" i="41" s="1"/>
  <c r="E6664" i="41"/>
  <c r="F6664" i="41" s="1"/>
  <c r="E6668" i="41"/>
  <c r="F6668" i="41" s="1"/>
  <c r="E6672" i="41"/>
  <c r="F6672" i="41" s="1"/>
  <c r="E6676" i="41"/>
  <c r="F6676" i="41" s="1"/>
  <c r="E6680" i="41"/>
  <c r="F6680" i="41" s="1"/>
  <c r="E6684" i="41"/>
  <c r="F6684" i="41" s="1"/>
  <c r="E6688" i="41"/>
  <c r="F6688" i="41" s="1"/>
  <c r="E6692" i="41"/>
  <c r="F6692" i="41" s="1"/>
  <c r="E6696" i="41"/>
  <c r="F6696" i="41" s="1"/>
  <c r="E6700" i="41"/>
  <c r="F6700" i="41" s="1"/>
  <c r="E6704" i="41"/>
  <c r="F6704" i="41" s="1"/>
  <c r="E6708" i="41"/>
  <c r="F6708" i="41" s="1"/>
  <c r="E6712" i="41"/>
  <c r="F6712" i="41" s="1"/>
  <c r="E6716" i="41"/>
  <c r="F6716" i="41" s="1"/>
  <c r="E6720" i="41"/>
  <c r="F6720" i="41" s="1"/>
  <c r="E6724" i="41"/>
  <c r="F6724" i="41" s="1"/>
  <c r="E6728" i="41"/>
  <c r="F6728" i="41" s="1"/>
  <c r="E6732" i="41"/>
  <c r="F6732" i="41" s="1"/>
  <c r="E6736" i="41"/>
  <c r="F6736" i="41" s="1"/>
  <c r="E6740" i="41"/>
  <c r="F6740" i="41" s="1"/>
  <c r="E6744" i="41"/>
  <c r="F6744" i="41" s="1"/>
  <c r="E6748" i="41"/>
  <c r="F6748" i="41" s="1"/>
  <c r="E6752" i="41"/>
  <c r="F6752" i="41" s="1"/>
  <c r="E6756" i="41"/>
  <c r="F6756" i="41" s="1"/>
  <c r="E6760" i="41"/>
  <c r="F6760" i="41" s="1"/>
  <c r="E6764" i="41"/>
  <c r="F6764" i="41" s="1"/>
  <c r="E6768" i="41"/>
  <c r="F6768" i="41" s="1"/>
  <c r="E6772" i="41"/>
  <c r="F6772" i="41" s="1"/>
  <c r="E6776" i="41"/>
  <c r="F6776" i="41" s="1"/>
  <c r="E6780" i="41"/>
  <c r="F6780" i="41" s="1"/>
  <c r="E6784" i="41"/>
  <c r="F6784" i="41" s="1"/>
  <c r="E6788" i="41"/>
  <c r="F6788" i="41" s="1"/>
  <c r="E6792" i="41"/>
  <c r="F6792" i="41" s="1"/>
  <c r="E6796" i="41"/>
  <c r="F6796" i="41" s="1"/>
  <c r="E6800" i="41"/>
  <c r="F6800" i="41" s="1"/>
  <c r="E6804" i="41"/>
  <c r="F6804" i="41" s="1"/>
  <c r="E6808" i="41"/>
  <c r="F6808" i="41" s="1"/>
  <c r="E6812" i="41"/>
  <c r="F6812" i="41" s="1"/>
  <c r="E6816" i="41"/>
  <c r="F6816" i="41" s="1"/>
  <c r="E6820" i="41"/>
  <c r="F6820" i="41" s="1"/>
  <c r="E6824" i="41"/>
  <c r="F6824" i="41" s="1"/>
  <c r="E6828" i="41"/>
  <c r="F6828" i="41" s="1"/>
  <c r="E6832" i="41"/>
  <c r="F6832" i="41" s="1"/>
  <c r="E6836" i="41"/>
  <c r="F6836" i="41" s="1"/>
  <c r="E6840" i="41"/>
  <c r="F6840" i="41" s="1"/>
  <c r="E6844" i="41"/>
  <c r="F6844" i="41" s="1"/>
  <c r="E6848" i="41"/>
  <c r="F6848" i="41" s="1"/>
  <c r="E6852" i="41"/>
  <c r="F6852" i="41" s="1"/>
  <c r="E6856" i="41"/>
  <c r="F6856" i="41" s="1"/>
  <c r="E6860" i="41"/>
  <c r="F6860" i="41" s="1"/>
  <c r="E6864" i="41"/>
  <c r="F6864" i="41" s="1"/>
  <c r="E6868" i="41"/>
  <c r="F6868" i="41" s="1"/>
  <c r="E6872" i="41"/>
  <c r="F6872" i="41" s="1"/>
  <c r="E6876" i="41"/>
  <c r="F6876" i="41" s="1"/>
  <c r="E6880" i="41"/>
  <c r="F6880" i="41" s="1"/>
  <c r="E6884" i="41"/>
  <c r="F6884" i="41" s="1"/>
  <c r="E6888" i="41"/>
  <c r="F6888" i="41" s="1"/>
  <c r="E6892" i="41"/>
  <c r="F6892" i="41" s="1"/>
  <c r="E6896" i="41"/>
  <c r="F6896" i="41" s="1"/>
  <c r="E6900" i="41"/>
  <c r="F6900" i="41" s="1"/>
  <c r="E6904" i="41"/>
  <c r="F6904" i="41" s="1"/>
  <c r="E6908" i="41"/>
  <c r="F6908" i="41" s="1"/>
  <c r="E6912" i="41"/>
  <c r="F6912" i="41" s="1"/>
  <c r="E6916" i="41"/>
  <c r="F6916" i="41" s="1"/>
  <c r="E6920" i="41"/>
  <c r="F6920" i="41" s="1"/>
  <c r="E6924" i="41"/>
  <c r="F6924" i="41" s="1"/>
  <c r="E6928" i="41"/>
  <c r="F6928" i="41" s="1"/>
  <c r="E6932" i="41"/>
  <c r="F6932" i="41" s="1"/>
  <c r="E6936" i="41"/>
  <c r="F6936" i="41" s="1"/>
  <c r="E6940" i="41"/>
  <c r="F6940" i="41" s="1"/>
  <c r="E6944" i="41"/>
  <c r="F6944" i="41" s="1"/>
  <c r="E6948" i="41"/>
  <c r="F6948" i="41" s="1"/>
  <c r="E6952" i="41"/>
  <c r="F6952" i="41" s="1"/>
  <c r="E6956" i="41"/>
  <c r="F6956" i="41" s="1"/>
  <c r="E6960" i="41"/>
  <c r="F6960" i="41" s="1"/>
  <c r="E6964" i="41"/>
  <c r="F6964" i="41" s="1"/>
  <c r="E6968" i="41"/>
  <c r="F6968" i="41" s="1"/>
  <c r="E6972" i="41"/>
  <c r="F6972" i="41" s="1"/>
  <c r="E6976" i="41"/>
  <c r="F6976" i="41" s="1"/>
  <c r="E6980" i="41"/>
  <c r="F6980" i="41" s="1"/>
  <c r="E6984" i="41"/>
  <c r="F6984" i="41" s="1"/>
  <c r="E6988" i="41"/>
  <c r="F6988" i="41" s="1"/>
  <c r="E6992" i="41"/>
  <c r="F6992" i="41" s="1"/>
  <c r="E6996" i="41"/>
  <c r="F6996" i="41" s="1"/>
  <c r="E7000" i="41"/>
  <c r="F7000" i="41" s="1"/>
  <c r="E7004" i="41"/>
  <c r="F7004" i="41" s="1"/>
  <c r="E7008" i="41"/>
  <c r="F7008" i="41" s="1"/>
  <c r="E7012" i="41"/>
  <c r="F7012" i="41" s="1"/>
  <c r="E7016" i="41"/>
  <c r="F7016" i="41" s="1"/>
  <c r="E7020" i="41"/>
  <c r="F7020" i="41" s="1"/>
  <c r="E7024" i="41"/>
  <c r="F7024" i="41" s="1"/>
  <c r="E7028" i="41"/>
  <c r="F7028" i="41" s="1"/>
  <c r="E7032" i="41"/>
  <c r="F7032" i="41" s="1"/>
  <c r="E7036" i="41"/>
  <c r="F7036" i="41" s="1"/>
  <c r="E7040" i="41"/>
  <c r="F7040" i="41" s="1"/>
  <c r="E7044" i="41"/>
  <c r="F7044" i="41" s="1"/>
  <c r="E7048" i="41"/>
  <c r="F7048" i="41" s="1"/>
  <c r="E7052" i="41"/>
  <c r="F7052" i="41" s="1"/>
  <c r="E7056" i="41"/>
  <c r="F7056" i="41" s="1"/>
  <c r="E7060" i="41"/>
  <c r="F7060" i="41" s="1"/>
  <c r="E7064" i="41"/>
  <c r="F7064" i="41" s="1"/>
  <c r="E7068" i="41"/>
  <c r="F7068" i="41" s="1"/>
  <c r="E7072" i="41"/>
  <c r="F7072" i="41" s="1"/>
  <c r="E6620" i="41"/>
  <c r="F6620" i="41" s="1"/>
  <c r="E6628" i="41"/>
  <c r="F6628" i="41" s="1"/>
  <c r="E6631" i="41"/>
  <c r="F6631" i="41" s="1"/>
  <c r="E6635" i="41"/>
  <c r="F6635" i="41" s="1"/>
  <c r="E6639" i="41"/>
  <c r="F6639" i="41" s="1"/>
  <c r="E6643" i="41"/>
  <c r="F6643" i="41" s="1"/>
  <c r="E6647" i="41"/>
  <c r="F6647" i="41" s="1"/>
  <c r="E6651" i="41"/>
  <c r="F6651" i="41" s="1"/>
  <c r="E6655" i="41"/>
  <c r="F6655" i="41" s="1"/>
  <c r="E6659" i="41"/>
  <c r="F6659" i="41" s="1"/>
  <c r="E6663" i="41"/>
  <c r="F6663" i="41" s="1"/>
  <c r="E6667" i="41"/>
  <c r="F6667" i="41" s="1"/>
  <c r="E6671" i="41"/>
  <c r="F6671" i="41" s="1"/>
  <c r="E6675" i="41"/>
  <c r="F6675" i="41" s="1"/>
  <c r="E6679" i="41"/>
  <c r="F6679" i="41" s="1"/>
  <c r="E6683" i="41"/>
  <c r="F6683" i="41" s="1"/>
  <c r="E6687" i="41"/>
  <c r="F6687" i="41" s="1"/>
  <c r="E6691" i="41"/>
  <c r="F6691" i="41" s="1"/>
  <c r="E6695" i="41"/>
  <c r="F6695" i="41" s="1"/>
  <c r="E6699" i="41"/>
  <c r="F6699" i="41" s="1"/>
  <c r="E6703" i="41"/>
  <c r="F6703" i="41" s="1"/>
  <c r="E6707" i="41"/>
  <c r="F6707" i="41" s="1"/>
  <c r="E6711" i="41"/>
  <c r="F6711" i="41" s="1"/>
  <c r="E6715" i="41"/>
  <c r="F6715" i="41" s="1"/>
  <c r="E6719" i="41"/>
  <c r="F6719" i="41" s="1"/>
  <c r="E6723" i="41"/>
  <c r="F6723" i="41" s="1"/>
  <c r="E6727" i="41"/>
  <c r="F6727" i="41" s="1"/>
  <c r="E6731" i="41"/>
  <c r="F6731" i="41" s="1"/>
  <c r="E6735" i="41"/>
  <c r="F6735" i="41" s="1"/>
  <c r="E6739" i="41"/>
  <c r="F6739" i="41" s="1"/>
  <c r="E6743" i="41"/>
  <c r="F6743" i="41" s="1"/>
  <c r="E6747" i="41"/>
  <c r="F6747" i="41" s="1"/>
  <c r="E6751" i="41"/>
  <c r="F6751" i="41" s="1"/>
  <c r="E6755" i="41"/>
  <c r="F6755" i="41" s="1"/>
  <c r="E6759" i="41"/>
  <c r="F6759" i="41" s="1"/>
  <c r="E6763" i="41"/>
  <c r="F6763" i="41" s="1"/>
  <c r="E6767" i="41"/>
  <c r="F6767" i="41" s="1"/>
  <c r="E6771" i="41"/>
  <c r="F6771" i="41" s="1"/>
  <c r="E6775" i="41"/>
  <c r="F6775" i="41" s="1"/>
  <c r="E6779" i="41"/>
  <c r="F6779" i="41" s="1"/>
  <c r="E6783" i="41"/>
  <c r="F6783" i="41" s="1"/>
  <c r="E6787" i="41"/>
  <c r="F6787" i="41" s="1"/>
  <c r="E6791" i="41"/>
  <c r="F6791" i="41" s="1"/>
  <c r="E6795" i="41"/>
  <c r="F6795" i="41" s="1"/>
  <c r="E6799" i="41"/>
  <c r="F6799" i="41" s="1"/>
  <c r="E6803" i="41"/>
  <c r="F6803" i="41" s="1"/>
  <c r="E6807" i="41"/>
  <c r="F6807" i="41" s="1"/>
  <c r="E6811" i="41"/>
  <c r="F6811" i="41" s="1"/>
  <c r="E6815" i="41"/>
  <c r="F6815" i="41" s="1"/>
  <c r="E6819" i="41"/>
  <c r="F6819" i="41" s="1"/>
  <c r="E6823" i="41"/>
  <c r="F6823" i="41" s="1"/>
  <c r="E6827" i="41"/>
  <c r="F6827" i="41" s="1"/>
  <c r="E6831" i="41"/>
  <c r="F6831" i="41" s="1"/>
  <c r="E6835" i="41"/>
  <c r="F6835" i="41" s="1"/>
  <c r="E6839" i="41"/>
  <c r="F6839" i="41" s="1"/>
  <c r="E6843" i="41"/>
  <c r="F6843" i="41" s="1"/>
  <c r="E6847" i="41"/>
  <c r="F6847" i="41" s="1"/>
  <c r="E6851" i="41"/>
  <c r="F6851" i="41" s="1"/>
  <c r="E6855" i="41"/>
  <c r="F6855" i="41" s="1"/>
  <c r="E6859" i="41"/>
  <c r="F6859" i="41" s="1"/>
  <c r="E6863" i="41"/>
  <c r="F6863" i="41" s="1"/>
  <c r="E6867" i="41"/>
  <c r="F6867" i="41" s="1"/>
  <c r="E6871" i="41"/>
  <c r="F6871" i="41" s="1"/>
  <c r="E6875" i="41"/>
  <c r="F6875" i="41" s="1"/>
  <c r="E6879" i="41"/>
  <c r="F6879" i="41" s="1"/>
  <c r="E6883" i="41"/>
  <c r="F6883" i="41" s="1"/>
  <c r="E6887" i="41"/>
  <c r="F6887" i="41" s="1"/>
  <c r="E6891" i="41"/>
  <c r="F6891" i="41" s="1"/>
  <c r="E6895" i="41"/>
  <c r="F6895" i="41" s="1"/>
  <c r="E6899" i="41"/>
  <c r="F6899" i="41" s="1"/>
  <c r="E6903" i="41"/>
  <c r="F6903" i="41" s="1"/>
  <c r="E6907" i="41"/>
  <c r="F6907" i="41" s="1"/>
  <c r="E6911" i="41"/>
  <c r="F6911" i="41" s="1"/>
  <c r="E6915" i="41"/>
  <c r="F6915" i="41" s="1"/>
  <c r="E6919" i="41"/>
  <c r="F6919" i="41" s="1"/>
  <c r="E6923" i="41"/>
  <c r="F6923" i="41" s="1"/>
  <c r="E6927" i="41"/>
  <c r="F6927" i="41" s="1"/>
  <c r="E6931" i="41"/>
  <c r="F6931" i="41" s="1"/>
  <c r="E6935" i="41"/>
  <c r="F6935" i="41" s="1"/>
  <c r="E6939" i="41"/>
  <c r="F6939" i="41" s="1"/>
  <c r="E6943" i="41"/>
  <c r="F6943" i="41" s="1"/>
  <c r="E6947" i="41"/>
  <c r="F6947" i="41" s="1"/>
  <c r="E6951" i="41"/>
  <c r="F6951" i="41" s="1"/>
  <c r="E6955" i="41"/>
  <c r="F6955" i="41" s="1"/>
  <c r="E6959" i="41"/>
  <c r="F6959" i="41" s="1"/>
  <c r="E6963" i="41"/>
  <c r="F6963" i="41" s="1"/>
  <c r="E6967" i="41"/>
  <c r="F6967" i="41" s="1"/>
  <c r="E6971" i="41"/>
  <c r="F6971" i="41" s="1"/>
  <c r="E6975" i="41"/>
  <c r="F6975" i="41" s="1"/>
  <c r="E6979" i="41"/>
  <c r="F6979" i="41" s="1"/>
  <c r="E6983" i="41"/>
  <c r="F6983" i="41" s="1"/>
  <c r="E6987" i="41"/>
  <c r="F6987" i="41" s="1"/>
  <c r="E6991" i="41"/>
  <c r="F6991" i="41" s="1"/>
  <c r="E6995" i="41"/>
  <c r="F6995" i="41" s="1"/>
  <c r="E6999" i="41"/>
  <c r="F6999" i="41" s="1"/>
  <c r="E7003" i="41"/>
  <c r="F7003" i="41" s="1"/>
  <c r="E7007" i="41"/>
  <c r="F7007" i="41" s="1"/>
  <c r="E7011" i="41"/>
  <c r="F7011" i="41" s="1"/>
  <c r="E7015" i="41"/>
  <c r="F7015" i="41" s="1"/>
  <c r="E7019" i="41"/>
  <c r="F7019" i="41" s="1"/>
  <c r="E7023" i="41"/>
  <c r="F7023" i="41" s="1"/>
  <c r="E7027" i="41"/>
  <c r="F7027" i="41" s="1"/>
  <c r="E7031" i="41"/>
  <c r="F7031" i="41" s="1"/>
  <c r="E7035" i="41"/>
  <c r="F7035" i="41" s="1"/>
  <c r="E7039" i="41"/>
  <c r="F7039" i="41" s="1"/>
  <c r="E7043" i="41"/>
  <c r="F7043" i="41" s="1"/>
  <c r="E7047" i="41"/>
  <c r="F7047" i="41" s="1"/>
  <c r="E7051" i="41"/>
  <c r="F7051" i="41" s="1"/>
  <c r="E7055" i="41"/>
  <c r="F7055" i="41" s="1"/>
  <c r="E7059" i="41"/>
  <c r="F7059" i="41" s="1"/>
  <c r="E7063" i="41"/>
  <c r="F7063" i="41" s="1"/>
  <c r="E7067" i="41"/>
  <c r="F7067" i="41" s="1"/>
  <c r="E7071" i="41"/>
  <c r="F7071" i="41" s="1"/>
  <c r="E6072" i="41"/>
  <c r="F6072" i="41" s="1"/>
  <c r="E6080" i="41"/>
  <c r="F6080" i="41" s="1"/>
  <c r="E6088" i="41"/>
  <c r="F6088" i="41" s="1"/>
  <c r="E6096" i="41"/>
  <c r="F6096" i="41" s="1"/>
  <c r="E6104" i="41"/>
  <c r="F6104" i="41" s="1"/>
  <c r="E6112" i="41"/>
  <c r="F6112" i="41" s="1"/>
  <c r="E6120" i="41"/>
  <c r="F6120" i="41" s="1"/>
  <c r="E6128" i="41"/>
  <c r="F6128" i="41" s="1"/>
  <c r="E6136" i="41"/>
  <c r="F6136" i="41" s="1"/>
  <c r="E6144" i="41"/>
  <c r="F6144" i="41" s="1"/>
  <c r="E6152" i="41"/>
  <c r="F6152" i="41" s="1"/>
  <c r="E6160" i="41"/>
  <c r="F6160" i="41" s="1"/>
  <c r="E6168" i="41"/>
  <c r="F6168" i="41" s="1"/>
  <c r="E6176" i="41"/>
  <c r="F6176" i="41" s="1"/>
  <c r="E6184" i="41"/>
  <c r="F6184" i="41" s="1"/>
  <c r="E6192" i="41"/>
  <c r="F6192" i="41" s="1"/>
  <c r="E6200" i="41"/>
  <c r="F6200" i="41" s="1"/>
  <c r="E6208" i="41"/>
  <c r="F6208" i="41" s="1"/>
  <c r="E6216" i="41"/>
  <c r="F6216" i="41" s="1"/>
  <c r="E6224" i="41"/>
  <c r="F6224" i="41" s="1"/>
  <c r="E6232" i="41"/>
  <c r="F6232" i="41" s="1"/>
  <c r="E6240" i="41"/>
  <c r="F6240" i="41" s="1"/>
  <c r="E6248" i="41"/>
  <c r="F6248" i="41" s="1"/>
  <c r="E6256" i="41"/>
  <c r="F6256" i="41" s="1"/>
  <c r="E6264" i="41"/>
  <c r="F6264" i="41" s="1"/>
  <c r="E6272" i="41"/>
  <c r="F6272" i="41" s="1"/>
  <c r="E6280" i="41"/>
  <c r="F6280" i="41" s="1"/>
  <c r="E6288" i="41"/>
  <c r="F6288" i="41" s="1"/>
  <c r="E6296" i="41"/>
  <c r="F6296" i="41" s="1"/>
  <c r="E6304" i="41"/>
  <c r="F6304" i="41" s="1"/>
  <c r="E6312" i="41"/>
  <c r="F6312" i="41" s="1"/>
  <c r="E6320" i="41"/>
  <c r="F6320" i="41" s="1"/>
  <c r="E6328" i="41"/>
  <c r="F6328" i="41" s="1"/>
  <c r="E6336" i="41"/>
  <c r="F6336" i="41" s="1"/>
  <c r="E6344" i="41"/>
  <c r="F6344" i="41" s="1"/>
  <c r="E6352" i="41"/>
  <c r="F6352" i="41" s="1"/>
  <c r="E6360" i="41"/>
  <c r="F6360" i="41" s="1"/>
  <c r="E6368" i="41"/>
  <c r="F6368" i="41" s="1"/>
  <c r="E6376" i="41"/>
  <c r="F6376" i="41" s="1"/>
  <c r="E6384" i="41"/>
  <c r="F6384" i="41" s="1"/>
  <c r="E6392" i="41"/>
  <c r="F6392" i="41" s="1"/>
  <c r="E6400" i="41"/>
  <c r="F6400" i="41" s="1"/>
  <c r="E6408" i="41"/>
  <c r="F6408" i="41" s="1"/>
  <c r="E6416" i="41"/>
  <c r="F6416" i="41" s="1"/>
  <c r="E6424" i="41"/>
  <c r="F6424" i="41" s="1"/>
  <c r="E6432" i="41"/>
  <c r="F6432" i="41" s="1"/>
  <c r="E6440" i="41"/>
  <c r="F6440" i="41" s="1"/>
  <c r="E6448" i="41"/>
  <c r="F6448" i="41" s="1"/>
  <c r="E6456" i="41"/>
  <c r="F6456" i="41" s="1"/>
  <c r="E6464" i="41"/>
  <c r="F6464" i="41" s="1"/>
  <c r="E6472" i="41"/>
  <c r="F6472" i="41" s="1"/>
  <c r="E6480" i="41"/>
  <c r="F6480" i="41" s="1"/>
  <c r="E6488" i="41"/>
  <c r="F6488" i="41" s="1"/>
  <c r="E6622" i="41"/>
  <c r="F6622" i="41" s="1"/>
  <c r="E6630" i="41"/>
  <c r="F6630" i="41" s="1"/>
  <c r="E6634" i="41"/>
  <c r="F6634" i="41" s="1"/>
  <c r="E6638" i="41"/>
  <c r="F6638" i="41" s="1"/>
  <c r="E6642" i="41"/>
  <c r="F6642" i="41" s="1"/>
  <c r="E6646" i="41"/>
  <c r="F6646" i="41" s="1"/>
  <c r="E6650" i="41"/>
  <c r="F6650" i="41" s="1"/>
  <c r="E6654" i="41"/>
  <c r="F6654" i="41" s="1"/>
  <c r="E6658" i="41"/>
  <c r="F6658" i="41" s="1"/>
  <c r="E6662" i="41"/>
  <c r="F6662" i="41" s="1"/>
  <c r="E6666" i="41"/>
  <c r="F6666" i="41" s="1"/>
  <c r="E6670" i="41"/>
  <c r="F6670" i="41" s="1"/>
  <c r="E6674" i="41"/>
  <c r="F6674" i="41" s="1"/>
  <c r="E6678" i="41"/>
  <c r="F6678" i="41" s="1"/>
  <c r="E6682" i="41"/>
  <c r="F6682" i="41" s="1"/>
  <c r="E6686" i="41"/>
  <c r="F6686" i="41" s="1"/>
  <c r="E6690" i="41"/>
  <c r="F6690" i="41" s="1"/>
  <c r="E6694" i="41"/>
  <c r="F6694" i="41" s="1"/>
  <c r="E6698" i="41"/>
  <c r="F6698" i="41" s="1"/>
  <c r="E6702" i="41"/>
  <c r="F6702" i="41" s="1"/>
  <c r="E6706" i="41"/>
  <c r="F6706" i="41" s="1"/>
  <c r="E6710" i="41"/>
  <c r="F6710" i="41" s="1"/>
  <c r="E6714" i="41"/>
  <c r="F6714" i="41" s="1"/>
  <c r="E6718" i="41"/>
  <c r="F6718" i="41" s="1"/>
  <c r="E6722" i="41"/>
  <c r="F6722" i="41" s="1"/>
  <c r="E6726" i="41"/>
  <c r="F6726" i="41" s="1"/>
  <c r="E6730" i="41"/>
  <c r="F6730" i="41" s="1"/>
  <c r="E6734" i="41"/>
  <c r="F6734" i="41" s="1"/>
  <c r="E6738" i="41"/>
  <c r="F6738" i="41" s="1"/>
  <c r="E6742" i="41"/>
  <c r="F6742" i="41" s="1"/>
  <c r="E6746" i="41"/>
  <c r="F6746" i="41" s="1"/>
  <c r="E6750" i="41"/>
  <c r="F6750" i="41" s="1"/>
  <c r="E6754" i="41"/>
  <c r="F6754" i="41" s="1"/>
  <c r="E6758" i="41"/>
  <c r="F6758" i="41" s="1"/>
  <c r="E6762" i="41"/>
  <c r="F6762" i="41" s="1"/>
  <c r="E6766" i="41"/>
  <c r="F6766" i="41" s="1"/>
  <c r="E6770" i="41"/>
  <c r="F6770" i="41" s="1"/>
  <c r="E6774" i="41"/>
  <c r="F6774" i="41" s="1"/>
  <c r="E6778" i="41"/>
  <c r="F6778" i="41" s="1"/>
  <c r="E6782" i="41"/>
  <c r="F6782" i="41" s="1"/>
  <c r="E6786" i="41"/>
  <c r="F6786" i="41" s="1"/>
  <c r="E6790" i="41"/>
  <c r="F6790" i="41" s="1"/>
  <c r="E6794" i="41"/>
  <c r="F6794" i="41" s="1"/>
  <c r="E6798" i="41"/>
  <c r="F6798" i="41" s="1"/>
  <c r="E6802" i="41"/>
  <c r="F6802" i="41" s="1"/>
  <c r="E6806" i="41"/>
  <c r="F6806" i="41" s="1"/>
  <c r="E6810" i="41"/>
  <c r="F6810" i="41" s="1"/>
  <c r="E6814" i="41"/>
  <c r="F6814" i="41" s="1"/>
  <c r="E6818" i="41"/>
  <c r="F6818" i="41" s="1"/>
  <c r="E6822" i="41"/>
  <c r="F6822" i="41" s="1"/>
  <c r="E6826" i="41"/>
  <c r="F6826" i="41" s="1"/>
  <c r="E6830" i="41"/>
  <c r="F6830" i="41" s="1"/>
  <c r="E6834" i="41"/>
  <c r="F6834" i="41" s="1"/>
  <c r="E6838" i="41"/>
  <c r="F6838" i="41" s="1"/>
  <c r="E6842" i="41"/>
  <c r="F6842" i="41" s="1"/>
  <c r="E6846" i="41"/>
  <c r="F6846" i="41" s="1"/>
  <c r="E6850" i="41"/>
  <c r="F6850" i="41" s="1"/>
  <c r="E6854" i="41"/>
  <c r="F6854" i="41" s="1"/>
  <c r="E6858" i="41"/>
  <c r="F6858" i="41" s="1"/>
  <c r="E6862" i="41"/>
  <c r="F6862" i="41" s="1"/>
  <c r="E6866" i="41"/>
  <c r="F6866" i="41" s="1"/>
  <c r="E6870" i="41"/>
  <c r="F6870" i="41" s="1"/>
  <c r="E6874" i="41"/>
  <c r="F6874" i="41" s="1"/>
  <c r="E6878" i="41"/>
  <c r="F6878" i="41" s="1"/>
  <c r="E6882" i="41"/>
  <c r="F6882" i="41" s="1"/>
  <c r="E6886" i="41"/>
  <c r="F6886" i="41" s="1"/>
  <c r="E6890" i="41"/>
  <c r="F6890" i="41" s="1"/>
  <c r="E6894" i="41"/>
  <c r="F6894" i="41" s="1"/>
  <c r="E6898" i="41"/>
  <c r="F6898" i="41" s="1"/>
  <c r="E6902" i="41"/>
  <c r="F6902" i="41" s="1"/>
  <c r="E6906" i="41"/>
  <c r="F6906" i="41" s="1"/>
  <c r="E6910" i="41"/>
  <c r="F6910" i="41" s="1"/>
  <c r="E6914" i="41"/>
  <c r="F6914" i="41" s="1"/>
  <c r="E6918" i="41"/>
  <c r="F6918" i="41" s="1"/>
  <c r="E6922" i="41"/>
  <c r="F6922" i="41" s="1"/>
  <c r="E6926" i="41"/>
  <c r="F6926" i="41" s="1"/>
  <c r="E6930" i="41"/>
  <c r="F6930" i="41" s="1"/>
  <c r="E6934" i="41"/>
  <c r="F6934" i="41" s="1"/>
  <c r="E6938" i="41"/>
  <c r="F6938" i="41" s="1"/>
  <c r="E6942" i="41"/>
  <c r="F6942" i="41" s="1"/>
  <c r="E6946" i="41"/>
  <c r="F6946" i="41" s="1"/>
  <c r="E6950" i="41"/>
  <c r="F6950" i="41" s="1"/>
  <c r="E6954" i="41"/>
  <c r="F6954" i="41" s="1"/>
  <c r="E6958" i="41"/>
  <c r="F6958" i="41" s="1"/>
  <c r="E6962" i="41"/>
  <c r="F6962" i="41" s="1"/>
  <c r="E6966" i="41"/>
  <c r="F6966" i="41" s="1"/>
  <c r="E6970" i="41"/>
  <c r="F6970" i="41" s="1"/>
  <c r="E6974" i="41"/>
  <c r="F6974" i="41" s="1"/>
  <c r="E6978" i="41"/>
  <c r="F6978" i="41" s="1"/>
  <c r="E6982" i="41"/>
  <c r="F6982" i="41" s="1"/>
  <c r="E6986" i="41"/>
  <c r="F6986" i="41" s="1"/>
  <c r="E6990" i="41"/>
  <c r="F6990" i="41" s="1"/>
  <c r="E6994" i="41"/>
  <c r="F6994" i="41" s="1"/>
  <c r="E6998" i="41"/>
  <c r="F6998" i="41" s="1"/>
  <c r="E7002" i="41"/>
  <c r="F7002" i="41" s="1"/>
  <c r="E7006" i="41"/>
  <c r="F7006" i="41" s="1"/>
  <c r="E7010" i="41"/>
  <c r="F7010" i="41" s="1"/>
  <c r="E7014" i="41"/>
  <c r="F7014" i="41" s="1"/>
  <c r="E7018" i="41"/>
  <c r="F7018" i="41" s="1"/>
  <c r="E7022" i="41"/>
  <c r="F7022" i="41" s="1"/>
  <c r="E7026" i="41"/>
  <c r="F7026" i="41" s="1"/>
  <c r="E7030" i="41"/>
  <c r="F7030" i="41" s="1"/>
  <c r="E7034" i="41"/>
  <c r="F7034" i="41" s="1"/>
  <c r="E7038" i="41"/>
  <c r="F7038" i="41" s="1"/>
  <c r="E7042" i="41"/>
  <c r="F7042" i="41" s="1"/>
  <c r="E7046" i="41"/>
  <c r="F7046" i="41" s="1"/>
  <c r="E7050" i="41"/>
  <c r="F7050" i="41" s="1"/>
  <c r="E7054" i="41"/>
  <c r="F7054" i="41" s="1"/>
  <c r="E7058" i="41"/>
  <c r="F7058" i="41" s="1"/>
  <c r="E7062" i="41"/>
  <c r="F7062" i="41" s="1"/>
  <c r="E7066" i="41"/>
  <c r="F7066" i="41" s="1"/>
  <c r="E7070" i="41"/>
  <c r="F7070" i="41" s="1"/>
  <c r="E7074" i="41"/>
  <c r="F7074" i="41" s="1"/>
  <c r="E7075" i="41"/>
  <c r="F7075" i="41" s="1"/>
  <c r="E7076" i="41"/>
  <c r="F7076" i="41" s="1"/>
  <c r="E7077" i="41"/>
  <c r="F7077" i="41" s="1"/>
  <c r="E7078" i="41"/>
  <c r="F7078" i="41" s="1"/>
  <c r="E7079" i="41"/>
  <c r="F7079" i="41" s="1"/>
  <c r="E7080" i="41"/>
  <c r="F7080" i="41" s="1"/>
  <c r="E7081" i="41"/>
  <c r="F7081" i="41" s="1"/>
  <c r="E7082" i="41"/>
  <c r="F7082" i="41" s="1"/>
  <c r="E7083" i="41"/>
  <c r="F7083" i="41" s="1"/>
  <c r="E7084" i="41"/>
  <c r="F7084" i="41" s="1"/>
  <c r="E7085" i="41"/>
  <c r="F7085" i="41" s="1"/>
  <c r="E7086" i="41"/>
  <c r="F7086" i="41" s="1"/>
  <c r="E7087" i="41"/>
  <c r="F7087" i="41" s="1"/>
  <c r="E7088" i="41"/>
  <c r="F7088" i="41" s="1"/>
  <c r="E7089" i="41"/>
  <c r="F7089" i="41" s="1"/>
  <c r="E7090" i="41"/>
  <c r="F7090" i="41" s="1"/>
  <c r="E7091" i="41"/>
  <c r="F7091" i="41" s="1"/>
  <c r="E7092" i="41"/>
  <c r="F7092" i="41" s="1"/>
  <c r="E7093" i="41"/>
  <c r="F7093" i="41" s="1"/>
  <c r="E7094" i="41"/>
  <c r="F7094" i="41" s="1"/>
  <c r="E7095" i="41"/>
  <c r="F7095" i="41" s="1"/>
  <c r="E7096" i="41"/>
  <c r="F7096" i="41" s="1"/>
  <c r="E7097" i="41"/>
  <c r="F7097" i="41" s="1"/>
  <c r="E7098" i="41"/>
  <c r="F7098" i="41" s="1"/>
  <c r="E7099" i="41"/>
  <c r="F7099" i="41" s="1"/>
  <c r="E7100" i="41"/>
  <c r="F7100" i="41" s="1"/>
  <c r="E7101" i="41"/>
  <c r="F7101" i="41" s="1"/>
  <c r="E7102" i="41"/>
  <c r="F7102" i="41" s="1"/>
  <c r="E7103" i="41"/>
  <c r="F7103" i="41" s="1"/>
  <c r="E7104" i="41"/>
  <c r="F7104" i="41" s="1"/>
  <c r="E7105" i="41"/>
  <c r="F7105" i="41" s="1"/>
  <c r="E7106" i="41"/>
  <c r="F7106" i="41" s="1"/>
  <c r="E7107" i="41"/>
  <c r="F7107" i="41" s="1"/>
  <c r="E7108" i="41"/>
  <c r="F7108" i="41" s="1"/>
  <c r="E7109" i="41"/>
  <c r="F7109" i="41" s="1"/>
  <c r="E7110" i="41"/>
  <c r="F7110" i="41" s="1"/>
  <c r="E7111" i="41"/>
  <c r="F7111" i="41" s="1"/>
  <c r="E7112" i="41"/>
  <c r="F7112" i="41" s="1"/>
  <c r="E7113" i="41"/>
  <c r="F7113" i="41" s="1"/>
  <c r="E7114" i="41"/>
  <c r="F7114" i="41" s="1"/>
  <c r="E7115" i="41"/>
  <c r="F7115" i="41" s="1"/>
  <c r="E7116" i="41"/>
  <c r="F7116" i="41" s="1"/>
  <c r="E7117" i="41"/>
  <c r="F7117" i="41" s="1"/>
  <c r="E7118" i="41"/>
  <c r="F7118" i="41" s="1"/>
  <c r="E6624" i="41"/>
  <c r="F6624" i="41" s="1"/>
  <c r="E6633" i="41"/>
  <c r="F6633" i="41" s="1"/>
  <c r="E6641" i="41"/>
  <c r="F6641" i="41" s="1"/>
  <c r="E6649" i="41"/>
  <c r="F6649" i="41" s="1"/>
  <c r="E6657" i="41"/>
  <c r="F6657" i="41" s="1"/>
  <c r="E6665" i="41"/>
  <c r="F6665" i="41" s="1"/>
  <c r="E6673" i="41"/>
  <c r="F6673" i="41" s="1"/>
  <c r="E6681" i="41"/>
  <c r="F6681" i="41" s="1"/>
  <c r="E6689" i="41"/>
  <c r="F6689" i="41" s="1"/>
  <c r="E6697" i="41"/>
  <c r="F6697" i="41" s="1"/>
  <c r="E6705" i="41"/>
  <c r="F6705" i="41" s="1"/>
  <c r="E6713" i="41"/>
  <c r="F6713" i="41" s="1"/>
  <c r="E6721" i="41"/>
  <c r="F6721" i="41" s="1"/>
  <c r="E6729" i="41"/>
  <c r="F6729" i="41" s="1"/>
  <c r="E6737" i="41"/>
  <c r="F6737" i="41" s="1"/>
  <c r="E6745" i="41"/>
  <c r="F6745" i="41" s="1"/>
  <c r="E6753" i="41"/>
  <c r="F6753" i="41" s="1"/>
  <c r="E6761" i="41"/>
  <c r="F6761" i="41" s="1"/>
  <c r="E6769" i="41"/>
  <c r="F6769" i="41" s="1"/>
  <c r="E6777" i="41"/>
  <c r="F6777" i="41" s="1"/>
  <c r="E6785" i="41"/>
  <c r="F6785" i="41" s="1"/>
  <c r="E6793" i="41"/>
  <c r="F6793" i="41" s="1"/>
  <c r="E6801" i="41"/>
  <c r="F6801" i="41" s="1"/>
  <c r="E6809" i="41"/>
  <c r="F6809" i="41" s="1"/>
  <c r="E6817" i="41"/>
  <c r="F6817" i="41" s="1"/>
  <c r="E6825" i="41"/>
  <c r="F6825" i="41" s="1"/>
  <c r="E6833" i="41"/>
  <c r="F6833" i="41" s="1"/>
  <c r="E6841" i="41"/>
  <c r="F6841" i="41" s="1"/>
  <c r="E6849" i="41"/>
  <c r="F6849" i="41" s="1"/>
  <c r="E6857" i="41"/>
  <c r="F6857" i="41" s="1"/>
  <c r="E6865" i="41"/>
  <c r="F6865" i="41" s="1"/>
  <c r="E6873" i="41"/>
  <c r="F6873" i="41" s="1"/>
  <c r="E6881" i="41"/>
  <c r="F6881" i="41" s="1"/>
  <c r="E6889" i="41"/>
  <c r="F6889" i="41" s="1"/>
  <c r="E6897" i="41"/>
  <c r="F6897" i="41" s="1"/>
  <c r="E6905" i="41"/>
  <c r="F6905" i="41" s="1"/>
  <c r="E6913" i="41"/>
  <c r="F6913" i="41" s="1"/>
  <c r="E6921" i="41"/>
  <c r="F6921" i="41" s="1"/>
  <c r="E6929" i="41"/>
  <c r="F6929" i="41" s="1"/>
  <c r="E6937" i="41"/>
  <c r="F6937" i="41" s="1"/>
  <c r="E6945" i="41"/>
  <c r="F6945" i="41" s="1"/>
  <c r="E6953" i="41"/>
  <c r="F6953" i="41" s="1"/>
  <c r="E6961" i="41"/>
  <c r="F6961" i="41" s="1"/>
  <c r="E6969" i="41"/>
  <c r="F6969" i="41" s="1"/>
  <c r="E6977" i="41"/>
  <c r="F6977" i="41" s="1"/>
  <c r="E6985" i="41"/>
  <c r="F6985" i="41" s="1"/>
  <c r="E6993" i="41"/>
  <c r="F6993" i="41" s="1"/>
  <c r="E7001" i="41"/>
  <c r="F7001" i="41" s="1"/>
  <c r="E7009" i="41"/>
  <c r="F7009" i="41" s="1"/>
  <c r="E7017" i="41"/>
  <c r="F7017" i="41" s="1"/>
  <c r="E7025" i="41"/>
  <c r="F7025" i="41" s="1"/>
  <c r="E7033" i="41"/>
  <c r="F7033" i="41" s="1"/>
  <c r="E7041" i="41"/>
  <c r="F7041" i="41" s="1"/>
  <c r="E7049" i="41"/>
  <c r="F7049" i="41" s="1"/>
  <c r="E7057" i="41"/>
  <c r="F7057" i="41" s="1"/>
  <c r="E7065" i="41"/>
  <c r="F7065" i="41" s="1"/>
  <c r="E7073" i="41"/>
  <c r="F7073" i="41" s="1"/>
  <c r="E7119" i="41"/>
  <c r="F7119" i="41" s="1"/>
  <c r="E7121" i="41"/>
  <c r="F7121" i="41" s="1"/>
  <c r="E6637" i="41"/>
  <c r="F6637" i="41" s="1"/>
  <c r="E6645" i="41"/>
  <c r="F6645" i="41" s="1"/>
  <c r="E6653" i="41"/>
  <c r="F6653" i="41" s="1"/>
  <c r="E6661" i="41"/>
  <c r="F6661" i="41" s="1"/>
  <c r="E6669" i="41"/>
  <c r="F6669" i="41" s="1"/>
  <c r="E6677" i="41"/>
  <c r="F6677" i="41" s="1"/>
  <c r="E6685" i="41"/>
  <c r="F6685" i="41" s="1"/>
  <c r="E6693" i="41"/>
  <c r="F6693" i="41" s="1"/>
  <c r="E6701" i="41"/>
  <c r="F6701" i="41" s="1"/>
  <c r="E6709" i="41"/>
  <c r="F6709" i="41" s="1"/>
  <c r="E6717" i="41"/>
  <c r="F6717" i="41" s="1"/>
  <c r="E6725" i="41"/>
  <c r="F6725" i="41" s="1"/>
  <c r="E6733" i="41"/>
  <c r="F6733" i="41" s="1"/>
  <c r="E6741" i="41"/>
  <c r="F6741" i="41" s="1"/>
  <c r="E6749" i="41"/>
  <c r="F6749" i="41" s="1"/>
  <c r="E6757" i="41"/>
  <c r="F6757" i="41" s="1"/>
  <c r="E6765" i="41"/>
  <c r="F6765" i="41" s="1"/>
  <c r="E6773" i="41"/>
  <c r="F6773" i="41" s="1"/>
  <c r="E6781" i="41"/>
  <c r="F6781" i="41" s="1"/>
  <c r="E6789" i="41"/>
  <c r="F6789" i="41" s="1"/>
  <c r="E6797" i="41"/>
  <c r="F6797" i="41" s="1"/>
  <c r="E6805" i="41"/>
  <c r="F6805" i="41" s="1"/>
  <c r="E6813" i="41"/>
  <c r="F6813" i="41" s="1"/>
  <c r="E6821" i="41"/>
  <c r="F6821" i="41" s="1"/>
  <c r="E6829" i="41"/>
  <c r="F6829" i="41" s="1"/>
  <c r="E6837" i="41"/>
  <c r="F6837" i="41" s="1"/>
  <c r="E6845" i="41"/>
  <c r="F6845" i="41" s="1"/>
  <c r="E6853" i="41"/>
  <c r="F6853" i="41" s="1"/>
  <c r="E6861" i="41"/>
  <c r="F6861" i="41" s="1"/>
  <c r="E6869" i="41"/>
  <c r="F6869" i="41" s="1"/>
  <c r="E6877" i="41"/>
  <c r="F6877" i="41" s="1"/>
  <c r="E6885" i="41"/>
  <c r="F6885" i="41" s="1"/>
  <c r="E6893" i="41"/>
  <c r="F6893" i="41" s="1"/>
  <c r="E6901" i="41"/>
  <c r="F6901" i="41" s="1"/>
  <c r="E6909" i="41"/>
  <c r="F6909" i="41" s="1"/>
  <c r="E6917" i="41"/>
  <c r="F6917" i="41" s="1"/>
  <c r="E6925" i="41"/>
  <c r="F6925" i="41" s="1"/>
  <c r="E6933" i="41"/>
  <c r="F6933" i="41" s="1"/>
  <c r="E6941" i="41"/>
  <c r="F6941" i="41" s="1"/>
  <c r="E6949" i="41"/>
  <c r="F6949" i="41" s="1"/>
  <c r="E6957" i="41"/>
  <c r="F6957" i="41" s="1"/>
  <c r="E6965" i="41"/>
  <c r="F6965" i="41" s="1"/>
  <c r="E6973" i="41"/>
  <c r="F6973" i="41" s="1"/>
  <c r="E6981" i="41"/>
  <c r="F6981" i="41" s="1"/>
  <c r="E6989" i="41"/>
  <c r="F6989" i="41" s="1"/>
  <c r="E6997" i="41"/>
  <c r="F6997" i="41" s="1"/>
  <c r="E7005" i="41"/>
  <c r="F7005" i="41" s="1"/>
  <c r="E7013" i="41"/>
  <c r="F7013" i="41" s="1"/>
  <c r="E7021" i="41"/>
  <c r="F7021" i="41" s="1"/>
  <c r="E7029" i="41"/>
  <c r="F7029" i="41" s="1"/>
  <c r="E7037" i="41"/>
  <c r="F7037" i="41" s="1"/>
  <c r="E7045" i="41"/>
  <c r="F7045" i="41" s="1"/>
  <c r="E7053" i="41"/>
  <c r="F7053" i="41" s="1"/>
  <c r="E7061" i="41"/>
  <c r="F7061" i="41" s="1"/>
  <c r="E7069" i="41"/>
  <c r="F7069" i="41" s="1"/>
  <c r="E7580" i="41"/>
  <c r="F7580" i="41" s="1"/>
  <c r="E7581" i="41"/>
  <c r="F7581" i="41" s="1"/>
  <c r="E7582" i="41"/>
  <c r="F7582" i="41" s="1"/>
  <c r="E7583" i="41"/>
  <c r="F7583" i="41" s="1"/>
  <c r="E7584" i="41"/>
  <c r="F7584" i="41" s="1"/>
  <c r="E7585" i="41"/>
  <c r="F7585" i="41" s="1"/>
  <c r="E7586" i="41"/>
  <c r="F7586" i="41" s="1"/>
  <c r="E7587" i="41"/>
  <c r="F7587" i="41" s="1"/>
  <c r="E7588" i="41"/>
  <c r="F7588" i="41" s="1"/>
  <c r="E7589" i="41"/>
  <c r="F7589" i="41" s="1"/>
  <c r="E7590" i="41"/>
  <c r="F7590" i="41" s="1"/>
  <c r="E7591" i="41"/>
  <c r="F7591" i="41" s="1"/>
  <c r="E7592" i="41"/>
  <c r="F7592" i="41" s="1"/>
  <c r="E7593" i="41"/>
  <c r="F7593" i="41" s="1"/>
  <c r="E7594" i="41"/>
  <c r="F7594" i="41" s="1"/>
  <c r="E7595" i="41"/>
  <c r="F7595" i="41" s="1"/>
  <c r="E7596" i="41"/>
  <c r="F7596" i="41" s="1"/>
  <c r="E7597" i="41"/>
  <c r="F7597" i="41" s="1"/>
  <c r="E7598" i="41"/>
  <c r="F7598" i="41" s="1"/>
  <c r="E7599" i="41"/>
  <c r="F7599" i="41" s="1"/>
  <c r="E7600" i="41"/>
  <c r="F7600" i="41" s="1"/>
  <c r="E7601" i="41"/>
  <c r="F7601" i="41" s="1"/>
  <c r="E7602" i="41"/>
  <c r="F7602" i="41" s="1"/>
  <c r="E7603" i="41"/>
  <c r="F7603" i="41" s="1"/>
  <c r="E7604" i="41"/>
  <c r="F7604" i="41" s="1"/>
  <c r="E7605" i="41"/>
  <c r="F7605" i="41" s="1"/>
  <c r="E7606" i="41"/>
  <c r="F7606" i="41" s="1"/>
  <c r="E7607" i="41"/>
  <c r="F7607" i="41" s="1"/>
  <c r="E7608" i="41"/>
  <c r="F7608" i="41" s="1"/>
  <c r="E7609" i="41"/>
  <c r="F7609" i="41" s="1"/>
  <c r="E7610" i="41"/>
  <c r="F7610" i="41" s="1"/>
  <c r="E7611" i="41"/>
  <c r="F7611" i="41" s="1"/>
  <c r="E7612" i="41"/>
  <c r="F7612" i="41" s="1"/>
  <c r="E7613" i="41"/>
  <c r="F7613" i="41" s="1"/>
  <c r="E7614" i="41"/>
  <c r="F7614" i="41" s="1"/>
  <c r="E7615" i="41"/>
  <c r="F7615" i="41" s="1"/>
  <c r="E7616" i="41"/>
  <c r="F7616" i="41" s="1"/>
  <c r="E7617" i="41"/>
  <c r="F7617" i="41" s="1"/>
  <c r="E7618" i="41"/>
  <c r="F7618" i="41" s="1"/>
  <c r="E7619" i="41"/>
  <c r="F7619" i="41" s="1"/>
  <c r="E7620" i="41"/>
  <c r="F7620" i="41" s="1"/>
  <c r="E7621" i="41"/>
  <c r="F7621" i="41" s="1"/>
  <c r="E7622" i="41"/>
  <c r="F7622" i="41" s="1"/>
  <c r="E7623" i="41"/>
  <c r="F7623" i="41" s="1"/>
  <c r="E7624" i="41"/>
  <c r="F7624" i="41" s="1"/>
  <c r="E7625" i="41"/>
  <c r="F7625" i="41" s="1"/>
  <c r="E7626" i="41"/>
  <c r="F7626" i="41" s="1"/>
  <c r="E7627" i="41"/>
  <c r="F7627" i="41" s="1"/>
  <c r="E7628" i="41"/>
  <c r="F7628" i="41" s="1"/>
  <c r="E7629" i="41"/>
  <c r="F7629" i="41" s="1"/>
  <c r="E7630" i="41"/>
  <c r="F7630" i="41" s="1"/>
  <c r="E7631" i="41"/>
  <c r="F7631" i="41" s="1"/>
  <c r="E7632" i="41"/>
  <c r="F7632" i="41" s="1"/>
  <c r="E7633" i="41"/>
  <c r="F7633" i="41" s="1"/>
  <c r="E7634" i="41"/>
  <c r="F7634" i="41" s="1"/>
  <c r="E7635" i="41"/>
  <c r="F7635" i="41" s="1"/>
  <c r="E7636" i="41"/>
  <c r="F7636" i="41" s="1"/>
  <c r="E7637" i="41"/>
  <c r="F7637" i="41" s="1"/>
  <c r="E7638" i="41"/>
  <c r="F7638" i="41" s="1"/>
  <c r="E7639" i="41"/>
  <c r="F7639" i="41" s="1"/>
  <c r="E7640" i="41"/>
  <c r="F7640" i="41" s="1"/>
  <c r="E7641" i="41"/>
  <c r="F7641" i="41" s="1"/>
  <c r="E7642" i="41"/>
  <c r="F7642" i="41" s="1"/>
  <c r="E7643" i="41"/>
  <c r="F7643" i="41" s="1"/>
  <c r="E7644" i="41"/>
  <c r="F7644" i="41" s="1"/>
  <c r="E7645" i="41"/>
  <c r="F7645" i="41" s="1"/>
  <c r="E7646" i="41"/>
  <c r="F7646" i="41" s="1"/>
  <c r="E7647" i="41"/>
  <c r="F7647" i="41" s="1"/>
  <c r="E7648" i="41"/>
  <c r="F7648" i="41" s="1"/>
  <c r="E7649" i="41"/>
  <c r="F7649" i="41" s="1"/>
  <c r="E7650" i="41"/>
  <c r="F7650" i="41" s="1"/>
  <c r="E7651" i="41"/>
  <c r="F7651" i="41" s="1"/>
  <c r="E7652" i="41"/>
  <c r="F7652" i="41" s="1"/>
  <c r="E7653" i="41"/>
  <c r="F7653" i="41" s="1"/>
  <c r="E7654" i="41"/>
  <c r="F7654" i="41" s="1"/>
  <c r="E7655" i="41"/>
  <c r="F7655" i="41" s="1"/>
  <c r="E7656" i="41"/>
  <c r="F7656" i="41" s="1"/>
  <c r="E7657" i="41"/>
  <c r="F7657" i="41" s="1"/>
  <c r="E7658" i="41"/>
  <c r="F7658" i="41" s="1"/>
  <c r="E7659" i="41"/>
  <c r="F7659" i="41" s="1"/>
  <c r="E7660" i="41"/>
  <c r="F7660" i="41" s="1"/>
  <c r="E7661" i="41"/>
  <c r="F7661" i="41" s="1"/>
  <c r="E7662" i="41"/>
  <c r="F7662" i="41" s="1"/>
  <c r="E7663" i="41"/>
  <c r="F7663" i="41" s="1"/>
  <c r="E7664" i="41"/>
  <c r="F7664" i="41" s="1"/>
  <c r="E7665" i="41"/>
  <c r="F7665" i="41" s="1"/>
  <c r="E7666" i="41"/>
  <c r="F7666" i="41" s="1"/>
  <c r="E7667" i="41"/>
  <c r="F7667" i="41" s="1"/>
  <c r="E7668" i="41"/>
  <c r="F7668" i="41" s="1"/>
  <c r="E7669" i="41"/>
  <c r="F7669" i="41" s="1"/>
  <c r="E7670" i="41"/>
  <c r="F7670" i="41" s="1"/>
  <c r="E7671" i="41"/>
  <c r="F7671" i="41" s="1"/>
  <c r="E7672" i="41"/>
  <c r="F7672" i="41" s="1"/>
  <c r="E7673" i="41"/>
  <c r="F7673" i="41" s="1"/>
  <c r="E7674" i="41"/>
  <c r="F7674" i="41" s="1"/>
  <c r="E7675" i="41"/>
  <c r="F7675" i="41" s="1"/>
  <c r="E7676" i="41"/>
  <c r="F7676" i="41" s="1"/>
  <c r="E7677" i="41"/>
  <c r="F7677" i="41" s="1"/>
  <c r="E7678" i="41"/>
  <c r="F7678" i="41" s="1"/>
  <c r="E7679" i="41"/>
  <c r="F7679" i="41" s="1"/>
  <c r="E7680" i="41"/>
  <c r="F7680" i="41" s="1"/>
  <c r="E7681" i="41"/>
  <c r="F7681" i="41" s="1"/>
  <c r="E7682" i="41"/>
  <c r="F7682" i="41" s="1"/>
  <c r="E7683" i="41"/>
  <c r="F7683" i="41" s="1"/>
  <c r="E7684" i="41"/>
  <c r="F7684" i="41" s="1"/>
  <c r="E7685" i="41"/>
  <c r="F7685" i="41" s="1"/>
  <c r="E7686" i="41"/>
  <c r="F7686" i="41" s="1"/>
  <c r="E7687" i="41"/>
  <c r="F7687" i="41" s="1"/>
  <c r="E7688" i="41"/>
  <c r="F7688" i="41" s="1"/>
  <c r="E7689" i="41"/>
  <c r="F7689" i="41" s="1"/>
  <c r="E7690" i="41"/>
  <c r="F7690" i="41" s="1"/>
  <c r="E7691" i="41"/>
  <c r="F7691" i="41" s="1"/>
  <c r="E7692" i="41"/>
  <c r="F7692" i="41" s="1"/>
  <c r="E7693" i="41"/>
  <c r="F7693" i="41" s="1"/>
  <c r="E7694" i="41"/>
  <c r="F7694" i="41" s="1"/>
  <c r="E7695" i="41"/>
  <c r="F7695" i="41" s="1"/>
  <c r="E7696" i="41"/>
  <c r="F7696" i="41" s="1"/>
  <c r="E7697" i="41"/>
  <c r="F7697" i="41" s="1"/>
  <c r="E7698" i="41"/>
  <c r="F7698" i="41" s="1"/>
  <c r="E7699" i="41"/>
  <c r="F7699" i="41" s="1"/>
  <c r="E7700" i="41"/>
  <c r="F7700" i="41" s="1"/>
  <c r="E7701" i="41"/>
  <c r="F7701" i="41" s="1"/>
  <c r="E7702" i="41"/>
  <c r="F7702" i="41" s="1"/>
  <c r="E7703" i="41"/>
  <c r="F7703" i="41" s="1"/>
  <c r="E7704" i="41"/>
  <c r="F7704" i="41" s="1"/>
  <c r="E7705" i="41"/>
  <c r="F7705" i="41" s="1"/>
  <c r="E7706" i="41"/>
  <c r="F7706" i="41" s="1"/>
  <c r="E7707" i="41"/>
  <c r="F7707" i="41" s="1"/>
  <c r="E7708" i="41"/>
  <c r="F7708" i="41" s="1"/>
  <c r="E7709" i="41"/>
  <c r="F7709" i="41" s="1"/>
  <c r="E7710" i="41"/>
  <c r="F7710" i="41" s="1"/>
  <c r="E7579" i="41"/>
  <c r="F7579" i="41" s="1"/>
  <c r="E7514" i="41"/>
  <c r="F7514" i="41" s="1"/>
  <c r="E7450" i="41"/>
  <c r="F7450" i="41" s="1"/>
  <c r="E7386" i="41"/>
  <c r="F7386" i="41" s="1"/>
  <c r="E7322" i="41"/>
  <c r="F7322" i="41" s="1"/>
  <c r="E7258" i="41"/>
  <c r="F7258" i="41" s="1"/>
  <c r="E7194" i="41"/>
  <c r="F7194" i="41" s="1"/>
  <c r="E7130" i="41"/>
  <c r="F7130" i="41" s="1"/>
  <c r="E7506" i="41"/>
  <c r="F7506" i="41" s="1"/>
  <c r="E7442" i="41"/>
  <c r="F7442" i="41" s="1"/>
  <c r="E7378" i="41"/>
  <c r="F7378" i="41" s="1"/>
  <c r="E7314" i="41"/>
  <c r="F7314" i="41" s="1"/>
  <c r="E7250" i="41"/>
  <c r="F7250" i="41" s="1"/>
  <c r="E7186" i="41"/>
  <c r="F7186" i="41" s="1"/>
  <c r="E7122" i="41"/>
  <c r="F7122" i="41" s="1"/>
  <c r="E7715" i="41"/>
  <c r="F7715" i="41" s="1"/>
  <c r="E7716" i="41"/>
  <c r="F7716" i="41" s="1"/>
  <c r="E7518" i="41"/>
  <c r="F7518" i="41" s="1"/>
  <c r="E7486" i="41"/>
  <c r="F7486" i="41" s="1"/>
  <c r="E7454" i="41"/>
  <c r="F7454" i="41" s="1"/>
  <c r="E7422" i="41"/>
  <c r="F7422" i="41" s="1"/>
  <c r="E7390" i="41"/>
  <c r="F7390" i="41" s="1"/>
  <c r="E7358" i="41"/>
  <c r="F7358" i="41" s="1"/>
  <c r="E7326" i="41"/>
  <c r="F7326" i="41" s="1"/>
  <c r="E7294" i="41"/>
  <c r="F7294" i="41" s="1"/>
  <c r="E7262" i="41"/>
  <c r="F7262" i="41" s="1"/>
  <c r="E7230" i="41"/>
  <c r="F7230" i="41" s="1"/>
  <c r="E7198" i="41"/>
  <c r="F7198" i="41" s="1"/>
  <c r="E7166" i="41"/>
  <c r="F7166" i="41" s="1"/>
  <c r="E7134" i="41"/>
  <c r="F7134" i="41" s="1"/>
  <c r="E7713" i="41"/>
  <c r="F7713" i="41" s="1"/>
  <c r="E7527" i="41"/>
  <c r="F7527" i="41" s="1"/>
  <c r="E7511" i="41"/>
  <c r="F7511" i="41" s="1"/>
  <c r="E7495" i="41"/>
  <c r="F7495" i="41" s="1"/>
  <c r="E7479" i="41"/>
  <c r="F7479" i="41" s="1"/>
  <c r="E7463" i="41"/>
  <c r="F7463" i="41" s="1"/>
  <c r="E7447" i="41"/>
  <c r="F7447" i="41" s="1"/>
  <c r="E7431" i="41"/>
  <c r="F7431" i="41" s="1"/>
  <c r="E7415" i="41"/>
  <c r="F7415" i="41" s="1"/>
  <c r="E7399" i="41"/>
  <c r="F7399" i="41" s="1"/>
  <c r="E7383" i="41"/>
  <c r="F7383" i="41" s="1"/>
  <c r="E7367" i="41"/>
  <c r="F7367" i="41" s="1"/>
  <c r="E7351" i="41"/>
  <c r="F7351" i="41" s="1"/>
  <c r="E7335" i="41"/>
  <c r="F7335" i="41" s="1"/>
  <c r="E7319" i="41"/>
  <c r="F7319" i="41" s="1"/>
  <c r="E7303" i="41"/>
  <c r="F7303" i="41" s="1"/>
  <c r="E7287" i="41"/>
  <c r="F7287" i="41" s="1"/>
  <c r="E7271" i="41"/>
  <c r="F7271" i="41" s="1"/>
  <c r="E7255" i="41"/>
  <c r="F7255" i="41" s="1"/>
  <c r="E7239" i="41"/>
  <c r="F7239" i="41" s="1"/>
  <c r="E7223" i="41"/>
  <c r="F7223" i="41" s="1"/>
  <c r="E7207" i="41"/>
  <c r="F7207" i="41" s="1"/>
  <c r="E7191" i="41"/>
  <c r="F7191" i="41" s="1"/>
  <c r="E7175" i="41"/>
  <c r="F7175" i="41" s="1"/>
  <c r="E7159" i="41"/>
  <c r="F7159" i="41" s="1"/>
  <c r="E7143" i="41"/>
  <c r="F7143" i="41" s="1"/>
  <c r="E7127" i="41"/>
  <c r="F7127" i="41" s="1"/>
  <c r="E7532" i="41"/>
  <c r="F7532" i="41" s="1"/>
  <c r="E7516" i="41"/>
  <c r="F7516" i="41" s="1"/>
  <c r="E7500" i="41"/>
  <c r="F7500" i="41" s="1"/>
  <c r="E7484" i="41"/>
  <c r="F7484" i="41" s="1"/>
  <c r="E7468" i="41"/>
  <c r="F7468" i="41" s="1"/>
  <c r="E7452" i="41"/>
  <c r="F7452" i="41" s="1"/>
  <c r="E7436" i="41"/>
  <c r="F7436" i="41" s="1"/>
  <c r="E7420" i="41"/>
  <c r="F7420" i="41" s="1"/>
  <c r="E7404" i="41"/>
  <c r="F7404" i="41" s="1"/>
  <c r="E7388" i="41"/>
  <c r="F7388" i="41" s="1"/>
  <c r="E7372" i="41"/>
  <c r="F7372" i="41" s="1"/>
  <c r="E7356" i="41"/>
  <c r="F7356" i="41" s="1"/>
  <c r="E7340" i="41"/>
  <c r="F7340" i="41" s="1"/>
  <c r="E7324" i="41"/>
  <c r="F7324" i="41" s="1"/>
  <c r="E7308" i="41"/>
  <c r="F7308" i="41" s="1"/>
  <c r="E7292" i="41"/>
  <c r="F7292" i="41" s="1"/>
  <c r="E7276" i="41"/>
  <c r="F7276" i="41" s="1"/>
  <c r="E7260" i="41"/>
  <c r="F7260" i="41" s="1"/>
  <c r="E7244" i="41"/>
  <c r="F7244" i="41" s="1"/>
  <c r="E7228" i="41"/>
  <c r="F7228" i="41" s="1"/>
  <c r="E7212" i="41"/>
  <c r="F7212" i="41" s="1"/>
  <c r="E7196" i="41"/>
  <c r="F7196" i="41" s="1"/>
  <c r="E7180" i="41"/>
  <c r="F7180" i="41" s="1"/>
  <c r="E7164" i="41"/>
  <c r="F7164" i="41" s="1"/>
  <c r="E7148" i="41"/>
  <c r="F7148" i="41" s="1"/>
  <c r="E7132" i="41"/>
  <c r="F7132" i="41" s="1"/>
  <c r="E7576" i="41"/>
  <c r="F7576" i="41" s="1"/>
  <c r="E7572" i="41"/>
  <c r="F7572" i="41" s="1"/>
  <c r="E7568" i="41"/>
  <c r="F7568" i="41" s="1"/>
  <c r="E7564" i="41"/>
  <c r="F7564" i="41" s="1"/>
  <c r="E7560" i="41"/>
  <c r="F7560" i="41" s="1"/>
  <c r="E7556" i="41"/>
  <c r="F7556" i="41" s="1"/>
  <c r="E7552" i="41"/>
  <c r="F7552" i="41" s="1"/>
  <c r="E7548" i="41"/>
  <c r="F7548" i="41" s="1"/>
  <c r="E7544" i="41"/>
  <c r="F7544" i="41" s="1"/>
  <c r="E7540" i="41"/>
  <c r="F7540" i="41" s="1"/>
  <c r="E7533" i="41"/>
  <c r="F7533" i="41" s="1"/>
  <c r="E7517" i="41"/>
  <c r="F7517" i="41" s="1"/>
  <c r="E7501" i="41"/>
  <c r="F7501" i="41" s="1"/>
  <c r="E7485" i="41"/>
  <c r="F7485" i="41" s="1"/>
  <c r="E7469" i="41"/>
  <c r="F7469" i="41" s="1"/>
  <c r="E7453" i="41"/>
  <c r="F7453" i="41" s="1"/>
  <c r="E7437" i="41"/>
  <c r="F7437" i="41" s="1"/>
  <c r="E7421" i="41"/>
  <c r="F7421" i="41" s="1"/>
  <c r="E7405" i="41"/>
  <c r="F7405" i="41" s="1"/>
  <c r="E7389" i="41"/>
  <c r="F7389" i="41" s="1"/>
  <c r="E7373" i="41"/>
  <c r="F7373" i="41" s="1"/>
  <c r="E7357" i="41"/>
  <c r="F7357" i="41" s="1"/>
  <c r="E7341" i="41"/>
  <c r="F7341" i="41" s="1"/>
  <c r="E7325" i="41"/>
  <c r="F7325" i="41" s="1"/>
  <c r="E7309" i="41"/>
  <c r="F7309" i="41" s="1"/>
  <c r="E7293" i="41"/>
  <c r="F7293" i="41" s="1"/>
  <c r="E7277" i="41"/>
  <c r="F7277" i="41" s="1"/>
  <c r="E7261" i="41"/>
  <c r="F7261" i="41" s="1"/>
  <c r="E7245" i="41"/>
  <c r="F7245" i="41" s="1"/>
  <c r="E7229" i="41"/>
  <c r="F7229" i="41" s="1"/>
  <c r="E7213" i="41"/>
  <c r="F7213" i="41" s="1"/>
  <c r="E7197" i="41"/>
  <c r="F7197" i="41" s="1"/>
  <c r="E7181" i="41"/>
  <c r="F7181" i="41" s="1"/>
  <c r="E7165" i="41"/>
  <c r="F7165" i="41" s="1"/>
  <c r="E7149" i="41"/>
  <c r="F7149" i="41" s="1"/>
  <c r="E7133" i="41"/>
  <c r="F7133" i="41" s="1"/>
  <c r="E6063" i="41"/>
  <c r="F6063" i="41" s="1"/>
  <c r="E6059" i="41"/>
  <c r="F6059" i="41" s="1"/>
  <c r="E6055" i="41"/>
  <c r="F6055" i="41" s="1"/>
  <c r="E6051" i="41"/>
  <c r="F6051" i="41" s="1"/>
  <c r="E6047" i="41"/>
  <c r="F6047" i="41" s="1"/>
  <c r="E6043" i="41"/>
  <c r="F6043" i="41" s="1"/>
  <c r="E6039" i="41"/>
  <c r="F6039" i="41" s="1"/>
  <c r="E6035" i="41"/>
  <c r="F6035" i="41" s="1"/>
  <c r="E6031" i="41"/>
  <c r="F6031" i="41" s="1"/>
  <c r="E6027" i="41"/>
  <c r="F6027" i="41" s="1"/>
  <c r="E6023" i="41"/>
  <c r="F6023" i="41" s="1"/>
  <c r="E6017" i="41"/>
  <c r="F6017" i="41" s="1"/>
  <c r="E6009" i="41"/>
  <c r="F6009" i="41" s="1"/>
  <c r="E6001" i="41"/>
  <c r="F6001" i="41" s="1"/>
  <c r="E5993" i="41"/>
  <c r="F5993" i="41" s="1"/>
  <c r="E5985" i="41"/>
  <c r="F5985" i="41" s="1"/>
  <c r="E5977" i="41"/>
  <c r="F5977" i="41" s="1"/>
  <c r="E5969" i="41"/>
  <c r="F5969" i="41" s="1"/>
  <c r="E5961" i="41"/>
  <c r="F5961" i="41" s="1"/>
  <c r="E5953" i="41"/>
  <c r="F5953" i="41" s="1"/>
  <c r="E5945" i="41"/>
  <c r="F5945" i="41" s="1"/>
  <c r="E5937" i="41"/>
  <c r="F5937" i="41" s="1"/>
  <c r="E5929" i="41"/>
  <c r="F5929" i="41" s="1"/>
  <c r="E5921" i="41"/>
  <c r="F5921" i="41" s="1"/>
  <c r="E5913" i="41"/>
  <c r="F5913" i="41" s="1"/>
  <c r="E5905" i="41"/>
  <c r="F5905" i="41" s="1"/>
  <c r="E5897" i="41"/>
  <c r="F5897" i="41" s="1"/>
  <c r="E5889" i="41"/>
  <c r="F5889" i="41" s="1"/>
  <c r="E5881" i="41"/>
  <c r="F5881" i="41" s="1"/>
  <c r="E5873" i="41"/>
  <c r="F5873" i="41" s="1"/>
  <c r="E5865" i="41"/>
  <c r="F5865" i="41" s="1"/>
  <c r="E5857" i="41"/>
  <c r="F5857" i="41" s="1"/>
  <c r="E5849" i="41"/>
  <c r="F5849" i="41" s="1"/>
  <c r="E5841" i="41"/>
  <c r="F5841" i="41" s="1"/>
  <c r="E5833" i="41"/>
  <c r="F5833" i="41" s="1"/>
  <c r="E5825" i="41"/>
  <c r="F5825" i="41" s="1"/>
  <c r="E5817" i="41"/>
  <c r="F5817" i="41" s="1"/>
  <c r="E5809" i="41"/>
  <c r="F5809" i="41" s="1"/>
  <c r="E5801" i="41"/>
  <c r="F5801" i="41" s="1"/>
  <c r="E5793" i="41"/>
  <c r="F5793" i="41" s="1"/>
  <c r="E6020" i="41"/>
  <c r="F6020" i="41" s="1"/>
  <c r="E6012" i="41"/>
  <c r="F6012" i="41" s="1"/>
  <c r="E6004" i="41"/>
  <c r="F6004" i="41" s="1"/>
  <c r="E5996" i="41"/>
  <c r="F5996" i="41" s="1"/>
  <c r="E5988" i="41"/>
  <c r="F5988" i="41" s="1"/>
  <c r="E5980" i="41"/>
  <c r="F5980" i="41" s="1"/>
  <c r="E5972" i="41"/>
  <c r="F5972" i="41" s="1"/>
  <c r="E5964" i="41"/>
  <c r="F5964" i="41" s="1"/>
  <c r="E5956" i="41"/>
  <c r="F5956" i="41" s="1"/>
  <c r="E5948" i="41"/>
  <c r="F5948" i="41" s="1"/>
  <c r="E5940" i="41"/>
  <c r="F5940" i="41" s="1"/>
  <c r="E5932" i="41"/>
  <c r="F5932" i="41" s="1"/>
  <c r="E5924" i="41"/>
  <c r="F5924" i="41" s="1"/>
  <c r="E5916" i="41"/>
  <c r="F5916" i="41" s="1"/>
  <c r="E5908" i="41"/>
  <c r="F5908" i="41" s="1"/>
  <c r="E5900" i="41"/>
  <c r="F5900" i="41" s="1"/>
  <c r="E5892" i="41"/>
  <c r="F5892" i="41" s="1"/>
  <c r="E5884" i="41"/>
  <c r="F5884" i="41" s="1"/>
  <c r="E5876" i="41"/>
  <c r="F5876" i="41" s="1"/>
  <c r="E5868" i="41"/>
  <c r="F5868" i="41" s="1"/>
  <c r="E5860" i="41"/>
  <c r="F5860" i="41" s="1"/>
  <c r="E5852" i="41"/>
  <c r="F5852" i="41" s="1"/>
  <c r="E5844" i="41"/>
  <c r="F5844" i="41" s="1"/>
  <c r="E5836" i="41"/>
  <c r="F5836" i="41" s="1"/>
  <c r="E5828" i="41"/>
  <c r="F5828" i="41" s="1"/>
  <c r="E5820" i="41"/>
  <c r="F5820" i="41" s="1"/>
  <c r="E5812" i="41"/>
  <c r="F5812" i="41" s="1"/>
  <c r="E5804" i="41"/>
  <c r="F5804" i="41" s="1"/>
  <c r="E5796" i="41"/>
  <c r="F5796" i="41" s="1"/>
  <c r="E5788" i="41"/>
  <c r="F5788" i="41" s="1"/>
  <c r="E5258" i="41"/>
  <c r="F5258" i="41" s="1"/>
  <c r="E5257" i="41"/>
  <c r="F5257" i="41" s="1"/>
  <c r="E5175" i="41"/>
  <c r="F5175" i="41" s="1"/>
  <c r="E5167" i="41"/>
  <c r="F5167" i="41" s="1"/>
  <c r="E4959" i="41"/>
  <c r="F4959" i="41" s="1"/>
  <c r="E4943" i="41"/>
  <c r="F4943" i="41" s="1"/>
  <c r="E4927" i="41"/>
  <c r="F4927" i="41" s="1"/>
  <c r="E4911" i="41"/>
  <c r="F4911" i="41" s="1"/>
  <c r="E4895" i="41"/>
  <c r="F4895" i="41" s="1"/>
  <c r="E4879" i="41"/>
  <c r="F4879" i="41" s="1"/>
  <c r="E4863" i="41"/>
  <c r="F4863" i="41" s="1"/>
  <c r="E4953" i="41"/>
  <c r="F4953" i="41" s="1"/>
  <c r="E4937" i="41"/>
  <c r="F4937" i="41" s="1"/>
  <c r="E4921" i="41"/>
  <c r="F4921" i="41" s="1"/>
  <c r="E4905" i="41"/>
  <c r="F4905" i="41" s="1"/>
  <c r="E4889" i="41"/>
  <c r="F4889" i="41" s="1"/>
  <c r="E4873" i="41"/>
  <c r="F4873" i="41" s="1"/>
  <c r="E4982" i="41"/>
  <c r="F4982" i="41" s="1"/>
  <c r="E4978" i="41"/>
  <c r="F4978" i="41" s="1"/>
  <c r="E4974" i="41"/>
  <c r="F4974" i="41" s="1"/>
  <c r="E4970" i="41"/>
  <c r="F4970" i="41" s="1"/>
  <c r="E4966" i="41"/>
  <c r="F4966" i="41" s="1"/>
  <c r="E4962" i="41"/>
  <c r="F4962" i="41" s="1"/>
  <c r="E4954" i="41"/>
  <c r="F4954" i="41" s="1"/>
  <c r="E4946" i="41"/>
  <c r="F4946" i="41" s="1"/>
  <c r="E4938" i="41"/>
  <c r="F4938" i="41" s="1"/>
  <c r="E4930" i="41"/>
  <c r="F4930" i="41" s="1"/>
  <c r="E4922" i="41"/>
  <c r="F4922" i="41" s="1"/>
  <c r="E4914" i="41"/>
  <c r="F4914" i="41" s="1"/>
  <c r="E4906" i="41"/>
  <c r="F4906" i="41" s="1"/>
  <c r="E4898" i="41"/>
  <c r="F4898" i="41" s="1"/>
  <c r="E4890" i="41"/>
  <c r="F4890" i="41" s="1"/>
  <c r="E4882" i="41"/>
  <c r="F4882" i="41" s="1"/>
  <c r="E4874" i="41"/>
  <c r="F4874" i="41" s="1"/>
  <c r="E4866" i="41"/>
  <c r="F4866" i="41" s="1"/>
  <c r="E7466" i="41"/>
  <c r="F7466" i="41" s="1"/>
  <c r="E7274" i="41"/>
  <c r="F7274" i="41" s="1"/>
  <c r="E7146" i="41"/>
  <c r="F7146" i="41" s="1"/>
  <c r="E7458" i="41"/>
  <c r="F7458" i="41" s="1"/>
  <c r="E7330" i="41"/>
  <c r="F7330" i="41" s="1"/>
  <c r="E7202" i="41"/>
  <c r="F7202" i="41" s="1"/>
  <c r="E7526" i="41"/>
  <c r="F7526" i="41" s="1"/>
  <c r="E7430" i="41"/>
  <c r="F7430" i="41" s="1"/>
  <c r="E7334" i="41"/>
  <c r="F7334" i="41" s="1"/>
  <c r="E7238" i="41"/>
  <c r="F7238" i="41" s="1"/>
  <c r="E7174" i="41"/>
  <c r="F7174" i="41" s="1"/>
  <c r="E7515" i="41"/>
  <c r="F7515" i="41" s="1"/>
  <c r="E7467" i="41"/>
  <c r="F7467" i="41" s="1"/>
  <c r="E7435" i="41"/>
  <c r="F7435" i="41" s="1"/>
  <c r="E7387" i="41"/>
  <c r="F7387" i="41" s="1"/>
  <c r="E7339" i="41"/>
  <c r="F7339" i="41" s="1"/>
  <c r="E7291" i="41"/>
  <c r="F7291" i="41" s="1"/>
  <c r="E7243" i="41"/>
  <c r="F7243" i="41" s="1"/>
  <c r="E7211" i="41"/>
  <c r="F7211" i="41" s="1"/>
  <c r="E7163" i="41"/>
  <c r="F7163" i="41" s="1"/>
  <c r="E7536" i="41"/>
  <c r="F7536" i="41" s="1"/>
  <c r="E7520" i="41"/>
  <c r="F7520" i="41" s="1"/>
  <c r="E7472" i="41"/>
  <c r="F7472" i="41" s="1"/>
  <c r="E7424" i="41"/>
  <c r="F7424" i="41" s="1"/>
  <c r="E7376" i="41"/>
  <c r="F7376" i="41" s="1"/>
  <c r="E7328" i="41"/>
  <c r="F7328" i="41" s="1"/>
  <c r="E7280" i="41"/>
  <c r="F7280" i="41" s="1"/>
  <c r="E7248" i="41"/>
  <c r="F7248" i="41" s="1"/>
  <c r="E7200" i="41"/>
  <c r="F7200" i="41" s="1"/>
  <c r="E7152" i="41"/>
  <c r="F7152" i="41" s="1"/>
  <c r="E7573" i="41"/>
  <c r="F7573" i="41" s="1"/>
  <c r="E7565" i="41"/>
  <c r="F7565" i="41" s="1"/>
  <c r="E7553" i="41"/>
  <c r="F7553" i="41" s="1"/>
  <c r="E7541" i="41"/>
  <c r="F7541" i="41" s="1"/>
  <c r="E7489" i="41"/>
  <c r="F7489" i="41" s="1"/>
  <c r="E7473" i="41"/>
  <c r="F7473" i="41" s="1"/>
  <c r="E7409" i="41"/>
  <c r="F7409" i="41" s="1"/>
  <c r="E7361" i="41"/>
  <c r="F7361" i="41" s="1"/>
  <c r="E7313" i="41"/>
  <c r="F7313" i="41" s="1"/>
  <c r="E7265" i="41"/>
  <c r="F7265" i="41" s="1"/>
  <c r="E7233" i="41"/>
  <c r="F7233" i="41" s="1"/>
  <c r="E7185" i="41"/>
  <c r="F7185" i="41" s="1"/>
  <c r="E7137" i="41"/>
  <c r="F7137" i="41" s="1"/>
  <c r="E6056" i="41"/>
  <c r="F6056" i="41" s="1"/>
  <c r="E6044" i="41"/>
  <c r="F6044" i="41" s="1"/>
  <c r="E6032" i="41"/>
  <c r="F6032" i="41" s="1"/>
  <c r="E6019" i="41"/>
  <c r="F6019" i="41" s="1"/>
  <c r="E5995" i="41"/>
  <c r="F5995" i="41" s="1"/>
  <c r="E5971" i="41"/>
  <c r="F5971" i="41" s="1"/>
  <c r="E5955" i="41"/>
  <c r="F5955" i="41" s="1"/>
  <c r="E5931" i="41"/>
  <c r="F5931" i="41" s="1"/>
  <c r="E5915" i="41"/>
  <c r="F5915" i="41" s="1"/>
  <c r="E5875" i="41"/>
  <c r="F5875" i="41" s="1"/>
  <c r="E5859" i="41"/>
  <c r="F5859" i="41" s="1"/>
  <c r="E5827" i="41"/>
  <c r="F5827" i="41" s="1"/>
  <c r="E5819" i="41"/>
  <c r="F5819" i="41" s="1"/>
  <c r="E5795" i="41"/>
  <c r="F5795" i="41" s="1"/>
  <c r="E6006" i="41"/>
  <c r="F6006" i="41" s="1"/>
  <c r="E5982" i="41"/>
  <c r="F5982" i="41" s="1"/>
  <c r="E5958" i="41"/>
  <c r="F5958" i="41" s="1"/>
  <c r="E5950" i="41"/>
  <c r="F5950" i="41" s="1"/>
  <c r="E5926" i="41"/>
  <c r="F5926" i="41" s="1"/>
  <c r="E5902" i="41"/>
  <c r="F5902" i="41" s="1"/>
  <c r="E5870" i="41"/>
  <c r="F5870" i="41" s="1"/>
  <c r="E5846" i="41"/>
  <c r="F5846" i="41" s="1"/>
  <c r="E5822" i="41"/>
  <c r="F5822" i="41" s="1"/>
  <c r="E5798" i="41"/>
  <c r="F5798" i="41" s="1"/>
  <c r="E5259" i="41"/>
  <c r="F5259" i="41" s="1"/>
  <c r="E5169" i="41"/>
  <c r="F5169" i="41" s="1"/>
  <c r="E4931" i="41"/>
  <c r="F4931" i="41" s="1"/>
  <c r="E4883" i="41"/>
  <c r="F4883" i="41" s="1"/>
  <c r="E4941" i="41"/>
  <c r="F4941" i="41" s="1"/>
  <c r="E4909" i="41"/>
  <c r="F4909" i="41" s="1"/>
  <c r="E4861" i="41"/>
  <c r="F4861" i="41" s="1"/>
  <c r="E4975" i="41"/>
  <c r="F4975" i="41" s="1"/>
  <c r="E4956" i="41"/>
  <c r="F4956" i="41" s="1"/>
  <c r="E4932" i="41"/>
  <c r="F4932" i="41" s="1"/>
  <c r="E4908" i="41"/>
  <c r="F4908" i="41" s="1"/>
  <c r="E4884" i="41"/>
  <c r="F4884" i="41" s="1"/>
  <c r="E4860" i="41"/>
  <c r="F4860" i="41" s="1"/>
  <c r="E7498" i="41"/>
  <c r="F7498" i="41" s="1"/>
  <c r="E7434" i="41"/>
  <c r="F7434" i="41" s="1"/>
  <c r="E7370" i="41"/>
  <c r="F7370" i="41" s="1"/>
  <c r="E7306" i="41"/>
  <c r="F7306" i="41" s="1"/>
  <c r="E7242" i="41"/>
  <c r="F7242" i="41" s="1"/>
  <c r="E7178" i="41"/>
  <c r="F7178" i="41" s="1"/>
  <c r="E7490" i="41"/>
  <c r="F7490" i="41" s="1"/>
  <c r="E7426" i="41"/>
  <c r="F7426" i="41" s="1"/>
  <c r="E7362" i="41"/>
  <c r="F7362" i="41" s="1"/>
  <c r="E7298" i="41"/>
  <c r="F7298" i="41" s="1"/>
  <c r="E7234" i="41"/>
  <c r="F7234" i="41" s="1"/>
  <c r="E7170" i="41"/>
  <c r="F7170" i="41" s="1"/>
  <c r="E7711" i="41"/>
  <c r="F7711" i="41" s="1"/>
  <c r="E7712" i="41"/>
  <c r="F7712" i="41" s="1"/>
  <c r="E7510" i="41"/>
  <c r="F7510" i="41" s="1"/>
  <c r="E7478" i="41"/>
  <c r="F7478" i="41" s="1"/>
  <c r="E7446" i="41"/>
  <c r="F7446" i="41" s="1"/>
  <c r="E7414" i="41"/>
  <c r="F7414" i="41" s="1"/>
  <c r="E7382" i="41"/>
  <c r="F7382" i="41" s="1"/>
  <c r="E7350" i="41"/>
  <c r="F7350" i="41" s="1"/>
  <c r="E7318" i="41"/>
  <c r="F7318" i="41" s="1"/>
  <c r="E7286" i="41"/>
  <c r="F7286" i="41" s="1"/>
  <c r="E7254" i="41"/>
  <c r="F7254" i="41" s="1"/>
  <c r="E7222" i="41"/>
  <c r="F7222" i="41" s="1"/>
  <c r="E7190" i="41"/>
  <c r="F7190" i="41" s="1"/>
  <c r="E7158" i="41"/>
  <c r="F7158" i="41" s="1"/>
  <c r="E7126" i="41"/>
  <c r="F7126" i="41" s="1"/>
  <c r="E7578" i="41"/>
  <c r="F7578" i="41" s="1"/>
  <c r="E7523" i="41"/>
  <c r="F7523" i="41" s="1"/>
  <c r="E7507" i="41"/>
  <c r="F7507" i="41" s="1"/>
  <c r="E7491" i="41"/>
  <c r="F7491" i="41" s="1"/>
  <c r="E7475" i="41"/>
  <c r="F7475" i="41" s="1"/>
  <c r="E7459" i="41"/>
  <c r="F7459" i="41" s="1"/>
  <c r="E7443" i="41"/>
  <c r="F7443" i="41" s="1"/>
  <c r="E7427" i="41"/>
  <c r="F7427" i="41" s="1"/>
  <c r="E7411" i="41"/>
  <c r="F7411" i="41" s="1"/>
  <c r="E7395" i="41"/>
  <c r="F7395" i="41" s="1"/>
  <c r="E7379" i="41"/>
  <c r="F7379" i="41" s="1"/>
  <c r="E7363" i="41"/>
  <c r="F7363" i="41" s="1"/>
  <c r="E7347" i="41"/>
  <c r="F7347" i="41" s="1"/>
  <c r="E7331" i="41"/>
  <c r="F7331" i="41" s="1"/>
  <c r="E7315" i="41"/>
  <c r="F7315" i="41" s="1"/>
  <c r="E7299" i="41"/>
  <c r="F7299" i="41" s="1"/>
  <c r="E7283" i="41"/>
  <c r="F7283" i="41" s="1"/>
  <c r="E7267" i="41"/>
  <c r="F7267" i="41" s="1"/>
  <c r="E7251" i="41"/>
  <c r="F7251" i="41" s="1"/>
  <c r="E7235" i="41"/>
  <c r="F7235" i="41" s="1"/>
  <c r="E7219" i="41"/>
  <c r="F7219" i="41" s="1"/>
  <c r="E7203" i="41"/>
  <c r="F7203" i="41" s="1"/>
  <c r="E7187" i="41"/>
  <c r="F7187" i="41" s="1"/>
  <c r="E7171" i="41"/>
  <c r="F7171" i="41" s="1"/>
  <c r="E7155" i="41"/>
  <c r="F7155" i="41" s="1"/>
  <c r="E7139" i="41"/>
  <c r="F7139" i="41" s="1"/>
  <c r="E7123" i="41"/>
  <c r="F7123" i="41" s="1"/>
  <c r="E7528" i="41"/>
  <c r="F7528" i="41" s="1"/>
  <c r="E7512" i="41"/>
  <c r="F7512" i="41" s="1"/>
  <c r="E7496" i="41"/>
  <c r="F7496" i="41" s="1"/>
  <c r="E7480" i="41"/>
  <c r="F7480" i="41" s="1"/>
  <c r="E7464" i="41"/>
  <c r="F7464" i="41" s="1"/>
  <c r="E7448" i="41"/>
  <c r="F7448" i="41" s="1"/>
  <c r="E7432" i="41"/>
  <c r="F7432" i="41" s="1"/>
  <c r="E7416" i="41"/>
  <c r="F7416" i="41" s="1"/>
  <c r="E7400" i="41"/>
  <c r="F7400" i="41" s="1"/>
  <c r="E7384" i="41"/>
  <c r="F7384" i="41" s="1"/>
  <c r="E7368" i="41"/>
  <c r="F7368" i="41" s="1"/>
  <c r="E7352" i="41"/>
  <c r="F7352" i="41" s="1"/>
  <c r="E7336" i="41"/>
  <c r="F7336" i="41" s="1"/>
  <c r="E7320" i="41"/>
  <c r="F7320" i="41" s="1"/>
  <c r="E7304" i="41"/>
  <c r="F7304" i="41" s="1"/>
  <c r="E7288" i="41"/>
  <c r="F7288" i="41" s="1"/>
  <c r="E7272" i="41"/>
  <c r="F7272" i="41" s="1"/>
  <c r="E7256" i="41"/>
  <c r="F7256" i="41" s="1"/>
  <c r="E7240" i="41"/>
  <c r="F7240" i="41" s="1"/>
  <c r="E7224" i="41"/>
  <c r="F7224" i="41" s="1"/>
  <c r="E7208" i="41"/>
  <c r="F7208" i="41" s="1"/>
  <c r="E7192" i="41"/>
  <c r="F7192" i="41" s="1"/>
  <c r="E7176" i="41"/>
  <c r="F7176" i="41" s="1"/>
  <c r="E7160" i="41"/>
  <c r="F7160" i="41" s="1"/>
  <c r="E7144" i="41"/>
  <c r="F7144" i="41" s="1"/>
  <c r="E7128" i="41"/>
  <c r="F7128" i="41" s="1"/>
  <c r="E7575" i="41"/>
  <c r="F7575" i="41" s="1"/>
  <c r="E7571" i="41"/>
  <c r="F7571" i="41" s="1"/>
  <c r="E7567" i="41"/>
  <c r="F7567" i="41" s="1"/>
  <c r="E7563" i="41"/>
  <c r="F7563" i="41" s="1"/>
  <c r="E7559" i="41"/>
  <c r="F7559" i="41" s="1"/>
  <c r="E7555" i="41"/>
  <c r="F7555" i="41" s="1"/>
  <c r="E7551" i="41"/>
  <c r="F7551" i="41" s="1"/>
  <c r="E7547" i="41"/>
  <c r="F7547" i="41" s="1"/>
  <c r="E7543" i="41"/>
  <c r="F7543" i="41" s="1"/>
  <c r="E7539" i="41"/>
  <c r="F7539" i="41" s="1"/>
  <c r="E7529" i="41"/>
  <c r="F7529" i="41" s="1"/>
  <c r="E7513" i="41"/>
  <c r="F7513" i="41" s="1"/>
  <c r="E7497" i="41"/>
  <c r="F7497" i="41" s="1"/>
  <c r="E7481" i="41"/>
  <c r="F7481" i="41" s="1"/>
  <c r="E7465" i="41"/>
  <c r="F7465" i="41" s="1"/>
  <c r="E7449" i="41"/>
  <c r="F7449" i="41" s="1"/>
  <c r="E7433" i="41"/>
  <c r="F7433" i="41" s="1"/>
  <c r="E7417" i="41"/>
  <c r="F7417" i="41" s="1"/>
  <c r="E7401" i="41"/>
  <c r="F7401" i="41" s="1"/>
  <c r="E7385" i="41"/>
  <c r="F7385" i="41" s="1"/>
  <c r="E7369" i="41"/>
  <c r="F7369" i="41" s="1"/>
  <c r="E7353" i="41"/>
  <c r="F7353" i="41" s="1"/>
  <c r="E7337" i="41"/>
  <c r="F7337" i="41" s="1"/>
  <c r="E7321" i="41"/>
  <c r="F7321" i="41" s="1"/>
  <c r="E7305" i="41"/>
  <c r="F7305" i="41" s="1"/>
  <c r="E7289" i="41"/>
  <c r="F7289" i="41" s="1"/>
  <c r="E7273" i="41"/>
  <c r="F7273" i="41" s="1"/>
  <c r="E7257" i="41"/>
  <c r="F7257" i="41" s="1"/>
  <c r="E7241" i="41"/>
  <c r="F7241" i="41" s="1"/>
  <c r="E7225" i="41"/>
  <c r="F7225" i="41" s="1"/>
  <c r="E7209" i="41"/>
  <c r="F7209" i="41" s="1"/>
  <c r="E7193" i="41"/>
  <c r="F7193" i="41" s="1"/>
  <c r="E7177" i="41"/>
  <c r="F7177" i="41" s="1"/>
  <c r="E7161" i="41"/>
  <c r="F7161" i="41" s="1"/>
  <c r="E7145" i="41"/>
  <c r="F7145" i="41" s="1"/>
  <c r="E7129" i="41"/>
  <c r="F7129" i="41" s="1"/>
  <c r="E6062" i="41"/>
  <c r="F6062" i="41" s="1"/>
  <c r="E6058" i="41"/>
  <c r="F6058" i="41" s="1"/>
  <c r="E6054" i="41"/>
  <c r="F6054" i="41" s="1"/>
  <c r="E6050" i="41"/>
  <c r="F6050" i="41" s="1"/>
  <c r="E6046" i="41"/>
  <c r="F6046" i="41" s="1"/>
  <c r="E6042" i="41"/>
  <c r="F6042" i="41" s="1"/>
  <c r="E6038" i="41"/>
  <c r="F6038" i="41" s="1"/>
  <c r="E6034" i="41"/>
  <c r="F6034" i="41" s="1"/>
  <c r="E6030" i="41"/>
  <c r="F6030" i="41" s="1"/>
  <c r="E6026" i="41"/>
  <c r="F6026" i="41" s="1"/>
  <c r="E6022" i="41"/>
  <c r="F6022" i="41" s="1"/>
  <c r="E6015" i="41"/>
  <c r="F6015" i="41" s="1"/>
  <c r="E6007" i="41"/>
  <c r="F6007" i="41" s="1"/>
  <c r="E5999" i="41"/>
  <c r="F5999" i="41" s="1"/>
  <c r="E5991" i="41"/>
  <c r="F5991" i="41" s="1"/>
  <c r="E5983" i="41"/>
  <c r="F5983" i="41" s="1"/>
  <c r="E5975" i="41"/>
  <c r="F5975" i="41" s="1"/>
  <c r="E5967" i="41"/>
  <c r="F5967" i="41" s="1"/>
  <c r="E5959" i="41"/>
  <c r="F5959" i="41" s="1"/>
  <c r="E5951" i="41"/>
  <c r="F5951" i="41" s="1"/>
  <c r="E5943" i="41"/>
  <c r="F5943" i="41" s="1"/>
  <c r="E5935" i="41"/>
  <c r="F5935" i="41" s="1"/>
  <c r="E5927" i="41"/>
  <c r="F5927" i="41" s="1"/>
  <c r="E5919" i="41"/>
  <c r="F5919" i="41" s="1"/>
  <c r="E5911" i="41"/>
  <c r="F5911" i="41" s="1"/>
  <c r="E5903" i="41"/>
  <c r="F5903" i="41" s="1"/>
  <c r="E5895" i="41"/>
  <c r="F5895" i="41" s="1"/>
  <c r="E5887" i="41"/>
  <c r="F5887" i="41" s="1"/>
  <c r="E5879" i="41"/>
  <c r="F5879" i="41" s="1"/>
  <c r="E5871" i="41"/>
  <c r="F5871" i="41" s="1"/>
  <c r="E5863" i="41"/>
  <c r="F5863" i="41" s="1"/>
  <c r="E5855" i="41"/>
  <c r="F5855" i="41" s="1"/>
  <c r="E5847" i="41"/>
  <c r="F5847" i="41" s="1"/>
  <c r="E5839" i="41"/>
  <c r="F5839" i="41" s="1"/>
  <c r="E5831" i="41"/>
  <c r="F5831" i="41" s="1"/>
  <c r="E5823" i="41"/>
  <c r="F5823" i="41" s="1"/>
  <c r="E5815" i="41"/>
  <c r="F5815" i="41" s="1"/>
  <c r="E5807" i="41"/>
  <c r="F5807" i="41" s="1"/>
  <c r="E5799" i="41"/>
  <c r="F5799" i="41" s="1"/>
  <c r="E5791" i="41"/>
  <c r="F5791" i="41" s="1"/>
  <c r="E6018" i="41"/>
  <c r="F6018" i="41" s="1"/>
  <c r="E6010" i="41"/>
  <c r="F6010" i="41" s="1"/>
  <c r="E6002" i="41"/>
  <c r="F6002" i="41" s="1"/>
  <c r="E5994" i="41"/>
  <c r="F5994" i="41" s="1"/>
  <c r="E5986" i="41"/>
  <c r="F5986" i="41" s="1"/>
  <c r="E5978" i="41"/>
  <c r="F5978" i="41" s="1"/>
  <c r="E5970" i="41"/>
  <c r="F5970" i="41" s="1"/>
  <c r="E5962" i="41"/>
  <c r="F5962" i="41" s="1"/>
  <c r="E5954" i="41"/>
  <c r="F5954" i="41" s="1"/>
  <c r="E5946" i="41"/>
  <c r="F5946" i="41" s="1"/>
  <c r="E5938" i="41"/>
  <c r="F5938" i="41" s="1"/>
  <c r="E5930" i="41"/>
  <c r="F5930" i="41" s="1"/>
  <c r="E5922" i="41"/>
  <c r="F5922" i="41" s="1"/>
  <c r="E5914" i="41"/>
  <c r="F5914" i="41" s="1"/>
  <c r="E5906" i="41"/>
  <c r="F5906" i="41" s="1"/>
  <c r="E5898" i="41"/>
  <c r="F5898" i="41" s="1"/>
  <c r="E5890" i="41"/>
  <c r="F5890" i="41" s="1"/>
  <c r="E5882" i="41"/>
  <c r="F5882" i="41" s="1"/>
  <c r="E5874" i="41"/>
  <c r="F5874" i="41" s="1"/>
  <c r="E5866" i="41"/>
  <c r="F5866" i="41" s="1"/>
  <c r="E5858" i="41"/>
  <c r="F5858" i="41" s="1"/>
  <c r="E5850" i="41"/>
  <c r="F5850" i="41" s="1"/>
  <c r="E5842" i="41"/>
  <c r="F5842" i="41" s="1"/>
  <c r="E5834" i="41"/>
  <c r="F5834" i="41" s="1"/>
  <c r="E5826" i="41"/>
  <c r="F5826" i="41" s="1"/>
  <c r="E5818" i="41"/>
  <c r="F5818" i="41" s="1"/>
  <c r="E5810" i="41"/>
  <c r="F5810" i="41" s="1"/>
  <c r="E5802" i="41"/>
  <c r="F5802" i="41" s="1"/>
  <c r="E5794" i="41"/>
  <c r="F5794" i="41" s="1"/>
  <c r="E5256" i="41"/>
  <c r="F5256" i="41" s="1"/>
  <c r="E5263" i="41"/>
  <c r="F5263" i="41" s="1"/>
  <c r="E5254" i="41"/>
  <c r="F5254" i="41" s="1"/>
  <c r="E5173" i="41"/>
  <c r="F5173" i="41" s="1"/>
  <c r="E5165" i="41"/>
  <c r="F5165" i="41" s="1"/>
  <c r="E4955" i="41"/>
  <c r="F4955" i="41" s="1"/>
  <c r="E4939" i="41"/>
  <c r="F4939" i="41" s="1"/>
  <c r="E4923" i="41"/>
  <c r="F4923" i="41" s="1"/>
  <c r="E4907" i="41"/>
  <c r="F4907" i="41" s="1"/>
  <c r="E4891" i="41"/>
  <c r="F4891" i="41" s="1"/>
  <c r="E4875" i="41"/>
  <c r="F4875" i="41" s="1"/>
  <c r="E4859" i="41"/>
  <c r="F4859" i="41" s="1"/>
  <c r="E4949" i="41"/>
  <c r="F4949" i="41" s="1"/>
  <c r="E4933" i="41"/>
  <c r="F4933" i="41" s="1"/>
  <c r="E4917" i="41"/>
  <c r="F4917" i="41" s="1"/>
  <c r="E4901" i="41"/>
  <c r="F4901" i="41" s="1"/>
  <c r="E4885" i="41"/>
  <c r="F4885" i="41" s="1"/>
  <c r="E4869" i="41"/>
  <c r="F4869" i="41" s="1"/>
  <c r="E4981" i="41"/>
  <c r="F4981" i="41" s="1"/>
  <c r="E4977" i="41"/>
  <c r="F4977" i="41" s="1"/>
  <c r="E4973" i="41"/>
  <c r="F4973" i="41" s="1"/>
  <c r="E4969" i="41"/>
  <c r="F4969" i="41" s="1"/>
  <c r="E4965" i="41"/>
  <c r="F4965" i="41" s="1"/>
  <c r="E4960" i="41"/>
  <c r="F4960" i="41" s="1"/>
  <c r="E4952" i="41"/>
  <c r="F4952" i="41" s="1"/>
  <c r="E4944" i="41"/>
  <c r="F4944" i="41" s="1"/>
  <c r="E4936" i="41"/>
  <c r="F4936" i="41" s="1"/>
  <c r="E4928" i="41"/>
  <c r="F4928" i="41" s="1"/>
  <c r="E4920" i="41"/>
  <c r="F4920" i="41" s="1"/>
  <c r="E4912" i="41"/>
  <c r="F4912" i="41" s="1"/>
  <c r="E4904" i="41"/>
  <c r="F4904" i="41" s="1"/>
  <c r="E4896" i="41"/>
  <c r="F4896" i="41" s="1"/>
  <c r="E4888" i="41"/>
  <c r="F4888" i="41" s="1"/>
  <c r="E4880" i="41"/>
  <c r="F4880" i="41" s="1"/>
  <c r="E4872" i="41"/>
  <c r="F4872" i="41" s="1"/>
  <c r="E4864" i="41"/>
  <c r="F4864" i="41" s="1"/>
  <c r="E7338" i="41"/>
  <c r="F7338" i="41" s="1"/>
  <c r="E7522" i="41"/>
  <c r="F7522" i="41" s="1"/>
  <c r="E7266" i="41"/>
  <c r="F7266" i="41" s="1"/>
  <c r="E7138" i="41"/>
  <c r="F7138" i="41" s="1"/>
  <c r="E7494" i="41"/>
  <c r="F7494" i="41" s="1"/>
  <c r="E7398" i="41"/>
  <c r="F7398" i="41" s="1"/>
  <c r="E7302" i="41"/>
  <c r="F7302" i="41" s="1"/>
  <c r="E7206" i="41"/>
  <c r="F7206" i="41" s="1"/>
  <c r="E7717" i="41"/>
  <c r="F7717" i="41" s="1"/>
  <c r="E7531" i="41"/>
  <c r="F7531" i="41" s="1"/>
  <c r="E7483" i="41"/>
  <c r="F7483" i="41" s="1"/>
  <c r="E7451" i="41"/>
  <c r="F7451" i="41" s="1"/>
  <c r="E7403" i="41"/>
  <c r="F7403" i="41" s="1"/>
  <c r="E7355" i="41"/>
  <c r="F7355" i="41" s="1"/>
  <c r="E7323" i="41"/>
  <c r="F7323" i="41" s="1"/>
  <c r="E7275" i="41"/>
  <c r="F7275" i="41" s="1"/>
  <c r="E7227" i="41"/>
  <c r="F7227" i="41" s="1"/>
  <c r="E7179" i="41"/>
  <c r="F7179" i="41" s="1"/>
  <c r="E7131" i="41"/>
  <c r="F7131" i="41" s="1"/>
  <c r="E7488" i="41"/>
  <c r="F7488" i="41" s="1"/>
  <c r="E7440" i="41"/>
  <c r="F7440" i="41" s="1"/>
  <c r="E7408" i="41"/>
  <c r="F7408" i="41" s="1"/>
  <c r="E7360" i="41"/>
  <c r="F7360" i="41" s="1"/>
  <c r="E7312" i="41"/>
  <c r="F7312" i="41" s="1"/>
  <c r="E7264" i="41"/>
  <c r="F7264" i="41" s="1"/>
  <c r="E7216" i="41"/>
  <c r="F7216" i="41" s="1"/>
  <c r="E7168" i="41"/>
  <c r="F7168" i="41" s="1"/>
  <c r="E7577" i="41"/>
  <c r="F7577" i="41" s="1"/>
  <c r="E7561" i="41"/>
  <c r="F7561" i="41" s="1"/>
  <c r="E7549" i="41"/>
  <c r="F7549" i="41" s="1"/>
  <c r="E7537" i="41"/>
  <c r="F7537" i="41" s="1"/>
  <c r="E7505" i="41"/>
  <c r="F7505" i="41" s="1"/>
  <c r="E7457" i="41"/>
  <c r="F7457" i="41" s="1"/>
  <c r="E7425" i="41"/>
  <c r="F7425" i="41" s="1"/>
  <c r="E7377" i="41"/>
  <c r="F7377" i="41" s="1"/>
  <c r="E7345" i="41"/>
  <c r="F7345" i="41" s="1"/>
  <c r="E7297" i="41"/>
  <c r="F7297" i="41" s="1"/>
  <c r="E7249" i="41"/>
  <c r="F7249" i="41" s="1"/>
  <c r="E7201" i="41"/>
  <c r="F7201" i="41" s="1"/>
  <c r="E7153" i="41"/>
  <c r="F7153" i="41" s="1"/>
  <c r="E6060" i="41"/>
  <c r="F6060" i="41" s="1"/>
  <c r="E6048" i="41"/>
  <c r="F6048" i="41" s="1"/>
  <c r="E6040" i="41"/>
  <c r="F6040" i="41" s="1"/>
  <c r="E6028" i="41"/>
  <c r="F6028" i="41" s="1"/>
  <c r="E6003" i="41"/>
  <c r="F6003" i="41" s="1"/>
  <c r="E5979" i="41"/>
  <c r="F5979" i="41" s="1"/>
  <c r="E5947" i="41"/>
  <c r="F5947" i="41" s="1"/>
  <c r="E5923" i="41"/>
  <c r="F5923" i="41" s="1"/>
  <c r="E5899" i="41"/>
  <c r="F5899" i="41" s="1"/>
  <c r="E5883" i="41"/>
  <c r="F5883" i="41" s="1"/>
  <c r="E5851" i="41"/>
  <c r="F5851" i="41" s="1"/>
  <c r="E5835" i="41"/>
  <c r="F5835" i="41" s="1"/>
  <c r="E5803" i="41"/>
  <c r="F5803" i="41" s="1"/>
  <c r="E6014" i="41"/>
  <c r="F6014" i="41" s="1"/>
  <c r="E5990" i="41"/>
  <c r="F5990" i="41" s="1"/>
  <c r="E5966" i="41"/>
  <c r="F5966" i="41" s="1"/>
  <c r="E5942" i="41"/>
  <c r="F5942" i="41" s="1"/>
  <c r="E5918" i="41"/>
  <c r="F5918" i="41" s="1"/>
  <c r="E5894" i="41"/>
  <c r="F5894" i="41" s="1"/>
  <c r="E5878" i="41"/>
  <c r="F5878" i="41" s="1"/>
  <c r="E5854" i="41"/>
  <c r="F5854" i="41" s="1"/>
  <c r="E5830" i="41"/>
  <c r="F5830" i="41" s="1"/>
  <c r="E5814" i="41"/>
  <c r="F5814" i="41" s="1"/>
  <c r="E5790" i="41"/>
  <c r="F5790" i="41" s="1"/>
  <c r="E5177" i="41"/>
  <c r="F5177" i="41" s="1"/>
  <c r="E4947" i="41"/>
  <c r="F4947" i="41" s="1"/>
  <c r="E4899" i="41"/>
  <c r="F4899" i="41" s="1"/>
  <c r="E4867" i="41"/>
  <c r="F4867" i="41" s="1"/>
  <c r="E4925" i="41"/>
  <c r="F4925" i="41" s="1"/>
  <c r="E4877" i="41"/>
  <c r="F4877" i="41" s="1"/>
  <c r="E4979" i="41"/>
  <c r="F4979" i="41" s="1"/>
  <c r="E4963" i="41"/>
  <c r="F4963" i="41" s="1"/>
  <c r="E4940" i="41"/>
  <c r="F4940" i="41" s="1"/>
  <c r="E4916" i="41"/>
  <c r="F4916" i="41" s="1"/>
  <c r="E4892" i="41"/>
  <c r="F4892" i="41" s="1"/>
  <c r="E4868" i="41"/>
  <c r="F4868" i="41" s="1"/>
  <c r="E7482" i="41"/>
  <c r="F7482" i="41" s="1"/>
  <c r="E7418" i="41"/>
  <c r="F7418" i="41" s="1"/>
  <c r="E7354" i="41"/>
  <c r="F7354" i="41" s="1"/>
  <c r="E7290" i="41"/>
  <c r="F7290" i="41" s="1"/>
  <c r="E7226" i="41"/>
  <c r="F7226" i="41" s="1"/>
  <c r="E7162" i="41"/>
  <c r="F7162" i="41" s="1"/>
  <c r="E7714" i="41"/>
  <c r="F7714" i="41" s="1"/>
  <c r="E7474" i="41"/>
  <c r="F7474" i="41" s="1"/>
  <c r="E7410" i="41"/>
  <c r="F7410" i="41" s="1"/>
  <c r="E7346" i="41"/>
  <c r="F7346" i="41" s="1"/>
  <c r="E7282" i="41"/>
  <c r="F7282" i="41" s="1"/>
  <c r="E7218" i="41"/>
  <c r="F7218" i="41" s="1"/>
  <c r="E7154" i="41"/>
  <c r="F7154" i="41" s="1"/>
  <c r="E7534" i="41"/>
  <c r="F7534" i="41" s="1"/>
  <c r="E7502" i="41"/>
  <c r="F7502" i="41" s="1"/>
  <c r="E7470" i="41"/>
  <c r="F7470" i="41" s="1"/>
  <c r="E7438" i="41"/>
  <c r="F7438" i="41" s="1"/>
  <c r="E7406" i="41"/>
  <c r="F7406" i="41" s="1"/>
  <c r="E7374" i="41"/>
  <c r="F7374" i="41" s="1"/>
  <c r="E7342" i="41"/>
  <c r="F7342" i="41" s="1"/>
  <c r="E7310" i="41"/>
  <c r="F7310" i="41" s="1"/>
  <c r="E7278" i="41"/>
  <c r="F7278" i="41" s="1"/>
  <c r="E7246" i="41"/>
  <c r="F7246" i="41" s="1"/>
  <c r="E7214" i="41"/>
  <c r="F7214" i="41" s="1"/>
  <c r="E7182" i="41"/>
  <c r="F7182" i="41" s="1"/>
  <c r="E7150" i="41"/>
  <c r="F7150" i="41" s="1"/>
  <c r="E7535" i="41"/>
  <c r="F7535" i="41" s="1"/>
  <c r="E7519" i="41"/>
  <c r="F7519" i="41" s="1"/>
  <c r="E7503" i="41"/>
  <c r="F7503" i="41" s="1"/>
  <c r="E7487" i="41"/>
  <c r="F7487" i="41" s="1"/>
  <c r="E7471" i="41"/>
  <c r="F7471" i="41" s="1"/>
  <c r="E7455" i="41"/>
  <c r="F7455" i="41" s="1"/>
  <c r="E7439" i="41"/>
  <c r="F7439" i="41" s="1"/>
  <c r="E7423" i="41"/>
  <c r="F7423" i="41" s="1"/>
  <c r="E7407" i="41"/>
  <c r="F7407" i="41" s="1"/>
  <c r="E7391" i="41"/>
  <c r="F7391" i="41" s="1"/>
  <c r="E7375" i="41"/>
  <c r="F7375" i="41" s="1"/>
  <c r="E7359" i="41"/>
  <c r="F7359" i="41" s="1"/>
  <c r="E7343" i="41"/>
  <c r="F7343" i="41" s="1"/>
  <c r="E7327" i="41"/>
  <c r="F7327" i="41" s="1"/>
  <c r="E7311" i="41"/>
  <c r="F7311" i="41" s="1"/>
  <c r="E7295" i="41"/>
  <c r="F7295" i="41" s="1"/>
  <c r="E7279" i="41"/>
  <c r="F7279" i="41" s="1"/>
  <c r="E7263" i="41"/>
  <c r="F7263" i="41" s="1"/>
  <c r="E7247" i="41"/>
  <c r="F7247" i="41" s="1"/>
  <c r="E7231" i="41"/>
  <c r="F7231" i="41" s="1"/>
  <c r="E7215" i="41"/>
  <c r="F7215" i="41" s="1"/>
  <c r="E7199" i="41"/>
  <c r="F7199" i="41" s="1"/>
  <c r="E7183" i="41"/>
  <c r="F7183" i="41" s="1"/>
  <c r="E7167" i="41"/>
  <c r="F7167" i="41" s="1"/>
  <c r="E7151" i="41"/>
  <c r="F7151" i="41" s="1"/>
  <c r="E7135" i="41"/>
  <c r="F7135" i="41" s="1"/>
  <c r="E7120" i="41"/>
  <c r="F7120" i="41" s="1"/>
  <c r="E7524" i="41"/>
  <c r="F7524" i="41" s="1"/>
  <c r="E7508" i="41"/>
  <c r="F7508" i="41" s="1"/>
  <c r="E7492" i="41"/>
  <c r="F7492" i="41" s="1"/>
  <c r="E7476" i="41"/>
  <c r="F7476" i="41" s="1"/>
  <c r="E7460" i="41"/>
  <c r="F7460" i="41" s="1"/>
  <c r="E7444" i="41"/>
  <c r="F7444" i="41" s="1"/>
  <c r="E7428" i="41"/>
  <c r="F7428" i="41" s="1"/>
  <c r="E7412" i="41"/>
  <c r="F7412" i="41" s="1"/>
  <c r="E7396" i="41"/>
  <c r="F7396" i="41" s="1"/>
  <c r="E7380" i="41"/>
  <c r="F7380" i="41" s="1"/>
  <c r="E7364" i="41"/>
  <c r="F7364" i="41" s="1"/>
  <c r="E7348" i="41"/>
  <c r="F7348" i="41" s="1"/>
  <c r="E7332" i="41"/>
  <c r="F7332" i="41" s="1"/>
  <c r="E7316" i="41"/>
  <c r="F7316" i="41" s="1"/>
  <c r="E7300" i="41"/>
  <c r="F7300" i="41" s="1"/>
  <c r="E7284" i="41"/>
  <c r="F7284" i="41" s="1"/>
  <c r="E7268" i="41"/>
  <c r="F7268" i="41" s="1"/>
  <c r="E7252" i="41"/>
  <c r="F7252" i="41" s="1"/>
  <c r="E7236" i="41"/>
  <c r="F7236" i="41" s="1"/>
  <c r="E7220" i="41"/>
  <c r="F7220" i="41" s="1"/>
  <c r="E7204" i="41"/>
  <c r="F7204" i="41" s="1"/>
  <c r="E7188" i="41"/>
  <c r="F7188" i="41" s="1"/>
  <c r="E7172" i="41"/>
  <c r="F7172" i="41" s="1"/>
  <c r="E7156" i="41"/>
  <c r="F7156" i="41" s="1"/>
  <c r="E7140" i="41"/>
  <c r="F7140" i="41" s="1"/>
  <c r="E7124" i="41"/>
  <c r="F7124" i="41" s="1"/>
  <c r="E7574" i="41"/>
  <c r="F7574" i="41" s="1"/>
  <c r="E7570" i="41"/>
  <c r="F7570" i="41" s="1"/>
  <c r="E7566" i="41"/>
  <c r="F7566" i="41" s="1"/>
  <c r="E7562" i="41"/>
  <c r="F7562" i="41" s="1"/>
  <c r="E7558" i="41"/>
  <c r="F7558" i="41" s="1"/>
  <c r="E7554" i="41"/>
  <c r="F7554" i="41" s="1"/>
  <c r="E7550" i="41"/>
  <c r="F7550" i="41" s="1"/>
  <c r="E7546" i="41"/>
  <c r="F7546" i="41" s="1"/>
  <c r="E7542" i="41"/>
  <c r="F7542" i="41" s="1"/>
  <c r="E7538" i="41"/>
  <c r="F7538" i="41" s="1"/>
  <c r="E7525" i="41"/>
  <c r="F7525" i="41" s="1"/>
  <c r="E7509" i="41"/>
  <c r="F7509" i="41" s="1"/>
  <c r="E7493" i="41"/>
  <c r="F7493" i="41" s="1"/>
  <c r="E7477" i="41"/>
  <c r="F7477" i="41" s="1"/>
  <c r="E7461" i="41"/>
  <c r="F7461" i="41" s="1"/>
  <c r="E7445" i="41"/>
  <c r="F7445" i="41" s="1"/>
  <c r="E7429" i="41"/>
  <c r="F7429" i="41" s="1"/>
  <c r="E7413" i="41"/>
  <c r="F7413" i="41" s="1"/>
  <c r="E7397" i="41"/>
  <c r="F7397" i="41" s="1"/>
  <c r="E7381" i="41"/>
  <c r="F7381" i="41" s="1"/>
  <c r="E7365" i="41"/>
  <c r="F7365" i="41" s="1"/>
  <c r="E7349" i="41"/>
  <c r="F7349" i="41" s="1"/>
  <c r="E7333" i="41"/>
  <c r="F7333" i="41" s="1"/>
  <c r="E7317" i="41"/>
  <c r="F7317" i="41" s="1"/>
  <c r="E7301" i="41"/>
  <c r="F7301" i="41" s="1"/>
  <c r="E7285" i="41"/>
  <c r="F7285" i="41" s="1"/>
  <c r="E7269" i="41"/>
  <c r="F7269" i="41" s="1"/>
  <c r="E7253" i="41"/>
  <c r="F7253" i="41" s="1"/>
  <c r="E7237" i="41"/>
  <c r="F7237" i="41" s="1"/>
  <c r="E7221" i="41"/>
  <c r="F7221" i="41" s="1"/>
  <c r="E7205" i="41"/>
  <c r="F7205" i="41" s="1"/>
  <c r="E7189" i="41"/>
  <c r="F7189" i="41" s="1"/>
  <c r="E7173" i="41"/>
  <c r="F7173" i="41" s="1"/>
  <c r="E7157" i="41"/>
  <c r="F7157" i="41" s="1"/>
  <c r="E7141" i="41"/>
  <c r="F7141" i="41" s="1"/>
  <c r="E7125" i="41"/>
  <c r="F7125" i="41" s="1"/>
  <c r="E6061" i="41"/>
  <c r="F6061" i="41" s="1"/>
  <c r="E6057" i="41"/>
  <c r="F6057" i="41" s="1"/>
  <c r="E6053" i="41"/>
  <c r="F6053" i="41" s="1"/>
  <c r="E6049" i="41"/>
  <c r="F6049" i="41" s="1"/>
  <c r="E6045" i="41"/>
  <c r="F6045" i="41" s="1"/>
  <c r="E6041" i="41"/>
  <c r="F6041" i="41" s="1"/>
  <c r="E6037" i="41"/>
  <c r="F6037" i="41" s="1"/>
  <c r="E6033" i="41"/>
  <c r="F6033" i="41" s="1"/>
  <c r="E6029" i="41"/>
  <c r="F6029" i="41" s="1"/>
  <c r="E6025" i="41"/>
  <c r="F6025" i="41" s="1"/>
  <c r="E6021" i="41"/>
  <c r="F6021" i="41" s="1"/>
  <c r="E6013" i="41"/>
  <c r="F6013" i="41" s="1"/>
  <c r="E6005" i="41"/>
  <c r="F6005" i="41" s="1"/>
  <c r="E5997" i="41"/>
  <c r="F5997" i="41" s="1"/>
  <c r="E5989" i="41"/>
  <c r="F5989" i="41" s="1"/>
  <c r="E5981" i="41"/>
  <c r="F5981" i="41" s="1"/>
  <c r="E5973" i="41"/>
  <c r="F5973" i="41" s="1"/>
  <c r="E5965" i="41"/>
  <c r="F5965" i="41" s="1"/>
  <c r="E5957" i="41"/>
  <c r="F5957" i="41" s="1"/>
  <c r="E5949" i="41"/>
  <c r="F5949" i="41" s="1"/>
  <c r="E5941" i="41"/>
  <c r="F5941" i="41" s="1"/>
  <c r="E5933" i="41"/>
  <c r="F5933" i="41" s="1"/>
  <c r="E5925" i="41"/>
  <c r="F5925" i="41" s="1"/>
  <c r="E5917" i="41"/>
  <c r="F5917" i="41" s="1"/>
  <c r="E5909" i="41"/>
  <c r="F5909" i="41" s="1"/>
  <c r="E5901" i="41"/>
  <c r="F5901" i="41" s="1"/>
  <c r="E5893" i="41"/>
  <c r="F5893" i="41" s="1"/>
  <c r="E5885" i="41"/>
  <c r="F5885" i="41" s="1"/>
  <c r="E5877" i="41"/>
  <c r="F5877" i="41" s="1"/>
  <c r="E5869" i="41"/>
  <c r="F5869" i="41" s="1"/>
  <c r="E5861" i="41"/>
  <c r="F5861" i="41" s="1"/>
  <c r="E5853" i="41"/>
  <c r="F5853" i="41" s="1"/>
  <c r="E5845" i="41"/>
  <c r="F5845" i="41" s="1"/>
  <c r="E5837" i="41"/>
  <c r="F5837" i="41" s="1"/>
  <c r="E5829" i="41"/>
  <c r="F5829" i="41" s="1"/>
  <c r="E5821" i="41"/>
  <c r="F5821" i="41" s="1"/>
  <c r="E5813" i="41"/>
  <c r="F5813" i="41" s="1"/>
  <c r="E5805" i="41"/>
  <c r="F5805" i="41" s="1"/>
  <c r="E5797" i="41"/>
  <c r="F5797" i="41" s="1"/>
  <c r="E5789" i="41"/>
  <c r="F5789" i="41" s="1"/>
  <c r="E6016" i="41"/>
  <c r="F6016" i="41" s="1"/>
  <c r="E6008" i="41"/>
  <c r="F6008" i="41" s="1"/>
  <c r="E6000" i="41"/>
  <c r="F6000" i="41" s="1"/>
  <c r="E5992" i="41"/>
  <c r="F5992" i="41" s="1"/>
  <c r="E5984" i="41"/>
  <c r="F5984" i="41" s="1"/>
  <c r="E5976" i="41"/>
  <c r="F5976" i="41" s="1"/>
  <c r="E5968" i="41"/>
  <c r="F5968" i="41" s="1"/>
  <c r="E5960" i="41"/>
  <c r="F5960" i="41" s="1"/>
  <c r="E5952" i="41"/>
  <c r="F5952" i="41" s="1"/>
  <c r="E5944" i="41"/>
  <c r="F5944" i="41" s="1"/>
  <c r="E5936" i="41"/>
  <c r="F5936" i="41" s="1"/>
  <c r="E5928" i="41"/>
  <c r="F5928" i="41" s="1"/>
  <c r="E5920" i="41"/>
  <c r="F5920" i="41" s="1"/>
  <c r="E5912" i="41"/>
  <c r="F5912" i="41" s="1"/>
  <c r="E5904" i="41"/>
  <c r="F5904" i="41" s="1"/>
  <c r="E5896" i="41"/>
  <c r="F5896" i="41" s="1"/>
  <c r="E5888" i="41"/>
  <c r="F5888" i="41" s="1"/>
  <c r="E5880" i="41"/>
  <c r="F5880" i="41" s="1"/>
  <c r="E5872" i="41"/>
  <c r="F5872" i="41" s="1"/>
  <c r="E5864" i="41"/>
  <c r="F5864" i="41" s="1"/>
  <c r="E5856" i="41"/>
  <c r="F5856" i="41" s="1"/>
  <c r="E5848" i="41"/>
  <c r="F5848" i="41" s="1"/>
  <c r="E5840" i="41"/>
  <c r="F5840" i="41" s="1"/>
  <c r="E5832" i="41"/>
  <c r="F5832" i="41" s="1"/>
  <c r="E5824" i="41"/>
  <c r="F5824" i="41" s="1"/>
  <c r="E5816" i="41"/>
  <c r="F5816" i="41" s="1"/>
  <c r="E5808" i="41"/>
  <c r="F5808" i="41" s="1"/>
  <c r="E5800" i="41"/>
  <c r="F5800" i="41" s="1"/>
  <c r="E5792" i="41"/>
  <c r="F5792" i="41" s="1"/>
  <c r="E5262" i="41"/>
  <c r="F5262" i="41" s="1"/>
  <c r="E5261" i="41"/>
  <c r="F5261" i="41" s="1"/>
  <c r="E5179" i="41"/>
  <c r="F5179" i="41" s="1"/>
  <c r="E5171" i="41"/>
  <c r="F5171" i="41" s="1"/>
  <c r="E5163" i="41"/>
  <c r="F5163" i="41" s="1"/>
  <c r="E4951" i="41"/>
  <c r="F4951" i="41" s="1"/>
  <c r="E4935" i="41"/>
  <c r="F4935" i="41" s="1"/>
  <c r="E4919" i="41"/>
  <c r="F4919" i="41" s="1"/>
  <c r="E4903" i="41"/>
  <c r="F4903" i="41" s="1"/>
  <c r="E4887" i="41"/>
  <c r="F4887" i="41" s="1"/>
  <c r="E4871" i="41"/>
  <c r="F4871" i="41" s="1"/>
  <c r="E4961" i="41"/>
  <c r="F4961" i="41" s="1"/>
  <c r="E4945" i="41"/>
  <c r="F4945" i="41" s="1"/>
  <c r="E4929" i="41"/>
  <c r="F4929" i="41" s="1"/>
  <c r="E4913" i="41"/>
  <c r="F4913" i="41" s="1"/>
  <c r="E4897" i="41"/>
  <c r="F4897" i="41" s="1"/>
  <c r="E4881" i="41"/>
  <c r="F4881" i="41" s="1"/>
  <c r="E4865" i="41"/>
  <c r="F4865" i="41" s="1"/>
  <c r="E4984" i="41"/>
  <c r="F4984" i="41" s="1"/>
  <c r="E4980" i="41"/>
  <c r="F4980" i="41" s="1"/>
  <c r="E4976" i="41"/>
  <c r="F4976" i="41" s="1"/>
  <c r="E4972" i="41"/>
  <c r="F4972" i="41" s="1"/>
  <c r="E4968" i="41"/>
  <c r="F4968" i="41" s="1"/>
  <c r="E4964" i="41"/>
  <c r="F4964" i="41" s="1"/>
  <c r="E4958" i="41"/>
  <c r="F4958" i="41" s="1"/>
  <c r="E4950" i="41"/>
  <c r="F4950" i="41" s="1"/>
  <c r="E4942" i="41"/>
  <c r="F4942" i="41" s="1"/>
  <c r="E4934" i="41"/>
  <c r="F4934" i="41" s="1"/>
  <c r="E4926" i="41"/>
  <c r="F4926" i="41" s="1"/>
  <c r="E4918" i="41"/>
  <c r="F4918" i="41" s="1"/>
  <c r="E4910" i="41"/>
  <c r="F4910" i="41" s="1"/>
  <c r="E4902" i="41"/>
  <c r="F4902" i="41" s="1"/>
  <c r="E4894" i="41"/>
  <c r="F4894" i="41" s="1"/>
  <c r="E4886" i="41"/>
  <c r="F4886" i="41" s="1"/>
  <c r="E4878" i="41"/>
  <c r="F4878" i="41" s="1"/>
  <c r="E4870" i="41"/>
  <c r="F4870" i="41" s="1"/>
  <c r="E4862" i="41"/>
  <c r="F4862" i="41" s="1"/>
  <c r="E7530" i="41"/>
  <c r="F7530" i="41" s="1"/>
  <c r="E7402" i="41"/>
  <c r="F7402" i="41" s="1"/>
  <c r="E7210" i="41"/>
  <c r="F7210" i="41" s="1"/>
  <c r="E7394" i="41"/>
  <c r="F7394" i="41" s="1"/>
  <c r="E7462" i="41"/>
  <c r="F7462" i="41" s="1"/>
  <c r="E7366" i="41"/>
  <c r="F7366" i="41" s="1"/>
  <c r="E7270" i="41"/>
  <c r="F7270" i="41" s="1"/>
  <c r="E7142" i="41"/>
  <c r="F7142" i="41" s="1"/>
  <c r="E7499" i="41"/>
  <c r="F7499" i="41" s="1"/>
  <c r="E7419" i="41"/>
  <c r="F7419" i="41" s="1"/>
  <c r="E7371" i="41"/>
  <c r="F7371" i="41" s="1"/>
  <c r="E7307" i="41"/>
  <c r="F7307" i="41" s="1"/>
  <c r="E7259" i="41"/>
  <c r="F7259" i="41" s="1"/>
  <c r="E7195" i="41"/>
  <c r="F7195" i="41" s="1"/>
  <c r="E7147" i="41"/>
  <c r="F7147" i="41" s="1"/>
  <c r="E7504" i="41"/>
  <c r="F7504" i="41" s="1"/>
  <c r="E7456" i="41"/>
  <c r="F7456" i="41" s="1"/>
  <c r="E7392" i="41"/>
  <c r="F7392" i="41" s="1"/>
  <c r="E7344" i="41"/>
  <c r="F7344" i="41" s="1"/>
  <c r="E7296" i="41"/>
  <c r="F7296" i="41" s="1"/>
  <c r="E7232" i="41"/>
  <c r="F7232" i="41" s="1"/>
  <c r="E7184" i="41"/>
  <c r="F7184" i="41" s="1"/>
  <c r="E7136" i="41"/>
  <c r="F7136" i="41" s="1"/>
  <c r="E7569" i="41"/>
  <c r="F7569" i="41" s="1"/>
  <c r="E7557" i="41"/>
  <c r="F7557" i="41" s="1"/>
  <c r="E7545" i="41"/>
  <c r="F7545" i="41" s="1"/>
  <c r="E7521" i="41"/>
  <c r="F7521" i="41" s="1"/>
  <c r="E7441" i="41"/>
  <c r="F7441" i="41" s="1"/>
  <c r="E7393" i="41"/>
  <c r="F7393" i="41" s="1"/>
  <c r="E7329" i="41"/>
  <c r="F7329" i="41" s="1"/>
  <c r="E7281" i="41"/>
  <c r="F7281" i="41" s="1"/>
  <c r="E7217" i="41"/>
  <c r="F7217" i="41" s="1"/>
  <c r="E7169" i="41"/>
  <c r="F7169" i="41" s="1"/>
  <c r="E6064" i="41"/>
  <c r="F6064" i="41" s="1"/>
  <c r="E6052" i="41"/>
  <c r="F6052" i="41" s="1"/>
  <c r="E6036" i="41"/>
  <c r="F6036" i="41" s="1"/>
  <c r="E6024" i="41"/>
  <c r="F6024" i="41" s="1"/>
  <c r="E6011" i="41"/>
  <c r="F6011" i="41" s="1"/>
  <c r="E5987" i="41"/>
  <c r="F5987" i="41" s="1"/>
  <c r="E5963" i="41"/>
  <c r="F5963" i="41" s="1"/>
  <c r="E5939" i="41"/>
  <c r="F5939" i="41" s="1"/>
  <c r="E5907" i="41"/>
  <c r="F5907" i="41" s="1"/>
  <c r="E5891" i="41"/>
  <c r="F5891" i="41" s="1"/>
  <c r="E5867" i="41"/>
  <c r="F5867" i="41" s="1"/>
  <c r="E5843" i="41"/>
  <c r="F5843" i="41" s="1"/>
  <c r="E5811" i="41"/>
  <c r="F5811" i="41" s="1"/>
  <c r="E5787" i="41"/>
  <c r="F5787" i="41" s="1"/>
  <c r="E5998" i="41"/>
  <c r="F5998" i="41" s="1"/>
  <c r="E5974" i="41"/>
  <c r="F5974" i="41" s="1"/>
  <c r="E5934" i="41"/>
  <c r="F5934" i="41" s="1"/>
  <c r="E5910" i="41"/>
  <c r="F5910" i="41" s="1"/>
  <c r="E5886" i="41"/>
  <c r="F5886" i="41" s="1"/>
  <c r="E5862" i="41"/>
  <c r="F5862" i="41" s="1"/>
  <c r="E5838" i="41"/>
  <c r="F5838" i="41" s="1"/>
  <c r="E5806" i="41"/>
  <c r="F5806" i="41" s="1"/>
  <c r="E5260" i="41"/>
  <c r="F5260" i="41" s="1"/>
  <c r="E5255" i="41"/>
  <c r="F5255" i="41" s="1"/>
  <c r="E4915" i="41"/>
  <c r="F4915" i="41" s="1"/>
  <c r="E4957" i="41"/>
  <c r="F4957" i="41" s="1"/>
  <c r="E4893" i="41"/>
  <c r="F4893" i="41" s="1"/>
  <c r="E4983" i="41"/>
  <c r="F4983" i="41" s="1"/>
  <c r="E4971" i="41"/>
  <c r="F4971" i="41" s="1"/>
  <c r="E4967" i="41"/>
  <c r="F4967" i="41" s="1"/>
  <c r="E4948" i="41"/>
  <c r="F4948" i="41" s="1"/>
  <c r="E4924" i="41"/>
  <c r="F4924" i="41" s="1"/>
  <c r="E4900" i="41"/>
  <c r="F4900" i="41" s="1"/>
  <c r="E4876" i="41"/>
  <c r="F4876" i="41" s="1"/>
  <c r="E653" i="6" a="1"/>
  <c r="E653" i="6" s="1"/>
  <c r="H4491" i="41" l="1"/>
  <c r="G4491" i="41"/>
  <c r="J4491" i="41"/>
  <c r="I4491" i="41"/>
  <c r="K4491" i="41"/>
  <c r="D4492" i="41"/>
  <c r="E4492" i="41" s="1"/>
  <c r="F4492" i="41" s="1"/>
  <c r="I12" i="37"/>
  <c r="M12" i="37"/>
  <c r="J12" i="37"/>
  <c r="N12" i="37"/>
  <c r="G12" i="37"/>
  <c r="K12" i="37"/>
  <c r="O12" i="37"/>
  <c r="P12" i="37"/>
  <c r="H12" i="37"/>
  <c r="L12" i="37"/>
  <c r="G5255" i="41"/>
  <c r="K5255" i="41"/>
  <c r="H5255" i="41"/>
  <c r="I5255" i="41"/>
  <c r="J5255" i="41"/>
  <c r="I5843" i="41"/>
  <c r="J5843" i="41"/>
  <c r="G5843" i="41"/>
  <c r="K5843" i="41"/>
  <c r="H5843" i="41"/>
  <c r="H7169" i="41"/>
  <c r="I7169" i="41"/>
  <c r="J7169" i="41"/>
  <c r="G7169" i="41"/>
  <c r="K7169" i="41"/>
  <c r="H7232" i="41"/>
  <c r="I7232" i="41"/>
  <c r="J7232" i="41"/>
  <c r="G7232" i="41"/>
  <c r="K7232" i="41"/>
  <c r="H7462" i="41"/>
  <c r="I7462" i="41"/>
  <c r="J7462" i="41"/>
  <c r="G7462" i="41"/>
  <c r="K7462" i="41"/>
  <c r="I4918" i="41"/>
  <c r="J4918" i="41"/>
  <c r="G4918" i="41"/>
  <c r="K4918" i="41"/>
  <c r="H4918" i="41"/>
  <c r="I4972" i="41"/>
  <c r="G4972" i="41"/>
  <c r="K4972" i="41"/>
  <c r="J4972" i="41"/>
  <c r="H4972" i="41"/>
  <c r="I4887" i="41"/>
  <c r="J4887" i="41"/>
  <c r="G4887" i="41"/>
  <c r="K4887" i="41"/>
  <c r="H4887" i="41"/>
  <c r="I5808" i="41"/>
  <c r="J5808" i="41"/>
  <c r="G5808" i="41"/>
  <c r="K5808" i="41"/>
  <c r="H5808" i="41"/>
  <c r="I5968" i="41"/>
  <c r="J5968" i="41"/>
  <c r="G5968" i="41"/>
  <c r="K5968" i="41"/>
  <c r="H5968" i="41"/>
  <c r="I6000" i="41"/>
  <c r="J6000" i="41"/>
  <c r="G6000" i="41"/>
  <c r="K6000" i="41"/>
  <c r="H6000" i="41"/>
  <c r="I5893" i="41"/>
  <c r="J5893" i="41"/>
  <c r="G5893" i="41"/>
  <c r="K5893" i="41"/>
  <c r="H5893" i="41"/>
  <c r="I5989" i="41"/>
  <c r="J5989" i="41"/>
  <c r="G5989" i="41"/>
  <c r="K5989" i="41"/>
  <c r="H5989" i="41"/>
  <c r="I6021" i="41"/>
  <c r="G6021" i="41"/>
  <c r="K6021" i="41"/>
  <c r="H6021" i="41"/>
  <c r="J6021" i="41"/>
  <c r="I6037" i="41"/>
  <c r="G6037" i="41"/>
  <c r="K6037" i="41"/>
  <c r="H6037" i="41"/>
  <c r="J6037" i="41"/>
  <c r="H7205" i="41"/>
  <c r="I7205" i="41"/>
  <c r="J7205" i="41"/>
  <c r="G7205" i="41"/>
  <c r="K7205" i="41"/>
  <c r="H7397" i="41"/>
  <c r="I7397" i="41"/>
  <c r="J7397" i="41"/>
  <c r="G7397" i="41"/>
  <c r="K7397" i="41"/>
  <c r="I7550" i="41"/>
  <c r="J7550" i="41"/>
  <c r="G7550" i="41"/>
  <c r="H7550" i="41"/>
  <c r="K7550" i="41"/>
  <c r="H7332" i="41"/>
  <c r="I7332" i="41"/>
  <c r="J7332" i="41"/>
  <c r="G7332" i="41"/>
  <c r="K7332" i="41"/>
  <c r="H7524" i="41"/>
  <c r="I7524" i="41"/>
  <c r="J7524" i="41"/>
  <c r="G7524" i="41"/>
  <c r="K7524" i="41"/>
  <c r="H7295" i="41"/>
  <c r="I7295" i="41"/>
  <c r="J7295" i="41"/>
  <c r="K7295" i="41"/>
  <c r="G7295" i="41"/>
  <c r="H7487" i="41"/>
  <c r="I7487" i="41"/>
  <c r="J7487" i="41"/>
  <c r="K7487" i="41"/>
  <c r="G7487" i="41"/>
  <c r="H7406" i="41"/>
  <c r="I7406" i="41"/>
  <c r="J7406" i="41"/>
  <c r="G7406" i="41"/>
  <c r="K7406" i="41"/>
  <c r="H7162" i="41"/>
  <c r="I7162" i="41"/>
  <c r="J7162" i="41"/>
  <c r="G7162" i="41"/>
  <c r="K7162" i="41"/>
  <c r="I4877" i="41"/>
  <c r="J4877" i="41"/>
  <c r="G4877" i="41"/>
  <c r="K4877" i="41"/>
  <c r="H4877" i="41"/>
  <c r="I6014" i="41"/>
  <c r="J6014" i="41"/>
  <c r="G6014" i="41"/>
  <c r="K6014" i="41"/>
  <c r="H6014" i="41"/>
  <c r="I6048" i="41"/>
  <c r="G6048" i="41"/>
  <c r="K6048" i="41"/>
  <c r="H6048" i="41"/>
  <c r="J6048" i="41"/>
  <c r="H7216" i="41"/>
  <c r="I7216" i="41"/>
  <c r="J7216" i="41"/>
  <c r="G7216" i="41"/>
  <c r="K7216" i="41"/>
  <c r="H7355" i="41"/>
  <c r="I7355" i="41"/>
  <c r="J7355" i="41"/>
  <c r="K7355" i="41"/>
  <c r="G7355" i="41"/>
  <c r="H7522" i="41"/>
  <c r="I7522" i="41"/>
  <c r="J7522" i="41"/>
  <c r="G7522" i="41"/>
  <c r="K7522" i="41"/>
  <c r="I4944" i="41"/>
  <c r="J4944" i="41"/>
  <c r="G4944" i="41"/>
  <c r="K4944" i="41"/>
  <c r="H4944" i="41"/>
  <c r="I4933" i="41"/>
  <c r="J4933" i="41"/>
  <c r="G4933" i="41"/>
  <c r="K4933" i="41"/>
  <c r="H4933" i="41"/>
  <c r="G5263" i="41"/>
  <c r="H5263" i="41"/>
  <c r="I5263" i="41"/>
  <c r="J5263" i="41"/>
  <c r="K5263" i="41"/>
  <c r="I5874" i="41"/>
  <c r="J5874" i="41"/>
  <c r="G5874" i="41"/>
  <c r="K5874" i="41"/>
  <c r="H5874" i="41"/>
  <c r="I5970" i="41"/>
  <c r="J5970" i="41"/>
  <c r="G5970" i="41"/>
  <c r="K5970" i="41"/>
  <c r="H5970" i="41"/>
  <c r="I5863" i="41"/>
  <c r="J5863" i="41"/>
  <c r="G5863" i="41"/>
  <c r="K5863" i="41"/>
  <c r="H5863" i="41"/>
  <c r="I5991" i="41"/>
  <c r="J5991" i="41"/>
  <c r="G5991" i="41"/>
  <c r="K5991" i="41"/>
  <c r="H5991" i="41"/>
  <c r="I6054" i="41"/>
  <c r="G6054" i="41"/>
  <c r="K6054" i="41"/>
  <c r="H6054" i="41"/>
  <c r="J6054" i="41"/>
  <c r="H7273" i="41"/>
  <c r="I7273" i="41"/>
  <c r="J7273" i="41"/>
  <c r="G7273" i="41"/>
  <c r="K7273" i="41"/>
  <c r="H7465" i="41"/>
  <c r="I7465" i="41"/>
  <c r="J7465" i="41"/>
  <c r="G7465" i="41"/>
  <c r="K7465" i="41"/>
  <c r="I7567" i="41"/>
  <c r="J7567" i="41"/>
  <c r="G7567" i="41"/>
  <c r="H7567" i="41"/>
  <c r="K7567" i="41"/>
  <c r="H7272" i="41"/>
  <c r="I7272" i="41"/>
  <c r="J7272" i="41"/>
  <c r="G7272" i="41"/>
  <c r="K7272" i="41"/>
  <c r="H7464" i="41"/>
  <c r="I7464" i="41"/>
  <c r="J7464" i="41"/>
  <c r="G7464" i="41"/>
  <c r="K7464" i="41"/>
  <c r="H7235" i="41"/>
  <c r="I7235" i="41"/>
  <c r="J7235" i="41"/>
  <c r="K7235" i="41"/>
  <c r="G7235" i="41"/>
  <c r="H7427" i="41"/>
  <c r="I7427" i="41"/>
  <c r="J7427" i="41"/>
  <c r="K7427" i="41"/>
  <c r="G7427" i="41"/>
  <c r="H7382" i="41"/>
  <c r="I7382" i="41"/>
  <c r="J7382" i="41"/>
  <c r="G7382" i="41"/>
  <c r="K7382" i="41"/>
  <c r="H7370" i="41"/>
  <c r="I7370" i="41"/>
  <c r="J7370" i="41"/>
  <c r="G7370" i="41"/>
  <c r="K7370" i="41"/>
  <c r="I4883" i="41"/>
  <c r="J4883" i="41"/>
  <c r="G4883" i="41"/>
  <c r="K4883" i="41"/>
  <c r="H4883" i="41"/>
  <c r="I5982" i="41"/>
  <c r="J5982" i="41"/>
  <c r="G5982" i="41"/>
  <c r="K5982" i="41"/>
  <c r="H5982" i="41"/>
  <c r="I6019" i="41"/>
  <c r="J6019" i="41"/>
  <c r="G6019" i="41"/>
  <c r="K6019" i="41"/>
  <c r="H6019" i="41"/>
  <c r="H7489" i="41"/>
  <c r="I7489" i="41"/>
  <c r="J7489" i="41"/>
  <c r="G7489" i="41"/>
  <c r="K7489" i="41"/>
  <c r="H7472" i="41"/>
  <c r="I7472" i="41"/>
  <c r="J7472" i="41"/>
  <c r="G7472" i="41"/>
  <c r="K7472" i="41"/>
  <c r="H7174" i="41"/>
  <c r="I7174" i="41"/>
  <c r="J7174" i="41"/>
  <c r="G7174" i="41"/>
  <c r="K7174" i="41"/>
  <c r="I4906" i="41"/>
  <c r="J4906" i="41"/>
  <c r="G4906" i="41"/>
  <c r="K4906" i="41"/>
  <c r="H4906" i="41"/>
  <c r="I4921" i="41"/>
  <c r="J4921" i="41"/>
  <c r="G4921" i="41"/>
  <c r="K4921" i="41"/>
  <c r="H4921" i="41"/>
  <c r="G5257" i="41"/>
  <c r="K5257" i="41"/>
  <c r="H5257" i="41"/>
  <c r="I5257" i="41"/>
  <c r="J5257" i="41"/>
  <c r="I5868" i="41"/>
  <c r="J5868" i="41"/>
  <c r="G5868" i="41"/>
  <c r="K5868" i="41"/>
  <c r="H5868" i="41"/>
  <c r="I5964" i="41"/>
  <c r="J5964" i="41"/>
  <c r="G5964" i="41"/>
  <c r="K5964" i="41"/>
  <c r="H5964" i="41"/>
  <c r="I5825" i="41"/>
  <c r="J5825" i="41"/>
  <c r="G5825" i="41"/>
  <c r="K5825" i="41"/>
  <c r="H5825" i="41"/>
  <c r="I5921" i="41"/>
  <c r="J5921" i="41"/>
  <c r="G5921" i="41"/>
  <c r="K5921" i="41"/>
  <c r="H5921" i="41"/>
  <c r="I6017" i="41"/>
  <c r="J6017" i="41"/>
  <c r="G6017" i="41"/>
  <c r="K6017" i="41"/>
  <c r="H6017" i="41"/>
  <c r="H7133" i="41"/>
  <c r="I7133" i="41"/>
  <c r="J7133" i="41"/>
  <c r="G7133" i="41"/>
  <c r="K7133" i="41"/>
  <c r="H7325" i="41"/>
  <c r="I7325" i="41"/>
  <c r="J7325" i="41"/>
  <c r="G7325" i="41"/>
  <c r="K7325" i="41"/>
  <c r="H7517" i="41"/>
  <c r="I7517" i="41"/>
  <c r="J7517" i="41"/>
  <c r="G7517" i="41"/>
  <c r="K7517" i="41"/>
  <c r="H7132" i="41"/>
  <c r="I7132" i="41"/>
  <c r="J7132" i="41"/>
  <c r="G7132" i="41"/>
  <c r="K7132" i="41"/>
  <c r="H7324" i="41"/>
  <c r="I7324" i="41"/>
  <c r="J7324" i="41"/>
  <c r="G7324" i="41"/>
  <c r="K7324" i="41"/>
  <c r="H7516" i="41"/>
  <c r="I7516" i="41"/>
  <c r="J7516" i="41"/>
  <c r="G7516" i="41"/>
  <c r="K7516" i="41"/>
  <c r="H7415" i="41"/>
  <c r="I7415" i="41"/>
  <c r="J7415" i="41"/>
  <c r="K7415" i="41"/>
  <c r="G7415" i="41"/>
  <c r="H7230" i="41"/>
  <c r="I7230" i="41"/>
  <c r="J7230" i="41"/>
  <c r="G7230" i="41"/>
  <c r="K7230" i="41"/>
  <c r="H7122" i="41"/>
  <c r="I7122" i="41"/>
  <c r="J7122" i="41"/>
  <c r="G7122" i="41"/>
  <c r="K7122" i="41"/>
  <c r="H7450" i="41"/>
  <c r="I7450" i="41"/>
  <c r="J7450" i="41"/>
  <c r="G7450" i="41"/>
  <c r="K7450" i="41"/>
  <c r="G7701" i="41"/>
  <c r="K7701" i="41"/>
  <c r="H7701" i="41"/>
  <c r="I7701" i="41"/>
  <c r="J7701" i="41"/>
  <c r="G7689" i="41"/>
  <c r="K7689" i="41"/>
  <c r="H7689" i="41"/>
  <c r="I7689" i="41"/>
  <c r="J7689" i="41"/>
  <c r="G7677" i="41"/>
  <c r="K7677" i="41"/>
  <c r="H7677" i="41"/>
  <c r="I7677" i="41"/>
  <c r="J7677" i="41"/>
  <c r="G7665" i="41"/>
  <c r="K7665" i="41"/>
  <c r="H7665" i="41"/>
  <c r="I7665" i="41"/>
  <c r="J7665" i="41"/>
  <c r="G7653" i="41"/>
  <c r="K7653" i="41"/>
  <c r="H7653" i="41"/>
  <c r="I7653" i="41"/>
  <c r="J7653" i="41"/>
  <c r="G7641" i="41"/>
  <c r="K7641" i="41"/>
  <c r="H7641" i="41"/>
  <c r="I7641" i="41"/>
  <c r="J7641" i="41"/>
  <c r="G7629" i="41"/>
  <c r="K7629" i="41"/>
  <c r="H7629" i="41"/>
  <c r="I7629" i="41"/>
  <c r="J7629" i="41"/>
  <c r="G7617" i="41"/>
  <c r="K7617" i="41"/>
  <c r="H7617" i="41"/>
  <c r="I7617" i="41"/>
  <c r="J7617" i="41"/>
  <c r="G7605" i="41"/>
  <c r="K7605" i="41"/>
  <c r="H7605" i="41"/>
  <c r="I7605" i="41"/>
  <c r="J7605" i="41"/>
  <c r="G7593" i="41"/>
  <c r="K7593" i="41"/>
  <c r="H7593" i="41"/>
  <c r="I7593" i="41"/>
  <c r="J7593" i="41"/>
  <c r="J7053" i="41"/>
  <c r="G7053" i="41"/>
  <c r="K7053" i="41"/>
  <c r="H7053" i="41"/>
  <c r="I7053" i="41"/>
  <c r="J6925" i="41"/>
  <c r="G6925" i="41"/>
  <c r="K6925" i="41"/>
  <c r="H6925" i="41"/>
  <c r="I6925" i="41"/>
  <c r="J6829" i="41"/>
  <c r="G6829" i="41"/>
  <c r="K6829" i="41"/>
  <c r="H6829" i="41"/>
  <c r="I6829" i="41"/>
  <c r="J6733" i="41"/>
  <c r="G6733" i="41"/>
  <c r="K6733" i="41"/>
  <c r="H6733" i="41"/>
  <c r="I6733" i="41"/>
  <c r="J6637" i="41"/>
  <c r="G6637" i="41"/>
  <c r="K6637" i="41"/>
  <c r="H6637" i="41"/>
  <c r="I6637" i="41"/>
  <c r="J7001" i="41"/>
  <c r="G7001" i="41"/>
  <c r="K7001" i="41"/>
  <c r="H7001" i="41"/>
  <c r="I7001" i="41"/>
  <c r="J6905" i="41"/>
  <c r="G6905" i="41"/>
  <c r="K6905" i="41"/>
  <c r="H6905" i="41"/>
  <c r="I6905" i="41"/>
  <c r="J6809" i="41"/>
  <c r="G6809" i="41"/>
  <c r="K6809" i="41"/>
  <c r="H6809" i="41"/>
  <c r="I6809" i="41"/>
  <c r="J6713" i="41"/>
  <c r="G6713" i="41"/>
  <c r="K6713" i="41"/>
  <c r="H6713" i="41"/>
  <c r="I6713" i="41"/>
  <c r="J7118" i="41"/>
  <c r="G7118" i="41"/>
  <c r="I7118" i="41"/>
  <c r="K7118" i="41"/>
  <c r="H7118" i="41"/>
  <c r="J7106" i="41"/>
  <c r="G7106" i="41"/>
  <c r="K7106" i="41"/>
  <c r="I7106" i="41"/>
  <c r="H7106" i="41"/>
  <c r="J7094" i="41"/>
  <c r="G7094" i="41"/>
  <c r="K7094" i="41"/>
  <c r="I7094" i="41"/>
  <c r="H7094" i="41"/>
  <c r="J7082" i="41"/>
  <c r="G7082" i="41"/>
  <c r="K7082" i="41"/>
  <c r="I7082" i="41"/>
  <c r="H7082" i="41"/>
  <c r="J7058" i="41"/>
  <c r="G7058" i="41"/>
  <c r="K7058" i="41"/>
  <c r="H7058" i="41"/>
  <c r="I7058" i="41"/>
  <c r="J6994" i="41"/>
  <c r="G6994" i="41"/>
  <c r="K6994" i="41"/>
  <c r="H6994" i="41"/>
  <c r="I6994" i="41"/>
  <c r="J6930" i="41"/>
  <c r="G6930" i="41"/>
  <c r="K6930" i="41"/>
  <c r="H6930" i="41"/>
  <c r="I6930" i="41"/>
  <c r="J6882" i="41"/>
  <c r="G6882" i="41"/>
  <c r="K6882" i="41"/>
  <c r="H6882" i="41"/>
  <c r="I6882" i="41"/>
  <c r="J6834" i="41"/>
  <c r="G6834" i="41"/>
  <c r="K6834" i="41"/>
  <c r="H6834" i="41"/>
  <c r="I6834" i="41"/>
  <c r="J6786" i="41"/>
  <c r="G6786" i="41"/>
  <c r="K6786" i="41"/>
  <c r="H6786" i="41"/>
  <c r="I6786" i="41"/>
  <c r="J6738" i="41"/>
  <c r="G6738" i="41"/>
  <c r="K6738" i="41"/>
  <c r="H6738" i="41"/>
  <c r="I6738" i="41"/>
  <c r="J6690" i="41"/>
  <c r="G6690" i="41"/>
  <c r="K6690" i="41"/>
  <c r="H6690" i="41"/>
  <c r="I6690" i="41"/>
  <c r="J6642" i="41"/>
  <c r="G6642" i="41"/>
  <c r="K6642" i="41"/>
  <c r="H6642" i="41"/>
  <c r="I6642" i="41"/>
  <c r="J6432" i="41"/>
  <c r="G6432" i="41"/>
  <c r="K6432" i="41"/>
  <c r="H6432" i="41"/>
  <c r="I6432" i="41"/>
  <c r="J6336" i="41"/>
  <c r="G6336" i="41"/>
  <c r="K6336" i="41"/>
  <c r="H6336" i="41"/>
  <c r="I6336" i="41"/>
  <c r="J6240" i="41"/>
  <c r="G6240" i="41"/>
  <c r="K6240" i="41"/>
  <c r="H6240" i="41"/>
  <c r="I6240" i="41"/>
  <c r="J6144" i="41"/>
  <c r="G6144" i="41"/>
  <c r="K6144" i="41"/>
  <c r="H6144" i="41"/>
  <c r="I6144" i="41"/>
  <c r="J7063" i="41"/>
  <c r="G7063" i="41"/>
  <c r="K7063" i="41"/>
  <c r="H7063" i="41"/>
  <c r="I7063" i="41"/>
  <c r="J7015" i="41"/>
  <c r="G7015" i="41"/>
  <c r="K7015" i="41"/>
  <c r="H7015" i="41"/>
  <c r="I7015" i="41"/>
  <c r="J6967" i="41"/>
  <c r="G6967" i="41"/>
  <c r="K6967" i="41"/>
  <c r="H6967" i="41"/>
  <c r="I6967" i="41"/>
  <c r="J6919" i="41"/>
  <c r="G6919" i="41"/>
  <c r="K6919" i="41"/>
  <c r="H6919" i="41"/>
  <c r="I6919" i="41"/>
  <c r="J6871" i="41"/>
  <c r="G6871" i="41"/>
  <c r="K6871" i="41"/>
  <c r="H6871" i="41"/>
  <c r="I6871" i="41"/>
  <c r="J6823" i="41"/>
  <c r="G6823" i="41"/>
  <c r="K6823" i="41"/>
  <c r="H6823" i="41"/>
  <c r="I6823" i="41"/>
  <c r="J6775" i="41"/>
  <c r="G6775" i="41"/>
  <c r="K6775" i="41"/>
  <c r="H6775" i="41"/>
  <c r="I6775" i="41"/>
  <c r="J6727" i="41"/>
  <c r="G6727" i="41"/>
  <c r="K6727" i="41"/>
  <c r="H6727" i="41"/>
  <c r="I6727" i="41"/>
  <c r="J6663" i="41"/>
  <c r="G6663" i="41"/>
  <c r="K6663" i="41"/>
  <c r="H6663" i="41"/>
  <c r="I6663" i="41"/>
  <c r="J7052" i="41"/>
  <c r="G7052" i="41"/>
  <c r="K7052" i="41"/>
  <c r="H7052" i="41"/>
  <c r="I7052" i="41"/>
  <c r="J7004" i="41"/>
  <c r="G7004" i="41"/>
  <c r="K7004" i="41"/>
  <c r="H7004" i="41"/>
  <c r="I7004" i="41"/>
  <c r="J6956" i="41"/>
  <c r="G6956" i="41"/>
  <c r="K6956" i="41"/>
  <c r="H6956" i="41"/>
  <c r="I6956" i="41"/>
  <c r="J6908" i="41"/>
  <c r="G6908" i="41"/>
  <c r="K6908" i="41"/>
  <c r="H6908" i="41"/>
  <c r="I6908" i="41"/>
  <c r="J6860" i="41"/>
  <c r="G6860" i="41"/>
  <c r="K6860" i="41"/>
  <c r="H6860" i="41"/>
  <c r="I6860" i="41"/>
  <c r="J6812" i="41"/>
  <c r="G6812" i="41"/>
  <c r="K6812" i="41"/>
  <c r="H6812" i="41"/>
  <c r="I6812" i="41"/>
  <c r="J6764" i="41"/>
  <c r="G6764" i="41"/>
  <c r="K6764" i="41"/>
  <c r="H6764" i="41"/>
  <c r="I6764" i="41"/>
  <c r="J6716" i="41"/>
  <c r="G6716" i="41"/>
  <c r="K6716" i="41"/>
  <c r="H6716" i="41"/>
  <c r="I6716" i="41"/>
  <c r="J6668" i="41"/>
  <c r="G6668" i="41"/>
  <c r="K6668" i="41"/>
  <c r="H6668" i="41"/>
  <c r="I6668" i="41"/>
  <c r="J6460" i="41"/>
  <c r="G6460" i="41"/>
  <c r="K6460" i="41"/>
  <c r="H6460" i="41"/>
  <c r="I6460" i="41"/>
  <c r="J6332" i="41"/>
  <c r="G6332" i="41"/>
  <c r="K6332" i="41"/>
  <c r="H6332" i="41"/>
  <c r="I6332" i="41"/>
  <c r="J6236" i="41"/>
  <c r="G6236" i="41"/>
  <c r="K6236" i="41"/>
  <c r="H6236" i="41"/>
  <c r="I6236" i="41"/>
  <c r="J6140" i="41"/>
  <c r="G6140" i="41"/>
  <c r="K6140" i="41"/>
  <c r="H6140" i="41"/>
  <c r="I6140" i="41"/>
  <c r="J6485" i="41"/>
  <c r="G6485" i="41"/>
  <c r="K6485" i="41"/>
  <c r="H6485" i="41"/>
  <c r="I6485" i="41"/>
  <c r="J6437" i="41"/>
  <c r="G6437" i="41"/>
  <c r="K6437" i="41"/>
  <c r="H6437" i="41"/>
  <c r="I6437" i="41"/>
  <c r="J6389" i="41"/>
  <c r="G6389" i="41"/>
  <c r="K6389" i="41"/>
  <c r="H6389" i="41"/>
  <c r="I6389" i="41"/>
  <c r="J6325" i="41"/>
  <c r="G6325" i="41"/>
  <c r="K6325" i="41"/>
  <c r="H6325" i="41"/>
  <c r="I6325" i="41"/>
  <c r="J6277" i="41"/>
  <c r="G6277" i="41"/>
  <c r="K6277" i="41"/>
  <c r="H6277" i="41"/>
  <c r="I6277" i="41"/>
  <c r="J6229" i="41"/>
  <c r="G6229" i="41"/>
  <c r="K6229" i="41"/>
  <c r="H6229" i="41"/>
  <c r="I6229" i="41"/>
  <c r="J6181" i="41"/>
  <c r="G6181" i="41"/>
  <c r="K6181" i="41"/>
  <c r="H6181" i="41"/>
  <c r="I6181" i="41"/>
  <c r="J6117" i="41"/>
  <c r="G6117" i="41"/>
  <c r="K6117" i="41"/>
  <c r="H6117" i="41"/>
  <c r="I6117" i="41"/>
  <c r="J6069" i="41"/>
  <c r="G6069" i="41"/>
  <c r="K6069" i="41"/>
  <c r="H6069" i="41"/>
  <c r="I6069" i="41"/>
  <c r="J6613" i="41"/>
  <c r="G6613" i="41"/>
  <c r="K6613" i="41"/>
  <c r="H6613" i="41"/>
  <c r="I6613" i="41"/>
  <c r="J6601" i="41"/>
  <c r="G6601" i="41"/>
  <c r="K6601" i="41"/>
  <c r="H6601" i="41"/>
  <c r="I6601" i="41"/>
  <c r="J6589" i="41"/>
  <c r="G6589" i="41"/>
  <c r="K6589" i="41"/>
  <c r="H6589" i="41"/>
  <c r="I6589" i="41"/>
  <c r="J6577" i="41"/>
  <c r="G6577" i="41"/>
  <c r="K6577" i="41"/>
  <c r="H6577" i="41"/>
  <c r="I6577" i="41"/>
  <c r="J6565" i="41"/>
  <c r="G6565" i="41"/>
  <c r="K6565" i="41"/>
  <c r="H6565" i="41"/>
  <c r="I6565" i="41"/>
  <c r="J6553" i="41"/>
  <c r="G6553" i="41"/>
  <c r="K6553" i="41"/>
  <c r="H6553" i="41"/>
  <c r="I6553" i="41"/>
  <c r="J6541" i="41"/>
  <c r="G6541" i="41"/>
  <c r="K6541" i="41"/>
  <c r="H6541" i="41"/>
  <c r="I6541" i="41"/>
  <c r="J6525" i="41"/>
  <c r="G6525" i="41"/>
  <c r="K6525" i="41"/>
  <c r="H6525" i="41"/>
  <c r="I6525" i="41"/>
  <c r="J6513" i="41"/>
  <c r="G6513" i="41"/>
  <c r="K6513" i="41"/>
  <c r="H6513" i="41"/>
  <c r="I6513" i="41"/>
  <c r="J6501" i="41"/>
  <c r="G6501" i="41"/>
  <c r="K6501" i="41"/>
  <c r="H6501" i="41"/>
  <c r="I6501" i="41"/>
  <c r="J6458" i="41"/>
  <c r="G6458" i="41"/>
  <c r="K6458" i="41"/>
  <c r="H6458" i="41"/>
  <c r="I6458" i="41"/>
  <c r="J6410" i="41"/>
  <c r="G6410" i="41"/>
  <c r="K6410" i="41"/>
  <c r="H6410" i="41"/>
  <c r="I6410" i="41"/>
  <c r="J6362" i="41"/>
  <c r="G6362" i="41"/>
  <c r="K6362" i="41"/>
  <c r="H6362" i="41"/>
  <c r="I6362" i="41"/>
  <c r="J6314" i="41"/>
  <c r="G6314" i="41"/>
  <c r="K6314" i="41"/>
  <c r="H6314" i="41"/>
  <c r="I6314" i="41"/>
  <c r="J6266" i="41"/>
  <c r="G6266" i="41"/>
  <c r="K6266" i="41"/>
  <c r="H6266" i="41"/>
  <c r="I6266" i="41"/>
  <c r="J6218" i="41"/>
  <c r="G6218" i="41"/>
  <c r="K6218" i="41"/>
  <c r="H6218" i="41"/>
  <c r="I6218" i="41"/>
  <c r="J6170" i="41"/>
  <c r="G6170" i="41"/>
  <c r="K6170" i="41"/>
  <c r="H6170" i="41"/>
  <c r="I6170" i="41"/>
  <c r="J6122" i="41"/>
  <c r="G6122" i="41"/>
  <c r="K6122" i="41"/>
  <c r="H6122" i="41"/>
  <c r="I6122" i="41"/>
  <c r="J6487" i="41"/>
  <c r="G6487" i="41"/>
  <c r="K6487" i="41"/>
  <c r="H6487" i="41"/>
  <c r="I6487" i="41"/>
  <c r="J6423" i="41"/>
  <c r="G6423" i="41"/>
  <c r="K6423" i="41"/>
  <c r="H6423" i="41"/>
  <c r="I6423" i="41"/>
  <c r="J6375" i="41"/>
  <c r="G6375" i="41"/>
  <c r="K6375" i="41"/>
  <c r="H6375" i="41"/>
  <c r="I6375" i="41"/>
  <c r="J6327" i="41"/>
  <c r="G6327" i="41"/>
  <c r="K6327" i="41"/>
  <c r="H6327" i="41"/>
  <c r="I6327" i="41"/>
  <c r="J6279" i="41"/>
  <c r="G6279" i="41"/>
  <c r="K6279" i="41"/>
  <c r="H6279" i="41"/>
  <c r="I6279" i="41"/>
  <c r="J6231" i="41"/>
  <c r="G6231" i="41"/>
  <c r="K6231" i="41"/>
  <c r="H6231" i="41"/>
  <c r="I6231" i="41"/>
  <c r="J6183" i="41"/>
  <c r="G6183" i="41"/>
  <c r="K6183" i="41"/>
  <c r="H6183" i="41"/>
  <c r="I6183" i="41"/>
  <c r="J6135" i="41"/>
  <c r="G6135" i="41"/>
  <c r="K6135" i="41"/>
  <c r="H6135" i="41"/>
  <c r="I6135" i="41"/>
  <c r="J6071" i="41"/>
  <c r="G6071" i="41"/>
  <c r="K6071" i="41"/>
  <c r="H6071" i="41"/>
  <c r="I6071" i="41"/>
  <c r="J5695" i="41"/>
  <c r="G5695" i="41"/>
  <c r="K5695" i="41"/>
  <c r="H5695" i="41"/>
  <c r="I5695" i="41"/>
  <c r="J5567" i="41"/>
  <c r="G5567" i="41"/>
  <c r="K5567" i="41"/>
  <c r="H5567" i="41"/>
  <c r="I5567" i="41"/>
  <c r="J5699" i="41"/>
  <c r="G5699" i="41"/>
  <c r="K5699" i="41"/>
  <c r="H5699" i="41"/>
  <c r="I5699" i="41"/>
  <c r="J5603" i="41"/>
  <c r="G5603" i="41"/>
  <c r="K5603" i="41"/>
  <c r="H5603" i="41"/>
  <c r="I5603" i="41"/>
  <c r="J5736" i="41"/>
  <c r="G5736" i="41"/>
  <c r="K5736" i="41"/>
  <c r="H5736" i="41"/>
  <c r="I5736" i="41"/>
  <c r="J5672" i="41"/>
  <c r="G5672" i="41"/>
  <c r="K5672" i="41"/>
  <c r="H5672" i="41"/>
  <c r="I5672" i="41"/>
  <c r="J5624" i="41"/>
  <c r="G5624" i="41"/>
  <c r="K5624" i="41"/>
  <c r="H5624" i="41"/>
  <c r="I5624" i="41"/>
  <c r="J5576" i="41"/>
  <c r="G5576" i="41"/>
  <c r="K5576" i="41"/>
  <c r="H5576" i="41"/>
  <c r="I5576" i="41"/>
  <c r="J5510" i="41"/>
  <c r="G5510" i="41"/>
  <c r="H5510" i="41"/>
  <c r="I5510" i="41"/>
  <c r="K5510" i="41"/>
  <c r="J5774" i="41"/>
  <c r="G5774" i="41"/>
  <c r="K5774" i="41"/>
  <c r="H5774" i="41"/>
  <c r="I5774" i="41"/>
  <c r="J5762" i="41"/>
  <c r="G5762" i="41"/>
  <c r="K5762" i="41"/>
  <c r="H5762" i="41"/>
  <c r="I5762" i="41"/>
  <c r="J5717" i="41"/>
  <c r="G5717" i="41"/>
  <c r="K5717" i="41"/>
  <c r="H5717" i="41"/>
  <c r="I5717" i="41"/>
  <c r="J5669" i="41"/>
  <c r="G5669" i="41"/>
  <c r="K5669" i="41"/>
  <c r="H5669" i="41"/>
  <c r="I5669" i="41"/>
  <c r="J5621" i="41"/>
  <c r="G5621" i="41"/>
  <c r="K5621" i="41"/>
  <c r="H5621" i="41"/>
  <c r="I5621" i="41"/>
  <c r="J5573" i="41"/>
  <c r="G5573" i="41"/>
  <c r="K5573" i="41"/>
  <c r="H5573" i="41"/>
  <c r="I5573" i="41"/>
  <c r="H5504" i="41"/>
  <c r="J5504" i="41"/>
  <c r="G5504" i="41"/>
  <c r="I5504" i="41"/>
  <c r="K5504" i="41"/>
  <c r="J5714" i="41"/>
  <c r="G5714" i="41"/>
  <c r="K5714" i="41"/>
  <c r="H5714" i="41"/>
  <c r="I5714" i="41"/>
  <c r="J5666" i="41"/>
  <c r="G5666" i="41"/>
  <c r="K5666" i="41"/>
  <c r="H5666" i="41"/>
  <c r="I5666" i="41"/>
  <c r="J5618" i="41"/>
  <c r="G5618" i="41"/>
  <c r="K5618" i="41"/>
  <c r="H5618" i="41"/>
  <c r="I5618" i="41"/>
  <c r="J5570" i="41"/>
  <c r="G5570" i="41"/>
  <c r="K5570" i="41"/>
  <c r="H5570" i="41"/>
  <c r="I5570" i="41"/>
  <c r="H5503" i="41"/>
  <c r="J5503" i="41"/>
  <c r="I5503" i="41"/>
  <c r="K5503" i="41"/>
  <c r="G5503" i="41"/>
  <c r="J5515" i="41"/>
  <c r="I5515" i="41"/>
  <c r="K5515" i="41"/>
  <c r="G5515" i="41"/>
  <c r="H5515" i="41"/>
  <c r="J5038" i="41"/>
  <c r="G5038" i="41"/>
  <c r="K5038" i="41"/>
  <c r="H5038" i="41"/>
  <c r="I5038" i="41"/>
  <c r="H5495" i="41"/>
  <c r="I5495" i="41"/>
  <c r="J5495" i="41"/>
  <c r="G5495" i="41"/>
  <c r="K5495" i="41"/>
  <c r="H5483" i="41"/>
  <c r="I5483" i="41"/>
  <c r="J5483" i="41"/>
  <c r="G5483" i="41"/>
  <c r="K5483" i="41"/>
  <c r="H5471" i="41"/>
  <c r="I5471" i="41"/>
  <c r="J5471" i="41"/>
  <c r="G5471" i="41"/>
  <c r="K5471" i="41"/>
  <c r="H5459" i="41"/>
  <c r="I5459" i="41"/>
  <c r="J5459" i="41"/>
  <c r="G5459" i="41"/>
  <c r="K5459" i="41"/>
  <c r="H5447" i="41"/>
  <c r="I5447" i="41"/>
  <c r="J5447" i="41"/>
  <c r="G5447" i="41"/>
  <c r="K5447" i="41"/>
  <c r="H5435" i="41"/>
  <c r="I5435" i="41"/>
  <c r="J5435" i="41"/>
  <c r="G5435" i="41"/>
  <c r="K5435" i="41"/>
  <c r="H5423" i="41"/>
  <c r="I5423" i="41"/>
  <c r="J5423" i="41"/>
  <c r="G5423" i="41"/>
  <c r="K5423" i="41"/>
  <c r="H5411" i="41"/>
  <c r="I5411" i="41"/>
  <c r="J5411" i="41"/>
  <c r="G5411" i="41"/>
  <c r="K5411" i="41"/>
  <c r="H5399" i="41"/>
  <c r="I5399" i="41"/>
  <c r="J5399" i="41"/>
  <c r="G5399" i="41"/>
  <c r="K5399" i="41"/>
  <c r="H5387" i="41"/>
  <c r="I5387" i="41"/>
  <c r="J5387" i="41"/>
  <c r="G5387" i="41"/>
  <c r="K5387" i="41"/>
  <c r="H5375" i="41"/>
  <c r="I5375" i="41"/>
  <c r="J5375" i="41"/>
  <c r="G5375" i="41"/>
  <c r="K5375" i="41"/>
  <c r="H5363" i="41"/>
  <c r="I5363" i="41"/>
  <c r="J5363" i="41"/>
  <c r="G5363" i="41"/>
  <c r="K5363" i="41"/>
  <c r="H5351" i="41"/>
  <c r="I5351" i="41"/>
  <c r="J5351" i="41"/>
  <c r="G5351" i="41"/>
  <c r="K5351" i="41"/>
  <c r="H5339" i="41"/>
  <c r="I5339" i="41"/>
  <c r="J5339" i="41"/>
  <c r="G5339" i="41"/>
  <c r="K5339" i="41"/>
  <c r="H5327" i="41"/>
  <c r="I5327" i="41"/>
  <c r="J5327" i="41"/>
  <c r="G5327" i="41"/>
  <c r="K5327" i="41"/>
  <c r="H5315" i="41"/>
  <c r="I5315" i="41"/>
  <c r="J5315" i="41"/>
  <c r="G5315" i="41"/>
  <c r="K5315" i="41"/>
  <c r="H5303" i="41"/>
  <c r="I5303" i="41"/>
  <c r="J5303" i="41"/>
  <c r="G5303" i="41"/>
  <c r="K5303" i="41"/>
  <c r="H5287" i="41"/>
  <c r="I5287" i="41"/>
  <c r="J5287" i="41"/>
  <c r="G5287" i="41"/>
  <c r="K5287" i="41"/>
  <c r="H5271" i="41"/>
  <c r="I5271" i="41"/>
  <c r="J5271" i="41"/>
  <c r="G5271" i="41"/>
  <c r="K5271" i="41"/>
  <c r="J5144" i="41"/>
  <c r="H5144" i="41"/>
  <c r="G5144" i="41"/>
  <c r="I5144" i="41"/>
  <c r="K5144" i="41"/>
  <c r="J5090" i="41"/>
  <c r="G5090" i="41"/>
  <c r="K5090" i="41"/>
  <c r="H5090" i="41"/>
  <c r="I5090" i="41"/>
  <c r="J4994" i="41"/>
  <c r="G4994" i="41"/>
  <c r="K4994" i="41"/>
  <c r="H4994" i="41"/>
  <c r="I4994" i="41"/>
  <c r="G5243" i="41"/>
  <c r="K5243" i="41"/>
  <c r="H5243" i="41"/>
  <c r="I5243" i="41"/>
  <c r="J5243" i="41"/>
  <c r="G5231" i="41"/>
  <c r="K5231" i="41"/>
  <c r="H5231" i="41"/>
  <c r="I5231" i="41"/>
  <c r="J5231" i="41"/>
  <c r="G5219" i="41"/>
  <c r="K5219" i="41"/>
  <c r="H5219" i="41"/>
  <c r="I5219" i="41"/>
  <c r="J5219" i="41"/>
  <c r="G5203" i="41"/>
  <c r="K5203" i="41"/>
  <c r="H5203" i="41"/>
  <c r="I5203" i="41"/>
  <c r="J5203" i="41"/>
  <c r="G5187" i="41"/>
  <c r="K5187" i="41"/>
  <c r="H5187" i="41"/>
  <c r="I5187" i="41"/>
  <c r="J5187" i="41"/>
  <c r="J5170" i="41"/>
  <c r="H5170" i="41"/>
  <c r="I5170" i="41"/>
  <c r="K5170" i="41"/>
  <c r="G5170" i="41"/>
  <c r="J5131" i="41"/>
  <c r="H5131" i="41"/>
  <c r="I5131" i="41"/>
  <c r="K5131" i="41"/>
  <c r="G5131" i="41"/>
  <c r="J5083" i="41"/>
  <c r="G5083" i="41"/>
  <c r="K5083" i="41"/>
  <c r="H5083" i="41"/>
  <c r="I5083" i="41"/>
  <c r="J5035" i="41"/>
  <c r="G5035" i="41"/>
  <c r="K5035" i="41"/>
  <c r="H5035" i="41"/>
  <c r="I5035" i="41"/>
  <c r="J4987" i="41"/>
  <c r="G4987" i="41"/>
  <c r="K4987" i="41"/>
  <c r="H4987" i="41"/>
  <c r="I4987" i="41"/>
  <c r="J5114" i="41"/>
  <c r="H5114" i="41"/>
  <c r="K5114" i="41"/>
  <c r="G5114" i="41"/>
  <c r="I5114" i="41"/>
  <c r="J5064" i="41"/>
  <c r="G5064" i="41"/>
  <c r="K5064" i="41"/>
  <c r="H5064" i="41"/>
  <c r="I5064" i="41"/>
  <c r="J5161" i="41"/>
  <c r="K5161" i="41"/>
  <c r="G5161" i="41"/>
  <c r="H5161" i="41"/>
  <c r="I5161" i="41"/>
  <c r="J5113" i="41"/>
  <c r="H5113" i="41"/>
  <c r="G5113" i="41"/>
  <c r="I5113" i="41"/>
  <c r="K5113" i="41"/>
  <c r="J5001" i="41"/>
  <c r="G5001" i="41"/>
  <c r="K5001" i="41"/>
  <c r="H5001" i="41"/>
  <c r="I5001" i="41"/>
  <c r="I4948" i="41"/>
  <c r="J4948" i="41"/>
  <c r="G4948" i="41"/>
  <c r="K4948" i="41"/>
  <c r="H4948" i="41"/>
  <c r="I4893" i="41"/>
  <c r="J4893" i="41"/>
  <c r="G4893" i="41"/>
  <c r="K4893" i="41"/>
  <c r="H4893" i="41"/>
  <c r="G5260" i="41"/>
  <c r="K5260" i="41"/>
  <c r="J5260" i="41"/>
  <c r="H5260" i="41"/>
  <c r="I5260" i="41"/>
  <c r="I5886" i="41"/>
  <c r="J5886" i="41"/>
  <c r="G5886" i="41"/>
  <c r="K5886" i="41"/>
  <c r="H5886" i="41"/>
  <c r="I5998" i="41"/>
  <c r="J5998" i="41"/>
  <c r="G5998" i="41"/>
  <c r="K5998" i="41"/>
  <c r="H5998" i="41"/>
  <c r="I5867" i="41"/>
  <c r="J5867" i="41"/>
  <c r="G5867" i="41"/>
  <c r="K5867" i="41"/>
  <c r="H5867" i="41"/>
  <c r="I5963" i="41"/>
  <c r="J5963" i="41"/>
  <c r="G5963" i="41"/>
  <c r="K5963" i="41"/>
  <c r="H5963" i="41"/>
  <c r="I6036" i="41"/>
  <c r="G6036" i="41"/>
  <c r="K6036" i="41"/>
  <c r="H6036" i="41"/>
  <c r="J6036" i="41"/>
  <c r="H7217" i="41"/>
  <c r="I7217" i="41"/>
  <c r="J7217" i="41"/>
  <c r="G7217" i="41"/>
  <c r="K7217" i="41"/>
  <c r="H7441" i="41"/>
  <c r="I7441" i="41"/>
  <c r="J7441" i="41"/>
  <c r="G7441" i="41"/>
  <c r="K7441" i="41"/>
  <c r="I7569" i="41"/>
  <c r="J7569" i="41"/>
  <c r="G7569" i="41"/>
  <c r="H7569" i="41"/>
  <c r="K7569" i="41"/>
  <c r="H7296" i="41"/>
  <c r="I7296" i="41"/>
  <c r="J7296" i="41"/>
  <c r="G7296" i="41"/>
  <c r="K7296" i="41"/>
  <c r="H7504" i="41"/>
  <c r="I7504" i="41"/>
  <c r="J7504" i="41"/>
  <c r="G7504" i="41"/>
  <c r="K7504" i="41"/>
  <c r="H7307" i="41"/>
  <c r="I7307" i="41"/>
  <c r="J7307" i="41"/>
  <c r="K7307" i="41"/>
  <c r="G7307" i="41"/>
  <c r="H7142" i="41"/>
  <c r="I7142" i="41"/>
  <c r="J7142" i="41"/>
  <c r="G7142" i="41"/>
  <c r="K7142" i="41"/>
  <c r="H7394" i="41"/>
  <c r="I7394" i="41"/>
  <c r="J7394" i="41"/>
  <c r="G7394" i="41"/>
  <c r="K7394" i="41"/>
  <c r="I4862" i="41"/>
  <c r="J4862" i="41"/>
  <c r="G4862" i="41"/>
  <c r="K4862" i="41"/>
  <c r="H4862" i="41"/>
  <c r="I4894" i="41"/>
  <c r="J4894" i="41"/>
  <c r="G4894" i="41"/>
  <c r="K4894" i="41"/>
  <c r="H4894" i="41"/>
  <c r="I4926" i="41"/>
  <c r="J4926" i="41"/>
  <c r="G4926" i="41"/>
  <c r="K4926" i="41"/>
  <c r="H4926" i="41"/>
  <c r="I4958" i="41"/>
  <c r="J4958" i="41"/>
  <c r="G4958" i="41"/>
  <c r="K4958" i="41"/>
  <c r="H4958" i="41"/>
  <c r="I4976" i="41"/>
  <c r="G4976" i="41"/>
  <c r="K4976" i="41"/>
  <c r="J4976" i="41"/>
  <c r="H4976" i="41"/>
  <c r="I4881" i="41"/>
  <c r="J4881" i="41"/>
  <c r="G4881" i="41"/>
  <c r="K4881" i="41"/>
  <c r="H4881" i="41"/>
  <c r="I4945" i="41"/>
  <c r="J4945" i="41"/>
  <c r="G4945" i="41"/>
  <c r="K4945" i="41"/>
  <c r="H4945" i="41"/>
  <c r="I4903" i="41"/>
  <c r="J4903" i="41"/>
  <c r="G4903" i="41"/>
  <c r="K4903" i="41"/>
  <c r="H4903" i="41"/>
  <c r="J5163" i="41"/>
  <c r="K5163" i="41"/>
  <c r="G5163" i="41"/>
  <c r="H5163" i="41"/>
  <c r="I5163" i="41"/>
  <c r="G5262" i="41"/>
  <c r="K5262" i="41"/>
  <c r="J5262" i="41"/>
  <c r="H5262" i="41"/>
  <c r="I5262" i="41"/>
  <c r="I5816" i="41"/>
  <c r="J5816" i="41"/>
  <c r="G5816" i="41"/>
  <c r="K5816" i="41"/>
  <c r="H5816" i="41"/>
  <c r="I5848" i="41"/>
  <c r="J5848" i="41"/>
  <c r="G5848" i="41"/>
  <c r="K5848" i="41"/>
  <c r="H5848" i="41"/>
  <c r="I5880" i="41"/>
  <c r="J5880" i="41"/>
  <c r="G5880" i="41"/>
  <c r="K5880" i="41"/>
  <c r="H5880" i="41"/>
  <c r="I5912" i="41"/>
  <c r="J5912" i="41"/>
  <c r="G5912" i="41"/>
  <c r="K5912" i="41"/>
  <c r="H5912" i="41"/>
  <c r="I5944" i="41"/>
  <c r="J5944" i="41"/>
  <c r="G5944" i="41"/>
  <c r="K5944" i="41"/>
  <c r="H5944" i="41"/>
  <c r="I5976" i="41"/>
  <c r="J5976" i="41"/>
  <c r="G5976" i="41"/>
  <c r="K5976" i="41"/>
  <c r="H5976" i="41"/>
  <c r="I6008" i="41"/>
  <c r="J6008" i="41"/>
  <c r="G6008" i="41"/>
  <c r="K6008" i="41"/>
  <c r="H6008" i="41"/>
  <c r="I5805" i="41"/>
  <c r="J5805" i="41"/>
  <c r="G5805" i="41"/>
  <c r="K5805" i="41"/>
  <c r="H5805" i="41"/>
  <c r="I5837" i="41"/>
  <c r="J5837" i="41"/>
  <c r="G5837" i="41"/>
  <c r="K5837" i="41"/>
  <c r="H5837" i="41"/>
  <c r="I5869" i="41"/>
  <c r="J5869" i="41"/>
  <c r="G5869" i="41"/>
  <c r="K5869" i="41"/>
  <c r="H5869" i="41"/>
  <c r="I5901" i="41"/>
  <c r="J5901" i="41"/>
  <c r="G5901" i="41"/>
  <c r="K5901" i="41"/>
  <c r="H5901" i="41"/>
  <c r="I5933" i="41"/>
  <c r="J5933" i="41"/>
  <c r="G5933" i="41"/>
  <c r="K5933" i="41"/>
  <c r="H5933" i="41"/>
  <c r="I5965" i="41"/>
  <c r="J5965" i="41"/>
  <c r="G5965" i="41"/>
  <c r="K5965" i="41"/>
  <c r="H5965" i="41"/>
  <c r="I5997" i="41"/>
  <c r="J5997" i="41"/>
  <c r="G5997" i="41"/>
  <c r="K5997" i="41"/>
  <c r="H5997" i="41"/>
  <c r="I6025" i="41"/>
  <c r="G6025" i="41"/>
  <c r="K6025" i="41"/>
  <c r="H6025" i="41"/>
  <c r="J6025" i="41"/>
  <c r="I6041" i="41"/>
  <c r="G6041" i="41"/>
  <c r="K6041" i="41"/>
  <c r="H6041" i="41"/>
  <c r="J6041" i="41"/>
  <c r="I6057" i="41"/>
  <c r="G6057" i="41"/>
  <c r="K6057" i="41"/>
  <c r="H6057" i="41"/>
  <c r="J6057" i="41"/>
  <c r="H7157" i="41"/>
  <c r="I7157" i="41"/>
  <c r="J7157" i="41"/>
  <c r="G7157" i="41"/>
  <c r="K7157" i="41"/>
  <c r="H7221" i="41"/>
  <c r="I7221" i="41"/>
  <c r="J7221" i="41"/>
  <c r="G7221" i="41"/>
  <c r="K7221" i="41"/>
  <c r="H7285" i="41"/>
  <c r="I7285" i="41"/>
  <c r="J7285" i="41"/>
  <c r="G7285" i="41"/>
  <c r="K7285" i="41"/>
  <c r="H7349" i="41"/>
  <c r="I7349" i="41"/>
  <c r="J7349" i="41"/>
  <c r="G7349" i="41"/>
  <c r="K7349" i="41"/>
  <c r="H7413" i="41"/>
  <c r="I7413" i="41"/>
  <c r="J7413" i="41"/>
  <c r="G7413" i="41"/>
  <c r="K7413" i="41"/>
  <c r="H7477" i="41"/>
  <c r="I7477" i="41"/>
  <c r="J7477" i="41"/>
  <c r="G7477" i="41"/>
  <c r="K7477" i="41"/>
  <c r="I7538" i="41"/>
  <c r="J7538" i="41"/>
  <c r="G7538" i="41"/>
  <c r="H7538" i="41"/>
  <c r="K7538" i="41"/>
  <c r="I7554" i="41"/>
  <c r="J7554" i="41"/>
  <c r="G7554" i="41"/>
  <c r="H7554" i="41"/>
  <c r="K7554" i="41"/>
  <c r="I7570" i="41"/>
  <c r="J7570" i="41"/>
  <c r="G7570" i="41"/>
  <c r="H7570" i="41"/>
  <c r="K7570" i="41"/>
  <c r="H7156" i="41"/>
  <c r="I7156" i="41"/>
  <c r="J7156" i="41"/>
  <c r="G7156" i="41"/>
  <c r="K7156" i="41"/>
  <c r="H7220" i="41"/>
  <c r="I7220" i="41"/>
  <c r="J7220" i="41"/>
  <c r="G7220" i="41"/>
  <c r="K7220" i="41"/>
  <c r="H7284" i="41"/>
  <c r="I7284" i="41"/>
  <c r="J7284" i="41"/>
  <c r="G7284" i="41"/>
  <c r="K7284" i="41"/>
  <c r="H7348" i="41"/>
  <c r="I7348" i="41"/>
  <c r="J7348" i="41"/>
  <c r="G7348" i="41"/>
  <c r="K7348" i="41"/>
  <c r="H7412" i="41"/>
  <c r="I7412" i="41"/>
  <c r="J7412" i="41"/>
  <c r="G7412" i="41"/>
  <c r="K7412" i="41"/>
  <c r="H7476" i="41"/>
  <c r="I7476" i="41"/>
  <c r="J7476" i="41"/>
  <c r="G7476" i="41"/>
  <c r="K7476" i="41"/>
  <c r="J7120" i="41"/>
  <c r="I7120" i="41"/>
  <c r="K7120" i="41"/>
  <c r="G7120" i="41"/>
  <c r="H7120" i="41"/>
  <c r="H7183" i="41"/>
  <c r="I7183" i="41"/>
  <c r="J7183" i="41"/>
  <c r="K7183" i="41"/>
  <c r="G7183" i="41"/>
  <c r="H7247" i="41"/>
  <c r="I7247" i="41"/>
  <c r="J7247" i="41"/>
  <c r="K7247" i="41"/>
  <c r="G7247" i="41"/>
  <c r="H7311" i="41"/>
  <c r="I7311" i="41"/>
  <c r="J7311" i="41"/>
  <c r="K7311" i="41"/>
  <c r="G7311" i="41"/>
  <c r="H7375" i="41"/>
  <c r="I7375" i="41"/>
  <c r="J7375" i="41"/>
  <c r="K7375" i="41"/>
  <c r="G7375" i="41"/>
  <c r="H7439" i="41"/>
  <c r="I7439" i="41"/>
  <c r="J7439" i="41"/>
  <c r="K7439" i="41"/>
  <c r="G7439" i="41"/>
  <c r="H7503" i="41"/>
  <c r="I7503" i="41"/>
  <c r="J7503" i="41"/>
  <c r="K7503" i="41"/>
  <c r="G7503" i="41"/>
  <c r="H7182" i="41"/>
  <c r="I7182" i="41"/>
  <c r="J7182" i="41"/>
  <c r="G7182" i="41"/>
  <c r="K7182" i="41"/>
  <c r="H7310" i="41"/>
  <c r="I7310" i="41"/>
  <c r="J7310" i="41"/>
  <c r="G7310" i="41"/>
  <c r="K7310" i="41"/>
  <c r="H7438" i="41"/>
  <c r="I7438" i="41"/>
  <c r="J7438" i="41"/>
  <c r="G7438" i="41"/>
  <c r="K7438" i="41"/>
  <c r="H7154" i="41"/>
  <c r="I7154" i="41"/>
  <c r="J7154" i="41"/>
  <c r="G7154" i="41"/>
  <c r="K7154" i="41"/>
  <c r="H7410" i="41"/>
  <c r="I7410" i="41"/>
  <c r="J7410" i="41"/>
  <c r="G7410" i="41"/>
  <c r="K7410" i="41"/>
  <c r="H7226" i="41"/>
  <c r="I7226" i="41"/>
  <c r="J7226" i="41"/>
  <c r="G7226" i="41"/>
  <c r="K7226" i="41"/>
  <c r="H7482" i="41"/>
  <c r="I7482" i="41"/>
  <c r="J7482" i="41"/>
  <c r="G7482" i="41"/>
  <c r="K7482" i="41"/>
  <c r="I4940" i="41"/>
  <c r="J4940" i="41"/>
  <c r="G4940" i="41"/>
  <c r="K4940" i="41"/>
  <c r="H4940" i="41"/>
  <c r="I4925" i="41"/>
  <c r="J4925" i="41"/>
  <c r="G4925" i="41"/>
  <c r="K4925" i="41"/>
  <c r="H4925" i="41"/>
  <c r="J5177" i="41"/>
  <c r="K5177" i="41"/>
  <c r="G5177" i="41"/>
  <c r="H5177" i="41"/>
  <c r="I5177" i="41"/>
  <c r="I5854" i="41"/>
  <c r="J5854" i="41"/>
  <c r="G5854" i="41"/>
  <c r="K5854" i="41"/>
  <c r="H5854" i="41"/>
  <c r="I5942" i="41"/>
  <c r="J5942" i="41"/>
  <c r="G5942" i="41"/>
  <c r="K5942" i="41"/>
  <c r="H5942" i="41"/>
  <c r="I5803" i="41"/>
  <c r="J5803" i="41"/>
  <c r="G5803" i="41"/>
  <c r="K5803" i="41"/>
  <c r="H5803" i="41"/>
  <c r="I5899" i="41"/>
  <c r="J5899" i="41"/>
  <c r="G5899" i="41"/>
  <c r="K5899" i="41"/>
  <c r="H5899" i="41"/>
  <c r="I6003" i="41"/>
  <c r="J6003" i="41"/>
  <c r="G6003" i="41"/>
  <c r="K6003" i="41"/>
  <c r="H6003" i="41"/>
  <c r="I6060" i="41"/>
  <c r="G6060" i="41"/>
  <c r="K6060" i="41"/>
  <c r="H6060" i="41"/>
  <c r="J6060" i="41"/>
  <c r="H7297" i="41"/>
  <c r="I7297" i="41"/>
  <c r="J7297" i="41"/>
  <c r="G7297" i="41"/>
  <c r="K7297" i="41"/>
  <c r="H7457" i="41"/>
  <c r="I7457" i="41"/>
  <c r="J7457" i="41"/>
  <c r="G7457" i="41"/>
  <c r="K7457" i="41"/>
  <c r="I7561" i="41"/>
  <c r="J7561" i="41"/>
  <c r="G7561" i="41"/>
  <c r="H7561" i="41"/>
  <c r="K7561" i="41"/>
  <c r="H7264" i="41"/>
  <c r="I7264" i="41"/>
  <c r="J7264" i="41"/>
  <c r="G7264" i="41"/>
  <c r="K7264" i="41"/>
  <c r="H7440" i="41"/>
  <c r="I7440" i="41"/>
  <c r="J7440" i="41"/>
  <c r="G7440" i="41"/>
  <c r="K7440" i="41"/>
  <c r="H7227" i="41"/>
  <c r="I7227" i="41"/>
  <c r="J7227" i="41"/>
  <c r="K7227" i="41"/>
  <c r="G7227" i="41"/>
  <c r="H7403" i="41"/>
  <c r="I7403" i="41"/>
  <c r="J7403" i="41"/>
  <c r="K7403" i="41"/>
  <c r="G7403" i="41"/>
  <c r="G7717" i="41"/>
  <c r="K7717" i="41"/>
  <c r="H7717" i="41"/>
  <c r="I7717" i="41"/>
  <c r="J7717" i="41"/>
  <c r="H7494" i="41"/>
  <c r="I7494" i="41"/>
  <c r="J7494" i="41"/>
  <c r="G7494" i="41"/>
  <c r="K7494" i="41"/>
  <c r="H7338" i="41"/>
  <c r="I7338" i="41"/>
  <c r="J7338" i="41"/>
  <c r="G7338" i="41"/>
  <c r="K7338" i="41"/>
  <c r="I4888" i="41"/>
  <c r="J4888" i="41"/>
  <c r="G4888" i="41"/>
  <c r="K4888" i="41"/>
  <c r="H4888" i="41"/>
  <c r="I4920" i="41"/>
  <c r="J4920" i="41"/>
  <c r="G4920" i="41"/>
  <c r="K4920" i="41"/>
  <c r="H4920" i="41"/>
  <c r="I4952" i="41"/>
  <c r="J4952" i="41"/>
  <c r="G4952" i="41"/>
  <c r="K4952" i="41"/>
  <c r="H4952" i="41"/>
  <c r="I4973" i="41"/>
  <c r="G4973" i="41"/>
  <c r="K4973" i="41"/>
  <c r="J4973" i="41"/>
  <c r="H4973" i="41"/>
  <c r="I4885" i="41"/>
  <c r="J4885" i="41"/>
  <c r="G4885" i="41"/>
  <c r="K4885" i="41"/>
  <c r="H4885" i="41"/>
  <c r="I4949" i="41"/>
  <c r="J4949" i="41"/>
  <c r="G4949" i="41"/>
  <c r="K4949" i="41"/>
  <c r="H4949" i="41"/>
  <c r="I4907" i="41"/>
  <c r="J4907" i="41"/>
  <c r="G4907" i="41"/>
  <c r="K4907" i="41"/>
  <c r="H4907" i="41"/>
  <c r="J5165" i="41"/>
  <c r="K5165" i="41"/>
  <c r="G5165" i="41"/>
  <c r="H5165" i="41"/>
  <c r="I5165" i="41"/>
  <c r="G5256" i="41"/>
  <c r="K5256" i="41"/>
  <c r="H5256" i="41"/>
  <c r="I5256" i="41"/>
  <c r="J5256" i="41"/>
  <c r="I5818" i="41"/>
  <c r="J5818" i="41"/>
  <c r="G5818" i="41"/>
  <c r="K5818" i="41"/>
  <c r="H5818" i="41"/>
  <c r="I5850" i="41"/>
  <c r="J5850" i="41"/>
  <c r="G5850" i="41"/>
  <c r="K5850" i="41"/>
  <c r="H5850" i="41"/>
  <c r="I5882" i="41"/>
  <c r="J5882" i="41"/>
  <c r="G5882" i="41"/>
  <c r="K5882" i="41"/>
  <c r="H5882" i="41"/>
  <c r="I5914" i="41"/>
  <c r="J5914" i="41"/>
  <c r="G5914" i="41"/>
  <c r="K5914" i="41"/>
  <c r="H5914" i="41"/>
  <c r="I5946" i="41"/>
  <c r="J5946" i="41"/>
  <c r="G5946" i="41"/>
  <c r="K5946" i="41"/>
  <c r="H5946" i="41"/>
  <c r="I5978" i="41"/>
  <c r="J5978" i="41"/>
  <c r="G5978" i="41"/>
  <c r="K5978" i="41"/>
  <c r="H5978" i="41"/>
  <c r="I6010" i="41"/>
  <c r="J6010" i="41"/>
  <c r="G6010" i="41"/>
  <c r="K6010" i="41"/>
  <c r="H6010" i="41"/>
  <c r="I5807" i="41"/>
  <c r="J5807" i="41"/>
  <c r="G5807" i="41"/>
  <c r="K5807" i="41"/>
  <c r="H5807" i="41"/>
  <c r="I5839" i="41"/>
  <c r="J5839" i="41"/>
  <c r="G5839" i="41"/>
  <c r="K5839" i="41"/>
  <c r="H5839" i="41"/>
  <c r="I5871" i="41"/>
  <c r="J5871" i="41"/>
  <c r="G5871" i="41"/>
  <c r="K5871" i="41"/>
  <c r="H5871" i="41"/>
  <c r="I5903" i="41"/>
  <c r="J5903" i="41"/>
  <c r="G5903" i="41"/>
  <c r="K5903" i="41"/>
  <c r="H5903" i="41"/>
  <c r="I5935" i="41"/>
  <c r="J5935" i="41"/>
  <c r="G5935" i="41"/>
  <c r="K5935" i="41"/>
  <c r="H5935" i="41"/>
  <c r="I5967" i="41"/>
  <c r="J5967" i="41"/>
  <c r="G5967" i="41"/>
  <c r="K5967" i="41"/>
  <c r="H5967" i="41"/>
  <c r="I5999" i="41"/>
  <c r="J5999" i="41"/>
  <c r="G5999" i="41"/>
  <c r="K5999" i="41"/>
  <c r="H5999" i="41"/>
  <c r="I6026" i="41"/>
  <c r="G6026" i="41"/>
  <c r="K6026" i="41"/>
  <c r="H6026" i="41"/>
  <c r="J6026" i="41"/>
  <c r="I6042" i="41"/>
  <c r="G6042" i="41"/>
  <c r="K6042" i="41"/>
  <c r="H6042" i="41"/>
  <c r="J6042" i="41"/>
  <c r="I6058" i="41"/>
  <c r="G6058" i="41"/>
  <c r="K6058" i="41"/>
  <c r="H6058" i="41"/>
  <c r="J6058" i="41"/>
  <c r="H7161" i="41"/>
  <c r="I7161" i="41"/>
  <c r="J7161" i="41"/>
  <c r="G7161" i="41"/>
  <c r="K7161" i="41"/>
  <c r="H7225" i="41"/>
  <c r="I7225" i="41"/>
  <c r="J7225" i="41"/>
  <c r="G7225" i="41"/>
  <c r="K7225" i="41"/>
  <c r="H7289" i="41"/>
  <c r="I7289" i="41"/>
  <c r="J7289" i="41"/>
  <c r="G7289" i="41"/>
  <c r="K7289" i="41"/>
  <c r="H7353" i="41"/>
  <c r="I7353" i="41"/>
  <c r="J7353" i="41"/>
  <c r="G7353" i="41"/>
  <c r="K7353" i="41"/>
  <c r="H7417" i="41"/>
  <c r="I7417" i="41"/>
  <c r="J7417" i="41"/>
  <c r="G7417" i="41"/>
  <c r="K7417" i="41"/>
  <c r="H7481" i="41"/>
  <c r="I7481" i="41"/>
  <c r="J7481" i="41"/>
  <c r="G7481" i="41"/>
  <c r="K7481" i="41"/>
  <c r="I7539" i="41"/>
  <c r="J7539" i="41"/>
  <c r="G7539" i="41"/>
  <c r="H7539" i="41"/>
  <c r="K7539" i="41"/>
  <c r="I7555" i="41"/>
  <c r="J7555" i="41"/>
  <c r="G7555" i="41"/>
  <c r="H7555" i="41"/>
  <c r="K7555" i="41"/>
  <c r="I7571" i="41"/>
  <c r="J7571" i="41"/>
  <c r="G7571" i="41"/>
  <c r="H7571" i="41"/>
  <c r="K7571" i="41"/>
  <c r="H7160" i="41"/>
  <c r="I7160" i="41"/>
  <c r="J7160" i="41"/>
  <c r="G7160" i="41"/>
  <c r="K7160" i="41"/>
  <c r="H7224" i="41"/>
  <c r="I7224" i="41"/>
  <c r="J7224" i="41"/>
  <c r="G7224" i="41"/>
  <c r="K7224" i="41"/>
  <c r="H7288" i="41"/>
  <c r="I7288" i="41"/>
  <c r="J7288" i="41"/>
  <c r="G7288" i="41"/>
  <c r="K7288" i="41"/>
  <c r="H7352" i="41"/>
  <c r="I7352" i="41"/>
  <c r="J7352" i="41"/>
  <c r="G7352" i="41"/>
  <c r="K7352" i="41"/>
  <c r="H7416" i="41"/>
  <c r="I7416" i="41"/>
  <c r="J7416" i="41"/>
  <c r="G7416" i="41"/>
  <c r="K7416" i="41"/>
  <c r="H7480" i="41"/>
  <c r="I7480" i="41"/>
  <c r="J7480" i="41"/>
  <c r="G7480" i="41"/>
  <c r="K7480" i="41"/>
  <c r="H7123" i="41"/>
  <c r="I7123" i="41"/>
  <c r="J7123" i="41"/>
  <c r="K7123" i="41"/>
  <c r="G7123" i="41"/>
  <c r="H7187" i="41"/>
  <c r="I7187" i="41"/>
  <c r="J7187" i="41"/>
  <c r="K7187" i="41"/>
  <c r="G7187" i="41"/>
  <c r="H7251" i="41"/>
  <c r="I7251" i="41"/>
  <c r="J7251" i="41"/>
  <c r="K7251" i="41"/>
  <c r="G7251" i="41"/>
  <c r="H7315" i="41"/>
  <c r="I7315" i="41"/>
  <c r="J7315" i="41"/>
  <c r="K7315" i="41"/>
  <c r="G7315" i="41"/>
  <c r="H7379" i="41"/>
  <c r="I7379" i="41"/>
  <c r="J7379" i="41"/>
  <c r="K7379" i="41"/>
  <c r="G7379" i="41"/>
  <c r="H7443" i="41"/>
  <c r="I7443" i="41"/>
  <c r="J7443" i="41"/>
  <c r="K7443" i="41"/>
  <c r="G7443" i="41"/>
  <c r="H7507" i="41"/>
  <c r="I7507" i="41"/>
  <c r="J7507" i="41"/>
  <c r="K7507" i="41"/>
  <c r="G7507" i="41"/>
  <c r="H7158" i="41"/>
  <c r="I7158" i="41"/>
  <c r="J7158" i="41"/>
  <c r="G7158" i="41"/>
  <c r="K7158" i="41"/>
  <c r="H7286" i="41"/>
  <c r="I7286" i="41"/>
  <c r="J7286" i="41"/>
  <c r="G7286" i="41"/>
  <c r="K7286" i="41"/>
  <c r="H7414" i="41"/>
  <c r="I7414" i="41"/>
  <c r="J7414" i="41"/>
  <c r="G7414" i="41"/>
  <c r="K7414" i="41"/>
  <c r="G7712" i="41"/>
  <c r="K7712" i="41"/>
  <c r="H7712" i="41"/>
  <c r="I7712" i="41"/>
  <c r="J7712" i="41"/>
  <c r="H7298" i="41"/>
  <c r="I7298" i="41"/>
  <c r="J7298" i="41"/>
  <c r="G7298" i="41"/>
  <c r="K7298" i="41"/>
  <c r="H7178" i="41"/>
  <c r="I7178" i="41"/>
  <c r="J7178" i="41"/>
  <c r="G7178" i="41"/>
  <c r="K7178" i="41"/>
  <c r="H7434" i="41"/>
  <c r="I7434" i="41"/>
  <c r="J7434" i="41"/>
  <c r="G7434" i="41"/>
  <c r="K7434" i="41"/>
  <c r="I4908" i="41"/>
  <c r="J4908" i="41"/>
  <c r="G4908" i="41"/>
  <c r="K4908" i="41"/>
  <c r="H4908" i="41"/>
  <c r="I4861" i="41"/>
  <c r="J4861" i="41"/>
  <c r="G4861" i="41"/>
  <c r="K4861" i="41"/>
  <c r="H4861" i="41"/>
  <c r="I4931" i="41"/>
  <c r="J4931" i="41"/>
  <c r="G4931" i="41"/>
  <c r="K4931" i="41"/>
  <c r="H4931" i="41"/>
  <c r="I5822" i="41"/>
  <c r="J5822" i="41"/>
  <c r="G5822" i="41"/>
  <c r="K5822" i="41"/>
  <c r="H5822" i="41"/>
  <c r="I5926" i="41"/>
  <c r="J5926" i="41"/>
  <c r="G5926" i="41"/>
  <c r="K5926" i="41"/>
  <c r="H5926" i="41"/>
  <c r="I6006" i="41"/>
  <c r="J6006" i="41"/>
  <c r="G6006" i="41"/>
  <c r="K6006" i="41"/>
  <c r="H6006" i="41"/>
  <c r="I5859" i="41"/>
  <c r="J5859" i="41"/>
  <c r="G5859" i="41"/>
  <c r="K5859" i="41"/>
  <c r="H5859" i="41"/>
  <c r="I5955" i="41"/>
  <c r="J5955" i="41"/>
  <c r="G5955" i="41"/>
  <c r="K5955" i="41"/>
  <c r="H5955" i="41"/>
  <c r="I6032" i="41"/>
  <c r="G6032" i="41"/>
  <c r="K6032" i="41"/>
  <c r="H6032" i="41"/>
  <c r="J6032" i="41"/>
  <c r="H7185" i="41"/>
  <c r="I7185" i="41"/>
  <c r="J7185" i="41"/>
  <c r="G7185" i="41"/>
  <c r="K7185" i="41"/>
  <c r="H7361" i="41"/>
  <c r="I7361" i="41"/>
  <c r="J7361" i="41"/>
  <c r="G7361" i="41"/>
  <c r="K7361" i="41"/>
  <c r="I7541" i="41"/>
  <c r="J7541" i="41"/>
  <c r="G7541" i="41"/>
  <c r="H7541" i="41"/>
  <c r="K7541" i="41"/>
  <c r="H7152" i="41"/>
  <c r="I7152" i="41"/>
  <c r="J7152" i="41"/>
  <c r="G7152" i="41"/>
  <c r="K7152" i="41"/>
  <c r="H7328" i="41"/>
  <c r="I7328" i="41"/>
  <c r="J7328" i="41"/>
  <c r="G7328" i="41"/>
  <c r="K7328" i="41"/>
  <c r="H7520" i="41"/>
  <c r="I7520" i="41"/>
  <c r="J7520" i="41"/>
  <c r="G7520" i="41"/>
  <c r="K7520" i="41"/>
  <c r="H7243" i="41"/>
  <c r="I7243" i="41"/>
  <c r="J7243" i="41"/>
  <c r="K7243" i="41"/>
  <c r="G7243" i="41"/>
  <c r="H7435" i="41"/>
  <c r="I7435" i="41"/>
  <c r="J7435" i="41"/>
  <c r="K7435" i="41"/>
  <c r="G7435" i="41"/>
  <c r="H7238" i="41"/>
  <c r="I7238" i="41"/>
  <c r="J7238" i="41"/>
  <c r="G7238" i="41"/>
  <c r="K7238" i="41"/>
  <c r="H7202" i="41"/>
  <c r="I7202" i="41"/>
  <c r="J7202" i="41"/>
  <c r="G7202" i="41"/>
  <c r="K7202" i="41"/>
  <c r="H7274" i="41"/>
  <c r="I7274" i="41"/>
  <c r="J7274" i="41"/>
  <c r="G7274" i="41"/>
  <c r="K7274" i="41"/>
  <c r="I4882" i="41"/>
  <c r="J4882" i="41"/>
  <c r="G4882" i="41"/>
  <c r="K4882" i="41"/>
  <c r="H4882" i="41"/>
  <c r="I4914" i="41"/>
  <c r="J4914" i="41"/>
  <c r="G4914" i="41"/>
  <c r="K4914" i="41"/>
  <c r="H4914" i="41"/>
  <c r="I4946" i="41"/>
  <c r="J4946" i="41"/>
  <c r="G4946" i="41"/>
  <c r="K4946" i="41"/>
  <c r="H4946" i="41"/>
  <c r="I4970" i="41"/>
  <c r="G4970" i="41"/>
  <c r="K4970" i="41"/>
  <c r="J4970" i="41"/>
  <c r="H4970" i="41"/>
  <c r="I4873" i="41"/>
  <c r="J4873" i="41"/>
  <c r="G4873" i="41"/>
  <c r="K4873" i="41"/>
  <c r="H4873" i="41"/>
  <c r="I4937" i="41"/>
  <c r="J4937" i="41"/>
  <c r="G4937" i="41"/>
  <c r="K4937" i="41"/>
  <c r="H4937" i="41"/>
  <c r="I4895" i="41"/>
  <c r="J4895" i="41"/>
  <c r="G4895" i="41"/>
  <c r="K4895" i="41"/>
  <c r="H4895" i="41"/>
  <c r="I4959" i="41"/>
  <c r="J4959" i="41"/>
  <c r="G4959" i="41"/>
  <c r="K4959" i="41"/>
  <c r="H4959" i="41"/>
  <c r="G5258" i="41"/>
  <c r="K5258" i="41"/>
  <c r="J5258" i="41"/>
  <c r="H5258" i="41"/>
  <c r="I5258" i="41"/>
  <c r="I5812" i="41"/>
  <c r="J5812" i="41"/>
  <c r="G5812" i="41"/>
  <c r="K5812" i="41"/>
  <c r="H5812" i="41"/>
  <c r="I5844" i="41"/>
  <c r="J5844" i="41"/>
  <c r="G5844" i="41"/>
  <c r="K5844" i="41"/>
  <c r="H5844" i="41"/>
  <c r="I5876" i="41"/>
  <c r="J5876" i="41"/>
  <c r="G5876" i="41"/>
  <c r="K5876" i="41"/>
  <c r="H5876" i="41"/>
  <c r="I5908" i="41"/>
  <c r="J5908" i="41"/>
  <c r="G5908" i="41"/>
  <c r="K5908" i="41"/>
  <c r="H5908" i="41"/>
  <c r="I5940" i="41"/>
  <c r="J5940" i="41"/>
  <c r="G5940" i="41"/>
  <c r="K5940" i="41"/>
  <c r="H5940" i="41"/>
  <c r="I5972" i="41"/>
  <c r="J5972" i="41"/>
  <c r="G5972" i="41"/>
  <c r="K5972" i="41"/>
  <c r="H5972" i="41"/>
  <c r="I6004" i="41"/>
  <c r="J6004" i="41"/>
  <c r="G6004" i="41"/>
  <c r="K6004" i="41"/>
  <c r="H6004" i="41"/>
  <c r="I5801" i="41"/>
  <c r="J5801" i="41"/>
  <c r="G5801" i="41"/>
  <c r="K5801" i="41"/>
  <c r="H5801" i="41"/>
  <c r="I5833" i="41"/>
  <c r="J5833" i="41"/>
  <c r="G5833" i="41"/>
  <c r="K5833" i="41"/>
  <c r="H5833" i="41"/>
  <c r="I5865" i="41"/>
  <c r="J5865" i="41"/>
  <c r="G5865" i="41"/>
  <c r="K5865" i="41"/>
  <c r="H5865" i="41"/>
  <c r="I5897" i="41"/>
  <c r="J5897" i="41"/>
  <c r="G5897" i="41"/>
  <c r="K5897" i="41"/>
  <c r="H5897" i="41"/>
  <c r="I5929" i="41"/>
  <c r="J5929" i="41"/>
  <c r="G5929" i="41"/>
  <c r="K5929" i="41"/>
  <c r="H5929" i="41"/>
  <c r="I5961" i="41"/>
  <c r="J5961" i="41"/>
  <c r="G5961" i="41"/>
  <c r="K5961" i="41"/>
  <c r="H5961" i="41"/>
  <c r="I5993" i="41"/>
  <c r="J5993" i="41"/>
  <c r="G5993" i="41"/>
  <c r="K5993" i="41"/>
  <c r="H5993" i="41"/>
  <c r="I6023" i="41"/>
  <c r="G6023" i="41"/>
  <c r="K6023" i="41"/>
  <c r="H6023" i="41"/>
  <c r="J6023" i="41"/>
  <c r="I6039" i="41"/>
  <c r="G6039" i="41"/>
  <c r="K6039" i="41"/>
  <c r="H6039" i="41"/>
  <c r="J6039" i="41"/>
  <c r="I6055" i="41"/>
  <c r="G6055" i="41"/>
  <c r="K6055" i="41"/>
  <c r="H6055" i="41"/>
  <c r="J6055" i="41"/>
  <c r="H7149" i="41"/>
  <c r="I7149" i="41"/>
  <c r="J7149" i="41"/>
  <c r="G7149" i="41"/>
  <c r="K7149" i="41"/>
  <c r="H7213" i="41"/>
  <c r="I7213" i="41"/>
  <c r="J7213" i="41"/>
  <c r="G7213" i="41"/>
  <c r="K7213" i="41"/>
  <c r="H7277" i="41"/>
  <c r="I7277" i="41"/>
  <c r="J7277" i="41"/>
  <c r="G7277" i="41"/>
  <c r="K7277" i="41"/>
  <c r="H7341" i="41"/>
  <c r="I7341" i="41"/>
  <c r="J7341" i="41"/>
  <c r="G7341" i="41"/>
  <c r="K7341" i="41"/>
  <c r="H7405" i="41"/>
  <c r="I7405" i="41"/>
  <c r="J7405" i="41"/>
  <c r="G7405" i="41"/>
  <c r="K7405" i="41"/>
  <c r="H7469" i="41"/>
  <c r="I7469" i="41"/>
  <c r="J7469" i="41"/>
  <c r="G7469" i="41"/>
  <c r="K7469" i="41"/>
  <c r="H7533" i="41"/>
  <c r="I7533" i="41"/>
  <c r="J7533" i="41"/>
  <c r="G7533" i="41"/>
  <c r="K7533" i="41"/>
  <c r="I7552" i="41"/>
  <c r="J7552" i="41"/>
  <c r="G7552" i="41"/>
  <c r="H7552" i="41"/>
  <c r="K7552" i="41"/>
  <c r="I7568" i="41"/>
  <c r="J7568" i="41"/>
  <c r="G7568" i="41"/>
  <c r="H7568" i="41"/>
  <c r="K7568" i="41"/>
  <c r="H7148" i="41"/>
  <c r="I7148" i="41"/>
  <c r="J7148" i="41"/>
  <c r="G7148" i="41"/>
  <c r="K7148" i="41"/>
  <c r="H7212" i="41"/>
  <c r="I7212" i="41"/>
  <c r="J7212" i="41"/>
  <c r="G7212" i="41"/>
  <c r="K7212" i="41"/>
  <c r="H7276" i="41"/>
  <c r="I7276" i="41"/>
  <c r="J7276" i="41"/>
  <c r="G7276" i="41"/>
  <c r="K7276" i="41"/>
  <c r="H7340" i="41"/>
  <c r="I7340" i="41"/>
  <c r="J7340" i="41"/>
  <c r="G7340" i="41"/>
  <c r="K7340" i="41"/>
  <c r="H7404" i="41"/>
  <c r="I7404" i="41"/>
  <c r="J7404" i="41"/>
  <c r="G7404" i="41"/>
  <c r="K7404" i="41"/>
  <c r="H7468" i="41"/>
  <c r="I7468" i="41"/>
  <c r="J7468" i="41"/>
  <c r="G7468" i="41"/>
  <c r="K7468" i="41"/>
  <c r="H7532" i="41"/>
  <c r="I7532" i="41"/>
  <c r="J7532" i="41"/>
  <c r="G7532" i="41"/>
  <c r="K7532" i="41"/>
  <c r="H7175" i="41"/>
  <c r="I7175" i="41"/>
  <c r="J7175" i="41"/>
  <c r="K7175" i="41"/>
  <c r="G7175" i="41"/>
  <c r="H7239" i="41"/>
  <c r="I7239" i="41"/>
  <c r="J7239" i="41"/>
  <c r="K7239" i="41"/>
  <c r="G7239" i="41"/>
  <c r="H7303" i="41"/>
  <c r="I7303" i="41"/>
  <c r="J7303" i="41"/>
  <c r="K7303" i="41"/>
  <c r="G7303" i="41"/>
  <c r="H7367" i="41"/>
  <c r="I7367" i="41"/>
  <c r="J7367" i="41"/>
  <c r="K7367" i="41"/>
  <c r="G7367" i="41"/>
  <c r="H7431" i="41"/>
  <c r="I7431" i="41"/>
  <c r="J7431" i="41"/>
  <c r="K7431" i="41"/>
  <c r="G7431" i="41"/>
  <c r="H7495" i="41"/>
  <c r="I7495" i="41"/>
  <c r="J7495" i="41"/>
  <c r="K7495" i="41"/>
  <c r="G7495" i="41"/>
  <c r="H7134" i="41"/>
  <c r="I7134" i="41"/>
  <c r="J7134" i="41"/>
  <c r="G7134" i="41"/>
  <c r="K7134" i="41"/>
  <c r="H7262" i="41"/>
  <c r="I7262" i="41"/>
  <c r="J7262" i="41"/>
  <c r="G7262" i="41"/>
  <c r="K7262" i="41"/>
  <c r="H7390" i="41"/>
  <c r="I7390" i="41"/>
  <c r="J7390" i="41"/>
  <c r="G7390" i="41"/>
  <c r="K7390" i="41"/>
  <c r="H7518" i="41"/>
  <c r="I7518" i="41"/>
  <c r="J7518" i="41"/>
  <c r="G7518" i="41"/>
  <c r="K7518" i="41"/>
  <c r="H7186" i="41"/>
  <c r="I7186" i="41"/>
  <c r="J7186" i="41"/>
  <c r="G7186" i="41"/>
  <c r="K7186" i="41"/>
  <c r="H7442" i="41"/>
  <c r="I7442" i="41"/>
  <c r="J7442" i="41"/>
  <c r="G7442" i="41"/>
  <c r="K7442" i="41"/>
  <c r="H7258" i="41"/>
  <c r="I7258" i="41"/>
  <c r="J7258" i="41"/>
  <c r="G7258" i="41"/>
  <c r="K7258" i="41"/>
  <c r="H7514" i="41"/>
  <c r="I7514" i="41"/>
  <c r="J7514" i="41"/>
  <c r="G7514" i="41"/>
  <c r="K7514" i="41"/>
  <c r="G7708" i="41"/>
  <c r="K7708" i="41"/>
  <c r="H7708" i="41"/>
  <c r="I7708" i="41"/>
  <c r="J7708" i="41"/>
  <c r="G7704" i="41"/>
  <c r="K7704" i="41"/>
  <c r="H7704" i="41"/>
  <c r="I7704" i="41"/>
  <c r="J7704" i="41"/>
  <c r="G7700" i="41"/>
  <c r="K7700" i="41"/>
  <c r="H7700" i="41"/>
  <c r="I7700" i="41"/>
  <c r="J7700" i="41"/>
  <c r="G7696" i="41"/>
  <c r="K7696" i="41"/>
  <c r="H7696" i="41"/>
  <c r="I7696" i="41"/>
  <c r="J7696" i="41"/>
  <c r="G7692" i="41"/>
  <c r="K7692" i="41"/>
  <c r="H7692" i="41"/>
  <c r="I7692" i="41"/>
  <c r="J7692" i="41"/>
  <c r="G7688" i="41"/>
  <c r="K7688" i="41"/>
  <c r="H7688" i="41"/>
  <c r="I7688" i="41"/>
  <c r="J7688" i="41"/>
  <c r="G7684" i="41"/>
  <c r="K7684" i="41"/>
  <c r="H7684" i="41"/>
  <c r="I7684" i="41"/>
  <c r="J7684" i="41"/>
  <c r="G7680" i="41"/>
  <c r="K7680" i="41"/>
  <c r="H7680" i="41"/>
  <c r="I7680" i="41"/>
  <c r="J7680" i="41"/>
  <c r="G7676" i="41"/>
  <c r="K7676" i="41"/>
  <c r="H7676" i="41"/>
  <c r="I7676" i="41"/>
  <c r="J7676" i="41"/>
  <c r="G7672" i="41"/>
  <c r="K7672" i="41"/>
  <c r="H7672" i="41"/>
  <c r="I7672" i="41"/>
  <c r="J7672" i="41"/>
  <c r="G7668" i="41"/>
  <c r="K7668" i="41"/>
  <c r="H7668" i="41"/>
  <c r="I7668" i="41"/>
  <c r="J7668" i="41"/>
  <c r="G7664" i="41"/>
  <c r="K7664" i="41"/>
  <c r="H7664" i="41"/>
  <c r="I7664" i="41"/>
  <c r="J7664" i="41"/>
  <c r="G7660" i="41"/>
  <c r="K7660" i="41"/>
  <c r="H7660" i="41"/>
  <c r="I7660" i="41"/>
  <c r="J7660" i="41"/>
  <c r="G7656" i="41"/>
  <c r="K7656" i="41"/>
  <c r="H7656" i="41"/>
  <c r="I7656" i="41"/>
  <c r="J7656" i="41"/>
  <c r="G7652" i="41"/>
  <c r="K7652" i="41"/>
  <c r="H7652" i="41"/>
  <c r="I7652" i="41"/>
  <c r="J7652" i="41"/>
  <c r="G7648" i="41"/>
  <c r="K7648" i="41"/>
  <c r="H7648" i="41"/>
  <c r="I7648" i="41"/>
  <c r="J7648" i="41"/>
  <c r="G7644" i="41"/>
  <c r="K7644" i="41"/>
  <c r="H7644" i="41"/>
  <c r="I7644" i="41"/>
  <c r="J7644" i="41"/>
  <c r="G7640" i="41"/>
  <c r="K7640" i="41"/>
  <c r="H7640" i="41"/>
  <c r="I7640" i="41"/>
  <c r="J7640" i="41"/>
  <c r="G7636" i="41"/>
  <c r="K7636" i="41"/>
  <c r="H7636" i="41"/>
  <c r="I7636" i="41"/>
  <c r="J7636" i="41"/>
  <c r="G7632" i="41"/>
  <c r="K7632" i="41"/>
  <c r="H7632" i="41"/>
  <c r="I7632" i="41"/>
  <c r="J7632" i="41"/>
  <c r="G7628" i="41"/>
  <c r="K7628" i="41"/>
  <c r="H7628" i="41"/>
  <c r="I7628" i="41"/>
  <c r="J7628" i="41"/>
  <c r="G7624" i="41"/>
  <c r="K7624" i="41"/>
  <c r="H7624" i="41"/>
  <c r="I7624" i="41"/>
  <c r="J7624" i="41"/>
  <c r="G7620" i="41"/>
  <c r="K7620" i="41"/>
  <c r="H7620" i="41"/>
  <c r="I7620" i="41"/>
  <c r="J7620" i="41"/>
  <c r="G7616" i="41"/>
  <c r="K7616" i="41"/>
  <c r="H7616" i="41"/>
  <c r="I7616" i="41"/>
  <c r="J7616" i="41"/>
  <c r="G7612" i="41"/>
  <c r="K7612" i="41"/>
  <c r="H7612" i="41"/>
  <c r="I7612" i="41"/>
  <c r="J7612" i="41"/>
  <c r="G7608" i="41"/>
  <c r="K7608" i="41"/>
  <c r="H7608" i="41"/>
  <c r="I7608" i="41"/>
  <c r="J7608" i="41"/>
  <c r="G7604" i="41"/>
  <c r="K7604" i="41"/>
  <c r="H7604" i="41"/>
  <c r="I7604" i="41"/>
  <c r="J7604" i="41"/>
  <c r="G7600" i="41"/>
  <c r="K7600" i="41"/>
  <c r="H7600" i="41"/>
  <c r="I7600" i="41"/>
  <c r="J7600" i="41"/>
  <c r="G7596" i="41"/>
  <c r="K7596" i="41"/>
  <c r="H7596" i="41"/>
  <c r="I7596" i="41"/>
  <c r="J7596" i="41"/>
  <c r="G7592" i="41"/>
  <c r="K7592" i="41"/>
  <c r="H7592" i="41"/>
  <c r="I7592" i="41"/>
  <c r="J7592" i="41"/>
  <c r="G7588" i="41"/>
  <c r="K7588" i="41"/>
  <c r="H7588" i="41"/>
  <c r="I7588" i="41"/>
  <c r="J7588" i="41"/>
  <c r="G7584" i="41"/>
  <c r="K7584" i="41"/>
  <c r="H7584" i="41"/>
  <c r="I7584" i="41"/>
  <c r="J7584" i="41"/>
  <c r="G7580" i="41"/>
  <c r="K7580" i="41"/>
  <c r="H7580" i="41"/>
  <c r="I7580" i="41"/>
  <c r="J7580" i="41"/>
  <c r="J7045" i="41"/>
  <c r="G7045" i="41"/>
  <c r="K7045" i="41"/>
  <c r="H7045" i="41"/>
  <c r="I7045" i="41"/>
  <c r="J7013" i="41"/>
  <c r="G7013" i="41"/>
  <c r="K7013" i="41"/>
  <c r="H7013" i="41"/>
  <c r="I7013" i="41"/>
  <c r="J6981" i="41"/>
  <c r="G6981" i="41"/>
  <c r="K6981" i="41"/>
  <c r="H6981" i="41"/>
  <c r="I6981" i="41"/>
  <c r="J6949" i="41"/>
  <c r="G6949" i="41"/>
  <c r="K6949" i="41"/>
  <c r="H6949" i="41"/>
  <c r="I6949" i="41"/>
  <c r="J6917" i="41"/>
  <c r="G6917" i="41"/>
  <c r="K6917" i="41"/>
  <c r="H6917" i="41"/>
  <c r="I6917" i="41"/>
  <c r="J6885" i="41"/>
  <c r="G6885" i="41"/>
  <c r="K6885" i="41"/>
  <c r="H6885" i="41"/>
  <c r="I6885" i="41"/>
  <c r="J6853" i="41"/>
  <c r="G6853" i="41"/>
  <c r="K6853" i="41"/>
  <c r="H6853" i="41"/>
  <c r="I6853" i="41"/>
  <c r="J6821" i="41"/>
  <c r="G6821" i="41"/>
  <c r="K6821" i="41"/>
  <c r="H6821" i="41"/>
  <c r="I6821" i="41"/>
  <c r="J6789" i="41"/>
  <c r="G6789" i="41"/>
  <c r="K6789" i="41"/>
  <c r="H6789" i="41"/>
  <c r="I6789" i="41"/>
  <c r="J6757" i="41"/>
  <c r="G6757" i="41"/>
  <c r="K6757" i="41"/>
  <c r="H6757" i="41"/>
  <c r="I6757" i="41"/>
  <c r="J6725" i="41"/>
  <c r="G6725" i="41"/>
  <c r="K6725" i="41"/>
  <c r="H6725" i="41"/>
  <c r="I6725" i="41"/>
  <c r="J6693" i="41"/>
  <c r="G6693" i="41"/>
  <c r="K6693" i="41"/>
  <c r="H6693" i="41"/>
  <c r="I6693" i="41"/>
  <c r="J6661" i="41"/>
  <c r="G6661" i="41"/>
  <c r="K6661" i="41"/>
  <c r="H6661" i="41"/>
  <c r="I6661" i="41"/>
  <c r="J7121" i="41"/>
  <c r="G7121" i="41"/>
  <c r="H7121" i="41"/>
  <c r="I7121" i="41"/>
  <c r="K7121" i="41"/>
  <c r="J7057" i="41"/>
  <c r="G7057" i="41"/>
  <c r="K7057" i="41"/>
  <c r="H7057" i="41"/>
  <c r="I7057" i="41"/>
  <c r="J7025" i="41"/>
  <c r="G7025" i="41"/>
  <c r="K7025" i="41"/>
  <c r="H7025" i="41"/>
  <c r="I7025" i="41"/>
  <c r="J6993" i="41"/>
  <c r="G6993" i="41"/>
  <c r="K6993" i="41"/>
  <c r="H6993" i="41"/>
  <c r="I6993" i="41"/>
  <c r="J6961" i="41"/>
  <c r="G6961" i="41"/>
  <c r="K6961" i="41"/>
  <c r="H6961" i="41"/>
  <c r="I6961" i="41"/>
  <c r="J6929" i="41"/>
  <c r="G6929" i="41"/>
  <c r="K6929" i="41"/>
  <c r="H6929" i="41"/>
  <c r="I6929" i="41"/>
  <c r="J6897" i="41"/>
  <c r="G6897" i="41"/>
  <c r="K6897" i="41"/>
  <c r="H6897" i="41"/>
  <c r="I6897" i="41"/>
  <c r="J6865" i="41"/>
  <c r="G6865" i="41"/>
  <c r="K6865" i="41"/>
  <c r="H6865" i="41"/>
  <c r="I6865" i="41"/>
  <c r="J6833" i="41"/>
  <c r="G6833" i="41"/>
  <c r="K6833" i="41"/>
  <c r="H6833" i="41"/>
  <c r="I6833" i="41"/>
  <c r="J6801" i="41"/>
  <c r="G6801" i="41"/>
  <c r="K6801" i="41"/>
  <c r="H6801" i="41"/>
  <c r="I6801" i="41"/>
  <c r="J6769" i="41"/>
  <c r="G6769" i="41"/>
  <c r="K6769" i="41"/>
  <c r="H6769" i="41"/>
  <c r="I6769" i="41"/>
  <c r="J6737" i="41"/>
  <c r="G6737" i="41"/>
  <c r="K6737" i="41"/>
  <c r="H6737" i="41"/>
  <c r="I6737" i="41"/>
  <c r="J6705" i="41"/>
  <c r="G6705" i="41"/>
  <c r="K6705" i="41"/>
  <c r="H6705" i="41"/>
  <c r="I6705" i="41"/>
  <c r="J6673" i="41"/>
  <c r="G6673" i="41"/>
  <c r="K6673" i="41"/>
  <c r="H6673" i="41"/>
  <c r="I6673" i="41"/>
  <c r="J6641" i="41"/>
  <c r="G6641" i="41"/>
  <c r="K6641" i="41"/>
  <c r="H6641" i="41"/>
  <c r="I6641" i="41"/>
  <c r="J7117" i="41"/>
  <c r="G7117" i="41"/>
  <c r="K7117" i="41"/>
  <c r="I7117" i="41"/>
  <c r="H7117" i="41"/>
  <c r="J7113" i="41"/>
  <c r="G7113" i="41"/>
  <c r="K7113" i="41"/>
  <c r="I7113" i="41"/>
  <c r="H7113" i="41"/>
  <c r="J7109" i="41"/>
  <c r="G7109" i="41"/>
  <c r="K7109" i="41"/>
  <c r="I7109" i="41"/>
  <c r="H7109" i="41"/>
  <c r="J7105" i="41"/>
  <c r="G7105" i="41"/>
  <c r="K7105" i="41"/>
  <c r="I7105" i="41"/>
  <c r="H7105" i="41"/>
  <c r="J7101" i="41"/>
  <c r="G7101" i="41"/>
  <c r="K7101" i="41"/>
  <c r="I7101" i="41"/>
  <c r="H7101" i="41"/>
  <c r="J7097" i="41"/>
  <c r="G7097" i="41"/>
  <c r="K7097" i="41"/>
  <c r="I7097" i="41"/>
  <c r="H7097" i="41"/>
  <c r="J7093" i="41"/>
  <c r="G7093" i="41"/>
  <c r="K7093" i="41"/>
  <c r="I7093" i="41"/>
  <c r="H7093" i="41"/>
  <c r="J7089" i="41"/>
  <c r="G7089" i="41"/>
  <c r="K7089" i="41"/>
  <c r="I7089" i="41"/>
  <c r="H7089" i="41"/>
  <c r="J7085" i="41"/>
  <c r="G7085" i="41"/>
  <c r="K7085" i="41"/>
  <c r="I7085" i="41"/>
  <c r="H7085" i="41"/>
  <c r="J7081" i="41"/>
  <c r="G7081" i="41"/>
  <c r="K7081" i="41"/>
  <c r="I7081" i="41"/>
  <c r="H7081" i="41"/>
  <c r="J7077" i="41"/>
  <c r="G7077" i="41"/>
  <c r="K7077" i="41"/>
  <c r="I7077" i="41"/>
  <c r="H7077" i="41"/>
  <c r="J7070" i="41"/>
  <c r="G7070" i="41"/>
  <c r="K7070" i="41"/>
  <c r="H7070" i="41"/>
  <c r="I7070" i="41"/>
  <c r="J7054" i="41"/>
  <c r="G7054" i="41"/>
  <c r="K7054" i="41"/>
  <c r="H7054" i="41"/>
  <c r="I7054" i="41"/>
  <c r="J7038" i="41"/>
  <c r="G7038" i="41"/>
  <c r="K7038" i="41"/>
  <c r="H7038" i="41"/>
  <c r="I7038" i="41"/>
  <c r="J7022" i="41"/>
  <c r="G7022" i="41"/>
  <c r="K7022" i="41"/>
  <c r="H7022" i="41"/>
  <c r="I7022" i="41"/>
  <c r="J7006" i="41"/>
  <c r="G7006" i="41"/>
  <c r="K7006" i="41"/>
  <c r="H7006" i="41"/>
  <c r="I7006" i="41"/>
  <c r="J6990" i="41"/>
  <c r="G6990" i="41"/>
  <c r="K6990" i="41"/>
  <c r="H6990" i="41"/>
  <c r="I6990" i="41"/>
  <c r="J6974" i="41"/>
  <c r="G6974" i="41"/>
  <c r="K6974" i="41"/>
  <c r="H6974" i="41"/>
  <c r="I6974" i="41"/>
  <c r="J6958" i="41"/>
  <c r="G6958" i="41"/>
  <c r="K6958" i="41"/>
  <c r="H6958" i="41"/>
  <c r="I6958" i="41"/>
  <c r="J6942" i="41"/>
  <c r="G6942" i="41"/>
  <c r="K6942" i="41"/>
  <c r="H6942" i="41"/>
  <c r="I6942" i="41"/>
  <c r="J6926" i="41"/>
  <c r="G6926" i="41"/>
  <c r="K6926" i="41"/>
  <c r="H6926" i="41"/>
  <c r="I6926" i="41"/>
  <c r="J6910" i="41"/>
  <c r="G6910" i="41"/>
  <c r="K6910" i="41"/>
  <c r="H6910" i="41"/>
  <c r="I6910" i="41"/>
  <c r="J6894" i="41"/>
  <c r="G6894" i="41"/>
  <c r="K6894" i="41"/>
  <c r="H6894" i="41"/>
  <c r="I6894" i="41"/>
  <c r="J6878" i="41"/>
  <c r="G6878" i="41"/>
  <c r="K6878" i="41"/>
  <c r="H6878" i="41"/>
  <c r="I6878" i="41"/>
  <c r="J6862" i="41"/>
  <c r="G6862" i="41"/>
  <c r="K6862" i="41"/>
  <c r="H6862" i="41"/>
  <c r="I6862" i="41"/>
  <c r="J6846" i="41"/>
  <c r="G6846" i="41"/>
  <c r="K6846" i="41"/>
  <c r="H6846" i="41"/>
  <c r="I6846" i="41"/>
  <c r="J6830" i="41"/>
  <c r="G6830" i="41"/>
  <c r="K6830" i="41"/>
  <c r="H6830" i="41"/>
  <c r="I6830" i="41"/>
  <c r="J6814" i="41"/>
  <c r="G6814" i="41"/>
  <c r="K6814" i="41"/>
  <c r="H6814" i="41"/>
  <c r="I6814" i="41"/>
  <c r="J6798" i="41"/>
  <c r="G6798" i="41"/>
  <c r="K6798" i="41"/>
  <c r="H6798" i="41"/>
  <c r="I6798" i="41"/>
  <c r="J6782" i="41"/>
  <c r="G6782" i="41"/>
  <c r="K6782" i="41"/>
  <c r="H6782" i="41"/>
  <c r="I6782" i="41"/>
  <c r="J6766" i="41"/>
  <c r="G6766" i="41"/>
  <c r="K6766" i="41"/>
  <c r="H6766" i="41"/>
  <c r="I6766" i="41"/>
  <c r="J6750" i="41"/>
  <c r="G6750" i="41"/>
  <c r="K6750" i="41"/>
  <c r="H6750" i="41"/>
  <c r="I6750" i="41"/>
  <c r="J6734" i="41"/>
  <c r="G6734" i="41"/>
  <c r="K6734" i="41"/>
  <c r="H6734" i="41"/>
  <c r="I6734" i="41"/>
  <c r="J6718" i="41"/>
  <c r="G6718" i="41"/>
  <c r="K6718" i="41"/>
  <c r="H6718" i="41"/>
  <c r="I6718" i="41"/>
  <c r="J6702" i="41"/>
  <c r="G6702" i="41"/>
  <c r="K6702" i="41"/>
  <c r="H6702" i="41"/>
  <c r="I6702" i="41"/>
  <c r="J6686" i="41"/>
  <c r="G6686" i="41"/>
  <c r="K6686" i="41"/>
  <c r="H6686" i="41"/>
  <c r="I6686" i="41"/>
  <c r="J6670" i="41"/>
  <c r="G6670" i="41"/>
  <c r="K6670" i="41"/>
  <c r="H6670" i="41"/>
  <c r="I6670" i="41"/>
  <c r="J6654" i="41"/>
  <c r="G6654" i="41"/>
  <c r="K6654" i="41"/>
  <c r="H6654" i="41"/>
  <c r="I6654" i="41"/>
  <c r="J6638" i="41"/>
  <c r="G6638" i="41"/>
  <c r="K6638" i="41"/>
  <c r="H6638" i="41"/>
  <c r="I6638" i="41"/>
  <c r="J6488" i="41"/>
  <c r="G6488" i="41"/>
  <c r="K6488" i="41"/>
  <c r="H6488" i="41"/>
  <c r="I6488" i="41"/>
  <c r="J6456" i="41"/>
  <c r="G6456" i="41"/>
  <c r="K6456" i="41"/>
  <c r="H6456" i="41"/>
  <c r="I6456" i="41"/>
  <c r="J6424" i="41"/>
  <c r="G6424" i="41"/>
  <c r="K6424" i="41"/>
  <c r="H6424" i="41"/>
  <c r="I6424" i="41"/>
  <c r="J6392" i="41"/>
  <c r="G6392" i="41"/>
  <c r="K6392" i="41"/>
  <c r="H6392" i="41"/>
  <c r="I6392" i="41"/>
  <c r="J6360" i="41"/>
  <c r="G6360" i="41"/>
  <c r="K6360" i="41"/>
  <c r="H6360" i="41"/>
  <c r="I6360" i="41"/>
  <c r="J6328" i="41"/>
  <c r="G6328" i="41"/>
  <c r="K6328" i="41"/>
  <c r="H6328" i="41"/>
  <c r="I6328" i="41"/>
  <c r="J6296" i="41"/>
  <c r="G6296" i="41"/>
  <c r="K6296" i="41"/>
  <c r="H6296" i="41"/>
  <c r="I6296" i="41"/>
  <c r="J6264" i="41"/>
  <c r="G6264" i="41"/>
  <c r="K6264" i="41"/>
  <c r="H6264" i="41"/>
  <c r="I6264" i="41"/>
  <c r="J6232" i="41"/>
  <c r="G6232" i="41"/>
  <c r="K6232" i="41"/>
  <c r="H6232" i="41"/>
  <c r="I6232" i="41"/>
  <c r="J6200" i="41"/>
  <c r="G6200" i="41"/>
  <c r="K6200" i="41"/>
  <c r="H6200" i="41"/>
  <c r="I6200" i="41"/>
  <c r="J6168" i="41"/>
  <c r="G6168" i="41"/>
  <c r="K6168" i="41"/>
  <c r="H6168" i="41"/>
  <c r="I6168" i="41"/>
  <c r="J6136" i="41"/>
  <c r="G6136" i="41"/>
  <c r="K6136" i="41"/>
  <c r="H6136" i="41"/>
  <c r="I6136" i="41"/>
  <c r="J6104" i="41"/>
  <c r="G6104" i="41"/>
  <c r="K6104" i="41"/>
  <c r="H6104" i="41"/>
  <c r="I6104" i="41"/>
  <c r="J6072" i="41"/>
  <c r="G6072" i="41"/>
  <c r="K6072" i="41"/>
  <c r="H6072" i="41"/>
  <c r="I6072" i="41"/>
  <c r="J7059" i="41"/>
  <c r="G7059" i="41"/>
  <c r="K7059" i="41"/>
  <c r="H7059" i="41"/>
  <c r="I7059" i="41"/>
  <c r="J7043" i="41"/>
  <c r="G7043" i="41"/>
  <c r="K7043" i="41"/>
  <c r="H7043" i="41"/>
  <c r="I7043" i="41"/>
  <c r="J7027" i="41"/>
  <c r="G7027" i="41"/>
  <c r="K7027" i="41"/>
  <c r="H7027" i="41"/>
  <c r="I7027" i="41"/>
  <c r="J7011" i="41"/>
  <c r="G7011" i="41"/>
  <c r="K7011" i="41"/>
  <c r="H7011" i="41"/>
  <c r="I7011" i="41"/>
  <c r="J6995" i="41"/>
  <c r="G6995" i="41"/>
  <c r="K6995" i="41"/>
  <c r="H6995" i="41"/>
  <c r="I6995" i="41"/>
  <c r="J6979" i="41"/>
  <c r="G6979" i="41"/>
  <c r="K6979" i="41"/>
  <c r="H6979" i="41"/>
  <c r="I6979" i="41"/>
  <c r="J6963" i="41"/>
  <c r="G6963" i="41"/>
  <c r="K6963" i="41"/>
  <c r="H6963" i="41"/>
  <c r="I6963" i="41"/>
  <c r="J6947" i="41"/>
  <c r="G6947" i="41"/>
  <c r="K6947" i="41"/>
  <c r="H6947" i="41"/>
  <c r="I6947" i="41"/>
  <c r="J6931" i="41"/>
  <c r="G6931" i="41"/>
  <c r="K6931" i="41"/>
  <c r="H6931" i="41"/>
  <c r="I6931" i="41"/>
  <c r="J6915" i="41"/>
  <c r="G6915" i="41"/>
  <c r="K6915" i="41"/>
  <c r="H6915" i="41"/>
  <c r="I6915" i="41"/>
  <c r="J6899" i="41"/>
  <c r="G6899" i="41"/>
  <c r="K6899" i="41"/>
  <c r="H6899" i="41"/>
  <c r="I6899" i="41"/>
  <c r="J6883" i="41"/>
  <c r="G6883" i="41"/>
  <c r="K6883" i="41"/>
  <c r="H6883" i="41"/>
  <c r="I6883" i="41"/>
  <c r="J6867" i="41"/>
  <c r="G6867" i="41"/>
  <c r="K6867" i="41"/>
  <c r="H6867" i="41"/>
  <c r="I6867" i="41"/>
  <c r="J6851" i="41"/>
  <c r="G6851" i="41"/>
  <c r="K6851" i="41"/>
  <c r="H6851" i="41"/>
  <c r="I6851" i="41"/>
  <c r="J6835" i="41"/>
  <c r="G6835" i="41"/>
  <c r="K6835" i="41"/>
  <c r="H6835" i="41"/>
  <c r="I6835" i="41"/>
  <c r="J6819" i="41"/>
  <c r="G6819" i="41"/>
  <c r="K6819" i="41"/>
  <c r="H6819" i="41"/>
  <c r="I6819" i="41"/>
  <c r="J6803" i="41"/>
  <c r="G6803" i="41"/>
  <c r="K6803" i="41"/>
  <c r="H6803" i="41"/>
  <c r="I6803" i="41"/>
  <c r="J6787" i="41"/>
  <c r="G6787" i="41"/>
  <c r="K6787" i="41"/>
  <c r="H6787" i="41"/>
  <c r="I6787" i="41"/>
  <c r="J6771" i="41"/>
  <c r="G6771" i="41"/>
  <c r="K6771" i="41"/>
  <c r="H6771" i="41"/>
  <c r="I6771" i="41"/>
  <c r="J6755" i="41"/>
  <c r="G6755" i="41"/>
  <c r="K6755" i="41"/>
  <c r="H6755" i="41"/>
  <c r="I6755" i="41"/>
  <c r="J6739" i="41"/>
  <c r="G6739" i="41"/>
  <c r="K6739" i="41"/>
  <c r="H6739" i="41"/>
  <c r="I6739" i="41"/>
  <c r="J6723" i="41"/>
  <c r="G6723" i="41"/>
  <c r="K6723" i="41"/>
  <c r="H6723" i="41"/>
  <c r="I6723" i="41"/>
  <c r="J6707" i="41"/>
  <c r="G6707" i="41"/>
  <c r="K6707" i="41"/>
  <c r="H6707" i="41"/>
  <c r="I6707" i="41"/>
  <c r="J6691" i="41"/>
  <c r="G6691" i="41"/>
  <c r="K6691" i="41"/>
  <c r="H6691" i="41"/>
  <c r="I6691" i="41"/>
  <c r="J6675" i="41"/>
  <c r="G6675" i="41"/>
  <c r="K6675" i="41"/>
  <c r="H6675" i="41"/>
  <c r="I6675" i="41"/>
  <c r="J6659" i="41"/>
  <c r="G6659" i="41"/>
  <c r="K6659" i="41"/>
  <c r="H6659" i="41"/>
  <c r="I6659" i="41"/>
  <c r="J6643" i="41"/>
  <c r="G6643" i="41"/>
  <c r="K6643" i="41"/>
  <c r="H6643" i="41"/>
  <c r="I6643" i="41"/>
  <c r="G6628" i="41"/>
  <c r="K6628" i="41"/>
  <c r="H6628" i="41"/>
  <c r="I6628" i="41"/>
  <c r="J6628" i="41"/>
  <c r="J7064" i="41"/>
  <c r="G7064" i="41"/>
  <c r="K7064" i="41"/>
  <c r="H7064" i="41"/>
  <c r="I7064" i="41"/>
  <c r="J7048" i="41"/>
  <c r="G7048" i="41"/>
  <c r="K7048" i="41"/>
  <c r="H7048" i="41"/>
  <c r="I7048" i="41"/>
  <c r="J7032" i="41"/>
  <c r="G7032" i="41"/>
  <c r="K7032" i="41"/>
  <c r="H7032" i="41"/>
  <c r="I7032" i="41"/>
  <c r="J7016" i="41"/>
  <c r="G7016" i="41"/>
  <c r="K7016" i="41"/>
  <c r="H7016" i="41"/>
  <c r="I7016" i="41"/>
  <c r="J7000" i="41"/>
  <c r="G7000" i="41"/>
  <c r="K7000" i="41"/>
  <c r="H7000" i="41"/>
  <c r="I7000" i="41"/>
  <c r="J6984" i="41"/>
  <c r="G6984" i="41"/>
  <c r="K6984" i="41"/>
  <c r="H6984" i="41"/>
  <c r="I6984" i="41"/>
  <c r="J6968" i="41"/>
  <c r="G6968" i="41"/>
  <c r="K6968" i="41"/>
  <c r="H6968" i="41"/>
  <c r="I6968" i="41"/>
  <c r="J6952" i="41"/>
  <c r="G6952" i="41"/>
  <c r="K6952" i="41"/>
  <c r="H6952" i="41"/>
  <c r="I6952" i="41"/>
  <c r="J6936" i="41"/>
  <c r="G6936" i="41"/>
  <c r="K6936" i="41"/>
  <c r="H6936" i="41"/>
  <c r="I6936" i="41"/>
  <c r="J6920" i="41"/>
  <c r="G6920" i="41"/>
  <c r="K6920" i="41"/>
  <c r="H6920" i="41"/>
  <c r="I6920" i="41"/>
  <c r="J6904" i="41"/>
  <c r="G6904" i="41"/>
  <c r="K6904" i="41"/>
  <c r="H6904" i="41"/>
  <c r="I6904" i="41"/>
  <c r="J6888" i="41"/>
  <c r="G6888" i="41"/>
  <c r="K6888" i="41"/>
  <c r="H6888" i="41"/>
  <c r="I6888" i="41"/>
  <c r="J6872" i="41"/>
  <c r="G6872" i="41"/>
  <c r="K6872" i="41"/>
  <c r="H6872" i="41"/>
  <c r="I6872" i="41"/>
  <c r="J6856" i="41"/>
  <c r="G6856" i="41"/>
  <c r="K6856" i="41"/>
  <c r="H6856" i="41"/>
  <c r="I6856" i="41"/>
  <c r="J6840" i="41"/>
  <c r="G6840" i="41"/>
  <c r="K6840" i="41"/>
  <c r="H6840" i="41"/>
  <c r="I6840" i="41"/>
  <c r="J6824" i="41"/>
  <c r="G6824" i="41"/>
  <c r="K6824" i="41"/>
  <c r="H6824" i="41"/>
  <c r="I6824" i="41"/>
  <c r="J6808" i="41"/>
  <c r="G6808" i="41"/>
  <c r="K6808" i="41"/>
  <c r="H6808" i="41"/>
  <c r="I6808" i="41"/>
  <c r="J6792" i="41"/>
  <c r="G6792" i="41"/>
  <c r="K6792" i="41"/>
  <c r="H6792" i="41"/>
  <c r="I6792" i="41"/>
  <c r="J6776" i="41"/>
  <c r="G6776" i="41"/>
  <c r="K6776" i="41"/>
  <c r="H6776" i="41"/>
  <c r="I6776" i="41"/>
  <c r="J6760" i="41"/>
  <c r="G6760" i="41"/>
  <c r="K6760" i="41"/>
  <c r="H6760" i="41"/>
  <c r="I6760" i="41"/>
  <c r="J6744" i="41"/>
  <c r="G6744" i="41"/>
  <c r="K6744" i="41"/>
  <c r="H6744" i="41"/>
  <c r="I6744" i="41"/>
  <c r="J6728" i="41"/>
  <c r="G6728" i="41"/>
  <c r="K6728" i="41"/>
  <c r="H6728" i="41"/>
  <c r="I6728" i="41"/>
  <c r="J6712" i="41"/>
  <c r="G6712" i="41"/>
  <c r="K6712" i="41"/>
  <c r="H6712" i="41"/>
  <c r="I6712" i="41"/>
  <c r="J6696" i="41"/>
  <c r="G6696" i="41"/>
  <c r="K6696" i="41"/>
  <c r="H6696" i="41"/>
  <c r="I6696" i="41"/>
  <c r="J6680" i="41"/>
  <c r="G6680" i="41"/>
  <c r="K6680" i="41"/>
  <c r="H6680" i="41"/>
  <c r="I6680" i="41"/>
  <c r="J6664" i="41"/>
  <c r="G6664" i="41"/>
  <c r="K6664" i="41"/>
  <c r="H6664" i="41"/>
  <c r="I6664" i="41"/>
  <c r="J6648" i="41"/>
  <c r="G6648" i="41"/>
  <c r="K6648" i="41"/>
  <c r="H6648" i="41"/>
  <c r="I6648" i="41"/>
  <c r="J6632" i="41"/>
  <c r="G6632" i="41"/>
  <c r="K6632" i="41"/>
  <c r="H6632" i="41"/>
  <c r="I6632" i="41"/>
  <c r="J6484" i="41"/>
  <c r="G6484" i="41"/>
  <c r="K6484" i="41"/>
  <c r="H6484" i="41"/>
  <c r="I6484" i="41"/>
  <c r="J6452" i="41"/>
  <c r="G6452" i="41"/>
  <c r="K6452" i="41"/>
  <c r="H6452" i="41"/>
  <c r="I6452" i="41"/>
  <c r="J6420" i="41"/>
  <c r="G6420" i="41"/>
  <c r="K6420" i="41"/>
  <c r="H6420" i="41"/>
  <c r="I6420" i="41"/>
  <c r="J6388" i="41"/>
  <c r="G6388" i="41"/>
  <c r="K6388" i="41"/>
  <c r="H6388" i="41"/>
  <c r="I6388" i="41"/>
  <c r="J6356" i="41"/>
  <c r="G6356" i="41"/>
  <c r="K6356" i="41"/>
  <c r="H6356" i="41"/>
  <c r="I6356" i="41"/>
  <c r="J6324" i="41"/>
  <c r="G6324" i="41"/>
  <c r="K6324" i="41"/>
  <c r="H6324" i="41"/>
  <c r="I6324" i="41"/>
  <c r="J6292" i="41"/>
  <c r="G6292" i="41"/>
  <c r="K6292" i="41"/>
  <c r="H6292" i="41"/>
  <c r="I6292" i="41"/>
  <c r="J6260" i="41"/>
  <c r="G6260" i="41"/>
  <c r="K6260" i="41"/>
  <c r="H6260" i="41"/>
  <c r="I6260" i="41"/>
  <c r="J6228" i="41"/>
  <c r="G6228" i="41"/>
  <c r="K6228" i="41"/>
  <c r="H6228" i="41"/>
  <c r="I6228" i="41"/>
  <c r="J6196" i="41"/>
  <c r="G6196" i="41"/>
  <c r="K6196" i="41"/>
  <c r="H6196" i="41"/>
  <c r="I6196" i="41"/>
  <c r="J6164" i="41"/>
  <c r="G6164" i="41"/>
  <c r="K6164" i="41"/>
  <c r="H6164" i="41"/>
  <c r="I6164" i="41"/>
  <c r="J6132" i="41"/>
  <c r="G6132" i="41"/>
  <c r="K6132" i="41"/>
  <c r="H6132" i="41"/>
  <c r="I6132" i="41"/>
  <c r="J6100" i="41"/>
  <c r="G6100" i="41"/>
  <c r="K6100" i="41"/>
  <c r="H6100" i="41"/>
  <c r="I6100" i="41"/>
  <c r="J6068" i="41"/>
  <c r="G6068" i="41"/>
  <c r="K6068" i="41"/>
  <c r="H6068" i="41"/>
  <c r="I6068" i="41"/>
  <c r="J6481" i="41"/>
  <c r="G6481" i="41"/>
  <c r="K6481" i="41"/>
  <c r="H6481" i="41"/>
  <c r="I6481" i="41"/>
  <c r="J6465" i="41"/>
  <c r="G6465" i="41"/>
  <c r="K6465" i="41"/>
  <c r="H6465" i="41"/>
  <c r="I6465" i="41"/>
  <c r="J6449" i="41"/>
  <c r="G6449" i="41"/>
  <c r="K6449" i="41"/>
  <c r="H6449" i="41"/>
  <c r="I6449" i="41"/>
  <c r="J6433" i="41"/>
  <c r="G6433" i="41"/>
  <c r="K6433" i="41"/>
  <c r="H6433" i="41"/>
  <c r="I6433" i="41"/>
  <c r="J6417" i="41"/>
  <c r="G6417" i="41"/>
  <c r="K6417" i="41"/>
  <c r="H6417" i="41"/>
  <c r="I6417" i="41"/>
  <c r="J6401" i="41"/>
  <c r="G6401" i="41"/>
  <c r="K6401" i="41"/>
  <c r="H6401" i="41"/>
  <c r="I6401" i="41"/>
  <c r="J6385" i="41"/>
  <c r="G6385" i="41"/>
  <c r="K6385" i="41"/>
  <c r="H6385" i="41"/>
  <c r="I6385" i="41"/>
  <c r="J6369" i="41"/>
  <c r="G6369" i="41"/>
  <c r="K6369" i="41"/>
  <c r="H6369" i="41"/>
  <c r="I6369" i="41"/>
  <c r="J6353" i="41"/>
  <c r="G6353" i="41"/>
  <c r="K6353" i="41"/>
  <c r="H6353" i="41"/>
  <c r="I6353" i="41"/>
  <c r="J6337" i="41"/>
  <c r="G6337" i="41"/>
  <c r="K6337" i="41"/>
  <c r="H6337" i="41"/>
  <c r="I6337" i="41"/>
  <c r="J6321" i="41"/>
  <c r="G6321" i="41"/>
  <c r="K6321" i="41"/>
  <c r="H6321" i="41"/>
  <c r="I6321" i="41"/>
  <c r="J6305" i="41"/>
  <c r="G6305" i="41"/>
  <c r="K6305" i="41"/>
  <c r="H6305" i="41"/>
  <c r="I6305" i="41"/>
  <c r="J6289" i="41"/>
  <c r="G6289" i="41"/>
  <c r="K6289" i="41"/>
  <c r="H6289" i="41"/>
  <c r="I6289" i="41"/>
  <c r="J6273" i="41"/>
  <c r="G6273" i="41"/>
  <c r="K6273" i="41"/>
  <c r="H6273" i="41"/>
  <c r="I6273" i="41"/>
  <c r="J6257" i="41"/>
  <c r="G6257" i="41"/>
  <c r="K6257" i="41"/>
  <c r="H6257" i="41"/>
  <c r="I6257" i="41"/>
  <c r="J6241" i="41"/>
  <c r="G6241" i="41"/>
  <c r="K6241" i="41"/>
  <c r="H6241" i="41"/>
  <c r="I6241" i="41"/>
  <c r="J6225" i="41"/>
  <c r="G6225" i="41"/>
  <c r="K6225" i="41"/>
  <c r="H6225" i="41"/>
  <c r="I6225" i="41"/>
  <c r="J6209" i="41"/>
  <c r="G6209" i="41"/>
  <c r="K6209" i="41"/>
  <c r="H6209" i="41"/>
  <c r="I6209" i="41"/>
  <c r="J6193" i="41"/>
  <c r="G6193" i="41"/>
  <c r="K6193" i="41"/>
  <c r="H6193" i="41"/>
  <c r="I6193" i="41"/>
  <c r="J6177" i="41"/>
  <c r="G6177" i="41"/>
  <c r="K6177" i="41"/>
  <c r="H6177" i="41"/>
  <c r="I6177" i="41"/>
  <c r="J6161" i="41"/>
  <c r="G6161" i="41"/>
  <c r="K6161" i="41"/>
  <c r="H6161" i="41"/>
  <c r="I6161" i="41"/>
  <c r="J6145" i="41"/>
  <c r="G6145" i="41"/>
  <c r="K6145" i="41"/>
  <c r="H6145" i="41"/>
  <c r="I6145" i="41"/>
  <c r="J6129" i="41"/>
  <c r="G6129" i="41"/>
  <c r="K6129" i="41"/>
  <c r="H6129" i="41"/>
  <c r="I6129" i="41"/>
  <c r="J6113" i="41"/>
  <c r="G6113" i="41"/>
  <c r="K6113" i="41"/>
  <c r="H6113" i="41"/>
  <c r="I6113" i="41"/>
  <c r="J6097" i="41"/>
  <c r="G6097" i="41"/>
  <c r="K6097" i="41"/>
  <c r="H6097" i="41"/>
  <c r="I6097" i="41"/>
  <c r="J6081" i="41"/>
  <c r="G6081" i="41"/>
  <c r="K6081" i="41"/>
  <c r="H6081" i="41"/>
  <c r="I6081" i="41"/>
  <c r="J6065" i="41"/>
  <c r="G6065" i="41"/>
  <c r="K6065" i="41"/>
  <c r="H6065" i="41"/>
  <c r="I6065" i="41"/>
  <c r="G6623" i="41"/>
  <c r="K6623" i="41"/>
  <c r="I6623" i="41"/>
  <c r="J6623" i="41"/>
  <c r="H6623" i="41"/>
  <c r="J6616" i="41"/>
  <c r="G6616" i="41"/>
  <c r="K6616" i="41"/>
  <c r="H6616" i="41"/>
  <c r="I6616" i="41"/>
  <c r="J6612" i="41"/>
  <c r="G6612" i="41"/>
  <c r="K6612" i="41"/>
  <c r="H6612" i="41"/>
  <c r="I6612" i="41"/>
  <c r="J6608" i="41"/>
  <c r="G6608" i="41"/>
  <c r="K6608" i="41"/>
  <c r="H6608" i="41"/>
  <c r="I6608" i="41"/>
  <c r="J6604" i="41"/>
  <c r="G6604" i="41"/>
  <c r="K6604" i="41"/>
  <c r="H6604" i="41"/>
  <c r="I6604" i="41"/>
  <c r="J6600" i="41"/>
  <c r="G6600" i="41"/>
  <c r="K6600" i="41"/>
  <c r="H6600" i="41"/>
  <c r="I6600" i="41"/>
  <c r="J6596" i="41"/>
  <c r="G6596" i="41"/>
  <c r="K6596" i="41"/>
  <c r="H6596" i="41"/>
  <c r="I6596" i="41"/>
  <c r="J6592" i="41"/>
  <c r="G6592" i="41"/>
  <c r="K6592" i="41"/>
  <c r="H6592" i="41"/>
  <c r="I6592" i="41"/>
  <c r="J6588" i="41"/>
  <c r="G6588" i="41"/>
  <c r="K6588" i="41"/>
  <c r="H6588" i="41"/>
  <c r="I6588" i="41"/>
  <c r="J6584" i="41"/>
  <c r="G6584" i="41"/>
  <c r="K6584" i="41"/>
  <c r="H6584" i="41"/>
  <c r="I6584" i="41"/>
  <c r="J6580" i="41"/>
  <c r="G6580" i="41"/>
  <c r="K6580" i="41"/>
  <c r="H6580" i="41"/>
  <c r="I6580" i="41"/>
  <c r="J6576" i="41"/>
  <c r="G6576" i="41"/>
  <c r="K6576" i="41"/>
  <c r="H6576" i="41"/>
  <c r="I6576" i="41"/>
  <c r="J6572" i="41"/>
  <c r="G6572" i="41"/>
  <c r="K6572" i="41"/>
  <c r="H6572" i="41"/>
  <c r="I6572" i="41"/>
  <c r="J6568" i="41"/>
  <c r="G6568" i="41"/>
  <c r="K6568" i="41"/>
  <c r="H6568" i="41"/>
  <c r="I6568" i="41"/>
  <c r="J6564" i="41"/>
  <c r="G6564" i="41"/>
  <c r="K6564" i="41"/>
  <c r="H6564" i="41"/>
  <c r="I6564" i="41"/>
  <c r="J6560" i="41"/>
  <c r="G6560" i="41"/>
  <c r="K6560" i="41"/>
  <c r="H6560" i="41"/>
  <c r="I6560" i="41"/>
  <c r="J6556" i="41"/>
  <c r="G6556" i="41"/>
  <c r="K6556" i="41"/>
  <c r="H6556" i="41"/>
  <c r="I6556" i="41"/>
  <c r="J6552" i="41"/>
  <c r="G6552" i="41"/>
  <c r="K6552" i="41"/>
  <c r="H6552" i="41"/>
  <c r="I6552" i="41"/>
  <c r="J6548" i="41"/>
  <c r="G6548" i="41"/>
  <c r="K6548" i="41"/>
  <c r="H6548" i="41"/>
  <c r="I6548" i="41"/>
  <c r="J6544" i="41"/>
  <c r="G6544" i="41"/>
  <c r="K6544" i="41"/>
  <c r="H6544" i="41"/>
  <c r="I6544" i="41"/>
  <c r="J6540" i="41"/>
  <c r="G6540" i="41"/>
  <c r="K6540" i="41"/>
  <c r="H6540" i="41"/>
  <c r="I6540" i="41"/>
  <c r="J6536" i="41"/>
  <c r="G6536" i="41"/>
  <c r="K6536" i="41"/>
  <c r="H6536" i="41"/>
  <c r="I6536" i="41"/>
  <c r="J6532" i="41"/>
  <c r="G6532" i="41"/>
  <c r="K6532" i="41"/>
  <c r="H6532" i="41"/>
  <c r="I6532" i="41"/>
  <c r="J6528" i="41"/>
  <c r="G6528" i="41"/>
  <c r="K6528" i="41"/>
  <c r="H6528" i="41"/>
  <c r="I6528" i="41"/>
  <c r="J6524" i="41"/>
  <c r="G6524" i="41"/>
  <c r="K6524" i="41"/>
  <c r="H6524" i="41"/>
  <c r="I6524" i="41"/>
  <c r="J6520" i="41"/>
  <c r="G6520" i="41"/>
  <c r="K6520" i="41"/>
  <c r="H6520" i="41"/>
  <c r="I6520" i="41"/>
  <c r="J6516" i="41"/>
  <c r="G6516" i="41"/>
  <c r="K6516" i="41"/>
  <c r="H6516" i="41"/>
  <c r="I6516" i="41"/>
  <c r="J6512" i="41"/>
  <c r="G6512" i="41"/>
  <c r="K6512" i="41"/>
  <c r="H6512" i="41"/>
  <c r="I6512" i="41"/>
  <c r="J6508" i="41"/>
  <c r="G6508" i="41"/>
  <c r="K6508" i="41"/>
  <c r="H6508" i="41"/>
  <c r="I6508" i="41"/>
  <c r="J6504" i="41"/>
  <c r="G6504" i="41"/>
  <c r="K6504" i="41"/>
  <c r="H6504" i="41"/>
  <c r="I6504" i="41"/>
  <c r="J6500" i="41"/>
  <c r="G6500" i="41"/>
  <c r="K6500" i="41"/>
  <c r="H6500" i="41"/>
  <c r="I6500" i="41"/>
  <c r="J6496" i="41"/>
  <c r="G6496" i="41"/>
  <c r="K6496" i="41"/>
  <c r="H6496" i="41"/>
  <c r="I6496" i="41"/>
  <c r="J6486" i="41"/>
  <c r="G6486" i="41"/>
  <c r="K6486" i="41"/>
  <c r="H6486" i="41"/>
  <c r="I6486" i="41"/>
  <c r="J6470" i="41"/>
  <c r="G6470" i="41"/>
  <c r="K6470" i="41"/>
  <c r="H6470" i="41"/>
  <c r="I6470" i="41"/>
  <c r="J6454" i="41"/>
  <c r="G6454" i="41"/>
  <c r="K6454" i="41"/>
  <c r="H6454" i="41"/>
  <c r="I6454" i="41"/>
  <c r="J6438" i="41"/>
  <c r="G6438" i="41"/>
  <c r="K6438" i="41"/>
  <c r="H6438" i="41"/>
  <c r="I6438" i="41"/>
  <c r="J6422" i="41"/>
  <c r="G6422" i="41"/>
  <c r="K6422" i="41"/>
  <c r="H6422" i="41"/>
  <c r="I6422" i="41"/>
  <c r="J6406" i="41"/>
  <c r="G6406" i="41"/>
  <c r="K6406" i="41"/>
  <c r="H6406" i="41"/>
  <c r="I6406" i="41"/>
  <c r="J6390" i="41"/>
  <c r="G6390" i="41"/>
  <c r="K6390" i="41"/>
  <c r="H6390" i="41"/>
  <c r="I6390" i="41"/>
  <c r="J6374" i="41"/>
  <c r="G6374" i="41"/>
  <c r="K6374" i="41"/>
  <c r="H6374" i="41"/>
  <c r="I6374" i="41"/>
  <c r="J6358" i="41"/>
  <c r="G6358" i="41"/>
  <c r="K6358" i="41"/>
  <c r="H6358" i="41"/>
  <c r="I6358" i="41"/>
  <c r="J6342" i="41"/>
  <c r="G6342" i="41"/>
  <c r="K6342" i="41"/>
  <c r="H6342" i="41"/>
  <c r="I6342" i="41"/>
  <c r="J6326" i="41"/>
  <c r="G6326" i="41"/>
  <c r="K6326" i="41"/>
  <c r="H6326" i="41"/>
  <c r="I6326" i="41"/>
  <c r="J6310" i="41"/>
  <c r="G6310" i="41"/>
  <c r="K6310" i="41"/>
  <c r="H6310" i="41"/>
  <c r="I6310" i="41"/>
  <c r="J6294" i="41"/>
  <c r="G6294" i="41"/>
  <c r="K6294" i="41"/>
  <c r="H6294" i="41"/>
  <c r="I6294" i="41"/>
  <c r="J6278" i="41"/>
  <c r="G6278" i="41"/>
  <c r="K6278" i="41"/>
  <c r="H6278" i="41"/>
  <c r="I6278" i="41"/>
  <c r="J6262" i="41"/>
  <c r="G6262" i="41"/>
  <c r="K6262" i="41"/>
  <c r="H6262" i="41"/>
  <c r="I6262" i="41"/>
  <c r="J6246" i="41"/>
  <c r="G6246" i="41"/>
  <c r="K6246" i="41"/>
  <c r="H6246" i="41"/>
  <c r="I6246" i="41"/>
  <c r="J6230" i="41"/>
  <c r="G6230" i="41"/>
  <c r="K6230" i="41"/>
  <c r="H6230" i="41"/>
  <c r="I6230" i="41"/>
  <c r="J6214" i="41"/>
  <c r="G6214" i="41"/>
  <c r="K6214" i="41"/>
  <c r="H6214" i="41"/>
  <c r="I6214" i="41"/>
  <c r="J6198" i="41"/>
  <c r="G6198" i="41"/>
  <c r="K6198" i="41"/>
  <c r="H6198" i="41"/>
  <c r="I6198" i="41"/>
  <c r="J6182" i="41"/>
  <c r="G6182" i="41"/>
  <c r="K6182" i="41"/>
  <c r="H6182" i="41"/>
  <c r="I6182" i="41"/>
  <c r="J6166" i="41"/>
  <c r="G6166" i="41"/>
  <c r="K6166" i="41"/>
  <c r="H6166" i="41"/>
  <c r="I6166" i="41"/>
  <c r="J6150" i="41"/>
  <c r="G6150" i="41"/>
  <c r="K6150" i="41"/>
  <c r="H6150" i="41"/>
  <c r="I6150" i="41"/>
  <c r="J6134" i="41"/>
  <c r="G6134" i="41"/>
  <c r="K6134" i="41"/>
  <c r="H6134" i="41"/>
  <c r="I6134" i="41"/>
  <c r="J6118" i="41"/>
  <c r="G6118" i="41"/>
  <c r="K6118" i="41"/>
  <c r="H6118" i="41"/>
  <c r="I6118" i="41"/>
  <c r="J6102" i="41"/>
  <c r="G6102" i="41"/>
  <c r="K6102" i="41"/>
  <c r="H6102" i="41"/>
  <c r="I6102" i="41"/>
  <c r="J6086" i="41"/>
  <c r="G6086" i="41"/>
  <c r="K6086" i="41"/>
  <c r="H6086" i="41"/>
  <c r="I6086" i="41"/>
  <c r="J6070" i="41"/>
  <c r="G6070" i="41"/>
  <c r="K6070" i="41"/>
  <c r="H6070" i="41"/>
  <c r="I6070" i="41"/>
  <c r="J6483" i="41"/>
  <c r="G6483" i="41"/>
  <c r="K6483" i="41"/>
  <c r="H6483" i="41"/>
  <c r="I6483" i="41"/>
  <c r="J6467" i="41"/>
  <c r="G6467" i="41"/>
  <c r="K6467" i="41"/>
  <c r="H6467" i="41"/>
  <c r="I6467" i="41"/>
  <c r="J6451" i="41"/>
  <c r="G6451" i="41"/>
  <c r="K6451" i="41"/>
  <c r="H6451" i="41"/>
  <c r="I6451" i="41"/>
  <c r="J6435" i="41"/>
  <c r="G6435" i="41"/>
  <c r="K6435" i="41"/>
  <c r="H6435" i="41"/>
  <c r="I6435" i="41"/>
  <c r="J6419" i="41"/>
  <c r="G6419" i="41"/>
  <c r="K6419" i="41"/>
  <c r="H6419" i="41"/>
  <c r="I6419" i="41"/>
  <c r="J6403" i="41"/>
  <c r="G6403" i="41"/>
  <c r="K6403" i="41"/>
  <c r="H6403" i="41"/>
  <c r="I6403" i="41"/>
  <c r="J6387" i="41"/>
  <c r="G6387" i="41"/>
  <c r="K6387" i="41"/>
  <c r="H6387" i="41"/>
  <c r="I6387" i="41"/>
  <c r="J6371" i="41"/>
  <c r="G6371" i="41"/>
  <c r="K6371" i="41"/>
  <c r="H6371" i="41"/>
  <c r="I6371" i="41"/>
  <c r="J6355" i="41"/>
  <c r="G6355" i="41"/>
  <c r="K6355" i="41"/>
  <c r="H6355" i="41"/>
  <c r="I6355" i="41"/>
  <c r="J6339" i="41"/>
  <c r="G6339" i="41"/>
  <c r="K6339" i="41"/>
  <c r="H6339" i="41"/>
  <c r="I6339" i="41"/>
  <c r="J6323" i="41"/>
  <c r="G6323" i="41"/>
  <c r="K6323" i="41"/>
  <c r="H6323" i="41"/>
  <c r="I6323" i="41"/>
  <c r="J6307" i="41"/>
  <c r="G6307" i="41"/>
  <c r="K6307" i="41"/>
  <c r="H6307" i="41"/>
  <c r="I6307" i="41"/>
  <c r="J6291" i="41"/>
  <c r="G6291" i="41"/>
  <c r="K6291" i="41"/>
  <c r="H6291" i="41"/>
  <c r="I6291" i="41"/>
  <c r="J6275" i="41"/>
  <c r="G6275" i="41"/>
  <c r="K6275" i="41"/>
  <c r="H6275" i="41"/>
  <c r="I6275" i="41"/>
  <c r="J6259" i="41"/>
  <c r="G6259" i="41"/>
  <c r="K6259" i="41"/>
  <c r="H6259" i="41"/>
  <c r="I6259" i="41"/>
  <c r="J6243" i="41"/>
  <c r="G6243" i="41"/>
  <c r="K6243" i="41"/>
  <c r="H6243" i="41"/>
  <c r="I6243" i="41"/>
  <c r="J6227" i="41"/>
  <c r="G6227" i="41"/>
  <c r="K6227" i="41"/>
  <c r="H6227" i="41"/>
  <c r="I6227" i="41"/>
  <c r="J6211" i="41"/>
  <c r="G6211" i="41"/>
  <c r="K6211" i="41"/>
  <c r="H6211" i="41"/>
  <c r="I6211" i="41"/>
  <c r="J6195" i="41"/>
  <c r="G6195" i="41"/>
  <c r="K6195" i="41"/>
  <c r="H6195" i="41"/>
  <c r="I6195" i="41"/>
  <c r="J6179" i="41"/>
  <c r="G6179" i="41"/>
  <c r="K6179" i="41"/>
  <c r="H6179" i="41"/>
  <c r="I6179" i="41"/>
  <c r="J6163" i="41"/>
  <c r="G6163" i="41"/>
  <c r="K6163" i="41"/>
  <c r="H6163" i="41"/>
  <c r="I6163" i="41"/>
  <c r="J6147" i="41"/>
  <c r="G6147" i="41"/>
  <c r="K6147" i="41"/>
  <c r="H6147" i="41"/>
  <c r="I6147" i="41"/>
  <c r="J6131" i="41"/>
  <c r="G6131" i="41"/>
  <c r="K6131" i="41"/>
  <c r="H6131" i="41"/>
  <c r="I6131" i="41"/>
  <c r="J6115" i="41"/>
  <c r="G6115" i="41"/>
  <c r="K6115" i="41"/>
  <c r="H6115" i="41"/>
  <c r="I6115" i="41"/>
  <c r="J6099" i="41"/>
  <c r="G6099" i="41"/>
  <c r="K6099" i="41"/>
  <c r="H6099" i="41"/>
  <c r="I6099" i="41"/>
  <c r="J6083" i="41"/>
  <c r="G6083" i="41"/>
  <c r="K6083" i="41"/>
  <c r="H6083" i="41"/>
  <c r="I6083" i="41"/>
  <c r="J6067" i="41"/>
  <c r="G6067" i="41"/>
  <c r="K6067" i="41"/>
  <c r="H6067" i="41"/>
  <c r="I6067" i="41"/>
  <c r="J5751" i="41"/>
  <c r="G5751" i="41"/>
  <c r="K5751" i="41"/>
  <c r="H5751" i="41"/>
  <c r="I5751" i="41"/>
  <c r="J5719" i="41"/>
  <c r="G5719" i="41"/>
  <c r="K5719" i="41"/>
  <c r="H5719" i="41"/>
  <c r="I5719" i="41"/>
  <c r="J5687" i="41"/>
  <c r="G5687" i="41"/>
  <c r="K5687" i="41"/>
  <c r="H5687" i="41"/>
  <c r="I5687" i="41"/>
  <c r="J5655" i="41"/>
  <c r="G5655" i="41"/>
  <c r="K5655" i="41"/>
  <c r="H5655" i="41"/>
  <c r="I5655" i="41"/>
  <c r="J5623" i="41"/>
  <c r="G5623" i="41"/>
  <c r="K5623" i="41"/>
  <c r="H5623" i="41"/>
  <c r="I5623" i="41"/>
  <c r="J5591" i="41"/>
  <c r="G5591" i="41"/>
  <c r="K5591" i="41"/>
  <c r="H5591" i="41"/>
  <c r="I5591" i="41"/>
  <c r="J5559" i="41"/>
  <c r="G5559" i="41"/>
  <c r="K5559" i="41"/>
  <c r="H5559" i="41"/>
  <c r="I5559" i="41"/>
  <c r="J5755" i="41"/>
  <c r="G5755" i="41"/>
  <c r="K5755" i="41"/>
  <c r="H5755" i="41"/>
  <c r="I5755" i="41"/>
  <c r="J5723" i="41"/>
  <c r="G5723" i="41"/>
  <c r="K5723" i="41"/>
  <c r="H5723" i="41"/>
  <c r="I5723" i="41"/>
  <c r="J5691" i="41"/>
  <c r="G5691" i="41"/>
  <c r="K5691" i="41"/>
  <c r="H5691" i="41"/>
  <c r="I5691" i="41"/>
  <c r="J5659" i="41"/>
  <c r="G5659" i="41"/>
  <c r="K5659" i="41"/>
  <c r="H5659" i="41"/>
  <c r="I5659" i="41"/>
  <c r="J5627" i="41"/>
  <c r="G5627" i="41"/>
  <c r="K5627" i="41"/>
  <c r="H5627" i="41"/>
  <c r="I5627" i="41"/>
  <c r="J5595" i="41"/>
  <c r="G5595" i="41"/>
  <c r="K5595" i="41"/>
  <c r="H5595" i="41"/>
  <c r="I5595" i="41"/>
  <c r="J5563" i="41"/>
  <c r="G5563" i="41"/>
  <c r="K5563" i="41"/>
  <c r="H5563" i="41"/>
  <c r="I5563" i="41"/>
  <c r="J5512" i="41"/>
  <c r="G5512" i="41"/>
  <c r="H5512" i="41"/>
  <c r="I5512" i="41"/>
  <c r="K5512" i="41"/>
  <c r="J5748" i="41"/>
  <c r="G5748" i="41"/>
  <c r="K5748" i="41"/>
  <c r="H5748" i="41"/>
  <c r="I5748" i="41"/>
  <c r="J5732" i="41"/>
  <c r="G5732" i="41"/>
  <c r="K5732" i="41"/>
  <c r="H5732" i="41"/>
  <c r="I5732" i="41"/>
  <c r="J5716" i="41"/>
  <c r="G5716" i="41"/>
  <c r="K5716" i="41"/>
  <c r="H5716" i="41"/>
  <c r="I5716" i="41"/>
  <c r="J5700" i="41"/>
  <c r="G5700" i="41"/>
  <c r="K5700" i="41"/>
  <c r="H5700" i="41"/>
  <c r="I5700" i="41"/>
  <c r="J5684" i="41"/>
  <c r="G5684" i="41"/>
  <c r="K5684" i="41"/>
  <c r="H5684" i="41"/>
  <c r="I5684" i="41"/>
  <c r="J5668" i="41"/>
  <c r="G5668" i="41"/>
  <c r="K5668" i="41"/>
  <c r="H5668" i="41"/>
  <c r="I5668" i="41"/>
  <c r="J5652" i="41"/>
  <c r="G5652" i="41"/>
  <c r="K5652" i="41"/>
  <c r="H5652" i="41"/>
  <c r="I5652" i="41"/>
  <c r="J5636" i="41"/>
  <c r="G5636" i="41"/>
  <c r="K5636" i="41"/>
  <c r="H5636" i="41"/>
  <c r="I5636" i="41"/>
  <c r="J5620" i="41"/>
  <c r="G5620" i="41"/>
  <c r="K5620" i="41"/>
  <c r="H5620" i="41"/>
  <c r="I5620" i="41"/>
  <c r="J5604" i="41"/>
  <c r="G5604" i="41"/>
  <c r="K5604" i="41"/>
  <c r="H5604" i="41"/>
  <c r="I5604" i="41"/>
  <c r="J5588" i="41"/>
  <c r="G5588" i="41"/>
  <c r="K5588" i="41"/>
  <c r="H5588" i="41"/>
  <c r="I5588" i="41"/>
  <c r="J5572" i="41"/>
  <c r="G5572" i="41"/>
  <c r="K5572" i="41"/>
  <c r="H5572" i="41"/>
  <c r="I5572" i="41"/>
  <c r="J5556" i="41"/>
  <c r="G5556" i="41"/>
  <c r="K5556" i="41"/>
  <c r="H5556" i="41"/>
  <c r="I5556" i="41"/>
  <c r="J5534" i="41"/>
  <c r="G5534" i="41"/>
  <c r="H5534" i="41"/>
  <c r="I5534" i="41"/>
  <c r="K5534" i="41"/>
  <c r="I5786" i="41"/>
  <c r="J5786" i="41"/>
  <c r="G5786" i="41"/>
  <c r="K5786" i="41"/>
  <c r="H5786" i="41"/>
  <c r="J5781" i="41"/>
  <c r="G5781" i="41"/>
  <c r="K5781" i="41"/>
  <c r="H5781" i="41"/>
  <c r="I5781" i="41"/>
  <c r="J5777" i="41"/>
  <c r="G5777" i="41"/>
  <c r="K5777" i="41"/>
  <c r="H5777" i="41"/>
  <c r="I5777" i="41"/>
  <c r="J5773" i="41"/>
  <c r="G5773" i="41"/>
  <c r="K5773" i="41"/>
  <c r="H5773" i="41"/>
  <c r="I5773" i="41"/>
  <c r="J5769" i="41"/>
  <c r="G5769" i="41"/>
  <c r="K5769" i="41"/>
  <c r="H5769" i="41"/>
  <c r="I5769" i="41"/>
  <c r="J5765" i="41"/>
  <c r="G5765" i="41"/>
  <c r="K5765" i="41"/>
  <c r="H5765" i="41"/>
  <c r="I5765" i="41"/>
  <c r="J5761" i="41"/>
  <c r="G5761" i="41"/>
  <c r="K5761" i="41"/>
  <c r="H5761" i="41"/>
  <c r="I5761" i="41"/>
  <c r="J5745" i="41"/>
  <c r="G5745" i="41"/>
  <c r="K5745" i="41"/>
  <c r="H5745" i="41"/>
  <c r="I5745" i="41"/>
  <c r="J5729" i="41"/>
  <c r="G5729" i="41"/>
  <c r="K5729" i="41"/>
  <c r="H5729" i="41"/>
  <c r="I5729" i="41"/>
  <c r="J5713" i="41"/>
  <c r="G5713" i="41"/>
  <c r="K5713" i="41"/>
  <c r="H5713" i="41"/>
  <c r="I5713" i="41"/>
  <c r="J5697" i="41"/>
  <c r="G5697" i="41"/>
  <c r="K5697" i="41"/>
  <c r="H5697" i="41"/>
  <c r="I5697" i="41"/>
  <c r="J5681" i="41"/>
  <c r="G5681" i="41"/>
  <c r="K5681" i="41"/>
  <c r="H5681" i="41"/>
  <c r="I5681" i="41"/>
  <c r="J5665" i="41"/>
  <c r="G5665" i="41"/>
  <c r="K5665" i="41"/>
  <c r="H5665" i="41"/>
  <c r="I5665" i="41"/>
  <c r="J5649" i="41"/>
  <c r="G5649" i="41"/>
  <c r="K5649" i="41"/>
  <c r="H5649" i="41"/>
  <c r="I5649" i="41"/>
  <c r="J5633" i="41"/>
  <c r="G5633" i="41"/>
  <c r="K5633" i="41"/>
  <c r="H5633" i="41"/>
  <c r="I5633" i="41"/>
  <c r="J5617" i="41"/>
  <c r="G5617" i="41"/>
  <c r="K5617" i="41"/>
  <c r="H5617" i="41"/>
  <c r="I5617" i="41"/>
  <c r="J5601" i="41"/>
  <c r="G5601" i="41"/>
  <c r="K5601" i="41"/>
  <c r="H5601" i="41"/>
  <c r="I5601" i="41"/>
  <c r="J5585" i="41"/>
  <c r="G5585" i="41"/>
  <c r="K5585" i="41"/>
  <c r="H5585" i="41"/>
  <c r="I5585" i="41"/>
  <c r="J5569" i="41"/>
  <c r="G5569" i="41"/>
  <c r="K5569" i="41"/>
  <c r="H5569" i="41"/>
  <c r="I5569" i="41"/>
  <c r="J5553" i="41"/>
  <c r="G5553" i="41"/>
  <c r="K5553" i="41"/>
  <c r="H5553" i="41"/>
  <c r="I5553" i="41"/>
  <c r="J5524" i="41"/>
  <c r="G5524" i="41"/>
  <c r="H5524" i="41"/>
  <c r="I5524" i="41"/>
  <c r="K5524" i="41"/>
  <c r="J5758" i="41"/>
  <c r="G5758" i="41"/>
  <c r="K5758" i="41"/>
  <c r="H5758" i="41"/>
  <c r="I5758" i="41"/>
  <c r="J5742" i="41"/>
  <c r="G5742" i="41"/>
  <c r="K5742" i="41"/>
  <c r="H5742" i="41"/>
  <c r="I5742" i="41"/>
  <c r="J5726" i="41"/>
  <c r="G5726" i="41"/>
  <c r="K5726" i="41"/>
  <c r="H5726" i="41"/>
  <c r="I5726" i="41"/>
  <c r="J5710" i="41"/>
  <c r="G5710" i="41"/>
  <c r="K5710" i="41"/>
  <c r="H5710" i="41"/>
  <c r="I5710" i="41"/>
  <c r="J5694" i="41"/>
  <c r="G5694" i="41"/>
  <c r="K5694" i="41"/>
  <c r="H5694" i="41"/>
  <c r="I5694" i="41"/>
  <c r="J5678" i="41"/>
  <c r="G5678" i="41"/>
  <c r="K5678" i="41"/>
  <c r="H5678" i="41"/>
  <c r="I5678" i="41"/>
  <c r="J5662" i="41"/>
  <c r="G5662" i="41"/>
  <c r="K5662" i="41"/>
  <c r="H5662" i="41"/>
  <c r="I5662" i="41"/>
  <c r="J5646" i="41"/>
  <c r="G5646" i="41"/>
  <c r="K5646" i="41"/>
  <c r="H5646" i="41"/>
  <c r="I5646" i="41"/>
  <c r="J5630" i="41"/>
  <c r="G5630" i="41"/>
  <c r="K5630" i="41"/>
  <c r="H5630" i="41"/>
  <c r="I5630" i="41"/>
  <c r="J5614" i="41"/>
  <c r="G5614" i="41"/>
  <c r="K5614" i="41"/>
  <c r="H5614" i="41"/>
  <c r="I5614" i="41"/>
  <c r="J5598" i="41"/>
  <c r="G5598" i="41"/>
  <c r="K5598" i="41"/>
  <c r="H5598" i="41"/>
  <c r="I5598" i="41"/>
  <c r="J5582" i="41"/>
  <c r="G5582" i="41"/>
  <c r="K5582" i="41"/>
  <c r="H5582" i="41"/>
  <c r="I5582" i="41"/>
  <c r="J5566" i="41"/>
  <c r="G5566" i="41"/>
  <c r="K5566" i="41"/>
  <c r="H5566" i="41"/>
  <c r="I5566" i="41"/>
  <c r="J5550" i="41"/>
  <c r="G5550" i="41"/>
  <c r="K5550" i="41"/>
  <c r="H5550" i="41"/>
  <c r="I5550" i="41"/>
  <c r="J5522" i="41"/>
  <c r="G5522" i="41"/>
  <c r="H5522" i="41"/>
  <c r="I5522" i="41"/>
  <c r="K5522" i="41"/>
  <c r="J5545" i="41"/>
  <c r="I5545" i="41"/>
  <c r="K5545" i="41"/>
  <c r="G5545" i="41"/>
  <c r="H5545" i="41"/>
  <c r="J5537" i="41"/>
  <c r="I5537" i="41"/>
  <c r="K5537" i="41"/>
  <c r="G5537" i="41"/>
  <c r="H5537" i="41"/>
  <c r="J5529" i="41"/>
  <c r="I5529" i="41"/>
  <c r="K5529" i="41"/>
  <c r="G5529" i="41"/>
  <c r="H5529" i="41"/>
  <c r="J5521" i="41"/>
  <c r="I5521" i="41"/>
  <c r="K5521" i="41"/>
  <c r="G5521" i="41"/>
  <c r="H5521" i="41"/>
  <c r="J5513" i="41"/>
  <c r="I5513" i="41"/>
  <c r="K5513" i="41"/>
  <c r="G5513" i="41"/>
  <c r="H5513" i="41"/>
  <c r="H5502" i="41"/>
  <c r="J5502" i="41"/>
  <c r="K5502" i="41"/>
  <c r="G5502" i="41"/>
  <c r="I5502" i="41"/>
  <c r="J5094" i="41"/>
  <c r="G5094" i="41"/>
  <c r="K5094" i="41"/>
  <c r="H5094" i="41"/>
  <c r="I5094" i="41"/>
  <c r="J5062" i="41"/>
  <c r="G5062" i="41"/>
  <c r="K5062" i="41"/>
  <c r="H5062" i="41"/>
  <c r="I5062" i="41"/>
  <c r="J5030" i="41"/>
  <c r="G5030" i="41"/>
  <c r="K5030" i="41"/>
  <c r="H5030" i="41"/>
  <c r="I5030" i="41"/>
  <c r="J4998" i="41"/>
  <c r="G4998" i="41"/>
  <c r="K4998" i="41"/>
  <c r="H4998" i="41"/>
  <c r="I4998" i="41"/>
  <c r="H5498" i="41"/>
  <c r="I5498" i="41"/>
  <c r="J5498" i="41"/>
  <c r="G5498" i="41"/>
  <c r="K5498" i="41"/>
  <c r="H5494" i="41"/>
  <c r="I5494" i="41"/>
  <c r="J5494" i="41"/>
  <c r="G5494" i="41"/>
  <c r="K5494" i="41"/>
  <c r="H5490" i="41"/>
  <c r="I5490" i="41"/>
  <c r="J5490" i="41"/>
  <c r="G5490" i="41"/>
  <c r="K5490" i="41"/>
  <c r="H5486" i="41"/>
  <c r="I5486" i="41"/>
  <c r="J5486" i="41"/>
  <c r="G5486" i="41"/>
  <c r="K5486" i="41"/>
  <c r="H5482" i="41"/>
  <c r="I5482" i="41"/>
  <c r="J5482" i="41"/>
  <c r="G5482" i="41"/>
  <c r="K5482" i="41"/>
  <c r="H5478" i="41"/>
  <c r="I5478" i="41"/>
  <c r="J5478" i="41"/>
  <c r="G5478" i="41"/>
  <c r="K5478" i="41"/>
  <c r="H5474" i="41"/>
  <c r="I5474" i="41"/>
  <c r="J5474" i="41"/>
  <c r="G5474" i="41"/>
  <c r="K5474" i="41"/>
  <c r="H5470" i="41"/>
  <c r="I5470" i="41"/>
  <c r="J5470" i="41"/>
  <c r="G5470" i="41"/>
  <c r="K5470" i="41"/>
  <c r="H5466" i="41"/>
  <c r="I5466" i="41"/>
  <c r="J5466" i="41"/>
  <c r="G5466" i="41"/>
  <c r="K5466" i="41"/>
  <c r="H5462" i="41"/>
  <c r="I5462" i="41"/>
  <c r="J5462" i="41"/>
  <c r="G5462" i="41"/>
  <c r="K5462" i="41"/>
  <c r="H5458" i="41"/>
  <c r="I5458" i="41"/>
  <c r="J5458" i="41"/>
  <c r="G5458" i="41"/>
  <c r="K5458" i="41"/>
  <c r="H5454" i="41"/>
  <c r="I5454" i="41"/>
  <c r="J5454" i="41"/>
  <c r="G5454" i="41"/>
  <c r="K5454" i="41"/>
  <c r="H5450" i="41"/>
  <c r="I5450" i="41"/>
  <c r="J5450" i="41"/>
  <c r="G5450" i="41"/>
  <c r="K5450" i="41"/>
  <c r="H5446" i="41"/>
  <c r="I5446" i="41"/>
  <c r="J5446" i="41"/>
  <c r="G5446" i="41"/>
  <c r="K5446" i="41"/>
  <c r="H5442" i="41"/>
  <c r="I5442" i="41"/>
  <c r="J5442" i="41"/>
  <c r="G5442" i="41"/>
  <c r="K5442" i="41"/>
  <c r="H5438" i="41"/>
  <c r="I5438" i="41"/>
  <c r="J5438" i="41"/>
  <c r="G5438" i="41"/>
  <c r="K5438" i="41"/>
  <c r="H5434" i="41"/>
  <c r="I5434" i="41"/>
  <c r="J5434" i="41"/>
  <c r="G5434" i="41"/>
  <c r="K5434" i="41"/>
  <c r="H5430" i="41"/>
  <c r="I5430" i="41"/>
  <c r="J5430" i="41"/>
  <c r="G5430" i="41"/>
  <c r="K5430" i="41"/>
  <c r="H5426" i="41"/>
  <c r="I5426" i="41"/>
  <c r="J5426" i="41"/>
  <c r="G5426" i="41"/>
  <c r="K5426" i="41"/>
  <c r="H5422" i="41"/>
  <c r="I5422" i="41"/>
  <c r="J5422" i="41"/>
  <c r="G5422" i="41"/>
  <c r="K5422" i="41"/>
  <c r="H5418" i="41"/>
  <c r="I5418" i="41"/>
  <c r="J5418" i="41"/>
  <c r="G5418" i="41"/>
  <c r="K5418" i="41"/>
  <c r="H5414" i="41"/>
  <c r="I5414" i="41"/>
  <c r="J5414" i="41"/>
  <c r="G5414" i="41"/>
  <c r="K5414" i="41"/>
  <c r="H5410" i="41"/>
  <c r="I5410" i="41"/>
  <c r="J5410" i="41"/>
  <c r="G5410" i="41"/>
  <c r="K5410" i="41"/>
  <c r="H5406" i="41"/>
  <c r="I5406" i="41"/>
  <c r="J5406" i="41"/>
  <c r="G5406" i="41"/>
  <c r="K5406" i="41"/>
  <c r="H5402" i="41"/>
  <c r="I5402" i="41"/>
  <c r="J5402" i="41"/>
  <c r="G5402" i="41"/>
  <c r="K5402" i="41"/>
  <c r="H5398" i="41"/>
  <c r="I5398" i="41"/>
  <c r="J5398" i="41"/>
  <c r="G5398" i="41"/>
  <c r="K5398" i="41"/>
  <c r="H5394" i="41"/>
  <c r="I5394" i="41"/>
  <c r="J5394" i="41"/>
  <c r="G5394" i="41"/>
  <c r="K5394" i="41"/>
  <c r="H5390" i="41"/>
  <c r="I5390" i="41"/>
  <c r="J5390" i="41"/>
  <c r="G5390" i="41"/>
  <c r="K5390" i="41"/>
  <c r="H5386" i="41"/>
  <c r="I5386" i="41"/>
  <c r="J5386" i="41"/>
  <c r="G5386" i="41"/>
  <c r="K5386" i="41"/>
  <c r="H5382" i="41"/>
  <c r="I5382" i="41"/>
  <c r="J5382" i="41"/>
  <c r="G5382" i="41"/>
  <c r="K5382" i="41"/>
  <c r="H5378" i="41"/>
  <c r="I5378" i="41"/>
  <c r="J5378" i="41"/>
  <c r="G5378" i="41"/>
  <c r="K5378" i="41"/>
  <c r="H5374" i="41"/>
  <c r="I5374" i="41"/>
  <c r="J5374" i="41"/>
  <c r="G5374" i="41"/>
  <c r="K5374" i="41"/>
  <c r="H5370" i="41"/>
  <c r="I5370" i="41"/>
  <c r="J5370" i="41"/>
  <c r="G5370" i="41"/>
  <c r="K5370" i="41"/>
  <c r="H5366" i="41"/>
  <c r="I5366" i="41"/>
  <c r="J5366" i="41"/>
  <c r="G5366" i="41"/>
  <c r="K5366" i="41"/>
  <c r="H5362" i="41"/>
  <c r="I5362" i="41"/>
  <c r="J5362" i="41"/>
  <c r="G5362" i="41"/>
  <c r="K5362" i="41"/>
  <c r="H5358" i="41"/>
  <c r="I5358" i="41"/>
  <c r="J5358" i="41"/>
  <c r="G5358" i="41"/>
  <c r="K5358" i="41"/>
  <c r="H5354" i="41"/>
  <c r="I5354" i="41"/>
  <c r="J5354" i="41"/>
  <c r="G5354" i="41"/>
  <c r="K5354" i="41"/>
  <c r="H5350" i="41"/>
  <c r="I5350" i="41"/>
  <c r="J5350" i="41"/>
  <c r="G5350" i="41"/>
  <c r="K5350" i="41"/>
  <c r="H5346" i="41"/>
  <c r="I5346" i="41"/>
  <c r="J5346" i="41"/>
  <c r="G5346" i="41"/>
  <c r="K5346" i="41"/>
  <c r="H5342" i="41"/>
  <c r="I5342" i="41"/>
  <c r="J5342" i="41"/>
  <c r="G5342" i="41"/>
  <c r="K5342" i="41"/>
  <c r="H5338" i="41"/>
  <c r="I5338" i="41"/>
  <c r="J5338" i="41"/>
  <c r="G5338" i="41"/>
  <c r="K5338" i="41"/>
  <c r="H5334" i="41"/>
  <c r="I5334" i="41"/>
  <c r="J5334" i="41"/>
  <c r="G5334" i="41"/>
  <c r="K5334" i="41"/>
  <c r="H5330" i="41"/>
  <c r="I5330" i="41"/>
  <c r="J5330" i="41"/>
  <c r="G5330" i="41"/>
  <c r="K5330" i="41"/>
  <c r="H5326" i="41"/>
  <c r="I5326" i="41"/>
  <c r="J5326" i="41"/>
  <c r="G5326" i="41"/>
  <c r="K5326" i="41"/>
  <c r="H5322" i="41"/>
  <c r="I5322" i="41"/>
  <c r="J5322" i="41"/>
  <c r="G5322" i="41"/>
  <c r="K5322" i="41"/>
  <c r="H5318" i="41"/>
  <c r="I5318" i="41"/>
  <c r="J5318" i="41"/>
  <c r="G5318" i="41"/>
  <c r="K5318" i="41"/>
  <c r="H5314" i="41"/>
  <c r="I5314" i="41"/>
  <c r="J5314" i="41"/>
  <c r="G5314" i="41"/>
  <c r="K5314" i="41"/>
  <c r="H5310" i="41"/>
  <c r="I5310" i="41"/>
  <c r="J5310" i="41"/>
  <c r="G5310" i="41"/>
  <c r="K5310" i="41"/>
  <c r="H5306" i="41"/>
  <c r="I5306" i="41"/>
  <c r="J5306" i="41"/>
  <c r="G5306" i="41"/>
  <c r="K5306" i="41"/>
  <c r="H5302" i="41"/>
  <c r="I5302" i="41"/>
  <c r="J5302" i="41"/>
  <c r="G5302" i="41"/>
  <c r="K5302" i="41"/>
  <c r="H5298" i="41"/>
  <c r="I5298" i="41"/>
  <c r="J5298" i="41"/>
  <c r="G5298" i="41"/>
  <c r="K5298" i="41"/>
  <c r="H5294" i="41"/>
  <c r="I5294" i="41"/>
  <c r="J5294" i="41"/>
  <c r="G5294" i="41"/>
  <c r="K5294" i="41"/>
  <c r="H5290" i="41"/>
  <c r="I5290" i="41"/>
  <c r="J5290" i="41"/>
  <c r="G5290" i="41"/>
  <c r="K5290" i="41"/>
  <c r="H5286" i="41"/>
  <c r="I5286" i="41"/>
  <c r="J5286" i="41"/>
  <c r="G5286" i="41"/>
  <c r="K5286" i="41"/>
  <c r="H5282" i="41"/>
  <c r="I5282" i="41"/>
  <c r="J5282" i="41"/>
  <c r="G5282" i="41"/>
  <c r="K5282" i="41"/>
  <c r="H5278" i="41"/>
  <c r="I5278" i="41"/>
  <c r="J5278" i="41"/>
  <c r="G5278" i="41"/>
  <c r="K5278" i="41"/>
  <c r="H5274" i="41"/>
  <c r="I5274" i="41"/>
  <c r="J5274" i="41"/>
  <c r="G5274" i="41"/>
  <c r="K5274" i="41"/>
  <c r="H5270" i="41"/>
  <c r="I5270" i="41"/>
  <c r="J5270" i="41"/>
  <c r="G5270" i="41"/>
  <c r="K5270" i="41"/>
  <c r="H5266" i="41"/>
  <c r="I5266" i="41"/>
  <c r="J5266" i="41"/>
  <c r="G5266" i="41"/>
  <c r="K5266" i="41"/>
  <c r="J5156" i="41"/>
  <c r="H5156" i="41"/>
  <c r="G5156" i="41"/>
  <c r="I5156" i="41"/>
  <c r="K5156" i="41"/>
  <c r="J5140" i="41"/>
  <c r="H5140" i="41"/>
  <c r="G5140" i="41"/>
  <c r="I5140" i="41"/>
  <c r="K5140" i="41"/>
  <c r="J5124" i="41"/>
  <c r="H5124" i="41"/>
  <c r="G5124" i="41"/>
  <c r="I5124" i="41"/>
  <c r="K5124" i="41"/>
  <c r="J5108" i="41"/>
  <c r="H5108" i="41"/>
  <c r="G5108" i="41"/>
  <c r="I5108" i="41"/>
  <c r="K5108" i="41"/>
  <c r="J5082" i="41"/>
  <c r="G5082" i="41"/>
  <c r="K5082" i="41"/>
  <c r="H5082" i="41"/>
  <c r="I5082" i="41"/>
  <c r="J5050" i="41"/>
  <c r="G5050" i="41"/>
  <c r="K5050" i="41"/>
  <c r="H5050" i="41"/>
  <c r="I5050" i="41"/>
  <c r="J5018" i="41"/>
  <c r="G5018" i="41"/>
  <c r="K5018" i="41"/>
  <c r="H5018" i="41"/>
  <c r="I5018" i="41"/>
  <c r="J4986" i="41"/>
  <c r="G4986" i="41"/>
  <c r="K4986" i="41"/>
  <c r="H4986" i="41"/>
  <c r="I4986" i="41"/>
  <c r="G5250" i="41"/>
  <c r="K5250" i="41"/>
  <c r="H5250" i="41"/>
  <c r="I5250" i="41"/>
  <c r="J5250" i="41"/>
  <c r="G5246" i="41"/>
  <c r="K5246" i="41"/>
  <c r="H5246" i="41"/>
  <c r="I5246" i="41"/>
  <c r="J5246" i="41"/>
  <c r="G5242" i="41"/>
  <c r="K5242" i="41"/>
  <c r="H5242" i="41"/>
  <c r="I5242" i="41"/>
  <c r="J5242" i="41"/>
  <c r="G5238" i="41"/>
  <c r="K5238" i="41"/>
  <c r="H5238" i="41"/>
  <c r="I5238" i="41"/>
  <c r="J5238" i="41"/>
  <c r="G5234" i="41"/>
  <c r="K5234" i="41"/>
  <c r="H5234" i="41"/>
  <c r="I5234" i="41"/>
  <c r="J5234" i="41"/>
  <c r="G5230" i="41"/>
  <c r="K5230" i="41"/>
  <c r="H5230" i="41"/>
  <c r="I5230" i="41"/>
  <c r="J5230" i="41"/>
  <c r="G5226" i="41"/>
  <c r="K5226" i="41"/>
  <c r="H5226" i="41"/>
  <c r="I5226" i="41"/>
  <c r="J5226" i="41"/>
  <c r="G5222" i="41"/>
  <c r="K5222" i="41"/>
  <c r="H5222" i="41"/>
  <c r="I5222" i="41"/>
  <c r="J5222" i="41"/>
  <c r="G5218" i="41"/>
  <c r="K5218" i="41"/>
  <c r="H5218" i="41"/>
  <c r="I5218" i="41"/>
  <c r="J5218" i="41"/>
  <c r="G5214" i="41"/>
  <c r="K5214" i="41"/>
  <c r="H5214" i="41"/>
  <c r="I5214" i="41"/>
  <c r="J5214" i="41"/>
  <c r="G5210" i="41"/>
  <c r="K5210" i="41"/>
  <c r="H5210" i="41"/>
  <c r="I5210" i="41"/>
  <c r="J5210" i="41"/>
  <c r="G5206" i="41"/>
  <c r="K5206" i="41"/>
  <c r="H5206" i="41"/>
  <c r="I5206" i="41"/>
  <c r="J5206" i="41"/>
  <c r="G5202" i="41"/>
  <c r="K5202" i="41"/>
  <c r="H5202" i="41"/>
  <c r="I5202" i="41"/>
  <c r="J5202" i="41"/>
  <c r="G5198" i="41"/>
  <c r="K5198" i="41"/>
  <c r="H5198" i="41"/>
  <c r="I5198" i="41"/>
  <c r="J5198" i="41"/>
  <c r="G5194" i="41"/>
  <c r="K5194" i="41"/>
  <c r="H5194" i="41"/>
  <c r="I5194" i="41"/>
  <c r="J5194" i="41"/>
  <c r="G5190" i="41"/>
  <c r="K5190" i="41"/>
  <c r="H5190" i="41"/>
  <c r="I5190" i="41"/>
  <c r="J5190" i="41"/>
  <c r="G5186" i="41"/>
  <c r="K5186" i="41"/>
  <c r="H5186" i="41"/>
  <c r="I5186" i="41"/>
  <c r="J5186" i="41"/>
  <c r="G5182" i="41"/>
  <c r="K5182" i="41"/>
  <c r="H5182" i="41"/>
  <c r="I5182" i="41"/>
  <c r="J5182" i="41"/>
  <c r="J5176" i="41"/>
  <c r="H5176" i="41"/>
  <c r="I5176" i="41"/>
  <c r="K5176" i="41"/>
  <c r="G5176" i="41"/>
  <c r="J5168" i="41"/>
  <c r="H5168" i="41"/>
  <c r="I5168" i="41"/>
  <c r="K5168" i="41"/>
  <c r="G5168" i="41"/>
  <c r="J5159" i="41"/>
  <c r="H5159" i="41"/>
  <c r="I5159" i="41"/>
  <c r="K5159" i="41"/>
  <c r="G5159" i="41"/>
  <c r="J5143" i="41"/>
  <c r="H5143" i="41"/>
  <c r="I5143" i="41"/>
  <c r="K5143" i="41"/>
  <c r="G5143" i="41"/>
  <c r="J5127" i="41"/>
  <c r="H5127" i="41"/>
  <c r="I5127" i="41"/>
  <c r="K5127" i="41"/>
  <c r="G5127" i="41"/>
  <c r="J5111" i="41"/>
  <c r="H5111" i="41"/>
  <c r="I5111" i="41"/>
  <c r="K5111" i="41"/>
  <c r="G5111" i="41"/>
  <c r="J5095" i="41"/>
  <c r="G5095" i="41"/>
  <c r="K5095" i="41"/>
  <c r="H5095" i="41"/>
  <c r="I5095" i="41"/>
  <c r="J5079" i="41"/>
  <c r="G5079" i="41"/>
  <c r="K5079" i="41"/>
  <c r="H5079" i="41"/>
  <c r="I5079" i="41"/>
  <c r="J5063" i="41"/>
  <c r="G5063" i="41"/>
  <c r="K5063" i="41"/>
  <c r="H5063" i="41"/>
  <c r="I5063" i="41"/>
  <c r="J5047" i="41"/>
  <c r="G5047" i="41"/>
  <c r="K5047" i="41"/>
  <c r="H5047" i="41"/>
  <c r="I5047" i="41"/>
  <c r="J5031" i="41"/>
  <c r="G5031" i="41"/>
  <c r="K5031" i="41"/>
  <c r="H5031" i="41"/>
  <c r="I5031" i="41"/>
  <c r="J5015" i="41"/>
  <c r="G5015" i="41"/>
  <c r="K5015" i="41"/>
  <c r="H5015" i="41"/>
  <c r="I5015" i="41"/>
  <c r="J4999" i="41"/>
  <c r="G4999" i="41"/>
  <c r="K4999" i="41"/>
  <c r="H4999" i="41"/>
  <c r="I4999" i="41"/>
  <c r="J5158" i="41"/>
  <c r="H5158" i="41"/>
  <c r="K5158" i="41"/>
  <c r="G5158" i="41"/>
  <c r="I5158" i="41"/>
  <c r="J5142" i="41"/>
  <c r="H5142" i="41"/>
  <c r="K5142" i="41"/>
  <c r="G5142" i="41"/>
  <c r="I5142" i="41"/>
  <c r="J5126" i="41"/>
  <c r="H5126" i="41"/>
  <c r="K5126" i="41"/>
  <c r="G5126" i="41"/>
  <c r="I5126" i="41"/>
  <c r="J5110" i="41"/>
  <c r="H5110" i="41"/>
  <c r="K5110" i="41"/>
  <c r="G5110" i="41"/>
  <c r="I5110" i="41"/>
  <c r="J5092" i="41"/>
  <c r="G5092" i="41"/>
  <c r="K5092" i="41"/>
  <c r="H5092" i="41"/>
  <c r="I5092" i="41"/>
  <c r="J5076" i="41"/>
  <c r="G5076" i="41"/>
  <c r="K5076" i="41"/>
  <c r="H5076" i="41"/>
  <c r="I5076" i="41"/>
  <c r="J5060" i="41"/>
  <c r="G5060" i="41"/>
  <c r="K5060" i="41"/>
  <c r="H5060" i="41"/>
  <c r="I5060" i="41"/>
  <c r="J5044" i="41"/>
  <c r="G5044" i="41"/>
  <c r="K5044" i="41"/>
  <c r="H5044" i="41"/>
  <c r="I5044" i="41"/>
  <c r="J5028" i="41"/>
  <c r="G5028" i="41"/>
  <c r="K5028" i="41"/>
  <c r="H5028" i="41"/>
  <c r="I5028" i="41"/>
  <c r="J5012" i="41"/>
  <c r="G5012" i="41"/>
  <c r="K5012" i="41"/>
  <c r="H5012" i="41"/>
  <c r="I5012" i="41"/>
  <c r="J4996" i="41"/>
  <c r="G4996" i="41"/>
  <c r="K4996" i="41"/>
  <c r="H4996" i="41"/>
  <c r="I4996" i="41"/>
  <c r="J5157" i="41"/>
  <c r="H5157" i="41"/>
  <c r="G5157" i="41"/>
  <c r="I5157" i="41"/>
  <c r="K5157" i="41"/>
  <c r="J5141" i="41"/>
  <c r="H5141" i="41"/>
  <c r="G5141" i="41"/>
  <c r="I5141" i="41"/>
  <c r="K5141" i="41"/>
  <c r="J5125" i="41"/>
  <c r="H5125" i="41"/>
  <c r="G5125" i="41"/>
  <c r="I5125" i="41"/>
  <c r="K5125" i="41"/>
  <c r="J5109" i="41"/>
  <c r="H5109" i="41"/>
  <c r="G5109" i="41"/>
  <c r="I5109" i="41"/>
  <c r="K5109" i="41"/>
  <c r="J5093" i="41"/>
  <c r="G5093" i="41"/>
  <c r="K5093" i="41"/>
  <c r="H5093" i="41"/>
  <c r="I5093" i="41"/>
  <c r="J5077" i="41"/>
  <c r="G5077" i="41"/>
  <c r="K5077" i="41"/>
  <c r="H5077" i="41"/>
  <c r="I5077" i="41"/>
  <c r="J5061" i="41"/>
  <c r="G5061" i="41"/>
  <c r="K5061" i="41"/>
  <c r="H5061" i="41"/>
  <c r="I5061" i="41"/>
  <c r="J5045" i="41"/>
  <c r="G5045" i="41"/>
  <c r="K5045" i="41"/>
  <c r="H5045" i="41"/>
  <c r="I5045" i="41"/>
  <c r="J5029" i="41"/>
  <c r="G5029" i="41"/>
  <c r="K5029" i="41"/>
  <c r="H5029" i="41"/>
  <c r="I5029" i="41"/>
  <c r="J5013" i="41"/>
  <c r="G5013" i="41"/>
  <c r="K5013" i="41"/>
  <c r="H5013" i="41"/>
  <c r="I5013" i="41"/>
  <c r="J4997" i="41"/>
  <c r="G4997" i="41"/>
  <c r="K4997" i="41"/>
  <c r="H4997" i="41"/>
  <c r="I4997" i="41"/>
  <c r="I4924" i="41"/>
  <c r="J4924" i="41"/>
  <c r="G4924" i="41"/>
  <c r="K4924" i="41"/>
  <c r="H4924" i="41"/>
  <c r="I5862" i="41"/>
  <c r="J5862" i="41"/>
  <c r="G5862" i="41"/>
  <c r="K5862" i="41"/>
  <c r="H5862" i="41"/>
  <c r="I5939" i="41"/>
  <c r="J5939" i="41"/>
  <c r="G5939" i="41"/>
  <c r="K5939" i="41"/>
  <c r="H5939" i="41"/>
  <c r="H7393" i="41"/>
  <c r="I7393" i="41"/>
  <c r="J7393" i="41"/>
  <c r="G7393" i="41"/>
  <c r="K7393" i="41"/>
  <c r="H7456" i="41"/>
  <c r="I7456" i="41"/>
  <c r="J7456" i="41"/>
  <c r="G7456" i="41"/>
  <c r="K7456" i="41"/>
  <c r="H7499" i="41"/>
  <c r="I7499" i="41"/>
  <c r="J7499" i="41"/>
  <c r="K7499" i="41"/>
  <c r="G7499" i="41"/>
  <c r="H7530" i="41"/>
  <c r="I7530" i="41"/>
  <c r="J7530" i="41"/>
  <c r="G7530" i="41"/>
  <c r="K7530" i="41"/>
  <c r="I4886" i="41"/>
  <c r="J4886" i="41"/>
  <c r="G4886" i="41"/>
  <c r="K4886" i="41"/>
  <c r="H4886" i="41"/>
  <c r="I4865" i="41"/>
  <c r="J4865" i="41"/>
  <c r="G4865" i="41"/>
  <c r="K4865" i="41"/>
  <c r="H4865" i="41"/>
  <c r="I4951" i="41"/>
  <c r="J4951" i="41"/>
  <c r="G4951" i="41"/>
  <c r="K4951" i="41"/>
  <c r="H4951" i="41"/>
  <c r="I5872" i="41"/>
  <c r="J5872" i="41"/>
  <c r="G5872" i="41"/>
  <c r="K5872" i="41"/>
  <c r="H5872" i="41"/>
  <c r="I5936" i="41"/>
  <c r="J5936" i="41"/>
  <c r="G5936" i="41"/>
  <c r="K5936" i="41"/>
  <c r="H5936" i="41"/>
  <c r="I5829" i="41"/>
  <c r="J5829" i="41"/>
  <c r="G5829" i="41"/>
  <c r="K5829" i="41"/>
  <c r="H5829" i="41"/>
  <c r="I5925" i="41"/>
  <c r="J5925" i="41"/>
  <c r="G5925" i="41"/>
  <c r="K5925" i="41"/>
  <c r="H5925" i="41"/>
  <c r="I6053" i="41"/>
  <c r="G6053" i="41"/>
  <c r="K6053" i="41"/>
  <c r="H6053" i="41"/>
  <c r="J6053" i="41"/>
  <c r="H7333" i="41"/>
  <c r="I7333" i="41"/>
  <c r="J7333" i="41"/>
  <c r="G7333" i="41"/>
  <c r="K7333" i="41"/>
  <c r="H7525" i="41"/>
  <c r="I7525" i="41"/>
  <c r="J7525" i="41"/>
  <c r="G7525" i="41"/>
  <c r="K7525" i="41"/>
  <c r="H7140" i="41"/>
  <c r="I7140" i="41"/>
  <c r="J7140" i="41"/>
  <c r="G7140" i="41"/>
  <c r="K7140" i="41"/>
  <c r="H7268" i="41"/>
  <c r="I7268" i="41"/>
  <c r="J7268" i="41"/>
  <c r="G7268" i="41"/>
  <c r="K7268" i="41"/>
  <c r="H7460" i="41"/>
  <c r="I7460" i="41"/>
  <c r="J7460" i="41"/>
  <c r="G7460" i="41"/>
  <c r="K7460" i="41"/>
  <c r="H7231" i="41"/>
  <c r="I7231" i="41"/>
  <c r="J7231" i="41"/>
  <c r="K7231" i="41"/>
  <c r="G7231" i="41"/>
  <c r="H7423" i="41"/>
  <c r="I7423" i="41"/>
  <c r="J7423" i="41"/>
  <c r="K7423" i="41"/>
  <c r="G7423" i="41"/>
  <c r="H7278" i="41"/>
  <c r="I7278" i="41"/>
  <c r="J7278" i="41"/>
  <c r="G7278" i="41"/>
  <c r="K7278" i="41"/>
  <c r="H7346" i="41"/>
  <c r="I7346" i="41"/>
  <c r="J7346" i="41"/>
  <c r="G7346" i="41"/>
  <c r="K7346" i="41"/>
  <c r="I4916" i="41"/>
  <c r="J4916" i="41"/>
  <c r="G4916" i="41"/>
  <c r="K4916" i="41"/>
  <c r="H4916" i="41"/>
  <c r="I5830" i="41"/>
  <c r="J5830" i="41"/>
  <c r="G5830" i="41"/>
  <c r="K5830" i="41"/>
  <c r="H5830" i="41"/>
  <c r="I5883" i="41"/>
  <c r="J5883" i="41"/>
  <c r="G5883" i="41"/>
  <c r="K5883" i="41"/>
  <c r="H5883" i="41"/>
  <c r="H7249" i="41"/>
  <c r="I7249" i="41"/>
  <c r="J7249" i="41"/>
  <c r="G7249" i="41"/>
  <c r="K7249" i="41"/>
  <c r="I7549" i="41"/>
  <c r="J7549" i="41"/>
  <c r="G7549" i="41"/>
  <c r="H7549" i="41"/>
  <c r="K7549" i="41"/>
  <c r="H7179" i="41"/>
  <c r="I7179" i="41"/>
  <c r="J7179" i="41"/>
  <c r="K7179" i="41"/>
  <c r="G7179" i="41"/>
  <c r="H7398" i="41"/>
  <c r="I7398" i="41"/>
  <c r="J7398" i="41"/>
  <c r="G7398" i="41"/>
  <c r="K7398" i="41"/>
  <c r="I4880" i="41"/>
  <c r="J4880" i="41"/>
  <c r="G4880" i="41"/>
  <c r="K4880" i="41"/>
  <c r="H4880" i="41"/>
  <c r="I4969" i="41"/>
  <c r="G4969" i="41"/>
  <c r="K4969" i="41"/>
  <c r="J4969" i="41"/>
  <c r="H4969" i="41"/>
  <c r="I4955" i="41"/>
  <c r="J4955" i="41"/>
  <c r="G4955" i="41"/>
  <c r="K4955" i="41"/>
  <c r="H4955" i="41"/>
  <c r="I5810" i="41"/>
  <c r="J5810" i="41"/>
  <c r="G5810" i="41"/>
  <c r="K5810" i="41"/>
  <c r="H5810" i="41"/>
  <c r="I5906" i="41"/>
  <c r="J5906" i="41"/>
  <c r="G5906" i="41"/>
  <c r="K5906" i="41"/>
  <c r="H5906" i="41"/>
  <c r="I6002" i="41"/>
  <c r="J6002" i="41"/>
  <c r="G6002" i="41"/>
  <c r="K6002" i="41"/>
  <c r="H6002" i="41"/>
  <c r="I5831" i="41"/>
  <c r="J5831" i="41"/>
  <c r="G5831" i="41"/>
  <c r="K5831" i="41"/>
  <c r="H5831" i="41"/>
  <c r="I5927" i="41"/>
  <c r="J5927" i="41"/>
  <c r="G5927" i="41"/>
  <c r="K5927" i="41"/>
  <c r="H5927" i="41"/>
  <c r="I6022" i="41"/>
  <c r="G6022" i="41"/>
  <c r="K6022" i="41"/>
  <c r="H6022" i="41"/>
  <c r="J6022" i="41"/>
  <c r="H7209" i="41"/>
  <c r="I7209" i="41"/>
  <c r="J7209" i="41"/>
  <c r="G7209" i="41"/>
  <c r="K7209" i="41"/>
  <c r="H7401" i="41"/>
  <c r="I7401" i="41"/>
  <c r="J7401" i="41"/>
  <c r="G7401" i="41"/>
  <c r="K7401" i="41"/>
  <c r="H7529" i="41"/>
  <c r="I7529" i="41"/>
  <c r="J7529" i="41"/>
  <c r="G7529" i="41"/>
  <c r="K7529" i="41"/>
  <c r="H7208" i="41"/>
  <c r="I7208" i="41"/>
  <c r="J7208" i="41"/>
  <c r="G7208" i="41"/>
  <c r="K7208" i="41"/>
  <c r="H7400" i="41"/>
  <c r="I7400" i="41"/>
  <c r="J7400" i="41"/>
  <c r="G7400" i="41"/>
  <c r="K7400" i="41"/>
  <c r="H7171" i="41"/>
  <c r="I7171" i="41"/>
  <c r="J7171" i="41"/>
  <c r="K7171" i="41"/>
  <c r="G7171" i="41"/>
  <c r="H7363" i="41"/>
  <c r="I7363" i="41"/>
  <c r="J7363" i="41"/>
  <c r="K7363" i="41"/>
  <c r="G7363" i="41"/>
  <c r="H7126" i="41"/>
  <c r="I7126" i="41"/>
  <c r="J7126" i="41"/>
  <c r="G7126" i="41"/>
  <c r="K7126" i="41"/>
  <c r="H7510" i="41"/>
  <c r="I7510" i="41"/>
  <c r="J7510" i="41"/>
  <c r="G7510" i="41"/>
  <c r="K7510" i="41"/>
  <c r="H7490" i="41"/>
  <c r="I7490" i="41"/>
  <c r="J7490" i="41"/>
  <c r="G7490" i="41"/>
  <c r="K7490" i="41"/>
  <c r="I4975" i="41"/>
  <c r="G4975" i="41"/>
  <c r="K4975" i="41"/>
  <c r="J4975" i="41"/>
  <c r="H4975" i="41"/>
  <c r="I5902" i="41"/>
  <c r="J5902" i="41"/>
  <c r="G5902" i="41"/>
  <c r="K5902" i="41"/>
  <c r="H5902" i="41"/>
  <c r="I5931" i="41"/>
  <c r="J5931" i="41"/>
  <c r="G5931" i="41"/>
  <c r="K5931" i="41"/>
  <c r="H5931" i="41"/>
  <c r="H7313" i="41"/>
  <c r="I7313" i="41"/>
  <c r="J7313" i="41"/>
  <c r="G7313" i="41"/>
  <c r="K7313" i="41"/>
  <c r="H7280" i="41"/>
  <c r="I7280" i="41"/>
  <c r="J7280" i="41"/>
  <c r="G7280" i="41"/>
  <c r="K7280" i="41"/>
  <c r="H7387" i="41"/>
  <c r="I7387" i="41"/>
  <c r="J7387" i="41"/>
  <c r="K7387" i="41"/>
  <c r="G7387" i="41"/>
  <c r="H7146" i="41"/>
  <c r="I7146" i="41"/>
  <c r="J7146" i="41"/>
  <c r="G7146" i="41"/>
  <c r="K7146" i="41"/>
  <c r="I4938" i="41"/>
  <c r="J4938" i="41"/>
  <c r="G4938" i="41"/>
  <c r="K4938" i="41"/>
  <c r="H4938" i="41"/>
  <c r="I4982" i="41"/>
  <c r="G4982" i="41"/>
  <c r="K4982" i="41"/>
  <c r="J4982" i="41"/>
  <c r="H4982" i="41"/>
  <c r="I4943" i="41"/>
  <c r="J4943" i="41"/>
  <c r="G4943" i="41"/>
  <c r="K4943" i="41"/>
  <c r="H4943" i="41"/>
  <c r="I5836" i="41"/>
  <c r="J5836" i="41"/>
  <c r="G5836" i="41"/>
  <c r="K5836" i="41"/>
  <c r="H5836" i="41"/>
  <c r="I5900" i="41"/>
  <c r="J5900" i="41"/>
  <c r="G5900" i="41"/>
  <c r="K5900" i="41"/>
  <c r="H5900" i="41"/>
  <c r="I5996" i="41"/>
  <c r="J5996" i="41"/>
  <c r="G5996" i="41"/>
  <c r="K5996" i="41"/>
  <c r="H5996" i="41"/>
  <c r="I5857" i="41"/>
  <c r="J5857" i="41"/>
  <c r="G5857" i="41"/>
  <c r="K5857" i="41"/>
  <c r="H5857" i="41"/>
  <c r="I5985" i="41"/>
  <c r="J5985" i="41"/>
  <c r="G5985" i="41"/>
  <c r="K5985" i="41"/>
  <c r="H5985" i="41"/>
  <c r="I6051" i="41"/>
  <c r="G6051" i="41"/>
  <c r="K6051" i="41"/>
  <c r="H6051" i="41"/>
  <c r="J6051" i="41"/>
  <c r="H7261" i="41"/>
  <c r="I7261" i="41"/>
  <c r="J7261" i="41"/>
  <c r="G7261" i="41"/>
  <c r="K7261" i="41"/>
  <c r="H7389" i="41"/>
  <c r="I7389" i="41"/>
  <c r="J7389" i="41"/>
  <c r="G7389" i="41"/>
  <c r="K7389" i="41"/>
  <c r="I7548" i="41"/>
  <c r="J7548" i="41"/>
  <c r="G7548" i="41"/>
  <c r="H7548" i="41"/>
  <c r="K7548" i="41"/>
  <c r="H7260" i="41"/>
  <c r="I7260" i="41"/>
  <c r="J7260" i="41"/>
  <c r="G7260" i="41"/>
  <c r="K7260" i="41"/>
  <c r="H7388" i="41"/>
  <c r="I7388" i="41"/>
  <c r="J7388" i="41"/>
  <c r="G7388" i="41"/>
  <c r="K7388" i="41"/>
  <c r="H7159" i="41"/>
  <c r="I7159" i="41"/>
  <c r="J7159" i="41"/>
  <c r="K7159" i="41"/>
  <c r="G7159" i="41"/>
  <c r="H7287" i="41"/>
  <c r="I7287" i="41"/>
  <c r="J7287" i="41"/>
  <c r="K7287" i="41"/>
  <c r="G7287" i="41"/>
  <c r="H7479" i="41"/>
  <c r="I7479" i="41"/>
  <c r="J7479" i="41"/>
  <c r="K7479" i="41"/>
  <c r="G7479" i="41"/>
  <c r="H7358" i="41"/>
  <c r="I7358" i="41"/>
  <c r="J7358" i="41"/>
  <c r="G7358" i="41"/>
  <c r="K7358" i="41"/>
  <c r="H7378" i="41"/>
  <c r="I7378" i="41"/>
  <c r="J7378" i="41"/>
  <c r="G7378" i="41"/>
  <c r="K7378" i="41"/>
  <c r="G7709" i="41"/>
  <c r="K7709" i="41"/>
  <c r="H7709" i="41"/>
  <c r="I7709" i="41"/>
  <c r="J7709" i="41"/>
  <c r="G7697" i="41"/>
  <c r="K7697" i="41"/>
  <c r="H7697" i="41"/>
  <c r="I7697" i="41"/>
  <c r="J7697" i="41"/>
  <c r="G7685" i="41"/>
  <c r="K7685" i="41"/>
  <c r="H7685" i="41"/>
  <c r="I7685" i="41"/>
  <c r="J7685" i="41"/>
  <c r="G7669" i="41"/>
  <c r="K7669" i="41"/>
  <c r="H7669" i="41"/>
  <c r="I7669" i="41"/>
  <c r="J7669" i="41"/>
  <c r="G7661" i="41"/>
  <c r="K7661" i="41"/>
  <c r="H7661" i="41"/>
  <c r="I7661" i="41"/>
  <c r="J7661" i="41"/>
  <c r="G7649" i="41"/>
  <c r="K7649" i="41"/>
  <c r="H7649" i="41"/>
  <c r="I7649" i="41"/>
  <c r="J7649" i="41"/>
  <c r="G7637" i="41"/>
  <c r="K7637" i="41"/>
  <c r="H7637" i="41"/>
  <c r="I7637" i="41"/>
  <c r="J7637" i="41"/>
  <c r="G7621" i="41"/>
  <c r="K7621" i="41"/>
  <c r="H7621" i="41"/>
  <c r="I7621" i="41"/>
  <c r="J7621" i="41"/>
  <c r="G7609" i="41"/>
  <c r="K7609" i="41"/>
  <c r="H7609" i="41"/>
  <c r="I7609" i="41"/>
  <c r="J7609" i="41"/>
  <c r="G7597" i="41"/>
  <c r="K7597" i="41"/>
  <c r="H7597" i="41"/>
  <c r="I7597" i="41"/>
  <c r="J7597" i="41"/>
  <c r="G7585" i="41"/>
  <c r="K7585" i="41"/>
  <c r="H7585" i="41"/>
  <c r="I7585" i="41"/>
  <c r="J7585" i="41"/>
  <c r="J7021" i="41"/>
  <c r="G7021" i="41"/>
  <c r="K7021" i="41"/>
  <c r="H7021" i="41"/>
  <c r="I7021" i="41"/>
  <c r="J6957" i="41"/>
  <c r="G6957" i="41"/>
  <c r="K6957" i="41"/>
  <c r="H6957" i="41"/>
  <c r="I6957" i="41"/>
  <c r="J6861" i="41"/>
  <c r="G6861" i="41"/>
  <c r="K6861" i="41"/>
  <c r="H6861" i="41"/>
  <c r="I6861" i="41"/>
  <c r="J6797" i="41"/>
  <c r="G6797" i="41"/>
  <c r="K6797" i="41"/>
  <c r="H6797" i="41"/>
  <c r="I6797" i="41"/>
  <c r="J6701" i="41"/>
  <c r="G6701" i="41"/>
  <c r="K6701" i="41"/>
  <c r="H6701" i="41"/>
  <c r="I6701" i="41"/>
  <c r="J7065" i="41"/>
  <c r="G7065" i="41"/>
  <c r="K7065" i="41"/>
  <c r="H7065" i="41"/>
  <c r="I7065" i="41"/>
  <c r="J6937" i="41"/>
  <c r="G6937" i="41"/>
  <c r="K6937" i="41"/>
  <c r="H6937" i="41"/>
  <c r="I6937" i="41"/>
  <c r="J6841" i="41"/>
  <c r="G6841" i="41"/>
  <c r="K6841" i="41"/>
  <c r="H6841" i="41"/>
  <c r="I6841" i="41"/>
  <c r="J6777" i="41"/>
  <c r="G6777" i="41"/>
  <c r="K6777" i="41"/>
  <c r="H6777" i="41"/>
  <c r="I6777" i="41"/>
  <c r="J6681" i="41"/>
  <c r="G6681" i="41"/>
  <c r="K6681" i="41"/>
  <c r="H6681" i="41"/>
  <c r="I6681" i="41"/>
  <c r="J7114" i="41"/>
  <c r="G7114" i="41"/>
  <c r="K7114" i="41"/>
  <c r="I7114" i="41"/>
  <c r="H7114" i="41"/>
  <c r="J7098" i="41"/>
  <c r="G7098" i="41"/>
  <c r="K7098" i="41"/>
  <c r="I7098" i="41"/>
  <c r="H7098" i="41"/>
  <c r="J7086" i="41"/>
  <c r="G7086" i="41"/>
  <c r="K7086" i="41"/>
  <c r="I7086" i="41"/>
  <c r="H7086" i="41"/>
  <c r="J7074" i="41"/>
  <c r="G7074" i="41"/>
  <c r="K7074" i="41"/>
  <c r="I7074" i="41"/>
  <c r="H7074" i="41"/>
  <c r="J7026" i="41"/>
  <c r="G7026" i="41"/>
  <c r="K7026" i="41"/>
  <c r="H7026" i="41"/>
  <c r="I7026" i="41"/>
  <c r="J6978" i="41"/>
  <c r="G6978" i="41"/>
  <c r="K6978" i="41"/>
  <c r="H6978" i="41"/>
  <c r="I6978" i="41"/>
  <c r="J6946" i="41"/>
  <c r="G6946" i="41"/>
  <c r="K6946" i="41"/>
  <c r="H6946" i="41"/>
  <c r="I6946" i="41"/>
  <c r="J6914" i="41"/>
  <c r="G6914" i="41"/>
  <c r="K6914" i="41"/>
  <c r="H6914" i="41"/>
  <c r="I6914" i="41"/>
  <c r="J6866" i="41"/>
  <c r="G6866" i="41"/>
  <c r="K6866" i="41"/>
  <c r="H6866" i="41"/>
  <c r="I6866" i="41"/>
  <c r="J6818" i="41"/>
  <c r="G6818" i="41"/>
  <c r="K6818" i="41"/>
  <c r="H6818" i="41"/>
  <c r="I6818" i="41"/>
  <c r="J6770" i="41"/>
  <c r="G6770" i="41"/>
  <c r="K6770" i="41"/>
  <c r="H6770" i="41"/>
  <c r="I6770" i="41"/>
  <c r="J6722" i="41"/>
  <c r="G6722" i="41"/>
  <c r="K6722" i="41"/>
  <c r="H6722" i="41"/>
  <c r="I6722" i="41"/>
  <c r="J6674" i="41"/>
  <c r="G6674" i="41"/>
  <c r="K6674" i="41"/>
  <c r="H6674" i="41"/>
  <c r="I6674" i="41"/>
  <c r="J6464" i="41"/>
  <c r="G6464" i="41"/>
  <c r="K6464" i="41"/>
  <c r="H6464" i="41"/>
  <c r="I6464" i="41"/>
  <c r="J6368" i="41"/>
  <c r="G6368" i="41"/>
  <c r="K6368" i="41"/>
  <c r="H6368" i="41"/>
  <c r="I6368" i="41"/>
  <c r="J6272" i="41"/>
  <c r="G6272" i="41"/>
  <c r="K6272" i="41"/>
  <c r="H6272" i="41"/>
  <c r="I6272" i="41"/>
  <c r="J6176" i="41"/>
  <c r="G6176" i="41"/>
  <c r="K6176" i="41"/>
  <c r="H6176" i="41"/>
  <c r="I6176" i="41"/>
  <c r="J6080" i="41"/>
  <c r="G6080" i="41"/>
  <c r="K6080" i="41"/>
  <c r="H6080" i="41"/>
  <c r="I6080" i="41"/>
  <c r="J7031" i="41"/>
  <c r="G7031" i="41"/>
  <c r="K7031" i="41"/>
  <c r="H7031" i="41"/>
  <c r="I7031" i="41"/>
  <c r="J6983" i="41"/>
  <c r="G6983" i="41"/>
  <c r="K6983" i="41"/>
  <c r="H6983" i="41"/>
  <c r="I6983" i="41"/>
  <c r="J6935" i="41"/>
  <c r="G6935" i="41"/>
  <c r="K6935" i="41"/>
  <c r="H6935" i="41"/>
  <c r="I6935" i="41"/>
  <c r="J6887" i="41"/>
  <c r="G6887" i="41"/>
  <c r="K6887" i="41"/>
  <c r="H6887" i="41"/>
  <c r="I6887" i="41"/>
  <c r="J6839" i="41"/>
  <c r="G6839" i="41"/>
  <c r="K6839" i="41"/>
  <c r="H6839" i="41"/>
  <c r="I6839" i="41"/>
  <c r="J6791" i="41"/>
  <c r="G6791" i="41"/>
  <c r="K6791" i="41"/>
  <c r="H6791" i="41"/>
  <c r="I6791" i="41"/>
  <c r="J6759" i="41"/>
  <c r="G6759" i="41"/>
  <c r="K6759" i="41"/>
  <c r="H6759" i="41"/>
  <c r="I6759" i="41"/>
  <c r="J6695" i="41"/>
  <c r="G6695" i="41"/>
  <c r="K6695" i="41"/>
  <c r="H6695" i="41"/>
  <c r="I6695" i="41"/>
  <c r="J6647" i="41"/>
  <c r="G6647" i="41"/>
  <c r="K6647" i="41"/>
  <c r="H6647" i="41"/>
  <c r="I6647" i="41"/>
  <c r="J7068" i="41"/>
  <c r="G7068" i="41"/>
  <c r="K7068" i="41"/>
  <c r="H7068" i="41"/>
  <c r="I7068" i="41"/>
  <c r="J7020" i="41"/>
  <c r="G7020" i="41"/>
  <c r="K7020" i="41"/>
  <c r="H7020" i="41"/>
  <c r="I7020" i="41"/>
  <c r="J6972" i="41"/>
  <c r="G6972" i="41"/>
  <c r="K6972" i="41"/>
  <c r="H6972" i="41"/>
  <c r="I6972" i="41"/>
  <c r="J6924" i="41"/>
  <c r="G6924" i="41"/>
  <c r="K6924" i="41"/>
  <c r="H6924" i="41"/>
  <c r="I6924" i="41"/>
  <c r="J6876" i="41"/>
  <c r="G6876" i="41"/>
  <c r="K6876" i="41"/>
  <c r="H6876" i="41"/>
  <c r="I6876" i="41"/>
  <c r="J6828" i="41"/>
  <c r="G6828" i="41"/>
  <c r="K6828" i="41"/>
  <c r="H6828" i="41"/>
  <c r="I6828" i="41"/>
  <c r="J6780" i="41"/>
  <c r="G6780" i="41"/>
  <c r="K6780" i="41"/>
  <c r="H6780" i="41"/>
  <c r="I6780" i="41"/>
  <c r="J6732" i="41"/>
  <c r="G6732" i="41"/>
  <c r="K6732" i="41"/>
  <c r="H6732" i="41"/>
  <c r="I6732" i="41"/>
  <c r="J6700" i="41"/>
  <c r="G6700" i="41"/>
  <c r="K6700" i="41"/>
  <c r="H6700" i="41"/>
  <c r="I6700" i="41"/>
  <c r="J6652" i="41"/>
  <c r="G6652" i="41"/>
  <c r="K6652" i="41"/>
  <c r="H6652" i="41"/>
  <c r="I6652" i="41"/>
  <c r="J6492" i="41"/>
  <c r="G6492" i="41"/>
  <c r="K6492" i="41"/>
  <c r="H6492" i="41"/>
  <c r="I6492" i="41"/>
  <c r="J6396" i="41"/>
  <c r="G6396" i="41"/>
  <c r="K6396" i="41"/>
  <c r="H6396" i="41"/>
  <c r="I6396" i="41"/>
  <c r="J6300" i="41"/>
  <c r="G6300" i="41"/>
  <c r="K6300" i="41"/>
  <c r="H6300" i="41"/>
  <c r="I6300" i="41"/>
  <c r="J6204" i="41"/>
  <c r="G6204" i="41"/>
  <c r="K6204" i="41"/>
  <c r="H6204" i="41"/>
  <c r="I6204" i="41"/>
  <c r="J6108" i="41"/>
  <c r="G6108" i="41"/>
  <c r="K6108" i="41"/>
  <c r="H6108" i="41"/>
  <c r="I6108" i="41"/>
  <c r="J6469" i="41"/>
  <c r="G6469" i="41"/>
  <c r="K6469" i="41"/>
  <c r="H6469" i="41"/>
  <c r="I6469" i="41"/>
  <c r="J6421" i="41"/>
  <c r="G6421" i="41"/>
  <c r="K6421" i="41"/>
  <c r="H6421" i="41"/>
  <c r="I6421" i="41"/>
  <c r="J6373" i="41"/>
  <c r="G6373" i="41"/>
  <c r="K6373" i="41"/>
  <c r="H6373" i="41"/>
  <c r="I6373" i="41"/>
  <c r="J6341" i="41"/>
  <c r="G6341" i="41"/>
  <c r="K6341" i="41"/>
  <c r="H6341" i="41"/>
  <c r="I6341" i="41"/>
  <c r="J6293" i="41"/>
  <c r="G6293" i="41"/>
  <c r="K6293" i="41"/>
  <c r="H6293" i="41"/>
  <c r="I6293" i="41"/>
  <c r="J6245" i="41"/>
  <c r="G6245" i="41"/>
  <c r="K6245" i="41"/>
  <c r="H6245" i="41"/>
  <c r="I6245" i="41"/>
  <c r="J6197" i="41"/>
  <c r="G6197" i="41"/>
  <c r="K6197" i="41"/>
  <c r="H6197" i="41"/>
  <c r="I6197" i="41"/>
  <c r="J6149" i="41"/>
  <c r="G6149" i="41"/>
  <c r="K6149" i="41"/>
  <c r="H6149" i="41"/>
  <c r="I6149" i="41"/>
  <c r="J6101" i="41"/>
  <c r="G6101" i="41"/>
  <c r="K6101" i="41"/>
  <c r="H6101" i="41"/>
  <c r="I6101" i="41"/>
  <c r="G6625" i="41"/>
  <c r="K6625" i="41"/>
  <c r="I6625" i="41"/>
  <c r="J6625" i="41"/>
  <c r="H6625" i="41"/>
  <c r="J6609" i="41"/>
  <c r="G6609" i="41"/>
  <c r="K6609" i="41"/>
  <c r="H6609" i="41"/>
  <c r="I6609" i="41"/>
  <c r="J6597" i="41"/>
  <c r="G6597" i="41"/>
  <c r="K6597" i="41"/>
  <c r="H6597" i="41"/>
  <c r="I6597" i="41"/>
  <c r="J6585" i="41"/>
  <c r="G6585" i="41"/>
  <c r="K6585" i="41"/>
  <c r="H6585" i="41"/>
  <c r="I6585" i="41"/>
  <c r="J6573" i="41"/>
  <c r="G6573" i="41"/>
  <c r="K6573" i="41"/>
  <c r="H6573" i="41"/>
  <c r="I6573" i="41"/>
  <c r="J6561" i="41"/>
  <c r="G6561" i="41"/>
  <c r="K6561" i="41"/>
  <c r="H6561" i="41"/>
  <c r="I6561" i="41"/>
  <c r="J6549" i="41"/>
  <c r="G6549" i="41"/>
  <c r="K6549" i="41"/>
  <c r="H6549" i="41"/>
  <c r="I6549" i="41"/>
  <c r="J6537" i="41"/>
  <c r="G6537" i="41"/>
  <c r="K6537" i="41"/>
  <c r="H6537" i="41"/>
  <c r="I6537" i="41"/>
  <c r="J6529" i="41"/>
  <c r="G6529" i="41"/>
  <c r="K6529" i="41"/>
  <c r="H6529" i="41"/>
  <c r="I6529" i="41"/>
  <c r="J6517" i="41"/>
  <c r="G6517" i="41"/>
  <c r="K6517" i="41"/>
  <c r="H6517" i="41"/>
  <c r="I6517" i="41"/>
  <c r="J6505" i="41"/>
  <c r="G6505" i="41"/>
  <c r="K6505" i="41"/>
  <c r="H6505" i="41"/>
  <c r="I6505" i="41"/>
  <c r="J6490" i="41"/>
  <c r="G6490" i="41"/>
  <c r="K6490" i="41"/>
  <c r="H6490" i="41"/>
  <c r="I6490" i="41"/>
  <c r="J6442" i="41"/>
  <c r="G6442" i="41"/>
  <c r="K6442" i="41"/>
  <c r="H6442" i="41"/>
  <c r="I6442" i="41"/>
  <c r="J6394" i="41"/>
  <c r="G6394" i="41"/>
  <c r="K6394" i="41"/>
  <c r="H6394" i="41"/>
  <c r="I6394" i="41"/>
  <c r="J6330" i="41"/>
  <c r="G6330" i="41"/>
  <c r="K6330" i="41"/>
  <c r="H6330" i="41"/>
  <c r="I6330" i="41"/>
  <c r="J6282" i="41"/>
  <c r="G6282" i="41"/>
  <c r="K6282" i="41"/>
  <c r="H6282" i="41"/>
  <c r="I6282" i="41"/>
  <c r="J6234" i="41"/>
  <c r="G6234" i="41"/>
  <c r="K6234" i="41"/>
  <c r="H6234" i="41"/>
  <c r="I6234" i="41"/>
  <c r="J6202" i="41"/>
  <c r="G6202" i="41"/>
  <c r="K6202" i="41"/>
  <c r="H6202" i="41"/>
  <c r="I6202" i="41"/>
  <c r="J6154" i="41"/>
  <c r="G6154" i="41"/>
  <c r="K6154" i="41"/>
  <c r="H6154" i="41"/>
  <c r="I6154" i="41"/>
  <c r="J6106" i="41"/>
  <c r="G6106" i="41"/>
  <c r="K6106" i="41"/>
  <c r="H6106" i="41"/>
  <c r="I6106" i="41"/>
  <c r="J6074" i="41"/>
  <c r="G6074" i="41"/>
  <c r="K6074" i="41"/>
  <c r="H6074" i="41"/>
  <c r="I6074" i="41"/>
  <c r="J6455" i="41"/>
  <c r="G6455" i="41"/>
  <c r="K6455" i="41"/>
  <c r="H6455" i="41"/>
  <c r="I6455" i="41"/>
  <c r="J6407" i="41"/>
  <c r="G6407" i="41"/>
  <c r="K6407" i="41"/>
  <c r="H6407" i="41"/>
  <c r="I6407" i="41"/>
  <c r="J6343" i="41"/>
  <c r="G6343" i="41"/>
  <c r="K6343" i="41"/>
  <c r="H6343" i="41"/>
  <c r="I6343" i="41"/>
  <c r="J6295" i="41"/>
  <c r="G6295" i="41"/>
  <c r="K6295" i="41"/>
  <c r="H6295" i="41"/>
  <c r="I6295" i="41"/>
  <c r="J6247" i="41"/>
  <c r="G6247" i="41"/>
  <c r="K6247" i="41"/>
  <c r="H6247" i="41"/>
  <c r="I6247" i="41"/>
  <c r="J6199" i="41"/>
  <c r="G6199" i="41"/>
  <c r="K6199" i="41"/>
  <c r="H6199" i="41"/>
  <c r="I6199" i="41"/>
  <c r="J6167" i="41"/>
  <c r="G6167" i="41"/>
  <c r="K6167" i="41"/>
  <c r="H6167" i="41"/>
  <c r="I6167" i="41"/>
  <c r="J6119" i="41"/>
  <c r="G6119" i="41"/>
  <c r="K6119" i="41"/>
  <c r="H6119" i="41"/>
  <c r="I6119" i="41"/>
  <c r="J6087" i="41"/>
  <c r="G6087" i="41"/>
  <c r="K6087" i="41"/>
  <c r="H6087" i="41"/>
  <c r="I6087" i="41"/>
  <c r="J5727" i="41"/>
  <c r="G5727" i="41"/>
  <c r="K5727" i="41"/>
  <c r="H5727" i="41"/>
  <c r="I5727" i="41"/>
  <c r="J5631" i="41"/>
  <c r="G5631" i="41"/>
  <c r="K5631" i="41"/>
  <c r="H5631" i="41"/>
  <c r="I5631" i="41"/>
  <c r="J5536" i="41"/>
  <c r="G5536" i="41"/>
  <c r="H5536" i="41"/>
  <c r="I5536" i="41"/>
  <c r="K5536" i="41"/>
  <c r="J5667" i="41"/>
  <c r="G5667" i="41"/>
  <c r="K5667" i="41"/>
  <c r="H5667" i="41"/>
  <c r="I5667" i="41"/>
  <c r="J5571" i="41"/>
  <c r="G5571" i="41"/>
  <c r="K5571" i="41"/>
  <c r="H5571" i="41"/>
  <c r="I5571" i="41"/>
  <c r="J5752" i="41"/>
  <c r="G5752" i="41"/>
  <c r="K5752" i="41"/>
  <c r="H5752" i="41"/>
  <c r="I5752" i="41"/>
  <c r="J5704" i="41"/>
  <c r="G5704" i="41"/>
  <c r="K5704" i="41"/>
  <c r="H5704" i="41"/>
  <c r="I5704" i="41"/>
  <c r="J5656" i="41"/>
  <c r="G5656" i="41"/>
  <c r="K5656" i="41"/>
  <c r="H5656" i="41"/>
  <c r="I5656" i="41"/>
  <c r="J5608" i="41"/>
  <c r="G5608" i="41"/>
  <c r="K5608" i="41"/>
  <c r="H5608" i="41"/>
  <c r="I5608" i="41"/>
  <c r="J5560" i="41"/>
  <c r="G5560" i="41"/>
  <c r="K5560" i="41"/>
  <c r="H5560" i="41"/>
  <c r="I5560" i="41"/>
  <c r="J5778" i="41"/>
  <c r="G5778" i="41"/>
  <c r="K5778" i="41"/>
  <c r="H5778" i="41"/>
  <c r="I5778" i="41"/>
  <c r="J5766" i="41"/>
  <c r="G5766" i="41"/>
  <c r="K5766" i="41"/>
  <c r="H5766" i="41"/>
  <c r="I5766" i="41"/>
  <c r="J5733" i="41"/>
  <c r="G5733" i="41"/>
  <c r="K5733" i="41"/>
  <c r="H5733" i="41"/>
  <c r="I5733" i="41"/>
  <c r="J5685" i="41"/>
  <c r="G5685" i="41"/>
  <c r="K5685" i="41"/>
  <c r="H5685" i="41"/>
  <c r="I5685" i="41"/>
  <c r="J5637" i="41"/>
  <c r="G5637" i="41"/>
  <c r="K5637" i="41"/>
  <c r="H5637" i="41"/>
  <c r="I5637" i="41"/>
  <c r="J5589" i="41"/>
  <c r="G5589" i="41"/>
  <c r="K5589" i="41"/>
  <c r="H5589" i="41"/>
  <c r="I5589" i="41"/>
  <c r="J5532" i="41"/>
  <c r="G5532" i="41"/>
  <c r="H5532" i="41"/>
  <c r="I5532" i="41"/>
  <c r="K5532" i="41"/>
  <c r="J5730" i="41"/>
  <c r="G5730" i="41"/>
  <c r="K5730" i="41"/>
  <c r="H5730" i="41"/>
  <c r="I5730" i="41"/>
  <c r="J5698" i="41"/>
  <c r="G5698" i="41"/>
  <c r="K5698" i="41"/>
  <c r="H5698" i="41"/>
  <c r="I5698" i="41"/>
  <c r="J5650" i="41"/>
  <c r="G5650" i="41"/>
  <c r="K5650" i="41"/>
  <c r="H5650" i="41"/>
  <c r="I5650" i="41"/>
  <c r="J5586" i="41"/>
  <c r="G5586" i="41"/>
  <c r="K5586" i="41"/>
  <c r="H5586" i="41"/>
  <c r="I5586" i="41"/>
  <c r="J5530" i="41"/>
  <c r="G5530" i="41"/>
  <c r="H5530" i="41"/>
  <c r="I5530" i="41"/>
  <c r="K5530" i="41"/>
  <c r="J5531" i="41"/>
  <c r="I5531" i="41"/>
  <c r="K5531" i="41"/>
  <c r="G5531" i="41"/>
  <c r="H5531" i="41"/>
  <c r="H5506" i="41"/>
  <c r="J5506" i="41"/>
  <c r="K5506" i="41"/>
  <c r="G5506" i="41"/>
  <c r="I5506" i="41"/>
  <c r="J5070" i="41"/>
  <c r="G5070" i="41"/>
  <c r="K5070" i="41"/>
  <c r="H5070" i="41"/>
  <c r="I5070" i="41"/>
  <c r="H5499" i="41"/>
  <c r="I5499" i="41"/>
  <c r="J5499" i="41"/>
  <c r="G5499" i="41"/>
  <c r="K5499" i="41"/>
  <c r="H5487" i="41"/>
  <c r="I5487" i="41"/>
  <c r="J5487" i="41"/>
  <c r="G5487" i="41"/>
  <c r="K5487" i="41"/>
  <c r="H5475" i="41"/>
  <c r="I5475" i="41"/>
  <c r="J5475" i="41"/>
  <c r="G5475" i="41"/>
  <c r="K5475" i="41"/>
  <c r="H5463" i="41"/>
  <c r="I5463" i="41"/>
  <c r="J5463" i="41"/>
  <c r="G5463" i="41"/>
  <c r="K5463" i="41"/>
  <c r="H5451" i="41"/>
  <c r="I5451" i="41"/>
  <c r="J5451" i="41"/>
  <c r="G5451" i="41"/>
  <c r="K5451" i="41"/>
  <c r="H5439" i="41"/>
  <c r="I5439" i="41"/>
  <c r="J5439" i="41"/>
  <c r="G5439" i="41"/>
  <c r="K5439" i="41"/>
  <c r="H5427" i="41"/>
  <c r="I5427" i="41"/>
  <c r="J5427" i="41"/>
  <c r="G5427" i="41"/>
  <c r="K5427" i="41"/>
  <c r="H5415" i="41"/>
  <c r="I5415" i="41"/>
  <c r="J5415" i="41"/>
  <c r="G5415" i="41"/>
  <c r="K5415" i="41"/>
  <c r="H5403" i="41"/>
  <c r="I5403" i="41"/>
  <c r="J5403" i="41"/>
  <c r="G5403" i="41"/>
  <c r="K5403" i="41"/>
  <c r="H5391" i="41"/>
  <c r="I5391" i="41"/>
  <c r="J5391" i="41"/>
  <c r="G5391" i="41"/>
  <c r="K5391" i="41"/>
  <c r="H5379" i="41"/>
  <c r="I5379" i="41"/>
  <c r="J5379" i="41"/>
  <c r="G5379" i="41"/>
  <c r="K5379" i="41"/>
  <c r="H5367" i="41"/>
  <c r="I5367" i="41"/>
  <c r="J5367" i="41"/>
  <c r="G5367" i="41"/>
  <c r="K5367" i="41"/>
  <c r="H5355" i="41"/>
  <c r="I5355" i="41"/>
  <c r="J5355" i="41"/>
  <c r="G5355" i="41"/>
  <c r="K5355" i="41"/>
  <c r="H5343" i="41"/>
  <c r="I5343" i="41"/>
  <c r="J5343" i="41"/>
  <c r="G5343" i="41"/>
  <c r="K5343" i="41"/>
  <c r="H5331" i="41"/>
  <c r="I5331" i="41"/>
  <c r="J5331" i="41"/>
  <c r="G5331" i="41"/>
  <c r="K5331" i="41"/>
  <c r="H5319" i="41"/>
  <c r="I5319" i="41"/>
  <c r="J5319" i="41"/>
  <c r="G5319" i="41"/>
  <c r="K5319" i="41"/>
  <c r="H5307" i="41"/>
  <c r="I5307" i="41"/>
  <c r="J5307" i="41"/>
  <c r="G5307" i="41"/>
  <c r="K5307" i="41"/>
  <c r="H5295" i="41"/>
  <c r="I5295" i="41"/>
  <c r="J5295" i="41"/>
  <c r="G5295" i="41"/>
  <c r="K5295" i="41"/>
  <c r="H5283" i="41"/>
  <c r="I5283" i="41"/>
  <c r="J5283" i="41"/>
  <c r="G5283" i="41"/>
  <c r="K5283" i="41"/>
  <c r="H5275" i="41"/>
  <c r="I5275" i="41"/>
  <c r="J5275" i="41"/>
  <c r="G5275" i="41"/>
  <c r="K5275" i="41"/>
  <c r="J5160" i="41"/>
  <c r="H5160" i="41"/>
  <c r="G5160" i="41"/>
  <c r="I5160" i="41"/>
  <c r="K5160" i="41"/>
  <c r="J5112" i="41"/>
  <c r="H5112" i="41"/>
  <c r="G5112" i="41"/>
  <c r="I5112" i="41"/>
  <c r="K5112" i="41"/>
  <c r="J5026" i="41"/>
  <c r="G5026" i="41"/>
  <c r="K5026" i="41"/>
  <c r="H5026" i="41"/>
  <c r="I5026" i="41"/>
  <c r="G5247" i="41"/>
  <c r="K5247" i="41"/>
  <c r="H5247" i="41"/>
  <c r="I5247" i="41"/>
  <c r="J5247" i="41"/>
  <c r="G5235" i="41"/>
  <c r="K5235" i="41"/>
  <c r="H5235" i="41"/>
  <c r="I5235" i="41"/>
  <c r="J5235" i="41"/>
  <c r="G5223" i="41"/>
  <c r="K5223" i="41"/>
  <c r="H5223" i="41"/>
  <c r="I5223" i="41"/>
  <c r="J5223" i="41"/>
  <c r="G5211" i="41"/>
  <c r="K5211" i="41"/>
  <c r="H5211" i="41"/>
  <c r="I5211" i="41"/>
  <c r="J5211" i="41"/>
  <c r="G5199" i="41"/>
  <c r="K5199" i="41"/>
  <c r="H5199" i="41"/>
  <c r="I5199" i="41"/>
  <c r="J5199" i="41"/>
  <c r="G5191" i="41"/>
  <c r="K5191" i="41"/>
  <c r="H5191" i="41"/>
  <c r="I5191" i="41"/>
  <c r="J5191" i="41"/>
  <c r="J5178" i="41"/>
  <c r="H5178" i="41"/>
  <c r="I5178" i="41"/>
  <c r="K5178" i="41"/>
  <c r="G5178" i="41"/>
  <c r="J5147" i="41"/>
  <c r="H5147" i="41"/>
  <c r="I5147" i="41"/>
  <c r="K5147" i="41"/>
  <c r="G5147" i="41"/>
  <c r="J5099" i="41"/>
  <c r="G5099" i="41"/>
  <c r="K5099" i="41"/>
  <c r="H5099" i="41"/>
  <c r="I5099" i="41"/>
  <c r="J5051" i="41"/>
  <c r="G5051" i="41"/>
  <c r="K5051" i="41"/>
  <c r="H5051" i="41"/>
  <c r="I5051" i="41"/>
  <c r="J5003" i="41"/>
  <c r="G5003" i="41"/>
  <c r="K5003" i="41"/>
  <c r="H5003" i="41"/>
  <c r="I5003" i="41"/>
  <c r="J5130" i="41"/>
  <c r="H5130" i="41"/>
  <c r="K5130" i="41"/>
  <c r="G5130" i="41"/>
  <c r="I5130" i="41"/>
  <c r="J5080" i="41"/>
  <c r="G5080" i="41"/>
  <c r="K5080" i="41"/>
  <c r="H5080" i="41"/>
  <c r="I5080" i="41"/>
  <c r="J5032" i="41"/>
  <c r="G5032" i="41"/>
  <c r="K5032" i="41"/>
  <c r="H5032" i="41"/>
  <c r="I5032" i="41"/>
  <c r="J5000" i="41"/>
  <c r="G5000" i="41"/>
  <c r="K5000" i="41"/>
  <c r="H5000" i="41"/>
  <c r="I5000" i="41"/>
  <c r="J5129" i="41"/>
  <c r="H5129" i="41"/>
  <c r="G5129" i="41"/>
  <c r="I5129" i="41"/>
  <c r="K5129" i="41"/>
  <c r="J5081" i="41"/>
  <c r="G5081" i="41"/>
  <c r="K5081" i="41"/>
  <c r="H5081" i="41"/>
  <c r="I5081" i="41"/>
  <c r="J5033" i="41"/>
  <c r="G5033" i="41"/>
  <c r="K5033" i="41"/>
  <c r="H5033" i="41"/>
  <c r="I5033" i="41"/>
  <c r="I4876" i="41"/>
  <c r="J4876" i="41"/>
  <c r="G4876" i="41"/>
  <c r="K4876" i="41"/>
  <c r="H4876" i="41"/>
  <c r="I4967" i="41"/>
  <c r="G4967" i="41"/>
  <c r="K4967" i="41"/>
  <c r="J4967" i="41"/>
  <c r="H4967" i="41"/>
  <c r="I4957" i="41"/>
  <c r="J4957" i="41"/>
  <c r="G4957" i="41"/>
  <c r="K4957" i="41"/>
  <c r="H4957" i="41"/>
  <c r="I5806" i="41"/>
  <c r="J5806" i="41"/>
  <c r="G5806" i="41"/>
  <c r="K5806" i="41"/>
  <c r="H5806" i="41"/>
  <c r="I5910" i="41"/>
  <c r="J5910" i="41"/>
  <c r="G5910" i="41"/>
  <c r="K5910" i="41"/>
  <c r="H5910" i="41"/>
  <c r="I5787" i="41"/>
  <c r="J5787" i="41"/>
  <c r="G5787" i="41"/>
  <c r="K5787" i="41"/>
  <c r="H5787" i="41"/>
  <c r="I5891" i="41"/>
  <c r="J5891" i="41"/>
  <c r="G5891" i="41"/>
  <c r="K5891" i="41"/>
  <c r="H5891" i="41"/>
  <c r="I5987" i="41"/>
  <c r="J5987" i="41"/>
  <c r="G5987" i="41"/>
  <c r="K5987" i="41"/>
  <c r="H5987" i="41"/>
  <c r="I6052" i="41"/>
  <c r="G6052" i="41"/>
  <c r="K6052" i="41"/>
  <c r="H6052" i="41"/>
  <c r="J6052" i="41"/>
  <c r="H7281" i="41"/>
  <c r="I7281" i="41"/>
  <c r="J7281" i="41"/>
  <c r="G7281" i="41"/>
  <c r="K7281" i="41"/>
  <c r="H7521" i="41"/>
  <c r="I7521" i="41"/>
  <c r="J7521" i="41"/>
  <c r="G7521" i="41"/>
  <c r="K7521" i="41"/>
  <c r="H7136" i="41"/>
  <c r="I7136" i="41"/>
  <c r="J7136" i="41"/>
  <c r="G7136" i="41"/>
  <c r="K7136" i="41"/>
  <c r="H7344" i="41"/>
  <c r="I7344" i="41"/>
  <c r="J7344" i="41"/>
  <c r="G7344" i="41"/>
  <c r="K7344" i="41"/>
  <c r="H7147" i="41"/>
  <c r="I7147" i="41"/>
  <c r="J7147" i="41"/>
  <c r="K7147" i="41"/>
  <c r="G7147" i="41"/>
  <c r="H7371" i="41"/>
  <c r="I7371" i="41"/>
  <c r="J7371" i="41"/>
  <c r="K7371" i="41"/>
  <c r="G7371" i="41"/>
  <c r="H7270" i="41"/>
  <c r="I7270" i="41"/>
  <c r="J7270" i="41"/>
  <c r="G7270" i="41"/>
  <c r="K7270" i="41"/>
  <c r="H7210" i="41"/>
  <c r="I7210" i="41"/>
  <c r="J7210" i="41"/>
  <c r="G7210" i="41"/>
  <c r="K7210" i="41"/>
  <c r="I4870" i="41"/>
  <c r="J4870" i="41"/>
  <c r="G4870" i="41"/>
  <c r="K4870" i="41"/>
  <c r="H4870" i="41"/>
  <c r="I4902" i="41"/>
  <c r="J4902" i="41"/>
  <c r="G4902" i="41"/>
  <c r="K4902" i="41"/>
  <c r="H4902" i="41"/>
  <c r="I4934" i="41"/>
  <c r="J4934" i="41"/>
  <c r="G4934" i="41"/>
  <c r="K4934" i="41"/>
  <c r="H4934" i="41"/>
  <c r="I4964" i="41"/>
  <c r="G4964" i="41"/>
  <c r="K4964" i="41"/>
  <c r="J4964" i="41"/>
  <c r="H4964" i="41"/>
  <c r="I4980" i="41"/>
  <c r="G4980" i="41"/>
  <c r="K4980" i="41"/>
  <c r="J4980" i="41"/>
  <c r="H4980" i="41"/>
  <c r="I4897" i="41"/>
  <c r="J4897" i="41"/>
  <c r="G4897" i="41"/>
  <c r="K4897" i="41"/>
  <c r="H4897" i="41"/>
  <c r="I4961" i="41"/>
  <c r="J4961" i="41"/>
  <c r="G4961" i="41"/>
  <c r="K4961" i="41"/>
  <c r="H4961" i="41"/>
  <c r="I4919" i="41"/>
  <c r="J4919" i="41"/>
  <c r="G4919" i="41"/>
  <c r="K4919" i="41"/>
  <c r="H4919" i="41"/>
  <c r="J5171" i="41"/>
  <c r="K5171" i="41"/>
  <c r="G5171" i="41"/>
  <c r="H5171" i="41"/>
  <c r="I5171" i="41"/>
  <c r="I5792" i="41"/>
  <c r="J5792" i="41"/>
  <c r="G5792" i="41"/>
  <c r="K5792" i="41"/>
  <c r="H5792" i="41"/>
  <c r="I5824" i="41"/>
  <c r="J5824" i="41"/>
  <c r="G5824" i="41"/>
  <c r="K5824" i="41"/>
  <c r="H5824" i="41"/>
  <c r="I5856" i="41"/>
  <c r="J5856" i="41"/>
  <c r="G5856" i="41"/>
  <c r="K5856" i="41"/>
  <c r="H5856" i="41"/>
  <c r="I5888" i="41"/>
  <c r="J5888" i="41"/>
  <c r="G5888" i="41"/>
  <c r="K5888" i="41"/>
  <c r="H5888" i="41"/>
  <c r="I5920" i="41"/>
  <c r="J5920" i="41"/>
  <c r="G5920" i="41"/>
  <c r="K5920" i="41"/>
  <c r="H5920" i="41"/>
  <c r="I5952" i="41"/>
  <c r="J5952" i="41"/>
  <c r="G5952" i="41"/>
  <c r="K5952" i="41"/>
  <c r="H5952" i="41"/>
  <c r="I5984" i="41"/>
  <c r="J5984" i="41"/>
  <c r="G5984" i="41"/>
  <c r="K5984" i="41"/>
  <c r="H5984" i="41"/>
  <c r="I6016" i="41"/>
  <c r="J6016" i="41"/>
  <c r="G6016" i="41"/>
  <c r="K6016" i="41"/>
  <c r="H6016" i="41"/>
  <c r="I5813" i="41"/>
  <c r="J5813" i="41"/>
  <c r="G5813" i="41"/>
  <c r="K5813" i="41"/>
  <c r="H5813" i="41"/>
  <c r="I5845" i="41"/>
  <c r="J5845" i="41"/>
  <c r="G5845" i="41"/>
  <c r="K5845" i="41"/>
  <c r="H5845" i="41"/>
  <c r="I5877" i="41"/>
  <c r="J5877" i="41"/>
  <c r="G5877" i="41"/>
  <c r="K5877" i="41"/>
  <c r="H5877" i="41"/>
  <c r="I5909" i="41"/>
  <c r="J5909" i="41"/>
  <c r="G5909" i="41"/>
  <c r="K5909" i="41"/>
  <c r="H5909" i="41"/>
  <c r="I5941" i="41"/>
  <c r="J5941" i="41"/>
  <c r="G5941" i="41"/>
  <c r="K5941" i="41"/>
  <c r="H5941" i="41"/>
  <c r="I5973" i="41"/>
  <c r="J5973" i="41"/>
  <c r="G5973" i="41"/>
  <c r="K5973" i="41"/>
  <c r="H5973" i="41"/>
  <c r="I6005" i="41"/>
  <c r="J6005" i="41"/>
  <c r="G6005" i="41"/>
  <c r="K6005" i="41"/>
  <c r="H6005" i="41"/>
  <c r="I6029" i="41"/>
  <c r="G6029" i="41"/>
  <c r="K6029" i="41"/>
  <c r="H6029" i="41"/>
  <c r="J6029" i="41"/>
  <c r="I6045" i="41"/>
  <c r="G6045" i="41"/>
  <c r="K6045" i="41"/>
  <c r="H6045" i="41"/>
  <c r="J6045" i="41"/>
  <c r="I6061" i="41"/>
  <c r="G6061" i="41"/>
  <c r="K6061" i="41"/>
  <c r="H6061" i="41"/>
  <c r="J6061" i="41"/>
  <c r="H7173" i="41"/>
  <c r="I7173" i="41"/>
  <c r="J7173" i="41"/>
  <c r="G7173" i="41"/>
  <c r="K7173" i="41"/>
  <c r="H7237" i="41"/>
  <c r="I7237" i="41"/>
  <c r="J7237" i="41"/>
  <c r="G7237" i="41"/>
  <c r="K7237" i="41"/>
  <c r="H7301" i="41"/>
  <c r="I7301" i="41"/>
  <c r="J7301" i="41"/>
  <c r="G7301" i="41"/>
  <c r="K7301" i="41"/>
  <c r="H7365" i="41"/>
  <c r="I7365" i="41"/>
  <c r="J7365" i="41"/>
  <c r="G7365" i="41"/>
  <c r="K7365" i="41"/>
  <c r="H7429" i="41"/>
  <c r="I7429" i="41"/>
  <c r="J7429" i="41"/>
  <c r="G7429" i="41"/>
  <c r="K7429" i="41"/>
  <c r="H7493" i="41"/>
  <c r="I7493" i="41"/>
  <c r="J7493" i="41"/>
  <c r="G7493" i="41"/>
  <c r="K7493" i="41"/>
  <c r="I7542" i="41"/>
  <c r="J7542" i="41"/>
  <c r="G7542" i="41"/>
  <c r="H7542" i="41"/>
  <c r="K7542" i="41"/>
  <c r="I7558" i="41"/>
  <c r="J7558" i="41"/>
  <c r="G7558" i="41"/>
  <c r="H7558" i="41"/>
  <c r="K7558" i="41"/>
  <c r="I7574" i="41"/>
  <c r="J7574" i="41"/>
  <c r="G7574" i="41"/>
  <c r="H7574" i="41"/>
  <c r="K7574" i="41"/>
  <c r="H7172" i="41"/>
  <c r="I7172" i="41"/>
  <c r="J7172" i="41"/>
  <c r="G7172" i="41"/>
  <c r="K7172" i="41"/>
  <c r="H7236" i="41"/>
  <c r="I7236" i="41"/>
  <c r="J7236" i="41"/>
  <c r="G7236" i="41"/>
  <c r="K7236" i="41"/>
  <c r="H7300" i="41"/>
  <c r="I7300" i="41"/>
  <c r="J7300" i="41"/>
  <c r="G7300" i="41"/>
  <c r="K7300" i="41"/>
  <c r="H7364" i="41"/>
  <c r="I7364" i="41"/>
  <c r="J7364" i="41"/>
  <c r="G7364" i="41"/>
  <c r="K7364" i="41"/>
  <c r="H7428" i="41"/>
  <c r="I7428" i="41"/>
  <c r="J7428" i="41"/>
  <c r="G7428" i="41"/>
  <c r="K7428" i="41"/>
  <c r="H7492" i="41"/>
  <c r="I7492" i="41"/>
  <c r="J7492" i="41"/>
  <c r="G7492" i="41"/>
  <c r="K7492" i="41"/>
  <c r="H7135" i="41"/>
  <c r="I7135" i="41"/>
  <c r="J7135" i="41"/>
  <c r="K7135" i="41"/>
  <c r="G7135" i="41"/>
  <c r="H7199" i="41"/>
  <c r="I7199" i="41"/>
  <c r="J7199" i="41"/>
  <c r="K7199" i="41"/>
  <c r="G7199" i="41"/>
  <c r="H7263" i="41"/>
  <c r="I7263" i="41"/>
  <c r="J7263" i="41"/>
  <c r="K7263" i="41"/>
  <c r="G7263" i="41"/>
  <c r="H7327" i="41"/>
  <c r="I7327" i="41"/>
  <c r="J7327" i="41"/>
  <c r="K7327" i="41"/>
  <c r="G7327" i="41"/>
  <c r="H7391" i="41"/>
  <c r="I7391" i="41"/>
  <c r="J7391" i="41"/>
  <c r="K7391" i="41"/>
  <c r="G7391" i="41"/>
  <c r="H7455" i="41"/>
  <c r="I7455" i="41"/>
  <c r="J7455" i="41"/>
  <c r="K7455" i="41"/>
  <c r="G7455" i="41"/>
  <c r="H7519" i="41"/>
  <c r="I7519" i="41"/>
  <c r="J7519" i="41"/>
  <c r="K7519" i="41"/>
  <c r="G7519" i="41"/>
  <c r="H7214" i="41"/>
  <c r="I7214" i="41"/>
  <c r="J7214" i="41"/>
  <c r="G7214" i="41"/>
  <c r="K7214" i="41"/>
  <c r="H7342" i="41"/>
  <c r="I7342" i="41"/>
  <c r="J7342" i="41"/>
  <c r="G7342" i="41"/>
  <c r="K7342" i="41"/>
  <c r="H7470" i="41"/>
  <c r="I7470" i="41"/>
  <c r="J7470" i="41"/>
  <c r="G7470" i="41"/>
  <c r="K7470" i="41"/>
  <c r="H7218" i="41"/>
  <c r="I7218" i="41"/>
  <c r="J7218" i="41"/>
  <c r="G7218" i="41"/>
  <c r="K7218" i="41"/>
  <c r="H7474" i="41"/>
  <c r="I7474" i="41"/>
  <c r="J7474" i="41"/>
  <c r="G7474" i="41"/>
  <c r="K7474" i="41"/>
  <c r="H7290" i="41"/>
  <c r="I7290" i="41"/>
  <c r="J7290" i="41"/>
  <c r="G7290" i="41"/>
  <c r="K7290" i="41"/>
  <c r="I4868" i="41"/>
  <c r="J4868" i="41"/>
  <c r="G4868" i="41"/>
  <c r="K4868" i="41"/>
  <c r="H4868" i="41"/>
  <c r="I4963" i="41"/>
  <c r="G4963" i="41"/>
  <c r="K4963" i="41"/>
  <c r="J4963" i="41"/>
  <c r="H4963" i="41"/>
  <c r="I4867" i="41"/>
  <c r="J4867" i="41"/>
  <c r="G4867" i="41"/>
  <c r="K4867" i="41"/>
  <c r="H4867" i="41"/>
  <c r="I5790" i="41"/>
  <c r="J5790" i="41"/>
  <c r="G5790" i="41"/>
  <c r="K5790" i="41"/>
  <c r="H5790" i="41"/>
  <c r="I5878" i="41"/>
  <c r="J5878" i="41"/>
  <c r="G5878" i="41"/>
  <c r="K5878" i="41"/>
  <c r="H5878" i="41"/>
  <c r="I5966" i="41"/>
  <c r="J5966" i="41"/>
  <c r="G5966" i="41"/>
  <c r="K5966" i="41"/>
  <c r="H5966" i="41"/>
  <c r="I5835" i="41"/>
  <c r="J5835" i="41"/>
  <c r="G5835" i="41"/>
  <c r="K5835" i="41"/>
  <c r="H5835" i="41"/>
  <c r="I5923" i="41"/>
  <c r="J5923" i="41"/>
  <c r="G5923" i="41"/>
  <c r="K5923" i="41"/>
  <c r="H5923" i="41"/>
  <c r="I6028" i="41"/>
  <c r="G6028" i="41"/>
  <c r="K6028" i="41"/>
  <c r="H6028" i="41"/>
  <c r="J6028" i="41"/>
  <c r="H7153" i="41"/>
  <c r="I7153" i="41"/>
  <c r="J7153" i="41"/>
  <c r="G7153" i="41"/>
  <c r="K7153" i="41"/>
  <c r="H7345" i="41"/>
  <c r="I7345" i="41"/>
  <c r="J7345" i="41"/>
  <c r="G7345" i="41"/>
  <c r="K7345" i="41"/>
  <c r="H7505" i="41"/>
  <c r="I7505" i="41"/>
  <c r="J7505" i="41"/>
  <c r="G7505" i="41"/>
  <c r="K7505" i="41"/>
  <c r="I7577" i="41"/>
  <c r="J7577" i="41"/>
  <c r="G7577" i="41"/>
  <c r="H7577" i="41"/>
  <c r="K7577" i="41"/>
  <c r="H7312" i="41"/>
  <c r="I7312" i="41"/>
  <c r="J7312" i="41"/>
  <c r="G7312" i="41"/>
  <c r="K7312" i="41"/>
  <c r="H7488" i="41"/>
  <c r="I7488" i="41"/>
  <c r="J7488" i="41"/>
  <c r="G7488" i="41"/>
  <c r="K7488" i="41"/>
  <c r="H7275" i="41"/>
  <c r="I7275" i="41"/>
  <c r="J7275" i="41"/>
  <c r="K7275" i="41"/>
  <c r="G7275" i="41"/>
  <c r="H7451" i="41"/>
  <c r="I7451" i="41"/>
  <c r="J7451" i="41"/>
  <c r="K7451" i="41"/>
  <c r="G7451" i="41"/>
  <c r="H7206" i="41"/>
  <c r="I7206" i="41"/>
  <c r="J7206" i="41"/>
  <c r="G7206" i="41"/>
  <c r="K7206" i="41"/>
  <c r="H7138" i="41"/>
  <c r="I7138" i="41"/>
  <c r="J7138" i="41"/>
  <c r="G7138" i="41"/>
  <c r="K7138" i="41"/>
  <c r="I4864" i="41"/>
  <c r="J4864" i="41"/>
  <c r="G4864" i="41"/>
  <c r="K4864" i="41"/>
  <c r="H4864" i="41"/>
  <c r="I4896" i="41"/>
  <c r="J4896" i="41"/>
  <c r="G4896" i="41"/>
  <c r="K4896" i="41"/>
  <c r="H4896" i="41"/>
  <c r="I4928" i="41"/>
  <c r="J4928" i="41"/>
  <c r="G4928" i="41"/>
  <c r="K4928" i="41"/>
  <c r="H4928" i="41"/>
  <c r="I4960" i="41"/>
  <c r="J4960" i="41"/>
  <c r="G4960" i="41"/>
  <c r="K4960" i="41"/>
  <c r="H4960" i="41"/>
  <c r="I4977" i="41"/>
  <c r="G4977" i="41"/>
  <c r="K4977" i="41"/>
  <c r="J4977" i="41"/>
  <c r="H4977" i="41"/>
  <c r="I4901" i="41"/>
  <c r="J4901" i="41"/>
  <c r="G4901" i="41"/>
  <c r="K4901" i="41"/>
  <c r="H4901" i="41"/>
  <c r="I4859" i="41"/>
  <c r="J4859" i="41"/>
  <c r="G4859" i="41"/>
  <c r="K4859" i="41"/>
  <c r="H4859" i="41"/>
  <c r="I4923" i="41"/>
  <c r="J4923" i="41"/>
  <c r="G4923" i="41"/>
  <c r="K4923" i="41"/>
  <c r="H4923" i="41"/>
  <c r="J5173" i="41"/>
  <c r="K5173" i="41"/>
  <c r="G5173" i="41"/>
  <c r="H5173" i="41"/>
  <c r="I5173" i="41"/>
  <c r="I5794" i="41"/>
  <c r="J5794" i="41"/>
  <c r="G5794" i="41"/>
  <c r="K5794" i="41"/>
  <c r="H5794" i="41"/>
  <c r="I5826" i="41"/>
  <c r="J5826" i="41"/>
  <c r="G5826" i="41"/>
  <c r="K5826" i="41"/>
  <c r="H5826" i="41"/>
  <c r="I5858" i="41"/>
  <c r="J5858" i="41"/>
  <c r="G5858" i="41"/>
  <c r="K5858" i="41"/>
  <c r="H5858" i="41"/>
  <c r="I5890" i="41"/>
  <c r="J5890" i="41"/>
  <c r="G5890" i="41"/>
  <c r="K5890" i="41"/>
  <c r="H5890" i="41"/>
  <c r="I5922" i="41"/>
  <c r="J5922" i="41"/>
  <c r="G5922" i="41"/>
  <c r="K5922" i="41"/>
  <c r="H5922" i="41"/>
  <c r="I5954" i="41"/>
  <c r="J5954" i="41"/>
  <c r="G5954" i="41"/>
  <c r="K5954" i="41"/>
  <c r="H5954" i="41"/>
  <c r="I5986" i="41"/>
  <c r="J5986" i="41"/>
  <c r="G5986" i="41"/>
  <c r="K5986" i="41"/>
  <c r="H5986" i="41"/>
  <c r="I6018" i="41"/>
  <c r="J6018" i="41"/>
  <c r="G6018" i="41"/>
  <c r="K6018" i="41"/>
  <c r="H6018" i="41"/>
  <c r="I5815" i="41"/>
  <c r="J5815" i="41"/>
  <c r="G5815" i="41"/>
  <c r="K5815" i="41"/>
  <c r="H5815" i="41"/>
  <c r="I5847" i="41"/>
  <c r="J5847" i="41"/>
  <c r="G5847" i="41"/>
  <c r="K5847" i="41"/>
  <c r="H5847" i="41"/>
  <c r="I5879" i="41"/>
  <c r="J5879" i="41"/>
  <c r="G5879" i="41"/>
  <c r="K5879" i="41"/>
  <c r="H5879" i="41"/>
  <c r="I5911" i="41"/>
  <c r="J5911" i="41"/>
  <c r="G5911" i="41"/>
  <c r="K5911" i="41"/>
  <c r="H5911" i="41"/>
  <c r="I5943" i="41"/>
  <c r="J5943" i="41"/>
  <c r="G5943" i="41"/>
  <c r="K5943" i="41"/>
  <c r="H5943" i="41"/>
  <c r="I5975" i="41"/>
  <c r="J5975" i="41"/>
  <c r="G5975" i="41"/>
  <c r="K5975" i="41"/>
  <c r="H5975" i="41"/>
  <c r="I6007" i="41"/>
  <c r="J6007" i="41"/>
  <c r="G6007" i="41"/>
  <c r="K6007" i="41"/>
  <c r="H6007" i="41"/>
  <c r="I6030" i="41"/>
  <c r="G6030" i="41"/>
  <c r="K6030" i="41"/>
  <c r="H6030" i="41"/>
  <c r="J6030" i="41"/>
  <c r="I6046" i="41"/>
  <c r="G6046" i="41"/>
  <c r="K6046" i="41"/>
  <c r="H6046" i="41"/>
  <c r="J6046" i="41"/>
  <c r="I6062" i="41"/>
  <c r="G6062" i="41"/>
  <c r="K6062" i="41"/>
  <c r="H6062" i="41"/>
  <c r="J6062" i="41"/>
  <c r="H7177" i="41"/>
  <c r="I7177" i="41"/>
  <c r="J7177" i="41"/>
  <c r="G7177" i="41"/>
  <c r="K7177" i="41"/>
  <c r="H7241" i="41"/>
  <c r="I7241" i="41"/>
  <c r="J7241" i="41"/>
  <c r="G7241" i="41"/>
  <c r="K7241" i="41"/>
  <c r="H7305" i="41"/>
  <c r="I7305" i="41"/>
  <c r="J7305" i="41"/>
  <c r="G7305" i="41"/>
  <c r="K7305" i="41"/>
  <c r="H7369" i="41"/>
  <c r="I7369" i="41"/>
  <c r="J7369" i="41"/>
  <c r="G7369" i="41"/>
  <c r="K7369" i="41"/>
  <c r="H7433" i="41"/>
  <c r="I7433" i="41"/>
  <c r="J7433" i="41"/>
  <c r="G7433" i="41"/>
  <c r="K7433" i="41"/>
  <c r="H7497" i="41"/>
  <c r="I7497" i="41"/>
  <c r="J7497" i="41"/>
  <c r="G7497" i="41"/>
  <c r="K7497" i="41"/>
  <c r="I7543" i="41"/>
  <c r="J7543" i="41"/>
  <c r="G7543" i="41"/>
  <c r="H7543" i="41"/>
  <c r="K7543" i="41"/>
  <c r="I7559" i="41"/>
  <c r="J7559" i="41"/>
  <c r="G7559" i="41"/>
  <c r="H7559" i="41"/>
  <c r="K7559" i="41"/>
  <c r="I7575" i="41"/>
  <c r="J7575" i="41"/>
  <c r="G7575" i="41"/>
  <c r="H7575" i="41"/>
  <c r="K7575" i="41"/>
  <c r="H7176" i="41"/>
  <c r="I7176" i="41"/>
  <c r="J7176" i="41"/>
  <c r="G7176" i="41"/>
  <c r="K7176" i="41"/>
  <c r="H7240" i="41"/>
  <c r="I7240" i="41"/>
  <c r="J7240" i="41"/>
  <c r="G7240" i="41"/>
  <c r="K7240" i="41"/>
  <c r="H7304" i="41"/>
  <c r="I7304" i="41"/>
  <c r="J7304" i="41"/>
  <c r="G7304" i="41"/>
  <c r="K7304" i="41"/>
  <c r="H7368" i="41"/>
  <c r="I7368" i="41"/>
  <c r="J7368" i="41"/>
  <c r="G7368" i="41"/>
  <c r="K7368" i="41"/>
  <c r="H7432" i="41"/>
  <c r="I7432" i="41"/>
  <c r="J7432" i="41"/>
  <c r="G7432" i="41"/>
  <c r="K7432" i="41"/>
  <c r="H7496" i="41"/>
  <c r="I7496" i="41"/>
  <c r="J7496" i="41"/>
  <c r="G7496" i="41"/>
  <c r="K7496" i="41"/>
  <c r="H7139" i="41"/>
  <c r="I7139" i="41"/>
  <c r="J7139" i="41"/>
  <c r="K7139" i="41"/>
  <c r="G7139" i="41"/>
  <c r="H7203" i="41"/>
  <c r="I7203" i="41"/>
  <c r="J7203" i="41"/>
  <c r="K7203" i="41"/>
  <c r="G7203" i="41"/>
  <c r="H7267" i="41"/>
  <c r="I7267" i="41"/>
  <c r="J7267" i="41"/>
  <c r="K7267" i="41"/>
  <c r="G7267" i="41"/>
  <c r="H7331" i="41"/>
  <c r="I7331" i="41"/>
  <c r="J7331" i="41"/>
  <c r="K7331" i="41"/>
  <c r="G7331" i="41"/>
  <c r="H7395" i="41"/>
  <c r="I7395" i="41"/>
  <c r="J7395" i="41"/>
  <c r="K7395" i="41"/>
  <c r="G7395" i="41"/>
  <c r="H7459" i="41"/>
  <c r="I7459" i="41"/>
  <c r="J7459" i="41"/>
  <c r="K7459" i="41"/>
  <c r="G7459" i="41"/>
  <c r="H7523" i="41"/>
  <c r="I7523" i="41"/>
  <c r="J7523" i="41"/>
  <c r="K7523" i="41"/>
  <c r="G7523" i="41"/>
  <c r="H7190" i="41"/>
  <c r="I7190" i="41"/>
  <c r="J7190" i="41"/>
  <c r="G7190" i="41"/>
  <c r="K7190" i="41"/>
  <c r="H7318" i="41"/>
  <c r="I7318" i="41"/>
  <c r="J7318" i="41"/>
  <c r="G7318" i="41"/>
  <c r="K7318" i="41"/>
  <c r="H7446" i="41"/>
  <c r="I7446" i="41"/>
  <c r="J7446" i="41"/>
  <c r="G7446" i="41"/>
  <c r="K7446" i="41"/>
  <c r="G7711" i="41"/>
  <c r="K7711" i="41"/>
  <c r="H7711" i="41"/>
  <c r="I7711" i="41"/>
  <c r="J7711" i="41"/>
  <c r="H7362" i="41"/>
  <c r="I7362" i="41"/>
  <c r="J7362" i="41"/>
  <c r="G7362" i="41"/>
  <c r="K7362" i="41"/>
  <c r="H7242" i="41"/>
  <c r="I7242" i="41"/>
  <c r="J7242" i="41"/>
  <c r="G7242" i="41"/>
  <c r="K7242" i="41"/>
  <c r="H7498" i="41"/>
  <c r="I7498" i="41"/>
  <c r="J7498" i="41"/>
  <c r="G7498" i="41"/>
  <c r="K7498" i="41"/>
  <c r="I4932" i="41"/>
  <c r="J4932" i="41"/>
  <c r="G4932" i="41"/>
  <c r="K4932" i="41"/>
  <c r="H4932" i="41"/>
  <c r="I4909" i="41"/>
  <c r="J4909" i="41"/>
  <c r="G4909" i="41"/>
  <c r="K4909" i="41"/>
  <c r="H4909" i="41"/>
  <c r="J5169" i="41"/>
  <c r="K5169" i="41"/>
  <c r="G5169" i="41"/>
  <c r="H5169" i="41"/>
  <c r="I5169" i="41"/>
  <c r="I5846" i="41"/>
  <c r="J5846" i="41"/>
  <c r="G5846" i="41"/>
  <c r="K5846" i="41"/>
  <c r="H5846" i="41"/>
  <c r="I5950" i="41"/>
  <c r="J5950" i="41"/>
  <c r="G5950" i="41"/>
  <c r="K5950" i="41"/>
  <c r="H5950" i="41"/>
  <c r="I5795" i="41"/>
  <c r="J5795" i="41"/>
  <c r="G5795" i="41"/>
  <c r="K5795" i="41"/>
  <c r="H5795" i="41"/>
  <c r="I5875" i="41"/>
  <c r="J5875" i="41"/>
  <c r="G5875" i="41"/>
  <c r="K5875" i="41"/>
  <c r="H5875" i="41"/>
  <c r="I5971" i="41"/>
  <c r="J5971" i="41"/>
  <c r="G5971" i="41"/>
  <c r="K5971" i="41"/>
  <c r="H5971" i="41"/>
  <c r="I6044" i="41"/>
  <c r="G6044" i="41"/>
  <c r="K6044" i="41"/>
  <c r="H6044" i="41"/>
  <c r="J6044" i="41"/>
  <c r="H7233" i="41"/>
  <c r="I7233" i="41"/>
  <c r="J7233" i="41"/>
  <c r="G7233" i="41"/>
  <c r="K7233" i="41"/>
  <c r="H7409" i="41"/>
  <c r="I7409" i="41"/>
  <c r="J7409" i="41"/>
  <c r="G7409" i="41"/>
  <c r="K7409" i="41"/>
  <c r="I7553" i="41"/>
  <c r="J7553" i="41"/>
  <c r="G7553" i="41"/>
  <c r="H7553" i="41"/>
  <c r="K7553" i="41"/>
  <c r="H7200" i="41"/>
  <c r="I7200" i="41"/>
  <c r="J7200" i="41"/>
  <c r="G7200" i="41"/>
  <c r="K7200" i="41"/>
  <c r="H7376" i="41"/>
  <c r="I7376" i="41"/>
  <c r="J7376" i="41"/>
  <c r="G7376" i="41"/>
  <c r="K7376" i="41"/>
  <c r="H7536" i="41"/>
  <c r="I7536" i="41"/>
  <c r="J7536" i="41"/>
  <c r="G7536" i="41"/>
  <c r="K7536" i="41"/>
  <c r="H7291" i="41"/>
  <c r="I7291" i="41"/>
  <c r="J7291" i="41"/>
  <c r="K7291" i="41"/>
  <c r="G7291" i="41"/>
  <c r="H7467" i="41"/>
  <c r="I7467" i="41"/>
  <c r="J7467" i="41"/>
  <c r="K7467" i="41"/>
  <c r="G7467" i="41"/>
  <c r="H7334" i="41"/>
  <c r="I7334" i="41"/>
  <c r="J7334" i="41"/>
  <c r="G7334" i="41"/>
  <c r="K7334" i="41"/>
  <c r="H7330" i="41"/>
  <c r="I7330" i="41"/>
  <c r="J7330" i="41"/>
  <c r="G7330" i="41"/>
  <c r="K7330" i="41"/>
  <c r="H7466" i="41"/>
  <c r="I7466" i="41"/>
  <c r="J7466" i="41"/>
  <c r="G7466" i="41"/>
  <c r="K7466" i="41"/>
  <c r="I4890" i="41"/>
  <c r="J4890" i="41"/>
  <c r="G4890" i="41"/>
  <c r="K4890" i="41"/>
  <c r="H4890" i="41"/>
  <c r="I4922" i="41"/>
  <c r="J4922" i="41"/>
  <c r="G4922" i="41"/>
  <c r="K4922" i="41"/>
  <c r="H4922" i="41"/>
  <c r="I4954" i="41"/>
  <c r="J4954" i="41"/>
  <c r="G4954" i="41"/>
  <c r="K4954" i="41"/>
  <c r="H4954" i="41"/>
  <c r="I4974" i="41"/>
  <c r="G4974" i="41"/>
  <c r="K4974" i="41"/>
  <c r="J4974" i="41"/>
  <c r="H4974" i="41"/>
  <c r="I4889" i="41"/>
  <c r="J4889" i="41"/>
  <c r="G4889" i="41"/>
  <c r="K4889" i="41"/>
  <c r="H4889" i="41"/>
  <c r="I4953" i="41"/>
  <c r="J4953" i="41"/>
  <c r="G4953" i="41"/>
  <c r="K4953" i="41"/>
  <c r="H4953" i="41"/>
  <c r="I4911" i="41"/>
  <c r="J4911" i="41"/>
  <c r="G4911" i="41"/>
  <c r="K4911" i="41"/>
  <c r="H4911" i="41"/>
  <c r="J5167" i="41"/>
  <c r="K5167" i="41"/>
  <c r="G5167" i="41"/>
  <c r="H5167" i="41"/>
  <c r="I5167" i="41"/>
  <c r="I5788" i="41"/>
  <c r="J5788" i="41"/>
  <c r="G5788" i="41"/>
  <c r="K5788" i="41"/>
  <c r="H5788" i="41"/>
  <c r="I5820" i="41"/>
  <c r="J5820" i="41"/>
  <c r="G5820" i="41"/>
  <c r="K5820" i="41"/>
  <c r="H5820" i="41"/>
  <c r="I5852" i="41"/>
  <c r="J5852" i="41"/>
  <c r="G5852" i="41"/>
  <c r="K5852" i="41"/>
  <c r="H5852" i="41"/>
  <c r="I5884" i="41"/>
  <c r="J5884" i="41"/>
  <c r="G5884" i="41"/>
  <c r="K5884" i="41"/>
  <c r="H5884" i="41"/>
  <c r="I5916" i="41"/>
  <c r="J5916" i="41"/>
  <c r="G5916" i="41"/>
  <c r="K5916" i="41"/>
  <c r="H5916" i="41"/>
  <c r="I5948" i="41"/>
  <c r="J5948" i="41"/>
  <c r="G5948" i="41"/>
  <c r="K5948" i="41"/>
  <c r="H5948" i="41"/>
  <c r="I5980" i="41"/>
  <c r="J5980" i="41"/>
  <c r="G5980" i="41"/>
  <c r="K5980" i="41"/>
  <c r="H5980" i="41"/>
  <c r="I6012" i="41"/>
  <c r="J6012" i="41"/>
  <c r="G6012" i="41"/>
  <c r="K6012" i="41"/>
  <c r="H6012" i="41"/>
  <c r="I5809" i="41"/>
  <c r="J5809" i="41"/>
  <c r="G5809" i="41"/>
  <c r="K5809" i="41"/>
  <c r="H5809" i="41"/>
  <c r="I5841" i="41"/>
  <c r="J5841" i="41"/>
  <c r="G5841" i="41"/>
  <c r="K5841" i="41"/>
  <c r="H5841" i="41"/>
  <c r="I5873" i="41"/>
  <c r="J5873" i="41"/>
  <c r="G5873" i="41"/>
  <c r="K5873" i="41"/>
  <c r="H5873" i="41"/>
  <c r="I5905" i="41"/>
  <c r="J5905" i="41"/>
  <c r="G5905" i="41"/>
  <c r="K5905" i="41"/>
  <c r="H5905" i="41"/>
  <c r="I5937" i="41"/>
  <c r="J5937" i="41"/>
  <c r="G5937" i="41"/>
  <c r="K5937" i="41"/>
  <c r="H5937" i="41"/>
  <c r="I5969" i="41"/>
  <c r="J5969" i="41"/>
  <c r="G5969" i="41"/>
  <c r="K5969" i="41"/>
  <c r="H5969" i="41"/>
  <c r="I6001" i="41"/>
  <c r="J6001" i="41"/>
  <c r="G6001" i="41"/>
  <c r="K6001" i="41"/>
  <c r="H6001" i="41"/>
  <c r="I6027" i="41"/>
  <c r="G6027" i="41"/>
  <c r="K6027" i="41"/>
  <c r="H6027" i="41"/>
  <c r="J6027" i="41"/>
  <c r="I6043" i="41"/>
  <c r="G6043" i="41"/>
  <c r="K6043" i="41"/>
  <c r="H6043" i="41"/>
  <c r="J6043" i="41"/>
  <c r="I6059" i="41"/>
  <c r="G6059" i="41"/>
  <c r="K6059" i="41"/>
  <c r="H6059" i="41"/>
  <c r="J6059" i="41"/>
  <c r="H7165" i="41"/>
  <c r="I7165" i="41"/>
  <c r="J7165" i="41"/>
  <c r="G7165" i="41"/>
  <c r="K7165" i="41"/>
  <c r="H7229" i="41"/>
  <c r="I7229" i="41"/>
  <c r="J7229" i="41"/>
  <c r="G7229" i="41"/>
  <c r="K7229" i="41"/>
  <c r="H7293" i="41"/>
  <c r="I7293" i="41"/>
  <c r="J7293" i="41"/>
  <c r="G7293" i="41"/>
  <c r="K7293" i="41"/>
  <c r="H7357" i="41"/>
  <c r="I7357" i="41"/>
  <c r="J7357" i="41"/>
  <c r="G7357" i="41"/>
  <c r="K7357" i="41"/>
  <c r="H7421" i="41"/>
  <c r="I7421" i="41"/>
  <c r="J7421" i="41"/>
  <c r="G7421" i="41"/>
  <c r="K7421" i="41"/>
  <c r="H7485" i="41"/>
  <c r="I7485" i="41"/>
  <c r="J7485" i="41"/>
  <c r="G7485" i="41"/>
  <c r="K7485" i="41"/>
  <c r="I7540" i="41"/>
  <c r="J7540" i="41"/>
  <c r="G7540" i="41"/>
  <c r="H7540" i="41"/>
  <c r="K7540" i="41"/>
  <c r="I7556" i="41"/>
  <c r="J7556" i="41"/>
  <c r="G7556" i="41"/>
  <c r="H7556" i="41"/>
  <c r="K7556" i="41"/>
  <c r="I7572" i="41"/>
  <c r="J7572" i="41"/>
  <c r="G7572" i="41"/>
  <c r="H7572" i="41"/>
  <c r="K7572" i="41"/>
  <c r="H7164" i="41"/>
  <c r="I7164" i="41"/>
  <c r="J7164" i="41"/>
  <c r="G7164" i="41"/>
  <c r="K7164" i="41"/>
  <c r="H7228" i="41"/>
  <c r="I7228" i="41"/>
  <c r="J7228" i="41"/>
  <c r="G7228" i="41"/>
  <c r="K7228" i="41"/>
  <c r="H7292" i="41"/>
  <c r="I7292" i="41"/>
  <c r="J7292" i="41"/>
  <c r="G7292" i="41"/>
  <c r="K7292" i="41"/>
  <c r="H7356" i="41"/>
  <c r="I7356" i="41"/>
  <c r="J7356" i="41"/>
  <c r="G7356" i="41"/>
  <c r="K7356" i="41"/>
  <c r="H7420" i="41"/>
  <c r="I7420" i="41"/>
  <c r="J7420" i="41"/>
  <c r="G7420" i="41"/>
  <c r="K7420" i="41"/>
  <c r="H7484" i="41"/>
  <c r="I7484" i="41"/>
  <c r="J7484" i="41"/>
  <c r="G7484" i="41"/>
  <c r="K7484" i="41"/>
  <c r="H7127" i="41"/>
  <c r="I7127" i="41"/>
  <c r="J7127" i="41"/>
  <c r="K7127" i="41"/>
  <c r="G7127" i="41"/>
  <c r="H7191" i="41"/>
  <c r="I7191" i="41"/>
  <c r="J7191" i="41"/>
  <c r="K7191" i="41"/>
  <c r="G7191" i="41"/>
  <c r="H7255" i="41"/>
  <c r="I7255" i="41"/>
  <c r="J7255" i="41"/>
  <c r="K7255" i="41"/>
  <c r="G7255" i="41"/>
  <c r="H7319" i="41"/>
  <c r="I7319" i="41"/>
  <c r="J7319" i="41"/>
  <c r="K7319" i="41"/>
  <c r="G7319" i="41"/>
  <c r="H7383" i="41"/>
  <c r="I7383" i="41"/>
  <c r="J7383" i="41"/>
  <c r="K7383" i="41"/>
  <c r="G7383" i="41"/>
  <c r="H7447" i="41"/>
  <c r="I7447" i="41"/>
  <c r="J7447" i="41"/>
  <c r="K7447" i="41"/>
  <c r="G7447" i="41"/>
  <c r="H7511" i="41"/>
  <c r="I7511" i="41"/>
  <c r="J7511" i="41"/>
  <c r="K7511" i="41"/>
  <c r="G7511" i="41"/>
  <c r="H7166" i="41"/>
  <c r="I7166" i="41"/>
  <c r="J7166" i="41"/>
  <c r="G7166" i="41"/>
  <c r="K7166" i="41"/>
  <c r="H7294" i="41"/>
  <c r="I7294" i="41"/>
  <c r="J7294" i="41"/>
  <c r="G7294" i="41"/>
  <c r="K7294" i="41"/>
  <c r="H7422" i="41"/>
  <c r="I7422" i="41"/>
  <c r="J7422" i="41"/>
  <c r="G7422" i="41"/>
  <c r="K7422" i="41"/>
  <c r="G7716" i="41"/>
  <c r="K7716" i="41"/>
  <c r="H7716" i="41"/>
  <c r="I7716" i="41"/>
  <c r="J7716" i="41"/>
  <c r="H7250" i="41"/>
  <c r="I7250" i="41"/>
  <c r="J7250" i="41"/>
  <c r="G7250" i="41"/>
  <c r="K7250" i="41"/>
  <c r="H7506" i="41"/>
  <c r="I7506" i="41"/>
  <c r="J7506" i="41"/>
  <c r="G7506" i="41"/>
  <c r="K7506" i="41"/>
  <c r="H7322" i="41"/>
  <c r="I7322" i="41"/>
  <c r="J7322" i="41"/>
  <c r="G7322" i="41"/>
  <c r="K7322" i="41"/>
  <c r="G7579" i="41"/>
  <c r="K7579" i="41"/>
  <c r="H7579" i="41"/>
  <c r="I7579" i="41"/>
  <c r="J7579" i="41"/>
  <c r="G7707" i="41"/>
  <c r="K7707" i="41"/>
  <c r="H7707" i="41"/>
  <c r="I7707" i="41"/>
  <c r="J7707" i="41"/>
  <c r="G7703" i="41"/>
  <c r="K7703" i="41"/>
  <c r="H7703" i="41"/>
  <c r="I7703" i="41"/>
  <c r="J7703" i="41"/>
  <c r="G7699" i="41"/>
  <c r="K7699" i="41"/>
  <c r="H7699" i="41"/>
  <c r="I7699" i="41"/>
  <c r="J7699" i="41"/>
  <c r="G7695" i="41"/>
  <c r="K7695" i="41"/>
  <c r="H7695" i="41"/>
  <c r="I7695" i="41"/>
  <c r="J7695" i="41"/>
  <c r="G7691" i="41"/>
  <c r="K7691" i="41"/>
  <c r="H7691" i="41"/>
  <c r="I7691" i="41"/>
  <c r="J7691" i="41"/>
  <c r="G7687" i="41"/>
  <c r="K7687" i="41"/>
  <c r="H7687" i="41"/>
  <c r="I7687" i="41"/>
  <c r="J7687" i="41"/>
  <c r="G7683" i="41"/>
  <c r="K7683" i="41"/>
  <c r="H7683" i="41"/>
  <c r="I7683" i="41"/>
  <c r="J7683" i="41"/>
  <c r="G7679" i="41"/>
  <c r="K7679" i="41"/>
  <c r="H7679" i="41"/>
  <c r="I7679" i="41"/>
  <c r="J7679" i="41"/>
  <c r="G7675" i="41"/>
  <c r="K7675" i="41"/>
  <c r="H7675" i="41"/>
  <c r="I7675" i="41"/>
  <c r="J7675" i="41"/>
  <c r="G7671" i="41"/>
  <c r="K7671" i="41"/>
  <c r="H7671" i="41"/>
  <c r="I7671" i="41"/>
  <c r="J7671" i="41"/>
  <c r="G7667" i="41"/>
  <c r="K7667" i="41"/>
  <c r="H7667" i="41"/>
  <c r="I7667" i="41"/>
  <c r="J7667" i="41"/>
  <c r="G7663" i="41"/>
  <c r="K7663" i="41"/>
  <c r="H7663" i="41"/>
  <c r="I7663" i="41"/>
  <c r="J7663" i="41"/>
  <c r="G7659" i="41"/>
  <c r="K7659" i="41"/>
  <c r="H7659" i="41"/>
  <c r="I7659" i="41"/>
  <c r="J7659" i="41"/>
  <c r="G7655" i="41"/>
  <c r="K7655" i="41"/>
  <c r="H7655" i="41"/>
  <c r="I7655" i="41"/>
  <c r="J7655" i="41"/>
  <c r="G7651" i="41"/>
  <c r="K7651" i="41"/>
  <c r="H7651" i="41"/>
  <c r="I7651" i="41"/>
  <c r="J7651" i="41"/>
  <c r="G7647" i="41"/>
  <c r="K7647" i="41"/>
  <c r="H7647" i="41"/>
  <c r="I7647" i="41"/>
  <c r="J7647" i="41"/>
  <c r="G7643" i="41"/>
  <c r="K7643" i="41"/>
  <c r="H7643" i="41"/>
  <c r="I7643" i="41"/>
  <c r="J7643" i="41"/>
  <c r="G7639" i="41"/>
  <c r="K7639" i="41"/>
  <c r="H7639" i="41"/>
  <c r="I7639" i="41"/>
  <c r="J7639" i="41"/>
  <c r="G7635" i="41"/>
  <c r="K7635" i="41"/>
  <c r="H7635" i="41"/>
  <c r="I7635" i="41"/>
  <c r="J7635" i="41"/>
  <c r="G7631" i="41"/>
  <c r="K7631" i="41"/>
  <c r="H7631" i="41"/>
  <c r="I7631" i="41"/>
  <c r="J7631" i="41"/>
  <c r="G7627" i="41"/>
  <c r="K7627" i="41"/>
  <c r="H7627" i="41"/>
  <c r="I7627" i="41"/>
  <c r="J7627" i="41"/>
  <c r="G7623" i="41"/>
  <c r="K7623" i="41"/>
  <c r="H7623" i="41"/>
  <c r="I7623" i="41"/>
  <c r="J7623" i="41"/>
  <c r="G7619" i="41"/>
  <c r="K7619" i="41"/>
  <c r="H7619" i="41"/>
  <c r="I7619" i="41"/>
  <c r="J7619" i="41"/>
  <c r="G7615" i="41"/>
  <c r="K7615" i="41"/>
  <c r="H7615" i="41"/>
  <c r="I7615" i="41"/>
  <c r="J7615" i="41"/>
  <c r="G7611" i="41"/>
  <c r="K7611" i="41"/>
  <c r="H7611" i="41"/>
  <c r="I7611" i="41"/>
  <c r="J7611" i="41"/>
  <c r="G7607" i="41"/>
  <c r="K7607" i="41"/>
  <c r="H7607" i="41"/>
  <c r="I7607" i="41"/>
  <c r="J7607" i="41"/>
  <c r="G7603" i="41"/>
  <c r="K7603" i="41"/>
  <c r="H7603" i="41"/>
  <c r="I7603" i="41"/>
  <c r="J7603" i="41"/>
  <c r="G7599" i="41"/>
  <c r="K7599" i="41"/>
  <c r="H7599" i="41"/>
  <c r="I7599" i="41"/>
  <c r="J7599" i="41"/>
  <c r="G7595" i="41"/>
  <c r="K7595" i="41"/>
  <c r="H7595" i="41"/>
  <c r="I7595" i="41"/>
  <c r="J7595" i="41"/>
  <c r="G7591" i="41"/>
  <c r="K7591" i="41"/>
  <c r="H7591" i="41"/>
  <c r="I7591" i="41"/>
  <c r="J7591" i="41"/>
  <c r="G7587" i="41"/>
  <c r="K7587" i="41"/>
  <c r="H7587" i="41"/>
  <c r="I7587" i="41"/>
  <c r="J7587" i="41"/>
  <c r="G7583" i="41"/>
  <c r="K7583" i="41"/>
  <c r="H7583" i="41"/>
  <c r="I7583" i="41"/>
  <c r="J7583" i="41"/>
  <c r="J7069" i="41"/>
  <c r="G7069" i="41"/>
  <c r="K7069" i="41"/>
  <c r="H7069" i="41"/>
  <c r="I7069" i="41"/>
  <c r="J7037" i="41"/>
  <c r="G7037" i="41"/>
  <c r="K7037" i="41"/>
  <c r="H7037" i="41"/>
  <c r="I7037" i="41"/>
  <c r="J7005" i="41"/>
  <c r="G7005" i="41"/>
  <c r="K7005" i="41"/>
  <c r="H7005" i="41"/>
  <c r="I7005" i="41"/>
  <c r="J6973" i="41"/>
  <c r="G6973" i="41"/>
  <c r="K6973" i="41"/>
  <c r="H6973" i="41"/>
  <c r="I6973" i="41"/>
  <c r="J6941" i="41"/>
  <c r="G6941" i="41"/>
  <c r="K6941" i="41"/>
  <c r="H6941" i="41"/>
  <c r="I6941" i="41"/>
  <c r="J6909" i="41"/>
  <c r="G6909" i="41"/>
  <c r="K6909" i="41"/>
  <c r="H6909" i="41"/>
  <c r="I6909" i="41"/>
  <c r="J6877" i="41"/>
  <c r="G6877" i="41"/>
  <c r="K6877" i="41"/>
  <c r="H6877" i="41"/>
  <c r="I6877" i="41"/>
  <c r="J6845" i="41"/>
  <c r="G6845" i="41"/>
  <c r="K6845" i="41"/>
  <c r="H6845" i="41"/>
  <c r="I6845" i="41"/>
  <c r="J6813" i="41"/>
  <c r="G6813" i="41"/>
  <c r="K6813" i="41"/>
  <c r="H6813" i="41"/>
  <c r="I6813" i="41"/>
  <c r="J6781" i="41"/>
  <c r="G6781" i="41"/>
  <c r="K6781" i="41"/>
  <c r="H6781" i="41"/>
  <c r="I6781" i="41"/>
  <c r="J6749" i="41"/>
  <c r="G6749" i="41"/>
  <c r="K6749" i="41"/>
  <c r="H6749" i="41"/>
  <c r="I6749" i="41"/>
  <c r="J6717" i="41"/>
  <c r="G6717" i="41"/>
  <c r="K6717" i="41"/>
  <c r="H6717" i="41"/>
  <c r="I6717" i="41"/>
  <c r="J6685" i="41"/>
  <c r="G6685" i="41"/>
  <c r="K6685" i="41"/>
  <c r="H6685" i="41"/>
  <c r="I6685" i="41"/>
  <c r="J6653" i="41"/>
  <c r="G6653" i="41"/>
  <c r="K6653" i="41"/>
  <c r="H6653" i="41"/>
  <c r="I6653" i="41"/>
  <c r="J7119" i="41"/>
  <c r="G7119" i="41"/>
  <c r="H7119" i="41"/>
  <c r="I7119" i="41"/>
  <c r="K7119" i="41"/>
  <c r="J7049" i="41"/>
  <c r="G7049" i="41"/>
  <c r="K7049" i="41"/>
  <c r="H7049" i="41"/>
  <c r="I7049" i="41"/>
  <c r="J7017" i="41"/>
  <c r="G7017" i="41"/>
  <c r="K7017" i="41"/>
  <c r="H7017" i="41"/>
  <c r="I7017" i="41"/>
  <c r="J6985" i="41"/>
  <c r="G6985" i="41"/>
  <c r="K6985" i="41"/>
  <c r="H6985" i="41"/>
  <c r="I6985" i="41"/>
  <c r="J6953" i="41"/>
  <c r="G6953" i="41"/>
  <c r="K6953" i="41"/>
  <c r="H6953" i="41"/>
  <c r="I6953" i="41"/>
  <c r="J6921" i="41"/>
  <c r="G6921" i="41"/>
  <c r="K6921" i="41"/>
  <c r="H6921" i="41"/>
  <c r="I6921" i="41"/>
  <c r="J6889" i="41"/>
  <c r="G6889" i="41"/>
  <c r="K6889" i="41"/>
  <c r="H6889" i="41"/>
  <c r="I6889" i="41"/>
  <c r="J6857" i="41"/>
  <c r="G6857" i="41"/>
  <c r="K6857" i="41"/>
  <c r="H6857" i="41"/>
  <c r="I6857" i="41"/>
  <c r="J6825" i="41"/>
  <c r="G6825" i="41"/>
  <c r="K6825" i="41"/>
  <c r="H6825" i="41"/>
  <c r="I6825" i="41"/>
  <c r="J6793" i="41"/>
  <c r="G6793" i="41"/>
  <c r="K6793" i="41"/>
  <c r="H6793" i="41"/>
  <c r="I6793" i="41"/>
  <c r="J6761" i="41"/>
  <c r="G6761" i="41"/>
  <c r="K6761" i="41"/>
  <c r="H6761" i="41"/>
  <c r="I6761" i="41"/>
  <c r="J6729" i="41"/>
  <c r="G6729" i="41"/>
  <c r="K6729" i="41"/>
  <c r="H6729" i="41"/>
  <c r="I6729" i="41"/>
  <c r="J6697" i="41"/>
  <c r="G6697" i="41"/>
  <c r="K6697" i="41"/>
  <c r="H6697" i="41"/>
  <c r="I6697" i="41"/>
  <c r="J6665" i="41"/>
  <c r="G6665" i="41"/>
  <c r="K6665" i="41"/>
  <c r="H6665" i="41"/>
  <c r="I6665" i="41"/>
  <c r="J6633" i="41"/>
  <c r="G6633" i="41"/>
  <c r="K6633" i="41"/>
  <c r="H6633" i="41"/>
  <c r="I6633" i="41"/>
  <c r="J7116" i="41"/>
  <c r="G7116" i="41"/>
  <c r="K7116" i="41"/>
  <c r="I7116" i="41"/>
  <c r="H7116" i="41"/>
  <c r="J7112" i="41"/>
  <c r="G7112" i="41"/>
  <c r="K7112" i="41"/>
  <c r="I7112" i="41"/>
  <c r="H7112" i="41"/>
  <c r="J7108" i="41"/>
  <c r="G7108" i="41"/>
  <c r="K7108" i="41"/>
  <c r="I7108" i="41"/>
  <c r="H7108" i="41"/>
  <c r="J7104" i="41"/>
  <c r="G7104" i="41"/>
  <c r="K7104" i="41"/>
  <c r="I7104" i="41"/>
  <c r="H7104" i="41"/>
  <c r="J7100" i="41"/>
  <c r="G7100" i="41"/>
  <c r="K7100" i="41"/>
  <c r="I7100" i="41"/>
  <c r="H7100" i="41"/>
  <c r="J7096" i="41"/>
  <c r="G7096" i="41"/>
  <c r="K7096" i="41"/>
  <c r="I7096" i="41"/>
  <c r="H7096" i="41"/>
  <c r="J7092" i="41"/>
  <c r="G7092" i="41"/>
  <c r="K7092" i="41"/>
  <c r="I7092" i="41"/>
  <c r="H7092" i="41"/>
  <c r="J7088" i="41"/>
  <c r="G7088" i="41"/>
  <c r="K7088" i="41"/>
  <c r="I7088" i="41"/>
  <c r="H7088" i="41"/>
  <c r="J7084" i="41"/>
  <c r="G7084" i="41"/>
  <c r="K7084" i="41"/>
  <c r="I7084" i="41"/>
  <c r="H7084" i="41"/>
  <c r="J7080" i="41"/>
  <c r="G7080" i="41"/>
  <c r="K7080" i="41"/>
  <c r="I7080" i="41"/>
  <c r="H7080" i="41"/>
  <c r="J7076" i="41"/>
  <c r="G7076" i="41"/>
  <c r="K7076" i="41"/>
  <c r="I7076" i="41"/>
  <c r="H7076" i="41"/>
  <c r="J7066" i="41"/>
  <c r="G7066" i="41"/>
  <c r="K7066" i="41"/>
  <c r="H7066" i="41"/>
  <c r="I7066" i="41"/>
  <c r="J7050" i="41"/>
  <c r="G7050" i="41"/>
  <c r="K7050" i="41"/>
  <c r="H7050" i="41"/>
  <c r="I7050" i="41"/>
  <c r="J7034" i="41"/>
  <c r="G7034" i="41"/>
  <c r="K7034" i="41"/>
  <c r="H7034" i="41"/>
  <c r="I7034" i="41"/>
  <c r="J7018" i="41"/>
  <c r="G7018" i="41"/>
  <c r="K7018" i="41"/>
  <c r="H7018" i="41"/>
  <c r="I7018" i="41"/>
  <c r="J7002" i="41"/>
  <c r="G7002" i="41"/>
  <c r="K7002" i="41"/>
  <c r="H7002" i="41"/>
  <c r="I7002" i="41"/>
  <c r="J6986" i="41"/>
  <c r="G6986" i="41"/>
  <c r="K6986" i="41"/>
  <c r="H6986" i="41"/>
  <c r="I6986" i="41"/>
  <c r="J6970" i="41"/>
  <c r="G6970" i="41"/>
  <c r="K6970" i="41"/>
  <c r="H6970" i="41"/>
  <c r="I6970" i="41"/>
  <c r="J6954" i="41"/>
  <c r="G6954" i="41"/>
  <c r="K6954" i="41"/>
  <c r="H6954" i="41"/>
  <c r="I6954" i="41"/>
  <c r="J6938" i="41"/>
  <c r="G6938" i="41"/>
  <c r="K6938" i="41"/>
  <c r="H6938" i="41"/>
  <c r="I6938" i="41"/>
  <c r="J6922" i="41"/>
  <c r="G6922" i="41"/>
  <c r="K6922" i="41"/>
  <c r="H6922" i="41"/>
  <c r="I6922" i="41"/>
  <c r="J6906" i="41"/>
  <c r="G6906" i="41"/>
  <c r="K6906" i="41"/>
  <c r="H6906" i="41"/>
  <c r="I6906" i="41"/>
  <c r="J6890" i="41"/>
  <c r="G6890" i="41"/>
  <c r="K6890" i="41"/>
  <c r="H6890" i="41"/>
  <c r="I6890" i="41"/>
  <c r="J6874" i="41"/>
  <c r="G6874" i="41"/>
  <c r="K6874" i="41"/>
  <c r="H6874" i="41"/>
  <c r="I6874" i="41"/>
  <c r="J6858" i="41"/>
  <c r="G6858" i="41"/>
  <c r="K6858" i="41"/>
  <c r="H6858" i="41"/>
  <c r="I6858" i="41"/>
  <c r="J6842" i="41"/>
  <c r="G6842" i="41"/>
  <c r="K6842" i="41"/>
  <c r="H6842" i="41"/>
  <c r="I6842" i="41"/>
  <c r="J6826" i="41"/>
  <c r="G6826" i="41"/>
  <c r="K6826" i="41"/>
  <c r="H6826" i="41"/>
  <c r="I6826" i="41"/>
  <c r="J6810" i="41"/>
  <c r="G6810" i="41"/>
  <c r="K6810" i="41"/>
  <c r="H6810" i="41"/>
  <c r="I6810" i="41"/>
  <c r="J6794" i="41"/>
  <c r="G6794" i="41"/>
  <c r="K6794" i="41"/>
  <c r="H6794" i="41"/>
  <c r="I6794" i="41"/>
  <c r="J6778" i="41"/>
  <c r="G6778" i="41"/>
  <c r="K6778" i="41"/>
  <c r="H6778" i="41"/>
  <c r="I6778" i="41"/>
  <c r="J6762" i="41"/>
  <c r="G6762" i="41"/>
  <c r="K6762" i="41"/>
  <c r="H6762" i="41"/>
  <c r="I6762" i="41"/>
  <c r="J6746" i="41"/>
  <c r="G6746" i="41"/>
  <c r="K6746" i="41"/>
  <c r="H6746" i="41"/>
  <c r="I6746" i="41"/>
  <c r="J6730" i="41"/>
  <c r="G6730" i="41"/>
  <c r="K6730" i="41"/>
  <c r="H6730" i="41"/>
  <c r="I6730" i="41"/>
  <c r="J6714" i="41"/>
  <c r="G6714" i="41"/>
  <c r="K6714" i="41"/>
  <c r="H6714" i="41"/>
  <c r="I6714" i="41"/>
  <c r="J6698" i="41"/>
  <c r="G6698" i="41"/>
  <c r="K6698" i="41"/>
  <c r="H6698" i="41"/>
  <c r="I6698" i="41"/>
  <c r="J6682" i="41"/>
  <c r="G6682" i="41"/>
  <c r="K6682" i="41"/>
  <c r="H6682" i="41"/>
  <c r="I6682" i="41"/>
  <c r="J6666" i="41"/>
  <c r="G6666" i="41"/>
  <c r="K6666" i="41"/>
  <c r="H6666" i="41"/>
  <c r="I6666" i="41"/>
  <c r="J6650" i="41"/>
  <c r="G6650" i="41"/>
  <c r="K6650" i="41"/>
  <c r="H6650" i="41"/>
  <c r="I6650" i="41"/>
  <c r="J6634" i="41"/>
  <c r="G6634" i="41"/>
  <c r="K6634" i="41"/>
  <c r="H6634" i="41"/>
  <c r="I6634" i="41"/>
  <c r="J6480" i="41"/>
  <c r="G6480" i="41"/>
  <c r="K6480" i="41"/>
  <c r="H6480" i="41"/>
  <c r="I6480" i="41"/>
  <c r="J6448" i="41"/>
  <c r="G6448" i="41"/>
  <c r="K6448" i="41"/>
  <c r="H6448" i="41"/>
  <c r="I6448" i="41"/>
  <c r="J6416" i="41"/>
  <c r="G6416" i="41"/>
  <c r="K6416" i="41"/>
  <c r="H6416" i="41"/>
  <c r="I6416" i="41"/>
  <c r="J6384" i="41"/>
  <c r="G6384" i="41"/>
  <c r="K6384" i="41"/>
  <c r="H6384" i="41"/>
  <c r="I6384" i="41"/>
  <c r="J6352" i="41"/>
  <c r="G6352" i="41"/>
  <c r="K6352" i="41"/>
  <c r="H6352" i="41"/>
  <c r="I6352" i="41"/>
  <c r="J6320" i="41"/>
  <c r="G6320" i="41"/>
  <c r="K6320" i="41"/>
  <c r="H6320" i="41"/>
  <c r="I6320" i="41"/>
  <c r="J6288" i="41"/>
  <c r="G6288" i="41"/>
  <c r="K6288" i="41"/>
  <c r="H6288" i="41"/>
  <c r="I6288" i="41"/>
  <c r="J6256" i="41"/>
  <c r="G6256" i="41"/>
  <c r="K6256" i="41"/>
  <c r="H6256" i="41"/>
  <c r="I6256" i="41"/>
  <c r="J6224" i="41"/>
  <c r="G6224" i="41"/>
  <c r="K6224" i="41"/>
  <c r="H6224" i="41"/>
  <c r="I6224" i="41"/>
  <c r="J6192" i="41"/>
  <c r="G6192" i="41"/>
  <c r="K6192" i="41"/>
  <c r="H6192" i="41"/>
  <c r="I6192" i="41"/>
  <c r="J6160" i="41"/>
  <c r="G6160" i="41"/>
  <c r="K6160" i="41"/>
  <c r="H6160" i="41"/>
  <c r="I6160" i="41"/>
  <c r="J6128" i="41"/>
  <c r="G6128" i="41"/>
  <c r="K6128" i="41"/>
  <c r="H6128" i="41"/>
  <c r="I6128" i="41"/>
  <c r="J6096" i="41"/>
  <c r="G6096" i="41"/>
  <c r="K6096" i="41"/>
  <c r="H6096" i="41"/>
  <c r="I6096" i="41"/>
  <c r="J7071" i="41"/>
  <c r="G7071" i="41"/>
  <c r="K7071" i="41"/>
  <c r="H7071" i="41"/>
  <c r="I7071" i="41"/>
  <c r="J7055" i="41"/>
  <c r="G7055" i="41"/>
  <c r="K7055" i="41"/>
  <c r="H7055" i="41"/>
  <c r="I7055" i="41"/>
  <c r="J7039" i="41"/>
  <c r="G7039" i="41"/>
  <c r="K7039" i="41"/>
  <c r="H7039" i="41"/>
  <c r="I7039" i="41"/>
  <c r="J7023" i="41"/>
  <c r="G7023" i="41"/>
  <c r="K7023" i="41"/>
  <c r="H7023" i="41"/>
  <c r="I7023" i="41"/>
  <c r="J7007" i="41"/>
  <c r="G7007" i="41"/>
  <c r="K7007" i="41"/>
  <c r="H7007" i="41"/>
  <c r="I7007" i="41"/>
  <c r="J6991" i="41"/>
  <c r="G6991" i="41"/>
  <c r="K6991" i="41"/>
  <c r="H6991" i="41"/>
  <c r="I6991" i="41"/>
  <c r="J6975" i="41"/>
  <c r="G6975" i="41"/>
  <c r="K6975" i="41"/>
  <c r="H6975" i="41"/>
  <c r="I6975" i="41"/>
  <c r="J6959" i="41"/>
  <c r="G6959" i="41"/>
  <c r="K6959" i="41"/>
  <c r="H6959" i="41"/>
  <c r="I6959" i="41"/>
  <c r="J6943" i="41"/>
  <c r="G6943" i="41"/>
  <c r="K6943" i="41"/>
  <c r="H6943" i="41"/>
  <c r="I6943" i="41"/>
  <c r="J6927" i="41"/>
  <c r="G6927" i="41"/>
  <c r="K6927" i="41"/>
  <c r="H6927" i="41"/>
  <c r="I6927" i="41"/>
  <c r="J6911" i="41"/>
  <c r="G6911" i="41"/>
  <c r="K6911" i="41"/>
  <c r="H6911" i="41"/>
  <c r="I6911" i="41"/>
  <c r="J6895" i="41"/>
  <c r="G6895" i="41"/>
  <c r="K6895" i="41"/>
  <c r="H6895" i="41"/>
  <c r="I6895" i="41"/>
  <c r="J6879" i="41"/>
  <c r="G6879" i="41"/>
  <c r="K6879" i="41"/>
  <c r="H6879" i="41"/>
  <c r="I6879" i="41"/>
  <c r="J6863" i="41"/>
  <c r="G6863" i="41"/>
  <c r="K6863" i="41"/>
  <c r="H6863" i="41"/>
  <c r="I6863" i="41"/>
  <c r="J6847" i="41"/>
  <c r="G6847" i="41"/>
  <c r="K6847" i="41"/>
  <c r="H6847" i="41"/>
  <c r="I6847" i="41"/>
  <c r="J6831" i="41"/>
  <c r="G6831" i="41"/>
  <c r="K6831" i="41"/>
  <c r="H6831" i="41"/>
  <c r="I6831" i="41"/>
  <c r="J6815" i="41"/>
  <c r="G6815" i="41"/>
  <c r="K6815" i="41"/>
  <c r="H6815" i="41"/>
  <c r="I6815" i="41"/>
  <c r="J6799" i="41"/>
  <c r="G6799" i="41"/>
  <c r="K6799" i="41"/>
  <c r="H6799" i="41"/>
  <c r="I6799" i="41"/>
  <c r="J6783" i="41"/>
  <c r="G6783" i="41"/>
  <c r="K6783" i="41"/>
  <c r="H6783" i="41"/>
  <c r="I6783" i="41"/>
  <c r="J6767" i="41"/>
  <c r="G6767" i="41"/>
  <c r="K6767" i="41"/>
  <c r="H6767" i="41"/>
  <c r="I6767" i="41"/>
  <c r="J6751" i="41"/>
  <c r="G6751" i="41"/>
  <c r="K6751" i="41"/>
  <c r="H6751" i="41"/>
  <c r="I6751" i="41"/>
  <c r="J6735" i="41"/>
  <c r="G6735" i="41"/>
  <c r="K6735" i="41"/>
  <c r="H6735" i="41"/>
  <c r="I6735" i="41"/>
  <c r="J6719" i="41"/>
  <c r="G6719" i="41"/>
  <c r="K6719" i="41"/>
  <c r="H6719" i="41"/>
  <c r="I6719" i="41"/>
  <c r="J6703" i="41"/>
  <c r="G6703" i="41"/>
  <c r="K6703" i="41"/>
  <c r="H6703" i="41"/>
  <c r="I6703" i="41"/>
  <c r="J6687" i="41"/>
  <c r="G6687" i="41"/>
  <c r="K6687" i="41"/>
  <c r="H6687" i="41"/>
  <c r="I6687" i="41"/>
  <c r="J6671" i="41"/>
  <c r="G6671" i="41"/>
  <c r="K6671" i="41"/>
  <c r="H6671" i="41"/>
  <c r="I6671" i="41"/>
  <c r="J6655" i="41"/>
  <c r="G6655" i="41"/>
  <c r="K6655" i="41"/>
  <c r="H6655" i="41"/>
  <c r="I6655" i="41"/>
  <c r="J6639" i="41"/>
  <c r="G6639" i="41"/>
  <c r="K6639" i="41"/>
  <c r="H6639" i="41"/>
  <c r="I6639" i="41"/>
  <c r="G6620" i="41"/>
  <c r="K6620" i="41"/>
  <c r="H6620" i="41"/>
  <c r="I6620" i="41"/>
  <c r="J6620" i="41"/>
  <c r="J7060" i="41"/>
  <c r="G7060" i="41"/>
  <c r="K7060" i="41"/>
  <c r="H7060" i="41"/>
  <c r="I7060" i="41"/>
  <c r="J7044" i="41"/>
  <c r="G7044" i="41"/>
  <c r="K7044" i="41"/>
  <c r="H7044" i="41"/>
  <c r="I7044" i="41"/>
  <c r="J7028" i="41"/>
  <c r="G7028" i="41"/>
  <c r="K7028" i="41"/>
  <c r="H7028" i="41"/>
  <c r="I7028" i="41"/>
  <c r="J7012" i="41"/>
  <c r="G7012" i="41"/>
  <c r="K7012" i="41"/>
  <c r="H7012" i="41"/>
  <c r="I7012" i="41"/>
  <c r="J6996" i="41"/>
  <c r="G6996" i="41"/>
  <c r="K6996" i="41"/>
  <c r="H6996" i="41"/>
  <c r="I6996" i="41"/>
  <c r="J6980" i="41"/>
  <c r="G6980" i="41"/>
  <c r="K6980" i="41"/>
  <c r="H6980" i="41"/>
  <c r="I6980" i="41"/>
  <c r="J6964" i="41"/>
  <c r="G6964" i="41"/>
  <c r="K6964" i="41"/>
  <c r="H6964" i="41"/>
  <c r="I6964" i="41"/>
  <c r="J6948" i="41"/>
  <c r="G6948" i="41"/>
  <c r="K6948" i="41"/>
  <c r="H6948" i="41"/>
  <c r="I6948" i="41"/>
  <c r="J6932" i="41"/>
  <c r="G6932" i="41"/>
  <c r="K6932" i="41"/>
  <c r="H6932" i="41"/>
  <c r="I6932" i="41"/>
  <c r="J6916" i="41"/>
  <c r="G6916" i="41"/>
  <c r="K6916" i="41"/>
  <c r="H6916" i="41"/>
  <c r="I6916" i="41"/>
  <c r="J6900" i="41"/>
  <c r="G6900" i="41"/>
  <c r="K6900" i="41"/>
  <c r="H6900" i="41"/>
  <c r="I6900" i="41"/>
  <c r="J6884" i="41"/>
  <c r="G6884" i="41"/>
  <c r="K6884" i="41"/>
  <c r="H6884" i="41"/>
  <c r="I6884" i="41"/>
  <c r="J6868" i="41"/>
  <c r="G6868" i="41"/>
  <c r="K6868" i="41"/>
  <c r="H6868" i="41"/>
  <c r="I6868" i="41"/>
  <c r="J6852" i="41"/>
  <c r="G6852" i="41"/>
  <c r="K6852" i="41"/>
  <c r="H6852" i="41"/>
  <c r="I6852" i="41"/>
  <c r="J6836" i="41"/>
  <c r="G6836" i="41"/>
  <c r="K6836" i="41"/>
  <c r="H6836" i="41"/>
  <c r="I6836" i="41"/>
  <c r="J6820" i="41"/>
  <c r="G6820" i="41"/>
  <c r="K6820" i="41"/>
  <c r="H6820" i="41"/>
  <c r="I6820" i="41"/>
  <c r="J6804" i="41"/>
  <c r="G6804" i="41"/>
  <c r="K6804" i="41"/>
  <c r="H6804" i="41"/>
  <c r="I6804" i="41"/>
  <c r="J6788" i="41"/>
  <c r="G6788" i="41"/>
  <c r="K6788" i="41"/>
  <c r="H6788" i="41"/>
  <c r="I6788" i="41"/>
  <c r="J6772" i="41"/>
  <c r="G6772" i="41"/>
  <c r="K6772" i="41"/>
  <c r="H6772" i="41"/>
  <c r="I6772" i="41"/>
  <c r="J6756" i="41"/>
  <c r="G6756" i="41"/>
  <c r="K6756" i="41"/>
  <c r="H6756" i="41"/>
  <c r="I6756" i="41"/>
  <c r="J6740" i="41"/>
  <c r="G6740" i="41"/>
  <c r="K6740" i="41"/>
  <c r="H6740" i="41"/>
  <c r="I6740" i="41"/>
  <c r="J6724" i="41"/>
  <c r="G6724" i="41"/>
  <c r="K6724" i="41"/>
  <c r="H6724" i="41"/>
  <c r="I6724" i="41"/>
  <c r="J6708" i="41"/>
  <c r="G6708" i="41"/>
  <c r="K6708" i="41"/>
  <c r="H6708" i="41"/>
  <c r="I6708" i="41"/>
  <c r="J6692" i="41"/>
  <c r="G6692" i="41"/>
  <c r="K6692" i="41"/>
  <c r="H6692" i="41"/>
  <c r="I6692" i="41"/>
  <c r="J6676" i="41"/>
  <c r="G6676" i="41"/>
  <c r="K6676" i="41"/>
  <c r="H6676" i="41"/>
  <c r="I6676" i="41"/>
  <c r="J6660" i="41"/>
  <c r="G6660" i="41"/>
  <c r="K6660" i="41"/>
  <c r="H6660" i="41"/>
  <c r="I6660" i="41"/>
  <c r="J6644" i="41"/>
  <c r="G6644" i="41"/>
  <c r="K6644" i="41"/>
  <c r="H6644" i="41"/>
  <c r="I6644" i="41"/>
  <c r="G6626" i="41"/>
  <c r="K6626" i="41"/>
  <c r="H6626" i="41"/>
  <c r="I6626" i="41"/>
  <c r="J6626" i="41"/>
  <c r="J6476" i="41"/>
  <c r="G6476" i="41"/>
  <c r="K6476" i="41"/>
  <c r="H6476" i="41"/>
  <c r="I6476" i="41"/>
  <c r="J6444" i="41"/>
  <c r="G6444" i="41"/>
  <c r="K6444" i="41"/>
  <c r="H6444" i="41"/>
  <c r="I6444" i="41"/>
  <c r="J6412" i="41"/>
  <c r="G6412" i="41"/>
  <c r="K6412" i="41"/>
  <c r="H6412" i="41"/>
  <c r="I6412" i="41"/>
  <c r="J6380" i="41"/>
  <c r="G6380" i="41"/>
  <c r="K6380" i="41"/>
  <c r="H6380" i="41"/>
  <c r="I6380" i="41"/>
  <c r="J6348" i="41"/>
  <c r="G6348" i="41"/>
  <c r="K6348" i="41"/>
  <c r="H6348" i="41"/>
  <c r="I6348" i="41"/>
  <c r="J6316" i="41"/>
  <c r="G6316" i="41"/>
  <c r="K6316" i="41"/>
  <c r="H6316" i="41"/>
  <c r="I6316" i="41"/>
  <c r="J6284" i="41"/>
  <c r="G6284" i="41"/>
  <c r="K6284" i="41"/>
  <c r="H6284" i="41"/>
  <c r="I6284" i="41"/>
  <c r="J6252" i="41"/>
  <c r="G6252" i="41"/>
  <c r="K6252" i="41"/>
  <c r="H6252" i="41"/>
  <c r="I6252" i="41"/>
  <c r="J6220" i="41"/>
  <c r="G6220" i="41"/>
  <c r="K6220" i="41"/>
  <c r="H6220" i="41"/>
  <c r="I6220" i="41"/>
  <c r="J6188" i="41"/>
  <c r="G6188" i="41"/>
  <c r="K6188" i="41"/>
  <c r="H6188" i="41"/>
  <c r="I6188" i="41"/>
  <c r="J6156" i="41"/>
  <c r="G6156" i="41"/>
  <c r="K6156" i="41"/>
  <c r="H6156" i="41"/>
  <c r="I6156" i="41"/>
  <c r="J6124" i="41"/>
  <c r="G6124" i="41"/>
  <c r="K6124" i="41"/>
  <c r="H6124" i="41"/>
  <c r="I6124" i="41"/>
  <c r="J6092" i="41"/>
  <c r="G6092" i="41"/>
  <c r="K6092" i="41"/>
  <c r="H6092" i="41"/>
  <c r="I6092" i="41"/>
  <c r="J6493" i="41"/>
  <c r="G6493" i="41"/>
  <c r="K6493" i="41"/>
  <c r="H6493" i="41"/>
  <c r="I6493" i="41"/>
  <c r="J6477" i="41"/>
  <c r="G6477" i="41"/>
  <c r="K6477" i="41"/>
  <c r="H6477" i="41"/>
  <c r="I6477" i="41"/>
  <c r="J6461" i="41"/>
  <c r="G6461" i="41"/>
  <c r="K6461" i="41"/>
  <c r="H6461" i="41"/>
  <c r="I6461" i="41"/>
  <c r="J6445" i="41"/>
  <c r="G6445" i="41"/>
  <c r="K6445" i="41"/>
  <c r="H6445" i="41"/>
  <c r="I6445" i="41"/>
  <c r="J6429" i="41"/>
  <c r="G6429" i="41"/>
  <c r="K6429" i="41"/>
  <c r="H6429" i="41"/>
  <c r="I6429" i="41"/>
  <c r="J6413" i="41"/>
  <c r="G6413" i="41"/>
  <c r="K6413" i="41"/>
  <c r="H6413" i="41"/>
  <c r="I6413" i="41"/>
  <c r="J6397" i="41"/>
  <c r="G6397" i="41"/>
  <c r="K6397" i="41"/>
  <c r="H6397" i="41"/>
  <c r="I6397" i="41"/>
  <c r="J6381" i="41"/>
  <c r="G6381" i="41"/>
  <c r="K6381" i="41"/>
  <c r="H6381" i="41"/>
  <c r="I6381" i="41"/>
  <c r="J6365" i="41"/>
  <c r="G6365" i="41"/>
  <c r="K6365" i="41"/>
  <c r="H6365" i="41"/>
  <c r="I6365" i="41"/>
  <c r="J6349" i="41"/>
  <c r="G6349" i="41"/>
  <c r="K6349" i="41"/>
  <c r="H6349" i="41"/>
  <c r="I6349" i="41"/>
  <c r="J6333" i="41"/>
  <c r="G6333" i="41"/>
  <c r="K6333" i="41"/>
  <c r="H6333" i="41"/>
  <c r="I6333" i="41"/>
  <c r="J6317" i="41"/>
  <c r="G6317" i="41"/>
  <c r="K6317" i="41"/>
  <c r="H6317" i="41"/>
  <c r="I6317" i="41"/>
  <c r="J6301" i="41"/>
  <c r="G6301" i="41"/>
  <c r="K6301" i="41"/>
  <c r="H6301" i="41"/>
  <c r="I6301" i="41"/>
  <c r="J6285" i="41"/>
  <c r="G6285" i="41"/>
  <c r="K6285" i="41"/>
  <c r="H6285" i="41"/>
  <c r="I6285" i="41"/>
  <c r="J6269" i="41"/>
  <c r="G6269" i="41"/>
  <c r="K6269" i="41"/>
  <c r="H6269" i="41"/>
  <c r="I6269" i="41"/>
  <c r="J6253" i="41"/>
  <c r="G6253" i="41"/>
  <c r="K6253" i="41"/>
  <c r="H6253" i="41"/>
  <c r="I6253" i="41"/>
  <c r="J6237" i="41"/>
  <c r="G6237" i="41"/>
  <c r="K6237" i="41"/>
  <c r="H6237" i="41"/>
  <c r="I6237" i="41"/>
  <c r="J6221" i="41"/>
  <c r="G6221" i="41"/>
  <c r="K6221" i="41"/>
  <c r="H6221" i="41"/>
  <c r="I6221" i="41"/>
  <c r="J6205" i="41"/>
  <c r="G6205" i="41"/>
  <c r="K6205" i="41"/>
  <c r="H6205" i="41"/>
  <c r="I6205" i="41"/>
  <c r="J6189" i="41"/>
  <c r="G6189" i="41"/>
  <c r="K6189" i="41"/>
  <c r="H6189" i="41"/>
  <c r="I6189" i="41"/>
  <c r="J6173" i="41"/>
  <c r="G6173" i="41"/>
  <c r="K6173" i="41"/>
  <c r="H6173" i="41"/>
  <c r="I6173" i="41"/>
  <c r="J6157" i="41"/>
  <c r="G6157" i="41"/>
  <c r="K6157" i="41"/>
  <c r="H6157" i="41"/>
  <c r="I6157" i="41"/>
  <c r="J6141" i="41"/>
  <c r="G6141" i="41"/>
  <c r="K6141" i="41"/>
  <c r="H6141" i="41"/>
  <c r="I6141" i="41"/>
  <c r="J6125" i="41"/>
  <c r="G6125" i="41"/>
  <c r="K6125" i="41"/>
  <c r="H6125" i="41"/>
  <c r="I6125" i="41"/>
  <c r="J6109" i="41"/>
  <c r="G6109" i="41"/>
  <c r="K6109" i="41"/>
  <c r="H6109" i="41"/>
  <c r="I6109" i="41"/>
  <c r="J6093" i="41"/>
  <c r="G6093" i="41"/>
  <c r="K6093" i="41"/>
  <c r="H6093" i="41"/>
  <c r="I6093" i="41"/>
  <c r="J6077" i="41"/>
  <c r="G6077" i="41"/>
  <c r="K6077" i="41"/>
  <c r="H6077" i="41"/>
  <c r="I6077" i="41"/>
  <c r="G6629" i="41"/>
  <c r="K6629" i="41"/>
  <c r="I6629" i="41"/>
  <c r="J6629" i="41"/>
  <c r="H6629" i="41"/>
  <c r="G6621" i="41"/>
  <c r="K6621" i="41"/>
  <c r="I6621" i="41"/>
  <c r="J6621" i="41"/>
  <c r="H6621" i="41"/>
  <c r="J6615" i="41"/>
  <c r="G6615" i="41"/>
  <c r="K6615" i="41"/>
  <c r="H6615" i="41"/>
  <c r="I6615" i="41"/>
  <c r="J6611" i="41"/>
  <c r="G6611" i="41"/>
  <c r="K6611" i="41"/>
  <c r="H6611" i="41"/>
  <c r="I6611" i="41"/>
  <c r="J6607" i="41"/>
  <c r="G6607" i="41"/>
  <c r="K6607" i="41"/>
  <c r="H6607" i="41"/>
  <c r="I6607" i="41"/>
  <c r="J6603" i="41"/>
  <c r="G6603" i="41"/>
  <c r="K6603" i="41"/>
  <c r="H6603" i="41"/>
  <c r="I6603" i="41"/>
  <c r="J6599" i="41"/>
  <c r="G6599" i="41"/>
  <c r="K6599" i="41"/>
  <c r="H6599" i="41"/>
  <c r="I6599" i="41"/>
  <c r="J6595" i="41"/>
  <c r="G6595" i="41"/>
  <c r="K6595" i="41"/>
  <c r="H6595" i="41"/>
  <c r="I6595" i="41"/>
  <c r="J6591" i="41"/>
  <c r="G6591" i="41"/>
  <c r="K6591" i="41"/>
  <c r="H6591" i="41"/>
  <c r="I6591" i="41"/>
  <c r="J6587" i="41"/>
  <c r="G6587" i="41"/>
  <c r="K6587" i="41"/>
  <c r="H6587" i="41"/>
  <c r="I6587" i="41"/>
  <c r="J6583" i="41"/>
  <c r="G6583" i="41"/>
  <c r="K6583" i="41"/>
  <c r="H6583" i="41"/>
  <c r="I6583" i="41"/>
  <c r="J6579" i="41"/>
  <c r="G6579" i="41"/>
  <c r="K6579" i="41"/>
  <c r="H6579" i="41"/>
  <c r="I6579" i="41"/>
  <c r="J6575" i="41"/>
  <c r="G6575" i="41"/>
  <c r="K6575" i="41"/>
  <c r="H6575" i="41"/>
  <c r="I6575" i="41"/>
  <c r="J6571" i="41"/>
  <c r="G6571" i="41"/>
  <c r="K6571" i="41"/>
  <c r="H6571" i="41"/>
  <c r="I6571" i="41"/>
  <c r="J6567" i="41"/>
  <c r="G6567" i="41"/>
  <c r="K6567" i="41"/>
  <c r="H6567" i="41"/>
  <c r="I6567" i="41"/>
  <c r="J6563" i="41"/>
  <c r="G6563" i="41"/>
  <c r="K6563" i="41"/>
  <c r="H6563" i="41"/>
  <c r="I6563" i="41"/>
  <c r="J6559" i="41"/>
  <c r="G6559" i="41"/>
  <c r="K6559" i="41"/>
  <c r="H6559" i="41"/>
  <c r="I6559" i="41"/>
  <c r="J6555" i="41"/>
  <c r="G6555" i="41"/>
  <c r="K6555" i="41"/>
  <c r="H6555" i="41"/>
  <c r="I6555" i="41"/>
  <c r="J6551" i="41"/>
  <c r="G6551" i="41"/>
  <c r="K6551" i="41"/>
  <c r="H6551" i="41"/>
  <c r="I6551" i="41"/>
  <c r="J6547" i="41"/>
  <c r="G6547" i="41"/>
  <c r="K6547" i="41"/>
  <c r="H6547" i="41"/>
  <c r="I6547" i="41"/>
  <c r="J6543" i="41"/>
  <c r="G6543" i="41"/>
  <c r="K6543" i="41"/>
  <c r="H6543" i="41"/>
  <c r="I6543" i="41"/>
  <c r="J6539" i="41"/>
  <c r="G6539" i="41"/>
  <c r="K6539" i="41"/>
  <c r="H6539" i="41"/>
  <c r="I6539" i="41"/>
  <c r="J6535" i="41"/>
  <c r="G6535" i="41"/>
  <c r="K6535" i="41"/>
  <c r="H6535" i="41"/>
  <c r="I6535" i="41"/>
  <c r="J6531" i="41"/>
  <c r="G6531" i="41"/>
  <c r="K6531" i="41"/>
  <c r="H6531" i="41"/>
  <c r="I6531" i="41"/>
  <c r="J6527" i="41"/>
  <c r="G6527" i="41"/>
  <c r="K6527" i="41"/>
  <c r="H6527" i="41"/>
  <c r="I6527" i="41"/>
  <c r="J6523" i="41"/>
  <c r="G6523" i="41"/>
  <c r="K6523" i="41"/>
  <c r="H6523" i="41"/>
  <c r="I6523" i="41"/>
  <c r="J6519" i="41"/>
  <c r="G6519" i="41"/>
  <c r="K6519" i="41"/>
  <c r="H6519" i="41"/>
  <c r="I6519" i="41"/>
  <c r="J6515" i="41"/>
  <c r="G6515" i="41"/>
  <c r="K6515" i="41"/>
  <c r="H6515" i="41"/>
  <c r="I6515" i="41"/>
  <c r="J6511" i="41"/>
  <c r="G6511" i="41"/>
  <c r="K6511" i="41"/>
  <c r="H6511" i="41"/>
  <c r="I6511" i="41"/>
  <c r="J6507" i="41"/>
  <c r="G6507" i="41"/>
  <c r="K6507" i="41"/>
  <c r="H6507" i="41"/>
  <c r="I6507" i="41"/>
  <c r="J6503" i="41"/>
  <c r="G6503" i="41"/>
  <c r="K6503" i="41"/>
  <c r="H6503" i="41"/>
  <c r="I6503" i="41"/>
  <c r="J6499" i="41"/>
  <c r="G6499" i="41"/>
  <c r="K6499" i="41"/>
  <c r="H6499" i="41"/>
  <c r="I6499" i="41"/>
  <c r="J6495" i="41"/>
  <c r="G6495" i="41"/>
  <c r="K6495" i="41"/>
  <c r="H6495" i="41"/>
  <c r="I6495" i="41"/>
  <c r="J6482" i="41"/>
  <c r="G6482" i="41"/>
  <c r="K6482" i="41"/>
  <c r="H6482" i="41"/>
  <c r="I6482" i="41"/>
  <c r="J6466" i="41"/>
  <c r="G6466" i="41"/>
  <c r="K6466" i="41"/>
  <c r="H6466" i="41"/>
  <c r="I6466" i="41"/>
  <c r="J6450" i="41"/>
  <c r="G6450" i="41"/>
  <c r="K6450" i="41"/>
  <c r="H6450" i="41"/>
  <c r="I6450" i="41"/>
  <c r="J6434" i="41"/>
  <c r="G6434" i="41"/>
  <c r="K6434" i="41"/>
  <c r="H6434" i="41"/>
  <c r="I6434" i="41"/>
  <c r="J6418" i="41"/>
  <c r="G6418" i="41"/>
  <c r="K6418" i="41"/>
  <c r="H6418" i="41"/>
  <c r="I6418" i="41"/>
  <c r="J6402" i="41"/>
  <c r="G6402" i="41"/>
  <c r="K6402" i="41"/>
  <c r="H6402" i="41"/>
  <c r="I6402" i="41"/>
  <c r="J6386" i="41"/>
  <c r="G6386" i="41"/>
  <c r="K6386" i="41"/>
  <c r="H6386" i="41"/>
  <c r="I6386" i="41"/>
  <c r="J6370" i="41"/>
  <c r="G6370" i="41"/>
  <c r="K6370" i="41"/>
  <c r="H6370" i="41"/>
  <c r="I6370" i="41"/>
  <c r="J6354" i="41"/>
  <c r="G6354" i="41"/>
  <c r="K6354" i="41"/>
  <c r="H6354" i="41"/>
  <c r="I6354" i="41"/>
  <c r="J6338" i="41"/>
  <c r="G6338" i="41"/>
  <c r="K6338" i="41"/>
  <c r="H6338" i="41"/>
  <c r="I6338" i="41"/>
  <c r="J6322" i="41"/>
  <c r="G6322" i="41"/>
  <c r="K6322" i="41"/>
  <c r="H6322" i="41"/>
  <c r="I6322" i="41"/>
  <c r="J6306" i="41"/>
  <c r="G6306" i="41"/>
  <c r="K6306" i="41"/>
  <c r="H6306" i="41"/>
  <c r="I6306" i="41"/>
  <c r="J6290" i="41"/>
  <c r="G6290" i="41"/>
  <c r="K6290" i="41"/>
  <c r="H6290" i="41"/>
  <c r="I6290" i="41"/>
  <c r="J6274" i="41"/>
  <c r="G6274" i="41"/>
  <c r="K6274" i="41"/>
  <c r="H6274" i="41"/>
  <c r="I6274" i="41"/>
  <c r="J6258" i="41"/>
  <c r="G6258" i="41"/>
  <c r="K6258" i="41"/>
  <c r="H6258" i="41"/>
  <c r="I6258" i="41"/>
  <c r="J6242" i="41"/>
  <c r="G6242" i="41"/>
  <c r="K6242" i="41"/>
  <c r="H6242" i="41"/>
  <c r="I6242" i="41"/>
  <c r="J6226" i="41"/>
  <c r="G6226" i="41"/>
  <c r="K6226" i="41"/>
  <c r="H6226" i="41"/>
  <c r="I6226" i="41"/>
  <c r="J6210" i="41"/>
  <c r="G6210" i="41"/>
  <c r="K6210" i="41"/>
  <c r="H6210" i="41"/>
  <c r="I6210" i="41"/>
  <c r="J6194" i="41"/>
  <c r="G6194" i="41"/>
  <c r="K6194" i="41"/>
  <c r="H6194" i="41"/>
  <c r="I6194" i="41"/>
  <c r="J6178" i="41"/>
  <c r="G6178" i="41"/>
  <c r="K6178" i="41"/>
  <c r="H6178" i="41"/>
  <c r="I6178" i="41"/>
  <c r="J6162" i="41"/>
  <c r="G6162" i="41"/>
  <c r="K6162" i="41"/>
  <c r="H6162" i="41"/>
  <c r="I6162" i="41"/>
  <c r="J6146" i="41"/>
  <c r="G6146" i="41"/>
  <c r="K6146" i="41"/>
  <c r="H6146" i="41"/>
  <c r="I6146" i="41"/>
  <c r="J6130" i="41"/>
  <c r="G6130" i="41"/>
  <c r="K6130" i="41"/>
  <c r="H6130" i="41"/>
  <c r="I6130" i="41"/>
  <c r="J6114" i="41"/>
  <c r="G6114" i="41"/>
  <c r="K6114" i="41"/>
  <c r="H6114" i="41"/>
  <c r="I6114" i="41"/>
  <c r="J6098" i="41"/>
  <c r="G6098" i="41"/>
  <c r="K6098" i="41"/>
  <c r="H6098" i="41"/>
  <c r="I6098" i="41"/>
  <c r="J6082" i="41"/>
  <c r="G6082" i="41"/>
  <c r="K6082" i="41"/>
  <c r="H6082" i="41"/>
  <c r="I6082" i="41"/>
  <c r="J6066" i="41"/>
  <c r="G6066" i="41"/>
  <c r="K6066" i="41"/>
  <c r="H6066" i="41"/>
  <c r="I6066" i="41"/>
  <c r="J6479" i="41"/>
  <c r="G6479" i="41"/>
  <c r="K6479" i="41"/>
  <c r="H6479" i="41"/>
  <c r="I6479" i="41"/>
  <c r="J6463" i="41"/>
  <c r="G6463" i="41"/>
  <c r="K6463" i="41"/>
  <c r="H6463" i="41"/>
  <c r="I6463" i="41"/>
  <c r="J6447" i="41"/>
  <c r="G6447" i="41"/>
  <c r="K6447" i="41"/>
  <c r="H6447" i="41"/>
  <c r="I6447" i="41"/>
  <c r="J6431" i="41"/>
  <c r="G6431" i="41"/>
  <c r="K6431" i="41"/>
  <c r="H6431" i="41"/>
  <c r="I6431" i="41"/>
  <c r="J6415" i="41"/>
  <c r="G6415" i="41"/>
  <c r="K6415" i="41"/>
  <c r="H6415" i="41"/>
  <c r="I6415" i="41"/>
  <c r="J6399" i="41"/>
  <c r="G6399" i="41"/>
  <c r="K6399" i="41"/>
  <c r="H6399" i="41"/>
  <c r="I6399" i="41"/>
  <c r="J6383" i="41"/>
  <c r="G6383" i="41"/>
  <c r="K6383" i="41"/>
  <c r="H6383" i="41"/>
  <c r="I6383" i="41"/>
  <c r="J6367" i="41"/>
  <c r="G6367" i="41"/>
  <c r="K6367" i="41"/>
  <c r="H6367" i="41"/>
  <c r="I6367" i="41"/>
  <c r="J6351" i="41"/>
  <c r="G6351" i="41"/>
  <c r="K6351" i="41"/>
  <c r="H6351" i="41"/>
  <c r="I6351" i="41"/>
  <c r="J6335" i="41"/>
  <c r="G6335" i="41"/>
  <c r="K6335" i="41"/>
  <c r="H6335" i="41"/>
  <c r="I6335" i="41"/>
  <c r="J6319" i="41"/>
  <c r="G6319" i="41"/>
  <c r="K6319" i="41"/>
  <c r="H6319" i="41"/>
  <c r="I6319" i="41"/>
  <c r="J6303" i="41"/>
  <c r="G6303" i="41"/>
  <c r="K6303" i="41"/>
  <c r="H6303" i="41"/>
  <c r="I6303" i="41"/>
  <c r="J6287" i="41"/>
  <c r="G6287" i="41"/>
  <c r="K6287" i="41"/>
  <c r="H6287" i="41"/>
  <c r="I6287" i="41"/>
  <c r="J6271" i="41"/>
  <c r="G6271" i="41"/>
  <c r="K6271" i="41"/>
  <c r="H6271" i="41"/>
  <c r="I6271" i="41"/>
  <c r="J6255" i="41"/>
  <c r="G6255" i="41"/>
  <c r="K6255" i="41"/>
  <c r="H6255" i="41"/>
  <c r="I6255" i="41"/>
  <c r="J6239" i="41"/>
  <c r="G6239" i="41"/>
  <c r="K6239" i="41"/>
  <c r="H6239" i="41"/>
  <c r="I6239" i="41"/>
  <c r="J6223" i="41"/>
  <c r="G6223" i="41"/>
  <c r="K6223" i="41"/>
  <c r="H6223" i="41"/>
  <c r="I6223" i="41"/>
  <c r="J6207" i="41"/>
  <c r="G6207" i="41"/>
  <c r="K6207" i="41"/>
  <c r="H6207" i="41"/>
  <c r="I6207" i="41"/>
  <c r="J6191" i="41"/>
  <c r="G6191" i="41"/>
  <c r="K6191" i="41"/>
  <c r="H6191" i="41"/>
  <c r="I6191" i="41"/>
  <c r="J6175" i="41"/>
  <c r="G6175" i="41"/>
  <c r="K6175" i="41"/>
  <c r="H6175" i="41"/>
  <c r="I6175" i="41"/>
  <c r="J6159" i="41"/>
  <c r="G6159" i="41"/>
  <c r="K6159" i="41"/>
  <c r="H6159" i="41"/>
  <c r="I6159" i="41"/>
  <c r="J6143" i="41"/>
  <c r="G6143" i="41"/>
  <c r="K6143" i="41"/>
  <c r="H6143" i="41"/>
  <c r="I6143" i="41"/>
  <c r="J6127" i="41"/>
  <c r="G6127" i="41"/>
  <c r="K6127" i="41"/>
  <c r="H6127" i="41"/>
  <c r="I6127" i="41"/>
  <c r="J6111" i="41"/>
  <c r="G6111" i="41"/>
  <c r="K6111" i="41"/>
  <c r="H6111" i="41"/>
  <c r="I6111" i="41"/>
  <c r="J6095" i="41"/>
  <c r="G6095" i="41"/>
  <c r="K6095" i="41"/>
  <c r="H6095" i="41"/>
  <c r="I6095" i="41"/>
  <c r="J6079" i="41"/>
  <c r="G6079" i="41"/>
  <c r="K6079" i="41"/>
  <c r="H6079" i="41"/>
  <c r="I6079" i="41"/>
  <c r="J5520" i="41"/>
  <c r="G5520" i="41"/>
  <c r="H5520" i="41"/>
  <c r="I5520" i="41"/>
  <c r="K5520" i="41"/>
  <c r="J5743" i="41"/>
  <c r="G5743" i="41"/>
  <c r="K5743" i="41"/>
  <c r="H5743" i="41"/>
  <c r="I5743" i="41"/>
  <c r="J5711" i="41"/>
  <c r="G5711" i="41"/>
  <c r="K5711" i="41"/>
  <c r="H5711" i="41"/>
  <c r="I5711" i="41"/>
  <c r="J5679" i="41"/>
  <c r="G5679" i="41"/>
  <c r="K5679" i="41"/>
  <c r="H5679" i="41"/>
  <c r="I5679" i="41"/>
  <c r="J5647" i="41"/>
  <c r="G5647" i="41"/>
  <c r="K5647" i="41"/>
  <c r="H5647" i="41"/>
  <c r="I5647" i="41"/>
  <c r="J5615" i="41"/>
  <c r="G5615" i="41"/>
  <c r="K5615" i="41"/>
  <c r="H5615" i="41"/>
  <c r="I5615" i="41"/>
  <c r="J5583" i="41"/>
  <c r="G5583" i="41"/>
  <c r="K5583" i="41"/>
  <c r="H5583" i="41"/>
  <c r="I5583" i="41"/>
  <c r="J5551" i="41"/>
  <c r="G5551" i="41"/>
  <c r="K5551" i="41"/>
  <c r="H5551" i="41"/>
  <c r="I5551" i="41"/>
  <c r="J5747" i="41"/>
  <c r="G5747" i="41"/>
  <c r="K5747" i="41"/>
  <c r="H5747" i="41"/>
  <c r="I5747" i="41"/>
  <c r="J5715" i="41"/>
  <c r="G5715" i="41"/>
  <c r="K5715" i="41"/>
  <c r="H5715" i="41"/>
  <c r="I5715" i="41"/>
  <c r="J5683" i="41"/>
  <c r="G5683" i="41"/>
  <c r="K5683" i="41"/>
  <c r="H5683" i="41"/>
  <c r="I5683" i="41"/>
  <c r="J5651" i="41"/>
  <c r="G5651" i="41"/>
  <c r="K5651" i="41"/>
  <c r="H5651" i="41"/>
  <c r="I5651" i="41"/>
  <c r="J5619" i="41"/>
  <c r="G5619" i="41"/>
  <c r="K5619" i="41"/>
  <c r="H5619" i="41"/>
  <c r="I5619" i="41"/>
  <c r="J5587" i="41"/>
  <c r="G5587" i="41"/>
  <c r="K5587" i="41"/>
  <c r="H5587" i="41"/>
  <c r="I5587" i="41"/>
  <c r="J5555" i="41"/>
  <c r="G5555" i="41"/>
  <c r="K5555" i="41"/>
  <c r="H5555" i="41"/>
  <c r="I5555" i="41"/>
  <c r="J5760" i="41"/>
  <c r="G5760" i="41"/>
  <c r="K5760" i="41"/>
  <c r="H5760" i="41"/>
  <c r="I5760" i="41"/>
  <c r="J5744" i="41"/>
  <c r="G5744" i="41"/>
  <c r="K5744" i="41"/>
  <c r="H5744" i="41"/>
  <c r="I5744" i="41"/>
  <c r="J5728" i="41"/>
  <c r="G5728" i="41"/>
  <c r="K5728" i="41"/>
  <c r="H5728" i="41"/>
  <c r="I5728" i="41"/>
  <c r="J5712" i="41"/>
  <c r="G5712" i="41"/>
  <c r="K5712" i="41"/>
  <c r="H5712" i="41"/>
  <c r="I5712" i="41"/>
  <c r="J5696" i="41"/>
  <c r="G5696" i="41"/>
  <c r="K5696" i="41"/>
  <c r="H5696" i="41"/>
  <c r="I5696" i="41"/>
  <c r="J5680" i="41"/>
  <c r="G5680" i="41"/>
  <c r="K5680" i="41"/>
  <c r="H5680" i="41"/>
  <c r="I5680" i="41"/>
  <c r="J5664" i="41"/>
  <c r="G5664" i="41"/>
  <c r="K5664" i="41"/>
  <c r="H5664" i="41"/>
  <c r="I5664" i="41"/>
  <c r="J5648" i="41"/>
  <c r="G5648" i="41"/>
  <c r="K5648" i="41"/>
  <c r="H5648" i="41"/>
  <c r="I5648" i="41"/>
  <c r="J5632" i="41"/>
  <c r="G5632" i="41"/>
  <c r="K5632" i="41"/>
  <c r="H5632" i="41"/>
  <c r="I5632" i="41"/>
  <c r="J5616" i="41"/>
  <c r="G5616" i="41"/>
  <c r="K5616" i="41"/>
  <c r="H5616" i="41"/>
  <c r="I5616" i="41"/>
  <c r="J5600" i="41"/>
  <c r="G5600" i="41"/>
  <c r="K5600" i="41"/>
  <c r="H5600" i="41"/>
  <c r="I5600" i="41"/>
  <c r="J5584" i="41"/>
  <c r="G5584" i="41"/>
  <c r="K5584" i="41"/>
  <c r="H5584" i="41"/>
  <c r="I5584" i="41"/>
  <c r="J5568" i="41"/>
  <c r="G5568" i="41"/>
  <c r="K5568" i="41"/>
  <c r="H5568" i="41"/>
  <c r="I5568" i="41"/>
  <c r="J5552" i="41"/>
  <c r="G5552" i="41"/>
  <c r="K5552" i="41"/>
  <c r="H5552" i="41"/>
  <c r="I5552" i="41"/>
  <c r="J5526" i="41"/>
  <c r="G5526" i="41"/>
  <c r="H5526" i="41"/>
  <c r="I5526" i="41"/>
  <c r="K5526" i="41"/>
  <c r="J5784" i="41"/>
  <c r="I5784" i="41"/>
  <c r="K5784" i="41"/>
  <c r="G5784" i="41"/>
  <c r="H5784" i="41"/>
  <c r="J5780" i="41"/>
  <c r="G5780" i="41"/>
  <c r="K5780" i="41"/>
  <c r="H5780" i="41"/>
  <c r="I5780" i="41"/>
  <c r="J5776" i="41"/>
  <c r="G5776" i="41"/>
  <c r="K5776" i="41"/>
  <c r="H5776" i="41"/>
  <c r="I5776" i="41"/>
  <c r="J5772" i="41"/>
  <c r="G5772" i="41"/>
  <c r="K5772" i="41"/>
  <c r="H5772" i="41"/>
  <c r="I5772" i="41"/>
  <c r="J5768" i="41"/>
  <c r="G5768" i="41"/>
  <c r="K5768" i="41"/>
  <c r="H5768" i="41"/>
  <c r="I5768" i="41"/>
  <c r="J5764" i="41"/>
  <c r="G5764" i="41"/>
  <c r="K5764" i="41"/>
  <c r="H5764" i="41"/>
  <c r="I5764" i="41"/>
  <c r="J5757" i="41"/>
  <c r="G5757" i="41"/>
  <c r="K5757" i="41"/>
  <c r="H5757" i="41"/>
  <c r="I5757" i="41"/>
  <c r="J5741" i="41"/>
  <c r="G5741" i="41"/>
  <c r="K5741" i="41"/>
  <c r="H5741" i="41"/>
  <c r="I5741" i="41"/>
  <c r="J5725" i="41"/>
  <c r="G5725" i="41"/>
  <c r="K5725" i="41"/>
  <c r="H5725" i="41"/>
  <c r="I5725" i="41"/>
  <c r="J5709" i="41"/>
  <c r="G5709" i="41"/>
  <c r="K5709" i="41"/>
  <c r="H5709" i="41"/>
  <c r="I5709" i="41"/>
  <c r="J5693" i="41"/>
  <c r="G5693" i="41"/>
  <c r="K5693" i="41"/>
  <c r="H5693" i="41"/>
  <c r="I5693" i="41"/>
  <c r="J5677" i="41"/>
  <c r="G5677" i="41"/>
  <c r="K5677" i="41"/>
  <c r="H5677" i="41"/>
  <c r="I5677" i="41"/>
  <c r="J5661" i="41"/>
  <c r="G5661" i="41"/>
  <c r="K5661" i="41"/>
  <c r="H5661" i="41"/>
  <c r="I5661" i="41"/>
  <c r="J5645" i="41"/>
  <c r="G5645" i="41"/>
  <c r="K5645" i="41"/>
  <c r="H5645" i="41"/>
  <c r="I5645" i="41"/>
  <c r="J5629" i="41"/>
  <c r="G5629" i="41"/>
  <c r="K5629" i="41"/>
  <c r="H5629" i="41"/>
  <c r="I5629" i="41"/>
  <c r="J5613" i="41"/>
  <c r="G5613" i="41"/>
  <c r="K5613" i="41"/>
  <c r="H5613" i="41"/>
  <c r="I5613" i="41"/>
  <c r="J5597" i="41"/>
  <c r="G5597" i="41"/>
  <c r="K5597" i="41"/>
  <c r="H5597" i="41"/>
  <c r="I5597" i="41"/>
  <c r="J5581" i="41"/>
  <c r="G5581" i="41"/>
  <c r="K5581" i="41"/>
  <c r="H5581" i="41"/>
  <c r="I5581" i="41"/>
  <c r="J5565" i="41"/>
  <c r="G5565" i="41"/>
  <c r="K5565" i="41"/>
  <c r="H5565" i="41"/>
  <c r="I5565" i="41"/>
  <c r="J5549" i="41"/>
  <c r="G5549" i="41"/>
  <c r="K5549" i="41"/>
  <c r="H5549" i="41"/>
  <c r="I5549" i="41"/>
  <c r="J5516" i="41"/>
  <c r="G5516" i="41"/>
  <c r="H5516" i="41"/>
  <c r="I5516" i="41"/>
  <c r="K5516" i="41"/>
  <c r="J5754" i="41"/>
  <c r="G5754" i="41"/>
  <c r="K5754" i="41"/>
  <c r="H5754" i="41"/>
  <c r="I5754" i="41"/>
  <c r="J5738" i="41"/>
  <c r="G5738" i="41"/>
  <c r="K5738" i="41"/>
  <c r="H5738" i="41"/>
  <c r="I5738" i="41"/>
  <c r="J5722" i="41"/>
  <c r="G5722" i="41"/>
  <c r="K5722" i="41"/>
  <c r="H5722" i="41"/>
  <c r="I5722" i="41"/>
  <c r="J5706" i="41"/>
  <c r="G5706" i="41"/>
  <c r="K5706" i="41"/>
  <c r="H5706" i="41"/>
  <c r="I5706" i="41"/>
  <c r="J5690" i="41"/>
  <c r="G5690" i="41"/>
  <c r="K5690" i="41"/>
  <c r="H5690" i="41"/>
  <c r="I5690" i="41"/>
  <c r="J5674" i="41"/>
  <c r="G5674" i="41"/>
  <c r="K5674" i="41"/>
  <c r="H5674" i="41"/>
  <c r="I5674" i="41"/>
  <c r="J5658" i="41"/>
  <c r="G5658" i="41"/>
  <c r="K5658" i="41"/>
  <c r="H5658" i="41"/>
  <c r="I5658" i="41"/>
  <c r="J5642" i="41"/>
  <c r="G5642" i="41"/>
  <c r="K5642" i="41"/>
  <c r="H5642" i="41"/>
  <c r="I5642" i="41"/>
  <c r="J5626" i="41"/>
  <c r="G5626" i="41"/>
  <c r="K5626" i="41"/>
  <c r="H5626" i="41"/>
  <c r="I5626" i="41"/>
  <c r="J5610" i="41"/>
  <c r="G5610" i="41"/>
  <c r="K5610" i="41"/>
  <c r="H5610" i="41"/>
  <c r="I5610" i="41"/>
  <c r="J5594" i="41"/>
  <c r="G5594" i="41"/>
  <c r="K5594" i="41"/>
  <c r="H5594" i="41"/>
  <c r="I5594" i="41"/>
  <c r="J5578" i="41"/>
  <c r="G5578" i="41"/>
  <c r="K5578" i="41"/>
  <c r="H5578" i="41"/>
  <c r="I5578" i="41"/>
  <c r="J5562" i="41"/>
  <c r="G5562" i="41"/>
  <c r="K5562" i="41"/>
  <c r="H5562" i="41"/>
  <c r="I5562" i="41"/>
  <c r="J5546" i="41"/>
  <c r="G5546" i="41"/>
  <c r="K5546" i="41"/>
  <c r="H5546" i="41"/>
  <c r="I5546" i="41"/>
  <c r="J5514" i="41"/>
  <c r="G5514" i="41"/>
  <c r="H5514" i="41"/>
  <c r="I5514" i="41"/>
  <c r="K5514" i="41"/>
  <c r="J5543" i="41"/>
  <c r="I5543" i="41"/>
  <c r="K5543" i="41"/>
  <c r="G5543" i="41"/>
  <c r="H5543" i="41"/>
  <c r="J5535" i="41"/>
  <c r="I5535" i="41"/>
  <c r="K5535" i="41"/>
  <c r="G5535" i="41"/>
  <c r="H5535" i="41"/>
  <c r="J5527" i="41"/>
  <c r="I5527" i="41"/>
  <c r="K5527" i="41"/>
  <c r="G5527" i="41"/>
  <c r="H5527" i="41"/>
  <c r="J5519" i="41"/>
  <c r="I5519" i="41"/>
  <c r="K5519" i="41"/>
  <c r="G5519" i="41"/>
  <c r="H5519" i="41"/>
  <c r="J5511" i="41"/>
  <c r="I5511" i="41"/>
  <c r="K5511" i="41"/>
  <c r="G5511" i="41"/>
  <c r="H5511" i="41"/>
  <c r="H5505" i="41"/>
  <c r="J5505" i="41"/>
  <c r="G5505" i="41"/>
  <c r="I5505" i="41"/>
  <c r="K5505" i="41"/>
  <c r="J5086" i="41"/>
  <c r="G5086" i="41"/>
  <c r="K5086" i="41"/>
  <c r="H5086" i="41"/>
  <c r="I5086" i="41"/>
  <c r="J5054" i="41"/>
  <c r="G5054" i="41"/>
  <c r="K5054" i="41"/>
  <c r="H5054" i="41"/>
  <c r="I5054" i="41"/>
  <c r="J5022" i="41"/>
  <c r="G5022" i="41"/>
  <c r="K5022" i="41"/>
  <c r="H5022" i="41"/>
  <c r="I5022" i="41"/>
  <c r="J4990" i="41"/>
  <c r="G4990" i="41"/>
  <c r="K4990" i="41"/>
  <c r="H4990" i="41"/>
  <c r="I4990" i="41"/>
  <c r="H5497" i="41"/>
  <c r="I5497" i="41"/>
  <c r="J5497" i="41"/>
  <c r="K5497" i="41"/>
  <c r="G5497" i="41"/>
  <c r="H5493" i="41"/>
  <c r="I5493" i="41"/>
  <c r="J5493" i="41"/>
  <c r="K5493" i="41"/>
  <c r="G5493" i="41"/>
  <c r="H5489" i="41"/>
  <c r="I5489" i="41"/>
  <c r="J5489" i="41"/>
  <c r="K5489" i="41"/>
  <c r="G5489" i="41"/>
  <c r="H5485" i="41"/>
  <c r="I5485" i="41"/>
  <c r="J5485" i="41"/>
  <c r="K5485" i="41"/>
  <c r="G5485" i="41"/>
  <c r="H5481" i="41"/>
  <c r="I5481" i="41"/>
  <c r="J5481" i="41"/>
  <c r="K5481" i="41"/>
  <c r="G5481" i="41"/>
  <c r="H5477" i="41"/>
  <c r="I5477" i="41"/>
  <c r="J5477" i="41"/>
  <c r="K5477" i="41"/>
  <c r="G5477" i="41"/>
  <c r="H5473" i="41"/>
  <c r="I5473" i="41"/>
  <c r="J5473" i="41"/>
  <c r="K5473" i="41"/>
  <c r="G5473" i="41"/>
  <c r="H5469" i="41"/>
  <c r="I5469" i="41"/>
  <c r="J5469" i="41"/>
  <c r="K5469" i="41"/>
  <c r="G5469" i="41"/>
  <c r="H5465" i="41"/>
  <c r="I5465" i="41"/>
  <c r="J5465" i="41"/>
  <c r="K5465" i="41"/>
  <c r="G5465" i="41"/>
  <c r="H5461" i="41"/>
  <c r="I5461" i="41"/>
  <c r="J5461" i="41"/>
  <c r="K5461" i="41"/>
  <c r="G5461" i="41"/>
  <c r="H5457" i="41"/>
  <c r="I5457" i="41"/>
  <c r="J5457" i="41"/>
  <c r="K5457" i="41"/>
  <c r="G5457" i="41"/>
  <c r="H5453" i="41"/>
  <c r="I5453" i="41"/>
  <c r="J5453" i="41"/>
  <c r="K5453" i="41"/>
  <c r="G5453" i="41"/>
  <c r="H5449" i="41"/>
  <c r="I5449" i="41"/>
  <c r="J5449" i="41"/>
  <c r="K5449" i="41"/>
  <c r="G5449" i="41"/>
  <c r="H5445" i="41"/>
  <c r="I5445" i="41"/>
  <c r="J5445" i="41"/>
  <c r="K5445" i="41"/>
  <c r="G5445" i="41"/>
  <c r="H5441" i="41"/>
  <c r="I5441" i="41"/>
  <c r="J5441" i="41"/>
  <c r="K5441" i="41"/>
  <c r="G5441" i="41"/>
  <c r="H5437" i="41"/>
  <c r="I5437" i="41"/>
  <c r="J5437" i="41"/>
  <c r="K5437" i="41"/>
  <c r="G5437" i="41"/>
  <c r="H5433" i="41"/>
  <c r="I5433" i="41"/>
  <c r="J5433" i="41"/>
  <c r="K5433" i="41"/>
  <c r="G5433" i="41"/>
  <c r="H5429" i="41"/>
  <c r="I5429" i="41"/>
  <c r="J5429" i="41"/>
  <c r="K5429" i="41"/>
  <c r="G5429" i="41"/>
  <c r="H5425" i="41"/>
  <c r="I5425" i="41"/>
  <c r="J5425" i="41"/>
  <c r="K5425" i="41"/>
  <c r="G5425" i="41"/>
  <c r="H5421" i="41"/>
  <c r="I5421" i="41"/>
  <c r="J5421" i="41"/>
  <c r="K5421" i="41"/>
  <c r="G5421" i="41"/>
  <c r="H5417" i="41"/>
  <c r="I5417" i="41"/>
  <c r="J5417" i="41"/>
  <c r="K5417" i="41"/>
  <c r="G5417" i="41"/>
  <c r="H5413" i="41"/>
  <c r="I5413" i="41"/>
  <c r="J5413" i="41"/>
  <c r="K5413" i="41"/>
  <c r="G5413" i="41"/>
  <c r="H5409" i="41"/>
  <c r="I5409" i="41"/>
  <c r="J5409" i="41"/>
  <c r="K5409" i="41"/>
  <c r="G5409" i="41"/>
  <c r="H5405" i="41"/>
  <c r="I5405" i="41"/>
  <c r="J5405" i="41"/>
  <c r="K5405" i="41"/>
  <c r="G5405" i="41"/>
  <c r="H5401" i="41"/>
  <c r="I5401" i="41"/>
  <c r="J5401" i="41"/>
  <c r="K5401" i="41"/>
  <c r="G5401" i="41"/>
  <c r="H5397" i="41"/>
  <c r="I5397" i="41"/>
  <c r="J5397" i="41"/>
  <c r="K5397" i="41"/>
  <c r="G5397" i="41"/>
  <c r="H5393" i="41"/>
  <c r="I5393" i="41"/>
  <c r="J5393" i="41"/>
  <c r="K5393" i="41"/>
  <c r="G5393" i="41"/>
  <c r="H5389" i="41"/>
  <c r="I5389" i="41"/>
  <c r="J5389" i="41"/>
  <c r="K5389" i="41"/>
  <c r="G5389" i="41"/>
  <c r="H5385" i="41"/>
  <c r="I5385" i="41"/>
  <c r="J5385" i="41"/>
  <c r="K5385" i="41"/>
  <c r="G5385" i="41"/>
  <c r="H5381" i="41"/>
  <c r="I5381" i="41"/>
  <c r="J5381" i="41"/>
  <c r="K5381" i="41"/>
  <c r="G5381" i="41"/>
  <c r="H5377" i="41"/>
  <c r="I5377" i="41"/>
  <c r="J5377" i="41"/>
  <c r="K5377" i="41"/>
  <c r="G5377" i="41"/>
  <c r="H5373" i="41"/>
  <c r="I5373" i="41"/>
  <c r="J5373" i="41"/>
  <c r="K5373" i="41"/>
  <c r="G5373" i="41"/>
  <c r="H5369" i="41"/>
  <c r="I5369" i="41"/>
  <c r="J5369" i="41"/>
  <c r="K5369" i="41"/>
  <c r="G5369" i="41"/>
  <c r="H5365" i="41"/>
  <c r="I5365" i="41"/>
  <c r="J5365" i="41"/>
  <c r="K5365" i="41"/>
  <c r="G5365" i="41"/>
  <c r="H5361" i="41"/>
  <c r="I5361" i="41"/>
  <c r="J5361" i="41"/>
  <c r="K5361" i="41"/>
  <c r="G5361" i="41"/>
  <c r="H5357" i="41"/>
  <c r="I5357" i="41"/>
  <c r="J5357" i="41"/>
  <c r="K5357" i="41"/>
  <c r="G5357" i="41"/>
  <c r="H5353" i="41"/>
  <c r="I5353" i="41"/>
  <c r="J5353" i="41"/>
  <c r="K5353" i="41"/>
  <c r="G5353" i="41"/>
  <c r="H5349" i="41"/>
  <c r="I5349" i="41"/>
  <c r="J5349" i="41"/>
  <c r="K5349" i="41"/>
  <c r="G5349" i="41"/>
  <c r="H5345" i="41"/>
  <c r="I5345" i="41"/>
  <c r="J5345" i="41"/>
  <c r="K5345" i="41"/>
  <c r="G5345" i="41"/>
  <c r="H5341" i="41"/>
  <c r="I5341" i="41"/>
  <c r="J5341" i="41"/>
  <c r="K5341" i="41"/>
  <c r="G5341" i="41"/>
  <c r="H5337" i="41"/>
  <c r="I5337" i="41"/>
  <c r="J5337" i="41"/>
  <c r="K5337" i="41"/>
  <c r="G5337" i="41"/>
  <c r="H5333" i="41"/>
  <c r="I5333" i="41"/>
  <c r="J5333" i="41"/>
  <c r="K5333" i="41"/>
  <c r="G5333" i="41"/>
  <c r="H5329" i="41"/>
  <c r="I5329" i="41"/>
  <c r="J5329" i="41"/>
  <c r="K5329" i="41"/>
  <c r="G5329" i="41"/>
  <c r="H5325" i="41"/>
  <c r="I5325" i="41"/>
  <c r="J5325" i="41"/>
  <c r="K5325" i="41"/>
  <c r="G5325" i="41"/>
  <c r="H5321" i="41"/>
  <c r="I5321" i="41"/>
  <c r="J5321" i="41"/>
  <c r="K5321" i="41"/>
  <c r="G5321" i="41"/>
  <c r="H5317" i="41"/>
  <c r="I5317" i="41"/>
  <c r="J5317" i="41"/>
  <c r="K5317" i="41"/>
  <c r="G5317" i="41"/>
  <c r="H5313" i="41"/>
  <c r="I5313" i="41"/>
  <c r="J5313" i="41"/>
  <c r="K5313" i="41"/>
  <c r="G5313" i="41"/>
  <c r="H5309" i="41"/>
  <c r="I5309" i="41"/>
  <c r="J5309" i="41"/>
  <c r="K5309" i="41"/>
  <c r="G5309" i="41"/>
  <c r="H5305" i="41"/>
  <c r="I5305" i="41"/>
  <c r="J5305" i="41"/>
  <c r="K5305" i="41"/>
  <c r="G5305" i="41"/>
  <c r="H5301" i="41"/>
  <c r="I5301" i="41"/>
  <c r="J5301" i="41"/>
  <c r="K5301" i="41"/>
  <c r="G5301" i="41"/>
  <c r="H5297" i="41"/>
  <c r="I5297" i="41"/>
  <c r="J5297" i="41"/>
  <c r="K5297" i="41"/>
  <c r="G5297" i="41"/>
  <c r="H5293" i="41"/>
  <c r="I5293" i="41"/>
  <c r="J5293" i="41"/>
  <c r="K5293" i="41"/>
  <c r="G5293" i="41"/>
  <c r="H5289" i="41"/>
  <c r="I5289" i="41"/>
  <c r="J5289" i="41"/>
  <c r="K5289" i="41"/>
  <c r="G5289" i="41"/>
  <c r="H5285" i="41"/>
  <c r="I5285" i="41"/>
  <c r="J5285" i="41"/>
  <c r="K5285" i="41"/>
  <c r="G5285" i="41"/>
  <c r="H5281" i="41"/>
  <c r="I5281" i="41"/>
  <c r="J5281" i="41"/>
  <c r="K5281" i="41"/>
  <c r="G5281" i="41"/>
  <c r="H5277" i="41"/>
  <c r="I5277" i="41"/>
  <c r="J5277" i="41"/>
  <c r="K5277" i="41"/>
  <c r="G5277" i="41"/>
  <c r="H5273" i="41"/>
  <c r="I5273" i="41"/>
  <c r="J5273" i="41"/>
  <c r="K5273" i="41"/>
  <c r="G5273" i="41"/>
  <c r="H5269" i="41"/>
  <c r="I5269" i="41"/>
  <c r="J5269" i="41"/>
  <c r="K5269" i="41"/>
  <c r="G5269" i="41"/>
  <c r="H5265" i="41"/>
  <c r="I5265" i="41"/>
  <c r="J5265" i="41"/>
  <c r="K5265" i="41"/>
  <c r="G5265" i="41"/>
  <c r="J5152" i="41"/>
  <c r="H5152" i="41"/>
  <c r="G5152" i="41"/>
  <c r="I5152" i="41"/>
  <c r="K5152" i="41"/>
  <c r="J5136" i="41"/>
  <c r="H5136" i="41"/>
  <c r="G5136" i="41"/>
  <c r="I5136" i="41"/>
  <c r="K5136" i="41"/>
  <c r="J5120" i="41"/>
  <c r="H5120" i="41"/>
  <c r="G5120" i="41"/>
  <c r="I5120" i="41"/>
  <c r="K5120" i="41"/>
  <c r="J5106" i="41"/>
  <c r="G5106" i="41"/>
  <c r="K5106" i="41"/>
  <c r="H5106" i="41"/>
  <c r="I5106" i="41"/>
  <c r="J5074" i="41"/>
  <c r="G5074" i="41"/>
  <c r="K5074" i="41"/>
  <c r="H5074" i="41"/>
  <c r="I5074" i="41"/>
  <c r="J5042" i="41"/>
  <c r="G5042" i="41"/>
  <c r="K5042" i="41"/>
  <c r="H5042" i="41"/>
  <c r="I5042" i="41"/>
  <c r="J5010" i="41"/>
  <c r="G5010" i="41"/>
  <c r="K5010" i="41"/>
  <c r="H5010" i="41"/>
  <c r="I5010" i="41"/>
  <c r="G5253" i="41"/>
  <c r="K5253" i="41"/>
  <c r="H5253" i="41"/>
  <c r="I5253" i="41"/>
  <c r="J5253" i="41"/>
  <c r="G5249" i="41"/>
  <c r="K5249" i="41"/>
  <c r="H5249" i="41"/>
  <c r="I5249" i="41"/>
  <c r="J5249" i="41"/>
  <c r="G5245" i="41"/>
  <c r="K5245" i="41"/>
  <c r="H5245" i="41"/>
  <c r="I5245" i="41"/>
  <c r="J5245" i="41"/>
  <c r="G5241" i="41"/>
  <c r="K5241" i="41"/>
  <c r="H5241" i="41"/>
  <c r="I5241" i="41"/>
  <c r="J5241" i="41"/>
  <c r="G5237" i="41"/>
  <c r="K5237" i="41"/>
  <c r="H5237" i="41"/>
  <c r="I5237" i="41"/>
  <c r="J5237" i="41"/>
  <c r="G5233" i="41"/>
  <c r="K5233" i="41"/>
  <c r="H5233" i="41"/>
  <c r="I5233" i="41"/>
  <c r="J5233" i="41"/>
  <c r="G5229" i="41"/>
  <c r="K5229" i="41"/>
  <c r="H5229" i="41"/>
  <c r="I5229" i="41"/>
  <c r="J5229" i="41"/>
  <c r="G5225" i="41"/>
  <c r="K5225" i="41"/>
  <c r="H5225" i="41"/>
  <c r="I5225" i="41"/>
  <c r="J5225" i="41"/>
  <c r="G5221" i="41"/>
  <c r="K5221" i="41"/>
  <c r="H5221" i="41"/>
  <c r="I5221" i="41"/>
  <c r="J5221" i="41"/>
  <c r="G5217" i="41"/>
  <c r="K5217" i="41"/>
  <c r="H5217" i="41"/>
  <c r="I5217" i="41"/>
  <c r="J5217" i="41"/>
  <c r="G5213" i="41"/>
  <c r="K5213" i="41"/>
  <c r="H5213" i="41"/>
  <c r="I5213" i="41"/>
  <c r="J5213" i="41"/>
  <c r="G5209" i="41"/>
  <c r="K5209" i="41"/>
  <c r="H5209" i="41"/>
  <c r="I5209" i="41"/>
  <c r="J5209" i="41"/>
  <c r="G5205" i="41"/>
  <c r="K5205" i="41"/>
  <c r="H5205" i="41"/>
  <c r="I5205" i="41"/>
  <c r="J5205" i="41"/>
  <c r="G5201" i="41"/>
  <c r="K5201" i="41"/>
  <c r="H5201" i="41"/>
  <c r="I5201" i="41"/>
  <c r="J5201" i="41"/>
  <c r="G5197" i="41"/>
  <c r="K5197" i="41"/>
  <c r="H5197" i="41"/>
  <c r="I5197" i="41"/>
  <c r="J5197" i="41"/>
  <c r="G5193" i="41"/>
  <c r="K5193" i="41"/>
  <c r="H5193" i="41"/>
  <c r="I5193" i="41"/>
  <c r="J5193" i="41"/>
  <c r="G5189" i="41"/>
  <c r="K5189" i="41"/>
  <c r="H5189" i="41"/>
  <c r="I5189" i="41"/>
  <c r="J5189" i="41"/>
  <c r="G5185" i="41"/>
  <c r="K5185" i="41"/>
  <c r="H5185" i="41"/>
  <c r="I5185" i="41"/>
  <c r="J5185" i="41"/>
  <c r="G5181" i="41"/>
  <c r="K5181" i="41"/>
  <c r="H5181" i="41"/>
  <c r="I5181" i="41"/>
  <c r="J5181" i="41"/>
  <c r="J5174" i="41"/>
  <c r="H5174" i="41"/>
  <c r="I5174" i="41"/>
  <c r="K5174" i="41"/>
  <c r="G5174" i="41"/>
  <c r="J5166" i="41"/>
  <c r="H5166" i="41"/>
  <c r="I5166" i="41"/>
  <c r="K5166" i="41"/>
  <c r="G5166" i="41"/>
  <c r="J5155" i="41"/>
  <c r="H5155" i="41"/>
  <c r="I5155" i="41"/>
  <c r="K5155" i="41"/>
  <c r="G5155" i="41"/>
  <c r="J5139" i="41"/>
  <c r="H5139" i="41"/>
  <c r="I5139" i="41"/>
  <c r="K5139" i="41"/>
  <c r="G5139" i="41"/>
  <c r="J5123" i="41"/>
  <c r="H5123" i="41"/>
  <c r="I5123" i="41"/>
  <c r="K5123" i="41"/>
  <c r="G5123" i="41"/>
  <c r="J5107" i="41"/>
  <c r="H5107" i="41"/>
  <c r="I5107" i="41"/>
  <c r="K5107" i="41"/>
  <c r="G5107" i="41"/>
  <c r="J5091" i="41"/>
  <c r="G5091" i="41"/>
  <c r="K5091" i="41"/>
  <c r="H5091" i="41"/>
  <c r="I5091" i="41"/>
  <c r="J5075" i="41"/>
  <c r="G5075" i="41"/>
  <c r="K5075" i="41"/>
  <c r="H5075" i="41"/>
  <c r="I5075" i="41"/>
  <c r="J5059" i="41"/>
  <c r="G5059" i="41"/>
  <c r="K5059" i="41"/>
  <c r="H5059" i="41"/>
  <c r="I5059" i="41"/>
  <c r="J5043" i="41"/>
  <c r="G5043" i="41"/>
  <c r="K5043" i="41"/>
  <c r="H5043" i="41"/>
  <c r="I5043" i="41"/>
  <c r="J5027" i="41"/>
  <c r="G5027" i="41"/>
  <c r="K5027" i="41"/>
  <c r="H5027" i="41"/>
  <c r="I5027" i="41"/>
  <c r="J5011" i="41"/>
  <c r="G5011" i="41"/>
  <c r="K5011" i="41"/>
  <c r="H5011" i="41"/>
  <c r="I5011" i="41"/>
  <c r="J4995" i="41"/>
  <c r="G4995" i="41"/>
  <c r="K4995" i="41"/>
  <c r="H4995" i="41"/>
  <c r="I4995" i="41"/>
  <c r="J5154" i="41"/>
  <c r="H5154" i="41"/>
  <c r="K5154" i="41"/>
  <c r="G5154" i="41"/>
  <c r="I5154" i="41"/>
  <c r="J5138" i="41"/>
  <c r="H5138" i="41"/>
  <c r="K5138" i="41"/>
  <c r="G5138" i="41"/>
  <c r="I5138" i="41"/>
  <c r="J5122" i="41"/>
  <c r="H5122" i="41"/>
  <c r="K5122" i="41"/>
  <c r="G5122" i="41"/>
  <c r="I5122" i="41"/>
  <c r="J5104" i="41"/>
  <c r="G5104" i="41"/>
  <c r="K5104" i="41"/>
  <c r="H5104" i="41"/>
  <c r="I5104" i="41"/>
  <c r="J5088" i="41"/>
  <c r="G5088" i="41"/>
  <c r="K5088" i="41"/>
  <c r="H5088" i="41"/>
  <c r="I5088" i="41"/>
  <c r="J5072" i="41"/>
  <c r="G5072" i="41"/>
  <c r="K5072" i="41"/>
  <c r="H5072" i="41"/>
  <c r="I5072" i="41"/>
  <c r="J5056" i="41"/>
  <c r="G5056" i="41"/>
  <c r="K5056" i="41"/>
  <c r="H5056" i="41"/>
  <c r="I5056" i="41"/>
  <c r="J5040" i="41"/>
  <c r="G5040" i="41"/>
  <c r="K5040" i="41"/>
  <c r="H5040" i="41"/>
  <c r="I5040" i="41"/>
  <c r="J5024" i="41"/>
  <c r="G5024" i="41"/>
  <c r="K5024" i="41"/>
  <c r="H5024" i="41"/>
  <c r="I5024" i="41"/>
  <c r="J5008" i="41"/>
  <c r="G5008" i="41"/>
  <c r="K5008" i="41"/>
  <c r="H5008" i="41"/>
  <c r="I5008" i="41"/>
  <c r="J4992" i="41"/>
  <c r="G4992" i="41"/>
  <c r="K4992" i="41"/>
  <c r="H4992" i="41"/>
  <c r="I4992" i="41"/>
  <c r="J5153" i="41"/>
  <c r="H5153" i="41"/>
  <c r="G5153" i="41"/>
  <c r="I5153" i="41"/>
  <c r="K5153" i="41"/>
  <c r="J5137" i="41"/>
  <c r="H5137" i="41"/>
  <c r="G5137" i="41"/>
  <c r="I5137" i="41"/>
  <c r="K5137" i="41"/>
  <c r="J5121" i="41"/>
  <c r="H5121" i="41"/>
  <c r="G5121" i="41"/>
  <c r="I5121" i="41"/>
  <c r="K5121" i="41"/>
  <c r="J5105" i="41"/>
  <c r="G5105" i="41"/>
  <c r="K5105" i="41"/>
  <c r="H5105" i="41"/>
  <c r="I5105" i="41"/>
  <c r="J5089" i="41"/>
  <c r="G5089" i="41"/>
  <c r="K5089" i="41"/>
  <c r="H5089" i="41"/>
  <c r="I5089" i="41"/>
  <c r="J5073" i="41"/>
  <c r="G5073" i="41"/>
  <c r="K5073" i="41"/>
  <c r="H5073" i="41"/>
  <c r="I5073" i="41"/>
  <c r="J5057" i="41"/>
  <c r="G5057" i="41"/>
  <c r="K5057" i="41"/>
  <c r="H5057" i="41"/>
  <c r="I5057" i="41"/>
  <c r="J5041" i="41"/>
  <c r="G5041" i="41"/>
  <c r="K5041" i="41"/>
  <c r="H5041" i="41"/>
  <c r="I5041" i="41"/>
  <c r="J5025" i="41"/>
  <c r="G5025" i="41"/>
  <c r="K5025" i="41"/>
  <c r="H5025" i="41"/>
  <c r="I5025" i="41"/>
  <c r="J5009" i="41"/>
  <c r="G5009" i="41"/>
  <c r="K5009" i="41"/>
  <c r="H5009" i="41"/>
  <c r="I5009" i="41"/>
  <c r="J4993" i="41"/>
  <c r="G4993" i="41"/>
  <c r="K4993" i="41"/>
  <c r="H4993" i="41"/>
  <c r="I4993" i="41"/>
  <c r="I4983" i="41"/>
  <c r="G4983" i="41"/>
  <c r="K4983" i="41"/>
  <c r="J4983" i="41"/>
  <c r="H4983" i="41"/>
  <c r="I5974" i="41"/>
  <c r="J5974" i="41"/>
  <c r="G5974" i="41"/>
  <c r="K5974" i="41"/>
  <c r="H5974" i="41"/>
  <c r="I6024" i="41"/>
  <c r="G6024" i="41"/>
  <c r="K6024" i="41"/>
  <c r="H6024" i="41"/>
  <c r="J6024" i="41"/>
  <c r="I7557" i="41"/>
  <c r="J7557" i="41"/>
  <c r="G7557" i="41"/>
  <c r="H7557" i="41"/>
  <c r="K7557" i="41"/>
  <c r="H7259" i="41"/>
  <c r="I7259" i="41"/>
  <c r="J7259" i="41"/>
  <c r="K7259" i="41"/>
  <c r="G7259" i="41"/>
  <c r="I4950" i="41"/>
  <c r="J4950" i="41"/>
  <c r="G4950" i="41"/>
  <c r="K4950" i="41"/>
  <c r="H4950" i="41"/>
  <c r="I4929" i="41"/>
  <c r="J4929" i="41"/>
  <c r="G4929" i="41"/>
  <c r="K4929" i="41"/>
  <c r="H4929" i="41"/>
  <c r="G5261" i="41"/>
  <c r="K5261" i="41"/>
  <c r="H5261" i="41"/>
  <c r="I5261" i="41"/>
  <c r="J5261" i="41"/>
  <c r="I5840" i="41"/>
  <c r="J5840" i="41"/>
  <c r="G5840" i="41"/>
  <c r="K5840" i="41"/>
  <c r="H5840" i="41"/>
  <c r="I5904" i="41"/>
  <c r="J5904" i="41"/>
  <c r="G5904" i="41"/>
  <c r="K5904" i="41"/>
  <c r="H5904" i="41"/>
  <c r="I5797" i="41"/>
  <c r="J5797" i="41"/>
  <c r="G5797" i="41"/>
  <c r="K5797" i="41"/>
  <c r="H5797" i="41"/>
  <c r="I5861" i="41"/>
  <c r="J5861" i="41"/>
  <c r="G5861" i="41"/>
  <c r="K5861" i="41"/>
  <c r="H5861" i="41"/>
  <c r="I5957" i="41"/>
  <c r="J5957" i="41"/>
  <c r="G5957" i="41"/>
  <c r="K5957" i="41"/>
  <c r="H5957" i="41"/>
  <c r="H7141" i="41"/>
  <c r="I7141" i="41"/>
  <c r="J7141" i="41"/>
  <c r="G7141" i="41"/>
  <c r="K7141" i="41"/>
  <c r="H7269" i="41"/>
  <c r="I7269" i="41"/>
  <c r="J7269" i="41"/>
  <c r="G7269" i="41"/>
  <c r="K7269" i="41"/>
  <c r="H7461" i="41"/>
  <c r="I7461" i="41"/>
  <c r="J7461" i="41"/>
  <c r="G7461" i="41"/>
  <c r="K7461" i="41"/>
  <c r="I7566" i="41"/>
  <c r="J7566" i="41"/>
  <c r="G7566" i="41"/>
  <c r="H7566" i="41"/>
  <c r="K7566" i="41"/>
  <c r="H7204" i="41"/>
  <c r="I7204" i="41"/>
  <c r="J7204" i="41"/>
  <c r="G7204" i="41"/>
  <c r="K7204" i="41"/>
  <c r="H7396" i="41"/>
  <c r="I7396" i="41"/>
  <c r="J7396" i="41"/>
  <c r="G7396" i="41"/>
  <c r="K7396" i="41"/>
  <c r="H7167" i="41"/>
  <c r="I7167" i="41"/>
  <c r="J7167" i="41"/>
  <c r="K7167" i="41"/>
  <c r="G7167" i="41"/>
  <c r="H7359" i="41"/>
  <c r="I7359" i="41"/>
  <c r="J7359" i="41"/>
  <c r="K7359" i="41"/>
  <c r="G7359" i="41"/>
  <c r="H7150" i="41"/>
  <c r="I7150" i="41"/>
  <c r="J7150" i="41"/>
  <c r="G7150" i="41"/>
  <c r="K7150" i="41"/>
  <c r="H7534" i="41"/>
  <c r="I7534" i="41"/>
  <c r="J7534" i="41"/>
  <c r="G7534" i="41"/>
  <c r="K7534" i="41"/>
  <c r="H7418" i="41"/>
  <c r="I7418" i="41"/>
  <c r="J7418" i="41"/>
  <c r="G7418" i="41"/>
  <c r="K7418" i="41"/>
  <c r="I4947" i="41"/>
  <c r="J4947" i="41"/>
  <c r="G4947" i="41"/>
  <c r="K4947" i="41"/>
  <c r="H4947" i="41"/>
  <c r="I5918" i="41"/>
  <c r="J5918" i="41"/>
  <c r="G5918" i="41"/>
  <c r="K5918" i="41"/>
  <c r="H5918" i="41"/>
  <c r="I5979" i="41"/>
  <c r="J5979" i="41"/>
  <c r="G5979" i="41"/>
  <c r="K5979" i="41"/>
  <c r="H5979" i="41"/>
  <c r="H7425" i="41"/>
  <c r="I7425" i="41"/>
  <c r="J7425" i="41"/>
  <c r="G7425" i="41"/>
  <c r="K7425" i="41"/>
  <c r="H7408" i="41"/>
  <c r="I7408" i="41"/>
  <c r="J7408" i="41"/>
  <c r="G7408" i="41"/>
  <c r="K7408" i="41"/>
  <c r="H7531" i="41"/>
  <c r="I7531" i="41"/>
  <c r="J7531" i="41"/>
  <c r="K7531" i="41"/>
  <c r="G7531" i="41"/>
  <c r="I4912" i="41"/>
  <c r="J4912" i="41"/>
  <c r="G4912" i="41"/>
  <c r="K4912" i="41"/>
  <c r="H4912" i="41"/>
  <c r="I4869" i="41"/>
  <c r="J4869" i="41"/>
  <c r="G4869" i="41"/>
  <c r="K4869" i="41"/>
  <c r="H4869" i="41"/>
  <c r="I4891" i="41"/>
  <c r="J4891" i="41"/>
  <c r="G4891" i="41"/>
  <c r="K4891" i="41"/>
  <c r="H4891" i="41"/>
  <c r="I5842" i="41"/>
  <c r="J5842" i="41"/>
  <c r="G5842" i="41"/>
  <c r="K5842" i="41"/>
  <c r="H5842" i="41"/>
  <c r="I5938" i="41"/>
  <c r="J5938" i="41"/>
  <c r="G5938" i="41"/>
  <c r="K5938" i="41"/>
  <c r="H5938" i="41"/>
  <c r="I5799" i="41"/>
  <c r="J5799" i="41"/>
  <c r="G5799" i="41"/>
  <c r="K5799" i="41"/>
  <c r="H5799" i="41"/>
  <c r="I5895" i="41"/>
  <c r="J5895" i="41"/>
  <c r="G5895" i="41"/>
  <c r="K5895" i="41"/>
  <c r="H5895" i="41"/>
  <c r="I5959" i="41"/>
  <c r="J5959" i="41"/>
  <c r="G5959" i="41"/>
  <c r="K5959" i="41"/>
  <c r="H5959" i="41"/>
  <c r="I6038" i="41"/>
  <c r="G6038" i="41"/>
  <c r="K6038" i="41"/>
  <c r="H6038" i="41"/>
  <c r="J6038" i="41"/>
  <c r="H7145" i="41"/>
  <c r="I7145" i="41"/>
  <c r="J7145" i="41"/>
  <c r="G7145" i="41"/>
  <c r="K7145" i="41"/>
  <c r="H7337" i="41"/>
  <c r="I7337" i="41"/>
  <c r="J7337" i="41"/>
  <c r="G7337" i="41"/>
  <c r="K7337" i="41"/>
  <c r="I7551" i="41"/>
  <c r="J7551" i="41"/>
  <c r="G7551" i="41"/>
  <c r="H7551" i="41"/>
  <c r="K7551" i="41"/>
  <c r="H7144" i="41"/>
  <c r="I7144" i="41"/>
  <c r="J7144" i="41"/>
  <c r="G7144" i="41"/>
  <c r="K7144" i="41"/>
  <c r="H7336" i="41"/>
  <c r="I7336" i="41"/>
  <c r="J7336" i="41"/>
  <c r="G7336" i="41"/>
  <c r="K7336" i="41"/>
  <c r="H7528" i="41"/>
  <c r="I7528" i="41"/>
  <c r="J7528" i="41"/>
  <c r="G7528" i="41"/>
  <c r="K7528" i="41"/>
  <c r="H7299" i="41"/>
  <c r="I7299" i="41"/>
  <c r="J7299" i="41"/>
  <c r="K7299" i="41"/>
  <c r="G7299" i="41"/>
  <c r="H7491" i="41"/>
  <c r="I7491" i="41"/>
  <c r="J7491" i="41"/>
  <c r="K7491" i="41"/>
  <c r="G7491" i="41"/>
  <c r="H7254" i="41"/>
  <c r="I7254" i="41"/>
  <c r="J7254" i="41"/>
  <c r="G7254" i="41"/>
  <c r="K7254" i="41"/>
  <c r="H7234" i="41"/>
  <c r="I7234" i="41"/>
  <c r="J7234" i="41"/>
  <c r="G7234" i="41"/>
  <c r="K7234" i="41"/>
  <c r="I4884" i="41"/>
  <c r="J4884" i="41"/>
  <c r="G4884" i="41"/>
  <c r="K4884" i="41"/>
  <c r="H4884" i="41"/>
  <c r="I5798" i="41"/>
  <c r="J5798" i="41"/>
  <c r="G5798" i="41"/>
  <c r="K5798" i="41"/>
  <c r="H5798" i="41"/>
  <c r="I5827" i="41"/>
  <c r="J5827" i="41"/>
  <c r="G5827" i="41"/>
  <c r="K5827" i="41"/>
  <c r="H5827" i="41"/>
  <c r="H7137" i="41"/>
  <c r="I7137" i="41"/>
  <c r="J7137" i="41"/>
  <c r="G7137" i="41"/>
  <c r="K7137" i="41"/>
  <c r="I7573" i="41"/>
  <c r="J7573" i="41"/>
  <c r="G7573" i="41"/>
  <c r="H7573" i="41"/>
  <c r="K7573" i="41"/>
  <c r="H7211" i="41"/>
  <c r="I7211" i="41"/>
  <c r="J7211" i="41"/>
  <c r="K7211" i="41"/>
  <c r="G7211" i="41"/>
  <c r="H7526" i="41"/>
  <c r="I7526" i="41"/>
  <c r="J7526" i="41"/>
  <c r="G7526" i="41"/>
  <c r="K7526" i="41"/>
  <c r="I4874" i="41"/>
  <c r="J4874" i="41"/>
  <c r="G4874" i="41"/>
  <c r="K4874" i="41"/>
  <c r="H4874" i="41"/>
  <c r="I4966" i="41"/>
  <c r="G4966" i="41"/>
  <c r="K4966" i="41"/>
  <c r="J4966" i="41"/>
  <c r="H4966" i="41"/>
  <c r="I4879" i="41"/>
  <c r="J4879" i="41"/>
  <c r="G4879" i="41"/>
  <c r="K4879" i="41"/>
  <c r="H4879" i="41"/>
  <c r="I5804" i="41"/>
  <c r="J5804" i="41"/>
  <c r="G5804" i="41"/>
  <c r="K5804" i="41"/>
  <c r="H5804" i="41"/>
  <c r="I5932" i="41"/>
  <c r="J5932" i="41"/>
  <c r="G5932" i="41"/>
  <c r="K5932" i="41"/>
  <c r="H5932" i="41"/>
  <c r="I5793" i="41"/>
  <c r="J5793" i="41"/>
  <c r="G5793" i="41"/>
  <c r="K5793" i="41"/>
  <c r="H5793" i="41"/>
  <c r="I5889" i="41"/>
  <c r="J5889" i="41"/>
  <c r="G5889" i="41"/>
  <c r="K5889" i="41"/>
  <c r="H5889" i="41"/>
  <c r="I5953" i="41"/>
  <c r="J5953" i="41"/>
  <c r="G5953" i="41"/>
  <c r="K5953" i="41"/>
  <c r="H5953" i="41"/>
  <c r="I6035" i="41"/>
  <c r="G6035" i="41"/>
  <c r="K6035" i="41"/>
  <c r="H6035" i="41"/>
  <c r="J6035" i="41"/>
  <c r="H7197" i="41"/>
  <c r="I7197" i="41"/>
  <c r="J7197" i="41"/>
  <c r="G7197" i="41"/>
  <c r="K7197" i="41"/>
  <c r="H7453" i="41"/>
  <c r="I7453" i="41"/>
  <c r="J7453" i="41"/>
  <c r="G7453" i="41"/>
  <c r="K7453" i="41"/>
  <c r="I7564" i="41"/>
  <c r="J7564" i="41"/>
  <c r="G7564" i="41"/>
  <c r="H7564" i="41"/>
  <c r="K7564" i="41"/>
  <c r="H7196" i="41"/>
  <c r="I7196" i="41"/>
  <c r="J7196" i="41"/>
  <c r="G7196" i="41"/>
  <c r="K7196" i="41"/>
  <c r="H7452" i="41"/>
  <c r="I7452" i="41"/>
  <c r="J7452" i="41"/>
  <c r="G7452" i="41"/>
  <c r="K7452" i="41"/>
  <c r="H7223" i="41"/>
  <c r="I7223" i="41"/>
  <c r="J7223" i="41"/>
  <c r="K7223" i="41"/>
  <c r="G7223" i="41"/>
  <c r="H7351" i="41"/>
  <c r="I7351" i="41"/>
  <c r="J7351" i="41"/>
  <c r="K7351" i="41"/>
  <c r="G7351" i="41"/>
  <c r="G7713" i="41"/>
  <c r="K7713" i="41"/>
  <c r="H7713" i="41"/>
  <c r="I7713" i="41"/>
  <c r="J7713" i="41"/>
  <c r="H7486" i="41"/>
  <c r="I7486" i="41"/>
  <c r="J7486" i="41"/>
  <c r="G7486" i="41"/>
  <c r="K7486" i="41"/>
  <c r="H7194" i="41"/>
  <c r="I7194" i="41"/>
  <c r="J7194" i="41"/>
  <c r="G7194" i="41"/>
  <c r="K7194" i="41"/>
  <c r="G7705" i="41"/>
  <c r="K7705" i="41"/>
  <c r="H7705" i="41"/>
  <c r="I7705" i="41"/>
  <c r="J7705" i="41"/>
  <c r="G7693" i="41"/>
  <c r="K7693" i="41"/>
  <c r="H7693" i="41"/>
  <c r="I7693" i="41"/>
  <c r="J7693" i="41"/>
  <c r="G7681" i="41"/>
  <c r="K7681" i="41"/>
  <c r="H7681" i="41"/>
  <c r="I7681" i="41"/>
  <c r="J7681" i="41"/>
  <c r="G7673" i="41"/>
  <c r="K7673" i="41"/>
  <c r="H7673" i="41"/>
  <c r="I7673" i="41"/>
  <c r="J7673" i="41"/>
  <c r="G7657" i="41"/>
  <c r="K7657" i="41"/>
  <c r="H7657" i="41"/>
  <c r="I7657" i="41"/>
  <c r="J7657" i="41"/>
  <c r="G7645" i="41"/>
  <c r="K7645" i="41"/>
  <c r="H7645" i="41"/>
  <c r="I7645" i="41"/>
  <c r="J7645" i="41"/>
  <c r="G7633" i="41"/>
  <c r="K7633" i="41"/>
  <c r="H7633" i="41"/>
  <c r="I7633" i="41"/>
  <c r="J7633" i="41"/>
  <c r="G7625" i="41"/>
  <c r="K7625" i="41"/>
  <c r="H7625" i="41"/>
  <c r="I7625" i="41"/>
  <c r="J7625" i="41"/>
  <c r="G7613" i="41"/>
  <c r="K7613" i="41"/>
  <c r="H7613" i="41"/>
  <c r="I7613" i="41"/>
  <c r="J7613" i="41"/>
  <c r="G7601" i="41"/>
  <c r="K7601" i="41"/>
  <c r="H7601" i="41"/>
  <c r="I7601" i="41"/>
  <c r="J7601" i="41"/>
  <c r="G7589" i="41"/>
  <c r="K7589" i="41"/>
  <c r="H7589" i="41"/>
  <c r="I7589" i="41"/>
  <c r="J7589" i="41"/>
  <c r="G7581" i="41"/>
  <c r="K7581" i="41"/>
  <c r="H7581" i="41"/>
  <c r="I7581" i="41"/>
  <c r="J7581" i="41"/>
  <c r="J6989" i="41"/>
  <c r="G6989" i="41"/>
  <c r="K6989" i="41"/>
  <c r="H6989" i="41"/>
  <c r="I6989" i="41"/>
  <c r="J6893" i="41"/>
  <c r="G6893" i="41"/>
  <c r="K6893" i="41"/>
  <c r="H6893" i="41"/>
  <c r="I6893" i="41"/>
  <c r="J6765" i="41"/>
  <c r="G6765" i="41"/>
  <c r="K6765" i="41"/>
  <c r="H6765" i="41"/>
  <c r="I6765" i="41"/>
  <c r="J6669" i="41"/>
  <c r="G6669" i="41"/>
  <c r="K6669" i="41"/>
  <c r="H6669" i="41"/>
  <c r="I6669" i="41"/>
  <c r="J7033" i="41"/>
  <c r="G7033" i="41"/>
  <c r="K7033" i="41"/>
  <c r="H7033" i="41"/>
  <c r="I7033" i="41"/>
  <c r="J6969" i="41"/>
  <c r="G6969" i="41"/>
  <c r="K6969" i="41"/>
  <c r="H6969" i="41"/>
  <c r="I6969" i="41"/>
  <c r="J6873" i="41"/>
  <c r="G6873" i="41"/>
  <c r="K6873" i="41"/>
  <c r="H6873" i="41"/>
  <c r="I6873" i="41"/>
  <c r="J6745" i="41"/>
  <c r="G6745" i="41"/>
  <c r="K6745" i="41"/>
  <c r="H6745" i="41"/>
  <c r="I6745" i="41"/>
  <c r="J6649" i="41"/>
  <c r="G6649" i="41"/>
  <c r="K6649" i="41"/>
  <c r="H6649" i="41"/>
  <c r="I6649" i="41"/>
  <c r="J7110" i="41"/>
  <c r="G7110" i="41"/>
  <c r="K7110" i="41"/>
  <c r="I7110" i="41"/>
  <c r="H7110" i="41"/>
  <c r="J7102" i="41"/>
  <c r="G7102" i="41"/>
  <c r="K7102" i="41"/>
  <c r="I7102" i="41"/>
  <c r="H7102" i="41"/>
  <c r="J7090" i="41"/>
  <c r="G7090" i="41"/>
  <c r="K7090" i="41"/>
  <c r="I7090" i="41"/>
  <c r="H7090" i="41"/>
  <c r="J7078" i="41"/>
  <c r="G7078" i="41"/>
  <c r="K7078" i="41"/>
  <c r="I7078" i="41"/>
  <c r="H7078" i="41"/>
  <c r="J7042" i="41"/>
  <c r="G7042" i="41"/>
  <c r="K7042" i="41"/>
  <c r="H7042" i="41"/>
  <c r="I7042" i="41"/>
  <c r="J7010" i="41"/>
  <c r="G7010" i="41"/>
  <c r="K7010" i="41"/>
  <c r="H7010" i="41"/>
  <c r="I7010" i="41"/>
  <c r="J6962" i="41"/>
  <c r="G6962" i="41"/>
  <c r="K6962" i="41"/>
  <c r="H6962" i="41"/>
  <c r="I6962" i="41"/>
  <c r="J6898" i="41"/>
  <c r="G6898" i="41"/>
  <c r="K6898" i="41"/>
  <c r="H6898" i="41"/>
  <c r="I6898" i="41"/>
  <c r="J6850" i="41"/>
  <c r="G6850" i="41"/>
  <c r="K6850" i="41"/>
  <c r="H6850" i="41"/>
  <c r="I6850" i="41"/>
  <c r="J6802" i="41"/>
  <c r="G6802" i="41"/>
  <c r="K6802" i="41"/>
  <c r="H6802" i="41"/>
  <c r="I6802" i="41"/>
  <c r="J6754" i="41"/>
  <c r="G6754" i="41"/>
  <c r="K6754" i="41"/>
  <c r="H6754" i="41"/>
  <c r="I6754" i="41"/>
  <c r="J6706" i="41"/>
  <c r="G6706" i="41"/>
  <c r="K6706" i="41"/>
  <c r="H6706" i="41"/>
  <c r="I6706" i="41"/>
  <c r="J6658" i="41"/>
  <c r="G6658" i="41"/>
  <c r="K6658" i="41"/>
  <c r="H6658" i="41"/>
  <c r="I6658" i="41"/>
  <c r="G6622" i="41"/>
  <c r="K6622" i="41"/>
  <c r="H6622" i="41"/>
  <c r="I6622" i="41"/>
  <c r="J6622" i="41"/>
  <c r="J6400" i="41"/>
  <c r="G6400" i="41"/>
  <c r="K6400" i="41"/>
  <c r="H6400" i="41"/>
  <c r="I6400" i="41"/>
  <c r="J6304" i="41"/>
  <c r="G6304" i="41"/>
  <c r="K6304" i="41"/>
  <c r="H6304" i="41"/>
  <c r="I6304" i="41"/>
  <c r="J6208" i="41"/>
  <c r="G6208" i="41"/>
  <c r="K6208" i="41"/>
  <c r="H6208" i="41"/>
  <c r="I6208" i="41"/>
  <c r="J6112" i="41"/>
  <c r="G6112" i="41"/>
  <c r="K6112" i="41"/>
  <c r="H6112" i="41"/>
  <c r="I6112" i="41"/>
  <c r="J7047" i="41"/>
  <c r="G7047" i="41"/>
  <c r="K7047" i="41"/>
  <c r="H7047" i="41"/>
  <c r="I7047" i="41"/>
  <c r="J6999" i="41"/>
  <c r="G6999" i="41"/>
  <c r="K6999" i="41"/>
  <c r="H6999" i="41"/>
  <c r="I6999" i="41"/>
  <c r="J6951" i="41"/>
  <c r="G6951" i="41"/>
  <c r="K6951" i="41"/>
  <c r="H6951" i="41"/>
  <c r="I6951" i="41"/>
  <c r="J6903" i="41"/>
  <c r="G6903" i="41"/>
  <c r="K6903" i="41"/>
  <c r="H6903" i="41"/>
  <c r="I6903" i="41"/>
  <c r="J6855" i="41"/>
  <c r="G6855" i="41"/>
  <c r="K6855" i="41"/>
  <c r="H6855" i="41"/>
  <c r="I6855" i="41"/>
  <c r="J6807" i="41"/>
  <c r="G6807" i="41"/>
  <c r="K6807" i="41"/>
  <c r="H6807" i="41"/>
  <c r="I6807" i="41"/>
  <c r="J6743" i="41"/>
  <c r="G6743" i="41"/>
  <c r="K6743" i="41"/>
  <c r="H6743" i="41"/>
  <c r="I6743" i="41"/>
  <c r="J6711" i="41"/>
  <c r="G6711" i="41"/>
  <c r="K6711" i="41"/>
  <c r="H6711" i="41"/>
  <c r="I6711" i="41"/>
  <c r="J6679" i="41"/>
  <c r="G6679" i="41"/>
  <c r="K6679" i="41"/>
  <c r="H6679" i="41"/>
  <c r="I6679" i="41"/>
  <c r="J6631" i="41"/>
  <c r="G6631" i="41"/>
  <c r="K6631" i="41"/>
  <c r="H6631" i="41"/>
  <c r="I6631" i="41"/>
  <c r="J7036" i="41"/>
  <c r="G7036" i="41"/>
  <c r="K7036" i="41"/>
  <c r="H7036" i="41"/>
  <c r="I7036" i="41"/>
  <c r="J6988" i="41"/>
  <c r="G6988" i="41"/>
  <c r="K6988" i="41"/>
  <c r="H6988" i="41"/>
  <c r="I6988" i="41"/>
  <c r="J6940" i="41"/>
  <c r="G6940" i="41"/>
  <c r="K6940" i="41"/>
  <c r="H6940" i="41"/>
  <c r="I6940" i="41"/>
  <c r="J6892" i="41"/>
  <c r="G6892" i="41"/>
  <c r="K6892" i="41"/>
  <c r="H6892" i="41"/>
  <c r="I6892" i="41"/>
  <c r="J6844" i="41"/>
  <c r="G6844" i="41"/>
  <c r="K6844" i="41"/>
  <c r="H6844" i="41"/>
  <c r="I6844" i="41"/>
  <c r="J6796" i="41"/>
  <c r="G6796" i="41"/>
  <c r="K6796" i="41"/>
  <c r="H6796" i="41"/>
  <c r="I6796" i="41"/>
  <c r="J6748" i="41"/>
  <c r="G6748" i="41"/>
  <c r="K6748" i="41"/>
  <c r="H6748" i="41"/>
  <c r="I6748" i="41"/>
  <c r="J6684" i="41"/>
  <c r="G6684" i="41"/>
  <c r="K6684" i="41"/>
  <c r="H6684" i="41"/>
  <c r="I6684" i="41"/>
  <c r="J6636" i="41"/>
  <c r="G6636" i="41"/>
  <c r="K6636" i="41"/>
  <c r="H6636" i="41"/>
  <c r="I6636" i="41"/>
  <c r="J6428" i="41"/>
  <c r="G6428" i="41"/>
  <c r="K6428" i="41"/>
  <c r="H6428" i="41"/>
  <c r="I6428" i="41"/>
  <c r="J6364" i="41"/>
  <c r="G6364" i="41"/>
  <c r="K6364" i="41"/>
  <c r="H6364" i="41"/>
  <c r="I6364" i="41"/>
  <c r="J6268" i="41"/>
  <c r="G6268" i="41"/>
  <c r="K6268" i="41"/>
  <c r="H6268" i="41"/>
  <c r="I6268" i="41"/>
  <c r="J6172" i="41"/>
  <c r="G6172" i="41"/>
  <c r="K6172" i="41"/>
  <c r="H6172" i="41"/>
  <c r="I6172" i="41"/>
  <c r="J6076" i="41"/>
  <c r="G6076" i="41"/>
  <c r="K6076" i="41"/>
  <c r="H6076" i="41"/>
  <c r="I6076" i="41"/>
  <c r="J6453" i="41"/>
  <c r="G6453" i="41"/>
  <c r="K6453" i="41"/>
  <c r="H6453" i="41"/>
  <c r="I6453" i="41"/>
  <c r="J6405" i="41"/>
  <c r="G6405" i="41"/>
  <c r="K6405" i="41"/>
  <c r="H6405" i="41"/>
  <c r="I6405" i="41"/>
  <c r="J6357" i="41"/>
  <c r="G6357" i="41"/>
  <c r="K6357" i="41"/>
  <c r="H6357" i="41"/>
  <c r="I6357" i="41"/>
  <c r="J6309" i="41"/>
  <c r="G6309" i="41"/>
  <c r="K6309" i="41"/>
  <c r="H6309" i="41"/>
  <c r="I6309" i="41"/>
  <c r="J6261" i="41"/>
  <c r="G6261" i="41"/>
  <c r="K6261" i="41"/>
  <c r="H6261" i="41"/>
  <c r="I6261" i="41"/>
  <c r="J6213" i="41"/>
  <c r="G6213" i="41"/>
  <c r="K6213" i="41"/>
  <c r="H6213" i="41"/>
  <c r="I6213" i="41"/>
  <c r="J6165" i="41"/>
  <c r="G6165" i="41"/>
  <c r="K6165" i="41"/>
  <c r="H6165" i="41"/>
  <c r="I6165" i="41"/>
  <c r="J6133" i="41"/>
  <c r="G6133" i="41"/>
  <c r="K6133" i="41"/>
  <c r="H6133" i="41"/>
  <c r="I6133" i="41"/>
  <c r="J6085" i="41"/>
  <c r="G6085" i="41"/>
  <c r="K6085" i="41"/>
  <c r="H6085" i="41"/>
  <c r="I6085" i="41"/>
  <c r="G6617" i="41"/>
  <c r="K6617" i="41"/>
  <c r="I6617" i="41"/>
  <c r="J6617" i="41"/>
  <c r="H6617" i="41"/>
  <c r="J6605" i="41"/>
  <c r="G6605" i="41"/>
  <c r="K6605" i="41"/>
  <c r="H6605" i="41"/>
  <c r="I6605" i="41"/>
  <c r="J6593" i="41"/>
  <c r="G6593" i="41"/>
  <c r="K6593" i="41"/>
  <c r="H6593" i="41"/>
  <c r="I6593" i="41"/>
  <c r="J6581" i="41"/>
  <c r="G6581" i="41"/>
  <c r="K6581" i="41"/>
  <c r="H6581" i="41"/>
  <c r="I6581" i="41"/>
  <c r="J6569" i="41"/>
  <c r="G6569" i="41"/>
  <c r="K6569" i="41"/>
  <c r="H6569" i="41"/>
  <c r="I6569" i="41"/>
  <c r="J6557" i="41"/>
  <c r="G6557" i="41"/>
  <c r="K6557" i="41"/>
  <c r="H6557" i="41"/>
  <c r="I6557" i="41"/>
  <c r="J6545" i="41"/>
  <c r="G6545" i="41"/>
  <c r="K6545" i="41"/>
  <c r="H6545" i="41"/>
  <c r="I6545" i="41"/>
  <c r="J6533" i="41"/>
  <c r="G6533" i="41"/>
  <c r="K6533" i="41"/>
  <c r="H6533" i="41"/>
  <c r="I6533" i="41"/>
  <c r="J6521" i="41"/>
  <c r="G6521" i="41"/>
  <c r="K6521" i="41"/>
  <c r="H6521" i="41"/>
  <c r="I6521" i="41"/>
  <c r="J6509" i="41"/>
  <c r="G6509" i="41"/>
  <c r="K6509" i="41"/>
  <c r="H6509" i="41"/>
  <c r="I6509" i="41"/>
  <c r="J6497" i="41"/>
  <c r="G6497" i="41"/>
  <c r="K6497" i="41"/>
  <c r="H6497" i="41"/>
  <c r="I6497" i="41"/>
  <c r="J6474" i="41"/>
  <c r="G6474" i="41"/>
  <c r="K6474" i="41"/>
  <c r="H6474" i="41"/>
  <c r="I6474" i="41"/>
  <c r="J6426" i="41"/>
  <c r="G6426" i="41"/>
  <c r="K6426" i="41"/>
  <c r="H6426" i="41"/>
  <c r="I6426" i="41"/>
  <c r="J6378" i="41"/>
  <c r="G6378" i="41"/>
  <c r="K6378" i="41"/>
  <c r="H6378" i="41"/>
  <c r="I6378" i="41"/>
  <c r="J6346" i="41"/>
  <c r="G6346" i="41"/>
  <c r="K6346" i="41"/>
  <c r="H6346" i="41"/>
  <c r="I6346" i="41"/>
  <c r="J6298" i="41"/>
  <c r="G6298" i="41"/>
  <c r="K6298" i="41"/>
  <c r="H6298" i="41"/>
  <c r="I6298" i="41"/>
  <c r="J6250" i="41"/>
  <c r="G6250" i="41"/>
  <c r="K6250" i="41"/>
  <c r="H6250" i="41"/>
  <c r="I6250" i="41"/>
  <c r="J6186" i="41"/>
  <c r="G6186" i="41"/>
  <c r="K6186" i="41"/>
  <c r="H6186" i="41"/>
  <c r="I6186" i="41"/>
  <c r="J6138" i="41"/>
  <c r="G6138" i="41"/>
  <c r="K6138" i="41"/>
  <c r="H6138" i="41"/>
  <c r="I6138" i="41"/>
  <c r="J6090" i="41"/>
  <c r="G6090" i="41"/>
  <c r="K6090" i="41"/>
  <c r="H6090" i="41"/>
  <c r="I6090" i="41"/>
  <c r="J6471" i="41"/>
  <c r="G6471" i="41"/>
  <c r="K6471" i="41"/>
  <c r="H6471" i="41"/>
  <c r="I6471" i="41"/>
  <c r="J6439" i="41"/>
  <c r="G6439" i="41"/>
  <c r="K6439" i="41"/>
  <c r="H6439" i="41"/>
  <c r="I6439" i="41"/>
  <c r="J6391" i="41"/>
  <c r="G6391" i="41"/>
  <c r="K6391" i="41"/>
  <c r="H6391" i="41"/>
  <c r="I6391" i="41"/>
  <c r="J6359" i="41"/>
  <c r="G6359" i="41"/>
  <c r="K6359" i="41"/>
  <c r="H6359" i="41"/>
  <c r="I6359" i="41"/>
  <c r="J6311" i="41"/>
  <c r="G6311" i="41"/>
  <c r="K6311" i="41"/>
  <c r="H6311" i="41"/>
  <c r="I6311" i="41"/>
  <c r="J6263" i="41"/>
  <c r="G6263" i="41"/>
  <c r="K6263" i="41"/>
  <c r="H6263" i="41"/>
  <c r="I6263" i="41"/>
  <c r="J6215" i="41"/>
  <c r="G6215" i="41"/>
  <c r="K6215" i="41"/>
  <c r="H6215" i="41"/>
  <c r="I6215" i="41"/>
  <c r="J6151" i="41"/>
  <c r="G6151" i="41"/>
  <c r="K6151" i="41"/>
  <c r="H6151" i="41"/>
  <c r="I6151" i="41"/>
  <c r="J6103" i="41"/>
  <c r="G6103" i="41"/>
  <c r="K6103" i="41"/>
  <c r="H6103" i="41"/>
  <c r="I6103" i="41"/>
  <c r="J5759" i="41"/>
  <c r="G5759" i="41"/>
  <c r="K5759" i="41"/>
  <c r="H5759" i="41"/>
  <c r="I5759" i="41"/>
  <c r="J5663" i="41"/>
  <c r="G5663" i="41"/>
  <c r="K5663" i="41"/>
  <c r="H5663" i="41"/>
  <c r="I5663" i="41"/>
  <c r="J5599" i="41"/>
  <c r="G5599" i="41"/>
  <c r="K5599" i="41"/>
  <c r="H5599" i="41"/>
  <c r="I5599" i="41"/>
  <c r="J5731" i="41"/>
  <c r="G5731" i="41"/>
  <c r="K5731" i="41"/>
  <c r="H5731" i="41"/>
  <c r="I5731" i="41"/>
  <c r="J5635" i="41"/>
  <c r="G5635" i="41"/>
  <c r="K5635" i="41"/>
  <c r="H5635" i="41"/>
  <c r="I5635" i="41"/>
  <c r="J5544" i="41"/>
  <c r="G5544" i="41"/>
  <c r="H5544" i="41"/>
  <c r="I5544" i="41"/>
  <c r="K5544" i="41"/>
  <c r="J5720" i="41"/>
  <c r="G5720" i="41"/>
  <c r="K5720" i="41"/>
  <c r="H5720" i="41"/>
  <c r="I5720" i="41"/>
  <c r="J5688" i="41"/>
  <c r="G5688" i="41"/>
  <c r="K5688" i="41"/>
  <c r="H5688" i="41"/>
  <c r="I5688" i="41"/>
  <c r="J5640" i="41"/>
  <c r="G5640" i="41"/>
  <c r="K5640" i="41"/>
  <c r="H5640" i="41"/>
  <c r="I5640" i="41"/>
  <c r="J5592" i="41"/>
  <c r="G5592" i="41"/>
  <c r="K5592" i="41"/>
  <c r="H5592" i="41"/>
  <c r="I5592" i="41"/>
  <c r="J5542" i="41"/>
  <c r="G5542" i="41"/>
  <c r="H5542" i="41"/>
  <c r="I5542" i="41"/>
  <c r="K5542" i="41"/>
  <c r="J5782" i="41"/>
  <c r="G5782" i="41"/>
  <c r="K5782" i="41"/>
  <c r="H5782" i="41"/>
  <c r="I5782" i="41"/>
  <c r="J5770" i="41"/>
  <c r="G5770" i="41"/>
  <c r="K5770" i="41"/>
  <c r="H5770" i="41"/>
  <c r="I5770" i="41"/>
  <c r="J5749" i="41"/>
  <c r="G5749" i="41"/>
  <c r="K5749" i="41"/>
  <c r="H5749" i="41"/>
  <c r="I5749" i="41"/>
  <c r="J5701" i="41"/>
  <c r="G5701" i="41"/>
  <c r="K5701" i="41"/>
  <c r="H5701" i="41"/>
  <c r="I5701" i="41"/>
  <c r="J5653" i="41"/>
  <c r="G5653" i="41"/>
  <c r="K5653" i="41"/>
  <c r="H5653" i="41"/>
  <c r="I5653" i="41"/>
  <c r="J5605" i="41"/>
  <c r="G5605" i="41"/>
  <c r="K5605" i="41"/>
  <c r="H5605" i="41"/>
  <c r="I5605" i="41"/>
  <c r="J5557" i="41"/>
  <c r="G5557" i="41"/>
  <c r="K5557" i="41"/>
  <c r="H5557" i="41"/>
  <c r="I5557" i="41"/>
  <c r="J5746" i="41"/>
  <c r="G5746" i="41"/>
  <c r="K5746" i="41"/>
  <c r="H5746" i="41"/>
  <c r="I5746" i="41"/>
  <c r="J5682" i="41"/>
  <c r="G5682" i="41"/>
  <c r="K5682" i="41"/>
  <c r="H5682" i="41"/>
  <c r="I5682" i="41"/>
  <c r="J5634" i="41"/>
  <c r="G5634" i="41"/>
  <c r="K5634" i="41"/>
  <c r="H5634" i="41"/>
  <c r="I5634" i="41"/>
  <c r="J5602" i="41"/>
  <c r="G5602" i="41"/>
  <c r="K5602" i="41"/>
  <c r="H5602" i="41"/>
  <c r="I5602" i="41"/>
  <c r="J5554" i="41"/>
  <c r="G5554" i="41"/>
  <c r="K5554" i="41"/>
  <c r="H5554" i="41"/>
  <c r="I5554" i="41"/>
  <c r="J5539" i="41"/>
  <c r="I5539" i="41"/>
  <c r="K5539" i="41"/>
  <c r="G5539" i="41"/>
  <c r="H5539" i="41"/>
  <c r="J5523" i="41"/>
  <c r="I5523" i="41"/>
  <c r="K5523" i="41"/>
  <c r="G5523" i="41"/>
  <c r="H5523" i="41"/>
  <c r="J5102" i="41"/>
  <c r="G5102" i="41"/>
  <c r="K5102" i="41"/>
  <c r="H5102" i="41"/>
  <c r="I5102" i="41"/>
  <c r="J5006" i="41"/>
  <c r="G5006" i="41"/>
  <c r="K5006" i="41"/>
  <c r="H5006" i="41"/>
  <c r="I5006" i="41"/>
  <c r="H5491" i="41"/>
  <c r="I5491" i="41"/>
  <c r="J5491" i="41"/>
  <c r="G5491" i="41"/>
  <c r="K5491" i="41"/>
  <c r="H5479" i="41"/>
  <c r="I5479" i="41"/>
  <c r="J5479" i="41"/>
  <c r="G5479" i="41"/>
  <c r="K5479" i="41"/>
  <c r="H5467" i="41"/>
  <c r="I5467" i="41"/>
  <c r="J5467" i="41"/>
  <c r="G5467" i="41"/>
  <c r="K5467" i="41"/>
  <c r="H5455" i="41"/>
  <c r="I5455" i="41"/>
  <c r="J5455" i="41"/>
  <c r="G5455" i="41"/>
  <c r="K5455" i="41"/>
  <c r="H5443" i="41"/>
  <c r="I5443" i="41"/>
  <c r="J5443" i="41"/>
  <c r="G5443" i="41"/>
  <c r="K5443" i="41"/>
  <c r="H5431" i="41"/>
  <c r="I5431" i="41"/>
  <c r="J5431" i="41"/>
  <c r="G5431" i="41"/>
  <c r="K5431" i="41"/>
  <c r="H5419" i="41"/>
  <c r="I5419" i="41"/>
  <c r="J5419" i="41"/>
  <c r="G5419" i="41"/>
  <c r="K5419" i="41"/>
  <c r="H5407" i="41"/>
  <c r="I5407" i="41"/>
  <c r="J5407" i="41"/>
  <c r="G5407" i="41"/>
  <c r="K5407" i="41"/>
  <c r="H5395" i="41"/>
  <c r="I5395" i="41"/>
  <c r="J5395" i="41"/>
  <c r="G5395" i="41"/>
  <c r="K5395" i="41"/>
  <c r="H5383" i="41"/>
  <c r="I5383" i="41"/>
  <c r="J5383" i="41"/>
  <c r="G5383" i="41"/>
  <c r="K5383" i="41"/>
  <c r="H5371" i="41"/>
  <c r="I5371" i="41"/>
  <c r="J5371" i="41"/>
  <c r="G5371" i="41"/>
  <c r="K5371" i="41"/>
  <c r="H5359" i="41"/>
  <c r="I5359" i="41"/>
  <c r="J5359" i="41"/>
  <c r="G5359" i="41"/>
  <c r="K5359" i="41"/>
  <c r="H5347" i="41"/>
  <c r="I5347" i="41"/>
  <c r="J5347" i="41"/>
  <c r="G5347" i="41"/>
  <c r="K5347" i="41"/>
  <c r="H5335" i="41"/>
  <c r="I5335" i="41"/>
  <c r="J5335" i="41"/>
  <c r="G5335" i="41"/>
  <c r="K5335" i="41"/>
  <c r="H5323" i="41"/>
  <c r="I5323" i="41"/>
  <c r="J5323" i="41"/>
  <c r="G5323" i="41"/>
  <c r="K5323" i="41"/>
  <c r="H5311" i="41"/>
  <c r="I5311" i="41"/>
  <c r="J5311" i="41"/>
  <c r="G5311" i="41"/>
  <c r="K5311" i="41"/>
  <c r="H5299" i="41"/>
  <c r="I5299" i="41"/>
  <c r="J5299" i="41"/>
  <c r="G5299" i="41"/>
  <c r="K5299" i="41"/>
  <c r="H5291" i="41"/>
  <c r="I5291" i="41"/>
  <c r="J5291" i="41"/>
  <c r="G5291" i="41"/>
  <c r="K5291" i="41"/>
  <c r="H5279" i="41"/>
  <c r="I5279" i="41"/>
  <c r="J5279" i="41"/>
  <c r="G5279" i="41"/>
  <c r="K5279" i="41"/>
  <c r="H5267" i="41"/>
  <c r="I5267" i="41"/>
  <c r="J5267" i="41"/>
  <c r="G5267" i="41"/>
  <c r="K5267" i="41"/>
  <c r="J5128" i="41"/>
  <c r="H5128" i="41"/>
  <c r="G5128" i="41"/>
  <c r="I5128" i="41"/>
  <c r="K5128" i="41"/>
  <c r="J5058" i="41"/>
  <c r="G5058" i="41"/>
  <c r="K5058" i="41"/>
  <c r="H5058" i="41"/>
  <c r="I5058" i="41"/>
  <c r="G5251" i="41"/>
  <c r="K5251" i="41"/>
  <c r="H5251" i="41"/>
  <c r="I5251" i="41"/>
  <c r="J5251" i="41"/>
  <c r="G5239" i="41"/>
  <c r="K5239" i="41"/>
  <c r="H5239" i="41"/>
  <c r="I5239" i="41"/>
  <c r="J5239" i="41"/>
  <c r="G5227" i="41"/>
  <c r="K5227" i="41"/>
  <c r="H5227" i="41"/>
  <c r="I5227" i="41"/>
  <c r="J5227" i="41"/>
  <c r="G5215" i="41"/>
  <c r="K5215" i="41"/>
  <c r="H5215" i="41"/>
  <c r="I5215" i="41"/>
  <c r="J5215" i="41"/>
  <c r="G5207" i="41"/>
  <c r="K5207" i="41"/>
  <c r="H5207" i="41"/>
  <c r="I5207" i="41"/>
  <c r="J5207" i="41"/>
  <c r="G5195" i="41"/>
  <c r="K5195" i="41"/>
  <c r="H5195" i="41"/>
  <c r="I5195" i="41"/>
  <c r="J5195" i="41"/>
  <c r="G5183" i="41"/>
  <c r="K5183" i="41"/>
  <c r="H5183" i="41"/>
  <c r="I5183" i="41"/>
  <c r="J5183" i="41"/>
  <c r="J5162" i="41"/>
  <c r="H5162" i="41"/>
  <c r="I5162" i="41"/>
  <c r="K5162" i="41"/>
  <c r="G5162" i="41"/>
  <c r="J5115" i="41"/>
  <c r="H5115" i="41"/>
  <c r="I5115" i="41"/>
  <c r="K5115" i="41"/>
  <c r="G5115" i="41"/>
  <c r="J5067" i="41"/>
  <c r="G5067" i="41"/>
  <c r="K5067" i="41"/>
  <c r="H5067" i="41"/>
  <c r="I5067" i="41"/>
  <c r="J5019" i="41"/>
  <c r="G5019" i="41"/>
  <c r="K5019" i="41"/>
  <c r="H5019" i="41"/>
  <c r="I5019" i="41"/>
  <c r="J5146" i="41"/>
  <c r="H5146" i="41"/>
  <c r="K5146" i="41"/>
  <c r="G5146" i="41"/>
  <c r="I5146" i="41"/>
  <c r="J5096" i="41"/>
  <c r="G5096" i="41"/>
  <c r="K5096" i="41"/>
  <c r="H5096" i="41"/>
  <c r="I5096" i="41"/>
  <c r="J5048" i="41"/>
  <c r="G5048" i="41"/>
  <c r="K5048" i="41"/>
  <c r="H5048" i="41"/>
  <c r="I5048" i="41"/>
  <c r="J5016" i="41"/>
  <c r="G5016" i="41"/>
  <c r="K5016" i="41"/>
  <c r="H5016" i="41"/>
  <c r="I5016" i="41"/>
  <c r="J5145" i="41"/>
  <c r="H5145" i="41"/>
  <c r="G5145" i="41"/>
  <c r="I5145" i="41"/>
  <c r="K5145" i="41"/>
  <c r="J5097" i="41"/>
  <c r="G5097" i="41"/>
  <c r="K5097" i="41"/>
  <c r="H5097" i="41"/>
  <c r="I5097" i="41"/>
  <c r="J5065" i="41"/>
  <c r="G5065" i="41"/>
  <c r="K5065" i="41"/>
  <c r="H5065" i="41"/>
  <c r="I5065" i="41"/>
  <c r="J5049" i="41"/>
  <c r="G5049" i="41"/>
  <c r="K5049" i="41"/>
  <c r="H5049" i="41"/>
  <c r="I5049" i="41"/>
  <c r="J5017" i="41"/>
  <c r="G5017" i="41"/>
  <c r="K5017" i="41"/>
  <c r="H5017" i="41"/>
  <c r="I5017" i="41"/>
  <c r="J4985" i="41"/>
  <c r="G4985" i="41"/>
  <c r="K4985" i="41"/>
  <c r="H4985" i="41"/>
  <c r="I4985" i="41"/>
  <c r="I4900" i="41"/>
  <c r="J4900" i="41"/>
  <c r="G4900" i="41"/>
  <c r="K4900" i="41"/>
  <c r="H4900" i="41"/>
  <c r="I4971" i="41"/>
  <c r="G4971" i="41"/>
  <c r="K4971" i="41"/>
  <c r="J4971" i="41"/>
  <c r="H4971" i="41"/>
  <c r="I4915" i="41"/>
  <c r="J4915" i="41"/>
  <c r="G4915" i="41"/>
  <c r="K4915" i="41"/>
  <c r="H4915" i="41"/>
  <c r="I5838" i="41"/>
  <c r="J5838" i="41"/>
  <c r="G5838" i="41"/>
  <c r="K5838" i="41"/>
  <c r="H5838" i="41"/>
  <c r="I5934" i="41"/>
  <c r="J5934" i="41"/>
  <c r="G5934" i="41"/>
  <c r="K5934" i="41"/>
  <c r="H5934" i="41"/>
  <c r="I5811" i="41"/>
  <c r="J5811" i="41"/>
  <c r="G5811" i="41"/>
  <c r="K5811" i="41"/>
  <c r="H5811" i="41"/>
  <c r="I5907" i="41"/>
  <c r="J5907" i="41"/>
  <c r="G5907" i="41"/>
  <c r="K5907" i="41"/>
  <c r="H5907" i="41"/>
  <c r="I6011" i="41"/>
  <c r="J6011" i="41"/>
  <c r="G6011" i="41"/>
  <c r="K6011" i="41"/>
  <c r="H6011" i="41"/>
  <c r="I6064" i="41"/>
  <c r="G6064" i="41"/>
  <c r="K6064" i="41"/>
  <c r="H6064" i="41"/>
  <c r="J6064" i="41"/>
  <c r="H7329" i="41"/>
  <c r="I7329" i="41"/>
  <c r="J7329" i="41"/>
  <c r="G7329" i="41"/>
  <c r="K7329" i="41"/>
  <c r="I7545" i="41"/>
  <c r="J7545" i="41"/>
  <c r="G7545" i="41"/>
  <c r="H7545" i="41"/>
  <c r="K7545" i="41"/>
  <c r="H7184" i="41"/>
  <c r="I7184" i="41"/>
  <c r="J7184" i="41"/>
  <c r="G7184" i="41"/>
  <c r="K7184" i="41"/>
  <c r="H7392" i="41"/>
  <c r="I7392" i="41"/>
  <c r="J7392" i="41"/>
  <c r="G7392" i="41"/>
  <c r="K7392" i="41"/>
  <c r="H7195" i="41"/>
  <c r="I7195" i="41"/>
  <c r="J7195" i="41"/>
  <c r="K7195" i="41"/>
  <c r="G7195" i="41"/>
  <c r="H7419" i="41"/>
  <c r="I7419" i="41"/>
  <c r="J7419" i="41"/>
  <c r="K7419" i="41"/>
  <c r="G7419" i="41"/>
  <c r="H7366" i="41"/>
  <c r="I7366" i="41"/>
  <c r="J7366" i="41"/>
  <c r="G7366" i="41"/>
  <c r="K7366" i="41"/>
  <c r="H7402" i="41"/>
  <c r="I7402" i="41"/>
  <c r="J7402" i="41"/>
  <c r="G7402" i="41"/>
  <c r="K7402" i="41"/>
  <c r="I4878" i="41"/>
  <c r="J4878" i="41"/>
  <c r="G4878" i="41"/>
  <c r="K4878" i="41"/>
  <c r="H4878" i="41"/>
  <c r="I4910" i="41"/>
  <c r="J4910" i="41"/>
  <c r="G4910" i="41"/>
  <c r="K4910" i="41"/>
  <c r="H4910" i="41"/>
  <c r="I4942" i="41"/>
  <c r="J4942" i="41"/>
  <c r="G4942" i="41"/>
  <c r="K4942" i="41"/>
  <c r="H4942" i="41"/>
  <c r="I4968" i="41"/>
  <c r="G4968" i="41"/>
  <c r="K4968" i="41"/>
  <c r="J4968" i="41"/>
  <c r="H4968" i="41"/>
  <c r="G4984" i="41"/>
  <c r="K4984" i="41"/>
  <c r="I4984" i="41"/>
  <c r="J4984" i="41"/>
  <c r="H4984" i="41"/>
  <c r="I4913" i="41"/>
  <c r="J4913" i="41"/>
  <c r="G4913" i="41"/>
  <c r="K4913" i="41"/>
  <c r="H4913" i="41"/>
  <c r="I4871" i="41"/>
  <c r="J4871" i="41"/>
  <c r="G4871" i="41"/>
  <c r="K4871" i="41"/>
  <c r="H4871" i="41"/>
  <c r="I4935" i="41"/>
  <c r="J4935" i="41"/>
  <c r="G4935" i="41"/>
  <c r="K4935" i="41"/>
  <c r="H4935" i="41"/>
  <c r="J5179" i="41"/>
  <c r="K5179" i="41"/>
  <c r="G5179" i="41"/>
  <c r="H5179" i="41"/>
  <c r="I5179" i="41"/>
  <c r="I5800" i="41"/>
  <c r="J5800" i="41"/>
  <c r="G5800" i="41"/>
  <c r="K5800" i="41"/>
  <c r="H5800" i="41"/>
  <c r="I5832" i="41"/>
  <c r="J5832" i="41"/>
  <c r="G5832" i="41"/>
  <c r="K5832" i="41"/>
  <c r="H5832" i="41"/>
  <c r="I5864" i="41"/>
  <c r="J5864" i="41"/>
  <c r="G5864" i="41"/>
  <c r="K5864" i="41"/>
  <c r="H5864" i="41"/>
  <c r="I5896" i="41"/>
  <c r="J5896" i="41"/>
  <c r="G5896" i="41"/>
  <c r="K5896" i="41"/>
  <c r="H5896" i="41"/>
  <c r="I5928" i="41"/>
  <c r="J5928" i="41"/>
  <c r="G5928" i="41"/>
  <c r="K5928" i="41"/>
  <c r="H5928" i="41"/>
  <c r="I5960" i="41"/>
  <c r="J5960" i="41"/>
  <c r="G5960" i="41"/>
  <c r="K5960" i="41"/>
  <c r="H5960" i="41"/>
  <c r="I5992" i="41"/>
  <c r="J5992" i="41"/>
  <c r="G5992" i="41"/>
  <c r="K5992" i="41"/>
  <c r="H5992" i="41"/>
  <c r="I5789" i="41"/>
  <c r="J5789" i="41"/>
  <c r="G5789" i="41"/>
  <c r="K5789" i="41"/>
  <c r="H5789" i="41"/>
  <c r="I5821" i="41"/>
  <c r="J5821" i="41"/>
  <c r="G5821" i="41"/>
  <c r="K5821" i="41"/>
  <c r="H5821" i="41"/>
  <c r="I5853" i="41"/>
  <c r="J5853" i="41"/>
  <c r="G5853" i="41"/>
  <c r="K5853" i="41"/>
  <c r="H5853" i="41"/>
  <c r="I5885" i="41"/>
  <c r="J5885" i="41"/>
  <c r="G5885" i="41"/>
  <c r="K5885" i="41"/>
  <c r="H5885" i="41"/>
  <c r="I5917" i="41"/>
  <c r="J5917" i="41"/>
  <c r="G5917" i="41"/>
  <c r="K5917" i="41"/>
  <c r="H5917" i="41"/>
  <c r="I5949" i="41"/>
  <c r="J5949" i="41"/>
  <c r="G5949" i="41"/>
  <c r="K5949" i="41"/>
  <c r="H5949" i="41"/>
  <c r="I5981" i="41"/>
  <c r="J5981" i="41"/>
  <c r="G5981" i="41"/>
  <c r="K5981" i="41"/>
  <c r="H5981" i="41"/>
  <c r="I6013" i="41"/>
  <c r="J6013" i="41"/>
  <c r="G6013" i="41"/>
  <c r="K6013" i="41"/>
  <c r="H6013" i="41"/>
  <c r="I6033" i="41"/>
  <c r="G6033" i="41"/>
  <c r="K6033" i="41"/>
  <c r="H6033" i="41"/>
  <c r="J6033" i="41"/>
  <c r="I6049" i="41"/>
  <c r="G6049" i="41"/>
  <c r="K6049" i="41"/>
  <c r="H6049" i="41"/>
  <c r="J6049" i="41"/>
  <c r="H7125" i="41"/>
  <c r="I7125" i="41"/>
  <c r="J7125" i="41"/>
  <c r="G7125" i="41"/>
  <c r="K7125" i="41"/>
  <c r="H7189" i="41"/>
  <c r="I7189" i="41"/>
  <c r="J7189" i="41"/>
  <c r="G7189" i="41"/>
  <c r="K7189" i="41"/>
  <c r="H7253" i="41"/>
  <c r="I7253" i="41"/>
  <c r="J7253" i="41"/>
  <c r="G7253" i="41"/>
  <c r="K7253" i="41"/>
  <c r="H7317" i="41"/>
  <c r="I7317" i="41"/>
  <c r="J7317" i="41"/>
  <c r="G7317" i="41"/>
  <c r="K7317" i="41"/>
  <c r="H7381" i="41"/>
  <c r="I7381" i="41"/>
  <c r="J7381" i="41"/>
  <c r="G7381" i="41"/>
  <c r="K7381" i="41"/>
  <c r="H7445" i="41"/>
  <c r="I7445" i="41"/>
  <c r="J7445" i="41"/>
  <c r="G7445" i="41"/>
  <c r="K7445" i="41"/>
  <c r="H7509" i="41"/>
  <c r="I7509" i="41"/>
  <c r="J7509" i="41"/>
  <c r="G7509" i="41"/>
  <c r="K7509" i="41"/>
  <c r="I7546" i="41"/>
  <c r="J7546" i="41"/>
  <c r="G7546" i="41"/>
  <c r="H7546" i="41"/>
  <c r="K7546" i="41"/>
  <c r="I7562" i="41"/>
  <c r="J7562" i="41"/>
  <c r="G7562" i="41"/>
  <c r="H7562" i="41"/>
  <c r="K7562" i="41"/>
  <c r="H7124" i="41"/>
  <c r="I7124" i="41"/>
  <c r="J7124" i="41"/>
  <c r="G7124" i="41"/>
  <c r="K7124" i="41"/>
  <c r="H7188" i="41"/>
  <c r="I7188" i="41"/>
  <c r="J7188" i="41"/>
  <c r="G7188" i="41"/>
  <c r="K7188" i="41"/>
  <c r="H7252" i="41"/>
  <c r="I7252" i="41"/>
  <c r="J7252" i="41"/>
  <c r="G7252" i="41"/>
  <c r="K7252" i="41"/>
  <c r="H7316" i="41"/>
  <c r="I7316" i="41"/>
  <c r="J7316" i="41"/>
  <c r="G7316" i="41"/>
  <c r="K7316" i="41"/>
  <c r="H7380" i="41"/>
  <c r="I7380" i="41"/>
  <c r="J7380" i="41"/>
  <c r="G7380" i="41"/>
  <c r="K7380" i="41"/>
  <c r="H7444" i="41"/>
  <c r="I7444" i="41"/>
  <c r="J7444" i="41"/>
  <c r="G7444" i="41"/>
  <c r="K7444" i="41"/>
  <c r="H7508" i="41"/>
  <c r="I7508" i="41"/>
  <c r="J7508" i="41"/>
  <c r="G7508" i="41"/>
  <c r="K7508" i="41"/>
  <c r="H7151" i="41"/>
  <c r="I7151" i="41"/>
  <c r="J7151" i="41"/>
  <c r="K7151" i="41"/>
  <c r="G7151" i="41"/>
  <c r="H7215" i="41"/>
  <c r="I7215" i="41"/>
  <c r="J7215" i="41"/>
  <c r="K7215" i="41"/>
  <c r="G7215" i="41"/>
  <c r="H7279" i="41"/>
  <c r="I7279" i="41"/>
  <c r="J7279" i="41"/>
  <c r="K7279" i="41"/>
  <c r="G7279" i="41"/>
  <c r="H7343" i="41"/>
  <c r="I7343" i="41"/>
  <c r="J7343" i="41"/>
  <c r="K7343" i="41"/>
  <c r="G7343" i="41"/>
  <c r="H7407" i="41"/>
  <c r="I7407" i="41"/>
  <c r="J7407" i="41"/>
  <c r="K7407" i="41"/>
  <c r="G7407" i="41"/>
  <c r="H7471" i="41"/>
  <c r="I7471" i="41"/>
  <c r="J7471" i="41"/>
  <c r="K7471" i="41"/>
  <c r="G7471" i="41"/>
  <c r="H7535" i="41"/>
  <c r="I7535" i="41"/>
  <c r="J7535" i="41"/>
  <c r="K7535" i="41"/>
  <c r="G7535" i="41"/>
  <c r="H7246" i="41"/>
  <c r="I7246" i="41"/>
  <c r="J7246" i="41"/>
  <c r="G7246" i="41"/>
  <c r="K7246" i="41"/>
  <c r="H7374" i="41"/>
  <c r="I7374" i="41"/>
  <c r="J7374" i="41"/>
  <c r="G7374" i="41"/>
  <c r="K7374" i="41"/>
  <c r="H7502" i="41"/>
  <c r="I7502" i="41"/>
  <c r="J7502" i="41"/>
  <c r="G7502" i="41"/>
  <c r="K7502" i="41"/>
  <c r="H7282" i="41"/>
  <c r="I7282" i="41"/>
  <c r="J7282" i="41"/>
  <c r="G7282" i="41"/>
  <c r="K7282" i="41"/>
  <c r="G7714" i="41"/>
  <c r="K7714" i="41"/>
  <c r="H7714" i="41"/>
  <c r="I7714" i="41"/>
  <c r="J7714" i="41"/>
  <c r="H7354" i="41"/>
  <c r="I7354" i="41"/>
  <c r="J7354" i="41"/>
  <c r="G7354" i="41"/>
  <c r="K7354" i="41"/>
  <c r="I4892" i="41"/>
  <c r="J4892" i="41"/>
  <c r="G4892" i="41"/>
  <c r="K4892" i="41"/>
  <c r="H4892" i="41"/>
  <c r="I4979" i="41"/>
  <c r="G4979" i="41"/>
  <c r="K4979" i="41"/>
  <c r="J4979" i="41"/>
  <c r="H4979" i="41"/>
  <c r="I4899" i="41"/>
  <c r="J4899" i="41"/>
  <c r="G4899" i="41"/>
  <c r="K4899" i="41"/>
  <c r="H4899" i="41"/>
  <c r="I5814" i="41"/>
  <c r="J5814" i="41"/>
  <c r="G5814" i="41"/>
  <c r="K5814" i="41"/>
  <c r="H5814" i="41"/>
  <c r="I5894" i="41"/>
  <c r="J5894" i="41"/>
  <c r="G5894" i="41"/>
  <c r="K5894" i="41"/>
  <c r="H5894" i="41"/>
  <c r="I5990" i="41"/>
  <c r="J5990" i="41"/>
  <c r="G5990" i="41"/>
  <c r="K5990" i="41"/>
  <c r="H5990" i="41"/>
  <c r="I5851" i="41"/>
  <c r="J5851" i="41"/>
  <c r="G5851" i="41"/>
  <c r="K5851" i="41"/>
  <c r="H5851" i="41"/>
  <c r="I5947" i="41"/>
  <c r="J5947" i="41"/>
  <c r="G5947" i="41"/>
  <c r="K5947" i="41"/>
  <c r="H5947" i="41"/>
  <c r="I6040" i="41"/>
  <c r="G6040" i="41"/>
  <c r="K6040" i="41"/>
  <c r="H6040" i="41"/>
  <c r="J6040" i="41"/>
  <c r="H7201" i="41"/>
  <c r="I7201" i="41"/>
  <c r="J7201" i="41"/>
  <c r="G7201" i="41"/>
  <c r="K7201" i="41"/>
  <c r="H7377" i="41"/>
  <c r="I7377" i="41"/>
  <c r="J7377" i="41"/>
  <c r="G7377" i="41"/>
  <c r="K7377" i="41"/>
  <c r="I7537" i="41"/>
  <c r="J7537" i="41"/>
  <c r="G7537" i="41"/>
  <c r="H7537" i="41"/>
  <c r="K7537" i="41"/>
  <c r="H7168" i="41"/>
  <c r="I7168" i="41"/>
  <c r="J7168" i="41"/>
  <c r="G7168" i="41"/>
  <c r="K7168" i="41"/>
  <c r="H7360" i="41"/>
  <c r="I7360" i="41"/>
  <c r="J7360" i="41"/>
  <c r="G7360" i="41"/>
  <c r="K7360" i="41"/>
  <c r="H7131" i="41"/>
  <c r="I7131" i="41"/>
  <c r="J7131" i="41"/>
  <c r="K7131" i="41"/>
  <c r="G7131" i="41"/>
  <c r="H7323" i="41"/>
  <c r="I7323" i="41"/>
  <c r="J7323" i="41"/>
  <c r="K7323" i="41"/>
  <c r="G7323" i="41"/>
  <c r="H7483" i="41"/>
  <c r="I7483" i="41"/>
  <c r="J7483" i="41"/>
  <c r="K7483" i="41"/>
  <c r="G7483" i="41"/>
  <c r="H7302" i="41"/>
  <c r="I7302" i="41"/>
  <c r="J7302" i="41"/>
  <c r="G7302" i="41"/>
  <c r="K7302" i="41"/>
  <c r="H7266" i="41"/>
  <c r="I7266" i="41"/>
  <c r="J7266" i="41"/>
  <c r="G7266" i="41"/>
  <c r="K7266" i="41"/>
  <c r="I4872" i="41"/>
  <c r="J4872" i="41"/>
  <c r="G4872" i="41"/>
  <c r="K4872" i="41"/>
  <c r="H4872" i="41"/>
  <c r="I4904" i="41"/>
  <c r="J4904" i="41"/>
  <c r="G4904" i="41"/>
  <c r="K4904" i="41"/>
  <c r="H4904" i="41"/>
  <c r="I4936" i="41"/>
  <c r="J4936" i="41"/>
  <c r="G4936" i="41"/>
  <c r="K4936" i="41"/>
  <c r="H4936" i="41"/>
  <c r="I4965" i="41"/>
  <c r="G4965" i="41"/>
  <c r="K4965" i="41"/>
  <c r="J4965" i="41"/>
  <c r="H4965" i="41"/>
  <c r="I4981" i="41"/>
  <c r="G4981" i="41"/>
  <c r="K4981" i="41"/>
  <c r="J4981" i="41"/>
  <c r="H4981" i="41"/>
  <c r="I4917" i="41"/>
  <c r="J4917" i="41"/>
  <c r="G4917" i="41"/>
  <c r="K4917" i="41"/>
  <c r="H4917" i="41"/>
  <c r="I4875" i="41"/>
  <c r="J4875" i="41"/>
  <c r="G4875" i="41"/>
  <c r="K4875" i="41"/>
  <c r="H4875" i="41"/>
  <c r="I4939" i="41"/>
  <c r="J4939" i="41"/>
  <c r="G4939" i="41"/>
  <c r="K4939" i="41"/>
  <c r="H4939" i="41"/>
  <c r="G5254" i="41"/>
  <c r="K5254" i="41"/>
  <c r="H5254" i="41"/>
  <c r="I5254" i="41"/>
  <c r="J5254" i="41"/>
  <c r="I5802" i="41"/>
  <c r="J5802" i="41"/>
  <c r="G5802" i="41"/>
  <c r="K5802" i="41"/>
  <c r="H5802" i="41"/>
  <c r="I5834" i="41"/>
  <c r="J5834" i="41"/>
  <c r="G5834" i="41"/>
  <c r="K5834" i="41"/>
  <c r="H5834" i="41"/>
  <c r="I5866" i="41"/>
  <c r="J5866" i="41"/>
  <c r="G5866" i="41"/>
  <c r="K5866" i="41"/>
  <c r="H5866" i="41"/>
  <c r="I5898" i="41"/>
  <c r="J5898" i="41"/>
  <c r="G5898" i="41"/>
  <c r="K5898" i="41"/>
  <c r="H5898" i="41"/>
  <c r="I5930" i="41"/>
  <c r="J5930" i="41"/>
  <c r="G5930" i="41"/>
  <c r="K5930" i="41"/>
  <c r="H5930" i="41"/>
  <c r="I5962" i="41"/>
  <c r="J5962" i="41"/>
  <c r="G5962" i="41"/>
  <c r="K5962" i="41"/>
  <c r="H5962" i="41"/>
  <c r="I5994" i="41"/>
  <c r="J5994" i="41"/>
  <c r="G5994" i="41"/>
  <c r="K5994" i="41"/>
  <c r="H5994" i="41"/>
  <c r="I5791" i="41"/>
  <c r="J5791" i="41"/>
  <c r="G5791" i="41"/>
  <c r="K5791" i="41"/>
  <c r="H5791" i="41"/>
  <c r="I5823" i="41"/>
  <c r="J5823" i="41"/>
  <c r="G5823" i="41"/>
  <c r="K5823" i="41"/>
  <c r="H5823" i="41"/>
  <c r="I5855" i="41"/>
  <c r="J5855" i="41"/>
  <c r="G5855" i="41"/>
  <c r="K5855" i="41"/>
  <c r="H5855" i="41"/>
  <c r="I5887" i="41"/>
  <c r="J5887" i="41"/>
  <c r="G5887" i="41"/>
  <c r="K5887" i="41"/>
  <c r="H5887" i="41"/>
  <c r="I5919" i="41"/>
  <c r="J5919" i="41"/>
  <c r="G5919" i="41"/>
  <c r="K5919" i="41"/>
  <c r="H5919" i="41"/>
  <c r="I5951" i="41"/>
  <c r="J5951" i="41"/>
  <c r="G5951" i="41"/>
  <c r="K5951" i="41"/>
  <c r="H5951" i="41"/>
  <c r="I5983" i="41"/>
  <c r="J5983" i="41"/>
  <c r="G5983" i="41"/>
  <c r="K5983" i="41"/>
  <c r="H5983" i="41"/>
  <c r="I6015" i="41"/>
  <c r="J6015" i="41"/>
  <c r="G6015" i="41"/>
  <c r="K6015" i="41"/>
  <c r="H6015" i="41"/>
  <c r="I6034" i="41"/>
  <c r="G6034" i="41"/>
  <c r="K6034" i="41"/>
  <c r="H6034" i="41"/>
  <c r="J6034" i="41"/>
  <c r="I6050" i="41"/>
  <c r="G6050" i="41"/>
  <c r="K6050" i="41"/>
  <c r="H6050" i="41"/>
  <c r="J6050" i="41"/>
  <c r="H7129" i="41"/>
  <c r="I7129" i="41"/>
  <c r="J7129" i="41"/>
  <c r="G7129" i="41"/>
  <c r="K7129" i="41"/>
  <c r="H7193" i="41"/>
  <c r="I7193" i="41"/>
  <c r="J7193" i="41"/>
  <c r="G7193" i="41"/>
  <c r="K7193" i="41"/>
  <c r="H7257" i="41"/>
  <c r="I7257" i="41"/>
  <c r="J7257" i="41"/>
  <c r="G7257" i="41"/>
  <c r="K7257" i="41"/>
  <c r="H7321" i="41"/>
  <c r="I7321" i="41"/>
  <c r="J7321" i="41"/>
  <c r="G7321" i="41"/>
  <c r="K7321" i="41"/>
  <c r="H7385" i="41"/>
  <c r="I7385" i="41"/>
  <c r="J7385" i="41"/>
  <c r="G7385" i="41"/>
  <c r="K7385" i="41"/>
  <c r="H7449" i="41"/>
  <c r="I7449" i="41"/>
  <c r="J7449" i="41"/>
  <c r="G7449" i="41"/>
  <c r="K7449" i="41"/>
  <c r="H7513" i="41"/>
  <c r="I7513" i="41"/>
  <c r="J7513" i="41"/>
  <c r="G7513" i="41"/>
  <c r="K7513" i="41"/>
  <c r="I7547" i="41"/>
  <c r="J7547" i="41"/>
  <c r="G7547" i="41"/>
  <c r="H7547" i="41"/>
  <c r="K7547" i="41"/>
  <c r="I7563" i="41"/>
  <c r="J7563" i="41"/>
  <c r="G7563" i="41"/>
  <c r="H7563" i="41"/>
  <c r="K7563" i="41"/>
  <c r="H7128" i="41"/>
  <c r="I7128" i="41"/>
  <c r="J7128" i="41"/>
  <c r="G7128" i="41"/>
  <c r="K7128" i="41"/>
  <c r="H7192" i="41"/>
  <c r="I7192" i="41"/>
  <c r="J7192" i="41"/>
  <c r="G7192" i="41"/>
  <c r="K7192" i="41"/>
  <c r="H7256" i="41"/>
  <c r="I7256" i="41"/>
  <c r="J7256" i="41"/>
  <c r="G7256" i="41"/>
  <c r="K7256" i="41"/>
  <c r="H7320" i="41"/>
  <c r="I7320" i="41"/>
  <c r="J7320" i="41"/>
  <c r="G7320" i="41"/>
  <c r="K7320" i="41"/>
  <c r="H7384" i="41"/>
  <c r="I7384" i="41"/>
  <c r="J7384" i="41"/>
  <c r="G7384" i="41"/>
  <c r="K7384" i="41"/>
  <c r="H7448" i="41"/>
  <c r="I7448" i="41"/>
  <c r="J7448" i="41"/>
  <c r="G7448" i="41"/>
  <c r="K7448" i="41"/>
  <c r="H7512" i="41"/>
  <c r="I7512" i="41"/>
  <c r="J7512" i="41"/>
  <c r="G7512" i="41"/>
  <c r="K7512" i="41"/>
  <c r="H7155" i="41"/>
  <c r="I7155" i="41"/>
  <c r="J7155" i="41"/>
  <c r="K7155" i="41"/>
  <c r="G7155" i="41"/>
  <c r="H7219" i="41"/>
  <c r="I7219" i="41"/>
  <c r="J7219" i="41"/>
  <c r="K7219" i="41"/>
  <c r="G7219" i="41"/>
  <c r="H7283" i="41"/>
  <c r="I7283" i="41"/>
  <c r="J7283" i="41"/>
  <c r="K7283" i="41"/>
  <c r="G7283" i="41"/>
  <c r="H7347" i="41"/>
  <c r="I7347" i="41"/>
  <c r="J7347" i="41"/>
  <c r="K7347" i="41"/>
  <c r="G7347" i="41"/>
  <c r="H7411" i="41"/>
  <c r="I7411" i="41"/>
  <c r="J7411" i="41"/>
  <c r="K7411" i="41"/>
  <c r="G7411" i="41"/>
  <c r="H7475" i="41"/>
  <c r="I7475" i="41"/>
  <c r="J7475" i="41"/>
  <c r="K7475" i="41"/>
  <c r="G7475" i="41"/>
  <c r="J7578" i="41"/>
  <c r="I7578" i="41"/>
  <c r="K7578" i="41"/>
  <c r="G7578" i="41"/>
  <c r="H7578" i="41"/>
  <c r="H7222" i="41"/>
  <c r="I7222" i="41"/>
  <c r="J7222" i="41"/>
  <c r="G7222" i="41"/>
  <c r="K7222" i="41"/>
  <c r="H7350" i="41"/>
  <c r="I7350" i="41"/>
  <c r="J7350" i="41"/>
  <c r="G7350" i="41"/>
  <c r="K7350" i="41"/>
  <c r="H7478" i="41"/>
  <c r="I7478" i="41"/>
  <c r="J7478" i="41"/>
  <c r="G7478" i="41"/>
  <c r="K7478" i="41"/>
  <c r="H7170" i="41"/>
  <c r="I7170" i="41"/>
  <c r="J7170" i="41"/>
  <c r="G7170" i="41"/>
  <c r="K7170" i="41"/>
  <c r="H7426" i="41"/>
  <c r="I7426" i="41"/>
  <c r="J7426" i="41"/>
  <c r="G7426" i="41"/>
  <c r="K7426" i="41"/>
  <c r="H7306" i="41"/>
  <c r="I7306" i="41"/>
  <c r="J7306" i="41"/>
  <c r="G7306" i="41"/>
  <c r="K7306" i="41"/>
  <c r="I4860" i="41"/>
  <c r="J4860" i="41"/>
  <c r="G4860" i="41"/>
  <c r="K4860" i="41"/>
  <c r="H4860" i="41"/>
  <c r="I4956" i="41"/>
  <c r="J4956" i="41"/>
  <c r="G4956" i="41"/>
  <c r="K4956" i="41"/>
  <c r="H4956" i="41"/>
  <c r="I4941" i="41"/>
  <c r="J4941" i="41"/>
  <c r="G4941" i="41"/>
  <c r="K4941" i="41"/>
  <c r="H4941" i="41"/>
  <c r="G5259" i="41"/>
  <c r="K5259" i="41"/>
  <c r="H5259" i="41"/>
  <c r="I5259" i="41"/>
  <c r="J5259" i="41"/>
  <c r="I5870" i="41"/>
  <c r="J5870" i="41"/>
  <c r="G5870" i="41"/>
  <c r="K5870" i="41"/>
  <c r="H5870" i="41"/>
  <c r="I5958" i="41"/>
  <c r="J5958" i="41"/>
  <c r="G5958" i="41"/>
  <c r="K5958" i="41"/>
  <c r="H5958" i="41"/>
  <c r="I5819" i="41"/>
  <c r="J5819" i="41"/>
  <c r="G5819" i="41"/>
  <c r="K5819" i="41"/>
  <c r="H5819" i="41"/>
  <c r="I5915" i="41"/>
  <c r="J5915" i="41"/>
  <c r="G5915" i="41"/>
  <c r="K5915" i="41"/>
  <c r="H5915" i="41"/>
  <c r="I5995" i="41"/>
  <c r="J5995" i="41"/>
  <c r="G5995" i="41"/>
  <c r="K5995" i="41"/>
  <c r="H5995" i="41"/>
  <c r="I6056" i="41"/>
  <c r="G6056" i="41"/>
  <c r="K6056" i="41"/>
  <c r="H6056" i="41"/>
  <c r="J6056" i="41"/>
  <c r="H7265" i="41"/>
  <c r="I7265" i="41"/>
  <c r="J7265" i="41"/>
  <c r="G7265" i="41"/>
  <c r="K7265" i="41"/>
  <c r="H7473" i="41"/>
  <c r="I7473" i="41"/>
  <c r="J7473" i="41"/>
  <c r="G7473" i="41"/>
  <c r="K7473" i="41"/>
  <c r="I7565" i="41"/>
  <c r="J7565" i="41"/>
  <c r="G7565" i="41"/>
  <c r="H7565" i="41"/>
  <c r="K7565" i="41"/>
  <c r="H7248" i="41"/>
  <c r="I7248" i="41"/>
  <c r="J7248" i="41"/>
  <c r="G7248" i="41"/>
  <c r="K7248" i="41"/>
  <c r="H7424" i="41"/>
  <c r="I7424" i="41"/>
  <c r="J7424" i="41"/>
  <c r="G7424" i="41"/>
  <c r="K7424" i="41"/>
  <c r="H7163" i="41"/>
  <c r="I7163" i="41"/>
  <c r="J7163" i="41"/>
  <c r="K7163" i="41"/>
  <c r="G7163" i="41"/>
  <c r="H7339" i="41"/>
  <c r="I7339" i="41"/>
  <c r="J7339" i="41"/>
  <c r="K7339" i="41"/>
  <c r="G7339" i="41"/>
  <c r="H7515" i="41"/>
  <c r="I7515" i="41"/>
  <c r="J7515" i="41"/>
  <c r="K7515" i="41"/>
  <c r="G7515" i="41"/>
  <c r="H7430" i="41"/>
  <c r="I7430" i="41"/>
  <c r="J7430" i="41"/>
  <c r="G7430" i="41"/>
  <c r="K7430" i="41"/>
  <c r="H7458" i="41"/>
  <c r="I7458" i="41"/>
  <c r="J7458" i="41"/>
  <c r="G7458" i="41"/>
  <c r="K7458" i="41"/>
  <c r="I4866" i="41"/>
  <c r="J4866" i="41"/>
  <c r="G4866" i="41"/>
  <c r="K4866" i="41"/>
  <c r="H4866" i="41"/>
  <c r="I4898" i="41"/>
  <c r="J4898" i="41"/>
  <c r="G4898" i="41"/>
  <c r="K4898" i="41"/>
  <c r="H4898" i="41"/>
  <c r="I4930" i="41"/>
  <c r="J4930" i="41"/>
  <c r="G4930" i="41"/>
  <c r="K4930" i="41"/>
  <c r="H4930" i="41"/>
  <c r="I4962" i="41"/>
  <c r="G4962" i="41"/>
  <c r="K4962" i="41"/>
  <c r="J4962" i="41"/>
  <c r="H4962" i="41"/>
  <c r="I4978" i="41"/>
  <c r="G4978" i="41"/>
  <c r="K4978" i="41"/>
  <c r="J4978" i="41"/>
  <c r="H4978" i="41"/>
  <c r="I4905" i="41"/>
  <c r="J4905" i="41"/>
  <c r="G4905" i="41"/>
  <c r="K4905" i="41"/>
  <c r="H4905" i="41"/>
  <c r="I4863" i="41"/>
  <c r="J4863" i="41"/>
  <c r="G4863" i="41"/>
  <c r="K4863" i="41"/>
  <c r="H4863" i="41"/>
  <c r="I4927" i="41"/>
  <c r="J4927" i="41"/>
  <c r="G4927" i="41"/>
  <c r="K4927" i="41"/>
  <c r="H4927" i="41"/>
  <c r="J5175" i="41"/>
  <c r="K5175" i="41"/>
  <c r="G5175" i="41"/>
  <c r="H5175" i="41"/>
  <c r="I5175" i="41"/>
  <c r="I5796" i="41"/>
  <c r="J5796" i="41"/>
  <c r="G5796" i="41"/>
  <c r="K5796" i="41"/>
  <c r="H5796" i="41"/>
  <c r="I5828" i="41"/>
  <c r="J5828" i="41"/>
  <c r="G5828" i="41"/>
  <c r="K5828" i="41"/>
  <c r="H5828" i="41"/>
  <c r="I5860" i="41"/>
  <c r="J5860" i="41"/>
  <c r="G5860" i="41"/>
  <c r="K5860" i="41"/>
  <c r="H5860" i="41"/>
  <c r="I5892" i="41"/>
  <c r="J5892" i="41"/>
  <c r="G5892" i="41"/>
  <c r="K5892" i="41"/>
  <c r="H5892" i="41"/>
  <c r="I5924" i="41"/>
  <c r="J5924" i="41"/>
  <c r="G5924" i="41"/>
  <c r="K5924" i="41"/>
  <c r="H5924" i="41"/>
  <c r="I5956" i="41"/>
  <c r="J5956" i="41"/>
  <c r="G5956" i="41"/>
  <c r="K5956" i="41"/>
  <c r="H5956" i="41"/>
  <c r="I5988" i="41"/>
  <c r="J5988" i="41"/>
  <c r="G5988" i="41"/>
  <c r="K5988" i="41"/>
  <c r="H5988" i="41"/>
  <c r="I6020" i="41"/>
  <c r="J6020" i="41"/>
  <c r="G6020" i="41"/>
  <c r="K6020" i="41"/>
  <c r="H6020" i="41"/>
  <c r="I5817" i="41"/>
  <c r="J5817" i="41"/>
  <c r="G5817" i="41"/>
  <c r="K5817" i="41"/>
  <c r="H5817" i="41"/>
  <c r="I5849" i="41"/>
  <c r="J5849" i="41"/>
  <c r="G5849" i="41"/>
  <c r="K5849" i="41"/>
  <c r="H5849" i="41"/>
  <c r="I5881" i="41"/>
  <c r="J5881" i="41"/>
  <c r="G5881" i="41"/>
  <c r="K5881" i="41"/>
  <c r="H5881" i="41"/>
  <c r="I5913" i="41"/>
  <c r="J5913" i="41"/>
  <c r="G5913" i="41"/>
  <c r="K5913" i="41"/>
  <c r="H5913" i="41"/>
  <c r="I5945" i="41"/>
  <c r="J5945" i="41"/>
  <c r="G5945" i="41"/>
  <c r="K5945" i="41"/>
  <c r="H5945" i="41"/>
  <c r="I5977" i="41"/>
  <c r="J5977" i="41"/>
  <c r="G5977" i="41"/>
  <c r="K5977" i="41"/>
  <c r="H5977" i="41"/>
  <c r="I6009" i="41"/>
  <c r="J6009" i="41"/>
  <c r="G6009" i="41"/>
  <c r="K6009" i="41"/>
  <c r="H6009" i="41"/>
  <c r="I6031" i="41"/>
  <c r="G6031" i="41"/>
  <c r="K6031" i="41"/>
  <c r="H6031" i="41"/>
  <c r="J6031" i="41"/>
  <c r="I6047" i="41"/>
  <c r="G6047" i="41"/>
  <c r="K6047" i="41"/>
  <c r="H6047" i="41"/>
  <c r="J6047" i="41"/>
  <c r="I6063" i="41"/>
  <c r="G6063" i="41"/>
  <c r="K6063" i="41"/>
  <c r="H6063" i="41"/>
  <c r="J6063" i="41"/>
  <c r="H7181" i="41"/>
  <c r="I7181" i="41"/>
  <c r="J7181" i="41"/>
  <c r="G7181" i="41"/>
  <c r="K7181" i="41"/>
  <c r="H7245" i="41"/>
  <c r="I7245" i="41"/>
  <c r="J7245" i="41"/>
  <c r="G7245" i="41"/>
  <c r="K7245" i="41"/>
  <c r="H7309" i="41"/>
  <c r="I7309" i="41"/>
  <c r="J7309" i="41"/>
  <c r="G7309" i="41"/>
  <c r="K7309" i="41"/>
  <c r="H7373" i="41"/>
  <c r="I7373" i="41"/>
  <c r="J7373" i="41"/>
  <c r="G7373" i="41"/>
  <c r="K7373" i="41"/>
  <c r="H7437" i="41"/>
  <c r="I7437" i="41"/>
  <c r="J7437" i="41"/>
  <c r="G7437" i="41"/>
  <c r="K7437" i="41"/>
  <c r="H7501" i="41"/>
  <c r="I7501" i="41"/>
  <c r="J7501" i="41"/>
  <c r="G7501" i="41"/>
  <c r="K7501" i="41"/>
  <c r="I7544" i="41"/>
  <c r="J7544" i="41"/>
  <c r="G7544" i="41"/>
  <c r="H7544" i="41"/>
  <c r="K7544" i="41"/>
  <c r="I7560" i="41"/>
  <c r="J7560" i="41"/>
  <c r="G7560" i="41"/>
  <c r="H7560" i="41"/>
  <c r="K7560" i="41"/>
  <c r="I7576" i="41"/>
  <c r="J7576" i="41"/>
  <c r="G7576" i="41"/>
  <c r="H7576" i="41"/>
  <c r="K7576" i="41"/>
  <c r="H7180" i="41"/>
  <c r="I7180" i="41"/>
  <c r="J7180" i="41"/>
  <c r="G7180" i="41"/>
  <c r="K7180" i="41"/>
  <c r="H7244" i="41"/>
  <c r="I7244" i="41"/>
  <c r="J7244" i="41"/>
  <c r="G7244" i="41"/>
  <c r="K7244" i="41"/>
  <c r="H7308" i="41"/>
  <c r="I7308" i="41"/>
  <c r="J7308" i="41"/>
  <c r="G7308" i="41"/>
  <c r="K7308" i="41"/>
  <c r="H7372" i="41"/>
  <c r="I7372" i="41"/>
  <c r="J7372" i="41"/>
  <c r="G7372" i="41"/>
  <c r="K7372" i="41"/>
  <c r="H7436" i="41"/>
  <c r="I7436" i="41"/>
  <c r="J7436" i="41"/>
  <c r="G7436" i="41"/>
  <c r="K7436" i="41"/>
  <c r="H7500" i="41"/>
  <c r="I7500" i="41"/>
  <c r="J7500" i="41"/>
  <c r="G7500" i="41"/>
  <c r="K7500" i="41"/>
  <c r="H7143" i="41"/>
  <c r="I7143" i="41"/>
  <c r="J7143" i="41"/>
  <c r="K7143" i="41"/>
  <c r="G7143" i="41"/>
  <c r="H7207" i="41"/>
  <c r="I7207" i="41"/>
  <c r="J7207" i="41"/>
  <c r="K7207" i="41"/>
  <c r="G7207" i="41"/>
  <c r="H7271" i="41"/>
  <c r="I7271" i="41"/>
  <c r="J7271" i="41"/>
  <c r="K7271" i="41"/>
  <c r="G7271" i="41"/>
  <c r="H7335" i="41"/>
  <c r="I7335" i="41"/>
  <c r="J7335" i="41"/>
  <c r="K7335" i="41"/>
  <c r="G7335" i="41"/>
  <c r="H7399" i="41"/>
  <c r="I7399" i="41"/>
  <c r="J7399" i="41"/>
  <c r="K7399" i="41"/>
  <c r="G7399" i="41"/>
  <c r="H7463" i="41"/>
  <c r="I7463" i="41"/>
  <c r="J7463" i="41"/>
  <c r="K7463" i="41"/>
  <c r="G7463" i="41"/>
  <c r="H7527" i="41"/>
  <c r="I7527" i="41"/>
  <c r="J7527" i="41"/>
  <c r="K7527" i="41"/>
  <c r="G7527" i="41"/>
  <c r="H7198" i="41"/>
  <c r="I7198" i="41"/>
  <c r="J7198" i="41"/>
  <c r="G7198" i="41"/>
  <c r="K7198" i="41"/>
  <c r="H7326" i="41"/>
  <c r="I7326" i="41"/>
  <c r="J7326" i="41"/>
  <c r="G7326" i="41"/>
  <c r="K7326" i="41"/>
  <c r="H7454" i="41"/>
  <c r="I7454" i="41"/>
  <c r="J7454" i="41"/>
  <c r="G7454" i="41"/>
  <c r="K7454" i="41"/>
  <c r="G7715" i="41"/>
  <c r="K7715" i="41"/>
  <c r="H7715" i="41"/>
  <c r="I7715" i="41"/>
  <c r="J7715" i="41"/>
  <c r="H7314" i="41"/>
  <c r="I7314" i="41"/>
  <c r="J7314" i="41"/>
  <c r="G7314" i="41"/>
  <c r="K7314" i="41"/>
  <c r="H7130" i="41"/>
  <c r="I7130" i="41"/>
  <c r="J7130" i="41"/>
  <c r="G7130" i="41"/>
  <c r="K7130" i="41"/>
  <c r="H7386" i="41"/>
  <c r="I7386" i="41"/>
  <c r="J7386" i="41"/>
  <c r="G7386" i="41"/>
  <c r="K7386" i="41"/>
  <c r="G7710" i="41"/>
  <c r="K7710" i="41"/>
  <c r="H7710" i="41"/>
  <c r="I7710" i="41"/>
  <c r="J7710" i="41"/>
  <c r="G7706" i="41"/>
  <c r="K7706" i="41"/>
  <c r="H7706" i="41"/>
  <c r="I7706" i="41"/>
  <c r="J7706" i="41"/>
  <c r="G7702" i="41"/>
  <c r="K7702" i="41"/>
  <c r="H7702" i="41"/>
  <c r="I7702" i="41"/>
  <c r="J7702" i="41"/>
  <c r="G7698" i="41"/>
  <c r="K7698" i="41"/>
  <c r="H7698" i="41"/>
  <c r="I7698" i="41"/>
  <c r="J7698" i="41"/>
  <c r="G7694" i="41"/>
  <c r="K7694" i="41"/>
  <c r="H7694" i="41"/>
  <c r="I7694" i="41"/>
  <c r="J7694" i="41"/>
  <c r="G7690" i="41"/>
  <c r="K7690" i="41"/>
  <c r="H7690" i="41"/>
  <c r="I7690" i="41"/>
  <c r="J7690" i="41"/>
  <c r="G7686" i="41"/>
  <c r="K7686" i="41"/>
  <c r="H7686" i="41"/>
  <c r="I7686" i="41"/>
  <c r="J7686" i="41"/>
  <c r="G7682" i="41"/>
  <c r="K7682" i="41"/>
  <c r="H7682" i="41"/>
  <c r="I7682" i="41"/>
  <c r="J7682" i="41"/>
  <c r="G7678" i="41"/>
  <c r="K7678" i="41"/>
  <c r="H7678" i="41"/>
  <c r="I7678" i="41"/>
  <c r="J7678" i="41"/>
  <c r="G7674" i="41"/>
  <c r="K7674" i="41"/>
  <c r="H7674" i="41"/>
  <c r="I7674" i="41"/>
  <c r="J7674" i="41"/>
  <c r="G7670" i="41"/>
  <c r="K7670" i="41"/>
  <c r="H7670" i="41"/>
  <c r="I7670" i="41"/>
  <c r="J7670" i="41"/>
  <c r="G7666" i="41"/>
  <c r="K7666" i="41"/>
  <c r="H7666" i="41"/>
  <c r="I7666" i="41"/>
  <c r="J7666" i="41"/>
  <c r="G7662" i="41"/>
  <c r="K7662" i="41"/>
  <c r="H7662" i="41"/>
  <c r="I7662" i="41"/>
  <c r="J7662" i="41"/>
  <c r="G7658" i="41"/>
  <c r="K7658" i="41"/>
  <c r="H7658" i="41"/>
  <c r="I7658" i="41"/>
  <c r="J7658" i="41"/>
  <c r="G7654" i="41"/>
  <c r="K7654" i="41"/>
  <c r="H7654" i="41"/>
  <c r="I7654" i="41"/>
  <c r="J7654" i="41"/>
  <c r="G7650" i="41"/>
  <c r="K7650" i="41"/>
  <c r="H7650" i="41"/>
  <c r="I7650" i="41"/>
  <c r="J7650" i="41"/>
  <c r="G7646" i="41"/>
  <c r="K7646" i="41"/>
  <c r="H7646" i="41"/>
  <c r="I7646" i="41"/>
  <c r="J7646" i="41"/>
  <c r="G7642" i="41"/>
  <c r="K7642" i="41"/>
  <c r="H7642" i="41"/>
  <c r="I7642" i="41"/>
  <c r="J7642" i="41"/>
  <c r="G7638" i="41"/>
  <c r="K7638" i="41"/>
  <c r="H7638" i="41"/>
  <c r="I7638" i="41"/>
  <c r="J7638" i="41"/>
  <c r="G7634" i="41"/>
  <c r="K7634" i="41"/>
  <c r="H7634" i="41"/>
  <c r="I7634" i="41"/>
  <c r="J7634" i="41"/>
  <c r="G7630" i="41"/>
  <c r="K7630" i="41"/>
  <c r="H7630" i="41"/>
  <c r="I7630" i="41"/>
  <c r="J7630" i="41"/>
  <c r="G7626" i="41"/>
  <c r="K7626" i="41"/>
  <c r="H7626" i="41"/>
  <c r="I7626" i="41"/>
  <c r="J7626" i="41"/>
  <c r="G7622" i="41"/>
  <c r="K7622" i="41"/>
  <c r="H7622" i="41"/>
  <c r="I7622" i="41"/>
  <c r="J7622" i="41"/>
  <c r="G7618" i="41"/>
  <c r="K7618" i="41"/>
  <c r="H7618" i="41"/>
  <c r="I7618" i="41"/>
  <c r="J7618" i="41"/>
  <c r="G7614" i="41"/>
  <c r="K7614" i="41"/>
  <c r="H7614" i="41"/>
  <c r="I7614" i="41"/>
  <c r="J7614" i="41"/>
  <c r="G7610" i="41"/>
  <c r="K7610" i="41"/>
  <c r="H7610" i="41"/>
  <c r="I7610" i="41"/>
  <c r="J7610" i="41"/>
  <c r="G7606" i="41"/>
  <c r="K7606" i="41"/>
  <c r="H7606" i="41"/>
  <c r="I7606" i="41"/>
  <c r="J7606" i="41"/>
  <c r="G7602" i="41"/>
  <c r="K7602" i="41"/>
  <c r="H7602" i="41"/>
  <c r="I7602" i="41"/>
  <c r="J7602" i="41"/>
  <c r="G7598" i="41"/>
  <c r="K7598" i="41"/>
  <c r="H7598" i="41"/>
  <c r="I7598" i="41"/>
  <c r="J7598" i="41"/>
  <c r="G7594" i="41"/>
  <c r="K7594" i="41"/>
  <c r="H7594" i="41"/>
  <c r="I7594" i="41"/>
  <c r="J7594" i="41"/>
  <c r="G7590" i="41"/>
  <c r="K7590" i="41"/>
  <c r="H7590" i="41"/>
  <c r="I7590" i="41"/>
  <c r="J7590" i="41"/>
  <c r="G7586" i="41"/>
  <c r="K7586" i="41"/>
  <c r="H7586" i="41"/>
  <c r="I7586" i="41"/>
  <c r="J7586" i="41"/>
  <c r="G7582" i="41"/>
  <c r="K7582" i="41"/>
  <c r="H7582" i="41"/>
  <c r="I7582" i="41"/>
  <c r="J7582" i="41"/>
  <c r="J7061" i="41"/>
  <c r="G7061" i="41"/>
  <c r="K7061" i="41"/>
  <c r="H7061" i="41"/>
  <c r="I7061" i="41"/>
  <c r="J7029" i="41"/>
  <c r="G7029" i="41"/>
  <c r="K7029" i="41"/>
  <c r="H7029" i="41"/>
  <c r="I7029" i="41"/>
  <c r="J6997" i="41"/>
  <c r="G6997" i="41"/>
  <c r="K6997" i="41"/>
  <c r="H6997" i="41"/>
  <c r="I6997" i="41"/>
  <c r="J6965" i="41"/>
  <c r="G6965" i="41"/>
  <c r="K6965" i="41"/>
  <c r="H6965" i="41"/>
  <c r="I6965" i="41"/>
  <c r="J6933" i="41"/>
  <c r="G6933" i="41"/>
  <c r="K6933" i="41"/>
  <c r="H6933" i="41"/>
  <c r="I6933" i="41"/>
  <c r="J6901" i="41"/>
  <c r="G6901" i="41"/>
  <c r="K6901" i="41"/>
  <c r="H6901" i="41"/>
  <c r="I6901" i="41"/>
  <c r="J6869" i="41"/>
  <c r="G6869" i="41"/>
  <c r="K6869" i="41"/>
  <c r="H6869" i="41"/>
  <c r="I6869" i="41"/>
  <c r="J6837" i="41"/>
  <c r="G6837" i="41"/>
  <c r="K6837" i="41"/>
  <c r="H6837" i="41"/>
  <c r="I6837" i="41"/>
  <c r="J6805" i="41"/>
  <c r="G6805" i="41"/>
  <c r="K6805" i="41"/>
  <c r="H6805" i="41"/>
  <c r="I6805" i="41"/>
  <c r="J6773" i="41"/>
  <c r="G6773" i="41"/>
  <c r="K6773" i="41"/>
  <c r="H6773" i="41"/>
  <c r="I6773" i="41"/>
  <c r="J6741" i="41"/>
  <c r="G6741" i="41"/>
  <c r="K6741" i="41"/>
  <c r="H6741" i="41"/>
  <c r="I6741" i="41"/>
  <c r="J6709" i="41"/>
  <c r="G6709" i="41"/>
  <c r="K6709" i="41"/>
  <c r="H6709" i="41"/>
  <c r="I6709" i="41"/>
  <c r="J6677" i="41"/>
  <c r="G6677" i="41"/>
  <c r="K6677" i="41"/>
  <c r="H6677" i="41"/>
  <c r="I6677" i="41"/>
  <c r="J6645" i="41"/>
  <c r="G6645" i="41"/>
  <c r="K6645" i="41"/>
  <c r="H6645" i="41"/>
  <c r="I6645" i="41"/>
  <c r="J7073" i="41"/>
  <c r="G7073" i="41"/>
  <c r="K7073" i="41"/>
  <c r="H7073" i="41"/>
  <c r="I7073" i="41"/>
  <c r="J7041" i="41"/>
  <c r="G7041" i="41"/>
  <c r="K7041" i="41"/>
  <c r="H7041" i="41"/>
  <c r="I7041" i="41"/>
  <c r="J7009" i="41"/>
  <c r="G7009" i="41"/>
  <c r="K7009" i="41"/>
  <c r="H7009" i="41"/>
  <c r="I7009" i="41"/>
  <c r="J6977" i="41"/>
  <c r="G6977" i="41"/>
  <c r="K6977" i="41"/>
  <c r="H6977" i="41"/>
  <c r="I6977" i="41"/>
  <c r="J6945" i="41"/>
  <c r="G6945" i="41"/>
  <c r="K6945" i="41"/>
  <c r="H6945" i="41"/>
  <c r="I6945" i="41"/>
  <c r="J6913" i="41"/>
  <c r="G6913" i="41"/>
  <c r="K6913" i="41"/>
  <c r="H6913" i="41"/>
  <c r="I6913" i="41"/>
  <c r="J6881" i="41"/>
  <c r="G6881" i="41"/>
  <c r="K6881" i="41"/>
  <c r="H6881" i="41"/>
  <c r="I6881" i="41"/>
  <c r="J6849" i="41"/>
  <c r="G6849" i="41"/>
  <c r="K6849" i="41"/>
  <c r="H6849" i="41"/>
  <c r="I6849" i="41"/>
  <c r="J6817" i="41"/>
  <c r="G6817" i="41"/>
  <c r="K6817" i="41"/>
  <c r="H6817" i="41"/>
  <c r="I6817" i="41"/>
  <c r="J6785" i="41"/>
  <c r="G6785" i="41"/>
  <c r="K6785" i="41"/>
  <c r="H6785" i="41"/>
  <c r="I6785" i="41"/>
  <c r="J6753" i="41"/>
  <c r="G6753" i="41"/>
  <c r="K6753" i="41"/>
  <c r="H6753" i="41"/>
  <c r="I6753" i="41"/>
  <c r="J6721" i="41"/>
  <c r="G6721" i="41"/>
  <c r="K6721" i="41"/>
  <c r="H6721" i="41"/>
  <c r="I6721" i="41"/>
  <c r="J6689" i="41"/>
  <c r="G6689" i="41"/>
  <c r="K6689" i="41"/>
  <c r="H6689" i="41"/>
  <c r="I6689" i="41"/>
  <c r="J6657" i="41"/>
  <c r="G6657" i="41"/>
  <c r="K6657" i="41"/>
  <c r="H6657" i="41"/>
  <c r="I6657" i="41"/>
  <c r="G6624" i="41"/>
  <c r="K6624" i="41"/>
  <c r="H6624" i="41"/>
  <c r="I6624" i="41"/>
  <c r="J6624" i="41"/>
  <c r="J7115" i="41"/>
  <c r="G7115" i="41"/>
  <c r="K7115" i="41"/>
  <c r="I7115" i="41"/>
  <c r="H7115" i="41"/>
  <c r="J7111" i="41"/>
  <c r="G7111" i="41"/>
  <c r="K7111" i="41"/>
  <c r="I7111" i="41"/>
  <c r="H7111" i="41"/>
  <c r="J7107" i="41"/>
  <c r="G7107" i="41"/>
  <c r="K7107" i="41"/>
  <c r="I7107" i="41"/>
  <c r="H7107" i="41"/>
  <c r="J7103" i="41"/>
  <c r="G7103" i="41"/>
  <c r="K7103" i="41"/>
  <c r="I7103" i="41"/>
  <c r="H7103" i="41"/>
  <c r="J7099" i="41"/>
  <c r="G7099" i="41"/>
  <c r="K7099" i="41"/>
  <c r="I7099" i="41"/>
  <c r="H7099" i="41"/>
  <c r="J7095" i="41"/>
  <c r="G7095" i="41"/>
  <c r="K7095" i="41"/>
  <c r="I7095" i="41"/>
  <c r="H7095" i="41"/>
  <c r="J7091" i="41"/>
  <c r="G7091" i="41"/>
  <c r="K7091" i="41"/>
  <c r="I7091" i="41"/>
  <c r="H7091" i="41"/>
  <c r="J7087" i="41"/>
  <c r="G7087" i="41"/>
  <c r="K7087" i="41"/>
  <c r="I7087" i="41"/>
  <c r="H7087" i="41"/>
  <c r="J7083" i="41"/>
  <c r="G7083" i="41"/>
  <c r="K7083" i="41"/>
  <c r="I7083" i="41"/>
  <c r="H7083" i="41"/>
  <c r="J7079" i="41"/>
  <c r="G7079" i="41"/>
  <c r="K7079" i="41"/>
  <c r="I7079" i="41"/>
  <c r="H7079" i="41"/>
  <c r="J7075" i="41"/>
  <c r="G7075" i="41"/>
  <c r="K7075" i="41"/>
  <c r="I7075" i="41"/>
  <c r="H7075" i="41"/>
  <c r="J7062" i="41"/>
  <c r="G7062" i="41"/>
  <c r="K7062" i="41"/>
  <c r="H7062" i="41"/>
  <c r="I7062" i="41"/>
  <c r="J7046" i="41"/>
  <c r="G7046" i="41"/>
  <c r="K7046" i="41"/>
  <c r="H7046" i="41"/>
  <c r="I7046" i="41"/>
  <c r="J7030" i="41"/>
  <c r="G7030" i="41"/>
  <c r="K7030" i="41"/>
  <c r="H7030" i="41"/>
  <c r="I7030" i="41"/>
  <c r="J7014" i="41"/>
  <c r="G7014" i="41"/>
  <c r="K7014" i="41"/>
  <c r="H7014" i="41"/>
  <c r="I7014" i="41"/>
  <c r="J6998" i="41"/>
  <c r="G6998" i="41"/>
  <c r="K6998" i="41"/>
  <c r="H6998" i="41"/>
  <c r="I6998" i="41"/>
  <c r="J6982" i="41"/>
  <c r="G6982" i="41"/>
  <c r="K6982" i="41"/>
  <c r="H6982" i="41"/>
  <c r="I6982" i="41"/>
  <c r="J6966" i="41"/>
  <c r="G6966" i="41"/>
  <c r="K6966" i="41"/>
  <c r="H6966" i="41"/>
  <c r="I6966" i="41"/>
  <c r="J6950" i="41"/>
  <c r="G6950" i="41"/>
  <c r="K6950" i="41"/>
  <c r="H6950" i="41"/>
  <c r="I6950" i="41"/>
  <c r="J6934" i="41"/>
  <c r="G6934" i="41"/>
  <c r="K6934" i="41"/>
  <c r="H6934" i="41"/>
  <c r="I6934" i="41"/>
  <c r="J6918" i="41"/>
  <c r="G6918" i="41"/>
  <c r="K6918" i="41"/>
  <c r="H6918" i="41"/>
  <c r="I6918" i="41"/>
  <c r="J6902" i="41"/>
  <c r="G6902" i="41"/>
  <c r="K6902" i="41"/>
  <c r="H6902" i="41"/>
  <c r="I6902" i="41"/>
  <c r="J6886" i="41"/>
  <c r="G6886" i="41"/>
  <c r="K6886" i="41"/>
  <c r="H6886" i="41"/>
  <c r="I6886" i="41"/>
  <c r="J6870" i="41"/>
  <c r="G6870" i="41"/>
  <c r="K6870" i="41"/>
  <c r="H6870" i="41"/>
  <c r="I6870" i="41"/>
  <c r="J6854" i="41"/>
  <c r="G6854" i="41"/>
  <c r="K6854" i="41"/>
  <c r="H6854" i="41"/>
  <c r="I6854" i="41"/>
  <c r="J6838" i="41"/>
  <c r="G6838" i="41"/>
  <c r="K6838" i="41"/>
  <c r="H6838" i="41"/>
  <c r="I6838" i="41"/>
  <c r="J6822" i="41"/>
  <c r="G6822" i="41"/>
  <c r="K6822" i="41"/>
  <c r="H6822" i="41"/>
  <c r="I6822" i="41"/>
  <c r="J6806" i="41"/>
  <c r="G6806" i="41"/>
  <c r="K6806" i="41"/>
  <c r="H6806" i="41"/>
  <c r="I6806" i="41"/>
  <c r="J6790" i="41"/>
  <c r="G6790" i="41"/>
  <c r="K6790" i="41"/>
  <c r="H6790" i="41"/>
  <c r="I6790" i="41"/>
  <c r="J6774" i="41"/>
  <c r="G6774" i="41"/>
  <c r="K6774" i="41"/>
  <c r="H6774" i="41"/>
  <c r="I6774" i="41"/>
  <c r="J6758" i="41"/>
  <c r="G6758" i="41"/>
  <c r="K6758" i="41"/>
  <c r="H6758" i="41"/>
  <c r="I6758" i="41"/>
  <c r="J6742" i="41"/>
  <c r="G6742" i="41"/>
  <c r="K6742" i="41"/>
  <c r="H6742" i="41"/>
  <c r="I6742" i="41"/>
  <c r="J6726" i="41"/>
  <c r="G6726" i="41"/>
  <c r="K6726" i="41"/>
  <c r="H6726" i="41"/>
  <c r="I6726" i="41"/>
  <c r="J6710" i="41"/>
  <c r="G6710" i="41"/>
  <c r="K6710" i="41"/>
  <c r="H6710" i="41"/>
  <c r="I6710" i="41"/>
  <c r="J6694" i="41"/>
  <c r="G6694" i="41"/>
  <c r="K6694" i="41"/>
  <c r="H6694" i="41"/>
  <c r="I6694" i="41"/>
  <c r="J6678" i="41"/>
  <c r="G6678" i="41"/>
  <c r="K6678" i="41"/>
  <c r="H6678" i="41"/>
  <c r="I6678" i="41"/>
  <c r="J6662" i="41"/>
  <c r="G6662" i="41"/>
  <c r="K6662" i="41"/>
  <c r="H6662" i="41"/>
  <c r="I6662" i="41"/>
  <c r="J6646" i="41"/>
  <c r="G6646" i="41"/>
  <c r="K6646" i="41"/>
  <c r="H6646" i="41"/>
  <c r="I6646" i="41"/>
  <c r="J6630" i="41"/>
  <c r="G6630" i="41"/>
  <c r="K6630" i="41"/>
  <c r="H6630" i="41"/>
  <c r="I6630" i="41"/>
  <c r="J6472" i="41"/>
  <c r="G6472" i="41"/>
  <c r="K6472" i="41"/>
  <c r="H6472" i="41"/>
  <c r="I6472" i="41"/>
  <c r="J6440" i="41"/>
  <c r="G6440" i="41"/>
  <c r="K6440" i="41"/>
  <c r="H6440" i="41"/>
  <c r="I6440" i="41"/>
  <c r="J6408" i="41"/>
  <c r="G6408" i="41"/>
  <c r="K6408" i="41"/>
  <c r="H6408" i="41"/>
  <c r="I6408" i="41"/>
  <c r="J6376" i="41"/>
  <c r="G6376" i="41"/>
  <c r="K6376" i="41"/>
  <c r="H6376" i="41"/>
  <c r="I6376" i="41"/>
  <c r="J6344" i="41"/>
  <c r="G6344" i="41"/>
  <c r="K6344" i="41"/>
  <c r="H6344" i="41"/>
  <c r="I6344" i="41"/>
  <c r="J6312" i="41"/>
  <c r="G6312" i="41"/>
  <c r="K6312" i="41"/>
  <c r="H6312" i="41"/>
  <c r="I6312" i="41"/>
  <c r="J6280" i="41"/>
  <c r="G6280" i="41"/>
  <c r="K6280" i="41"/>
  <c r="H6280" i="41"/>
  <c r="I6280" i="41"/>
  <c r="J6248" i="41"/>
  <c r="G6248" i="41"/>
  <c r="K6248" i="41"/>
  <c r="H6248" i="41"/>
  <c r="I6248" i="41"/>
  <c r="J6216" i="41"/>
  <c r="G6216" i="41"/>
  <c r="K6216" i="41"/>
  <c r="H6216" i="41"/>
  <c r="I6216" i="41"/>
  <c r="J6184" i="41"/>
  <c r="G6184" i="41"/>
  <c r="K6184" i="41"/>
  <c r="H6184" i="41"/>
  <c r="I6184" i="41"/>
  <c r="J6152" i="41"/>
  <c r="G6152" i="41"/>
  <c r="K6152" i="41"/>
  <c r="H6152" i="41"/>
  <c r="I6152" i="41"/>
  <c r="J6120" i="41"/>
  <c r="G6120" i="41"/>
  <c r="K6120" i="41"/>
  <c r="H6120" i="41"/>
  <c r="I6120" i="41"/>
  <c r="J6088" i="41"/>
  <c r="G6088" i="41"/>
  <c r="K6088" i="41"/>
  <c r="H6088" i="41"/>
  <c r="I6088" i="41"/>
  <c r="J7067" i="41"/>
  <c r="G7067" i="41"/>
  <c r="K7067" i="41"/>
  <c r="H7067" i="41"/>
  <c r="I7067" i="41"/>
  <c r="J7051" i="41"/>
  <c r="G7051" i="41"/>
  <c r="K7051" i="41"/>
  <c r="H7051" i="41"/>
  <c r="I7051" i="41"/>
  <c r="J7035" i="41"/>
  <c r="G7035" i="41"/>
  <c r="K7035" i="41"/>
  <c r="H7035" i="41"/>
  <c r="I7035" i="41"/>
  <c r="J7019" i="41"/>
  <c r="G7019" i="41"/>
  <c r="K7019" i="41"/>
  <c r="H7019" i="41"/>
  <c r="I7019" i="41"/>
  <c r="J7003" i="41"/>
  <c r="G7003" i="41"/>
  <c r="K7003" i="41"/>
  <c r="H7003" i="41"/>
  <c r="I7003" i="41"/>
  <c r="J6987" i="41"/>
  <c r="G6987" i="41"/>
  <c r="K6987" i="41"/>
  <c r="H6987" i="41"/>
  <c r="I6987" i="41"/>
  <c r="J6971" i="41"/>
  <c r="G6971" i="41"/>
  <c r="K6971" i="41"/>
  <c r="H6971" i="41"/>
  <c r="I6971" i="41"/>
  <c r="J6955" i="41"/>
  <c r="G6955" i="41"/>
  <c r="K6955" i="41"/>
  <c r="H6955" i="41"/>
  <c r="I6955" i="41"/>
  <c r="J6939" i="41"/>
  <c r="G6939" i="41"/>
  <c r="K6939" i="41"/>
  <c r="H6939" i="41"/>
  <c r="I6939" i="41"/>
  <c r="J6923" i="41"/>
  <c r="G6923" i="41"/>
  <c r="K6923" i="41"/>
  <c r="H6923" i="41"/>
  <c r="I6923" i="41"/>
  <c r="J6907" i="41"/>
  <c r="G6907" i="41"/>
  <c r="K6907" i="41"/>
  <c r="H6907" i="41"/>
  <c r="I6907" i="41"/>
  <c r="J6891" i="41"/>
  <c r="G6891" i="41"/>
  <c r="K6891" i="41"/>
  <c r="H6891" i="41"/>
  <c r="I6891" i="41"/>
  <c r="J6875" i="41"/>
  <c r="G6875" i="41"/>
  <c r="K6875" i="41"/>
  <c r="H6875" i="41"/>
  <c r="I6875" i="41"/>
  <c r="J6859" i="41"/>
  <c r="G6859" i="41"/>
  <c r="K6859" i="41"/>
  <c r="H6859" i="41"/>
  <c r="I6859" i="41"/>
  <c r="J6843" i="41"/>
  <c r="G6843" i="41"/>
  <c r="K6843" i="41"/>
  <c r="H6843" i="41"/>
  <c r="I6843" i="41"/>
  <c r="J6827" i="41"/>
  <c r="G6827" i="41"/>
  <c r="K6827" i="41"/>
  <c r="H6827" i="41"/>
  <c r="I6827" i="41"/>
  <c r="J6811" i="41"/>
  <c r="G6811" i="41"/>
  <c r="K6811" i="41"/>
  <c r="H6811" i="41"/>
  <c r="I6811" i="41"/>
  <c r="J6795" i="41"/>
  <c r="G6795" i="41"/>
  <c r="K6795" i="41"/>
  <c r="H6795" i="41"/>
  <c r="I6795" i="41"/>
  <c r="J6779" i="41"/>
  <c r="G6779" i="41"/>
  <c r="K6779" i="41"/>
  <c r="H6779" i="41"/>
  <c r="I6779" i="41"/>
  <c r="J6763" i="41"/>
  <c r="G6763" i="41"/>
  <c r="K6763" i="41"/>
  <c r="H6763" i="41"/>
  <c r="I6763" i="41"/>
  <c r="J6747" i="41"/>
  <c r="G6747" i="41"/>
  <c r="K6747" i="41"/>
  <c r="H6747" i="41"/>
  <c r="I6747" i="41"/>
  <c r="J6731" i="41"/>
  <c r="G6731" i="41"/>
  <c r="K6731" i="41"/>
  <c r="H6731" i="41"/>
  <c r="I6731" i="41"/>
  <c r="J6715" i="41"/>
  <c r="G6715" i="41"/>
  <c r="K6715" i="41"/>
  <c r="H6715" i="41"/>
  <c r="I6715" i="41"/>
  <c r="J6699" i="41"/>
  <c r="G6699" i="41"/>
  <c r="K6699" i="41"/>
  <c r="H6699" i="41"/>
  <c r="I6699" i="41"/>
  <c r="J6683" i="41"/>
  <c r="G6683" i="41"/>
  <c r="K6683" i="41"/>
  <c r="H6683" i="41"/>
  <c r="I6683" i="41"/>
  <c r="J6667" i="41"/>
  <c r="G6667" i="41"/>
  <c r="K6667" i="41"/>
  <c r="H6667" i="41"/>
  <c r="I6667" i="41"/>
  <c r="J6651" i="41"/>
  <c r="G6651" i="41"/>
  <c r="K6651" i="41"/>
  <c r="H6651" i="41"/>
  <c r="I6651" i="41"/>
  <c r="J6635" i="41"/>
  <c r="G6635" i="41"/>
  <c r="K6635" i="41"/>
  <c r="H6635" i="41"/>
  <c r="I6635" i="41"/>
  <c r="J7072" i="41"/>
  <c r="G7072" i="41"/>
  <c r="K7072" i="41"/>
  <c r="H7072" i="41"/>
  <c r="I7072" i="41"/>
  <c r="J7056" i="41"/>
  <c r="G7056" i="41"/>
  <c r="K7056" i="41"/>
  <c r="H7056" i="41"/>
  <c r="I7056" i="41"/>
  <c r="J7040" i="41"/>
  <c r="G7040" i="41"/>
  <c r="K7040" i="41"/>
  <c r="H7040" i="41"/>
  <c r="I7040" i="41"/>
  <c r="J7024" i="41"/>
  <c r="G7024" i="41"/>
  <c r="K7024" i="41"/>
  <c r="H7024" i="41"/>
  <c r="I7024" i="41"/>
  <c r="J7008" i="41"/>
  <c r="G7008" i="41"/>
  <c r="K7008" i="41"/>
  <c r="H7008" i="41"/>
  <c r="I7008" i="41"/>
  <c r="J6992" i="41"/>
  <c r="G6992" i="41"/>
  <c r="K6992" i="41"/>
  <c r="H6992" i="41"/>
  <c r="I6992" i="41"/>
  <c r="J6976" i="41"/>
  <c r="G6976" i="41"/>
  <c r="K6976" i="41"/>
  <c r="H6976" i="41"/>
  <c r="I6976" i="41"/>
  <c r="J6960" i="41"/>
  <c r="G6960" i="41"/>
  <c r="K6960" i="41"/>
  <c r="H6960" i="41"/>
  <c r="I6960" i="41"/>
  <c r="J6944" i="41"/>
  <c r="G6944" i="41"/>
  <c r="K6944" i="41"/>
  <c r="H6944" i="41"/>
  <c r="I6944" i="41"/>
  <c r="J6928" i="41"/>
  <c r="G6928" i="41"/>
  <c r="K6928" i="41"/>
  <c r="H6928" i="41"/>
  <c r="I6928" i="41"/>
  <c r="J6912" i="41"/>
  <c r="G6912" i="41"/>
  <c r="K6912" i="41"/>
  <c r="H6912" i="41"/>
  <c r="I6912" i="41"/>
  <c r="J6896" i="41"/>
  <c r="G6896" i="41"/>
  <c r="K6896" i="41"/>
  <c r="H6896" i="41"/>
  <c r="I6896" i="41"/>
  <c r="J6880" i="41"/>
  <c r="G6880" i="41"/>
  <c r="K6880" i="41"/>
  <c r="H6880" i="41"/>
  <c r="I6880" i="41"/>
  <c r="J6864" i="41"/>
  <c r="G6864" i="41"/>
  <c r="K6864" i="41"/>
  <c r="H6864" i="41"/>
  <c r="I6864" i="41"/>
  <c r="J6848" i="41"/>
  <c r="G6848" i="41"/>
  <c r="K6848" i="41"/>
  <c r="H6848" i="41"/>
  <c r="I6848" i="41"/>
  <c r="J6832" i="41"/>
  <c r="G6832" i="41"/>
  <c r="K6832" i="41"/>
  <c r="H6832" i="41"/>
  <c r="I6832" i="41"/>
  <c r="J6816" i="41"/>
  <c r="G6816" i="41"/>
  <c r="K6816" i="41"/>
  <c r="H6816" i="41"/>
  <c r="I6816" i="41"/>
  <c r="J6800" i="41"/>
  <c r="G6800" i="41"/>
  <c r="K6800" i="41"/>
  <c r="H6800" i="41"/>
  <c r="I6800" i="41"/>
  <c r="J6784" i="41"/>
  <c r="G6784" i="41"/>
  <c r="K6784" i="41"/>
  <c r="H6784" i="41"/>
  <c r="I6784" i="41"/>
  <c r="J6768" i="41"/>
  <c r="G6768" i="41"/>
  <c r="K6768" i="41"/>
  <c r="H6768" i="41"/>
  <c r="I6768" i="41"/>
  <c r="J6752" i="41"/>
  <c r="G6752" i="41"/>
  <c r="K6752" i="41"/>
  <c r="H6752" i="41"/>
  <c r="I6752" i="41"/>
  <c r="J6736" i="41"/>
  <c r="G6736" i="41"/>
  <c r="K6736" i="41"/>
  <c r="H6736" i="41"/>
  <c r="I6736" i="41"/>
  <c r="J6720" i="41"/>
  <c r="G6720" i="41"/>
  <c r="K6720" i="41"/>
  <c r="H6720" i="41"/>
  <c r="I6720" i="41"/>
  <c r="J6704" i="41"/>
  <c r="G6704" i="41"/>
  <c r="K6704" i="41"/>
  <c r="H6704" i="41"/>
  <c r="I6704" i="41"/>
  <c r="J6688" i="41"/>
  <c r="G6688" i="41"/>
  <c r="K6688" i="41"/>
  <c r="H6688" i="41"/>
  <c r="I6688" i="41"/>
  <c r="J6672" i="41"/>
  <c r="G6672" i="41"/>
  <c r="K6672" i="41"/>
  <c r="H6672" i="41"/>
  <c r="I6672" i="41"/>
  <c r="J6656" i="41"/>
  <c r="G6656" i="41"/>
  <c r="K6656" i="41"/>
  <c r="H6656" i="41"/>
  <c r="I6656" i="41"/>
  <c r="J6640" i="41"/>
  <c r="G6640" i="41"/>
  <c r="K6640" i="41"/>
  <c r="H6640" i="41"/>
  <c r="I6640" i="41"/>
  <c r="G6618" i="41"/>
  <c r="K6618" i="41"/>
  <c r="H6618" i="41"/>
  <c r="I6618" i="41"/>
  <c r="J6618" i="41"/>
  <c r="J6468" i="41"/>
  <c r="G6468" i="41"/>
  <c r="K6468" i="41"/>
  <c r="H6468" i="41"/>
  <c r="I6468" i="41"/>
  <c r="J6436" i="41"/>
  <c r="G6436" i="41"/>
  <c r="K6436" i="41"/>
  <c r="H6436" i="41"/>
  <c r="I6436" i="41"/>
  <c r="J6404" i="41"/>
  <c r="G6404" i="41"/>
  <c r="K6404" i="41"/>
  <c r="H6404" i="41"/>
  <c r="I6404" i="41"/>
  <c r="J6372" i="41"/>
  <c r="G6372" i="41"/>
  <c r="K6372" i="41"/>
  <c r="H6372" i="41"/>
  <c r="I6372" i="41"/>
  <c r="J6340" i="41"/>
  <c r="G6340" i="41"/>
  <c r="K6340" i="41"/>
  <c r="H6340" i="41"/>
  <c r="I6340" i="41"/>
  <c r="J6308" i="41"/>
  <c r="G6308" i="41"/>
  <c r="K6308" i="41"/>
  <c r="H6308" i="41"/>
  <c r="I6308" i="41"/>
  <c r="J6276" i="41"/>
  <c r="G6276" i="41"/>
  <c r="K6276" i="41"/>
  <c r="H6276" i="41"/>
  <c r="I6276" i="41"/>
  <c r="J6244" i="41"/>
  <c r="G6244" i="41"/>
  <c r="K6244" i="41"/>
  <c r="H6244" i="41"/>
  <c r="I6244" i="41"/>
  <c r="J6212" i="41"/>
  <c r="G6212" i="41"/>
  <c r="K6212" i="41"/>
  <c r="H6212" i="41"/>
  <c r="I6212" i="41"/>
  <c r="J6180" i="41"/>
  <c r="G6180" i="41"/>
  <c r="K6180" i="41"/>
  <c r="H6180" i="41"/>
  <c r="I6180" i="41"/>
  <c r="J6148" i="41"/>
  <c r="G6148" i="41"/>
  <c r="K6148" i="41"/>
  <c r="H6148" i="41"/>
  <c r="I6148" i="41"/>
  <c r="J6116" i="41"/>
  <c r="G6116" i="41"/>
  <c r="K6116" i="41"/>
  <c r="H6116" i="41"/>
  <c r="I6116" i="41"/>
  <c r="J6084" i="41"/>
  <c r="G6084" i="41"/>
  <c r="K6084" i="41"/>
  <c r="H6084" i="41"/>
  <c r="I6084" i="41"/>
  <c r="J6489" i="41"/>
  <c r="G6489" i="41"/>
  <c r="K6489" i="41"/>
  <c r="H6489" i="41"/>
  <c r="I6489" i="41"/>
  <c r="J6473" i="41"/>
  <c r="G6473" i="41"/>
  <c r="K6473" i="41"/>
  <c r="H6473" i="41"/>
  <c r="I6473" i="41"/>
  <c r="J6457" i="41"/>
  <c r="G6457" i="41"/>
  <c r="K6457" i="41"/>
  <c r="H6457" i="41"/>
  <c r="I6457" i="41"/>
  <c r="J6441" i="41"/>
  <c r="G6441" i="41"/>
  <c r="K6441" i="41"/>
  <c r="H6441" i="41"/>
  <c r="I6441" i="41"/>
  <c r="J6425" i="41"/>
  <c r="G6425" i="41"/>
  <c r="K6425" i="41"/>
  <c r="H6425" i="41"/>
  <c r="I6425" i="41"/>
  <c r="J6409" i="41"/>
  <c r="G6409" i="41"/>
  <c r="K6409" i="41"/>
  <c r="H6409" i="41"/>
  <c r="I6409" i="41"/>
  <c r="J6393" i="41"/>
  <c r="G6393" i="41"/>
  <c r="K6393" i="41"/>
  <c r="H6393" i="41"/>
  <c r="I6393" i="41"/>
  <c r="J6377" i="41"/>
  <c r="G6377" i="41"/>
  <c r="K6377" i="41"/>
  <c r="H6377" i="41"/>
  <c r="I6377" i="41"/>
  <c r="J6361" i="41"/>
  <c r="G6361" i="41"/>
  <c r="K6361" i="41"/>
  <c r="H6361" i="41"/>
  <c r="I6361" i="41"/>
  <c r="J6345" i="41"/>
  <c r="G6345" i="41"/>
  <c r="K6345" i="41"/>
  <c r="H6345" i="41"/>
  <c r="I6345" i="41"/>
  <c r="J6329" i="41"/>
  <c r="G6329" i="41"/>
  <c r="K6329" i="41"/>
  <c r="H6329" i="41"/>
  <c r="I6329" i="41"/>
  <c r="J6313" i="41"/>
  <c r="G6313" i="41"/>
  <c r="K6313" i="41"/>
  <c r="H6313" i="41"/>
  <c r="I6313" i="41"/>
  <c r="J6297" i="41"/>
  <c r="G6297" i="41"/>
  <c r="K6297" i="41"/>
  <c r="H6297" i="41"/>
  <c r="I6297" i="41"/>
  <c r="J6281" i="41"/>
  <c r="G6281" i="41"/>
  <c r="K6281" i="41"/>
  <c r="H6281" i="41"/>
  <c r="I6281" i="41"/>
  <c r="J6265" i="41"/>
  <c r="G6265" i="41"/>
  <c r="K6265" i="41"/>
  <c r="H6265" i="41"/>
  <c r="I6265" i="41"/>
  <c r="J6249" i="41"/>
  <c r="G6249" i="41"/>
  <c r="K6249" i="41"/>
  <c r="H6249" i="41"/>
  <c r="I6249" i="41"/>
  <c r="J6233" i="41"/>
  <c r="G6233" i="41"/>
  <c r="K6233" i="41"/>
  <c r="H6233" i="41"/>
  <c r="I6233" i="41"/>
  <c r="J6217" i="41"/>
  <c r="G6217" i="41"/>
  <c r="K6217" i="41"/>
  <c r="H6217" i="41"/>
  <c r="I6217" i="41"/>
  <c r="J6201" i="41"/>
  <c r="G6201" i="41"/>
  <c r="K6201" i="41"/>
  <c r="H6201" i="41"/>
  <c r="I6201" i="41"/>
  <c r="J6185" i="41"/>
  <c r="G6185" i="41"/>
  <c r="K6185" i="41"/>
  <c r="H6185" i="41"/>
  <c r="I6185" i="41"/>
  <c r="J6169" i="41"/>
  <c r="G6169" i="41"/>
  <c r="K6169" i="41"/>
  <c r="H6169" i="41"/>
  <c r="I6169" i="41"/>
  <c r="J6153" i="41"/>
  <c r="G6153" i="41"/>
  <c r="K6153" i="41"/>
  <c r="H6153" i="41"/>
  <c r="I6153" i="41"/>
  <c r="J6137" i="41"/>
  <c r="G6137" i="41"/>
  <c r="K6137" i="41"/>
  <c r="H6137" i="41"/>
  <c r="I6137" i="41"/>
  <c r="J6121" i="41"/>
  <c r="G6121" i="41"/>
  <c r="K6121" i="41"/>
  <c r="H6121" i="41"/>
  <c r="I6121" i="41"/>
  <c r="J6105" i="41"/>
  <c r="G6105" i="41"/>
  <c r="K6105" i="41"/>
  <c r="H6105" i="41"/>
  <c r="I6105" i="41"/>
  <c r="J6089" i="41"/>
  <c r="G6089" i="41"/>
  <c r="K6089" i="41"/>
  <c r="H6089" i="41"/>
  <c r="I6089" i="41"/>
  <c r="J6073" i="41"/>
  <c r="G6073" i="41"/>
  <c r="K6073" i="41"/>
  <c r="H6073" i="41"/>
  <c r="I6073" i="41"/>
  <c r="G6627" i="41"/>
  <c r="K6627" i="41"/>
  <c r="I6627" i="41"/>
  <c r="J6627" i="41"/>
  <c r="H6627" i="41"/>
  <c r="G6619" i="41"/>
  <c r="K6619" i="41"/>
  <c r="I6619" i="41"/>
  <c r="J6619" i="41"/>
  <c r="H6619" i="41"/>
  <c r="J6614" i="41"/>
  <c r="G6614" i="41"/>
  <c r="K6614" i="41"/>
  <c r="H6614" i="41"/>
  <c r="I6614" i="41"/>
  <c r="J6610" i="41"/>
  <c r="G6610" i="41"/>
  <c r="K6610" i="41"/>
  <c r="H6610" i="41"/>
  <c r="I6610" i="41"/>
  <c r="J6606" i="41"/>
  <c r="G6606" i="41"/>
  <c r="K6606" i="41"/>
  <c r="H6606" i="41"/>
  <c r="I6606" i="41"/>
  <c r="J6602" i="41"/>
  <c r="G6602" i="41"/>
  <c r="K6602" i="41"/>
  <c r="H6602" i="41"/>
  <c r="I6602" i="41"/>
  <c r="J6598" i="41"/>
  <c r="G6598" i="41"/>
  <c r="K6598" i="41"/>
  <c r="H6598" i="41"/>
  <c r="I6598" i="41"/>
  <c r="J6594" i="41"/>
  <c r="G6594" i="41"/>
  <c r="K6594" i="41"/>
  <c r="H6594" i="41"/>
  <c r="I6594" i="41"/>
  <c r="J6590" i="41"/>
  <c r="G6590" i="41"/>
  <c r="K6590" i="41"/>
  <c r="H6590" i="41"/>
  <c r="I6590" i="41"/>
  <c r="J6586" i="41"/>
  <c r="G6586" i="41"/>
  <c r="K6586" i="41"/>
  <c r="H6586" i="41"/>
  <c r="I6586" i="41"/>
  <c r="J6582" i="41"/>
  <c r="G6582" i="41"/>
  <c r="K6582" i="41"/>
  <c r="H6582" i="41"/>
  <c r="I6582" i="41"/>
  <c r="J6578" i="41"/>
  <c r="G6578" i="41"/>
  <c r="K6578" i="41"/>
  <c r="H6578" i="41"/>
  <c r="I6578" i="41"/>
  <c r="J6574" i="41"/>
  <c r="G6574" i="41"/>
  <c r="K6574" i="41"/>
  <c r="H6574" i="41"/>
  <c r="I6574" i="41"/>
  <c r="J6570" i="41"/>
  <c r="G6570" i="41"/>
  <c r="K6570" i="41"/>
  <c r="H6570" i="41"/>
  <c r="I6570" i="41"/>
  <c r="J6566" i="41"/>
  <c r="G6566" i="41"/>
  <c r="K6566" i="41"/>
  <c r="H6566" i="41"/>
  <c r="I6566" i="41"/>
  <c r="J6562" i="41"/>
  <c r="G6562" i="41"/>
  <c r="K6562" i="41"/>
  <c r="H6562" i="41"/>
  <c r="I6562" i="41"/>
  <c r="J6558" i="41"/>
  <c r="G6558" i="41"/>
  <c r="K6558" i="41"/>
  <c r="H6558" i="41"/>
  <c r="I6558" i="41"/>
  <c r="J6554" i="41"/>
  <c r="G6554" i="41"/>
  <c r="K6554" i="41"/>
  <c r="H6554" i="41"/>
  <c r="I6554" i="41"/>
  <c r="J6550" i="41"/>
  <c r="G6550" i="41"/>
  <c r="K6550" i="41"/>
  <c r="H6550" i="41"/>
  <c r="I6550" i="41"/>
  <c r="J6546" i="41"/>
  <c r="G6546" i="41"/>
  <c r="K6546" i="41"/>
  <c r="H6546" i="41"/>
  <c r="I6546" i="41"/>
  <c r="J6542" i="41"/>
  <c r="G6542" i="41"/>
  <c r="K6542" i="41"/>
  <c r="H6542" i="41"/>
  <c r="I6542" i="41"/>
  <c r="J6538" i="41"/>
  <c r="G6538" i="41"/>
  <c r="K6538" i="41"/>
  <c r="H6538" i="41"/>
  <c r="I6538" i="41"/>
  <c r="J6534" i="41"/>
  <c r="G6534" i="41"/>
  <c r="K6534" i="41"/>
  <c r="H6534" i="41"/>
  <c r="I6534" i="41"/>
  <c r="J6530" i="41"/>
  <c r="G6530" i="41"/>
  <c r="K6530" i="41"/>
  <c r="H6530" i="41"/>
  <c r="I6530" i="41"/>
  <c r="J6526" i="41"/>
  <c r="G6526" i="41"/>
  <c r="K6526" i="41"/>
  <c r="H6526" i="41"/>
  <c r="I6526" i="41"/>
  <c r="J6522" i="41"/>
  <c r="G6522" i="41"/>
  <c r="K6522" i="41"/>
  <c r="H6522" i="41"/>
  <c r="I6522" i="41"/>
  <c r="J6518" i="41"/>
  <c r="G6518" i="41"/>
  <c r="K6518" i="41"/>
  <c r="H6518" i="41"/>
  <c r="I6518" i="41"/>
  <c r="J6514" i="41"/>
  <c r="G6514" i="41"/>
  <c r="K6514" i="41"/>
  <c r="H6514" i="41"/>
  <c r="I6514" i="41"/>
  <c r="J6510" i="41"/>
  <c r="G6510" i="41"/>
  <c r="K6510" i="41"/>
  <c r="H6510" i="41"/>
  <c r="I6510" i="41"/>
  <c r="J6506" i="41"/>
  <c r="G6506" i="41"/>
  <c r="K6506" i="41"/>
  <c r="H6506" i="41"/>
  <c r="I6506" i="41"/>
  <c r="J6502" i="41"/>
  <c r="G6502" i="41"/>
  <c r="K6502" i="41"/>
  <c r="H6502" i="41"/>
  <c r="I6502" i="41"/>
  <c r="J6498" i="41"/>
  <c r="G6498" i="41"/>
  <c r="K6498" i="41"/>
  <c r="H6498" i="41"/>
  <c r="I6498" i="41"/>
  <c r="J6494" i="41"/>
  <c r="G6494" i="41"/>
  <c r="K6494" i="41"/>
  <c r="H6494" i="41"/>
  <c r="I6494" i="41"/>
  <c r="J6478" i="41"/>
  <c r="G6478" i="41"/>
  <c r="K6478" i="41"/>
  <c r="H6478" i="41"/>
  <c r="I6478" i="41"/>
  <c r="J6462" i="41"/>
  <c r="G6462" i="41"/>
  <c r="K6462" i="41"/>
  <c r="H6462" i="41"/>
  <c r="I6462" i="41"/>
  <c r="J6446" i="41"/>
  <c r="G6446" i="41"/>
  <c r="K6446" i="41"/>
  <c r="H6446" i="41"/>
  <c r="I6446" i="41"/>
  <c r="J6430" i="41"/>
  <c r="G6430" i="41"/>
  <c r="K6430" i="41"/>
  <c r="H6430" i="41"/>
  <c r="I6430" i="41"/>
  <c r="J6414" i="41"/>
  <c r="G6414" i="41"/>
  <c r="K6414" i="41"/>
  <c r="H6414" i="41"/>
  <c r="I6414" i="41"/>
  <c r="J6398" i="41"/>
  <c r="G6398" i="41"/>
  <c r="K6398" i="41"/>
  <c r="H6398" i="41"/>
  <c r="I6398" i="41"/>
  <c r="J6382" i="41"/>
  <c r="G6382" i="41"/>
  <c r="K6382" i="41"/>
  <c r="H6382" i="41"/>
  <c r="I6382" i="41"/>
  <c r="J6366" i="41"/>
  <c r="G6366" i="41"/>
  <c r="K6366" i="41"/>
  <c r="H6366" i="41"/>
  <c r="I6366" i="41"/>
  <c r="J6350" i="41"/>
  <c r="G6350" i="41"/>
  <c r="K6350" i="41"/>
  <c r="H6350" i="41"/>
  <c r="I6350" i="41"/>
  <c r="J6334" i="41"/>
  <c r="G6334" i="41"/>
  <c r="K6334" i="41"/>
  <c r="H6334" i="41"/>
  <c r="I6334" i="41"/>
  <c r="J6318" i="41"/>
  <c r="G6318" i="41"/>
  <c r="K6318" i="41"/>
  <c r="H6318" i="41"/>
  <c r="I6318" i="41"/>
  <c r="J6302" i="41"/>
  <c r="G6302" i="41"/>
  <c r="K6302" i="41"/>
  <c r="H6302" i="41"/>
  <c r="I6302" i="41"/>
  <c r="J6286" i="41"/>
  <c r="G6286" i="41"/>
  <c r="K6286" i="41"/>
  <c r="H6286" i="41"/>
  <c r="I6286" i="41"/>
  <c r="J6270" i="41"/>
  <c r="G6270" i="41"/>
  <c r="K6270" i="41"/>
  <c r="H6270" i="41"/>
  <c r="I6270" i="41"/>
  <c r="J6254" i="41"/>
  <c r="G6254" i="41"/>
  <c r="K6254" i="41"/>
  <c r="H6254" i="41"/>
  <c r="I6254" i="41"/>
  <c r="J6238" i="41"/>
  <c r="G6238" i="41"/>
  <c r="K6238" i="41"/>
  <c r="H6238" i="41"/>
  <c r="I6238" i="41"/>
  <c r="J6222" i="41"/>
  <c r="G6222" i="41"/>
  <c r="K6222" i="41"/>
  <c r="H6222" i="41"/>
  <c r="I6222" i="41"/>
  <c r="J6206" i="41"/>
  <c r="G6206" i="41"/>
  <c r="K6206" i="41"/>
  <c r="H6206" i="41"/>
  <c r="I6206" i="41"/>
  <c r="J6190" i="41"/>
  <c r="G6190" i="41"/>
  <c r="K6190" i="41"/>
  <c r="H6190" i="41"/>
  <c r="I6190" i="41"/>
  <c r="J6174" i="41"/>
  <c r="G6174" i="41"/>
  <c r="K6174" i="41"/>
  <c r="H6174" i="41"/>
  <c r="I6174" i="41"/>
  <c r="J6158" i="41"/>
  <c r="G6158" i="41"/>
  <c r="K6158" i="41"/>
  <c r="H6158" i="41"/>
  <c r="I6158" i="41"/>
  <c r="J6142" i="41"/>
  <c r="G6142" i="41"/>
  <c r="K6142" i="41"/>
  <c r="H6142" i="41"/>
  <c r="I6142" i="41"/>
  <c r="J6126" i="41"/>
  <c r="G6126" i="41"/>
  <c r="K6126" i="41"/>
  <c r="H6126" i="41"/>
  <c r="I6126" i="41"/>
  <c r="J6110" i="41"/>
  <c r="G6110" i="41"/>
  <c r="K6110" i="41"/>
  <c r="H6110" i="41"/>
  <c r="I6110" i="41"/>
  <c r="J6094" i="41"/>
  <c r="G6094" i="41"/>
  <c r="K6094" i="41"/>
  <c r="H6094" i="41"/>
  <c r="I6094" i="41"/>
  <c r="J6078" i="41"/>
  <c r="G6078" i="41"/>
  <c r="K6078" i="41"/>
  <c r="H6078" i="41"/>
  <c r="I6078" i="41"/>
  <c r="J6491" i="41"/>
  <c r="G6491" i="41"/>
  <c r="K6491" i="41"/>
  <c r="H6491" i="41"/>
  <c r="I6491" i="41"/>
  <c r="J6475" i="41"/>
  <c r="G6475" i="41"/>
  <c r="K6475" i="41"/>
  <c r="H6475" i="41"/>
  <c r="I6475" i="41"/>
  <c r="J6459" i="41"/>
  <c r="G6459" i="41"/>
  <c r="K6459" i="41"/>
  <c r="H6459" i="41"/>
  <c r="I6459" i="41"/>
  <c r="J6443" i="41"/>
  <c r="G6443" i="41"/>
  <c r="K6443" i="41"/>
  <c r="H6443" i="41"/>
  <c r="I6443" i="41"/>
  <c r="J6427" i="41"/>
  <c r="G6427" i="41"/>
  <c r="K6427" i="41"/>
  <c r="H6427" i="41"/>
  <c r="I6427" i="41"/>
  <c r="J6411" i="41"/>
  <c r="G6411" i="41"/>
  <c r="K6411" i="41"/>
  <c r="H6411" i="41"/>
  <c r="I6411" i="41"/>
  <c r="J6395" i="41"/>
  <c r="G6395" i="41"/>
  <c r="K6395" i="41"/>
  <c r="H6395" i="41"/>
  <c r="I6395" i="41"/>
  <c r="J6379" i="41"/>
  <c r="G6379" i="41"/>
  <c r="K6379" i="41"/>
  <c r="H6379" i="41"/>
  <c r="I6379" i="41"/>
  <c r="J6363" i="41"/>
  <c r="G6363" i="41"/>
  <c r="K6363" i="41"/>
  <c r="H6363" i="41"/>
  <c r="I6363" i="41"/>
  <c r="J6347" i="41"/>
  <c r="G6347" i="41"/>
  <c r="K6347" i="41"/>
  <c r="H6347" i="41"/>
  <c r="I6347" i="41"/>
  <c r="J6331" i="41"/>
  <c r="G6331" i="41"/>
  <c r="K6331" i="41"/>
  <c r="H6331" i="41"/>
  <c r="I6331" i="41"/>
  <c r="J6315" i="41"/>
  <c r="G6315" i="41"/>
  <c r="K6315" i="41"/>
  <c r="H6315" i="41"/>
  <c r="I6315" i="41"/>
  <c r="J6299" i="41"/>
  <c r="G6299" i="41"/>
  <c r="K6299" i="41"/>
  <c r="H6299" i="41"/>
  <c r="I6299" i="41"/>
  <c r="J6283" i="41"/>
  <c r="G6283" i="41"/>
  <c r="K6283" i="41"/>
  <c r="H6283" i="41"/>
  <c r="I6283" i="41"/>
  <c r="J6267" i="41"/>
  <c r="G6267" i="41"/>
  <c r="K6267" i="41"/>
  <c r="H6267" i="41"/>
  <c r="I6267" i="41"/>
  <c r="J6251" i="41"/>
  <c r="G6251" i="41"/>
  <c r="K6251" i="41"/>
  <c r="H6251" i="41"/>
  <c r="I6251" i="41"/>
  <c r="J6235" i="41"/>
  <c r="G6235" i="41"/>
  <c r="K6235" i="41"/>
  <c r="H6235" i="41"/>
  <c r="I6235" i="41"/>
  <c r="J6219" i="41"/>
  <c r="G6219" i="41"/>
  <c r="K6219" i="41"/>
  <c r="H6219" i="41"/>
  <c r="I6219" i="41"/>
  <c r="J6203" i="41"/>
  <c r="G6203" i="41"/>
  <c r="K6203" i="41"/>
  <c r="H6203" i="41"/>
  <c r="I6203" i="41"/>
  <c r="J6187" i="41"/>
  <c r="G6187" i="41"/>
  <c r="K6187" i="41"/>
  <c r="H6187" i="41"/>
  <c r="I6187" i="41"/>
  <c r="J6171" i="41"/>
  <c r="G6171" i="41"/>
  <c r="K6171" i="41"/>
  <c r="H6171" i="41"/>
  <c r="I6171" i="41"/>
  <c r="J6155" i="41"/>
  <c r="G6155" i="41"/>
  <c r="K6155" i="41"/>
  <c r="H6155" i="41"/>
  <c r="I6155" i="41"/>
  <c r="J6139" i="41"/>
  <c r="G6139" i="41"/>
  <c r="K6139" i="41"/>
  <c r="H6139" i="41"/>
  <c r="I6139" i="41"/>
  <c r="J6123" i="41"/>
  <c r="G6123" i="41"/>
  <c r="K6123" i="41"/>
  <c r="H6123" i="41"/>
  <c r="I6123" i="41"/>
  <c r="J6107" i="41"/>
  <c r="G6107" i="41"/>
  <c r="K6107" i="41"/>
  <c r="H6107" i="41"/>
  <c r="I6107" i="41"/>
  <c r="J6091" i="41"/>
  <c r="G6091" i="41"/>
  <c r="K6091" i="41"/>
  <c r="H6091" i="41"/>
  <c r="I6091" i="41"/>
  <c r="J6075" i="41"/>
  <c r="G6075" i="41"/>
  <c r="K6075" i="41"/>
  <c r="H6075" i="41"/>
  <c r="I6075" i="41"/>
  <c r="J5785" i="41"/>
  <c r="G5785" i="41"/>
  <c r="H5785" i="41"/>
  <c r="I5785" i="41"/>
  <c r="K5785" i="41"/>
  <c r="J5735" i="41"/>
  <c r="G5735" i="41"/>
  <c r="K5735" i="41"/>
  <c r="H5735" i="41"/>
  <c r="I5735" i="41"/>
  <c r="J5703" i="41"/>
  <c r="G5703" i="41"/>
  <c r="K5703" i="41"/>
  <c r="H5703" i="41"/>
  <c r="I5703" i="41"/>
  <c r="J5671" i="41"/>
  <c r="G5671" i="41"/>
  <c r="K5671" i="41"/>
  <c r="H5671" i="41"/>
  <c r="I5671" i="41"/>
  <c r="J5639" i="41"/>
  <c r="G5639" i="41"/>
  <c r="K5639" i="41"/>
  <c r="H5639" i="41"/>
  <c r="I5639" i="41"/>
  <c r="J5607" i="41"/>
  <c r="G5607" i="41"/>
  <c r="K5607" i="41"/>
  <c r="H5607" i="41"/>
  <c r="I5607" i="41"/>
  <c r="J5575" i="41"/>
  <c r="G5575" i="41"/>
  <c r="K5575" i="41"/>
  <c r="H5575" i="41"/>
  <c r="I5575" i="41"/>
  <c r="J5528" i="41"/>
  <c r="G5528" i="41"/>
  <c r="H5528" i="41"/>
  <c r="I5528" i="41"/>
  <c r="K5528" i="41"/>
  <c r="J5739" i="41"/>
  <c r="G5739" i="41"/>
  <c r="K5739" i="41"/>
  <c r="H5739" i="41"/>
  <c r="I5739" i="41"/>
  <c r="J5707" i="41"/>
  <c r="G5707" i="41"/>
  <c r="K5707" i="41"/>
  <c r="H5707" i="41"/>
  <c r="I5707" i="41"/>
  <c r="J5675" i="41"/>
  <c r="G5675" i="41"/>
  <c r="K5675" i="41"/>
  <c r="H5675" i="41"/>
  <c r="I5675" i="41"/>
  <c r="J5643" i="41"/>
  <c r="G5643" i="41"/>
  <c r="K5643" i="41"/>
  <c r="H5643" i="41"/>
  <c r="I5643" i="41"/>
  <c r="J5611" i="41"/>
  <c r="G5611" i="41"/>
  <c r="K5611" i="41"/>
  <c r="H5611" i="41"/>
  <c r="I5611" i="41"/>
  <c r="J5579" i="41"/>
  <c r="G5579" i="41"/>
  <c r="K5579" i="41"/>
  <c r="H5579" i="41"/>
  <c r="I5579" i="41"/>
  <c r="J5547" i="41"/>
  <c r="G5547" i="41"/>
  <c r="K5547" i="41"/>
  <c r="H5547" i="41"/>
  <c r="I5547" i="41"/>
  <c r="J5756" i="41"/>
  <c r="G5756" i="41"/>
  <c r="K5756" i="41"/>
  <c r="H5756" i="41"/>
  <c r="I5756" i="41"/>
  <c r="J5740" i="41"/>
  <c r="G5740" i="41"/>
  <c r="K5740" i="41"/>
  <c r="H5740" i="41"/>
  <c r="I5740" i="41"/>
  <c r="J5724" i="41"/>
  <c r="G5724" i="41"/>
  <c r="K5724" i="41"/>
  <c r="H5724" i="41"/>
  <c r="I5724" i="41"/>
  <c r="J5708" i="41"/>
  <c r="G5708" i="41"/>
  <c r="K5708" i="41"/>
  <c r="H5708" i="41"/>
  <c r="I5708" i="41"/>
  <c r="J5692" i="41"/>
  <c r="G5692" i="41"/>
  <c r="K5692" i="41"/>
  <c r="H5692" i="41"/>
  <c r="I5692" i="41"/>
  <c r="J5676" i="41"/>
  <c r="G5676" i="41"/>
  <c r="K5676" i="41"/>
  <c r="H5676" i="41"/>
  <c r="I5676" i="41"/>
  <c r="J5660" i="41"/>
  <c r="G5660" i="41"/>
  <c r="K5660" i="41"/>
  <c r="H5660" i="41"/>
  <c r="I5660" i="41"/>
  <c r="J5644" i="41"/>
  <c r="G5644" i="41"/>
  <c r="K5644" i="41"/>
  <c r="H5644" i="41"/>
  <c r="I5644" i="41"/>
  <c r="J5628" i="41"/>
  <c r="G5628" i="41"/>
  <c r="K5628" i="41"/>
  <c r="H5628" i="41"/>
  <c r="I5628" i="41"/>
  <c r="J5612" i="41"/>
  <c r="G5612" i="41"/>
  <c r="K5612" i="41"/>
  <c r="H5612" i="41"/>
  <c r="I5612" i="41"/>
  <c r="J5596" i="41"/>
  <c r="G5596" i="41"/>
  <c r="K5596" i="41"/>
  <c r="H5596" i="41"/>
  <c r="I5596" i="41"/>
  <c r="J5580" i="41"/>
  <c r="G5580" i="41"/>
  <c r="K5580" i="41"/>
  <c r="H5580" i="41"/>
  <c r="I5580" i="41"/>
  <c r="J5564" i="41"/>
  <c r="G5564" i="41"/>
  <c r="K5564" i="41"/>
  <c r="H5564" i="41"/>
  <c r="I5564" i="41"/>
  <c r="J5548" i="41"/>
  <c r="G5548" i="41"/>
  <c r="K5548" i="41"/>
  <c r="H5548" i="41"/>
  <c r="I5548" i="41"/>
  <c r="J5518" i="41"/>
  <c r="G5518" i="41"/>
  <c r="H5518" i="41"/>
  <c r="I5518" i="41"/>
  <c r="K5518" i="41"/>
  <c r="J5783" i="41"/>
  <c r="G5783" i="41"/>
  <c r="K5783" i="41"/>
  <c r="H5783" i="41"/>
  <c r="I5783" i="41"/>
  <c r="J5779" i="41"/>
  <c r="G5779" i="41"/>
  <c r="K5779" i="41"/>
  <c r="H5779" i="41"/>
  <c r="I5779" i="41"/>
  <c r="J5775" i="41"/>
  <c r="G5775" i="41"/>
  <c r="K5775" i="41"/>
  <c r="H5775" i="41"/>
  <c r="I5775" i="41"/>
  <c r="J5771" i="41"/>
  <c r="G5771" i="41"/>
  <c r="K5771" i="41"/>
  <c r="H5771" i="41"/>
  <c r="I5771" i="41"/>
  <c r="J5767" i="41"/>
  <c r="G5767" i="41"/>
  <c r="K5767" i="41"/>
  <c r="H5767" i="41"/>
  <c r="I5767" i="41"/>
  <c r="J5763" i="41"/>
  <c r="G5763" i="41"/>
  <c r="K5763" i="41"/>
  <c r="H5763" i="41"/>
  <c r="I5763" i="41"/>
  <c r="J5753" i="41"/>
  <c r="G5753" i="41"/>
  <c r="K5753" i="41"/>
  <c r="H5753" i="41"/>
  <c r="I5753" i="41"/>
  <c r="J5737" i="41"/>
  <c r="G5737" i="41"/>
  <c r="K5737" i="41"/>
  <c r="H5737" i="41"/>
  <c r="I5737" i="41"/>
  <c r="J5721" i="41"/>
  <c r="G5721" i="41"/>
  <c r="K5721" i="41"/>
  <c r="H5721" i="41"/>
  <c r="I5721" i="41"/>
  <c r="J5705" i="41"/>
  <c r="G5705" i="41"/>
  <c r="K5705" i="41"/>
  <c r="H5705" i="41"/>
  <c r="I5705" i="41"/>
  <c r="J5689" i="41"/>
  <c r="G5689" i="41"/>
  <c r="K5689" i="41"/>
  <c r="H5689" i="41"/>
  <c r="I5689" i="41"/>
  <c r="J5673" i="41"/>
  <c r="G5673" i="41"/>
  <c r="K5673" i="41"/>
  <c r="H5673" i="41"/>
  <c r="I5673" i="41"/>
  <c r="J5657" i="41"/>
  <c r="G5657" i="41"/>
  <c r="K5657" i="41"/>
  <c r="H5657" i="41"/>
  <c r="I5657" i="41"/>
  <c r="J5641" i="41"/>
  <c r="G5641" i="41"/>
  <c r="K5641" i="41"/>
  <c r="H5641" i="41"/>
  <c r="I5641" i="41"/>
  <c r="J5625" i="41"/>
  <c r="G5625" i="41"/>
  <c r="K5625" i="41"/>
  <c r="H5625" i="41"/>
  <c r="I5625" i="41"/>
  <c r="J5609" i="41"/>
  <c r="G5609" i="41"/>
  <c r="K5609" i="41"/>
  <c r="H5609" i="41"/>
  <c r="I5609" i="41"/>
  <c r="J5593" i="41"/>
  <c r="G5593" i="41"/>
  <c r="K5593" i="41"/>
  <c r="H5593" i="41"/>
  <c r="I5593" i="41"/>
  <c r="J5577" i="41"/>
  <c r="G5577" i="41"/>
  <c r="K5577" i="41"/>
  <c r="H5577" i="41"/>
  <c r="I5577" i="41"/>
  <c r="J5561" i="41"/>
  <c r="G5561" i="41"/>
  <c r="K5561" i="41"/>
  <c r="H5561" i="41"/>
  <c r="I5561" i="41"/>
  <c r="J5540" i="41"/>
  <c r="G5540" i="41"/>
  <c r="H5540" i="41"/>
  <c r="I5540" i="41"/>
  <c r="K5540" i="41"/>
  <c r="J5508" i="41"/>
  <c r="G5508" i="41"/>
  <c r="H5508" i="41"/>
  <c r="I5508" i="41"/>
  <c r="K5508" i="41"/>
  <c r="J5750" i="41"/>
  <c r="G5750" i="41"/>
  <c r="K5750" i="41"/>
  <c r="H5750" i="41"/>
  <c r="I5750" i="41"/>
  <c r="J5734" i="41"/>
  <c r="G5734" i="41"/>
  <c r="K5734" i="41"/>
  <c r="H5734" i="41"/>
  <c r="I5734" i="41"/>
  <c r="J5718" i="41"/>
  <c r="G5718" i="41"/>
  <c r="K5718" i="41"/>
  <c r="H5718" i="41"/>
  <c r="I5718" i="41"/>
  <c r="J5702" i="41"/>
  <c r="G5702" i="41"/>
  <c r="K5702" i="41"/>
  <c r="H5702" i="41"/>
  <c r="I5702" i="41"/>
  <c r="J5686" i="41"/>
  <c r="G5686" i="41"/>
  <c r="K5686" i="41"/>
  <c r="H5686" i="41"/>
  <c r="I5686" i="41"/>
  <c r="J5670" i="41"/>
  <c r="G5670" i="41"/>
  <c r="K5670" i="41"/>
  <c r="H5670" i="41"/>
  <c r="I5670" i="41"/>
  <c r="J5654" i="41"/>
  <c r="G5654" i="41"/>
  <c r="K5654" i="41"/>
  <c r="H5654" i="41"/>
  <c r="I5654" i="41"/>
  <c r="J5638" i="41"/>
  <c r="G5638" i="41"/>
  <c r="K5638" i="41"/>
  <c r="H5638" i="41"/>
  <c r="I5638" i="41"/>
  <c r="J5622" i="41"/>
  <c r="G5622" i="41"/>
  <c r="K5622" i="41"/>
  <c r="H5622" i="41"/>
  <c r="I5622" i="41"/>
  <c r="J5606" i="41"/>
  <c r="G5606" i="41"/>
  <c r="K5606" i="41"/>
  <c r="H5606" i="41"/>
  <c r="I5606" i="41"/>
  <c r="J5590" i="41"/>
  <c r="G5590" i="41"/>
  <c r="K5590" i="41"/>
  <c r="H5590" i="41"/>
  <c r="I5590" i="41"/>
  <c r="J5574" i="41"/>
  <c r="G5574" i="41"/>
  <c r="K5574" i="41"/>
  <c r="H5574" i="41"/>
  <c r="I5574" i="41"/>
  <c r="J5558" i="41"/>
  <c r="G5558" i="41"/>
  <c r="K5558" i="41"/>
  <c r="H5558" i="41"/>
  <c r="I5558" i="41"/>
  <c r="J5538" i="41"/>
  <c r="G5538" i="41"/>
  <c r="H5538" i="41"/>
  <c r="I5538" i="41"/>
  <c r="K5538" i="41"/>
  <c r="H5507" i="41"/>
  <c r="J5507" i="41"/>
  <c r="I5507" i="41"/>
  <c r="K5507" i="41"/>
  <c r="G5507" i="41"/>
  <c r="J5541" i="41"/>
  <c r="I5541" i="41"/>
  <c r="K5541" i="41"/>
  <c r="G5541" i="41"/>
  <c r="H5541" i="41"/>
  <c r="J5533" i="41"/>
  <c r="I5533" i="41"/>
  <c r="K5533" i="41"/>
  <c r="G5533" i="41"/>
  <c r="H5533" i="41"/>
  <c r="J5525" i="41"/>
  <c r="I5525" i="41"/>
  <c r="K5525" i="41"/>
  <c r="G5525" i="41"/>
  <c r="H5525" i="41"/>
  <c r="J5517" i="41"/>
  <c r="I5517" i="41"/>
  <c r="K5517" i="41"/>
  <c r="G5517" i="41"/>
  <c r="H5517" i="41"/>
  <c r="J5509" i="41"/>
  <c r="I5509" i="41"/>
  <c r="K5509" i="41"/>
  <c r="G5509" i="41"/>
  <c r="H5509" i="41"/>
  <c r="H5501" i="41"/>
  <c r="J5501" i="41"/>
  <c r="G5501" i="41"/>
  <c r="I5501" i="41"/>
  <c r="K5501" i="41"/>
  <c r="J5078" i="41"/>
  <c r="G5078" i="41"/>
  <c r="K5078" i="41"/>
  <c r="H5078" i="41"/>
  <c r="I5078" i="41"/>
  <c r="J5046" i="41"/>
  <c r="G5046" i="41"/>
  <c r="K5046" i="41"/>
  <c r="H5046" i="41"/>
  <c r="I5046" i="41"/>
  <c r="J5014" i="41"/>
  <c r="G5014" i="41"/>
  <c r="K5014" i="41"/>
  <c r="H5014" i="41"/>
  <c r="I5014" i="41"/>
  <c r="H5500" i="41"/>
  <c r="J5500" i="41"/>
  <c r="G5500" i="41"/>
  <c r="I5500" i="41"/>
  <c r="K5500" i="41"/>
  <c r="H5496" i="41"/>
  <c r="I5496" i="41"/>
  <c r="J5496" i="41"/>
  <c r="G5496" i="41"/>
  <c r="K5496" i="41"/>
  <c r="H5492" i="41"/>
  <c r="I5492" i="41"/>
  <c r="J5492" i="41"/>
  <c r="G5492" i="41"/>
  <c r="K5492" i="41"/>
  <c r="H5488" i="41"/>
  <c r="I5488" i="41"/>
  <c r="J5488" i="41"/>
  <c r="G5488" i="41"/>
  <c r="K5488" i="41"/>
  <c r="H5484" i="41"/>
  <c r="I5484" i="41"/>
  <c r="J5484" i="41"/>
  <c r="G5484" i="41"/>
  <c r="K5484" i="41"/>
  <c r="H5480" i="41"/>
  <c r="I5480" i="41"/>
  <c r="J5480" i="41"/>
  <c r="G5480" i="41"/>
  <c r="K5480" i="41"/>
  <c r="H5476" i="41"/>
  <c r="I5476" i="41"/>
  <c r="J5476" i="41"/>
  <c r="G5476" i="41"/>
  <c r="K5476" i="41"/>
  <c r="H5472" i="41"/>
  <c r="I5472" i="41"/>
  <c r="J5472" i="41"/>
  <c r="G5472" i="41"/>
  <c r="K5472" i="41"/>
  <c r="H5468" i="41"/>
  <c r="I5468" i="41"/>
  <c r="J5468" i="41"/>
  <c r="G5468" i="41"/>
  <c r="K5468" i="41"/>
  <c r="H5464" i="41"/>
  <c r="I5464" i="41"/>
  <c r="J5464" i="41"/>
  <c r="G5464" i="41"/>
  <c r="K5464" i="41"/>
  <c r="H5460" i="41"/>
  <c r="I5460" i="41"/>
  <c r="J5460" i="41"/>
  <c r="G5460" i="41"/>
  <c r="K5460" i="41"/>
  <c r="H5456" i="41"/>
  <c r="I5456" i="41"/>
  <c r="J5456" i="41"/>
  <c r="G5456" i="41"/>
  <c r="K5456" i="41"/>
  <c r="H5452" i="41"/>
  <c r="I5452" i="41"/>
  <c r="J5452" i="41"/>
  <c r="G5452" i="41"/>
  <c r="K5452" i="41"/>
  <c r="H5448" i="41"/>
  <c r="I5448" i="41"/>
  <c r="J5448" i="41"/>
  <c r="G5448" i="41"/>
  <c r="K5448" i="41"/>
  <c r="H5444" i="41"/>
  <c r="I5444" i="41"/>
  <c r="J5444" i="41"/>
  <c r="G5444" i="41"/>
  <c r="K5444" i="41"/>
  <c r="H5440" i="41"/>
  <c r="I5440" i="41"/>
  <c r="J5440" i="41"/>
  <c r="G5440" i="41"/>
  <c r="K5440" i="41"/>
  <c r="H5436" i="41"/>
  <c r="I5436" i="41"/>
  <c r="J5436" i="41"/>
  <c r="G5436" i="41"/>
  <c r="K5436" i="41"/>
  <c r="H5432" i="41"/>
  <c r="I5432" i="41"/>
  <c r="J5432" i="41"/>
  <c r="G5432" i="41"/>
  <c r="K5432" i="41"/>
  <c r="H5428" i="41"/>
  <c r="I5428" i="41"/>
  <c r="J5428" i="41"/>
  <c r="G5428" i="41"/>
  <c r="K5428" i="41"/>
  <c r="H5424" i="41"/>
  <c r="I5424" i="41"/>
  <c r="J5424" i="41"/>
  <c r="G5424" i="41"/>
  <c r="K5424" i="41"/>
  <c r="H5420" i="41"/>
  <c r="I5420" i="41"/>
  <c r="J5420" i="41"/>
  <c r="G5420" i="41"/>
  <c r="K5420" i="41"/>
  <c r="H5416" i="41"/>
  <c r="I5416" i="41"/>
  <c r="J5416" i="41"/>
  <c r="G5416" i="41"/>
  <c r="K5416" i="41"/>
  <c r="H5412" i="41"/>
  <c r="I5412" i="41"/>
  <c r="J5412" i="41"/>
  <c r="G5412" i="41"/>
  <c r="K5412" i="41"/>
  <c r="H5408" i="41"/>
  <c r="I5408" i="41"/>
  <c r="J5408" i="41"/>
  <c r="G5408" i="41"/>
  <c r="K5408" i="41"/>
  <c r="H5404" i="41"/>
  <c r="I5404" i="41"/>
  <c r="J5404" i="41"/>
  <c r="G5404" i="41"/>
  <c r="K5404" i="41"/>
  <c r="H5400" i="41"/>
  <c r="I5400" i="41"/>
  <c r="J5400" i="41"/>
  <c r="G5400" i="41"/>
  <c r="K5400" i="41"/>
  <c r="H5396" i="41"/>
  <c r="I5396" i="41"/>
  <c r="J5396" i="41"/>
  <c r="G5396" i="41"/>
  <c r="K5396" i="41"/>
  <c r="H5392" i="41"/>
  <c r="I5392" i="41"/>
  <c r="J5392" i="41"/>
  <c r="G5392" i="41"/>
  <c r="K5392" i="41"/>
  <c r="H5388" i="41"/>
  <c r="I5388" i="41"/>
  <c r="J5388" i="41"/>
  <c r="G5388" i="41"/>
  <c r="K5388" i="41"/>
  <c r="H5384" i="41"/>
  <c r="I5384" i="41"/>
  <c r="J5384" i="41"/>
  <c r="G5384" i="41"/>
  <c r="K5384" i="41"/>
  <c r="H5380" i="41"/>
  <c r="I5380" i="41"/>
  <c r="J5380" i="41"/>
  <c r="G5380" i="41"/>
  <c r="K5380" i="41"/>
  <c r="H5376" i="41"/>
  <c r="I5376" i="41"/>
  <c r="J5376" i="41"/>
  <c r="G5376" i="41"/>
  <c r="K5376" i="41"/>
  <c r="H5372" i="41"/>
  <c r="I5372" i="41"/>
  <c r="J5372" i="41"/>
  <c r="G5372" i="41"/>
  <c r="K5372" i="41"/>
  <c r="H5368" i="41"/>
  <c r="I5368" i="41"/>
  <c r="J5368" i="41"/>
  <c r="G5368" i="41"/>
  <c r="K5368" i="41"/>
  <c r="H5364" i="41"/>
  <c r="I5364" i="41"/>
  <c r="J5364" i="41"/>
  <c r="G5364" i="41"/>
  <c r="K5364" i="41"/>
  <c r="H5360" i="41"/>
  <c r="I5360" i="41"/>
  <c r="J5360" i="41"/>
  <c r="G5360" i="41"/>
  <c r="K5360" i="41"/>
  <c r="H5356" i="41"/>
  <c r="I5356" i="41"/>
  <c r="J5356" i="41"/>
  <c r="G5356" i="41"/>
  <c r="K5356" i="41"/>
  <c r="H5352" i="41"/>
  <c r="I5352" i="41"/>
  <c r="J5352" i="41"/>
  <c r="G5352" i="41"/>
  <c r="K5352" i="41"/>
  <c r="H5348" i="41"/>
  <c r="I5348" i="41"/>
  <c r="J5348" i="41"/>
  <c r="G5348" i="41"/>
  <c r="K5348" i="41"/>
  <c r="H5344" i="41"/>
  <c r="I5344" i="41"/>
  <c r="J5344" i="41"/>
  <c r="G5344" i="41"/>
  <c r="K5344" i="41"/>
  <c r="H5340" i="41"/>
  <c r="I5340" i="41"/>
  <c r="J5340" i="41"/>
  <c r="G5340" i="41"/>
  <c r="K5340" i="41"/>
  <c r="H5336" i="41"/>
  <c r="I5336" i="41"/>
  <c r="J5336" i="41"/>
  <c r="G5336" i="41"/>
  <c r="K5336" i="41"/>
  <c r="H5332" i="41"/>
  <c r="I5332" i="41"/>
  <c r="J5332" i="41"/>
  <c r="G5332" i="41"/>
  <c r="K5332" i="41"/>
  <c r="H5328" i="41"/>
  <c r="I5328" i="41"/>
  <c r="J5328" i="41"/>
  <c r="G5328" i="41"/>
  <c r="K5328" i="41"/>
  <c r="H5324" i="41"/>
  <c r="I5324" i="41"/>
  <c r="J5324" i="41"/>
  <c r="G5324" i="41"/>
  <c r="K5324" i="41"/>
  <c r="H5320" i="41"/>
  <c r="I5320" i="41"/>
  <c r="J5320" i="41"/>
  <c r="G5320" i="41"/>
  <c r="K5320" i="41"/>
  <c r="H5316" i="41"/>
  <c r="I5316" i="41"/>
  <c r="J5316" i="41"/>
  <c r="G5316" i="41"/>
  <c r="K5316" i="41"/>
  <c r="H5312" i="41"/>
  <c r="I5312" i="41"/>
  <c r="J5312" i="41"/>
  <c r="G5312" i="41"/>
  <c r="K5312" i="41"/>
  <c r="H5308" i="41"/>
  <c r="I5308" i="41"/>
  <c r="J5308" i="41"/>
  <c r="G5308" i="41"/>
  <c r="K5308" i="41"/>
  <c r="H5304" i="41"/>
  <c r="I5304" i="41"/>
  <c r="J5304" i="41"/>
  <c r="G5304" i="41"/>
  <c r="K5304" i="41"/>
  <c r="H5300" i="41"/>
  <c r="I5300" i="41"/>
  <c r="J5300" i="41"/>
  <c r="G5300" i="41"/>
  <c r="K5300" i="41"/>
  <c r="H5296" i="41"/>
  <c r="I5296" i="41"/>
  <c r="J5296" i="41"/>
  <c r="G5296" i="41"/>
  <c r="K5296" i="41"/>
  <c r="H5292" i="41"/>
  <c r="I5292" i="41"/>
  <c r="J5292" i="41"/>
  <c r="G5292" i="41"/>
  <c r="K5292" i="41"/>
  <c r="H5288" i="41"/>
  <c r="I5288" i="41"/>
  <c r="J5288" i="41"/>
  <c r="G5288" i="41"/>
  <c r="K5288" i="41"/>
  <c r="H5284" i="41"/>
  <c r="I5284" i="41"/>
  <c r="J5284" i="41"/>
  <c r="G5284" i="41"/>
  <c r="K5284" i="41"/>
  <c r="H5280" i="41"/>
  <c r="I5280" i="41"/>
  <c r="J5280" i="41"/>
  <c r="G5280" i="41"/>
  <c r="K5280" i="41"/>
  <c r="H5276" i="41"/>
  <c r="I5276" i="41"/>
  <c r="J5276" i="41"/>
  <c r="G5276" i="41"/>
  <c r="K5276" i="41"/>
  <c r="H5272" i="41"/>
  <c r="I5272" i="41"/>
  <c r="J5272" i="41"/>
  <c r="G5272" i="41"/>
  <c r="K5272" i="41"/>
  <c r="H5268" i="41"/>
  <c r="I5268" i="41"/>
  <c r="J5268" i="41"/>
  <c r="G5268" i="41"/>
  <c r="K5268" i="41"/>
  <c r="H5264" i="41"/>
  <c r="I5264" i="41"/>
  <c r="J5264" i="41"/>
  <c r="G5264" i="41"/>
  <c r="K5264" i="41"/>
  <c r="J5148" i="41"/>
  <c r="H5148" i="41"/>
  <c r="G5148" i="41"/>
  <c r="I5148" i="41"/>
  <c r="K5148" i="41"/>
  <c r="J5132" i="41"/>
  <c r="H5132" i="41"/>
  <c r="G5132" i="41"/>
  <c r="I5132" i="41"/>
  <c r="K5132" i="41"/>
  <c r="J5116" i="41"/>
  <c r="H5116" i="41"/>
  <c r="G5116" i="41"/>
  <c r="I5116" i="41"/>
  <c r="K5116" i="41"/>
  <c r="J5098" i="41"/>
  <c r="G5098" i="41"/>
  <c r="K5098" i="41"/>
  <c r="H5098" i="41"/>
  <c r="I5098" i="41"/>
  <c r="J5066" i="41"/>
  <c r="G5066" i="41"/>
  <c r="K5066" i="41"/>
  <c r="H5066" i="41"/>
  <c r="I5066" i="41"/>
  <c r="J5034" i="41"/>
  <c r="G5034" i="41"/>
  <c r="K5034" i="41"/>
  <c r="H5034" i="41"/>
  <c r="I5034" i="41"/>
  <c r="J5002" i="41"/>
  <c r="G5002" i="41"/>
  <c r="K5002" i="41"/>
  <c r="H5002" i="41"/>
  <c r="I5002" i="41"/>
  <c r="G5252" i="41"/>
  <c r="K5252" i="41"/>
  <c r="H5252" i="41"/>
  <c r="I5252" i="41"/>
  <c r="J5252" i="41"/>
  <c r="G5248" i="41"/>
  <c r="K5248" i="41"/>
  <c r="H5248" i="41"/>
  <c r="I5248" i="41"/>
  <c r="J5248" i="41"/>
  <c r="G5244" i="41"/>
  <c r="K5244" i="41"/>
  <c r="H5244" i="41"/>
  <c r="I5244" i="41"/>
  <c r="J5244" i="41"/>
  <c r="G5240" i="41"/>
  <c r="K5240" i="41"/>
  <c r="H5240" i="41"/>
  <c r="I5240" i="41"/>
  <c r="J5240" i="41"/>
  <c r="G5236" i="41"/>
  <c r="K5236" i="41"/>
  <c r="H5236" i="41"/>
  <c r="I5236" i="41"/>
  <c r="J5236" i="41"/>
  <c r="G5232" i="41"/>
  <c r="K5232" i="41"/>
  <c r="H5232" i="41"/>
  <c r="I5232" i="41"/>
  <c r="J5232" i="41"/>
  <c r="G5228" i="41"/>
  <c r="K5228" i="41"/>
  <c r="H5228" i="41"/>
  <c r="I5228" i="41"/>
  <c r="J5228" i="41"/>
  <c r="G5224" i="41"/>
  <c r="K5224" i="41"/>
  <c r="H5224" i="41"/>
  <c r="I5224" i="41"/>
  <c r="J5224" i="41"/>
  <c r="G5220" i="41"/>
  <c r="K5220" i="41"/>
  <c r="H5220" i="41"/>
  <c r="I5220" i="41"/>
  <c r="J5220" i="41"/>
  <c r="G5216" i="41"/>
  <c r="K5216" i="41"/>
  <c r="H5216" i="41"/>
  <c r="I5216" i="41"/>
  <c r="J5216" i="41"/>
  <c r="G5212" i="41"/>
  <c r="K5212" i="41"/>
  <c r="H5212" i="41"/>
  <c r="I5212" i="41"/>
  <c r="J5212" i="41"/>
  <c r="G5208" i="41"/>
  <c r="K5208" i="41"/>
  <c r="H5208" i="41"/>
  <c r="I5208" i="41"/>
  <c r="J5208" i="41"/>
  <c r="G5204" i="41"/>
  <c r="K5204" i="41"/>
  <c r="H5204" i="41"/>
  <c r="I5204" i="41"/>
  <c r="J5204" i="41"/>
  <c r="G5200" i="41"/>
  <c r="K5200" i="41"/>
  <c r="H5200" i="41"/>
  <c r="I5200" i="41"/>
  <c r="J5200" i="41"/>
  <c r="G5196" i="41"/>
  <c r="K5196" i="41"/>
  <c r="H5196" i="41"/>
  <c r="I5196" i="41"/>
  <c r="J5196" i="41"/>
  <c r="G5192" i="41"/>
  <c r="K5192" i="41"/>
  <c r="H5192" i="41"/>
  <c r="I5192" i="41"/>
  <c r="J5192" i="41"/>
  <c r="G5188" i="41"/>
  <c r="K5188" i="41"/>
  <c r="H5188" i="41"/>
  <c r="I5188" i="41"/>
  <c r="J5188" i="41"/>
  <c r="G5184" i="41"/>
  <c r="K5184" i="41"/>
  <c r="H5184" i="41"/>
  <c r="I5184" i="41"/>
  <c r="J5184" i="41"/>
  <c r="G5180" i="41"/>
  <c r="K5180" i="41"/>
  <c r="H5180" i="41"/>
  <c r="I5180" i="41"/>
  <c r="J5180" i="41"/>
  <c r="J5172" i="41"/>
  <c r="H5172" i="41"/>
  <c r="I5172" i="41"/>
  <c r="K5172" i="41"/>
  <c r="G5172" i="41"/>
  <c r="J5164" i="41"/>
  <c r="H5164" i="41"/>
  <c r="I5164" i="41"/>
  <c r="K5164" i="41"/>
  <c r="G5164" i="41"/>
  <c r="J5151" i="41"/>
  <c r="H5151" i="41"/>
  <c r="I5151" i="41"/>
  <c r="K5151" i="41"/>
  <c r="G5151" i="41"/>
  <c r="J5135" i="41"/>
  <c r="H5135" i="41"/>
  <c r="I5135" i="41"/>
  <c r="K5135" i="41"/>
  <c r="G5135" i="41"/>
  <c r="J5119" i="41"/>
  <c r="H5119" i="41"/>
  <c r="I5119" i="41"/>
  <c r="K5119" i="41"/>
  <c r="G5119" i="41"/>
  <c r="J5103" i="41"/>
  <c r="G5103" i="41"/>
  <c r="K5103" i="41"/>
  <c r="H5103" i="41"/>
  <c r="I5103" i="41"/>
  <c r="J5087" i="41"/>
  <c r="G5087" i="41"/>
  <c r="K5087" i="41"/>
  <c r="H5087" i="41"/>
  <c r="I5087" i="41"/>
  <c r="J5071" i="41"/>
  <c r="G5071" i="41"/>
  <c r="K5071" i="41"/>
  <c r="H5071" i="41"/>
  <c r="I5071" i="41"/>
  <c r="J5055" i="41"/>
  <c r="G5055" i="41"/>
  <c r="K5055" i="41"/>
  <c r="H5055" i="41"/>
  <c r="I5055" i="41"/>
  <c r="J5039" i="41"/>
  <c r="G5039" i="41"/>
  <c r="K5039" i="41"/>
  <c r="H5039" i="41"/>
  <c r="I5039" i="41"/>
  <c r="J5023" i="41"/>
  <c r="G5023" i="41"/>
  <c r="K5023" i="41"/>
  <c r="H5023" i="41"/>
  <c r="I5023" i="41"/>
  <c r="J5007" i="41"/>
  <c r="G5007" i="41"/>
  <c r="K5007" i="41"/>
  <c r="H5007" i="41"/>
  <c r="I5007" i="41"/>
  <c r="J4991" i="41"/>
  <c r="G4991" i="41"/>
  <c r="K4991" i="41"/>
  <c r="H4991" i="41"/>
  <c r="I4991" i="41"/>
  <c r="J5150" i="41"/>
  <c r="H5150" i="41"/>
  <c r="K5150" i="41"/>
  <c r="G5150" i="41"/>
  <c r="I5150" i="41"/>
  <c r="J5134" i="41"/>
  <c r="H5134" i="41"/>
  <c r="K5134" i="41"/>
  <c r="G5134" i="41"/>
  <c r="I5134" i="41"/>
  <c r="J5118" i="41"/>
  <c r="H5118" i="41"/>
  <c r="K5118" i="41"/>
  <c r="G5118" i="41"/>
  <c r="I5118" i="41"/>
  <c r="J5100" i="41"/>
  <c r="G5100" i="41"/>
  <c r="K5100" i="41"/>
  <c r="H5100" i="41"/>
  <c r="I5100" i="41"/>
  <c r="J5084" i="41"/>
  <c r="G5084" i="41"/>
  <c r="K5084" i="41"/>
  <c r="H5084" i="41"/>
  <c r="I5084" i="41"/>
  <c r="J5068" i="41"/>
  <c r="G5068" i="41"/>
  <c r="K5068" i="41"/>
  <c r="H5068" i="41"/>
  <c r="I5068" i="41"/>
  <c r="J5052" i="41"/>
  <c r="G5052" i="41"/>
  <c r="K5052" i="41"/>
  <c r="H5052" i="41"/>
  <c r="I5052" i="41"/>
  <c r="J5036" i="41"/>
  <c r="G5036" i="41"/>
  <c r="K5036" i="41"/>
  <c r="H5036" i="41"/>
  <c r="I5036" i="41"/>
  <c r="J5020" i="41"/>
  <c r="G5020" i="41"/>
  <c r="K5020" i="41"/>
  <c r="H5020" i="41"/>
  <c r="I5020" i="41"/>
  <c r="J5004" i="41"/>
  <c r="G5004" i="41"/>
  <c r="K5004" i="41"/>
  <c r="H5004" i="41"/>
  <c r="I5004" i="41"/>
  <c r="J4988" i="41"/>
  <c r="G4988" i="41"/>
  <c r="K4988" i="41"/>
  <c r="H4988" i="41"/>
  <c r="I4988" i="41"/>
  <c r="J5149" i="41"/>
  <c r="H5149" i="41"/>
  <c r="G5149" i="41"/>
  <c r="I5149" i="41"/>
  <c r="K5149" i="41"/>
  <c r="J5133" i="41"/>
  <c r="H5133" i="41"/>
  <c r="G5133" i="41"/>
  <c r="I5133" i="41"/>
  <c r="K5133" i="41"/>
  <c r="J5117" i="41"/>
  <c r="H5117" i="41"/>
  <c r="G5117" i="41"/>
  <c r="I5117" i="41"/>
  <c r="K5117" i="41"/>
  <c r="J5101" i="41"/>
  <c r="G5101" i="41"/>
  <c r="K5101" i="41"/>
  <c r="H5101" i="41"/>
  <c r="I5101" i="41"/>
  <c r="J5085" i="41"/>
  <c r="G5085" i="41"/>
  <c r="K5085" i="41"/>
  <c r="H5085" i="41"/>
  <c r="I5085" i="41"/>
  <c r="J5069" i="41"/>
  <c r="G5069" i="41"/>
  <c r="K5069" i="41"/>
  <c r="H5069" i="41"/>
  <c r="I5069" i="41"/>
  <c r="J5053" i="41"/>
  <c r="G5053" i="41"/>
  <c r="K5053" i="41"/>
  <c r="H5053" i="41"/>
  <c r="I5053" i="41"/>
  <c r="J5037" i="41"/>
  <c r="G5037" i="41"/>
  <c r="K5037" i="41"/>
  <c r="H5037" i="41"/>
  <c r="I5037" i="41"/>
  <c r="J5021" i="41"/>
  <c r="G5021" i="41"/>
  <c r="K5021" i="41"/>
  <c r="H5021" i="41"/>
  <c r="I5021" i="41"/>
  <c r="J5005" i="41"/>
  <c r="G5005" i="41"/>
  <c r="K5005" i="41"/>
  <c r="H5005" i="41"/>
  <c r="I5005" i="41"/>
  <c r="J4989" i="41"/>
  <c r="G4989" i="41"/>
  <c r="K4989" i="41"/>
  <c r="H4989" i="41"/>
  <c r="I4989" i="41"/>
  <c r="E655" i="6"/>
  <c r="E654" i="6"/>
  <c r="J4492" i="41" l="1"/>
  <c r="I4492" i="41"/>
  <c r="G4492" i="41"/>
  <c r="K4492" i="41"/>
  <c r="H4492" i="41"/>
  <c r="D4493" i="41"/>
  <c r="E4493" i="41" s="1"/>
  <c r="F4493" i="41" s="1"/>
  <c r="K4493" i="41" l="1"/>
  <c r="I4493" i="41"/>
  <c r="H4493" i="41"/>
  <c r="J4493" i="41"/>
  <c r="G4493" i="41"/>
  <c r="D4494" i="41"/>
  <c r="E4494" i="41" s="1"/>
  <c r="F4494" i="41" s="1"/>
  <c r="G774" i="37"/>
  <c r="G764" i="37"/>
  <c r="I770" i="37"/>
  <c r="J764" i="37"/>
  <c r="H776" i="37"/>
  <c r="G771" i="37"/>
  <c r="H777" i="37"/>
  <c r="G766" i="37"/>
  <c r="H769" i="37"/>
  <c r="H775" i="37"/>
  <c r="G481" i="35"/>
  <c r="G589" i="37" s="1"/>
  <c r="G216" i="35"/>
  <c r="G653" i="35" a="1"/>
  <c r="G653" i="35" s="1"/>
  <c r="G980" i="37" s="1"/>
  <c r="H231" i="38"/>
  <c r="G526" i="35"/>
  <c r="G479" i="35"/>
  <c r="G578" i="37" s="1"/>
  <c r="G266" i="35"/>
  <c r="M4858" i="41" s="1" a="1"/>
  <c r="M5183" i="41" s="1"/>
  <c r="G240" i="38"/>
  <c r="G535" i="35"/>
  <c r="I9" i="40" a="1"/>
  <c r="G65" i="34" l="1"/>
  <c r="G66" i="34" s="1"/>
  <c r="G67" i="34" s="1"/>
  <c r="H65" i="34"/>
  <c r="H66" i="34" s="1"/>
  <c r="H67" i="34" s="1"/>
  <c r="I67" i="34"/>
  <c r="I66" i="34" s="1"/>
  <c r="J67" i="34"/>
  <c r="J66" i="34" s="1"/>
  <c r="I65" i="34"/>
  <c r="J65" i="34"/>
  <c r="H764" i="37"/>
  <c r="G772" i="37"/>
  <c r="G512" i="35" a="1"/>
  <c r="G768" i="37"/>
  <c r="G103" i="35" a="1"/>
  <c r="H103" i="35" s="1"/>
  <c r="G93" i="35" a="1"/>
  <c r="G102" i="35" a="1"/>
  <c r="G94" i="35" a="1"/>
  <c r="G95" i="35" a="1"/>
  <c r="G195" i="35" a="1"/>
  <c r="K19" i="35" a="1"/>
  <c r="G101" i="35" a="1"/>
  <c r="H767" i="37"/>
  <c r="H770" i="37"/>
  <c r="M7561" i="41"/>
  <c r="M7262" i="41"/>
  <c r="M6861" i="41"/>
  <c r="M6372" i="41"/>
  <c r="M7517" i="41"/>
  <c r="M7200" i="41"/>
  <c r="M6803" i="41"/>
  <c r="M6595" i="41"/>
  <c r="M6197" i="41"/>
  <c r="M7443" i="41"/>
  <c r="M7273" i="41"/>
  <c r="M7045" i="41"/>
  <c r="M6819" i="41"/>
  <c r="M6553" i="41"/>
  <c r="M7683" i="41"/>
  <c r="M7485" i="41"/>
  <c r="M7285" i="41"/>
  <c r="M7081" i="41"/>
  <c r="M6797" i="41"/>
  <c r="M7698" i="41"/>
  <c r="M7597" i="41"/>
  <c r="M7426" i="41"/>
  <c r="M7226" i="41"/>
  <c r="M6985" i="41"/>
  <c r="M6757" i="41"/>
  <c r="M6480" i="41"/>
  <c r="M7679" i="41"/>
  <c r="M7481" i="41"/>
  <c r="M7295" i="41"/>
  <c r="M7096" i="41"/>
  <c r="M6851" i="41"/>
  <c r="M6584" i="41"/>
  <c r="M7635" i="41"/>
  <c r="M7394" i="41"/>
  <c r="M7151" i="41"/>
  <c r="M6809" i="41"/>
  <c r="M6468" i="41"/>
  <c r="M7591" i="41"/>
  <c r="M7349" i="41"/>
  <c r="M7092" i="41"/>
  <c r="M6751" i="41"/>
  <c r="M7702" i="41"/>
  <c r="M7403" i="41"/>
  <c r="M7069" i="41"/>
  <c r="M6656" i="41"/>
  <c r="M5887" i="41"/>
  <c r="M5980" i="41"/>
  <c r="M7462" i="41"/>
  <c r="M7161" i="41"/>
  <c r="M6749" i="41"/>
  <c r="M6190" i="41"/>
  <c r="M6265" i="41"/>
  <c r="M7600" i="41"/>
  <c r="M7121" i="41"/>
  <c r="M6823" i="41"/>
  <c r="M6485" i="41"/>
  <c r="M5873" i="41"/>
  <c r="M7636" i="41"/>
  <c r="M7292" i="41"/>
  <c r="M6871" i="41"/>
  <c r="M6341" i="41"/>
  <c r="M5734" i="41"/>
  <c r="M6818" i="41"/>
  <c r="M6348" i="41"/>
  <c r="M5207" i="41"/>
  <c r="M6133" i="41"/>
  <c r="M7022" i="41"/>
  <c r="M6406" i="41"/>
  <c r="M5015" i="41"/>
  <c r="M4935" i="41"/>
  <c r="M5254" i="41"/>
  <c r="M4882" i="41"/>
  <c r="M4946" i="41"/>
  <c r="M5010" i="41"/>
  <c r="M5074" i="41"/>
  <c r="M5138" i="41"/>
  <c r="M5202" i="41"/>
  <c r="M5266" i="41"/>
  <c r="M5330" i="41"/>
  <c r="M5394" i="41"/>
  <c r="M5458" i="41"/>
  <c r="M5522" i="41"/>
  <c r="M4907" i="41"/>
  <c r="M4971" i="41"/>
  <c r="M5035" i="41"/>
  <c r="M5099" i="41"/>
  <c r="M5163" i="41"/>
  <c r="M5227" i="41"/>
  <c r="M5291" i="41"/>
  <c r="M5355" i="41"/>
  <c r="M5419" i="41"/>
  <c r="M4900" i="41"/>
  <c r="M4964" i="41"/>
  <c r="M5028" i="41"/>
  <c r="M5092" i="41"/>
  <c r="M5156" i="41"/>
  <c r="M5220" i="41"/>
  <c r="M5284" i="41"/>
  <c r="M5348" i="41"/>
  <c r="M5412" i="41"/>
  <c r="M4893" i="41"/>
  <c r="M4957" i="41"/>
  <c r="M5021" i="41"/>
  <c r="M5085" i="41"/>
  <c r="M5149" i="41"/>
  <c r="M5213" i="41"/>
  <c r="M5277" i="41"/>
  <c r="M5341" i="41"/>
  <c r="M5405" i="41"/>
  <c r="M5469" i="41"/>
  <c r="M5533" i="41"/>
  <c r="M4959" i="41"/>
  <c r="M5087" i="41"/>
  <c r="M5215" i="41"/>
  <c r="M5343" i="41"/>
  <c r="M5460" i="41"/>
  <c r="M5543" i="41"/>
  <c r="M5607" i="41"/>
  <c r="M5671" i="41"/>
  <c r="M4912" i="41"/>
  <c r="M5040" i="41"/>
  <c r="M5168" i="41"/>
  <c r="M5296" i="41"/>
  <c r="M5424" i="41"/>
  <c r="M5515" i="41"/>
  <c r="M5584" i="41"/>
  <c r="M5648" i="41"/>
  <c r="M4865" i="41"/>
  <c r="M4993" i="41"/>
  <c r="M5121" i="41"/>
  <c r="M5249" i="41"/>
  <c r="M5377" i="41"/>
  <c r="M5484" i="41"/>
  <c r="M5561" i="41"/>
  <c r="M5625" i="41"/>
  <c r="M5689" i="41"/>
  <c r="M5753" i="41"/>
  <c r="M5817" i="41"/>
  <c r="M4890" i="41"/>
  <c r="M4954" i="41"/>
  <c r="M5018" i="41"/>
  <c r="M5082" i="41"/>
  <c r="M5146" i="41"/>
  <c r="M5210" i="41"/>
  <c r="M5274" i="41"/>
  <c r="M5338" i="41"/>
  <c r="M5402" i="41"/>
  <c r="M5466" i="41"/>
  <c r="M5530" i="41"/>
  <c r="M4915" i="41"/>
  <c r="M4979" i="41"/>
  <c r="M5043" i="41"/>
  <c r="M5107" i="41"/>
  <c r="M5171" i="41"/>
  <c r="M5235" i="41"/>
  <c r="M5299" i="41"/>
  <c r="M5363" i="41"/>
  <c r="M5427" i="41"/>
  <c r="M4908" i="41"/>
  <c r="M4972" i="41"/>
  <c r="M5036" i="41"/>
  <c r="M5100" i="41"/>
  <c r="M5164" i="41"/>
  <c r="M5228" i="41"/>
  <c r="M5292" i="41"/>
  <c r="M5356" i="41"/>
  <c r="M5420" i="41"/>
  <c r="M4901" i="41"/>
  <c r="M4965" i="41"/>
  <c r="M5029" i="41"/>
  <c r="M5093" i="41"/>
  <c r="M5157" i="41"/>
  <c r="M5221" i="41"/>
  <c r="M5285" i="41"/>
  <c r="M5349" i="41"/>
  <c r="M5413" i="41"/>
  <c r="M5477" i="41"/>
  <c r="M4862" i="41"/>
  <c r="M4975" i="41"/>
  <c r="M5103" i="41"/>
  <c r="M5231" i="41"/>
  <c r="M5359" i="41"/>
  <c r="M5471" i="41"/>
  <c r="M5551" i="41"/>
  <c r="M5615" i="41"/>
  <c r="M5679" i="41"/>
  <c r="M4928" i="41"/>
  <c r="M5056" i="41"/>
  <c r="M5184" i="41"/>
  <c r="M5312" i="41"/>
  <c r="M5440" i="41"/>
  <c r="M5526" i="41"/>
  <c r="M5592" i="41"/>
  <c r="M5656" i="41"/>
  <c r="M4881" i="41"/>
  <c r="M5009" i="41"/>
  <c r="M5137" i="41"/>
  <c r="M5265" i="41"/>
  <c r="M5393" i="41"/>
  <c r="M5495" i="41"/>
  <c r="M5569" i="41"/>
  <c r="M5633" i="41"/>
  <c r="M5697" i="41"/>
  <c r="M5761" i="41"/>
  <c r="M5825" i="41"/>
  <c r="M4920" i="41"/>
  <c r="M5048" i="41"/>
  <c r="M5176" i="41"/>
  <c r="M5304" i="41"/>
  <c r="M5432" i="41"/>
  <c r="M5520" i="41"/>
  <c r="M5588" i="41"/>
  <c r="M5652" i="41"/>
  <c r="M5716" i="41"/>
  <c r="M5780" i="41"/>
  <c r="M5844" i="41"/>
  <c r="M5070" i="41"/>
  <c r="M5326" i="41"/>
  <c r="M5534" i="41"/>
  <c r="M5662" i="41"/>
  <c r="M4918" i="41"/>
  <c r="M5174" i="41"/>
  <c r="M4898" i="41"/>
  <c r="M4962" i="41"/>
  <c r="M5026" i="41"/>
  <c r="M5090" i="41"/>
  <c r="M5154" i="41"/>
  <c r="M5218" i="41"/>
  <c r="M5282" i="41"/>
  <c r="M5346" i="41"/>
  <c r="M5410" i="41"/>
  <c r="M5474" i="41"/>
  <c r="M4859" i="41"/>
  <c r="M4923" i="41"/>
  <c r="M4987" i="41"/>
  <c r="M5051" i="41"/>
  <c r="M5115" i="41"/>
  <c r="M5179" i="41"/>
  <c r="M5243" i="41"/>
  <c r="M5307" i="41"/>
  <c r="M5371" i="41"/>
  <c r="M5435" i="41"/>
  <c r="M4916" i="41"/>
  <c r="M4980" i="41"/>
  <c r="M5044" i="41"/>
  <c r="M5108" i="41"/>
  <c r="M5172" i="41"/>
  <c r="M5236" i="41"/>
  <c r="M5300" i="41"/>
  <c r="M5364" i="41"/>
  <c r="M5428" i="41"/>
  <c r="M4909" i="41"/>
  <c r="M4973" i="41"/>
  <c r="M5037" i="41"/>
  <c r="M5101" i="41"/>
  <c r="M5165" i="41"/>
  <c r="M5229" i="41"/>
  <c r="M5293" i="41"/>
  <c r="M5357" i="41"/>
  <c r="M5421" i="41"/>
  <c r="M5485" i="41"/>
  <c r="M4863" i="41"/>
  <c r="M4991" i="41"/>
  <c r="M5119" i="41"/>
  <c r="M5247" i="41"/>
  <c r="M5375" i="41"/>
  <c r="M5481" i="41"/>
  <c r="M5559" i="41"/>
  <c r="M5623" i="41"/>
  <c r="M5687" i="41"/>
  <c r="M4944" i="41"/>
  <c r="M5072" i="41"/>
  <c r="M5200" i="41"/>
  <c r="M5328" i="41"/>
  <c r="M5451" i="41"/>
  <c r="M5536" i="41"/>
  <c r="M5600" i="41"/>
  <c r="M5664" i="41"/>
  <c r="M4897" i="41"/>
  <c r="M5025" i="41"/>
  <c r="M5153" i="41"/>
  <c r="M5281" i="41"/>
  <c r="M5409" i="41"/>
  <c r="M5505" i="41"/>
  <c r="M5577" i="41"/>
  <c r="M5641" i="41"/>
  <c r="M5705" i="41"/>
  <c r="M5769" i="41"/>
  <c r="M5833" i="41"/>
  <c r="M4936" i="41"/>
  <c r="M5064" i="41"/>
  <c r="M5192" i="41"/>
  <c r="M5320" i="41"/>
  <c r="M5446" i="41"/>
  <c r="M5531" i="41"/>
  <c r="M5596" i="41"/>
  <c r="M5660" i="41"/>
  <c r="M5724" i="41"/>
  <c r="M5788" i="41"/>
  <c r="M5852" i="41"/>
  <c r="M5102" i="41"/>
  <c r="M5358" i="41"/>
  <c r="M5550" i="41"/>
  <c r="M5678" i="41"/>
  <c r="M4906" i="41"/>
  <c r="M4970" i="41"/>
  <c r="M5034" i="41"/>
  <c r="M5098" i="41"/>
  <c r="M5162" i="41"/>
  <c r="M5226" i="41"/>
  <c r="M5290" i="41"/>
  <c r="M5354" i="41"/>
  <c r="M5418" i="41"/>
  <c r="M5482" i="41"/>
  <c r="M4867" i="41"/>
  <c r="M4931" i="41"/>
  <c r="M4995" i="41"/>
  <c r="M5059" i="41"/>
  <c r="M5123" i="41"/>
  <c r="M5187" i="41"/>
  <c r="M5251" i="41"/>
  <c r="M5315" i="41"/>
  <c r="M5379" i="41"/>
  <c r="M4860" i="41"/>
  <c r="M4924" i="41"/>
  <c r="M4988" i="41"/>
  <c r="M5052" i="41"/>
  <c r="M5116" i="41"/>
  <c r="M5180" i="41"/>
  <c r="M5244" i="41"/>
  <c r="M5308" i="41"/>
  <c r="M5372" i="41"/>
  <c r="M5436" i="41"/>
  <c r="M4917" i="41"/>
  <c r="M4981" i="41"/>
  <c r="M5045" i="41"/>
  <c r="M5109" i="41"/>
  <c r="M5173" i="41"/>
  <c r="M5237" i="41"/>
  <c r="M5301" i="41"/>
  <c r="M5365" i="41"/>
  <c r="M5429" i="41"/>
  <c r="M5493" i="41"/>
  <c r="M4879" i="41"/>
  <c r="M5007" i="41"/>
  <c r="M5135" i="41"/>
  <c r="M5263" i="41"/>
  <c r="M5391" i="41"/>
  <c r="M5492" i="41"/>
  <c r="M5567" i="41"/>
  <c r="M5631" i="41"/>
  <c r="M5695" i="41"/>
  <c r="M4960" i="41"/>
  <c r="M5088" i="41"/>
  <c r="M5216" i="41"/>
  <c r="M5344" i="41"/>
  <c r="M5462" i="41"/>
  <c r="M5544" i="41"/>
  <c r="M5608" i="41"/>
  <c r="M5672" i="41"/>
  <c r="M4913" i="41"/>
  <c r="M5041" i="41"/>
  <c r="M5169" i="41"/>
  <c r="M5297" i="41"/>
  <c r="M5425" i="41"/>
  <c r="M5516" i="41"/>
  <c r="M5585" i="41"/>
  <c r="M5649" i="41"/>
  <c r="M5713" i="41"/>
  <c r="M5777" i="41"/>
  <c r="M5841" i="41"/>
  <c r="M4952" i="41"/>
  <c r="M5080" i="41"/>
  <c r="M5208" i="41"/>
  <c r="M5336" i="41"/>
  <c r="M5456" i="41"/>
  <c r="M5540" i="41"/>
  <c r="M5604" i="41"/>
  <c r="M5668" i="41"/>
  <c r="M5732" i="41"/>
  <c r="M5796" i="41"/>
  <c r="M4878" i="41"/>
  <c r="M5134" i="41"/>
  <c r="M5390" i="41"/>
  <c r="M5566" i="41"/>
  <c r="M5694" i="41"/>
  <c r="M4982" i="41"/>
  <c r="M4978" i="41"/>
  <c r="M5106" i="41"/>
  <c r="M5234" i="41"/>
  <c r="M5362" i="41"/>
  <c r="M5490" i="41"/>
  <c r="M4939" i="41"/>
  <c r="M5067" i="41"/>
  <c r="M5195" i="41"/>
  <c r="M5323" i="41"/>
  <c r="M4868" i="41"/>
  <c r="M4996" i="41"/>
  <c r="M5124" i="41"/>
  <c r="M5252" i="41"/>
  <c r="M5380" i="41"/>
  <c r="M4925" i="41"/>
  <c r="M5053" i="41"/>
  <c r="M5181" i="41"/>
  <c r="M5309" i="41"/>
  <c r="M5437" i="41"/>
  <c r="M4895" i="41"/>
  <c r="M5151" i="41"/>
  <c r="M5407" i="41"/>
  <c r="M5575" i="41"/>
  <c r="M5703" i="41"/>
  <c r="M5104" i="41"/>
  <c r="M5360" i="41"/>
  <c r="M5552" i="41"/>
  <c r="M5680" i="41"/>
  <c r="M5057" i="41"/>
  <c r="M5313" i="41"/>
  <c r="M5527" i="41"/>
  <c r="M5657" i="41"/>
  <c r="M5785" i="41"/>
  <c r="M4904" i="41"/>
  <c r="M5128" i="41"/>
  <c r="M5352" i="41"/>
  <c r="M5499" i="41"/>
  <c r="M5620" i="41"/>
  <c r="M5708" i="41"/>
  <c r="M5820" i="41"/>
  <c r="M5166" i="41"/>
  <c r="M5491" i="41"/>
  <c r="M5720" i="41"/>
  <c r="M5110" i="41"/>
  <c r="M5398" i="41"/>
  <c r="M5570" i="41"/>
  <c r="M5698" i="41"/>
  <c r="M5786" i="41"/>
  <c r="M5867" i="41"/>
  <c r="M5931" i="41"/>
  <c r="M5995" i="41"/>
  <c r="M6059" i="41"/>
  <c r="M6123" i="41"/>
  <c r="M4958" i="41"/>
  <c r="M5214" i="41"/>
  <c r="M5459" i="41"/>
  <c r="M5606" i="41"/>
  <c r="M5726" i="41"/>
  <c r="M5811" i="41"/>
  <c r="M5886" i="41"/>
  <c r="M5950" i="41"/>
  <c r="M6014" i="41"/>
  <c r="M6078" i="41"/>
  <c r="M6142" i="41"/>
  <c r="M5145" i="41"/>
  <c r="M5519" i="41"/>
  <c r="M5719" i="41"/>
  <c r="M5838" i="41"/>
  <c r="M5928" i="41"/>
  <c r="M6013" i="41"/>
  <c r="M6098" i="41"/>
  <c r="M6179" i="41"/>
  <c r="M6243" i="41"/>
  <c r="M6307" i="41"/>
  <c r="M6371" i="41"/>
  <c r="M5273" i="41"/>
  <c r="M5587" i="41"/>
  <c r="M5760" i="41"/>
  <c r="M5869" i="41"/>
  <c r="M5954" i="41"/>
  <c r="M6040" i="41"/>
  <c r="M6125" i="41"/>
  <c r="M6199" i="41"/>
  <c r="M6263" i="41"/>
  <c r="M4858" i="41"/>
  <c r="M4986" i="41"/>
  <c r="M5114" i="41"/>
  <c r="M5242" i="41"/>
  <c r="M5370" i="41"/>
  <c r="M5498" i="41"/>
  <c r="M4947" i="41"/>
  <c r="M5075" i="41"/>
  <c r="M5203" i="41"/>
  <c r="M5331" i="41"/>
  <c r="M4876" i="41"/>
  <c r="M5004" i="41"/>
  <c r="M5132" i="41"/>
  <c r="M5260" i="41"/>
  <c r="M5388" i="41"/>
  <c r="M4933" i="41"/>
  <c r="M5061" i="41"/>
  <c r="M5189" i="41"/>
  <c r="M5317" i="41"/>
  <c r="M5445" i="41"/>
  <c r="M4911" i="41"/>
  <c r="M5167" i="41"/>
  <c r="M5423" i="41"/>
  <c r="M5583" i="41"/>
  <c r="M4864" i="41"/>
  <c r="M5120" i="41"/>
  <c r="M5376" i="41"/>
  <c r="M5560" i="41"/>
  <c r="M5688" i="41"/>
  <c r="M5073" i="41"/>
  <c r="M5329" i="41"/>
  <c r="M5537" i="41"/>
  <c r="M5665" i="41"/>
  <c r="M5793" i="41"/>
  <c r="M4968" i="41"/>
  <c r="M5144" i="41"/>
  <c r="M5368" i="41"/>
  <c r="M5510" i="41"/>
  <c r="M5628" i="41"/>
  <c r="M5740" i="41"/>
  <c r="M5828" i="41"/>
  <c r="M5198" i="41"/>
  <c r="M5512" i="41"/>
  <c r="M5731" i="41"/>
  <c r="M5142" i="41"/>
  <c r="M5430" i="41"/>
  <c r="M5586" i="41"/>
  <c r="M5711" i="41"/>
  <c r="M5797" i="41"/>
  <c r="M5875" i="41"/>
  <c r="M5939" i="41"/>
  <c r="M6003" i="41"/>
  <c r="M4874" i="41"/>
  <c r="M5002" i="41"/>
  <c r="M5130" i="41"/>
  <c r="M5258" i="41"/>
  <c r="M5386" i="41"/>
  <c r="M5514" i="41"/>
  <c r="M4963" i="41"/>
  <c r="M5091" i="41"/>
  <c r="M5219" i="41"/>
  <c r="M5347" i="41"/>
  <c r="M4892" i="41"/>
  <c r="M5020" i="41"/>
  <c r="M5148" i="41"/>
  <c r="M5276" i="41"/>
  <c r="M5404" i="41"/>
  <c r="M4949" i="41"/>
  <c r="M5077" i="41"/>
  <c r="M5205" i="41"/>
  <c r="M5333" i="41"/>
  <c r="M5461" i="41"/>
  <c r="M4943" i="41"/>
  <c r="M5199" i="41"/>
  <c r="M5449" i="41"/>
  <c r="M5599" i="41"/>
  <c r="M4896" i="41"/>
  <c r="M5152" i="41"/>
  <c r="M5408" i="41"/>
  <c r="M5576" i="41"/>
  <c r="M5704" i="41"/>
  <c r="M5105" i="41"/>
  <c r="M5361" i="41"/>
  <c r="M5553" i="41"/>
  <c r="M5681" i="41"/>
  <c r="M5809" i="41"/>
  <c r="M5000" i="41"/>
  <c r="M5224" i="41"/>
  <c r="M5400" i="41"/>
  <c r="M5556" i="41"/>
  <c r="M5644" i="41"/>
  <c r="M5756" i="41"/>
  <c r="M4910" i="41"/>
  <c r="M5262" i="41"/>
  <c r="M5598" i="41"/>
  <c r="M4886" i="41"/>
  <c r="M5238" i="41"/>
  <c r="M5475" i="41"/>
  <c r="M5618" i="41"/>
  <c r="M5733" i="41"/>
  <c r="M5818" i="41"/>
  <c r="M5891" i="41"/>
  <c r="M5955" i="41"/>
  <c r="M6019" i="41"/>
  <c r="M6083" i="41"/>
  <c r="M6147" i="41"/>
  <c r="M5054" i="41"/>
  <c r="M5310" i="41"/>
  <c r="M5523" i="41"/>
  <c r="M5654" i="41"/>
  <c r="M5758" i="41"/>
  <c r="M4922" i="41"/>
  <c r="M5050" i="41"/>
  <c r="M5178" i="41"/>
  <c r="M5306" i="41"/>
  <c r="M5434" i="41"/>
  <c r="M4883" i="41"/>
  <c r="M5011" i="41"/>
  <c r="M5139" i="41"/>
  <c r="M5267" i="41"/>
  <c r="M5395" i="41"/>
  <c r="M4940" i="41"/>
  <c r="M5068" i="41"/>
  <c r="M5196" i="41"/>
  <c r="M5324" i="41"/>
  <c r="M4869" i="41"/>
  <c r="M4997" i="41"/>
  <c r="M5125" i="41"/>
  <c r="M5253" i="41"/>
  <c r="M5381" i="41"/>
  <c r="M5509" i="41"/>
  <c r="M5039" i="41"/>
  <c r="M5295" i="41"/>
  <c r="M5513" i="41"/>
  <c r="M5647" i="41"/>
  <c r="M4992" i="41"/>
  <c r="M5248" i="41"/>
  <c r="M5483" i="41"/>
  <c r="M5624" i="41"/>
  <c r="M4945" i="41"/>
  <c r="M5201" i="41"/>
  <c r="M5452" i="41"/>
  <c r="M5601" i="41"/>
  <c r="M5729" i="41"/>
  <c r="M4870" i="41"/>
  <c r="M5032" i="41"/>
  <c r="M5256" i="41"/>
  <c r="M5467" i="41"/>
  <c r="M5572" i="41"/>
  <c r="M5684" i="41"/>
  <c r="M5772" i="41"/>
  <c r="M4974" i="41"/>
  <c r="M5422" i="41"/>
  <c r="M5630" i="41"/>
  <c r="M5014" i="41"/>
  <c r="M5302" i="41"/>
  <c r="M5518" i="41"/>
  <c r="M5650" i="41"/>
  <c r="M5754" i="41"/>
  <c r="M5839" i="41"/>
  <c r="M5907" i="41"/>
  <c r="M5971" i="41"/>
  <c r="M6035" i="41"/>
  <c r="M6099" i="41"/>
  <c r="M6163" i="41"/>
  <c r="M5118" i="41"/>
  <c r="M5374" i="41"/>
  <c r="M5558" i="41"/>
  <c r="M5686" i="41"/>
  <c r="M5779" i="41"/>
  <c r="M5862" i="41"/>
  <c r="M5926" i="41"/>
  <c r="M5990" i="41"/>
  <c r="M6054" i="41"/>
  <c r="M6118" i="41"/>
  <c r="M4998" i="41"/>
  <c r="M5401" i="41"/>
  <c r="M5651" i="41"/>
  <c r="M5795" i="41"/>
  <c r="M5896" i="41"/>
  <c r="M5981" i="41"/>
  <c r="M6066" i="41"/>
  <c r="M6152" i="41"/>
  <c r="M6219" i="41"/>
  <c r="M6283" i="41"/>
  <c r="M6347" i="41"/>
  <c r="M5126" i="41"/>
  <c r="M5500" i="41"/>
  <c r="M5712" i="41"/>
  <c r="M5831" i="41"/>
  <c r="M5922" i="41"/>
  <c r="M6008" i="41"/>
  <c r="M6093" i="41"/>
  <c r="M6175" i="41"/>
  <c r="M6239" i="41"/>
  <c r="M4914" i="41"/>
  <c r="M5170" i="41"/>
  <c r="M5426" i="41"/>
  <c r="M5003" i="41"/>
  <c r="M5259" i="41"/>
  <c r="M4932" i="41"/>
  <c r="M5188" i="41"/>
  <c r="M4861" i="41"/>
  <c r="M5117" i="41"/>
  <c r="M5373" i="41"/>
  <c r="M5023" i="41"/>
  <c r="M5503" i="41"/>
  <c r="M4976" i="41"/>
  <c r="M5472" i="41"/>
  <c r="M4929" i="41"/>
  <c r="M5441" i="41"/>
  <c r="M5721" i="41"/>
  <c r="M5016" i="41"/>
  <c r="M5416" i="41"/>
  <c r="M5676" i="41"/>
  <c r="M4942" i="41"/>
  <c r="M5614" i="41"/>
  <c r="M5270" i="41"/>
  <c r="M5634" i="41"/>
  <c r="M5829" i="41"/>
  <c r="M5963" i="41"/>
  <c r="M6075" i="41"/>
  <c r="M4926" i="41"/>
  <c r="M5342" i="41"/>
  <c r="M5622" i="41"/>
  <c r="M5790" i="41"/>
  <c r="M5894" i="41"/>
  <c r="M5974" i="41"/>
  <c r="M6062" i="41"/>
  <c r="M6150" i="41"/>
  <c r="M5303" i="41"/>
  <c r="M5675" i="41"/>
  <c r="M5853" i="41"/>
  <c r="M5960" i="41"/>
  <c r="M6077" i="41"/>
  <c r="M6187" i="41"/>
  <c r="M6267" i="41"/>
  <c r="M6355" i="41"/>
  <c r="M5321" i="41"/>
  <c r="M5661" i="41"/>
  <c r="M5846" i="41"/>
  <c r="M5965" i="41"/>
  <c r="M6072" i="41"/>
  <c r="M6183" i="41"/>
  <c r="M6271" i="41"/>
  <c r="M6335" i="41"/>
  <c r="M5079" i="41"/>
  <c r="M5555" i="41"/>
  <c r="M5781" i="41"/>
  <c r="M5913" i="41"/>
  <c r="M6026" i="41"/>
  <c r="M6140" i="41"/>
  <c r="M6232" i="41"/>
  <c r="M6317" i="41"/>
  <c r="M6395" i="41"/>
  <c r="M6459" i="41"/>
  <c r="M6523" i="41"/>
  <c r="M5030" i="41"/>
  <c r="M5239" i="41"/>
  <c r="M5635" i="41"/>
  <c r="M5826" i="41"/>
  <c r="M5946" i="41"/>
  <c r="M6060" i="41"/>
  <c r="M6172" i="41"/>
  <c r="M6257" i="41"/>
  <c r="M6342" i="41"/>
  <c r="M6414" i="41"/>
  <c r="M6478" i="41"/>
  <c r="M6542" i="41"/>
  <c r="M6606" i="41"/>
  <c r="M6670" i="41"/>
  <c r="M6734" i="41"/>
  <c r="M6798" i="41"/>
  <c r="M6862" i="41"/>
  <c r="M6926" i="41"/>
  <c r="M6990" i="41"/>
  <c r="M7054" i="41"/>
  <c r="M7118" i="41"/>
  <c r="M7182" i="41"/>
  <c r="M5177" i="41"/>
  <c r="M4930" i="41"/>
  <c r="M5186" i="41"/>
  <c r="M5442" i="41"/>
  <c r="M5019" i="41"/>
  <c r="M5275" i="41"/>
  <c r="M4948" i="41"/>
  <c r="M5204" i="41"/>
  <c r="M4877" i="41"/>
  <c r="M5133" i="41"/>
  <c r="M5389" i="41"/>
  <c r="M5055" i="41"/>
  <c r="M5524" i="41"/>
  <c r="M5008" i="41"/>
  <c r="M5494" i="41"/>
  <c r="M4961" i="41"/>
  <c r="M5463" i="41"/>
  <c r="M5737" i="41"/>
  <c r="M5096" i="41"/>
  <c r="M5478" i="41"/>
  <c r="M5692" i="41"/>
  <c r="M5006" i="41"/>
  <c r="M5646" i="41"/>
  <c r="M5334" i="41"/>
  <c r="M5666" i="41"/>
  <c r="M5850" i="41"/>
  <c r="M5979" i="41"/>
  <c r="M6091" i="41"/>
  <c r="M4990" i="41"/>
  <c r="M5406" i="41"/>
  <c r="M5638" i="41"/>
  <c r="M5800" i="41"/>
  <c r="M5902" i="41"/>
  <c r="M5982" i="41"/>
  <c r="M6070" i="41"/>
  <c r="M6158" i="41"/>
  <c r="M5351" i="41"/>
  <c r="M5701" i="41"/>
  <c r="M5864" i="41"/>
  <c r="M5970" i="41"/>
  <c r="M6088" i="41"/>
  <c r="M6195" i="41"/>
  <c r="M6275" i="41"/>
  <c r="M6363" i="41"/>
  <c r="M5382" i="41"/>
  <c r="M5690" i="41"/>
  <c r="M5858" i="41"/>
  <c r="M5976" i="41"/>
  <c r="M6082" i="41"/>
  <c r="M4938" i="41"/>
  <c r="M5194" i="41"/>
  <c r="M5450" i="41"/>
  <c r="M5027" i="41"/>
  <c r="M5283" i="41"/>
  <c r="M4956" i="41"/>
  <c r="M5212" i="41"/>
  <c r="M4885" i="41"/>
  <c r="M5141" i="41"/>
  <c r="M5397" i="41"/>
  <c r="M5071" i="41"/>
  <c r="M5535" i="41"/>
  <c r="M5024" i="41"/>
  <c r="M5504" i="41"/>
  <c r="M4977" i="41"/>
  <c r="M5473" i="41"/>
  <c r="M5745" i="41"/>
  <c r="M5112" i="41"/>
  <c r="M5488" i="41"/>
  <c r="M5700" i="41"/>
  <c r="M5038" i="41"/>
  <c r="M5710" i="41"/>
  <c r="M5366" i="41"/>
  <c r="M5682" i="41"/>
  <c r="M5859" i="41"/>
  <c r="M5987" i="41"/>
  <c r="M6107" i="41"/>
  <c r="M5022" i="41"/>
  <c r="M5438" i="41"/>
  <c r="M5670" i="41"/>
  <c r="M5822" i="41"/>
  <c r="M5910" i="41"/>
  <c r="M5998" i="41"/>
  <c r="M6086" i="41"/>
  <c r="M4889" i="41"/>
  <c r="M5447" i="41"/>
  <c r="M5738" i="41"/>
  <c r="M5874" i="41"/>
  <c r="M5992" i="41"/>
  <c r="M6109" i="41"/>
  <c r="M6203" i="41"/>
  <c r="M6291" i="41"/>
  <c r="M4919" i="41"/>
  <c r="M5431" i="41"/>
  <c r="M5728" i="41"/>
  <c r="M5880" i="41"/>
  <c r="M5986" i="41"/>
  <c r="M6104" i="41"/>
  <c r="M5058" i="41"/>
  <c r="M5314" i="41"/>
  <c r="M4891" i="41"/>
  <c r="M5147" i="41"/>
  <c r="M5403" i="41"/>
  <c r="M5076" i="41"/>
  <c r="M5332" i="41"/>
  <c r="M5005" i="41"/>
  <c r="M5261" i="41"/>
  <c r="M5517" i="41"/>
  <c r="M5311" i="41"/>
  <c r="M5655" i="41"/>
  <c r="M5264" i="41"/>
  <c r="M5632" i="41"/>
  <c r="M5217" i="41"/>
  <c r="M5609" i="41"/>
  <c r="M4872" i="41"/>
  <c r="M5272" i="41"/>
  <c r="M5580" i="41"/>
  <c r="M5804" i="41"/>
  <c r="M5448" i="41"/>
  <c r="M5046" i="41"/>
  <c r="M5538" i="41"/>
  <c r="M5765" i="41"/>
  <c r="M5915" i="41"/>
  <c r="M6043" i="41"/>
  <c r="M6139" i="41"/>
  <c r="M5182" i="41"/>
  <c r="M5542" i="41"/>
  <c r="M5736" i="41"/>
  <c r="M5854" i="41"/>
  <c r="M5942" i="41"/>
  <c r="M6030" i="41"/>
  <c r="M6110" i="41"/>
  <c r="M5095" i="41"/>
  <c r="M5573" i="41"/>
  <c r="M5782" i="41"/>
  <c r="M5917" i="41"/>
  <c r="M6034" i="41"/>
  <c r="M6141" i="41"/>
  <c r="M6235" i="41"/>
  <c r="M6323" i="41"/>
  <c r="M5065" i="41"/>
  <c r="M5562" i="41"/>
  <c r="M5789" i="41"/>
  <c r="M5912" i="41"/>
  <c r="M6029" i="41"/>
  <c r="M6146" i="41"/>
  <c r="M6231" i="41"/>
  <c r="M6311" i="41"/>
  <c r="M4871" i="41"/>
  <c r="M5415" i="41"/>
  <c r="M5718" i="41"/>
  <c r="M5871" i="41"/>
  <c r="M5984" i="41"/>
  <c r="M6097" i="41"/>
  <c r="M6200" i="41"/>
  <c r="M6285" i="41"/>
  <c r="M6370" i="41"/>
  <c r="M6435" i="41"/>
  <c r="M6499" i="41"/>
  <c r="M5081" i="41"/>
  <c r="M5031" i="41"/>
  <c r="M5529" i="41"/>
  <c r="M5770" i="41"/>
  <c r="M5904" i="41"/>
  <c r="M6017" i="41"/>
  <c r="M6132" i="41"/>
  <c r="M6225" i="41"/>
  <c r="M6310" i="41"/>
  <c r="M6390" i="41"/>
  <c r="M6454" i="41"/>
  <c r="M6518" i="41"/>
  <c r="M6582" i="41"/>
  <c r="M6646" i="41"/>
  <c r="M6710" i="41"/>
  <c r="M6774" i="41"/>
  <c r="M6838" i="41"/>
  <c r="M6902" i="41"/>
  <c r="M6966" i="41"/>
  <c r="M7030" i="41"/>
  <c r="M7094" i="41"/>
  <c r="M7158" i="41"/>
  <c r="M4969" i="41"/>
  <c r="M5489" i="41"/>
  <c r="M5066" i="41"/>
  <c r="M4899" i="41"/>
  <c r="M5411" i="41"/>
  <c r="M5340" i="41"/>
  <c r="M5269" i="41"/>
  <c r="M5327" i="41"/>
  <c r="M5280" i="41"/>
  <c r="M5233" i="41"/>
  <c r="M4888" i="41"/>
  <c r="M5612" i="41"/>
  <c r="M5470" i="41"/>
  <c r="M5554" i="41"/>
  <c r="M5923" i="41"/>
  <c r="M6155" i="41"/>
  <c r="M5574" i="41"/>
  <c r="M5870" i="41"/>
  <c r="M6038" i="41"/>
  <c r="M5193" i="41"/>
  <c r="M5810" i="41"/>
  <c r="M6045" i="41"/>
  <c r="M6251" i="41"/>
  <c r="M5175" i="41"/>
  <c r="M5803" i="41"/>
  <c r="M6050" i="41"/>
  <c r="M6215" i="41"/>
  <c r="M6319" i="41"/>
  <c r="M5143" i="41"/>
  <c r="M5658" i="41"/>
  <c r="M5884" i="41"/>
  <c r="M6041" i="41"/>
  <c r="M6178" i="41"/>
  <c r="M6296" i="41"/>
  <c r="M6403" i="41"/>
  <c r="M6483" i="41"/>
  <c r="M4887" i="41"/>
  <c r="M5305" i="41"/>
  <c r="M5727" i="41"/>
  <c r="M5919" i="41"/>
  <c r="M6074" i="41"/>
  <c r="M6204" i="41"/>
  <c r="M6321" i="41"/>
  <c r="M6422" i="41"/>
  <c r="M6502" i="41"/>
  <c r="M6590" i="41"/>
  <c r="M6678" i="41"/>
  <c r="M6758" i="41"/>
  <c r="M6846" i="41"/>
  <c r="M6934" i="41"/>
  <c r="M7014" i="41"/>
  <c r="M7102" i="41"/>
  <c r="M7190" i="41"/>
  <c r="M5383" i="41"/>
  <c r="M5730" i="41"/>
  <c r="M5877" i="41"/>
  <c r="M5991" i="41"/>
  <c r="M6105" i="41"/>
  <c r="M6205" i="41"/>
  <c r="M6290" i="41"/>
  <c r="M6375" i="41"/>
  <c r="M6439" i="41"/>
  <c r="M6503" i="41"/>
  <c r="M5113" i="41"/>
  <c r="M5063" i="41"/>
  <c r="M5549" i="41"/>
  <c r="M5778" i="41"/>
  <c r="M5911" i="41"/>
  <c r="M6025" i="41"/>
  <c r="M6138" i="41"/>
  <c r="M6230" i="41"/>
  <c r="M6316" i="41"/>
  <c r="M6394" i="41"/>
  <c r="M6458" i="41"/>
  <c r="M6522" i="41"/>
  <c r="M6586" i="41"/>
  <c r="M6650" i="41"/>
  <c r="M6714" i="41"/>
  <c r="M6778" i="41"/>
  <c r="M6842" i="41"/>
  <c r="M6906" i="41"/>
  <c r="M6970" i="41"/>
  <c r="M7034" i="41"/>
  <c r="M7098" i="41"/>
  <c r="M7162" i="41"/>
  <c r="M5319" i="41"/>
  <c r="M5848" i="41"/>
  <c r="M5298" i="41"/>
  <c r="M5131" i="41"/>
  <c r="M5060" i="41"/>
  <c r="M4989" i="41"/>
  <c r="M5501" i="41"/>
  <c r="M5639" i="41"/>
  <c r="M5616" i="41"/>
  <c r="M5593" i="41"/>
  <c r="M5240" i="41"/>
  <c r="M5764" i="41"/>
  <c r="M4950" i="41"/>
  <c r="M5743" i="41"/>
  <c r="M6027" i="41"/>
  <c r="M5150" i="41"/>
  <c r="M5715" i="41"/>
  <c r="M5934" i="41"/>
  <c r="M6102" i="41"/>
  <c r="M5547" i="41"/>
  <c r="M5906" i="41"/>
  <c r="M6130" i="41"/>
  <c r="M6315" i="41"/>
  <c r="M5532" i="41"/>
  <c r="M5901" i="41"/>
  <c r="M6136" i="41"/>
  <c r="M6255" i="41"/>
  <c r="M6351" i="41"/>
  <c r="M5350" i="41"/>
  <c r="M5762" i="41"/>
  <c r="M5941" i="41"/>
  <c r="M6084" i="41"/>
  <c r="M6221" i="41"/>
  <c r="M6338" i="41"/>
  <c r="M5322" i="41"/>
  <c r="M5155" i="41"/>
  <c r="M5084" i="41"/>
  <c r="M5013" i="41"/>
  <c r="M5525" i="41"/>
  <c r="M5663" i="41"/>
  <c r="M5640" i="41"/>
  <c r="M5617" i="41"/>
  <c r="M5288" i="41"/>
  <c r="M5812" i="41"/>
  <c r="M5078" i="41"/>
  <c r="M5775" i="41"/>
  <c r="M6051" i="41"/>
  <c r="M5246" i="41"/>
  <c r="M5747" i="41"/>
  <c r="M5958" i="41"/>
  <c r="M6126" i="41"/>
  <c r="M5597" i="41"/>
  <c r="M5938" i="41"/>
  <c r="M6162" i="41"/>
  <c r="M6331" i="41"/>
  <c r="M5611" i="41"/>
  <c r="M5933" i="41"/>
  <c r="M6157" i="41"/>
  <c r="M6279" i="41"/>
  <c r="M6359" i="41"/>
  <c r="M5468" i="41"/>
  <c r="M5799" i="41"/>
  <c r="M5956" i="41"/>
  <c r="M6112" i="41"/>
  <c r="M6242" i="41"/>
  <c r="M6349" i="41"/>
  <c r="M6443" i="41"/>
  <c r="M6531" i="41"/>
  <c r="M4902" i="41"/>
  <c r="M5565" i="41"/>
  <c r="M5845" i="41"/>
  <c r="M5989" i="41"/>
  <c r="M6145" i="41"/>
  <c r="M6268" i="41"/>
  <c r="M6374" i="41"/>
  <c r="M6462" i="41"/>
  <c r="M6550" i="41"/>
  <c r="M6630" i="41"/>
  <c r="M6718" i="41"/>
  <c r="M6806" i="41"/>
  <c r="M6886" i="41"/>
  <c r="M6974" i="41"/>
  <c r="M7062" i="41"/>
  <c r="M7142" i="41"/>
  <c r="M5033" i="41"/>
  <c r="M5605" i="41"/>
  <c r="M5808" i="41"/>
  <c r="M5935" i="41"/>
  <c r="M6048" i="41"/>
  <c r="M6161" i="41"/>
  <c r="M6248" i="41"/>
  <c r="M6333" i="41"/>
  <c r="M6407" i="41"/>
  <c r="M6471" i="41"/>
  <c r="M6535" i="41"/>
  <c r="M5127" i="41"/>
  <c r="M5337" i="41"/>
  <c r="M5685" i="41"/>
  <c r="M5855" i="41"/>
  <c r="M5968" i="41"/>
  <c r="M6081" i="41"/>
  <c r="M6188" i="41"/>
  <c r="M6273" i="41"/>
  <c r="M6358" i="41"/>
  <c r="M6426" i="41"/>
  <c r="M6490" i="41"/>
  <c r="M6554" i="41"/>
  <c r="M6618" i="41"/>
  <c r="M6682" i="41"/>
  <c r="M6746" i="41"/>
  <c r="M6810" i="41"/>
  <c r="M6874" i="41"/>
  <c r="M6938" i="41"/>
  <c r="M7002" i="41"/>
  <c r="M7066" i="41"/>
  <c r="M7130" i="41"/>
  <c r="M7194" i="41"/>
  <c r="M5677" i="41"/>
  <c r="M5964" i="41"/>
  <c r="M5122" i="41"/>
  <c r="M5339" i="41"/>
  <c r="M4941" i="41"/>
  <c r="M5279" i="41"/>
  <c r="M5696" i="41"/>
  <c r="M4984" i="41"/>
  <c r="M5230" i="41"/>
  <c r="M5722" i="41"/>
  <c r="M5250" i="41"/>
  <c r="M5387" i="41"/>
  <c r="M5069" i="41"/>
  <c r="M5439" i="41"/>
  <c r="M5089" i="41"/>
  <c r="M5160" i="41"/>
  <c r="M5294" i="41"/>
  <c r="M5807" i="41"/>
  <c r="M4894" i="41"/>
  <c r="M5832" i="41"/>
  <c r="M6094" i="41"/>
  <c r="M5767" i="41"/>
  <c r="M6171" i="41"/>
  <c r="M5223" i="41"/>
  <c r="M5997" i="41"/>
  <c r="M6247" i="41"/>
  <c r="M5001" i="41"/>
  <c r="M5819" i="41"/>
  <c r="M6055" i="41"/>
  <c r="M6264" i="41"/>
  <c r="M6419" i="41"/>
  <c r="M4873" i="41"/>
  <c r="M5161" i="41"/>
  <c r="M5787" i="41"/>
  <c r="M6004" i="41"/>
  <c r="M6193" i="41"/>
  <c r="M6353" i="41"/>
  <c r="M6470" i="41"/>
  <c r="M6574" i="41"/>
  <c r="M6694" i="41"/>
  <c r="M6814" i="41"/>
  <c r="M6918" i="41"/>
  <c r="M7038" i="41"/>
  <c r="M7150" i="41"/>
  <c r="M5318" i="41"/>
  <c r="M5771" i="41"/>
  <c r="M5948" i="41"/>
  <c r="M6090" i="41"/>
  <c r="M6226" i="41"/>
  <c r="M6344" i="41"/>
  <c r="M6431" i="41"/>
  <c r="M6519" i="41"/>
  <c r="M5191" i="41"/>
  <c r="M5508" i="41"/>
  <c r="M5815" i="41"/>
  <c r="M5983" i="41"/>
  <c r="M6124" i="41"/>
  <c r="M6252" i="41"/>
  <c r="M6369" i="41"/>
  <c r="M6450" i="41"/>
  <c r="M6538" i="41"/>
  <c r="M6626" i="41"/>
  <c r="M6706" i="41"/>
  <c r="M6794" i="41"/>
  <c r="M6882" i="41"/>
  <c r="M6962" i="41"/>
  <c r="M7050" i="41"/>
  <c r="M7138" i="41"/>
  <c r="M5158" i="41"/>
  <c r="M5908" i="41"/>
  <c r="M6164" i="41"/>
  <c r="M5699" i="41"/>
  <c r="M5973" i="41"/>
  <c r="M6192" i="41"/>
  <c r="M6362" i="41"/>
  <c r="M6493" i="41"/>
  <c r="M6593" i="41"/>
  <c r="M6679" i="41"/>
  <c r="M6764" i="41"/>
  <c r="M6849" i="41"/>
  <c r="M6935" i="41"/>
  <c r="M7020" i="41"/>
  <c r="M7105" i="41"/>
  <c r="M7191" i="41"/>
  <c r="M7260" i="41"/>
  <c r="M7324" i="41"/>
  <c r="M7388" i="41"/>
  <c r="M7452" i="41"/>
  <c r="M7516" i="41"/>
  <c r="M7580" i="41"/>
  <c r="M7644" i="41"/>
  <c r="M7708" i="41"/>
  <c r="M5755" i="41"/>
  <c r="M6007" i="41"/>
  <c r="M5289" i="41"/>
  <c r="M5842" i="41"/>
  <c r="M6073" i="41"/>
  <c r="M6266" i="41"/>
  <c r="M6421" i="41"/>
  <c r="M6545" i="41"/>
  <c r="M6631" i="41"/>
  <c r="M6716" i="41"/>
  <c r="M6801" i="41"/>
  <c r="M6887" i="41"/>
  <c r="M6972" i="41"/>
  <c r="M7057" i="41"/>
  <c r="M7143" i="41"/>
  <c r="M7224" i="41"/>
  <c r="M7288" i="41"/>
  <c r="M7352" i="41"/>
  <c r="M7416" i="41"/>
  <c r="M7480" i="41"/>
  <c r="M7544" i="41"/>
  <c r="M7608" i="41"/>
  <c r="M7672" i="41"/>
  <c r="M5645" i="41"/>
  <c r="M6176" i="41"/>
  <c r="M6400" i="41"/>
  <c r="M5521" i="41"/>
  <c r="M5783" i="41"/>
  <c r="M6218" i="41"/>
  <c r="M6428" i="41"/>
  <c r="M6579" i="41"/>
  <c r="M6692" i="41"/>
  <c r="M6805" i="41"/>
  <c r="M6920" i="41"/>
  <c r="M7033" i="41"/>
  <c r="M7147" i="41"/>
  <c r="M7249" i="41"/>
  <c r="M7334" i="41"/>
  <c r="M7419" i="41"/>
  <c r="M7505" i="41"/>
  <c r="M7590" i="41"/>
  <c r="M7675" i="41"/>
  <c r="M5866" i="41"/>
  <c r="M6250" i="41"/>
  <c r="M6452" i="41"/>
  <c r="M5613" i="41"/>
  <c r="M6000" i="41"/>
  <c r="M6318" i="41"/>
  <c r="M6504" i="41"/>
  <c r="M6628" i="41"/>
  <c r="M6741" i="41"/>
  <c r="M6856" i="41"/>
  <c r="M6969" i="41"/>
  <c r="M7083" i="41"/>
  <c r="M7197" i="41"/>
  <c r="M7286" i="41"/>
  <c r="M7371" i="41"/>
  <c r="M7457" i="41"/>
  <c r="M7542" i="41"/>
  <c r="M7627" i="41"/>
  <c r="M7713" i="41"/>
  <c r="M6380" i="41"/>
  <c r="M6617" i="41"/>
  <c r="M6768" i="41"/>
  <c r="M6921" i="41"/>
  <c r="M7072" i="41"/>
  <c r="M7221" i="41"/>
  <c r="M7335" i="41"/>
  <c r="M7449" i="41"/>
  <c r="M7562" i="41"/>
  <c r="M7677" i="41"/>
  <c r="M6272" i="41"/>
  <c r="M6581" i="41"/>
  <c r="M6733" i="41"/>
  <c r="M6885" i="41"/>
  <c r="M7037" i="41"/>
  <c r="M7188" i="41"/>
  <c r="M7309" i="41"/>
  <c r="M7422" i="41"/>
  <c r="M7535" i="41"/>
  <c r="M7650" i="41"/>
  <c r="M6156" i="41"/>
  <c r="M6547" i="41"/>
  <c r="M6697" i="41"/>
  <c r="M5378" i="41"/>
  <c r="M4884" i="41"/>
  <c r="M5197" i="41"/>
  <c r="M5591" i="41"/>
  <c r="M5185" i="41"/>
  <c r="M5384" i="41"/>
  <c r="M5582" i="41"/>
  <c r="M5883" i="41"/>
  <c r="M5086" i="41"/>
  <c r="M5843" i="41"/>
  <c r="M6134" i="41"/>
  <c r="M5824" i="41"/>
  <c r="M6211" i="41"/>
  <c r="M5465" i="41"/>
  <c r="M6018" i="41"/>
  <c r="M6287" i="41"/>
  <c r="M5209" i="41"/>
  <c r="M5837" i="41"/>
  <c r="M6069" i="41"/>
  <c r="M6274" i="41"/>
  <c r="M6427" i="41"/>
  <c r="M4951" i="41"/>
  <c r="M5369" i="41"/>
  <c r="M5806" i="41"/>
  <c r="M6032" i="41"/>
  <c r="M6214" i="41"/>
  <c r="M6364" i="41"/>
  <c r="M6486" i="41"/>
  <c r="M6598" i="41"/>
  <c r="M6702" i="41"/>
  <c r="M6822" i="41"/>
  <c r="M6942" i="41"/>
  <c r="M7046" i="41"/>
  <c r="M7166" i="41"/>
  <c r="M5444" i="41"/>
  <c r="M5791" i="41"/>
  <c r="M5962" i="41"/>
  <c r="M6119" i="41"/>
  <c r="M6237" i="41"/>
  <c r="M6354" i="41"/>
  <c r="M6447" i="41"/>
  <c r="M6527" i="41"/>
  <c r="M4934" i="41"/>
  <c r="M5581" i="41"/>
  <c r="M5835" i="41"/>
  <c r="M5996" i="41"/>
  <c r="M6153" i="41"/>
  <c r="M6262" i="41"/>
  <c r="M6378" i="41"/>
  <c r="M6466" i="41"/>
  <c r="M6546" i="41"/>
  <c r="M6634" i="41"/>
  <c r="M6722" i="41"/>
  <c r="M6802" i="41"/>
  <c r="M6890" i="41"/>
  <c r="M6978" i="41"/>
  <c r="M7058" i="41"/>
  <c r="M7146" i="41"/>
  <c r="M5455" i="41"/>
  <c r="M5936" i="41"/>
  <c r="M6185" i="41"/>
  <c r="M5749" i="41"/>
  <c r="M6001" i="41"/>
  <c r="M6213" i="41"/>
  <c r="M6381" i="41"/>
  <c r="M6509" i="41"/>
  <c r="M6604" i="41"/>
  <c r="M6689" i="41"/>
  <c r="M6775" i="41"/>
  <c r="M6860" i="41"/>
  <c r="M6945" i="41"/>
  <c r="M7031" i="41"/>
  <c r="M7116" i="41"/>
  <c r="M7201" i="41"/>
  <c r="M7268" i="41"/>
  <c r="M7332" i="41"/>
  <c r="M7396" i="41"/>
  <c r="M7460" i="41"/>
  <c r="M7524" i="41"/>
  <c r="M7588" i="41"/>
  <c r="M7652" i="41"/>
  <c r="M7716" i="41"/>
  <c r="M5792" i="41"/>
  <c r="M6036" i="41"/>
  <c r="M5433" i="41"/>
  <c r="M5506" i="41"/>
  <c r="M5012" i="41"/>
  <c r="M5245" i="41"/>
  <c r="M4880" i="41"/>
  <c r="M5345" i="41"/>
  <c r="M5548" i="41"/>
  <c r="M5742" i="41"/>
  <c r="M5899" i="41"/>
  <c r="M4875" i="41"/>
  <c r="M5140" i="41"/>
  <c r="M5325" i="41"/>
  <c r="M5136" i="41"/>
  <c r="M5545" i="41"/>
  <c r="M5564" i="41"/>
  <c r="M5206" i="41"/>
  <c r="M5947" i="41"/>
  <c r="M5480" i="41"/>
  <c r="M5918" i="41"/>
  <c r="M5047" i="41"/>
  <c r="M5949" i="41"/>
  <c r="M6259" i="41"/>
  <c r="M5746" i="41"/>
  <c r="M6114" i="41"/>
  <c r="M6303" i="41"/>
  <c r="M5511" i="41"/>
  <c r="M5898" i="41"/>
  <c r="M6154" i="41"/>
  <c r="M6328" i="41"/>
  <c r="M6467" i="41"/>
  <c r="M4953" i="41"/>
  <c r="M5487" i="41"/>
  <c r="M5876" i="41"/>
  <c r="M6089" i="41"/>
  <c r="M6246" i="41"/>
  <c r="M6398" i="41"/>
  <c r="M6510" i="41"/>
  <c r="M6622" i="41"/>
  <c r="M6742" i="41"/>
  <c r="M6854" i="41"/>
  <c r="M6958" i="41"/>
  <c r="M7078" i="41"/>
  <c r="M7198" i="41"/>
  <c r="M5571" i="41"/>
  <c r="M5847" i="41"/>
  <c r="M6005" i="41"/>
  <c r="M6148" i="41"/>
  <c r="M6269" i="41"/>
  <c r="M6383" i="41"/>
  <c r="M6463" i="41"/>
  <c r="M4983" i="41"/>
  <c r="M5129" i="41"/>
  <c r="M5653" i="41"/>
  <c r="M5882" i="41"/>
  <c r="M6039" i="41"/>
  <c r="M6177" i="41"/>
  <c r="M6294" i="41"/>
  <c r="M6402" i="41"/>
  <c r="M6482" i="41"/>
  <c r="M6570" i="41"/>
  <c r="M6658" i="41"/>
  <c r="M6738" i="41"/>
  <c r="M6826" i="41"/>
  <c r="M6914" i="41"/>
  <c r="M6994" i="41"/>
  <c r="M7082" i="41"/>
  <c r="M7170" i="41"/>
  <c r="M5610" i="41"/>
  <c r="M6021" i="41"/>
  <c r="M5225" i="41"/>
  <c r="M5823" i="41"/>
  <c r="M6058" i="41"/>
  <c r="M6256" i="41"/>
  <c r="M6413" i="41"/>
  <c r="M6540" i="41"/>
  <c r="M6625" i="41"/>
  <c r="M6711" i="41"/>
  <c r="M6796" i="41"/>
  <c r="M6881" i="41"/>
  <c r="M6967" i="41"/>
  <c r="M7052" i="41"/>
  <c r="M7137" i="41"/>
  <c r="M7220" i="41"/>
  <c r="M7284" i="41"/>
  <c r="M7348" i="41"/>
  <c r="M7412" i="41"/>
  <c r="M7476" i="41"/>
  <c r="M7540" i="41"/>
  <c r="M7604" i="41"/>
  <c r="M7668" i="41"/>
  <c r="M5385" i="41"/>
  <c r="M5865" i="41"/>
  <c r="M6092" i="41"/>
  <c r="M5595" i="41"/>
  <c r="M4994" i="41"/>
  <c r="M5083" i="41"/>
  <c r="M5316" i="41"/>
  <c r="M4927" i="41"/>
  <c r="M5392" i="41"/>
  <c r="M5801" i="41"/>
  <c r="M5748" i="41"/>
  <c r="M5496" i="41"/>
  <c r="M6067" i="41"/>
  <c r="M5590" i="41"/>
  <c r="M6006" i="41"/>
  <c r="M5486" i="41"/>
  <c r="M6024" i="41"/>
  <c r="M6339" i="41"/>
  <c r="M5816" i="41"/>
  <c r="M6191" i="41"/>
  <c r="M6343" i="41"/>
  <c r="M5621" i="41"/>
  <c r="M5969" i="41"/>
  <c r="M6189" i="41"/>
  <c r="M6379" i="41"/>
  <c r="M6491" i="41"/>
  <c r="M5159" i="41"/>
  <c r="M5669" i="41"/>
  <c r="M5932" i="41"/>
  <c r="M6117" i="41"/>
  <c r="M6289" i="41"/>
  <c r="M6430" i="41"/>
  <c r="M6534" i="41"/>
  <c r="M6654" i="41"/>
  <c r="M6766" i="41"/>
  <c r="M6878" i="41"/>
  <c r="M6998" i="41"/>
  <c r="M7110" i="41"/>
  <c r="M4903" i="41"/>
  <c r="M5674" i="41"/>
  <c r="M5892" i="41"/>
  <c r="M6033" i="41"/>
  <c r="M6184" i="41"/>
  <c r="M6301" i="41"/>
  <c r="M6399" i="41"/>
  <c r="M6487" i="41"/>
  <c r="M4921" i="41"/>
  <c r="M5271" i="41"/>
  <c r="M5739" i="41"/>
  <c r="M5925" i="41"/>
  <c r="M6068" i="41"/>
  <c r="M6209" i="41"/>
  <c r="M6326" i="41"/>
  <c r="M6418" i="41"/>
  <c r="M6506" i="41"/>
  <c r="M6594" i="41"/>
  <c r="M6674" i="41"/>
  <c r="M6762" i="41"/>
  <c r="M6850" i="41"/>
  <c r="M6930" i="41"/>
  <c r="M7018" i="41"/>
  <c r="M7106" i="41"/>
  <c r="M7186" i="41"/>
  <c r="M5773" i="41"/>
  <c r="M6079" i="41"/>
  <c r="M5479" i="41"/>
  <c r="M5888" i="41"/>
  <c r="M6116" i="41"/>
  <c r="M6298" i="41"/>
  <c r="M6445" i="41"/>
  <c r="M6561" i="41"/>
  <c r="M6647" i="41"/>
  <c r="M6732" i="41"/>
  <c r="M6817" i="41"/>
  <c r="M6903" i="41"/>
  <c r="M6988" i="41"/>
  <c r="M7073" i="41"/>
  <c r="M7159" i="41"/>
  <c r="M7236" i="41"/>
  <c r="M7300" i="41"/>
  <c r="M7364" i="41"/>
  <c r="M7428" i="41"/>
  <c r="M7492" i="41"/>
  <c r="M7556" i="41"/>
  <c r="M7620" i="41"/>
  <c r="M7684" i="41"/>
  <c r="M5578" i="41"/>
  <c r="M5921" i="41"/>
  <c r="M6149" i="41"/>
  <c r="M5725" i="41"/>
  <c r="M5988" i="41"/>
  <c r="M6202" i="41"/>
  <c r="M6373" i="41"/>
  <c r="M6501" i="41"/>
  <c r="M6599" i="41"/>
  <c r="M6684" i="41"/>
  <c r="M6769" i="41"/>
  <c r="M6855" i="41"/>
  <c r="M6940" i="41"/>
  <c r="M7025" i="41"/>
  <c r="M7111" i="41"/>
  <c r="M7196" i="41"/>
  <c r="M7264" i="41"/>
  <c r="M7328" i="41"/>
  <c r="M7392" i="41"/>
  <c r="M7456" i="41"/>
  <c r="M7520" i="41"/>
  <c r="M7584" i="41"/>
  <c r="M7648" i="41"/>
  <c r="M7712" i="41"/>
  <c r="M6009" i="41"/>
  <c r="M6324" i="41"/>
  <c r="M6505" i="41"/>
  <c r="M5353" i="41"/>
  <c r="M6085" i="41"/>
  <c r="M6361" i="41"/>
  <c r="M6536" i="41"/>
  <c r="M6649" i="41"/>
  <c r="M6763" i="41"/>
  <c r="M6877" i="41"/>
  <c r="M6991" i="41"/>
  <c r="M7104" i="41"/>
  <c r="M7217" i="41"/>
  <c r="M7302" i="41"/>
  <c r="M7387" i="41"/>
  <c r="M7473" i="41"/>
  <c r="M7558" i="41"/>
  <c r="M7643" i="41"/>
  <c r="M5579" i="41"/>
  <c r="M6151" i="41"/>
  <c r="M6388" i="41"/>
  <c r="M5594" i="41"/>
  <c r="M5821" i="41"/>
  <c r="M6233" i="41"/>
  <c r="M6440" i="41"/>
  <c r="M6585" i="41"/>
  <c r="M6699" i="41"/>
  <c r="M6813" i="41"/>
  <c r="M6927" i="41"/>
  <c r="M7040" i="41"/>
  <c r="M7155" i="41"/>
  <c r="M7254" i="41"/>
  <c r="M7339" i="41"/>
  <c r="M7425" i="41"/>
  <c r="M7510" i="41"/>
  <c r="M7595" i="41"/>
  <c r="M7681" i="41"/>
  <c r="M6212" i="41"/>
  <c r="M6560" i="41"/>
  <c r="M6712" i="41"/>
  <c r="M6864" i="41"/>
  <c r="M7016" i="41"/>
  <c r="M7167" i="41"/>
  <c r="M7293" i="41"/>
  <c r="M7406" i="41"/>
  <c r="M7519" i="41"/>
  <c r="M7634" i="41"/>
  <c r="M6023" i="41"/>
  <c r="M6512" i="41"/>
  <c r="M6676" i="41"/>
  <c r="M6829" i="41"/>
  <c r="M6980" i="41"/>
  <c r="M7131" i="41"/>
  <c r="M7266" i="41"/>
  <c r="M7379" i="41"/>
  <c r="M7493" i="41"/>
  <c r="M7607" i="41"/>
  <c r="M5802" i="41"/>
  <c r="M6433" i="41"/>
  <c r="M6640" i="41"/>
  <c r="M5211" i="41"/>
  <c r="M5849" i="41"/>
  <c r="M5278" i="41"/>
  <c r="M4937" i="41"/>
  <c r="M6227" i="41"/>
  <c r="M6061" i="41"/>
  <c r="M5286" i="41"/>
  <c r="M6127" i="41"/>
  <c r="M6451" i="41"/>
  <c r="M5443" i="41"/>
  <c r="M6047" i="41"/>
  <c r="M6382" i="41"/>
  <c r="M6614" i="41"/>
  <c r="M6830" i="41"/>
  <c r="M7070" i="41"/>
  <c r="M5539" i="41"/>
  <c r="M5977" i="41"/>
  <c r="M6258" i="41"/>
  <c r="M6455" i="41"/>
  <c r="M4999" i="41"/>
  <c r="M5868" i="41"/>
  <c r="M6166" i="41"/>
  <c r="M6386" i="41"/>
  <c r="M6562" i="41"/>
  <c r="M6730" i="41"/>
  <c r="M6898" i="41"/>
  <c r="M7074" i="41"/>
  <c r="M5541" i="41"/>
  <c r="M5190" i="41"/>
  <c r="M6031" i="41"/>
  <c r="M6397" i="41"/>
  <c r="M6615" i="41"/>
  <c r="M6785" i="41"/>
  <c r="M6956" i="41"/>
  <c r="M7127" i="41"/>
  <c r="M7276" i="41"/>
  <c r="M7404" i="41"/>
  <c r="M7532" i="41"/>
  <c r="M7660" i="41"/>
  <c r="M5830" i="41"/>
  <c r="M5528" i="41"/>
  <c r="M6016" i="41"/>
  <c r="M6288" i="41"/>
  <c r="M6469" i="41"/>
  <c r="M6609" i="41"/>
  <c r="M6727" i="41"/>
  <c r="M6833" i="41"/>
  <c r="M6951" i="41"/>
  <c r="M7068" i="41"/>
  <c r="M7175" i="41"/>
  <c r="M7272" i="41"/>
  <c r="M7360" i="41"/>
  <c r="M7440" i="41"/>
  <c r="M7528" i="41"/>
  <c r="M7616" i="41"/>
  <c r="M7696" i="41"/>
  <c r="M6065" i="41"/>
  <c r="M6420" i="41"/>
  <c r="M5546" i="41"/>
  <c r="M6143" i="41"/>
  <c r="M6449" i="41"/>
  <c r="M6621" i="41"/>
  <c r="M6777" i="41"/>
  <c r="M6933" i="41"/>
  <c r="M7076" i="41"/>
  <c r="M7227" i="41"/>
  <c r="M7345" i="41"/>
  <c r="M7451" i="41"/>
  <c r="M7569" i="41"/>
  <c r="M7686" i="41"/>
  <c r="M6037" i="41"/>
  <c r="M6409" i="41"/>
  <c r="M5735" i="41"/>
  <c r="M6169" i="41"/>
  <c r="M6460" i="41"/>
  <c r="M6643" i="41"/>
  <c r="M6784" i="41"/>
  <c r="M6941" i="41"/>
  <c r="M7097" i="41"/>
  <c r="M7233" i="41"/>
  <c r="M7350" i="41"/>
  <c r="M7467" i="41"/>
  <c r="M7574" i="41"/>
  <c r="M7691" i="41"/>
  <c r="M6424" i="41"/>
  <c r="M5396" i="41"/>
  <c r="M5836" i="41"/>
  <c r="M5702" i="41"/>
  <c r="M5626" i="41"/>
  <c r="M4967" i="41"/>
  <c r="M6207" i="41"/>
  <c r="M5691" i="41"/>
  <c r="M6210" i="41"/>
  <c r="M6507" i="41"/>
  <c r="M5706" i="41"/>
  <c r="M6160" i="41"/>
  <c r="M6438" i="41"/>
  <c r="M6662" i="41"/>
  <c r="M6894" i="41"/>
  <c r="M7126" i="41"/>
  <c r="M5707" i="41"/>
  <c r="M6063" i="41"/>
  <c r="M6312" i="41"/>
  <c r="M6495" i="41"/>
  <c r="M5414" i="41"/>
  <c r="M5940" i="41"/>
  <c r="M6220" i="41"/>
  <c r="M6434" i="41"/>
  <c r="M6602" i="41"/>
  <c r="M6770" i="41"/>
  <c r="M6946" i="41"/>
  <c r="M7114" i="41"/>
  <c r="M5813" i="41"/>
  <c r="M5563" i="41"/>
  <c r="M6144" i="41"/>
  <c r="M6461" i="41"/>
  <c r="M6657" i="41"/>
  <c r="M6828" i="41"/>
  <c r="M6999" i="41"/>
  <c r="M7169" i="41"/>
  <c r="M7308" i="41"/>
  <c r="M7436" i="41"/>
  <c r="M7564" i="41"/>
  <c r="M7692" i="41"/>
  <c r="M5951" i="41"/>
  <c r="M5766" i="41"/>
  <c r="M6101" i="41"/>
  <c r="M6330" i="41"/>
  <c r="M6517" i="41"/>
  <c r="M6641" i="41"/>
  <c r="M6748" i="41"/>
  <c r="M6865" i="41"/>
  <c r="M6983" i="41"/>
  <c r="M7089" i="41"/>
  <c r="M7207" i="41"/>
  <c r="M7296" i="41"/>
  <c r="M7376" i="41"/>
  <c r="M7464" i="41"/>
  <c r="M7552" i="41"/>
  <c r="M7632" i="41"/>
  <c r="M5222" i="41"/>
  <c r="M6208" i="41"/>
  <c r="M6464" i="41"/>
  <c r="M5557" i="41"/>
  <c r="M6249" i="41"/>
  <c r="M6492" i="41"/>
  <c r="M6664" i="41"/>
  <c r="M6820" i="41"/>
  <c r="M6963" i="41"/>
  <c r="M7119" i="41"/>
  <c r="M7259" i="41"/>
  <c r="M7366" i="41"/>
  <c r="M7483" i="41"/>
  <c r="M7601" i="41"/>
  <c r="M7707" i="41"/>
  <c r="M6196" i="41"/>
  <c r="M6473" i="41"/>
  <c r="M5627" i="41"/>
  <c r="M6261" i="41"/>
  <c r="M6524" i="41"/>
  <c r="M6671" i="41"/>
  <c r="M6827" i="41"/>
  <c r="M6984" i="41"/>
  <c r="M7125" i="41"/>
  <c r="M7265" i="41"/>
  <c r="M7382" i="41"/>
  <c r="M7489" i="41"/>
  <c r="M7606" i="41"/>
  <c r="M5763" i="41"/>
  <c r="M6508" i="41"/>
  <c r="M6731" i="41"/>
  <c r="M6939" i="41"/>
  <c r="M7129" i="41"/>
  <c r="M7306" i="41"/>
  <c r="M7463" i="41"/>
  <c r="M7605" i="41"/>
  <c r="M6137" i="41"/>
  <c r="M6601" i="41"/>
  <c r="M6789" i="41"/>
  <c r="M7000" i="41"/>
  <c r="M7208" i="41"/>
  <c r="M7351" i="41"/>
  <c r="M7507" i="41"/>
  <c r="M7663" i="41"/>
  <c r="M6340" i="41"/>
  <c r="M6660" i="41"/>
  <c r="M6831" i="41"/>
  <c r="M6981" i="41"/>
  <c r="M7135" i="41"/>
  <c r="M7267" i="41"/>
  <c r="M7381" i="41"/>
  <c r="M7495" i="41"/>
  <c r="M7609" i="41"/>
  <c r="M5814" i="41"/>
  <c r="M6436" i="41"/>
  <c r="M6644" i="41"/>
  <c r="M6795" i="41"/>
  <c r="M6947" i="41"/>
  <c r="M7099" i="41"/>
  <c r="M7241" i="41"/>
  <c r="M7354" i="41"/>
  <c r="M7469" i="41"/>
  <c r="M7582" i="41"/>
  <c r="M7695" i="41"/>
  <c r="M5957" i="41"/>
  <c r="M6488" i="41"/>
  <c r="M6665" i="41"/>
  <c r="M6836" i="41"/>
  <c r="M6987" i="41"/>
  <c r="M7139" i="41"/>
  <c r="M7271" i="41"/>
  <c r="M7385" i="41"/>
  <c r="M7513" i="41"/>
  <c r="M7641" i="41"/>
  <c r="M6244" i="41"/>
  <c r="M6573" i="41"/>
  <c r="M6724" i="41"/>
  <c r="M6875" i="41"/>
  <c r="M7028" i="41"/>
  <c r="M7179" i="41"/>
  <c r="M7301" i="41"/>
  <c r="M7415" i="41"/>
  <c r="M7529" i="41"/>
  <c r="M7642" i="41"/>
  <c r="M6100" i="41"/>
  <c r="M6537" i="41"/>
  <c r="M6688" i="41"/>
  <c r="M6840" i="41"/>
  <c r="M6992" i="41"/>
  <c r="M7144" i="41"/>
  <c r="M7274" i="41"/>
  <c r="M7389" i="41"/>
  <c r="M7502" i="41"/>
  <c r="M7615" i="41"/>
  <c r="M5881" i="41"/>
  <c r="M6457" i="41"/>
  <c r="M6653" i="41"/>
  <c r="M6804" i="41"/>
  <c r="M6957" i="41"/>
  <c r="M7108" i="41"/>
  <c r="M7247" i="41"/>
  <c r="M7362" i="41"/>
  <c r="M7475" i="41"/>
  <c r="M7589" i="41"/>
  <c r="M7703" i="41"/>
  <c r="M5453" i="41"/>
  <c r="M5454" i="41"/>
  <c r="M5768" i="41"/>
  <c r="M5752" i="41"/>
  <c r="M5017" i="41"/>
  <c r="M6223" i="41"/>
  <c r="M5741" i="41"/>
  <c r="M6253" i="41"/>
  <c r="M6515" i="41"/>
  <c r="M5750" i="41"/>
  <c r="M6182" i="41"/>
  <c r="M6446" i="41"/>
  <c r="M6686" i="41"/>
  <c r="M6910" i="41"/>
  <c r="M7134" i="41"/>
  <c r="M5751" i="41"/>
  <c r="M6076" i="41"/>
  <c r="M6322" i="41"/>
  <c r="M6511" i="41"/>
  <c r="M5464" i="41"/>
  <c r="M5953" i="41"/>
  <c r="M6241" i="41"/>
  <c r="M6442" i="41"/>
  <c r="M6610" i="41"/>
  <c r="M6786" i="41"/>
  <c r="M6954" i="41"/>
  <c r="M7122" i="41"/>
  <c r="M5879" i="41"/>
  <c r="M5629" i="41"/>
  <c r="M6170" i="41"/>
  <c r="M6477" i="41"/>
  <c r="M6668" i="41"/>
  <c r="M6839" i="41"/>
  <c r="M7009" i="41"/>
  <c r="M7180" i="41"/>
  <c r="M7316" i="41"/>
  <c r="M7444" i="41"/>
  <c r="M7572" i="41"/>
  <c r="M7700" i="41"/>
  <c r="M5978" i="41"/>
  <c r="M5805" i="41"/>
  <c r="M6129" i="41"/>
  <c r="M6352" i="41"/>
  <c r="M6533" i="41"/>
  <c r="M6652" i="41"/>
  <c r="M6759" i="41"/>
  <c r="M6876" i="41"/>
  <c r="M6993" i="41"/>
  <c r="M7100" i="41"/>
  <c r="M7216" i="41"/>
  <c r="M7304" i="41"/>
  <c r="M7384" i="41"/>
  <c r="M7472" i="41"/>
  <c r="M7560" i="41"/>
  <c r="M7640" i="41"/>
  <c r="M5507" i="41"/>
  <c r="M6238" i="41"/>
  <c r="M6484" i="41"/>
  <c r="M5693" i="41"/>
  <c r="M6276" i="41"/>
  <c r="M6513" i="41"/>
  <c r="M6677" i="41"/>
  <c r="M6835" i="41"/>
  <c r="M6976" i="41"/>
  <c r="M7133" i="41"/>
  <c r="M7270" i="41"/>
  <c r="M7377" i="41"/>
  <c r="M7494" i="41"/>
  <c r="M7611" i="41"/>
  <c r="M5399" i="41"/>
  <c r="M6222" i="41"/>
  <c r="M6496" i="41"/>
  <c r="M5744" i="41"/>
  <c r="M6292" i="41"/>
  <c r="M6543" i="41"/>
  <c r="M6685" i="41"/>
  <c r="M6841" i="41"/>
  <c r="M6997" i="41"/>
  <c r="M7140" i="41"/>
  <c r="M7275" i="41"/>
  <c r="M7393" i="41"/>
  <c r="M7499" i="41"/>
  <c r="M7617" i="41"/>
  <c r="M5900" i="41"/>
  <c r="M6541" i="41"/>
  <c r="M4866" i="41"/>
  <c r="M5232" i="41"/>
  <c r="M6011" i="41"/>
  <c r="M5966" i="41"/>
  <c r="M6002" i="41"/>
  <c r="M5774" i="41"/>
  <c r="M6327" i="41"/>
  <c r="M5927" i="41"/>
  <c r="M6360" i="41"/>
  <c r="M5094" i="41"/>
  <c r="M5889" i="41"/>
  <c r="M6278" i="41"/>
  <c r="M6526" i="41"/>
  <c r="M6750" i="41"/>
  <c r="M6982" i="41"/>
  <c r="M7206" i="41"/>
  <c r="M5863" i="41"/>
  <c r="M6173" i="41"/>
  <c r="M6391" i="41"/>
  <c r="M5049" i="41"/>
  <c r="M5717" i="41"/>
  <c r="M6053" i="41"/>
  <c r="M6305" i="41"/>
  <c r="M6498" i="41"/>
  <c r="M6666" i="41"/>
  <c r="M6834" i="41"/>
  <c r="M7010" i="41"/>
  <c r="M7178" i="41"/>
  <c r="M6049" i="41"/>
  <c r="M5860" i="41"/>
  <c r="M6277" i="41"/>
  <c r="M6551" i="41"/>
  <c r="M6721" i="41"/>
  <c r="M6892" i="41"/>
  <c r="M7063" i="41"/>
  <c r="M7228" i="41"/>
  <c r="M7356" i="41"/>
  <c r="M7484" i="41"/>
  <c r="M7612" i="41"/>
  <c r="M5497" i="41"/>
  <c r="M6121" i="41"/>
  <c r="M5903" i="41"/>
  <c r="M6181" i="41"/>
  <c r="M6405" i="41"/>
  <c r="M6567" i="41"/>
  <c r="M6673" i="41"/>
  <c r="M6791" i="41"/>
  <c r="M6908" i="41"/>
  <c r="M7015" i="41"/>
  <c r="M7132" i="41"/>
  <c r="M7240" i="41"/>
  <c r="M7320" i="41"/>
  <c r="M7408" i="41"/>
  <c r="M7496" i="41"/>
  <c r="M7576" i="41"/>
  <c r="M7664" i="41"/>
  <c r="M5834" i="41"/>
  <c r="M6293" i="41"/>
  <c r="M5287" i="41"/>
  <c r="M5914" i="41"/>
  <c r="M6334" i="41"/>
  <c r="M6564" i="41"/>
  <c r="M6720" i="41"/>
  <c r="M6863" i="41"/>
  <c r="M7019" i="41"/>
  <c r="M7176" i="41"/>
  <c r="M7291" i="41"/>
  <c r="M7409" i="41"/>
  <c r="M7526" i="41"/>
  <c r="M7633" i="41"/>
  <c r="M5794" i="41"/>
  <c r="M6308" i="41"/>
  <c r="M5417" i="41"/>
  <c r="M5943" i="41"/>
  <c r="M6376" i="41"/>
  <c r="M6571" i="41"/>
  <c r="M6728" i="41"/>
  <c r="M6884" i="41"/>
  <c r="M7027" i="41"/>
  <c r="M7183" i="41"/>
  <c r="M7307" i="41"/>
  <c r="M7414" i="41"/>
  <c r="M7531" i="41"/>
  <c r="M7649" i="41"/>
  <c r="M6128" i="41"/>
  <c r="M6597" i="41"/>
  <c r="M6808" i="41"/>
  <c r="M6996" i="41"/>
  <c r="M7205" i="41"/>
  <c r="M7363" i="41"/>
  <c r="M7506" i="41"/>
  <c r="M7662" i="41"/>
  <c r="M6384" i="41"/>
  <c r="M6659" i="41"/>
  <c r="M6867" i="41"/>
  <c r="M7075" i="41"/>
  <c r="M7251" i="41"/>
  <c r="M7407" i="41"/>
  <c r="M7565" i="41"/>
  <c r="M7706" i="41"/>
  <c r="M6520" i="41"/>
  <c r="M6736" i="41"/>
  <c r="M6888" i="41"/>
  <c r="M7039" i="41"/>
  <c r="M7192" i="41"/>
  <c r="M7310" i="41"/>
  <c r="M7423" i="41"/>
  <c r="M7538" i="41"/>
  <c r="M7651" i="41"/>
  <c r="M6165" i="41"/>
  <c r="M6548" i="41"/>
  <c r="M6701" i="41"/>
  <c r="M6852" i="41"/>
  <c r="M7003" i="41"/>
  <c r="M7156" i="41"/>
  <c r="M7283" i="41"/>
  <c r="M7397" i="41"/>
  <c r="M7511" i="41"/>
  <c r="M7625" i="41"/>
  <c r="M7470" i="41"/>
  <c r="M6240" i="41"/>
  <c r="M6569" i="41"/>
  <c r="M6723" i="41"/>
  <c r="M6893" i="41"/>
  <c r="M7044" i="41"/>
  <c r="M7195" i="41"/>
  <c r="M7314" i="41"/>
  <c r="M7427" i="41"/>
  <c r="M7555" i="41"/>
  <c r="M7711" i="41"/>
  <c r="M6404" i="41"/>
  <c r="M6629" i="41"/>
  <c r="M6781" i="41"/>
  <c r="M6932" i="41"/>
  <c r="M7085" i="41"/>
  <c r="M7230" i="41"/>
  <c r="M7343" i="41"/>
  <c r="M7458" i="41"/>
  <c r="M5042" i="41"/>
  <c r="M5568" i="41"/>
  <c r="M6115" i="41"/>
  <c r="M6022" i="41"/>
  <c r="M6056" i="41"/>
  <c r="M5890" i="41"/>
  <c r="M6367" i="41"/>
  <c r="M5999" i="41"/>
  <c r="M6387" i="41"/>
  <c r="M4966" i="41"/>
  <c r="M5961" i="41"/>
  <c r="M6300" i="41"/>
  <c r="M6558" i="41"/>
  <c r="M6782" i="41"/>
  <c r="M7006" i="41"/>
  <c r="M5111" i="41"/>
  <c r="M5905" i="41"/>
  <c r="M6194" i="41"/>
  <c r="M6415" i="41"/>
  <c r="M4985" i="41"/>
  <c r="M5759" i="41"/>
  <c r="M6096" i="41"/>
  <c r="M6337" i="41"/>
  <c r="M6514" i="41"/>
  <c r="M6690" i="41"/>
  <c r="M6858" i="41"/>
  <c r="M7026" i="41"/>
  <c r="M7202" i="41"/>
  <c r="M6106" i="41"/>
  <c r="M5916" i="41"/>
  <c r="M6320" i="41"/>
  <c r="M6572" i="41"/>
  <c r="M6743" i="41"/>
  <c r="M6913" i="41"/>
  <c r="M7084" i="41"/>
  <c r="M7244" i="41"/>
  <c r="M7372" i="41"/>
  <c r="M7500" i="41"/>
  <c r="M7628" i="41"/>
  <c r="M5643" i="41"/>
  <c r="M6174" i="41"/>
  <c r="M5930" i="41"/>
  <c r="M6224" i="41"/>
  <c r="M6437" i="41"/>
  <c r="M6577" i="41"/>
  <c r="M6695" i="41"/>
  <c r="M6812" i="41"/>
  <c r="M6919" i="41"/>
  <c r="M7036" i="41"/>
  <c r="M7153" i="41"/>
  <c r="M7248" i="41"/>
  <c r="M7336" i="41"/>
  <c r="M7424" i="41"/>
  <c r="M7504" i="41"/>
  <c r="M7592" i="41"/>
  <c r="M7680" i="41"/>
  <c r="M5895" i="41"/>
  <c r="M6350" i="41"/>
  <c r="M5659" i="41"/>
  <c r="M5972" i="41"/>
  <c r="M6385" i="41"/>
  <c r="M6592" i="41"/>
  <c r="M6735" i="41"/>
  <c r="M6891" i="41"/>
  <c r="M7048" i="41"/>
  <c r="M7189" i="41"/>
  <c r="M7313" i="41"/>
  <c r="M7430" i="41"/>
  <c r="M7537" i="41"/>
  <c r="M7654" i="41"/>
  <c r="M5924" i="41"/>
  <c r="M6336" i="41"/>
  <c r="M5723" i="41"/>
  <c r="M6057" i="41"/>
  <c r="M6396" i="41"/>
  <c r="M6600" i="41"/>
  <c r="M6756" i="41"/>
  <c r="M6899" i="41"/>
  <c r="M7055" i="41"/>
  <c r="M7211" i="41"/>
  <c r="M7318" i="41"/>
  <c r="M7435" i="41"/>
  <c r="M7553" i="41"/>
  <c r="M7659" i="41"/>
  <c r="M6270" i="41"/>
  <c r="M6637" i="41"/>
  <c r="M6825" i="41"/>
  <c r="M7035" i="41"/>
  <c r="M7235" i="41"/>
  <c r="M7378" i="41"/>
  <c r="M7534" i="41"/>
  <c r="M7690" i="41"/>
  <c r="M6425" i="41"/>
  <c r="M6696" i="41"/>
  <c r="M6904" i="41"/>
  <c r="M7093" i="41"/>
  <c r="M7279" i="41"/>
  <c r="M7437" i="41"/>
  <c r="M7578" i="41"/>
  <c r="M5929" i="41"/>
  <c r="M6565" i="41"/>
  <c r="M6755" i="41"/>
  <c r="M6907" i="41"/>
  <c r="M7059" i="41"/>
  <c r="M7209" i="41"/>
  <c r="M7325" i="41"/>
  <c r="M7438" i="41"/>
  <c r="M7551" i="41"/>
  <c r="M7666" i="41"/>
  <c r="M6229" i="41"/>
  <c r="M6568" i="41"/>
  <c r="M6719" i="41"/>
  <c r="M6872" i="41"/>
  <c r="M7023" i="41"/>
  <c r="M7173" i="41"/>
  <c r="M7298" i="41"/>
  <c r="M7411" i="41"/>
  <c r="M7525" i="41"/>
  <c r="M7639" i="41"/>
  <c r="M7598" i="41"/>
  <c r="M6297" i="41"/>
  <c r="M6589" i="41"/>
  <c r="M6740" i="41"/>
  <c r="M6911" i="41"/>
  <c r="M7064" i="41"/>
  <c r="M7214" i="41"/>
  <c r="M7327" i="41"/>
  <c r="M7442" i="41"/>
  <c r="M7570" i="41"/>
  <c r="M5851" i="41"/>
  <c r="M6448" i="41"/>
  <c r="M6648" i="41"/>
  <c r="M6800" i="41"/>
  <c r="M6952" i="41"/>
  <c r="M7103" i="41"/>
  <c r="M7245" i="41"/>
  <c r="M7358" i="41"/>
  <c r="M7471" i="41"/>
  <c r="M7586" i="41"/>
  <c r="M7699" i="41"/>
  <c r="M6368" i="41"/>
  <c r="M6612" i="41"/>
  <c r="M6765" i="41"/>
  <c r="M6916" i="41"/>
  <c r="M7067" i="41"/>
  <c r="M7218" i="41"/>
  <c r="M7331" i="41"/>
  <c r="M7445" i="41"/>
  <c r="M7559" i="41"/>
  <c r="M7673" i="41"/>
  <c r="M6260" i="41"/>
  <c r="M6576" i="41"/>
  <c r="M6729" i="41"/>
  <c r="M6880" i="41"/>
  <c r="M7032" i="41"/>
  <c r="M7184" i="41"/>
  <c r="M7305" i="41"/>
  <c r="M7418" i="41"/>
  <c r="M7533" i="41"/>
  <c r="M7646" i="41"/>
  <c r="M7689" i="41"/>
  <c r="M7546" i="41"/>
  <c r="M7390" i="41"/>
  <c r="M7234" i="41"/>
  <c r="M7051" i="41"/>
  <c r="M6843" i="41"/>
  <c r="M6633" i="41"/>
  <c r="M6314" i="41"/>
  <c r="M7645" i="41"/>
  <c r="M7487" i="41"/>
  <c r="M7346" i="41"/>
  <c r="M7181" i="41"/>
  <c r="M6973" i="41"/>
  <c r="M6783" i="41"/>
  <c r="M6575" i="41"/>
  <c r="M5985" i="41"/>
  <c r="M7599" i="41"/>
  <c r="M7429" i="41"/>
  <c r="M7258" i="41"/>
  <c r="M7008" i="41"/>
  <c r="M6761" i="41"/>
  <c r="M6532" i="41"/>
  <c r="M7655" i="41"/>
  <c r="M7455" i="41"/>
  <c r="M7257" i="41"/>
  <c r="M7024" i="41"/>
  <c r="M6779" i="41"/>
  <c r="M6529" i="41"/>
  <c r="M7669" i="41"/>
  <c r="M7567" i="41"/>
  <c r="M7383" i="41"/>
  <c r="M7213" i="41"/>
  <c r="M6965" i="41"/>
  <c r="M6739" i="41"/>
  <c r="M6393" i="41"/>
  <c r="M7637" i="41"/>
  <c r="M7466" i="41"/>
  <c r="M7282" i="41"/>
  <c r="M7077" i="41"/>
  <c r="M6811" i="41"/>
  <c r="M6476" i="41"/>
  <c r="M7621" i="41"/>
  <c r="M7365" i="41"/>
  <c r="M7113" i="41"/>
  <c r="M6772" i="41"/>
  <c r="M6329" i="41"/>
  <c r="M7577" i="41"/>
  <c r="M7321" i="41"/>
  <c r="M7053" i="41"/>
  <c r="M6693" i="41"/>
  <c r="M7670" i="41"/>
  <c r="M7361" i="41"/>
  <c r="M7012" i="41"/>
  <c r="M6613" i="41"/>
  <c r="M5476" i="41"/>
  <c r="M5714" i="41"/>
  <c r="M7441" i="41"/>
  <c r="M7091" i="41"/>
  <c r="M6707" i="41"/>
  <c r="M6028" i="41"/>
  <c r="M6122" i="41"/>
  <c r="M7568" i="41"/>
  <c r="M7344" i="41"/>
  <c r="M7079" i="41"/>
  <c r="M6780" i="41"/>
  <c r="M6453" i="41"/>
  <c r="M5667" i="41"/>
  <c r="M7596" i="41"/>
  <c r="M7252" i="41"/>
  <c r="M6807" i="41"/>
  <c r="M6234" i="41"/>
  <c r="M7210" i="41"/>
  <c r="M6754" i="41"/>
  <c r="M6284" i="41"/>
  <c r="M5062" i="41"/>
  <c r="M6020" i="41"/>
  <c r="M6950" i="41"/>
  <c r="M6332" i="41"/>
  <c r="M6475" i="41"/>
  <c r="M6295" i="41"/>
  <c r="M6046" i="41"/>
  <c r="M5268" i="41"/>
  <c r="M7717" i="41"/>
  <c r="M7405" i="41"/>
  <c r="M7071" i="41"/>
  <c r="M6672" i="41"/>
  <c r="M7658" i="41"/>
  <c r="M7359" i="41"/>
  <c r="M7011" i="41"/>
  <c r="M7614" i="41"/>
  <c r="M6552" i="41"/>
  <c r="M7368" i="41"/>
  <c r="M7674" i="41"/>
  <c r="M7518" i="41"/>
  <c r="M7375" i="41"/>
  <c r="M7219" i="41"/>
  <c r="M7013" i="41"/>
  <c r="M6824" i="41"/>
  <c r="M6616" i="41"/>
  <c r="M6201" i="41"/>
  <c r="M7630" i="41"/>
  <c r="M7474" i="41"/>
  <c r="M7317" i="41"/>
  <c r="M7163" i="41"/>
  <c r="M6953" i="41"/>
  <c r="M6745" i="41"/>
  <c r="M6555" i="41"/>
  <c r="M5872" i="41"/>
  <c r="M7571" i="41"/>
  <c r="M7401" i="41"/>
  <c r="M7215" i="41"/>
  <c r="M6989" i="41"/>
  <c r="M6744" i="41"/>
  <c r="M6489" i="41"/>
  <c r="M7626" i="41"/>
  <c r="M7413" i="41"/>
  <c r="M7242" i="41"/>
  <c r="M7007" i="41"/>
  <c r="M6760" i="41"/>
  <c r="M6444" i="41"/>
  <c r="M6816" i="41"/>
  <c r="M7554" i="41"/>
  <c r="M7369" i="41"/>
  <c r="M7193" i="41"/>
  <c r="M6928" i="41"/>
  <c r="M6681" i="41"/>
  <c r="M6345" i="41"/>
  <c r="M7623" i="41"/>
  <c r="M7453" i="41"/>
  <c r="M7253" i="41"/>
  <c r="M7021" i="41"/>
  <c r="M6793" i="41"/>
  <c r="M6392" i="41"/>
  <c r="M7593" i="41"/>
  <c r="M7337" i="41"/>
  <c r="M7056" i="41"/>
  <c r="M6752" i="41"/>
  <c r="M6217" i="41"/>
  <c r="M7549" i="41"/>
  <c r="M7278" i="41"/>
  <c r="M6979" i="41"/>
  <c r="M6675" i="41"/>
  <c r="M7638" i="41"/>
  <c r="M7329" i="41"/>
  <c r="M6955" i="41"/>
  <c r="M6557" i="41"/>
  <c r="M5457" i="41"/>
  <c r="M7697" i="41"/>
  <c r="M7398" i="41"/>
  <c r="M7061" i="41"/>
  <c r="M6635" i="41"/>
  <c r="M5857" i="41"/>
  <c r="M5952" i="41"/>
  <c r="M7536" i="41"/>
  <c r="M7312" i="41"/>
  <c r="M7047" i="41"/>
  <c r="M6737" i="41"/>
  <c r="M6389" i="41"/>
  <c r="M5257" i="41"/>
  <c r="M7548" i="41"/>
  <c r="M7212" i="41"/>
  <c r="M6753" i="41"/>
  <c r="M6087" i="41"/>
  <c r="M7154" i="41"/>
  <c r="M6698" i="41"/>
  <c r="M6198" i="41"/>
  <c r="M4905" i="41"/>
  <c r="M5920" i="41"/>
  <c r="M6870" i="41"/>
  <c r="M6236" i="41"/>
  <c r="M6411" i="41"/>
  <c r="M6167" i="41"/>
  <c r="M5878" i="41"/>
  <c r="M4955" i="41"/>
  <c r="M7661" i="41"/>
  <c r="M7503" i="41"/>
  <c r="M7347" i="41"/>
  <c r="M7203" i="41"/>
  <c r="M6995" i="41"/>
  <c r="M6787" i="41"/>
  <c r="M6596" i="41"/>
  <c r="M6108" i="41"/>
  <c r="M7602" i="41"/>
  <c r="M7459" i="41"/>
  <c r="M7303" i="41"/>
  <c r="M7124" i="41"/>
  <c r="M6936" i="41"/>
  <c r="M6725" i="41"/>
  <c r="M6497" i="41"/>
  <c r="M7714" i="41"/>
  <c r="M7557" i="41"/>
  <c r="M7386" i="41"/>
  <c r="M7199" i="41"/>
  <c r="M6971" i="41"/>
  <c r="M6704" i="41"/>
  <c r="M6357" i="41"/>
  <c r="M7613" i="41"/>
  <c r="M7399" i="41"/>
  <c r="M7229" i="41"/>
  <c r="M6968" i="41"/>
  <c r="M6703" i="41"/>
  <c r="M6401" i="41"/>
  <c r="M7710" i="41"/>
  <c r="M7539" i="41"/>
  <c r="M7341" i="41"/>
  <c r="M7136" i="41"/>
  <c r="M6909" i="41"/>
  <c r="M6661" i="41"/>
  <c r="M6286" i="41"/>
  <c r="M7594" i="41"/>
  <c r="M7410" i="41"/>
  <c r="M7239" i="41"/>
  <c r="M7001" i="41"/>
  <c r="M6773" i="41"/>
  <c r="M6282" i="41"/>
  <c r="M7550" i="41"/>
  <c r="M7322" i="41"/>
  <c r="M7017" i="41"/>
  <c r="M6715" i="41"/>
  <c r="M5909" i="41"/>
  <c r="M7491" i="41"/>
  <c r="M7263" i="41"/>
  <c r="M6959" i="41"/>
  <c r="M6655" i="41"/>
  <c r="M7585" i="41"/>
  <c r="M7297" i="41"/>
  <c r="M6912" i="41"/>
  <c r="M6481" i="41"/>
  <c r="M6516" i="41"/>
  <c r="M7665" i="41"/>
  <c r="M7355" i="41"/>
  <c r="M7005" i="41"/>
  <c r="M6607" i="41"/>
  <c r="M5683" i="41"/>
  <c r="M5757" i="41"/>
  <c r="M7512" i="41"/>
  <c r="M7280" i="41"/>
  <c r="M7004" i="41"/>
  <c r="M6705" i="41"/>
  <c r="M6309" i="41"/>
  <c r="M6064" i="41"/>
  <c r="M7508" i="41"/>
  <c r="M7148" i="41"/>
  <c r="M6700" i="41"/>
  <c r="M5945" i="41"/>
  <c r="M7090" i="41"/>
  <c r="M6642" i="41"/>
  <c r="M6111" i="41"/>
  <c r="M6479" i="41"/>
  <c r="M5827" i="41"/>
  <c r="M6790" i="41"/>
  <c r="M6103" i="41"/>
  <c r="M6306" i="41"/>
  <c r="M5944" i="41"/>
  <c r="M5502" i="41"/>
  <c r="M7631" i="41"/>
  <c r="M7490" i="41"/>
  <c r="M7333" i="41"/>
  <c r="M7165" i="41"/>
  <c r="M6975" i="41"/>
  <c r="M6767" i="41"/>
  <c r="M6559" i="41"/>
  <c r="M5994" i="41"/>
  <c r="M7587" i="41"/>
  <c r="M7431" i="41"/>
  <c r="M7289" i="41"/>
  <c r="M7107" i="41"/>
  <c r="M6896" i="41"/>
  <c r="M6708" i="41"/>
  <c r="M6456" i="41"/>
  <c r="M7685" i="41"/>
  <c r="M7543" i="41"/>
  <c r="M7373" i="41"/>
  <c r="M7160" i="41"/>
  <c r="M6915" i="41"/>
  <c r="M6687" i="41"/>
  <c r="M6302" i="41"/>
  <c r="M7583" i="41"/>
  <c r="M7370" i="41"/>
  <c r="M7177" i="41"/>
  <c r="M6949" i="41"/>
  <c r="M6683" i="41"/>
  <c r="M6356" i="41"/>
  <c r="M7682" i="41"/>
  <c r="M7497" i="41"/>
  <c r="M7326" i="41"/>
  <c r="M7117" i="41"/>
  <c r="M6889" i="41"/>
  <c r="M6624" i="41"/>
  <c r="M6052" i="41"/>
  <c r="M7581" i="41"/>
  <c r="M7395" i="41"/>
  <c r="M7225" i="41"/>
  <c r="M6964" i="41"/>
  <c r="M6717" i="41"/>
  <c r="M6228" i="41"/>
  <c r="M7522" i="41"/>
  <c r="M7294" i="41"/>
  <c r="M6960" i="41"/>
  <c r="M6639" i="41"/>
  <c r="M5776" i="41"/>
  <c r="M7477" i="41"/>
  <c r="M7250" i="41"/>
  <c r="M6901" i="41"/>
  <c r="M6580" i="41"/>
  <c r="M7563" i="41"/>
  <c r="M7243" i="41"/>
  <c r="M6869" i="41"/>
  <c r="M6417" i="41"/>
  <c r="M6432" i="41"/>
  <c r="M7622" i="41"/>
  <c r="M7323" i="41"/>
  <c r="M6948" i="41"/>
  <c r="M6549" i="41"/>
  <c r="M5335" i="41"/>
  <c r="M7704" i="41"/>
  <c r="M7488" i="41"/>
  <c r="M7256" i="41"/>
  <c r="M6961" i="41"/>
  <c r="M6663" i="41"/>
  <c r="M6245" i="41"/>
  <c r="M5893" i="41"/>
  <c r="M7468" i="41"/>
  <c r="M7095" i="41"/>
  <c r="M6636" i="41"/>
  <c r="M5784" i="41"/>
  <c r="M7042" i="41"/>
  <c r="M6578" i="41"/>
  <c r="M6010" i="41"/>
  <c r="M6423" i="41"/>
  <c r="M5642" i="41"/>
  <c r="M6726" i="41"/>
  <c r="M5975" i="41"/>
  <c r="M6168" i="41"/>
  <c r="M5637" i="41"/>
  <c r="M6131" i="41"/>
  <c r="M7618" i="41"/>
  <c r="M7461" i="41"/>
  <c r="M7319" i="41"/>
  <c r="M7145" i="41"/>
  <c r="M6937" i="41"/>
  <c r="M6747" i="41"/>
  <c r="M6539" i="41"/>
  <c r="M7715" i="41"/>
  <c r="M7573" i="41"/>
  <c r="M7417" i="41"/>
  <c r="M7261" i="41"/>
  <c r="M7087" i="41"/>
  <c r="M6879" i="41"/>
  <c r="M6669" i="41"/>
  <c r="M6412" i="41"/>
  <c r="M7671" i="41"/>
  <c r="M7514" i="41"/>
  <c r="M7330" i="41"/>
  <c r="M7141" i="41"/>
  <c r="M6895" i="41"/>
  <c r="M6667" i="41"/>
  <c r="M6186" i="41"/>
  <c r="M7541" i="41"/>
  <c r="M7357" i="41"/>
  <c r="M7157" i="41"/>
  <c r="M6931" i="41"/>
  <c r="M6645" i="41"/>
  <c r="M6180" i="41"/>
  <c r="M7667" i="41"/>
  <c r="M7482" i="41"/>
  <c r="M7311" i="41"/>
  <c r="M7080" i="41"/>
  <c r="M6832" i="41"/>
  <c r="M6605" i="41"/>
  <c r="M5937" i="41"/>
  <c r="M7566" i="41"/>
  <c r="M7367" i="41"/>
  <c r="M7172" i="41"/>
  <c r="M6944" i="41"/>
  <c r="M6680" i="41"/>
  <c r="M6042" i="41"/>
  <c r="M7479" i="41"/>
  <c r="M7237" i="41"/>
  <c r="M6943" i="41"/>
  <c r="M6619" i="41"/>
  <c r="M7705" i="41"/>
  <c r="M7434" i="41"/>
  <c r="M7187" i="41"/>
  <c r="M6883" i="41"/>
  <c r="M6465" i="41"/>
  <c r="M7521" i="41"/>
  <c r="M7222" i="41"/>
  <c r="M6799" i="41"/>
  <c r="M6346" i="41"/>
  <c r="M6366" i="41"/>
  <c r="M7579" i="41"/>
  <c r="M7281" i="41"/>
  <c r="M6905" i="41"/>
  <c r="M6472" i="41"/>
  <c r="M6528" i="41"/>
  <c r="M7688" i="41"/>
  <c r="M7448" i="41"/>
  <c r="M7232" i="41"/>
  <c r="M6929" i="41"/>
  <c r="M6620" i="41"/>
  <c r="M6159" i="41"/>
  <c r="M5709" i="41"/>
  <c r="M7420" i="41"/>
  <c r="M7041" i="41"/>
  <c r="M6583" i="41"/>
  <c r="M5367" i="41"/>
  <c r="M6986" i="41"/>
  <c r="M6530" i="41"/>
  <c r="M5897" i="41"/>
  <c r="M6365" i="41"/>
  <c r="M5241" i="41"/>
  <c r="M6638" i="41"/>
  <c r="M5861" i="41"/>
  <c r="M6012" i="41"/>
  <c r="M6299" i="41"/>
  <c r="M5602" i="41"/>
  <c r="M7447" i="41"/>
  <c r="M7290" i="41"/>
  <c r="M7128" i="41"/>
  <c r="M6917" i="41"/>
  <c r="M6709" i="41"/>
  <c r="M6500" i="41"/>
  <c r="M7701" i="41"/>
  <c r="M7545" i="41"/>
  <c r="M7402" i="41"/>
  <c r="M7246" i="41"/>
  <c r="M7049" i="41"/>
  <c r="M6859" i="41"/>
  <c r="M6651" i="41"/>
  <c r="M6313" i="41"/>
  <c r="M7657" i="41"/>
  <c r="M7501" i="41"/>
  <c r="M7315" i="41"/>
  <c r="M7123" i="41"/>
  <c r="M6857" i="41"/>
  <c r="M6611" i="41"/>
  <c r="M6080" i="41"/>
  <c r="M7527" i="41"/>
  <c r="M7342" i="41"/>
  <c r="M7120" i="41"/>
  <c r="M6873" i="41"/>
  <c r="M6627" i="41"/>
  <c r="M6071" i="41"/>
  <c r="M7653" i="41"/>
  <c r="M7454" i="41"/>
  <c r="M7269" i="41"/>
  <c r="M7060" i="41"/>
  <c r="M6815" i="41"/>
  <c r="M6587" i="41"/>
  <c r="M7709" i="41"/>
  <c r="M7523" i="41"/>
  <c r="M7353" i="41"/>
  <c r="M7152" i="41"/>
  <c r="M6925" i="41"/>
  <c r="M6623" i="41"/>
  <c r="M7693" i="41"/>
  <c r="M7465" i="41"/>
  <c r="M7223" i="41"/>
  <c r="M6923" i="41"/>
  <c r="M6563" i="41"/>
  <c r="M7647" i="41"/>
  <c r="M7421" i="41"/>
  <c r="M7149" i="41"/>
  <c r="M6845" i="41"/>
  <c r="M6325" i="41"/>
  <c r="M7478" i="41"/>
  <c r="M7168" i="41"/>
  <c r="M6771" i="41"/>
  <c r="M6206" i="41"/>
  <c r="M6281" i="41"/>
  <c r="M7547" i="41"/>
  <c r="M7238" i="41"/>
  <c r="M6848" i="41"/>
  <c r="M6408" i="41"/>
  <c r="M6441" i="41"/>
  <c r="M7656" i="41"/>
  <c r="M7432" i="41"/>
  <c r="M7185" i="41"/>
  <c r="M6897" i="41"/>
  <c r="M6588" i="41"/>
  <c r="M6044" i="41"/>
  <c r="M5255" i="41"/>
  <c r="M7380" i="41"/>
  <c r="M6977" i="41"/>
  <c r="M6525" i="41"/>
  <c r="M6135" i="41"/>
  <c r="M6922" i="41"/>
  <c r="M6474" i="41"/>
  <c r="M5798" i="41"/>
  <c r="M6280" i="41"/>
  <c r="M7174" i="41"/>
  <c r="M6566" i="41"/>
  <c r="M5603" i="41"/>
  <c r="M5856" i="41"/>
  <c r="M6120" i="41"/>
  <c r="M5636" i="41"/>
  <c r="M7603" i="41"/>
  <c r="M7575" i="41"/>
  <c r="M7433" i="41"/>
  <c r="M7277" i="41"/>
  <c r="M7088" i="41"/>
  <c r="M6900" i="41"/>
  <c r="M6691" i="41"/>
  <c r="M6416" i="41"/>
  <c r="M7687" i="41"/>
  <c r="M7530" i="41"/>
  <c r="M7374" i="41"/>
  <c r="M7231" i="41"/>
  <c r="M7029" i="41"/>
  <c r="M6821" i="41"/>
  <c r="M6632" i="41"/>
  <c r="M6254" i="41"/>
  <c r="M7629" i="41"/>
  <c r="M7486" i="41"/>
  <c r="M7287" i="41"/>
  <c r="M7065" i="41"/>
  <c r="M6837" i="41"/>
  <c r="M6591" i="41"/>
  <c r="M5967" i="41"/>
  <c r="M7498" i="41"/>
  <c r="M7299" i="41"/>
  <c r="M7101" i="41"/>
  <c r="M6853" i="41"/>
  <c r="M6608" i="41"/>
  <c r="M5840" i="41"/>
  <c r="M7610" i="41"/>
  <c r="M7439" i="41"/>
  <c r="M7255" i="41"/>
  <c r="M7043" i="41"/>
  <c r="M6776" i="41"/>
  <c r="M6521" i="41"/>
  <c r="M7694" i="41"/>
  <c r="M7509" i="41"/>
  <c r="M7338" i="41"/>
  <c r="M7115" i="41"/>
  <c r="M6868" i="41"/>
  <c r="M6603" i="41"/>
  <c r="M7678" i="41"/>
  <c r="M7450" i="41"/>
  <c r="M7171" i="41"/>
  <c r="M6847" i="41"/>
  <c r="M6544" i="41"/>
  <c r="M7619" i="41"/>
  <c r="M7391" i="41"/>
  <c r="M7109" i="41"/>
  <c r="M6788" i="41"/>
  <c r="M6015" i="41"/>
  <c r="M7446" i="41"/>
  <c r="M7112" i="41"/>
  <c r="M6713" i="41"/>
  <c r="M6113" i="41"/>
  <c r="M6095" i="41"/>
  <c r="M7515" i="41"/>
  <c r="M7204" i="41"/>
  <c r="M6792" i="41"/>
  <c r="M6304" i="41"/>
  <c r="M6377" i="41"/>
  <c r="M7624" i="41"/>
  <c r="M7400" i="41"/>
  <c r="M7164" i="41"/>
  <c r="M6844" i="41"/>
  <c r="M6556" i="41"/>
  <c r="M5959" i="41"/>
  <c r="M7676" i="41"/>
  <c r="M7340" i="41"/>
  <c r="M6924" i="41"/>
  <c r="M6429" i="41"/>
  <c r="M5993" i="41"/>
  <c r="M6866" i="41"/>
  <c r="M6410" i="41"/>
  <c r="M5619" i="41"/>
  <c r="M6216" i="41"/>
  <c r="M7086" i="41"/>
  <c r="M6494" i="41"/>
  <c r="M5097" i="41"/>
  <c r="M5589" i="41"/>
  <c r="M5885" i="41"/>
  <c r="M5673" i="41"/>
  <c r="K4494" i="41"/>
  <c r="J4494" i="41"/>
  <c r="I4494" i="41"/>
  <c r="H4494" i="41"/>
  <c r="G4494" i="41"/>
  <c r="D4495" i="41"/>
  <c r="E4495" i="41" s="1"/>
  <c r="F4495" i="41" s="1"/>
  <c r="G251" i="35"/>
  <c r="H251" i="35" s="1"/>
  <c r="I251" i="35" s="1"/>
  <c r="J251" i="35" s="1"/>
  <c r="K251" i="35" s="1"/>
  <c r="L251" i="35" s="1"/>
  <c r="M251" i="35" s="1"/>
  <c r="N251" i="35" s="1"/>
  <c r="O251" i="35" s="1"/>
  <c r="P251" i="35" s="1"/>
  <c r="G253" i="35"/>
  <c r="H253" i="35" s="1"/>
  <c r="I253" i="35" s="1"/>
  <c r="J253" i="35" s="1"/>
  <c r="K253" i="35" s="1"/>
  <c r="L253" i="35" s="1"/>
  <c r="M253" i="35" s="1"/>
  <c r="N253" i="35" s="1"/>
  <c r="O253" i="35" s="1"/>
  <c r="P253" i="35" s="1"/>
  <c r="H768" i="37"/>
  <c r="G765" i="37"/>
  <c r="I765" i="37"/>
  <c r="H773" i="37"/>
  <c r="H772" i="37"/>
  <c r="H771" i="37"/>
  <c r="H774" i="37"/>
  <c r="H766" i="37"/>
  <c r="H765" i="37"/>
  <c r="G611" i="35" a="1"/>
  <c r="I769" i="37"/>
  <c r="I767" i="37"/>
  <c r="G89" i="35" a="1"/>
  <c r="H763" i="37"/>
  <c r="G763" i="37"/>
  <c r="I766" i="37"/>
  <c r="I764" i="37"/>
  <c r="I763" i="37"/>
  <c r="G773" i="37"/>
  <c r="G767" i="37"/>
  <c r="G769" i="37"/>
  <c r="G775" i="37"/>
  <c r="H778" i="37"/>
  <c r="I768" i="37"/>
  <c r="J763" i="37"/>
  <c r="J779" i="37" s="1"/>
  <c r="G770" i="37"/>
  <c r="I771" i="37"/>
  <c r="G456" i="35" a="1"/>
  <c r="G88" i="35" a="1"/>
  <c r="G86" i="35" a="1"/>
  <c r="G85" i="35" a="1"/>
  <c r="G87" i="35" a="1"/>
  <c r="G450" i="35" a="1"/>
  <c r="G450" i="35" s="1"/>
  <c r="F9" i="40"/>
  <c r="G9" i="40" s="1"/>
  <c r="F25" i="40"/>
  <c r="G25" i="40" s="1"/>
  <c r="F41" i="40"/>
  <c r="G41" i="40" s="1"/>
  <c r="F57" i="40"/>
  <c r="G57" i="40" s="1"/>
  <c r="F73" i="40"/>
  <c r="G73" i="40" s="1"/>
  <c r="F89" i="40"/>
  <c r="G89" i="40" s="1"/>
  <c r="F105" i="40"/>
  <c r="G105" i="40" s="1"/>
  <c r="F121" i="40"/>
  <c r="G121" i="40" s="1"/>
  <c r="F137" i="40"/>
  <c r="G137" i="40" s="1"/>
  <c r="F153" i="40"/>
  <c r="G153" i="40" s="1"/>
  <c r="F169" i="40"/>
  <c r="G169" i="40" s="1"/>
  <c r="F185" i="40"/>
  <c r="G185" i="40" s="1"/>
  <c r="F201" i="40"/>
  <c r="G201" i="40" s="1"/>
  <c r="F18" i="40"/>
  <c r="G18" i="40" s="1"/>
  <c r="F34" i="40"/>
  <c r="G34" i="40" s="1"/>
  <c r="F50" i="40"/>
  <c r="G50" i="40" s="1"/>
  <c r="F66" i="40"/>
  <c r="G66" i="40" s="1"/>
  <c r="F82" i="40"/>
  <c r="G82" i="40" s="1"/>
  <c r="F98" i="40"/>
  <c r="G98" i="40" s="1"/>
  <c r="F114" i="40"/>
  <c r="G114" i="40" s="1"/>
  <c r="F130" i="40"/>
  <c r="G130" i="40" s="1"/>
  <c r="F146" i="40"/>
  <c r="G146" i="40" s="1"/>
  <c r="F162" i="40"/>
  <c r="G162" i="40" s="1"/>
  <c r="F178" i="40"/>
  <c r="G178" i="40" s="1"/>
  <c r="F194" i="40"/>
  <c r="G194" i="40" s="1"/>
  <c r="F11" i="40"/>
  <c r="G11" i="40" s="1"/>
  <c r="F27" i="40"/>
  <c r="G27" i="40" s="1"/>
  <c r="F43" i="40"/>
  <c r="G43" i="40" s="1"/>
  <c r="F59" i="40"/>
  <c r="G59" i="40" s="1"/>
  <c r="F75" i="40"/>
  <c r="G75" i="40" s="1"/>
  <c r="F91" i="40"/>
  <c r="G91" i="40" s="1"/>
  <c r="F107" i="40"/>
  <c r="G107" i="40" s="1"/>
  <c r="F123" i="40"/>
  <c r="G123" i="40" s="1"/>
  <c r="F139" i="40"/>
  <c r="G139" i="40" s="1"/>
  <c r="F155" i="40"/>
  <c r="G155" i="40" s="1"/>
  <c r="F171" i="40"/>
  <c r="G171" i="40" s="1"/>
  <c r="F187" i="40"/>
  <c r="G187" i="40" s="1"/>
  <c r="F203" i="40"/>
  <c r="G203" i="40" s="1"/>
  <c r="F48" i="40"/>
  <c r="G48" i="40" s="1"/>
  <c r="F112" i="40"/>
  <c r="G112" i="40" s="1"/>
  <c r="F176" i="40"/>
  <c r="G176" i="40" s="1"/>
  <c r="F36" i="40"/>
  <c r="G36" i="40" s="1"/>
  <c r="F100" i="40"/>
  <c r="G100" i="40" s="1"/>
  <c r="F164" i="40"/>
  <c r="G164" i="40" s="1"/>
  <c r="F40" i="40"/>
  <c r="G40" i="40" s="1"/>
  <c r="F104" i="40"/>
  <c r="G104" i="40" s="1"/>
  <c r="F168" i="40"/>
  <c r="G168" i="40" s="1"/>
  <c r="F76" i="40"/>
  <c r="G76" i="40" s="1"/>
  <c r="F92" i="40"/>
  <c r="G92" i="40" s="1"/>
  <c r="F172" i="40"/>
  <c r="G172" i="40" s="1"/>
  <c r="F67" i="40"/>
  <c r="G67" i="40" s="1"/>
  <c r="F99" i="40"/>
  <c r="G99" i="40" s="1"/>
  <c r="F131" i="40"/>
  <c r="G131" i="40" s="1"/>
  <c r="F163" i="40"/>
  <c r="G163" i="40" s="1"/>
  <c r="F195" i="40"/>
  <c r="G195" i="40" s="1"/>
  <c r="F80" i="40"/>
  <c r="G80" i="40" s="1"/>
  <c r="F208" i="40"/>
  <c r="G208" i="40" s="1"/>
  <c r="F132" i="40"/>
  <c r="G132" i="40" s="1"/>
  <c r="F136" i="40"/>
  <c r="G136" i="40" s="1"/>
  <c r="F204" i="40"/>
  <c r="G204" i="40" s="1"/>
  <c r="F60" i="40"/>
  <c r="G60" i="40" s="1"/>
  <c r="F37" i="40"/>
  <c r="G37" i="40" s="1"/>
  <c r="F69" i="40"/>
  <c r="G69" i="40" s="1"/>
  <c r="F101" i="40"/>
  <c r="G101" i="40" s="1"/>
  <c r="F133" i="40"/>
  <c r="G133" i="40" s="1"/>
  <c r="F165" i="40"/>
  <c r="G165" i="40" s="1"/>
  <c r="F197" i="40"/>
  <c r="G197" i="40" s="1"/>
  <c r="F30" i="40"/>
  <c r="G30" i="40" s="1"/>
  <c r="F78" i="40"/>
  <c r="G78" i="40" s="1"/>
  <c r="F110" i="40"/>
  <c r="G110" i="40" s="1"/>
  <c r="F142" i="40"/>
  <c r="G142" i="40" s="1"/>
  <c r="F13" i="40"/>
  <c r="G13" i="40" s="1"/>
  <c r="F29" i="40"/>
  <c r="G29" i="40" s="1"/>
  <c r="F45" i="40"/>
  <c r="G45" i="40" s="1"/>
  <c r="F61" i="40"/>
  <c r="G61" i="40" s="1"/>
  <c r="F77" i="40"/>
  <c r="G77" i="40" s="1"/>
  <c r="F93" i="40"/>
  <c r="G93" i="40" s="1"/>
  <c r="F109" i="40"/>
  <c r="G109" i="40" s="1"/>
  <c r="F125" i="40"/>
  <c r="G125" i="40" s="1"/>
  <c r="F141" i="40"/>
  <c r="G141" i="40" s="1"/>
  <c r="F157" i="40"/>
  <c r="G157" i="40" s="1"/>
  <c r="F173" i="40"/>
  <c r="G173" i="40" s="1"/>
  <c r="F189" i="40"/>
  <c r="G189" i="40" s="1"/>
  <c r="F205" i="40"/>
  <c r="G205" i="40" s="1"/>
  <c r="F22" i="40"/>
  <c r="G22" i="40" s="1"/>
  <c r="F38" i="40"/>
  <c r="G38" i="40" s="1"/>
  <c r="F54" i="40"/>
  <c r="G54" i="40" s="1"/>
  <c r="F70" i="40"/>
  <c r="G70" i="40" s="1"/>
  <c r="F86" i="40"/>
  <c r="G86" i="40" s="1"/>
  <c r="F102" i="40"/>
  <c r="G102" i="40" s="1"/>
  <c r="F118" i="40"/>
  <c r="G118" i="40" s="1"/>
  <c r="F134" i="40"/>
  <c r="G134" i="40" s="1"/>
  <c r="F150" i="40"/>
  <c r="G150" i="40" s="1"/>
  <c r="F166" i="40"/>
  <c r="G166" i="40" s="1"/>
  <c r="F182" i="40"/>
  <c r="G182" i="40" s="1"/>
  <c r="F198" i="40"/>
  <c r="G198" i="40" s="1"/>
  <c r="F15" i="40"/>
  <c r="G15" i="40" s="1"/>
  <c r="F31" i="40"/>
  <c r="G31" i="40" s="1"/>
  <c r="F47" i="40"/>
  <c r="G47" i="40" s="1"/>
  <c r="F63" i="40"/>
  <c r="G63" i="40" s="1"/>
  <c r="F79" i="40"/>
  <c r="G79" i="40" s="1"/>
  <c r="F95" i="40"/>
  <c r="G95" i="40" s="1"/>
  <c r="F111" i="40"/>
  <c r="G111" i="40" s="1"/>
  <c r="F127" i="40"/>
  <c r="G127" i="40" s="1"/>
  <c r="F143" i="40"/>
  <c r="G143" i="40" s="1"/>
  <c r="F159" i="40"/>
  <c r="G159" i="40" s="1"/>
  <c r="F175" i="40"/>
  <c r="G175" i="40" s="1"/>
  <c r="F191" i="40"/>
  <c r="G191" i="40" s="1"/>
  <c r="F207" i="40"/>
  <c r="G207" i="40" s="1"/>
  <c r="F64" i="40"/>
  <c r="G64" i="40" s="1"/>
  <c r="F128" i="40"/>
  <c r="G128" i="40" s="1"/>
  <c r="F192" i="40"/>
  <c r="G192" i="40" s="1"/>
  <c r="F52" i="40"/>
  <c r="G52" i="40" s="1"/>
  <c r="F116" i="40"/>
  <c r="G116" i="40" s="1"/>
  <c r="F180" i="40"/>
  <c r="G180" i="40" s="1"/>
  <c r="F56" i="40"/>
  <c r="G56" i="40" s="1"/>
  <c r="F120" i="40"/>
  <c r="G120" i="40" s="1"/>
  <c r="F184" i="40"/>
  <c r="G184" i="40" s="1"/>
  <c r="F140" i="40"/>
  <c r="G140" i="40" s="1"/>
  <c r="F156" i="40"/>
  <c r="G156" i="40" s="1"/>
  <c r="F188" i="40"/>
  <c r="G188" i="40" s="1"/>
  <c r="F83" i="40"/>
  <c r="G83" i="40" s="1"/>
  <c r="F115" i="40"/>
  <c r="G115" i="40" s="1"/>
  <c r="F147" i="40"/>
  <c r="G147" i="40" s="1"/>
  <c r="F179" i="40"/>
  <c r="G179" i="40" s="1"/>
  <c r="F16" i="40"/>
  <c r="G16" i="40" s="1"/>
  <c r="F144" i="40"/>
  <c r="G144" i="40" s="1"/>
  <c r="F68" i="40"/>
  <c r="G68" i="40" s="1"/>
  <c r="F196" i="40"/>
  <c r="G196" i="40" s="1"/>
  <c r="F72" i="40"/>
  <c r="G72" i="40" s="1"/>
  <c r="F200" i="40"/>
  <c r="G200" i="40" s="1"/>
  <c r="F44" i="40"/>
  <c r="G44" i="40" s="1"/>
  <c r="F21" i="40"/>
  <c r="G21" i="40" s="1"/>
  <c r="F53" i="40"/>
  <c r="G53" i="40" s="1"/>
  <c r="F85" i="40"/>
  <c r="G85" i="40" s="1"/>
  <c r="F117" i="40"/>
  <c r="G117" i="40" s="1"/>
  <c r="F149" i="40"/>
  <c r="G149" i="40" s="1"/>
  <c r="F181" i="40"/>
  <c r="G181" i="40" s="1"/>
  <c r="F14" i="40"/>
  <c r="G14" i="40" s="1"/>
  <c r="F46" i="40"/>
  <c r="G46" i="40" s="1"/>
  <c r="F62" i="40"/>
  <c r="G62" i="40" s="1"/>
  <c r="F94" i="40"/>
  <c r="G94" i="40" s="1"/>
  <c r="F126" i="40"/>
  <c r="G126" i="40" s="1"/>
  <c r="F17" i="40"/>
  <c r="G17" i="40" s="1"/>
  <c r="F33" i="40"/>
  <c r="G33" i="40" s="1"/>
  <c r="F49" i="40"/>
  <c r="G49" i="40" s="1"/>
  <c r="F65" i="40"/>
  <c r="G65" i="40" s="1"/>
  <c r="F81" i="40"/>
  <c r="G81" i="40" s="1"/>
  <c r="F97" i="40"/>
  <c r="G97" i="40" s="1"/>
  <c r="F113" i="40"/>
  <c r="G113" i="40" s="1"/>
  <c r="F129" i="40"/>
  <c r="G129" i="40" s="1"/>
  <c r="F145" i="40"/>
  <c r="G145" i="40" s="1"/>
  <c r="F161" i="40"/>
  <c r="G161" i="40" s="1"/>
  <c r="F177" i="40"/>
  <c r="G177" i="40" s="1"/>
  <c r="F193" i="40"/>
  <c r="G193" i="40" s="1"/>
  <c r="F10" i="40"/>
  <c r="G10" i="40" s="1"/>
  <c r="F26" i="40"/>
  <c r="G26" i="40" s="1"/>
  <c r="F42" i="40"/>
  <c r="G42" i="40" s="1"/>
  <c r="F58" i="40"/>
  <c r="G58" i="40" s="1"/>
  <c r="F74" i="40"/>
  <c r="G74" i="40" s="1"/>
  <c r="F90" i="40"/>
  <c r="G90" i="40" s="1"/>
  <c r="F106" i="40"/>
  <c r="G106" i="40" s="1"/>
  <c r="F122" i="40"/>
  <c r="G122" i="40" s="1"/>
  <c r="F138" i="40"/>
  <c r="G138" i="40" s="1"/>
  <c r="F154" i="40"/>
  <c r="G154" i="40" s="1"/>
  <c r="F170" i="40"/>
  <c r="G170" i="40" s="1"/>
  <c r="F186" i="40"/>
  <c r="G186" i="40" s="1"/>
  <c r="F202" i="40"/>
  <c r="G202" i="40" s="1"/>
  <c r="F19" i="40"/>
  <c r="G19" i="40" s="1"/>
  <c r="F35" i="40"/>
  <c r="G35" i="40" s="1"/>
  <c r="F51" i="40"/>
  <c r="G51" i="40" s="1"/>
  <c r="F158" i="40"/>
  <c r="G158" i="40" s="1"/>
  <c r="F23" i="40"/>
  <c r="G23" i="40" s="1"/>
  <c r="F87" i="40"/>
  <c r="G87" i="40" s="1"/>
  <c r="F151" i="40"/>
  <c r="G151" i="40" s="1"/>
  <c r="F32" i="40"/>
  <c r="G32" i="40" s="1"/>
  <c r="F84" i="40"/>
  <c r="G84" i="40" s="1"/>
  <c r="F152" i="40"/>
  <c r="G152" i="40" s="1"/>
  <c r="F124" i="40"/>
  <c r="G124" i="40" s="1"/>
  <c r="F28" i="40"/>
  <c r="G28" i="40" s="1"/>
  <c r="F206" i="40"/>
  <c r="G206" i="40" s="1"/>
  <c r="F20" i="40"/>
  <c r="G20" i="40" s="1"/>
  <c r="F174" i="40"/>
  <c r="G174" i="40" s="1"/>
  <c r="F39" i="40"/>
  <c r="G39" i="40" s="1"/>
  <c r="F103" i="40"/>
  <c r="G103" i="40" s="1"/>
  <c r="F167" i="40"/>
  <c r="G167" i="40" s="1"/>
  <c r="F96" i="40"/>
  <c r="G96" i="40" s="1"/>
  <c r="F148" i="40"/>
  <c r="G148" i="40" s="1"/>
  <c r="F12" i="40"/>
  <c r="G12" i="40" s="1"/>
  <c r="F24" i="40"/>
  <c r="G24" i="40" s="1"/>
  <c r="F135" i="40"/>
  <c r="G135" i="40" s="1"/>
  <c r="F88" i="40"/>
  <c r="G88" i="40" s="1"/>
  <c r="F190" i="40"/>
  <c r="G190" i="40" s="1"/>
  <c r="F55" i="40"/>
  <c r="G55" i="40" s="1"/>
  <c r="F119" i="40"/>
  <c r="G119" i="40" s="1"/>
  <c r="F183" i="40"/>
  <c r="G183" i="40" s="1"/>
  <c r="F160" i="40"/>
  <c r="G160" i="40" s="1"/>
  <c r="F71" i="40"/>
  <c r="G71" i="40" s="1"/>
  <c r="F199" i="40"/>
  <c r="G199" i="40" s="1"/>
  <c r="F108" i="40"/>
  <c r="G108" i="40" s="1"/>
  <c r="G6" i="36" a="1"/>
  <c r="G472" i="35" a="1"/>
  <c r="G476" i="35" a="1"/>
  <c r="G650" i="35"/>
  <c r="H650" i="35" s="1"/>
  <c r="G651" i="35"/>
  <c r="H651" i="35" s="1"/>
  <c r="G974" i="37" s="1"/>
  <c r="G470" i="35" a="1"/>
  <c r="G474" i="35" a="1"/>
  <c r="I11" i="40"/>
  <c r="I15" i="40"/>
  <c r="I19" i="40"/>
  <c r="I23" i="40"/>
  <c r="I27" i="40"/>
  <c r="I31" i="40"/>
  <c r="I35" i="40"/>
  <c r="I39" i="40"/>
  <c r="I43" i="40"/>
  <c r="I47" i="40"/>
  <c r="I51" i="40"/>
  <c r="I55" i="40"/>
  <c r="I59" i="40"/>
  <c r="I63" i="40"/>
  <c r="I67" i="40"/>
  <c r="I71" i="40"/>
  <c r="I75" i="40"/>
  <c r="I79" i="40"/>
  <c r="I83" i="40"/>
  <c r="I87" i="40"/>
  <c r="I91" i="40"/>
  <c r="I95" i="40"/>
  <c r="I99" i="40"/>
  <c r="I103" i="40"/>
  <c r="I107" i="40"/>
  <c r="I111" i="40"/>
  <c r="I115" i="40"/>
  <c r="I119" i="40"/>
  <c r="I123" i="40"/>
  <c r="I127" i="40"/>
  <c r="I131" i="40"/>
  <c r="I135" i="40"/>
  <c r="I139" i="40"/>
  <c r="I143" i="40"/>
  <c r="I147" i="40"/>
  <c r="I151" i="40"/>
  <c r="I155" i="40"/>
  <c r="I159" i="40"/>
  <c r="I163" i="40"/>
  <c r="I167" i="40"/>
  <c r="I171" i="40"/>
  <c r="I175" i="40"/>
  <c r="I179" i="40"/>
  <c r="I183" i="40"/>
  <c r="I187" i="40"/>
  <c r="I191" i="40"/>
  <c r="I195" i="40"/>
  <c r="I199" i="40"/>
  <c r="I203" i="40"/>
  <c r="I207" i="40"/>
  <c r="I12" i="40"/>
  <c r="I16" i="40"/>
  <c r="I20" i="40"/>
  <c r="I24" i="40"/>
  <c r="I28" i="40"/>
  <c r="I32" i="40"/>
  <c r="I36" i="40"/>
  <c r="I40" i="40"/>
  <c r="I44" i="40"/>
  <c r="I48" i="40"/>
  <c r="I52" i="40"/>
  <c r="I56" i="40"/>
  <c r="I60" i="40"/>
  <c r="I64" i="40"/>
  <c r="I68" i="40"/>
  <c r="I72" i="40"/>
  <c r="I76" i="40"/>
  <c r="I80" i="40"/>
  <c r="I84" i="40"/>
  <c r="I88" i="40"/>
  <c r="I92" i="40"/>
  <c r="I96" i="40"/>
  <c r="I100" i="40"/>
  <c r="I104" i="40"/>
  <c r="I108" i="40"/>
  <c r="I112" i="40"/>
  <c r="I116" i="40"/>
  <c r="I120" i="40"/>
  <c r="I124" i="40"/>
  <c r="I128" i="40"/>
  <c r="I132" i="40"/>
  <c r="I136" i="40"/>
  <c r="I140" i="40"/>
  <c r="I144" i="40"/>
  <c r="I148" i="40"/>
  <c r="I152" i="40"/>
  <c r="I156" i="40"/>
  <c r="I160" i="40"/>
  <c r="I164" i="40"/>
  <c r="I168" i="40"/>
  <c r="I172" i="40"/>
  <c r="I176" i="40"/>
  <c r="I180" i="40"/>
  <c r="I184" i="40"/>
  <c r="I188" i="40"/>
  <c r="I192" i="40"/>
  <c r="I196" i="40"/>
  <c r="I200" i="40"/>
  <c r="I204" i="40"/>
  <c r="I208" i="40"/>
  <c r="I13" i="40"/>
  <c r="I17" i="40"/>
  <c r="I21" i="40"/>
  <c r="I25" i="40"/>
  <c r="I29" i="40"/>
  <c r="I33" i="40"/>
  <c r="I37" i="40"/>
  <c r="I41" i="40"/>
  <c r="I45" i="40"/>
  <c r="I49" i="40"/>
  <c r="I53" i="40"/>
  <c r="I57" i="40"/>
  <c r="I61" i="40"/>
  <c r="I65" i="40"/>
  <c r="I69" i="40"/>
  <c r="I73" i="40"/>
  <c r="I77" i="40"/>
  <c r="I81" i="40"/>
  <c r="I85" i="40"/>
  <c r="I89" i="40"/>
  <c r="I93" i="40"/>
  <c r="I97" i="40"/>
  <c r="I101" i="40"/>
  <c r="I105" i="40"/>
  <c r="I109" i="40"/>
  <c r="I113" i="40"/>
  <c r="I117" i="40"/>
  <c r="I121" i="40"/>
  <c r="I125" i="40"/>
  <c r="I129" i="40"/>
  <c r="I133" i="40"/>
  <c r="I137" i="40"/>
  <c r="I141" i="40"/>
  <c r="I145" i="40"/>
  <c r="I149" i="40"/>
  <c r="I153" i="40"/>
  <c r="I157" i="40"/>
  <c r="I161" i="40"/>
  <c r="I165" i="40"/>
  <c r="I169" i="40"/>
  <c r="I173" i="40"/>
  <c r="I177" i="40"/>
  <c r="I181" i="40"/>
  <c r="I185" i="40"/>
  <c r="I189" i="40"/>
  <c r="I193" i="40"/>
  <c r="I197" i="40"/>
  <c r="I201" i="40"/>
  <c r="I205" i="40"/>
  <c r="I9" i="40"/>
  <c r="I14" i="40"/>
  <c r="I30" i="40"/>
  <c r="I46" i="40"/>
  <c r="I62" i="40"/>
  <c r="I78" i="40"/>
  <c r="I94" i="40"/>
  <c r="I110" i="40"/>
  <c r="I126" i="40"/>
  <c r="I142" i="40"/>
  <c r="I158" i="40"/>
  <c r="I174" i="40"/>
  <c r="I190" i="40"/>
  <c r="I206" i="40"/>
  <c r="I18" i="40"/>
  <c r="I34" i="40"/>
  <c r="I50" i="40"/>
  <c r="I66" i="40"/>
  <c r="I82" i="40"/>
  <c r="I98" i="40"/>
  <c r="I114" i="40"/>
  <c r="I130" i="40"/>
  <c r="I146" i="40"/>
  <c r="I162" i="40"/>
  <c r="I178" i="40"/>
  <c r="I194" i="40"/>
  <c r="I22" i="40"/>
  <c r="I38" i="40"/>
  <c r="I54" i="40"/>
  <c r="I70" i="40"/>
  <c r="I86" i="40"/>
  <c r="I102" i="40"/>
  <c r="I118" i="40"/>
  <c r="I134" i="40"/>
  <c r="I150" i="40"/>
  <c r="I166" i="40"/>
  <c r="I182" i="40"/>
  <c r="I198" i="40"/>
  <c r="I42" i="40"/>
  <c r="I106" i="40"/>
  <c r="I170" i="40"/>
  <c r="I58" i="40"/>
  <c r="I122" i="40"/>
  <c r="I186" i="40"/>
  <c r="I10" i="40"/>
  <c r="I74" i="40"/>
  <c r="I138" i="40"/>
  <c r="I202" i="40"/>
  <c r="I26" i="40"/>
  <c r="I90" i="40"/>
  <c r="I154" i="40"/>
  <c r="AT512" i="35" l="1"/>
  <c r="O512" i="35"/>
  <c r="AE512" i="35"/>
  <c r="H512" i="35"/>
  <c r="X512" i="35"/>
  <c r="AN512" i="35"/>
  <c r="Q512" i="35"/>
  <c r="AG512" i="35"/>
  <c r="J512" i="35"/>
  <c r="Z512" i="35"/>
  <c r="AP512" i="35"/>
  <c r="P512" i="35"/>
  <c r="AO512" i="35"/>
  <c r="AQ512" i="35"/>
  <c r="AC512" i="35"/>
  <c r="V512" i="35"/>
  <c r="S512" i="35"/>
  <c r="AI512" i="35"/>
  <c r="L512" i="35"/>
  <c r="AB512" i="35"/>
  <c r="AR512" i="35"/>
  <c r="U512" i="35"/>
  <c r="AK512" i="35"/>
  <c r="N512" i="35"/>
  <c r="AD512" i="35"/>
  <c r="G512" i="35"/>
  <c r="W512" i="35"/>
  <c r="AM512" i="35"/>
  <c r="AF512" i="35"/>
  <c r="I512" i="35"/>
  <c r="Y512" i="35"/>
  <c r="R512" i="35"/>
  <c r="AH512" i="35"/>
  <c r="K512" i="35"/>
  <c r="AA512" i="35"/>
  <c r="T512" i="35"/>
  <c r="AJ512" i="35"/>
  <c r="M512" i="35"/>
  <c r="AS512" i="35"/>
  <c r="AL512" i="35"/>
  <c r="G103" i="35"/>
  <c r="L103" i="35"/>
  <c r="K103" i="35"/>
  <c r="N103" i="35"/>
  <c r="P103" i="35"/>
  <c r="I103" i="35"/>
  <c r="O103" i="35"/>
  <c r="J103" i="35"/>
  <c r="M103" i="35"/>
  <c r="G95" i="35"/>
  <c r="H95" i="35"/>
  <c r="N95" i="35"/>
  <c r="O95" i="35"/>
  <c r="M95" i="35"/>
  <c r="L95" i="35"/>
  <c r="P95" i="35"/>
  <c r="K95" i="35"/>
  <c r="I95" i="35"/>
  <c r="J95" i="35"/>
  <c r="L101" i="35"/>
  <c r="O101" i="35"/>
  <c r="M101" i="35"/>
  <c r="I101" i="35"/>
  <c r="P101" i="35"/>
  <c r="N101" i="35"/>
  <c r="J101" i="35"/>
  <c r="H101" i="35"/>
  <c r="G101" i="35"/>
  <c r="K101" i="35"/>
  <c r="H94" i="35"/>
  <c r="O94" i="35"/>
  <c r="G94" i="35"/>
  <c r="P94" i="35"/>
  <c r="J94" i="35"/>
  <c r="M94" i="35"/>
  <c r="I94" i="35"/>
  <c r="K94" i="35"/>
  <c r="N94" i="35"/>
  <c r="L94" i="35"/>
  <c r="K20" i="35"/>
  <c r="K21" i="35"/>
  <c r="K19" i="35"/>
  <c r="O102" i="35"/>
  <c r="H102" i="35"/>
  <c r="G102" i="35"/>
  <c r="N102" i="35"/>
  <c r="K102" i="35"/>
  <c r="P102" i="35"/>
  <c r="I102" i="35"/>
  <c r="L102" i="35"/>
  <c r="M102" i="35"/>
  <c r="J102" i="35"/>
  <c r="G195" i="35"/>
  <c r="N195" i="35"/>
  <c r="M195" i="35"/>
  <c r="P195" i="35"/>
  <c r="H195" i="35"/>
  <c r="K195" i="35"/>
  <c r="O195" i="35"/>
  <c r="J195" i="35"/>
  <c r="L195" i="35"/>
  <c r="I195" i="35"/>
  <c r="K93" i="35"/>
  <c r="G93" i="35"/>
  <c r="L93" i="35"/>
  <c r="P93" i="35"/>
  <c r="O93" i="35"/>
  <c r="N93" i="35"/>
  <c r="M93" i="35"/>
  <c r="H93" i="35"/>
  <c r="I93" i="35"/>
  <c r="J93" i="35"/>
  <c r="H4495" i="41"/>
  <c r="G4495" i="41"/>
  <c r="K4495" i="41"/>
  <c r="I4495" i="41"/>
  <c r="J4495" i="41"/>
  <c r="D4496" i="41"/>
  <c r="E4496" i="41" s="1"/>
  <c r="F4496" i="41" s="1"/>
  <c r="G779" i="37"/>
  <c r="I779" i="37"/>
  <c r="H779" i="37"/>
  <c r="M89" i="35"/>
  <c r="G89" i="35"/>
  <c r="L89" i="35"/>
  <c r="H89" i="35"/>
  <c r="J89" i="35"/>
  <c r="N89" i="35"/>
  <c r="P89" i="35"/>
  <c r="I89" i="35"/>
  <c r="O89" i="35"/>
  <c r="K89" i="35"/>
  <c r="N828" i="37"/>
  <c r="I828" i="37"/>
  <c r="M835" i="37"/>
  <c r="H835" i="37"/>
  <c r="AK611" i="35"/>
  <c r="AH611" i="35"/>
  <c r="W611" i="35"/>
  <c r="AQ611" i="35"/>
  <c r="M611" i="35"/>
  <c r="AA611" i="35"/>
  <c r="T611" i="35"/>
  <c r="X611" i="35"/>
  <c r="J611" i="35"/>
  <c r="U611" i="35"/>
  <c r="I611" i="35"/>
  <c r="AD611" i="35"/>
  <c r="AT611" i="35"/>
  <c r="AC611" i="35"/>
  <c r="K611" i="35"/>
  <c r="AM611" i="35"/>
  <c r="AG611" i="35"/>
  <c r="AF611" i="35"/>
  <c r="P611" i="35"/>
  <c r="Z611" i="35"/>
  <c r="O611" i="35"/>
  <c r="V611" i="35"/>
  <c r="AS611" i="35"/>
  <c r="AN611" i="35"/>
  <c r="G611" i="35"/>
  <c r="AP611" i="35"/>
  <c r="AO611" i="35"/>
  <c r="Y611" i="35"/>
  <c r="AB611" i="35"/>
  <c r="H611" i="35"/>
  <c r="AR611" i="35"/>
  <c r="L611" i="35"/>
  <c r="AE611" i="35"/>
  <c r="N611" i="35"/>
  <c r="AJ611" i="35"/>
  <c r="AL611" i="35"/>
  <c r="Q611" i="35"/>
  <c r="S611" i="35"/>
  <c r="R611" i="35"/>
  <c r="AI611" i="35"/>
  <c r="G456" i="35"/>
  <c r="G459" i="35"/>
  <c r="G458" i="35"/>
  <c r="G457" i="35"/>
  <c r="I87" i="35"/>
  <c r="N87" i="35"/>
  <c r="J87" i="35"/>
  <c r="P87" i="35"/>
  <c r="K87" i="35"/>
  <c r="H87" i="35"/>
  <c r="L87" i="35"/>
  <c r="G87" i="35"/>
  <c r="M87" i="35"/>
  <c r="O87" i="35"/>
  <c r="H88" i="35"/>
  <c r="I88" i="35"/>
  <c r="N88" i="35"/>
  <c r="J88" i="35"/>
  <c r="O88" i="35"/>
  <c r="G88" i="35"/>
  <c r="K88" i="35"/>
  <c r="M88" i="35"/>
  <c r="L88" i="35"/>
  <c r="P88" i="35"/>
  <c r="H85" i="35"/>
  <c r="G85" i="35"/>
  <c r="M85" i="35"/>
  <c r="I85" i="35"/>
  <c r="N85" i="35"/>
  <c r="J85" i="35"/>
  <c r="K85" i="35"/>
  <c r="O85" i="35"/>
  <c r="P85" i="35"/>
  <c r="L85" i="35"/>
  <c r="G86" i="35"/>
  <c r="H86" i="35"/>
  <c r="P86" i="35"/>
  <c r="J86" i="35"/>
  <c r="L86" i="35"/>
  <c r="N86" i="35"/>
  <c r="M86" i="35"/>
  <c r="O86" i="35"/>
  <c r="I86" i="35"/>
  <c r="K86" i="35"/>
  <c r="G452" i="35"/>
  <c r="G451" i="35"/>
  <c r="I472" i="35"/>
  <c r="K472" i="35"/>
  <c r="H472" i="35"/>
  <c r="M472" i="35"/>
  <c r="O472" i="35"/>
  <c r="L472" i="35"/>
  <c r="J472" i="35"/>
  <c r="G472" i="35"/>
  <c r="P472" i="35"/>
  <c r="N472" i="35"/>
  <c r="H474" i="35"/>
  <c r="P474" i="35"/>
  <c r="L474" i="35"/>
  <c r="K474" i="35"/>
  <c r="G474" i="35"/>
  <c r="I474" i="35"/>
  <c r="M474" i="35"/>
  <c r="O474" i="35"/>
  <c r="N474" i="35"/>
  <c r="J474" i="35"/>
  <c r="G6" i="36"/>
  <c r="G7" i="36"/>
  <c r="G973" i="37"/>
  <c r="G640" i="35"/>
  <c r="G645" i="34" s="1" a="1"/>
  <c r="N470" i="35"/>
  <c r="P470" i="35"/>
  <c r="I470" i="35"/>
  <c r="G470" i="35"/>
  <c r="H470" i="35"/>
  <c r="M470" i="35"/>
  <c r="K470" i="35"/>
  <c r="L470" i="35"/>
  <c r="J470" i="35"/>
  <c r="O470" i="35"/>
  <c r="N476" i="35"/>
  <c r="H476" i="35"/>
  <c r="M476" i="35"/>
  <c r="G476" i="35"/>
  <c r="L476" i="35"/>
  <c r="K476" i="35"/>
  <c r="P476" i="35"/>
  <c r="J476" i="35"/>
  <c r="O476" i="35"/>
  <c r="I476" i="35"/>
  <c r="G109" i="35" l="1" a="1"/>
  <c r="M112" i="35" s="1"/>
  <c r="G122" i="35" a="1"/>
  <c r="G116" i="35" a="1"/>
  <c r="G116" i="35" s="1"/>
  <c r="G120" i="35" a="1"/>
  <c r="G118" i="35" a="1"/>
  <c r="G124" i="35" a="1"/>
  <c r="AV611" i="35" a="1"/>
  <c r="AV611" i="35" s="1"/>
  <c r="G982" i="37" s="1"/>
  <c r="G381" i="37" a="1"/>
  <c r="P381" i="37" s="1"/>
  <c r="F195" i="35" a="1"/>
  <c r="F195" i="35" s="1"/>
  <c r="K40" i="37" a="1"/>
  <c r="G380" i="37" a="1"/>
  <c r="J4496" i="41"/>
  <c r="I4496" i="41"/>
  <c r="G4496" i="41"/>
  <c r="H4496" i="41"/>
  <c r="K4496" i="41"/>
  <c r="D4497" i="41"/>
  <c r="E4497" i="41" s="1"/>
  <c r="F4497" i="41" s="1"/>
  <c r="G692" i="37" a="1"/>
  <c r="I692" i="37" s="1"/>
  <c r="G453" i="37" a="1"/>
  <c r="G453" i="37" s="1"/>
  <c r="G448" i="37" a="1"/>
  <c r="G449" i="37" s="1"/>
  <c r="G653" i="34"/>
  <c r="G646" i="34"/>
  <c r="G662" i="34"/>
  <c r="G659" i="34"/>
  <c r="G656" i="34"/>
  <c r="G657" i="34"/>
  <c r="G650" i="34"/>
  <c r="G647" i="34"/>
  <c r="G663" i="34"/>
  <c r="G660" i="34"/>
  <c r="G645" i="34"/>
  <c r="G661" i="34"/>
  <c r="G654" i="34"/>
  <c r="G651" i="34"/>
  <c r="G648" i="34"/>
  <c r="G664" i="34"/>
  <c r="G649" i="34"/>
  <c r="G665" i="34"/>
  <c r="G658" i="34"/>
  <c r="G655" i="34"/>
  <c r="G652" i="34"/>
  <c r="K7" i="36"/>
  <c r="L7" i="36"/>
  <c r="J7" i="36"/>
  <c r="O7" i="36"/>
  <c r="P7" i="36"/>
  <c r="N7" i="36"/>
  <c r="G9" i="36"/>
  <c r="I7" i="36"/>
  <c r="H7" i="36"/>
  <c r="M7" i="36"/>
  <c r="I6" i="36"/>
  <c r="K6" i="36"/>
  <c r="P6" i="36"/>
  <c r="M6" i="36"/>
  <c r="O6" i="36"/>
  <c r="H6" i="36"/>
  <c r="J6" i="36"/>
  <c r="G8" i="36"/>
  <c r="N6" i="36"/>
  <c r="L6" i="36"/>
  <c r="J111" i="35" l="1"/>
  <c r="L109" i="35"/>
  <c r="I110" i="35"/>
  <c r="G112" i="35"/>
  <c r="L112" i="35"/>
  <c r="H113" i="35"/>
  <c r="K110" i="35"/>
  <c r="P110" i="35"/>
  <c r="I113" i="35"/>
  <c r="I109" i="35"/>
  <c r="I111" i="35"/>
  <c r="N111" i="35"/>
  <c r="G113" i="35"/>
  <c r="H110" i="35"/>
  <c r="M111" i="35"/>
  <c r="P113" i="35"/>
  <c r="G109" i="35"/>
  <c r="K109" i="35"/>
  <c r="H109" i="35"/>
  <c r="J112" i="35"/>
  <c r="J110" i="35"/>
  <c r="O110" i="35"/>
  <c r="L111" i="35"/>
  <c r="L110" i="35"/>
  <c r="N110" i="35"/>
  <c r="G110" i="35"/>
  <c r="M109" i="35"/>
  <c r="P111" i="35"/>
  <c r="K113" i="35"/>
  <c r="N113" i="35"/>
  <c r="M113" i="35"/>
  <c r="O111" i="35"/>
  <c r="N109" i="35"/>
  <c r="O109" i="35"/>
  <c r="J113" i="35"/>
  <c r="I112" i="35"/>
  <c r="O113" i="35"/>
  <c r="L113" i="35"/>
  <c r="G111" i="35"/>
  <c r="P109" i="35"/>
  <c r="H111" i="35"/>
  <c r="J109" i="35"/>
  <c r="K111" i="35"/>
  <c r="M110" i="35"/>
  <c r="H112" i="35"/>
  <c r="P112" i="35"/>
  <c r="O112" i="35"/>
  <c r="K112" i="35"/>
  <c r="N112" i="35"/>
  <c r="O122" i="35"/>
  <c r="L122" i="35"/>
  <c r="M122" i="35"/>
  <c r="P122" i="35"/>
  <c r="N122" i="35"/>
  <c r="H122" i="35"/>
  <c r="G122" i="35"/>
  <c r="K122" i="35"/>
  <c r="J122" i="35"/>
  <c r="I122" i="35"/>
  <c r="P116" i="35"/>
  <c r="O116" i="35"/>
  <c r="N116" i="35"/>
  <c r="H116" i="35"/>
  <c r="I116" i="35"/>
  <c r="K116" i="35"/>
  <c r="J116" i="35"/>
  <c r="M116" i="35"/>
  <c r="L116" i="35"/>
  <c r="P120" i="35"/>
  <c r="L120" i="35"/>
  <c r="H120" i="35"/>
  <c r="K120" i="35"/>
  <c r="J120" i="35"/>
  <c r="I120" i="35"/>
  <c r="O120" i="35"/>
  <c r="G120" i="35"/>
  <c r="N120" i="35"/>
  <c r="M120" i="35"/>
  <c r="O124" i="35"/>
  <c r="P124" i="35"/>
  <c r="H124" i="35"/>
  <c r="N124" i="35"/>
  <c r="J124" i="35"/>
  <c r="M124" i="35"/>
  <c r="K124" i="35"/>
  <c r="G124" i="35"/>
  <c r="L124" i="35"/>
  <c r="I124" i="35"/>
  <c r="N118" i="35"/>
  <c r="P118" i="35"/>
  <c r="K118" i="35"/>
  <c r="I118" i="35"/>
  <c r="O118" i="35"/>
  <c r="G118" i="35"/>
  <c r="L118" i="35"/>
  <c r="M118" i="35"/>
  <c r="H118" i="35"/>
  <c r="J118" i="35"/>
  <c r="J381" i="37"/>
  <c r="N381" i="37"/>
  <c r="M381" i="37"/>
  <c r="I381" i="37"/>
  <c r="H381" i="37"/>
  <c r="G381" i="37"/>
  <c r="K381" i="37"/>
  <c r="L381" i="37"/>
  <c r="O381" i="37"/>
  <c r="J380" i="37"/>
  <c r="G380" i="37"/>
  <c r="H380" i="37"/>
  <c r="O380" i="37"/>
  <c r="N380" i="37"/>
  <c r="K380" i="37"/>
  <c r="I380" i="37"/>
  <c r="P380" i="37"/>
  <c r="M380" i="37"/>
  <c r="L380" i="37"/>
  <c r="K40" i="37"/>
  <c r="K16" i="37" s="1"/>
  <c r="K42" i="37"/>
  <c r="K36" i="37" s="1"/>
  <c r="K41" i="37"/>
  <c r="K26" i="37" s="1"/>
  <c r="K4497" i="41"/>
  <c r="I4497" i="41"/>
  <c r="H4497" i="41"/>
  <c r="J4497" i="41"/>
  <c r="G4497" i="41"/>
  <c r="D4498" i="41"/>
  <c r="E4498" i="41" s="1"/>
  <c r="F4498" i="41" s="1"/>
  <c r="Q692" i="37"/>
  <c r="X692" i="37"/>
  <c r="AK692" i="37"/>
  <c r="AF692" i="37"/>
  <c r="N692" i="37"/>
  <c r="W692" i="37"/>
  <c r="H692" i="37"/>
  <c r="AR692" i="37"/>
  <c r="AG692" i="37"/>
  <c r="AT692" i="37"/>
  <c r="L692" i="37"/>
  <c r="P692" i="37"/>
  <c r="AA692" i="37"/>
  <c r="AP692" i="37"/>
  <c r="Z692" i="37"/>
  <c r="V692" i="37"/>
  <c r="AE692" i="37"/>
  <c r="AL692" i="37"/>
  <c r="T692" i="37"/>
  <c r="M692" i="37"/>
  <c r="AS692" i="37"/>
  <c r="AB692" i="37"/>
  <c r="U692" i="37"/>
  <c r="J692" i="37"/>
  <c r="K692" i="37"/>
  <c r="AD692" i="37"/>
  <c r="S692" i="37"/>
  <c r="AI692" i="37"/>
  <c r="AQ692" i="37"/>
  <c r="AC692" i="37"/>
  <c r="AH692" i="37"/>
  <c r="AM692" i="37"/>
  <c r="R692" i="37"/>
  <c r="O692" i="37"/>
  <c r="G692" i="37"/>
  <c r="AO692" i="37"/>
  <c r="AN692" i="37"/>
  <c r="Y692" i="37"/>
  <c r="AJ692" i="37"/>
  <c r="G456" i="37"/>
  <c r="G455" i="37"/>
  <c r="G454" i="37"/>
  <c r="G1186" i="37" s="1"/>
  <c r="E180" i="39" s="1"/>
  <c r="G450" i="37"/>
  <c r="G448" i="37"/>
  <c r="G230" i="35" a="1"/>
  <c r="G230" i="35" s="1"/>
  <c r="J9" i="36"/>
  <c r="K9" i="36"/>
  <c r="P9" i="36"/>
  <c r="N9" i="36"/>
  <c r="L9" i="36"/>
  <c r="O9" i="36"/>
  <c r="I9" i="36"/>
  <c r="H9" i="36"/>
  <c r="M9" i="36"/>
  <c r="I8" i="36"/>
  <c r="H8" i="36"/>
  <c r="M8" i="36"/>
  <c r="O8" i="36"/>
  <c r="N8" i="36"/>
  <c r="J8" i="36"/>
  <c r="P8" i="36"/>
  <c r="L8" i="36"/>
  <c r="K8" i="36"/>
  <c r="G127" i="35" l="1" a="1"/>
  <c r="G127" i="35" s="1"/>
  <c r="G128" i="35" a="1"/>
  <c r="L128" i="35" s="1"/>
  <c r="G130" i="35" a="1"/>
  <c r="G129" i="35" a="1"/>
  <c r="G695" i="37" a="1"/>
  <c r="G706" i="37" a="1"/>
  <c r="G146" i="35" a="1"/>
  <c r="H146" i="35" s="1"/>
  <c r="K4498" i="41"/>
  <c r="J4498" i="41"/>
  <c r="I4498" i="41"/>
  <c r="G4498" i="41"/>
  <c r="H4498" i="41"/>
  <c r="D4499" i="41"/>
  <c r="E4499" i="41" s="1"/>
  <c r="F4499" i="41" s="1"/>
  <c r="G1175" i="37"/>
  <c r="G142" i="35" a="1"/>
  <c r="O142" i="35" s="1"/>
  <c r="G140" i="35" a="1"/>
  <c r="P140" i="35" s="1"/>
  <c r="G144" i="35" a="1"/>
  <c r="G148" i="35" a="1"/>
  <c r="G1163" i="37"/>
  <c r="G1170" i="37"/>
  <c r="E177" i="39" s="1"/>
  <c r="K230" i="35"/>
  <c r="H230" i="35"/>
  <c r="L230" i="35"/>
  <c r="N230" i="35"/>
  <c r="J230" i="35"/>
  <c r="P230" i="35"/>
  <c r="M230" i="35"/>
  <c r="O230" i="35"/>
  <c r="I230" i="35"/>
  <c r="J127" i="35" l="1"/>
  <c r="O127" i="35"/>
  <c r="P127" i="35"/>
  <c r="M127" i="35"/>
  <c r="L127" i="35"/>
  <c r="H127" i="35"/>
  <c r="I127" i="35"/>
  <c r="K127" i="35"/>
  <c r="N127" i="35"/>
  <c r="H128" i="35"/>
  <c r="K128" i="35"/>
  <c r="G128" i="35"/>
  <c r="N128" i="35"/>
  <c r="M128" i="35"/>
  <c r="P128" i="35"/>
  <c r="O128" i="35"/>
  <c r="J128" i="35"/>
  <c r="I128" i="35"/>
  <c r="H130" i="35"/>
  <c r="O130" i="35"/>
  <c r="P130" i="35"/>
  <c r="J130" i="35"/>
  <c r="L130" i="35"/>
  <c r="G130" i="35"/>
  <c r="I130" i="35"/>
  <c r="N130" i="35"/>
  <c r="K130" i="35"/>
  <c r="M130" i="35"/>
  <c r="N129" i="35"/>
  <c r="H129" i="35"/>
  <c r="P129" i="35"/>
  <c r="M129" i="35"/>
  <c r="K129" i="35"/>
  <c r="I129" i="35"/>
  <c r="O129" i="35"/>
  <c r="J129" i="35"/>
  <c r="G129" i="35"/>
  <c r="L129" i="35"/>
  <c r="AT706" i="37"/>
  <c r="T706" i="37"/>
  <c r="AC706" i="37"/>
  <c r="AP706" i="37"/>
  <c r="AF706" i="37"/>
  <c r="AL706" i="37"/>
  <c r="AE706" i="37"/>
  <c r="N706" i="37"/>
  <c r="AQ706" i="37"/>
  <c r="P706" i="37"/>
  <c r="S706" i="37"/>
  <c r="AJ706" i="37"/>
  <c r="AS706" i="37"/>
  <c r="AB706" i="37"/>
  <c r="K706" i="37"/>
  <c r="H706" i="37"/>
  <c r="Q706" i="37"/>
  <c r="AD706" i="37"/>
  <c r="U706" i="37"/>
  <c r="I706" i="37"/>
  <c r="AM706" i="37"/>
  <c r="AH706" i="37"/>
  <c r="AN706" i="37"/>
  <c r="AR706" i="37"/>
  <c r="V706" i="37"/>
  <c r="AA706" i="37"/>
  <c r="W706" i="37"/>
  <c r="J706" i="37"/>
  <c r="AI706" i="37"/>
  <c r="Y706" i="37"/>
  <c r="X706" i="37"/>
  <c r="AG706" i="37"/>
  <c r="L706" i="37"/>
  <c r="AK706" i="37"/>
  <c r="AO706" i="37"/>
  <c r="M706" i="37"/>
  <c r="Z706" i="37"/>
  <c r="G706" i="37"/>
  <c r="O706" i="37"/>
  <c r="R706" i="37"/>
  <c r="G695" i="37"/>
  <c r="AS695" i="37"/>
  <c r="AC695" i="37"/>
  <c r="M695" i="37"/>
  <c r="AL695" i="37"/>
  <c r="V695" i="37"/>
  <c r="AR695" i="37"/>
  <c r="AB695" i="37"/>
  <c r="L695" i="37"/>
  <c r="AI695" i="37"/>
  <c r="S695" i="37"/>
  <c r="AH695" i="37"/>
  <c r="X695" i="37"/>
  <c r="O695" i="37"/>
  <c r="AK695" i="37"/>
  <c r="N695" i="37"/>
  <c r="AQ695" i="37"/>
  <c r="AO695" i="37"/>
  <c r="Y695" i="37"/>
  <c r="I695" i="37"/>
  <c r="AN695" i="37"/>
  <c r="AT695" i="37"/>
  <c r="AJ695" i="37"/>
  <c r="AA695" i="37"/>
  <c r="AG695" i="37"/>
  <c r="Q695" i="37"/>
  <c r="AP695" i="37"/>
  <c r="Z695" i="37"/>
  <c r="J695" i="37"/>
  <c r="AF695" i="37"/>
  <c r="P695" i="37"/>
  <c r="AM695" i="37"/>
  <c r="W695" i="37"/>
  <c r="R695" i="37"/>
  <c r="H695" i="37"/>
  <c r="AE695" i="37"/>
  <c r="U695" i="37"/>
  <c r="AD695" i="37"/>
  <c r="T695" i="37"/>
  <c r="K695" i="37"/>
  <c r="M146" i="35"/>
  <c r="P146" i="35"/>
  <c r="N146" i="35"/>
  <c r="O146" i="35"/>
  <c r="L146" i="35"/>
  <c r="I146" i="35"/>
  <c r="G146" i="35"/>
  <c r="J146" i="35"/>
  <c r="K146" i="35"/>
  <c r="H4499" i="41"/>
  <c r="G4499" i="41"/>
  <c r="K4499" i="41"/>
  <c r="J4499" i="41"/>
  <c r="I4499" i="41"/>
  <c r="D4500" i="41"/>
  <c r="E4500" i="41" s="1"/>
  <c r="F4500" i="41" s="1"/>
  <c r="J142" i="35"/>
  <c r="L142" i="35"/>
  <c r="K142" i="35"/>
  <c r="H142" i="35"/>
  <c r="N142" i="35"/>
  <c r="P142" i="35"/>
  <c r="M142" i="35"/>
  <c r="I142" i="35"/>
  <c r="G142" i="35"/>
  <c r="G140" i="35"/>
  <c r="K140" i="35"/>
  <c r="I140" i="35"/>
  <c r="J140" i="35"/>
  <c r="L140" i="35"/>
  <c r="M140" i="35"/>
  <c r="O140" i="35"/>
  <c r="N140" i="35"/>
  <c r="H140" i="35"/>
  <c r="G148" i="35"/>
  <c r="K148" i="35"/>
  <c r="O148" i="35"/>
  <c r="I148" i="35"/>
  <c r="M148" i="35"/>
  <c r="H148" i="35"/>
  <c r="L148" i="35"/>
  <c r="P148" i="35"/>
  <c r="J148" i="35"/>
  <c r="N148" i="35"/>
  <c r="P144" i="35"/>
  <c r="O144" i="35"/>
  <c r="L144" i="35"/>
  <c r="I144" i="35"/>
  <c r="M144" i="35"/>
  <c r="G144" i="35"/>
  <c r="K144" i="35"/>
  <c r="N144" i="35"/>
  <c r="J144" i="35"/>
  <c r="H144" i="35"/>
  <c r="G231" i="35" a="1"/>
  <c r="P231" i="35" s="1"/>
  <c r="G151" i="35" l="1" a="1"/>
  <c r="G151" i="35" s="1"/>
  <c r="G696" i="37" a="1"/>
  <c r="G701" i="37"/>
  <c r="G126" i="35" a="1"/>
  <c r="G126" i="35" s="1"/>
  <c r="G171" i="35" a="1"/>
  <c r="J4500" i="41"/>
  <c r="I4500" i="41"/>
  <c r="G4500" i="41"/>
  <c r="K4500" i="41"/>
  <c r="H4500" i="41"/>
  <c r="D4501" i="41"/>
  <c r="E4501" i="41" s="1"/>
  <c r="F4501" i="41" s="1"/>
  <c r="G167" i="35" a="1"/>
  <c r="L167" i="35" s="1"/>
  <c r="G165" i="35" a="1"/>
  <c r="L165" i="35" s="1"/>
  <c r="G177" i="35" a="1"/>
  <c r="G169" i="35" a="1"/>
  <c r="K231" i="35"/>
  <c r="M231" i="35"/>
  <c r="I231" i="35"/>
  <c r="G231" i="35"/>
  <c r="N231" i="35"/>
  <c r="J231" i="35"/>
  <c r="H231" i="35"/>
  <c r="L231" i="35"/>
  <c r="O231" i="35"/>
  <c r="J57" i="10"/>
  <c r="J55" i="10"/>
  <c r="J54" i="10"/>
  <c r="O42" i="10"/>
  <c r="F10" i="10"/>
  <c r="G79" i="10"/>
  <c r="H79" i="10" s="1"/>
  <c r="I79" i="10" s="1"/>
  <c r="J79" i="10" s="1"/>
  <c r="K79" i="10" s="1"/>
  <c r="L79" i="10" s="1"/>
  <c r="M79" i="10" s="1"/>
  <c r="N79" i="10" s="1"/>
  <c r="O79" i="10" s="1"/>
  <c r="P79" i="10" s="1"/>
  <c r="Q79" i="10" s="1"/>
  <c r="R79" i="10" s="1"/>
  <c r="S79" i="10" s="1"/>
  <c r="T79" i="10" s="1"/>
  <c r="U79" i="10" s="1"/>
  <c r="V79" i="10" s="1"/>
  <c r="W79" i="10" s="1"/>
  <c r="X79" i="10" s="1"/>
  <c r="Y79" i="10" s="1"/>
  <c r="Z79" i="10" s="1"/>
  <c r="AA79" i="10" s="1"/>
  <c r="AB79" i="10" s="1"/>
  <c r="AC79" i="10" s="1"/>
  <c r="AD79" i="10" s="1"/>
  <c r="AE79" i="10" s="1"/>
  <c r="AF79" i="10" s="1"/>
  <c r="AG79" i="10" s="1"/>
  <c r="AH79" i="10" s="1"/>
  <c r="AI79" i="10" s="1"/>
  <c r="AJ79" i="10" s="1"/>
  <c r="AK79" i="10" s="1"/>
  <c r="AL79" i="10" s="1"/>
  <c r="AM79" i="10" s="1"/>
  <c r="AN79" i="10" s="1"/>
  <c r="AO79" i="10" s="1"/>
  <c r="AP79" i="10" s="1"/>
  <c r="AQ79" i="10" s="1"/>
  <c r="AR79" i="10" s="1"/>
  <c r="AS79" i="10" s="1"/>
  <c r="AT79" i="10" s="1"/>
  <c r="AU79" i="10" s="1"/>
  <c r="AV79" i="10" s="1"/>
  <c r="AW79" i="10" s="1"/>
  <c r="AX79" i="10" s="1"/>
  <c r="AY79" i="10" s="1"/>
  <c r="AZ79" i="10" s="1"/>
  <c r="BA79" i="10" s="1"/>
  <c r="BB79" i="10" s="1"/>
  <c r="BC79" i="10" s="1"/>
  <c r="K36" i="10"/>
  <c r="K35" i="10"/>
  <c r="K34" i="10"/>
  <c r="K33" i="10"/>
  <c r="K32" i="10"/>
  <c r="K31" i="10"/>
  <c r="I151" i="35" l="1"/>
  <c r="G152" i="35"/>
  <c r="L151" i="35"/>
  <c r="J152" i="35"/>
  <c r="N151" i="35"/>
  <c r="K152" i="35"/>
  <c r="I154" i="35"/>
  <c r="K151" i="35"/>
  <c r="P152" i="35"/>
  <c r="I153" i="35"/>
  <c r="G154" i="35"/>
  <c r="H154" i="35"/>
  <c r="L153" i="35"/>
  <c r="I152" i="35"/>
  <c r="M152" i="35"/>
  <c r="K154" i="35"/>
  <c r="M151" i="35"/>
  <c r="O154" i="35"/>
  <c r="P153" i="35"/>
  <c r="H152" i="35"/>
  <c r="G153" i="35"/>
  <c r="O152" i="35"/>
  <c r="O151" i="35"/>
  <c r="M153" i="35"/>
  <c r="O153" i="35"/>
  <c r="K153" i="35"/>
  <c r="P154" i="35"/>
  <c r="N154" i="35"/>
  <c r="H153" i="35"/>
  <c r="M154" i="35"/>
  <c r="N152" i="35"/>
  <c r="N153" i="35"/>
  <c r="P151" i="35"/>
  <c r="L152" i="35"/>
  <c r="J153" i="35"/>
  <c r="J154" i="35"/>
  <c r="L154" i="35"/>
  <c r="H151" i="35"/>
  <c r="J151" i="35"/>
  <c r="L126" i="35"/>
  <c r="O126" i="35"/>
  <c r="K696" i="37"/>
  <c r="AF696" i="37"/>
  <c r="N696" i="37"/>
  <c r="L696" i="37"/>
  <c r="AG696" i="37"/>
  <c r="AM696" i="37"/>
  <c r="M696" i="37"/>
  <c r="S696" i="37"/>
  <c r="AE696" i="37"/>
  <c r="AT696" i="37"/>
  <c r="T696" i="37"/>
  <c r="AO696" i="37"/>
  <c r="V696" i="37"/>
  <c r="U696" i="37"/>
  <c r="AA696" i="37"/>
  <c r="Z696" i="37"/>
  <c r="AL696" i="37"/>
  <c r="AB696" i="37"/>
  <c r="AN696" i="37"/>
  <c r="AD696" i="37"/>
  <c r="W696" i="37"/>
  <c r="AR696" i="37"/>
  <c r="AH696" i="37"/>
  <c r="X696" i="37"/>
  <c r="AS696" i="37"/>
  <c r="AP696" i="37"/>
  <c r="Y696" i="37"/>
  <c r="AK696" i="37"/>
  <c r="AQ696" i="37"/>
  <c r="Q696" i="37"/>
  <c r="AC696" i="37"/>
  <c r="AI696" i="37"/>
  <c r="I696" i="37"/>
  <c r="O696" i="37"/>
  <c r="AJ696" i="37"/>
  <c r="R696" i="37"/>
  <c r="P696" i="37"/>
  <c r="G696" i="37"/>
  <c r="J696" i="37"/>
  <c r="H696" i="37"/>
  <c r="P126" i="35"/>
  <c r="K126" i="35"/>
  <c r="M126" i="35"/>
  <c r="J126" i="35"/>
  <c r="I126" i="35"/>
  <c r="N126" i="35"/>
  <c r="H126" i="35"/>
  <c r="I171" i="35"/>
  <c r="L171" i="35"/>
  <c r="G171" i="35"/>
  <c r="P171" i="35"/>
  <c r="O171" i="35"/>
  <c r="N171" i="35"/>
  <c r="J171" i="35"/>
  <c r="M171" i="35"/>
  <c r="K171" i="35"/>
  <c r="H171" i="35"/>
  <c r="K4501" i="41"/>
  <c r="I4501" i="41"/>
  <c r="H4501" i="41"/>
  <c r="J4501" i="41"/>
  <c r="G4501" i="41"/>
  <c r="D4502" i="41"/>
  <c r="E4502" i="41" s="1"/>
  <c r="F4502" i="41" s="1"/>
  <c r="J56" i="10"/>
  <c r="AF65" i="10" s="1"/>
  <c r="G641" i="35"/>
  <c r="J167" i="35"/>
  <c r="H167" i="35"/>
  <c r="G167" i="35"/>
  <c r="K167" i="35"/>
  <c r="O167" i="35"/>
  <c r="I167" i="35"/>
  <c r="P167" i="35"/>
  <c r="N167" i="35"/>
  <c r="M167" i="35"/>
  <c r="H165" i="35"/>
  <c r="J165" i="35"/>
  <c r="O165" i="35"/>
  <c r="G165" i="35"/>
  <c r="M165" i="35"/>
  <c r="P165" i="35"/>
  <c r="N165" i="35"/>
  <c r="I165" i="35"/>
  <c r="K165" i="35"/>
  <c r="J169" i="35"/>
  <c r="H169" i="35"/>
  <c r="I169" i="35"/>
  <c r="M169" i="35"/>
  <c r="L169" i="35"/>
  <c r="G169" i="35"/>
  <c r="N169" i="35"/>
  <c r="K169" i="35"/>
  <c r="P169" i="35"/>
  <c r="O169" i="35"/>
  <c r="O177" i="35"/>
  <c r="K177" i="35"/>
  <c r="P177" i="35"/>
  <c r="N177" i="35"/>
  <c r="I177" i="35"/>
  <c r="H177" i="35"/>
  <c r="L177" i="35"/>
  <c r="M177" i="35"/>
  <c r="G177" i="35"/>
  <c r="J177" i="35"/>
  <c r="AD66" i="10"/>
  <c r="AE66" i="10"/>
  <c r="AF66" i="10"/>
  <c r="AD63" i="10"/>
  <c r="AD96" i="10" s="1"/>
  <c r="AE63" i="10"/>
  <c r="AE96" i="10" s="1"/>
  <c r="AF63" i="10"/>
  <c r="AF96" i="10" s="1"/>
  <c r="AD64" i="10"/>
  <c r="AD97" i="10" s="1"/>
  <c r="AF64" i="10"/>
  <c r="AF97" i="10" s="1"/>
  <c r="AE64" i="10"/>
  <c r="AE97" i="10" s="1"/>
  <c r="M66" i="10"/>
  <c r="W66" i="10"/>
  <c r="Z66" i="10"/>
  <c r="U66" i="10"/>
  <c r="T66" i="10"/>
  <c r="X66" i="10"/>
  <c r="Y66" i="10"/>
  <c r="V66" i="10"/>
  <c r="M63" i="10"/>
  <c r="M96" i="10" s="1"/>
  <c r="W63" i="10"/>
  <c r="W96" i="10" s="1"/>
  <c r="U63" i="10"/>
  <c r="U96" i="10" s="1"/>
  <c r="T63" i="10"/>
  <c r="T96" i="10" s="1"/>
  <c r="V63" i="10"/>
  <c r="V96" i="10" s="1"/>
  <c r="Z63" i="10"/>
  <c r="Z96" i="10" s="1"/>
  <c r="X63" i="10"/>
  <c r="X96" i="10" s="1"/>
  <c r="Y63" i="10"/>
  <c r="Y96" i="10" s="1"/>
  <c r="M64" i="10"/>
  <c r="M97" i="10" s="1"/>
  <c r="W64" i="10"/>
  <c r="W97" i="10" s="1"/>
  <c r="X64" i="10"/>
  <c r="X97" i="10" s="1"/>
  <c r="Y64" i="10"/>
  <c r="Y97" i="10" s="1"/>
  <c r="V64" i="10"/>
  <c r="V97" i="10" s="1"/>
  <c r="T64" i="10"/>
  <c r="T97" i="10" s="1"/>
  <c r="Z64" i="10"/>
  <c r="Z97" i="10" s="1"/>
  <c r="U64" i="10"/>
  <c r="U97" i="10" s="1"/>
  <c r="F66" i="10"/>
  <c r="H66" i="10"/>
  <c r="G66" i="10"/>
  <c r="L66" i="10"/>
  <c r="K66" i="10"/>
  <c r="I66" i="10"/>
  <c r="J66" i="10"/>
  <c r="F63" i="10"/>
  <c r="F96" i="10" s="1"/>
  <c r="H63" i="10"/>
  <c r="H96" i="10" s="1"/>
  <c r="G63" i="10"/>
  <c r="G96" i="10" s="1"/>
  <c r="L63" i="10"/>
  <c r="L96" i="10" s="1"/>
  <c r="K63" i="10"/>
  <c r="K96" i="10" s="1"/>
  <c r="I63" i="10"/>
  <c r="I96" i="10" s="1"/>
  <c r="J63" i="10"/>
  <c r="J96" i="10" s="1"/>
  <c r="F64" i="10"/>
  <c r="F97" i="10" s="1"/>
  <c r="I64" i="10"/>
  <c r="I97" i="10" s="1"/>
  <c r="J64" i="10"/>
  <c r="J97" i="10" s="1"/>
  <c r="H64" i="10"/>
  <c r="H97" i="10" s="1"/>
  <c r="G64" i="10"/>
  <c r="G97" i="10" s="1"/>
  <c r="L64" i="10"/>
  <c r="L97" i="10" s="1"/>
  <c r="K64" i="10"/>
  <c r="K97" i="10" s="1"/>
  <c r="F13" i="10"/>
  <c r="F14" i="10" s="1"/>
  <c r="R41" i="10"/>
  <c r="N41" i="10"/>
  <c r="Q41" i="10"/>
  <c r="P41" i="10"/>
  <c r="R42" i="10"/>
  <c r="H20" i="10"/>
  <c r="H22" i="10" s="1"/>
  <c r="P42" i="10"/>
  <c r="N42" i="10"/>
  <c r="Q42" i="10"/>
  <c r="S42" i="10"/>
  <c r="S41" i="10"/>
  <c r="O41" i="10"/>
  <c r="F20" i="10"/>
  <c r="F22" i="10" s="1"/>
  <c r="G150" i="35" l="1" a="1"/>
  <c r="I150" i="35" s="1"/>
  <c r="G175" i="35" a="1"/>
  <c r="L175" i="35" s="1"/>
  <c r="G220" i="37" a="1"/>
  <c r="G236" i="35" a="1"/>
  <c r="G238" i="35" a="1"/>
  <c r="K4502" i="41"/>
  <c r="J4502" i="41"/>
  <c r="H4502" i="41"/>
  <c r="G4502" i="41"/>
  <c r="I4502" i="41"/>
  <c r="D4503" i="41"/>
  <c r="E4503" i="41" s="1"/>
  <c r="F4503" i="41" s="1"/>
  <c r="AD65" i="10"/>
  <c r="G65" i="10"/>
  <c r="K65" i="10"/>
  <c r="J65" i="10"/>
  <c r="T65" i="10"/>
  <c r="W65" i="10"/>
  <c r="L65" i="10"/>
  <c r="I65" i="10"/>
  <c r="Y65" i="10"/>
  <c r="M65" i="10"/>
  <c r="X65" i="10"/>
  <c r="H65" i="10"/>
  <c r="F65" i="10"/>
  <c r="U65" i="10"/>
  <c r="Z65" i="10"/>
  <c r="V65" i="10"/>
  <c r="AE65" i="10"/>
  <c r="G173" i="35" a="1"/>
  <c r="Q66" i="10"/>
  <c r="Q64" i="10"/>
  <c r="Q97" i="10" s="1"/>
  <c r="Q65" i="10"/>
  <c r="Q63" i="10"/>
  <c r="Q96" i="10" s="1"/>
  <c r="O66" i="10"/>
  <c r="O63" i="10"/>
  <c r="O96" i="10" s="1"/>
  <c r="O64" i="10"/>
  <c r="O97" i="10" s="1"/>
  <c r="O65" i="10"/>
  <c r="N64" i="10"/>
  <c r="N97" i="10" s="1"/>
  <c r="N66" i="10"/>
  <c r="N63" i="10"/>
  <c r="N96" i="10" s="1"/>
  <c r="N65" i="10"/>
  <c r="S65" i="10"/>
  <c r="S64" i="10"/>
  <c r="S97" i="10" s="1"/>
  <c r="S66" i="10"/>
  <c r="S63" i="10"/>
  <c r="S96" i="10" s="1"/>
  <c r="P65" i="10"/>
  <c r="P66" i="10"/>
  <c r="P63" i="10"/>
  <c r="P96" i="10" s="1"/>
  <c r="P64" i="10"/>
  <c r="P97" i="10" s="1"/>
  <c r="R66" i="10"/>
  <c r="R63" i="10"/>
  <c r="R96" i="10" s="1"/>
  <c r="R65" i="10"/>
  <c r="R64" i="10"/>
  <c r="R97" i="10" s="1"/>
  <c r="AC45" i="10"/>
  <c r="AC81" i="10" s="1"/>
  <c r="AC91" i="10" s="1"/>
  <c r="AB45" i="10"/>
  <c r="AB81" i="10" s="1"/>
  <c r="AB91" i="10" s="1"/>
  <c r="AA45" i="10"/>
  <c r="J31" i="10" a="1"/>
  <c r="J35" i="10" s="1"/>
  <c r="F23" i="10"/>
  <c r="AJ46" i="10" s="1"/>
  <c r="AJ81" i="10" s="1"/>
  <c r="AJ82" i="10" s="1"/>
  <c r="H23" i="10"/>
  <c r="AK47" i="10" s="1"/>
  <c r="AK81" i="10" s="1"/>
  <c r="G150" i="35" l="1"/>
  <c r="K150" i="35"/>
  <c r="N150" i="35"/>
  <c r="L150" i="35"/>
  <c r="O150" i="35"/>
  <c r="P150" i="35"/>
  <c r="J150" i="35"/>
  <c r="H150" i="35"/>
  <c r="M150" i="35"/>
  <c r="G175" i="35"/>
  <c r="N175" i="35"/>
  <c r="M175" i="35"/>
  <c r="I175" i="35"/>
  <c r="H175" i="35"/>
  <c r="O175" i="35"/>
  <c r="J175" i="35"/>
  <c r="P175" i="35"/>
  <c r="K175" i="35"/>
  <c r="J220" i="37"/>
  <c r="P220" i="37"/>
  <c r="K220" i="37"/>
  <c r="M220" i="37"/>
  <c r="L220" i="37"/>
  <c r="G220" i="37"/>
  <c r="O220" i="37"/>
  <c r="I220" i="37"/>
  <c r="H220" i="37"/>
  <c r="N220" i="37"/>
  <c r="G238" i="35"/>
  <c r="G244" i="35" s="1"/>
  <c r="N238" i="35"/>
  <c r="N244" i="35" s="1"/>
  <c r="P238" i="35"/>
  <c r="P244" i="35" s="1"/>
  <c r="K238" i="35"/>
  <c r="K244" i="35" s="1"/>
  <c r="I238" i="35"/>
  <c r="I244" i="35" s="1"/>
  <c r="J238" i="35"/>
  <c r="J244" i="35" s="1"/>
  <c r="L238" i="35"/>
  <c r="L244" i="35" s="1"/>
  <c r="O238" i="35"/>
  <c r="O244" i="35" s="1"/>
  <c r="M238" i="35"/>
  <c r="M244" i="35" s="1"/>
  <c r="H238" i="35"/>
  <c r="H244" i="35" s="1"/>
  <c r="G236" i="35"/>
  <c r="M236" i="35"/>
  <c r="O236" i="35"/>
  <c r="N236" i="35"/>
  <c r="I236" i="35"/>
  <c r="K236" i="35"/>
  <c r="L236" i="35"/>
  <c r="H236" i="35"/>
  <c r="P236" i="35"/>
  <c r="J236" i="35"/>
  <c r="H4503" i="41"/>
  <c r="G4503" i="41"/>
  <c r="K4503" i="41"/>
  <c r="I4503" i="41"/>
  <c r="J4503" i="41"/>
  <c r="D4504" i="41"/>
  <c r="E4504" i="41" s="1"/>
  <c r="F4504" i="41" s="1"/>
  <c r="G173" i="35"/>
  <c r="O173" i="35"/>
  <c r="H173" i="35"/>
  <c r="K173" i="35"/>
  <c r="I173" i="35"/>
  <c r="L173" i="35"/>
  <c r="J173" i="35"/>
  <c r="N173" i="35"/>
  <c r="M173" i="35"/>
  <c r="P173" i="35"/>
  <c r="AK84" i="10"/>
  <c r="AK83" i="10"/>
  <c r="AA65" i="10"/>
  <c r="AA63" i="10"/>
  <c r="AA96" i="10" s="1"/>
  <c r="AA64" i="10"/>
  <c r="AA97" i="10" s="1"/>
  <c r="AA66" i="10"/>
  <c r="AB65" i="10"/>
  <c r="AB64" i="10"/>
  <c r="AB97" i="10" s="1"/>
  <c r="AB66" i="10"/>
  <c r="AB63" i="10"/>
  <c r="AB96" i="10" s="1"/>
  <c r="AC64" i="10"/>
  <c r="AC97" i="10" s="1"/>
  <c r="AC63" i="10"/>
  <c r="AC96" i="10" s="1"/>
  <c r="AC66" i="10"/>
  <c r="AC65" i="10"/>
  <c r="J32" i="10"/>
  <c r="J34" i="10"/>
  <c r="J33" i="10"/>
  <c r="J31" i="10"/>
  <c r="J36" i="10"/>
  <c r="G179" i="35" l="1" a="1"/>
  <c r="K179" i="35" s="1"/>
  <c r="G221" i="37" a="1"/>
  <c r="P246" i="35"/>
  <c r="P242" i="35"/>
  <c r="I246" i="35"/>
  <c r="I242" i="35"/>
  <c r="G246" i="35"/>
  <c r="G242" i="35"/>
  <c r="J246" i="35"/>
  <c r="J242" i="35"/>
  <c r="M246" i="35"/>
  <c r="M242" i="35"/>
  <c r="H246" i="35"/>
  <c r="H242" i="35"/>
  <c r="N246" i="35"/>
  <c r="N242" i="35"/>
  <c r="K246" i="35"/>
  <c r="K242" i="35"/>
  <c r="L246" i="35"/>
  <c r="L242" i="35"/>
  <c r="O246" i="35"/>
  <c r="O242" i="35"/>
  <c r="J4504" i="41"/>
  <c r="I4504" i="41"/>
  <c r="G4504" i="41"/>
  <c r="H4504" i="41"/>
  <c r="K4504" i="41"/>
  <c r="D4505" i="41"/>
  <c r="E4505" i="41" s="1"/>
  <c r="F4505" i="41" s="1"/>
  <c r="AA81" i="10"/>
  <c r="K183" i="35" l="1"/>
  <c r="N182" i="35"/>
  <c r="P182" i="35"/>
  <c r="K181" i="35"/>
  <c r="H183" i="35"/>
  <c r="L181" i="35"/>
  <c r="I180" i="35"/>
  <c r="G183" i="35"/>
  <c r="H182" i="35"/>
  <c r="J181" i="35"/>
  <c r="J183" i="35"/>
  <c r="P180" i="35"/>
  <c r="N181" i="35"/>
  <c r="O181" i="35"/>
  <c r="L179" i="35"/>
  <c r="K182" i="35"/>
  <c r="O183" i="35"/>
  <c r="I179" i="35"/>
  <c r="I183" i="35"/>
  <c r="G182" i="35"/>
  <c r="N179" i="35"/>
  <c r="L182" i="35"/>
  <c r="H179" i="35"/>
  <c r="M180" i="35"/>
  <c r="M182" i="35"/>
  <c r="L183" i="35"/>
  <c r="P179" i="35"/>
  <c r="J182" i="35"/>
  <c r="N183" i="35"/>
  <c r="O179" i="35"/>
  <c r="J180" i="35"/>
  <c r="P181" i="35"/>
  <c r="G179" i="35"/>
  <c r="M181" i="35"/>
  <c r="G181" i="35"/>
  <c r="K180" i="35"/>
  <c r="H180" i="35"/>
  <c r="O182" i="35"/>
  <c r="N180" i="35"/>
  <c r="G180" i="35"/>
  <c r="L180" i="35"/>
  <c r="H181" i="35"/>
  <c r="M183" i="35"/>
  <c r="I182" i="35"/>
  <c r="O180" i="35"/>
  <c r="J179" i="35"/>
  <c r="P183" i="35"/>
  <c r="M179" i="35"/>
  <c r="I181" i="35"/>
  <c r="G221" i="37"/>
  <c r="N221" i="37"/>
  <c r="N223" i="37" s="1"/>
  <c r="H221" i="37"/>
  <c r="K221" i="37"/>
  <c r="L221" i="37"/>
  <c r="L223" i="37" s="1"/>
  <c r="P221" i="37"/>
  <c r="P223" i="37" s="1"/>
  <c r="O221" i="37"/>
  <c r="O223" i="37" s="1"/>
  <c r="I221" i="37"/>
  <c r="J221" i="37"/>
  <c r="M221" i="37"/>
  <c r="M223" i="37" s="1"/>
  <c r="K4505" i="41"/>
  <c r="I4505" i="41"/>
  <c r="H4505" i="41"/>
  <c r="J4505" i="41"/>
  <c r="G4505" i="41"/>
  <c r="D4506" i="41"/>
  <c r="E4506" i="41" s="1"/>
  <c r="F4506" i="41" s="1"/>
  <c r="AA91" i="10"/>
  <c r="G290" i="37" l="1" a="1"/>
  <c r="I290" i="37" s="1"/>
  <c r="K4506" i="41"/>
  <c r="J4506" i="41"/>
  <c r="I4506" i="41"/>
  <c r="G4506" i="41"/>
  <c r="H4506" i="41"/>
  <c r="D4507" i="41"/>
  <c r="E4507" i="41" s="1"/>
  <c r="F4507" i="41" s="1"/>
  <c r="G290" i="37" l="1"/>
  <c r="K290" i="37"/>
  <c r="P290" i="37"/>
  <c r="H290" i="37"/>
  <c r="O290" i="37"/>
  <c r="J290" i="37"/>
  <c r="M290" i="37"/>
  <c r="L290" i="37"/>
  <c r="N290" i="37"/>
  <c r="H4507" i="41"/>
  <c r="G4507" i="41"/>
  <c r="K4507" i="41"/>
  <c r="J4507" i="41"/>
  <c r="I4507" i="41"/>
  <c r="D4508" i="41"/>
  <c r="E4508" i="41" s="1"/>
  <c r="F4508" i="41" s="1"/>
  <c r="G511" i="35" a="1"/>
  <c r="AT511" i="35" l="1"/>
  <c r="G511" i="35"/>
  <c r="W511" i="35"/>
  <c r="AM511" i="35"/>
  <c r="P511" i="35"/>
  <c r="AF511" i="35"/>
  <c r="Q511" i="35"/>
  <c r="AG511" i="35"/>
  <c r="R511" i="35"/>
  <c r="AH511" i="35"/>
  <c r="AE511" i="35"/>
  <c r="X511" i="35"/>
  <c r="I511" i="35"/>
  <c r="AO511" i="35"/>
  <c r="Z511" i="35"/>
  <c r="AI511" i="35"/>
  <c r="AB511" i="35"/>
  <c r="M511" i="35"/>
  <c r="AD511" i="35"/>
  <c r="K511" i="35"/>
  <c r="AA511" i="35"/>
  <c r="AQ511" i="35"/>
  <c r="T511" i="35"/>
  <c r="AJ511" i="35"/>
  <c r="U511" i="35"/>
  <c r="AK511" i="35"/>
  <c r="V511" i="35"/>
  <c r="AL511" i="35"/>
  <c r="O511" i="35"/>
  <c r="H511" i="35"/>
  <c r="AN511" i="35"/>
  <c r="Y511" i="35"/>
  <c r="J511" i="35"/>
  <c r="AP511" i="35"/>
  <c r="S511" i="35"/>
  <c r="L511" i="35"/>
  <c r="AR511" i="35"/>
  <c r="AC511" i="35"/>
  <c r="AS511" i="35"/>
  <c r="N511" i="35"/>
  <c r="J4508" i="41"/>
  <c r="I4508" i="41"/>
  <c r="G4508" i="41"/>
  <c r="K4508" i="41"/>
  <c r="H4508" i="41"/>
  <c r="D4509" i="41"/>
  <c r="E4509" i="41" s="1"/>
  <c r="F4509" i="41" s="1"/>
  <c r="G652" i="37" l="1" a="1"/>
  <c r="K4509" i="41"/>
  <c r="I4509" i="41"/>
  <c r="H4509" i="41"/>
  <c r="J4509" i="41"/>
  <c r="G4509" i="41"/>
  <c r="D4510" i="41"/>
  <c r="E4510" i="41" s="1"/>
  <c r="F4510" i="41" s="1"/>
  <c r="G652" i="37" l="1"/>
  <c r="AP652" i="37"/>
  <c r="Z652" i="37"/>
  <c r="J652" i="37"/>
  <c r="AG652" i="37"/>
  <c r="Q652" i="37"/>
  <c r="AN652" i="37"/>
  <c r="X652" i="37"/>
  <c r="H652" i="37"/>
  <c r="AE652" i="37"/>
  <c r="O652" i="37"/>
  <c r="AH652" i="37"/>
  <c r="AO652" i="37"/>
  <c r="AF652" i="37"/>
  <c r="AM652" i="37"/>
  <c r="AL652" i="37"/>
  <c r="V652" i="37"/>
  <c r="AS652" i="37"/>
  <c r="AC652" i="37"/>
  <c r="M652" i="37"/>
  <c r="AJ652" i="37"/>
  <c r="T652" i="37"/>
  <c r="AQ652" i="37"/>
  <c r="AA652" i="37"/>
  <c r="K652" i="37"/>
  <c r="R652" i="37"/>
  <c r="Y652" i="37"/>
  <c r="I652" i="37"/>
  <c r="P652" i="37"/>
  <c r="W652" i="37"/>
  <c r="AT652" i="37"/>
  <c r="AD652" i="37"/>
  <c r="N652" i="37"/>
  <c r="AK652" i="37"/>
  <c r="U652" i="37"/>
  <c r="AR652" i="37"/>
  <c r="AB652" i="37"/>
  <c r="L652" i="37"/>
  <c r="AI652" i="37"/>
  <c r="S652" i="37"/>
  <c r="K4510" i="41"/>
  <c r="J4510" i="41"/>
  <c r="I4510" i="41"/>
  <c r="H4510" i="41"/>
  <c r="G4510" i="41"/>
  <c r="D4511" i="41"/>
  <c r="E4511" i="41" s="1"/>
  <c r="F4511" i="41" s="1"/>
  <c r="E142" i="39"/>
  <c r="G657" i="37" l="1" a="1"/>
  <c r="G668" i="37" a="1"/>
  <c r="H4511" i="41"/>
  <c r="G4511" i="41"/>
  <c r="K4511" i="41"/>
  <c r="I4511" i="41"/>
  <c r="J4511" i="41"/>
  <c r="D4512" i="41"/>
  <c r="E4512" i="41" s="1"/>
  <c r="F4512" i="41" s="1"/>
  <c r="G668" i="37" l="1"/>
  <c r="AF668" i="37"/>
  <c r="AM668" i="37"/>
  <c r="Y668" i="37"/>
  <c r="Z668" i="37"/>
  <c r="AL668" i="37"/>
  <c r="X668" i="37"/>
  <c r="AE668" i="37"/>
  <c r="M668" i="37"/>
  <c r="J668" i="37"/>
  <c r="AC668" i="37"/>
  <c r="AH668" i="37"/>
  <c r="AT668" i="37"/>
  <c r="AB668" i="37"/>
  <c r="U668" i="37"/>
  <c r="AD668" i="37"/>
  <c r="AA668" i="37"/>
  <c r="I668" i="37"/>
  <c r="N668" i="37"/>
  <c r="S668" i="37"/>
  <c r="AN668" i="37"/>
  <c r="AK668" i="37"/>
  <c r="K668" i="37"/>
  <c r="V668" i="37"/>
  <c r="P668" i="37"/>
  <c r="W668" i="37"/>
  <c r="AR668" i="37"/>
  <c r="AG668" i="37"/>
  <c r="AO668" i="37"/>
  <c r="H668" i="37"/>
  <c r="O668" i="37"/>
  <c r="AJ668" i="37"/>
  <c r="AQ668" i="37"/>
  <c r="AI668" i="37"/>
  <c r="R668" i="37"/>
  <c r="T668" i="37"/>
  <c r="AS668" i="37"/>
  <c r="L668" i="37"/>
  <c r="Q668" i="37"/>
  <c r="AP668" i="37"/>
  <c r="G657" i="37"/>
  <c r="AJ657" i="37"/>
  <c r="M657" i="37"/>
  <c r="AK657" i="37"/>
  <c r="AL657" i="37"/>
  <c r="K657" i="37"/>
  <c r="AB657" i="37"/>
  <c r="AM657" i="37"/>
  <c r="U657" i="37"/>
  <c r="V657" i="37"/>
  <c r="AH657" i="37"/>
  <c r="T657" i="37"/>
  <c r="AE657" i="37"/>
  <c r="I657" i="37"/>
  <c r="AO657" i="37"/>
  <c r="R657" i="37"/>
  <c r="L657" i="37"/>
  <c r="W657" i="37"/>
  <c r="AN657" i="37"/>
  <c r="Y657" i="37"/>
  <c r="AS657" i="37"/>
  <c r="AT657" i="37"/>
  <c r="O657" i="37"/>
  <c r="AF657" i="37"/>
  <c r="AQ657" i="37"/>
  <c r="AC657" i="37"/>
  <c r="AD657" i="37"/>
  <c r="AP657" i="37"/>
  <c r="X657" i="37"/>
  <c r="AI657" i="37"/>
  <c r="Q657" i="37"/>
  <c r="N657" i="37"/>
  <c r="Z657" i="37"/>
  <c r="P657" i="37"/>
  <c r="AA657" i="37"/>
  <c r="AR657" i="37"/>
  <c r="AG657" i="37"/>
  <c r="J657" i="37"/>
  <c r="H657" i="37"/>
  <c r="S657" i="37"/>
  <c r="J4512" i="41"/>
  <c r="I4512" i="41"/>
  <c r="G4512" i="41"/>
  <c r="H4512" i="41"/>
  <c r="K4512" i="41"/>
  <c r="D4513" i="41"/>
  <c r="E4513" i="41" s="1"/>
  <c r="F4513" i="41" s="1"/>
  <c r="K4513" i="41" l="1"/>
  <c r="I4513" i="41"/>
  <c r="H4513" i="41"/>
  <c r="J4513" i="41"/>
  <c r="G4513" i="41"/>
  <c r="D4514" i="41"/>
  <c r="E4514" i="41" s="1"/>
  <c r="F4514" i="41" s="1"/>
  <c r="G663" i="37" l="1"/>
  <c r="G658" i="37" a="1"/>
  <c r="K4514" i="41"/>
  <c r="J4514" i="41"/>
  <c r="I4514" i="41"/>
  <c r="G4514" i="41"/>
  <c r="H4514" i="41"/>
  <c r="D4515" i="41"/>
  <c r="E4515" i="41" s="1"/>
  <c r="F4515" i="41" s="1"/>
  <c r="G708" i="37" a="1"/>
  <c r="G708" i="37" s="1"/>
  <c r="E71" i="39" s="1"/>
  <c r="G670" i="37" a="1"/>
  <c r="G670" i="37" s="1"/>
  <c r="E70" i="39" s="1"/>
  <c r="Y658" i="37" l="1"/>
  <c r="G658" i="37"/>
  <c r="L658" i="37"/>
  <c r="AO658" i="37"/>
  <c r="AL658" i="37"/>
  <c r="AH658" i="37"/>
  <c r="AA658" i="37"/>
  <c r="K658" i="37"/>
  <c r="U658" i="37"/>
  <c r="AG658" i="37"/>
  <c r="AB658" i="37"/>
  <c r="AC658" i="37"/>
  <c r="V658" i="37"/>
  <c r="T658" i="37"/>
  <c r="O658" i="37"/>
  <c r="AR658" i="37"/>
  <c r="AK658" i="37"/>
  <c r="AF658" i="37"/>
  <c r="R658" i="37"/>
  <c r="AN658" i="37"/>
  <c r="M658" i="37"/>
  <c r="AJ658" i="37"/>
  <c r="AE658" i="37"/>
  <c r="W658" i="37"/>
  <c r="AS658" i="37"/>
  <c r="N658" i="37"/>
  <c r="H658" i="37"/>
  <c r="AP658" i="37"/>
  <c r="X658" i="37"/>
  <c r="Q658" i="37"/>
  <c r="AQ658" i="37"/>
  <c r="S658" i="37"/>
  <c r="AD658" i="37"/>
  <c r="I658" i="37"/>
  <c r="AM658" i="37"/>
  <c r="J658" i="37"/>
  <c r="Z658" i="37"/>
  <c r="AT658" i="37"/>
  <c r="AI658" i="37"/>
  <c r="P658" i="37"/>
  <c r="H4515" i="41"/>
  <c r="G4515" i="41"/>
  <c r="K4515" i="41"/>
  <c r="J4515" i="41"/>
  <c r="I4515" i="41"/>
  <c r="D4516" i="41"/>
  <c r="E4516" i="41" s="1"/>
  <c r="F4516" i="41" s="1"/>
  <c r="K6" i="70" a="1"/>
  <c r="J4516" i="41" l="1"/>
  <c r="I4516" i="41"/>
  <c r="G4516" i="41"/>
  <c r="K4516" i="41"/>
  <c r="H4516" i="41"/>
  <c r="D4517" i="41"/>
  <c r="E4517" i="41" s="1"/>
  <c r="F4517" i="41" s="1"/>
  <c r="K9" i="70"/>
  <c r="K13" i="70"/>
  <c r="K17" i="70"/>
  <c r="K21" i="70"/>
  <c r="K25" i="70"/>
  <c r="K6" i="70"/>
  <c r="K10" i="70"/>
  <c r="K14" i="70"/>
  <c r="K18" i="70"/>
  <c r="K22" i="70"/>
  <c r="K7" i="70"/>
  <c r="K11" i="70"/>
  <c r="K15" i="70"/>
  <c r="K19" i="70"/>
  <c r="K23" i="70"/>
  <c r="K8" i="70"/>
  <c r="K12" i="70"/>
  <c r="K16" i="70"/>
  <c r="K20" i="70"/>
  <c r="K24" i="70"/>
  <c r="N6" i="70" l="1" a="1"/>
  <c r="N12" i="70" s="1"/>
  <c r="K4517" i="41"/>
  <c r="I4517" i="41"/>
  <c r="H4517" i="41"/>
  <c r="J4517" i="41"/>
  <c r="G4517" i="41"/>
  <c r="D4518" i="41"/>
  <c r="E4518" i="41" s="1"/>
  <c r="F4518" i="41" s="1"/>
  <c r="N24" i="70" l="1"/>
  <c r="N14" i="70"/>
  <c r="N25" i="70"/>
  <c r="N13" i="70"/>
  <c r="N20" i="70"/>
  <c r="N19" i="70"/>
  <c r="N9" i="70"/>
  <c r="N15" i="70"/>
  <c r="N22" i="70"/>
  <c r="N17" i="70"/>
  <c r="N7" i="70"/>
  <c r="G1342" i="37" s="1"/>
  <c r="N16" i="70"/>
  <c r="N6" i="70"/>
  <c r="N8" i="70"/>
  <c r="G1344" i="37" s="1"/>
  <c r="N21" i="70"/>
  <c r="N10" i="70"/>
  <c r="G1341" i="37" s="1"/>
  <c r="N18" i="70"/>
  <c r="N11" i="70"/>
  <c r="G1343" i="37" s="1"/>
  <c r="N23" i="70"/>
  <c r="K4518" i="41"/>
  <c r="J4518" i="41"/>
  <c r="I4518" i="41"/>
  <c r="H4518" i="41"/>
  <c r="G4518" i="41"/>
  <c r="D4519" i="41"/>
  <c r="E4519" i="41" s="1"/>
  <c r="F4519" i="41" s="1"/>
  <c r="G1333" i="37" l="1"/>
  <c r="I91" i="70" a="1"/>
  <c r="G1353" i="37"/>
  <c r="G1355" i="37"/>
  <c r="H4519" i="41"/>
  <c r="G4519" i="41"/>
  <c r="K4519" i="41"/>
  <c r="I4519" i="41"/>
  <c r="J4519" i="41"/>
  <c r="D4520" i="41"/>
  <c r="E4520" i="41" s="1"/>
  <c r="F4520" i="41" s="1"/>
  <c r="C9" i="40" a="1"/>
  <c r="C7" i="39" a="1"/>
  <c r="C122" i="10" a="1"/>
  <c r="C129" i="10" s="1"/>
  <c r="G1357" i="37" l="1"/>
  <c r="G1361" i="37" s="1"/>
  <c r="I91" i="70"/>
  <c r="I92" i="70"/>
  <c r="K1321" i="37"/>
  <c r="K1322" i="37"/>
  <c r="K1320" i="37"/>
  <c r="K1323" i="37"/>
  <c r="J4520" i="41"/>
  <c r="I4520" i="41"/>
  <c r="G4520" i="41"/>
  <c r="H4520" i="41"/>
  <c r="K4520" i="41"/>
  <c r="D4521" i="41"/>
  <c r="E4521" i="41" s="1"/>
  <c r="F4521" i="41" s="1"/>
  <c r="C8" i="39"/>
  <c r="C13" i="39"/>
  <c r="C17" i="39"/>
  <c r="C21" i="39"/>
  <c r="C25" i="39"/>
  <c r="C29" i="39"/>
  <c r="C33" i="39"/>
  <c r="C34" i="39"/>
  <c r="C35" i="39"/>
  <c r="C38" i="39"/>
  <c r="C45" i="39"/>
  <c r="C50" i="39"/>
  <c r="C54" i="39"/>
  <c r="C58" i="39"/>
  <c r="C62" i="39"/>
  <c r="C66" i="39"/>
  <c r="C84" i="39"/>
  <c r="C87" i="39"/>
  <c r="C91" i="39"/>
  <c r="C94" i="39"/>
  <c r="C98" i="39"/>
  <c r="C101" i="39"/>
  <c r="C105" i="39"/>
  <c r="C106" i="39"/>
  <c r="C109" i="39"/>
  <c r="C116" i="39"/>
  <c r="C119" i="39"/>
  <c r="C123" i="39"/>
  <c r="C126" i="39"/>
  <c r="C130" i="39"/>
  <c r="C131" i="39"/>
  <c r="C134" i="39"/>
  <c r="C142" i="39"/>
  <c r="C146" i="39"/>
  <c r="C152" i="39"/>
  <c r="C156" i="39"/>
  <c r="C160" i="39"/>
  <c r="C164" i="39"/>
  <c r="C168" i="39"/>
  <c r="C172" i="39"/>
  <c r="C173" i="39"/>
  <c r="C174" i="39"/>
  <c r="C178" i="39"/>
  <c r="C181" i="39"/>
  <c r="C185" i="39"/>
  <c r="C188" i="39"/>
  <c r="C192" i="39"/>
  <c r="C195" i="39"/>
  <c r="C202" i="39"/>
  <c r="C9" i="39"/>
  <c r="C14" i="39"/>
  <c r="C18" i="39"/>
  <c r="C22" i="39"/>
  <c r="C26" i="39"/>
  <c r="C30" i="39"/>
  <c r="C39" i="39"/>
  <c r="C42" i="39"/>
  <c r="C46" i="39"/>
  <c r="C51" i="39"/>
  <c r="C55" i="39"/>
  <c r="C59" i="39"/>
  <c r="C60" i="39"/>
  <c r="C63" i="39"/>
  <c r="C67" i="39"/>
  <c r="C68" i="39"/>
  <c r="C69" i="39"/>
  <c r="C70" i="39"/>
  <c r="C71" i="39"/>
  <c r="C74" i="39"/>
  <c r="C77" i="39"/>
  <c r="C81" i="39"/>
  <c r="C85" i="39"/>
  <c r="C88" i="39"/>
  <c r="C92" i="39"/>
  <c r="C95" i="39"/>
  <c r="C102" i="39"/>
  <c r="C110" i="39"/>
  <c r="C113" i="39"/>
  <c r="C117" i="39"/>
  <c r="C120" i="39"/>
  <c r="C124" i="39"/>
  <c r="C127" i="39"/>
  <c r="C135" i="39"/>
  <c r="C139" i="39"/>
  <c r="C143" i="39"/>
  <c r="C147" i="39"/>
  <c r="C148" i="39"/>
  <c r="C153" i="39"/>
  <c r="C157" i="39"/>
  <c r="C161" i="39"/>
  <c r="C165" i="39"/>
  <c r="C169" i="39"/>
  <c r="C175" i="39"/>
  <c r="C179" i="39"/>
  <c r="C182" i="39"/>
  <c r="C186" i="39"/>
  <c r="C189" i="39"/>
  <c r="C196" i="39"/>
  <c r="C199" i="39"/>
  <c r="C203" i="39"/>
  <c r="C10" i="39"/>
  <c r="C15" i="39"/>
  <c r="C19" i="39"/>
  <c r="C23" i="39"/>
  <c r="C27" i="39"/>
  <c r="C31" i="39"/>
  <c r="C36" i="39"/>
  <c r="C40" i="39"/>
  <c r="C43" i="39"/>
  <c r="C47" i="39"/>
  <c r="C52" i="39"/>
  <c r="C53" i="39"/>
  <c r="C56" i="39"/>
  <c r="C64" i="39"/>
  <c r="C72" i="39"/>
  <c r="C75" i="39"/>
  <c r="C78" i="39"/>
  <c r="C82" i="39"/>
  <c r="C86" i="39"/>
  <c r="C89" i="39"/>
  <c r="C96" i="39"/>
  <c r="C99" i="39"/>
  <c r="C103" i="39"/>
  <c r="C107" i="39"/>
  <c r="C111" i="39"/>
  <c r="C114" i="39"/>
  <c r="C118" i="39"/>
  <c r="C121" i="39"/>
  <c r="C128" i="39"/>
  <c r="C132" i="39"/>
  <c r="C136" i="39"/>
  <c r="C140" i="39"/>
  <c r="C144" i="39"/>
  <c r="C149" i="39"/>
  <c r="C150" i="39"/>
  <c r="C151" i="39"/>
  <c r="C154" i="39"/>
  <c r="C158" i="39"/>
  <c r="C162" i="39"/>
  <c r="C166" i="39"/>
  <c r="C170" i="39"/>
  <c r="C176" i="39"/>
  <c r="C180" i="39"/>
  <c r="C183" i="39"/>
  <c r="C190" i="39"/>
  <c r="C193" i="39"/>
  <c r="C197" i="39"/>
  <c r="C200" i="39"/>
  <c r="C204" i="39"/>
  <c r="C205" i="39"/>
  <c r="C206" i="39"/>
  <c r="C7" i="39"/>
  <c r="C12" i="39"/>
  <c r="C28" i="39"/>
  <c r="C37" i="39"/>
  <c r="C44" i="39"/>
  <c r="C73" i="39"/>
  <c r="C80" i="39"/>
  <c r="C108" i="39"/>
  <c r="C115" i="39"/>
  <c r="C122" i="39"/>
  <c r="C129" i="39"/>
  <c r="C138" i="39"/>
  <c r="C145" i="39"/>
  <c r="C163" i="39"/>
  <c r="C16" i="39"/>
  <c r="C32" i="39"/>
  <c r="C41" i="39"/>
  <c r="C48" i="39"/>
  <c r="C57" i="39"/>
  <c r="C112" i="39"/>
  <c r="C133" i="39"/>
  <c r="C167" i="39"/>
  <c r="C11" i="39"/>
  <c r="C20" i="39"/>
  <c r="C61" i="39"/>
  <c r="C79" i="39"/>
  <c r="C93" i="39"/>
  <c r="C100" i="39"/>
  <c r="C137" i="39"/>
  <c r="C155" i="39"/>
  <c r="C171" i="39"/>
  <c r="C187" i="39"/>
  <c r="C194" i="39"/>
  <c r="C201" i="39"/>
  <c r="C76" i="39"/>
  <c r="C83" i="39"/>
  <c r="C90" i="39"/>
  <c r="C97" i="39"/>
  <c r="C104" i="39"/>
  <c r="C125" i="39"/>
  <c r="C49" i="39"/>
  <c r="C141" i="39"/>
  <c r="C177" i="39"/>
  <c r="C184" i="39"/>
  <c r="C191" i="39"/>
  <c r="C198" i="39"/>
  <c r="C65" i="39"/>
  <c r="C159" i="39"/>
  <c r="C24" i="39"/>
  <c r="C11" i="40"/>
  <c r="C15" i="40"/>
  <c r="C19" i="40"/>
  <c r="C23" i="40"/>
  <c r="C27" i="40"/>
  <c r="C31" i="40"/>
  <c r="C35" i="40"/>
  <c r="C39" i="40"/>
  <c r="C43" i="40"/>
  <c r="C47" i="40"/>
  <c r="C51" i="40"/>
  <c r="C55" i="40"/>
  <c r="C59" i="40"/>
  <c r="C63" i="40"/>
  <c r="C67" i="40"/>
  <c r="C71" i="40"/>
  <c r="C75" i="40"/>
  <c r="C79" i="40"/>
  <c r="C83" i="40"/>
  <c r="C87" i="40"/>
  <c r="C91" i="40"/>
  <c r="C95" i="40"/>
  <c r="C99" i="40"/>
  <c r="C103" i="40"/>
  <c r="C107" i="40"/>
  <c r="C111" i="40"/>
  <c r="C115" i="40"/>
  <c r="C119" i="40"/>
  <c r="C123" i="40"/>
  <c r="C127" i="40"/>
  <c r="C131" i="40"/>
  <c r="C135" i="40"/>
  <c r="C139" i="40"/>
  <c r="C143" i="40"/>
  <c r="C147" i="40"/>
  <c r="C151" i="40"/>
  <c r="C155" i="40"/>
  <c r="C159" i="40"/>
  <c r="C163" i="40"/>
  <c r="C167" i="40"/>
  <c r="C171" i="40"/>
  <c r="C175" i="40"/>
  <c r="C179" i="40"/>
  <c r="C183" i="40"/>
  <c r="C187" i="40"/>
  <c r="C191" i="40"/>
  <c r="C195" i="40"/>
  <c r="C199" i="40"/>
  <c r="C203" i="40"/>
  <c r="C207" i="40"/>
  <c r="C12" i="40"/>
  <c r="C16" i="40"/>
  <c r="C20" i="40"/>
  <c r="C24" i="40"/>
  <c r="C28" i="40"/>
  <c r="C32" i="40"/>
  <c r="C36" i="40"/>
  <c r="C40" i="40"/>
  <c r="C44" i="40"/>
  <c r="C48" i="40"/>
  <c r="C52" i="40"/>
  <c r="C56" i="40"/>
  <c r="C60" i="40"/>
  <c r="C64" i="40"/>
  <c r="C68" i="40"/>
  <c r="C72" i="40"/>
  <c r="C76" i="40"/>
  <c r="C80" i="40"/>
  <c r="C84" i="40"/>
  <c r="C88" i="40"/>
  <c r="C92" i="40"/>
  <c r="C96" i="40"/>
  <c r="C100" i="40"/>
  <c r="C104" i="40"/>
  <c r="C108" i="40"/>
  <c r="C112" i="40"/>
  <c r="C116" i="40"/>
  <c r="C120" i="40"/>
  <c r="C124" i="40"/>
  <c r="C128" i="40"/>
  <c r="C132" i="40"/>
  <c r="C136" i="40"/>
  <c r="C140" i="40"/>
  <c r="C144" i="40"/>
  <c r="C148" i="40"/>
  <c r="C152" i="40"/>
  <c r="C156" i="40"/>
  <c r="C160" i="40"/>
  <c r="C164" i="40"/>
  <c r="C168" i="40"/>
  <c r="C172" i="40"/>
  <c r="C176" i="40"/>
  <c r="C180" i="40"/>
  <c r="C184" i="40"/>
  <c r="C188" i="40"/>
  <c r="C192" i="40"/>
  <c r="C196" i="40"/>
  <c r="C200" i="40"/>
  <c r="C204" i="40"/>
  <c r="C208" i="40"/>
  <c r="C9" i="40"/>
  <c r="C13" i="40"/>
  <c r="C17" i="40"/>
  <c r="C21" i="40"/>
  <c r="C25" i="40"/>
  <c r="C29" i="40"/>
  <c r="C33" i="40"/>
  <c r="C37" i="40"/>
  <c r="C41" i="40"/>
  <c r="C45" i="40"/>
  <c r="C49" i="40"/>
  <c r="C53" i="40"/>
  <c r="C57" i="40"/>
  <c r="C61" i="40"/>
  <c r="C65" i="40"/>
  <c r="C69" i="40"/>
  <c r="C73" i="40"/>
  <c r="C77" i="40"/>
  <c r="C81" i="40"/>
  <c r="C85" i="40"/>
  <c r="C89" i="40"/>
  <c r="C93" i="40"/>
  <c r="C97" i="40"/>
  <c r="C101" i="40"/>
  <c r="C105" i="40"/>
  <c r="C109" i="40"/>
  <c r="C113" i="40"/>
  <c r="C117" i="40"/>
  <c r="C121" i="40"/>
  <c r="C125" i="40"/>
  <c r="C129" i="40"/>
  <c r="C133" i="40"/>
  <c r="C137" i="40"/>
  <c r="C141" i="40"/>
  <c r="C145" i="40"/>
  <c r="C149" i="40"/>
  <c r="C153" i="40"/>
  <c r="C157" i="40"/>
  <c r="C161" i="40"/>
  <c r="C165" i="40"/>
  <c r="C169" i="40"/>
  <c r="C173" i="40"/>
  <c r="C177" i="40"/>
  <c r="C181" i="40"/>
  <c r="C185" i="40"/>
  <c r="C189" i="40"/>
  <c r="C193" i="40"/>
  <c r="C197" i="40"/>
  <c r="C201" i="40"/>
  <c r="C205" i="40"/>
  <c r="C18" i="40"/>
  <c r="C34" i="40"/>
  <c r="C50" i="40"/>
  <c r="C66" i="40"/>
  <c r="C82" i="40"/>
  <c r="C98" i="40"/>
  <c r="C114" i="40"/>
  <c r="C130" i="40"/>
  <c r="C146" i="40"/>
  <c r="C162" i="40"/>
  <c r="C178" i="40"/>
  <c r="C194" i="40"/>
  <c r="C22" i="40"/>
  <c r="C38" i="40"/>
  <c r="C54" i="40"/>
  <c r="C70" i="40"/>
  <c r="C86" i="40"/>
  <c r="C102" i="40"/>
  <c r="C118" i="40"/>
  <c r="C134" i="40"/>
  <c r="C150" i="40"/>
  <c r="C166" i="40"/>
  <c r="C182" i="40"/>
  <c r="C198" i="40"/>
  <c r="C10" i="40"/>
  <c r="C26" i="40"/>
  <c r="C42" i="40"/>
  <c r="C58" i="40"/>
  <c r="C74" i="40"/>
  <c r="C90" i="40"/>
  <c r="C106" i="40"/>
  <c r="C122" i="40"/>
  <c r="C138" i="40"/>
  <c r="C154" i="40"/>
  <c r="C170" i="40"/>
  <c r="C186" i="40"/>
  <c r="C202" i="40"/>
  <c r="C46" i="40"/>
  <c r="C110" i="40"/>
  <c r="C174" i="40"/>
  <c r="C62" i="40"/>
  <c r="C126" i="40"/>
  <c r="C190" i="40"/>
  <c r="C14" i="40"/>
  <c r="C78" i="40"/>
  <c r="C142" i="40"/>
  <c r="C206" i="40"/>
  <c r="C158" i="40"/>
  <c r="C30" i="40"/>
  <c r="C94" i="40"/>
  <c r="C149" i="10"/>
  <c r="C123" i="10"/>
  <c r="C125" i="10"/>
  <c r="C155" i="10"/>
  <c r="C228" i="10"/>
  <c r="C171" i="10"/>
  <c r="C140" i="10"/>
  <c r="E140" i="10" s="1"/>
  <c r="C126" i="10"/>
  <c r="C172" i="10"/>
  <c r="C142" i="10"/>
  <c r="C180" i="10"/>
  <c r="C209" i="10"/>
  <c r="C124" i="10"/>
  <c r="C136" i="10"/>
  <c r="E136" i="10" s="1"/>
  <c r="C138" i="10"/>
  <c r="E138" i="10" s="1"/>
  <c r="C153" i="10"/>
  <c r="C181" i="10"/>
  <c r="C163" i="10"/>
  <c r="C166" i="10"/>
  <c r="C134" i="10"/>
  <c r="E134" i="10" s="1"/>
  <c r="C215" i="10"/>
  <c r="C133" i="10"/>
  <c r="E133" i="10" s="1"/>
  <c r="C143" i="10"/>
  <c r="C161" i="10"/>
  <c r="C312" i="10"/>
  <c r="C139" i="10"/>
  <c r="E139" i="10" s="1"/>
  <c r="C287" i="10"/>
  <c r="C202" i="10"/>
  <c r="E202" i="10" s="1"/>
  <c r="C170" i="10"/>
  <c r="C310" i="10"/>
  <c r="C237" i="10"/>
  <c r="C128" i="10"/>
  <c r="C229" i="10"/>
  <c r="C131" i="10"/>
  <c r="E131" i="10" s="1"/>
  <c r="C201" i="10"/>
  <c r="E201" i="10" s="1"/>
  <c r="C286" i="10"/>
  <c r="C127" i="10"/>
  <c r="C151" i="10"/>
  <c r="C281" i="10"/>
  <c r="C298" i="10"/>
  <c r="C309" i="10"/>
  <c r="C293" i="10"/>
  <c r="C303" i="10"/>
  <c r="E303" i="10" s="1"/>
  <c r="C238" i="10"/>
  <c r="C260" i="10"/>
  <c r="C265" i="10"/>
  <c r="E265" i="10" s="1"/>
  <c r="C261" i="10"/>
  <c r="C196" i="10"/>
  <c r="C236" i="10"/>
  <c r="C191" i="10"/>
  <c r="C320" i="10"/>
  <c r="E320" i="10" s="1"/>
  <c r="C253" i="10"/>
  <c r="C280" i="10"/>
  <c r="C232" i="10"/>
  <c r="C177" i="10"/>
  <c r="C203" i="10"/>
  <c r="C274" i="10"/>
  <c r="E274" i="10" s="1"/>
  <c r="C184" i="10"/>
  <c r="C199" i="10"/>
  <c r="C165" i="10"/>
  <c r="C186" i="10"/>
  <c r="C256" i="10"/>
  <c r="C234" i="10"/>
  <c r="C141" i="10"/>
  <c r="C193" i="10"/>
  <c r="C239" i="10"/>
  <c r="E239" i="10" s="1"/>
  <c r="C159" i="10"/>
  <c r="C157" i="10"/>
  <c r="C179" i="10"/>
  <c r="C313" i="10"/>
  <c r="C241" i="10"/>
  <c r="C146" i="10"/>
  <c r="C257" i="10"/>
  <c r="C185" i="10"/>
  <c r="C304" i="10"/>
  <c r="E304" i="10" s="1"/>
  <c r="C195" i="10"/>
  <c r="C189" i="10"/>
  <c r="C208" i="10"/>
  <c r="C160" i="10"/>
  <c r="C321" i="10"/>
  <c r="C222" i="10"/>
  <c r="C267" i="10"/>
  <c r="C319" i="10"/>
  <c r="E319" i="10" s="1"/>
  <c r="C198" i="10"/>
  <c r="C301" i="10"/>
  <c r="C245" i="10"/>
  <c r="C270" i="10"/>
  <c r="E270" i="10" s="1"/>
  <c r="C217" i="10"/>
  <c r="C278" i="10"/>
  <c r="E278" i="10" s="1"/>
  <c r="C221" i="10"/>
  <c r="C258" i="10"/>
  <c r="C213" i="10"/>
  <c r="E213" i="10" s="1"/>
  <c r="C295" i="10"/>
  <c r="C192" i="10"/>
  <c r="C188" i="10"/>
  <c r="C289" i="10"/>
  <c r="C266" i="10"/>
  <c r="E266" i="10" s="1"/>
  <c r="C291" i="10"/>
  <c r="C264" i="10"/>
  <c r="C240" i="10"/>
  <c r="C290" i="10"/>
  <c r="C316" i="10"/>
  <c r="E316" i="10" s="1"/>
  <c r="C271" i="10"/>
  <c r="E271" i="10" s="1"/>
  <c r="C214" i="10"/>
  <c r="E214" i="10" s="1"/>
  <c r="C259" i="10"/>
  <c r="C164" i="10"/>
  <c r="C200" i="10"/>
  <c r="C297" i="10"/>
  <c r="C255" i="10"/>
  <c r="C272" i="10"/>
  <c r="E272" i="10" s="1"/>
  <c r="C314" i="10"/>
  <c r="C156" i="10"/>
  <c r="C152" i="10"/>
  <c r="C273" i="10"/>
  <c r="E273" i="10" s="1"/>
  <c r="C235" i="10"/>
  <c r="C169" i="10"/>
  <c r="C132" i="10"/>
  <c r="E132" i="10" s="1"/>
  <c r="C212" i="10"/>
  <c r="C300" i="10"/>
  <c r="C144" i="10"/>
  <c r="C275" i="10"/>
  <c r="C130" i="10"/>
  <c r="E130" i="10" s="1"/>
  <c r="C194" i="10"/>
  <c r="C219" i="10"/>
  <c r="C231" i="10"/>
  <c r="C150" i="10"/>
  <c r="C263" i="10"/>
  <c r="C249" i="10"/>
  <c r="C167" i="10"/>
  <c r="C226" i="10"/>
  <c r="C282" i="10"/>
  <c r="C223" i="10"/>
  <c r="C174" i="10"/>
  <c r="C254" i="10"/>
  <c r="C244" i="10"/>
  <c r="C216" i="10"/>
  <c r="C158" i="10"/>
  <c r="C137" i="10"/>
  <c r="E137" i="10" s="1"/>
  <c r="C173" i="10"/>
  <c r="C269" i="10"/>
  <c r="E269" i="10" s="1"/>
  <c r="C183" i="10"/>
  <c r="C210" i="10"/>
  <c r="C285" i="10"/>
  <c r="C148" i="10"/>
  <c r="C317" i="10"/>
  <c r="E317" i="10" s="1"/>
  <c r="C162" i="10"/>
  <c r="C182" i="10"/>
  <c r="C154" i="10"/>
  <c r="C277" i="10"/>
  <c r="E277" i="10" s="1"/>
  <c r="C122" i="10"/>
  <c r="C176" i="10"/>
  <c r="C220" i="10"/>
  <c r="C307" i="10"/>
  <c r="C268" i="10"/>
  <c r="E268" i="10" s="1"/>
  <c r="C187" i="10"/>
  <c r="C279" i="10"/>
  <c r="E279" i="10" s="1"/>
  <c r="C248" i="10"/>
  <c r="C315" i="10"/>
  <c r="E315" i="10" s="1"/>
  <c r="C218" i="10"/>
  <c r="C306" i="10"/>
  <c r="E306" i="10" s="1"/>
  <c r="C205" i="10"/>
  <c r="C225" i="10"/>
  <c r="C262" i="10"/>
  <c r="C276" i="10"/>
  <c r="E276" i="10" s="1"/>
  <c r="C246" i="10"/>
  <c r="C288" i="10"/>
  <c r="C250" i="10"/>
  <c r="C233" i="10"/>
  <c r="C252" i="10"/>
  <c r="C251" i="10"/>
  <c r="C227" i="10"/>
  <c r="E227" i="10" s="1"/>
  <c r="C211" i="10"/>
  <c r="C207" i="10"/>
  <c r="C302" i="10"/>
  <c r="C311" i="10"/>
  <c r="C308" i="10"/>
  <c r="C230" i="10"/>
  <c r="C305" i="10"/>
  <c r="E305" i="10" s="1"/>
  <c r="C224" i="10"/>
  <c r="C296" i="10"/>
  <c r="C175" i="10"/>
  <c r="C243" i="10"/>
  <c r="C190" i="10"/>
  <c r="C206" i="10"/>
  <c r="C292" i="10"/>
  <c r="C299" i="10"/>
  <c r="C284" i="10"/>
  <c r="C168" i="10"/>
  <c r="C318" i="10"/>
  <c r="E318" i="10" s="1"/>
  <c r="C135" i="10"/>
  <c r="E135" i="10" s="1"/>
  <c r="C242" i="10"/>
  <c r="C147" i="10"/>
  <c r="C247" i="10"/>
  <c r="C204" i="10"/>
  <c r="C283" i="10"/>
  <c r="C178" i="10"/>
  <c r="C145" i="10"/>
  <c r="C197" i="10"/>
  <c r="C294" i="10"/>
  <c r="F22" i="9" l="1"/>
  <c r="G1335" i="37"/>
  <c r="O231" i="38" s="1"/>
  <c r="K4521" i="41"/>
  <c r="I4521" i="41"/>
  <c r="H4521" i="41"/>
  <c r="J4521" i="41"/>
  <c r="G4521" i="41"/>
  <c r="D4522" i="41"/>
  <c r="E4522" i="41" s="1"/>
  <c r="F4522" i="41" s="1"/>
  <c r="K4522" i="41" l="1"/>
  <c r="J4522" i="41"/>
  <c r="I4522" i="41"/>
  <c r="G4522" i="41"/>
  <c r="H4522" i="41"/>
  <c r="D4523" i="41"/>
  <c r="E4523" i="41" s="1"/>
  <c r="F4523" i="41" s="1"/>
  <c r="H4523" i="41" l="1"/>
  <c r="G4523" i="41"/>
  <c r="K4523" i="41"/>
  <c r="J4523" i="41"/>
  <c r="I4523" i="41"/>
  <c r="D4524" i="41"/>
  <c r="E4524" i="41" s="1"/>
  <c r="F4524" i="41" s="1"/>
  <c r="J4524" i="41" l="1"/>
  <c r="I4524" i="41"/>
  <c r="G4524" i="41"/>
  <c r="K4524" i="41"/>
  <c r="H4524" i="41"/>
  <c r="D4525" i="41"/>
  <c r="E4525" i="41" s="1"/>
  <c r="F4525" i="41" s="1"/>
  <c r="K4525" i="41" l="1"/>
  <c r="I4525" i="41"/>
  <c r="H4525" i="41"/>
  <c r="J4525" i="41"/>
  <c r="G4525" i="41"/>
  <c r="D4526" i="41"/>
  <c r="E4526" i="41" s="1"/>
  <c r="F4526" i="41" s="1"/>
  <c r="K4526" i="41" l="1"/>
  <c r="J4526" i="41"/>
  <c r="I4526" i="41"/>
  <c r="H4526" i="41"/>
  <c r="G4526" i="41"/>
  <c r="D4527" i="41"/>
  <c r="E4527" i="41" s="1"/>
  <c r="F4527" i="41" s="1"/>
  <c r="H4527" i="41" l="1"/>
  <c r="G4527" i="41"/>
  <c r="K4527" i="41"/>
  <c r="I4527" i="41"/>
  <c r="J4527" i="41"/>
  <c r="D4528" i="41"/>
  <c r="E4528" i="41" s="1"/>
  <c r="F4528" i="41" s="1"/>
  <c r="J4528" i="41" l="1"/>
  <c r="I4528" i="41"/>
  <c r="G4528" i="41"/>
  <c r="H4528" i="41"/>
  <c r="K4528" i="41"/>
  <c r="D4529" i="41"/>
  <c r="E4529" i="41" s="1"/>
  <c r="F4529" i="41" s="1"/>
  <c r="K4529" i="41" l="1"/>
  <c r="I4529" i="41"/>
  <c r="H4529" i="41"/>
  <c r="J4529" i="41"/>
  <c r="G4529" i="41"/>
  <c r="D4530" i="41"/>
  <c r="E4530" i="41" s="1"/>
  <c r="F4530" i="41" s="1"/>
  <c r="K4530" i="41" l="1"/>
  <c r="J4530" i="41"/>
  <c r="I4530" i="41"/>
  <c r="G4530" i="41"/>
  <c r="H4530" i="41"/>
  <c r="D4531" i="41"/>
  <c r="E4531" i="41" s="1"/>
  <c r="F4531" i="41" s="1"/>
  <c r="H4531" i="41" l="1"/>
  <c r="G4531" i="41"/>
  <c r="K4531" i="41"/>
  <c r="J4531" i="41"/>
  <c r="I4531" i="41"/>
  <c r="D4532" i="41"/>
  <c r="E4532" i="41" s="1"/>
  <c r="F4532" i="41" s="1"/>
  <c r="N81" i="10"/>
  <c r="R81" i="10"/>
  <c r="J81" i="10"/>
  <c r="Q81" i="10"/>
  <c r="H81" i="10"/>
  <c r="O81" i="10"/>
  <c r="P81" i="10"/>
  <c r="K81" i="10"/>
  <c r="I81" i="10"/>
  <c r="S81" i="10"/>
  <c r="G81" i="10"/>
  <c r="J4532" i="41" l="1"/>
  <c r="I4532" i="41"/>
  <c r="G4532" i="41"/>
  <c r="K4532" i="41"/>
  <c r="H4532" i="41"/>
  <c r="D4533" i="41"/>
  <c r="E4533" i="41" s="1"/>
  <c r="F4533" i="41" s="1"/>
  <c r="K82" i="10"/>
  <c r="K95" i="10"/>
  <c r="K91" i="10"/>
  <c r="F82" i="10"/>
  <c r="F95" i="10"/>
  <c r="F91" i="10"/>
  <c r="N95" i="10"/>
  <c r="N92" i="10"/>
  <c r="G82" i="10"/>
  <c r="G95" i="10"/>
  <c r="G91" i="10"/>
  <c r="P95" i="10"/>
  <c r="P92" i="10"/>
  <c r="Q95" i="10"/>
  <c r="Q92" i="10"/>
  <c r="S95" i="10"/>
  <c r="S92" i="10"/>
  <c r="O95" i="10"/>
  <c r="O92" i="10"/>
  <c r="J82" i="10"/>
  <c r="J95" i="10"/>
  <c r="J91" i="10"/>
  <c r="I82" i="10"/>
  <c r="I95" i="10"/>
  <c r="I91" i="10"/>
  <c r="H82" i="10"/>
  <c r="H95" i="10"/>
  <c r="H91" i="10"/>
  <c r="R95" i="10"/>
  <c r="R92" i="10"/>
  <c r="S83" i="10"/>
  <c r="S84" i="10"/>
  <c r="Q84" i="10"/>
  <c r="Q83" i="10"/>
  <c r="R84" i="10"/>
  <c r="R83" i="10"/>
  <c r="N83" i="10"/>
  <c r="N84" i="10"/>
  <c r="P83" i="10"/>
  <c r="P84" i="10"/>
  <c r="O84" i="10"/>
  <c r="O83" i="10"/>
  <c r="K4533" i="41" l="1"/>
  <c r="I4533" i="41"/>
  <c r="H4533" i="41"/>
  <c r="J4533" i="41"/>
  <c r="G4533" i="41"/>
  <c r="D4534" i="41"/>
  <c r="E4534" i="41" s="1"/>
  <c r="F4534" i="41" s="1"/>
  <c r="F229" i="10" a="1"/>
  <c r="F206" i="10" a="1"/>
  <c r="F230" i="10" a="1"/>
  <c r="F203" i="10" a="1"/>
  <c r="F231" i="10" a="1"/>
  <c r="F314" i="10" a="1"/>
  <c r="F228" i="10" a="1"/>
  <c r="F232" i="10" a="1"/>
  <c r="F313" i="10" a="1"/>
  <c r="F204" i="10" a="1"/>
  <c r="F205" i="10" a="1"/>
  <c r="F217" i="10" a="1"/>
  <c r="F220" i="10" a="1"/>
  <c r="F218" i="10" a="1"/>
  <c r="F302" i="10" a="1"/>
  <c r="F194" i="10" a="1"/>
  <c r="F301" i="10" a="1"/>
  <c r="F216" i="10" a="1"/>
  <c r="F185" i="10" a="1"/>
  <c r="F311" i="10" a="1"/>
  <c r="F210" i="10" a="1"/>
  <c r="F238" i="10" a="1"/>
  <c r="F235" i="10" a="1"/>
  <c r="F209" i="10" a="1"/>
  <c r="F211" i="10" a="1"/>
  <c r="F310" i="10" a="1"/>
  <c r="F208" i="10" a="1"/>
  <c r="F207" i="10" a="1"/>
  <c r="F236" i="10" a="1"/>
  <c r="F308" i="10" a="1"/>
  <c r="F234" i="10" a="1"/>
  <c r="F233" i="10" a="1"/>
  <c r="F307" i="10" a="1"/>
  <c r="F309" i="10" a="1"/>
  <c r="F312" i="10" a="1"/>
  <c r="F212" i="10" a="1"/>
  <c r="F237" i="10" a="1"/>
  <c r="F200" i="10" a="1"/>
  <c r="F225" i="10" a="1"/>
  <c r="F223" i="10" a="1"/>
  <c r="F299" i="10" a="1"/>
  <c r="F222" i="10" a="1"/>
  <c r="F296" i="10" a="1"/>
  <c r="F198" i="10" a="1"/>
  <c r="F221" i="10" a="1"/>
  <c r="F226" i="10" a="1"/>
  <c r="F298" i="10" a="1"/>
  <c r="F295" i="10" a="1"/>
  <c r="F199" i="10" a="1"/>
  <c r="F297" i="10" a="1"/>
  <c r="F196" i="10" a="1"/>
  <c r="F195" i="10" a="1"/>
  <c r="F197" i="10" a="1"/>
  <c r="F224" i="10" a="1"/>
  <c r="F300" i="10" a="1"/>
  <c r="F267" i="10" a="1"/>
  <c r="F122" i="10" a="1"/>
  <c r="F125" i="10" a="1"/>
  <c r="F123" i="10" a="1"/>
  <c r="F124" i="10" a="1"/>
  <c r="F290" i="10" a="1"/>
  <c r="K4534" i="41" l="1"/>
  <c r="J4534" i="41"/>
  <c r="I4534" i="41"/>
  <c r="H4534" i="41"/>
  <c r="G4534" i="41"/>
  <c r="D4535" i="41"/>
  <c r="E4535" i="41" s="1"/>
  <c r="F4535" i="41" s="1"/>
  <c r="S185" i="10"/>
  <c r="AI185" i="10"/>
  <c r="AY185" i="10"/>
  <c r="P185" i="10"/>
  <c r="AF185" i="10"/>
  <c r="AV185" i="10"/>
  <c r="Q185" i="10"/>
  <c r="AG185" i="10"/>
  <c r="AW185" i="10"/>
  <c r="N185" i="10"/>
  <c r="AD185" i="10"/>
  <c r="AT185" i="10"/>
  <c r="G185" i="10"/>
  <c r="W185" i="10"/>
  <c r="AM185" i="10"/>
  <c r="BC185" i="10"/>
  <c r="T185" i="10"/>
  <c r="AJ185" i="10"/>
  <c r="AZ185" i="10"/>
  <c r="U185" i="10"/>
  <c r="AK185" i="10"/>
  <c r="BA185" i="10"/>
  <c r="R185" i="10"/>
  <c r="AH185" i="10"/>
  <c r="AX185" i="10"/>
  <c r="K185" i="10"/>
  <c r="AA185" i="10"/>
  <c r="AQ185" i="10"/>
  <c r="H185" i="10"/>
  <c r="X185" i="10"/>
  <c r="AN185" i="10"/>
  <c r="I185" i="10"/>
  <c r="Y185" i="10"/>
  <c r="AO185" i="10"/>
  <c r="F185" i="10"/>
  <c r="V185" i="10"/>
  <c r="AL185" i="10"/>
  <c r="BB185" i="10"/>
  <c r="O185" i="10"/>
  <c r="AB185" i="10"/>
  <c r="AS185" i="10"/>
  <c r="AE185" i="10"/>
  <c r="AR185" i="10"/>
  <c r="J185" i="10"/>
  <c r="AC185" i="10"/>
  <c r="AU185" i="10"/>
  <c r="M185" i="10"/>
  <c r="Z185" i="10"/>
  <c r="L185" i="10"/>
  <c r="AP185" i="10"/>
  <c r="N216" i="10"/>
  <c r="AD216" i="10"/>
  <c r="AT216" i="10"/>
  <c r="K216" i="10"/>
  <c r="AA216" i="10"/>
  <c r="AQ216" i="10"/>
  <c r="H216" i="10"/>
  <c r="X216" i="10"/>
  <c r="AN216" i="10"/>
  <c r="I216" i="10"/>
  <c r="Y216" i="10"/>
  <c r="AO216" i="10"/>
  <c r="R216" i="10"/>
  <c r="AL216" i="10"/>
  <c r="G216" i="10"/>
  <c r="AE216" i="10"/>
  <c r="AY216" i="10"/>
  <c r="T216" i="10"/>
  <c r="AR216" i="10"/>
  <c r="Q216" i="10"/>
  <c r="AK216" i="10"/>
  <c r="V216" i="10"/>
  <c r="AP216" i="10"/>
  <c r="O216" i="10"/>
  <c r="AI216" i="10"/>
  <c r="BC216" i="10"/>
  <c r="AB216" i="10"/>
  <c r="AV216" i="10"/>
  <c r="U216" i="10"/>
  <c r="AS216" i="10"/>
  <c r="F216" i="10"/>
  <c r="Z216" i="10"/>
  <c r="AX216" i="10"/>
  <c r="S216" i="10"/>
  <c r="AM216" i="10"/>
  <c r="L216" i="10"/>
  <c r="AF216" i="10"/>
  <c r="AZ216" i="10"/>
  <c r="AC216" i="10"/>
  <c r="AW216" i="10"/>
  <c r="J216" i="10"/>
  <c r="AU216" i="10"/>
  <c r="AG216" i="10"/>
  <c r="AH216" i="10"/>
  <c r="P216" i="10"/>
  <c r="BA216" i="10"/>
  <c r="BB216" i="10"/>
  <c r="AJ216" i="10"/>
  <c r="M216" i="10"/>
  <c r="W216" i="10"/>
  <c r="P218" i="10"/>
  <c r="AF218" i="10"/>
  <c r="AV218" i="10"/>
  <c r="Q218" i="10"/>
  <c r="AG218" i="10"/>
  <c r="AW218" i="10"/>
  <c r="N218" i="10"/>
  <c r="AD218" i="10"/>
  <c r="AT218" i="10"/>
  <c r="K218" i="10"/>
  <c r="AA218" i="10"/>
  <c r="AQ218" i="10"/>
  <c r="L218" i="10"/>
  <c r="AJ218" i="10"/>
  <c r="I218" i="10"/>
  <c r="AC218" i="10"/>
  <c r="BA218" i="10"/>
  <c r="V218" i="10"/>
  <c r="AP218" i="10"/>
  <c r="O218" i="10"/>
  <c r="X218" i="10"/>
  <c r="AR218" i="10"/>
  <c r="U218" i="10"/>
  <c r="AO218" i="10"/>
  <c r="J218" i="10"/>
  <c r="AH218" i="10"/>
  <c r="BB218" i="10"/>
  <c r="W218" i="10"/>
  <c r="H218" i="10"/>
  <c r="AB218" i="10"/>
  <c r="AZ218" i="10"/>
  <c r="Y218" i="10"/>
  <c r="AS218" i="10"/>
  <c r="R218" i="10"/>
  <c r="AL218" i="10"/>
  <c r="G218" i="10"/>
  <c r="AE218" i="10"/>
  <c r="AY218" i="10"/>
  <c r="M218" i="10"/>
  <c r="AX218" i="10"/>
  <c r="AU218" i="10"/>
  <c r="AK218" i="10"/>
  <c r="S218" i="10"/>
  <c r="BC218" i="10"/>
  <c r="T218" i="10"/>
  <c r="F218" i="10"/>
  <c r="AI218" i="10"/>
  <c r="AN218" i="10"/>
  <c r="Z218" i="10"/>
  <c r="AM218" i="10"/>
  <c r="J232" i="10"/>
  <c r="Z232" i="10"/>
  <c r="AP232" i="10"/>
  <c r="G232" i="10"/>
  <c r="W232" i="10"/>
  <c r="AM232" i="10"/>
  <c r="BC232" i="10"/>
  <c r="T232" i="10"/>
  <c r="AJ232" i="10"/>
  <c r="AZ232" i="10"/>
  <c r="U232" i="10"/>
  <c r="AK232" i="10"/>
  <c r="BA232" i="10"/>
  <c r="N232" i="10"/>
  <c r="AH232" i="10"/>
  <c r="BB232" i="10"/>
  <c r="AA232" i="10"/>
  <c r="AU232" i="10"/>
  <c r="P232" i="10"/>
  <c r="AN232" i="10"/>
  <c r="M232" i="10"/>
  <c r="AG232" i="10"/>
  <c r="F232" i="10"/>
  <c r="AD232" i="10"/>
  <c r="AX232" i="10"/>
  <c r="S232" i="10"/>
  <c r="AQ232" i="10"/>
  <c r="L232" i="10"/>
  <c r="AF232" i="10"/>
  <c r="I232" i="10"/>
  <c r="AC232" i="10"/>
  <c r="AW232" i="10"/>
  <c r="AT232" i="10"/>
  <c r="AI232" i="10"/>
  <c r="AB232" i="10"/>
  <c r="Y232" i="10"/>
  <c r="V232" i="10"/>
  <c r="O232" i="10"/>
  <c r="H232" i="10"/>
  <c r="AV232" i="10"/>
  <c r="AS232" i="10"/>
  <c r="K232" i="10"/>
  <c r="AR232" i="10"/>
  <c r="R232" i="10"/>
  <c r="AY232" i="10"/>
  <c r="AO232" i="10"/>
  <c r="AL232" i="10"/>
  <c r="X232" i="10"/>
  <c r="AE232" i="10"/>
  <c r="Q232" i="10"/>
  <c r="U203" i="10"/>
  <c r="AK203" i="10"/>
  <c r="BA203" i="10"/>
  <c r="R203" i="10"/>
  <c r="AH203" i="10"/>
  <c r="AX203" i="10"/>
  <c r="O203" i="10"/>
  <c r="AE203" i="10"/>
  <c r="AU203" i="10"/>
  <c r="L203" i="10"/>
  <c r="AB203" i="10"/>
  <c r="AR203" i="10"/>
  <c r="M203" i="10"/>
  <c r="AC203" i="10"/>
  <c r="AS203" i="10"/>
  <c r="J203" i="10"/>
  <c r="Z203" i="10"/>
  <c r="AP203" i="10"/>
  <c r="G203" i="10"/>
  <c r="W203" i="10"/>
  <c r="AM203" i="10"/>
  <c r="BC203" i="10"/>
  <c r="T203" i="10"/>
  <c r="AJ203" i="10"/>
  <c r="AZ203" i="10"/>
  <c r="I203" i="10"/>
  <c r="AO203" i="10"/>
  <c r="V203" i="10"/>
  <c r="BB203" i="10"/>
  <c r="AI203" i="10"/>
  <c r="P203" i="10"/>
  <c r="AV203" i="10"/>
  <c r="AG203" i="10"/>
  <c r="N203" i="10"/>
  <c r="AT203" i="10"/>
  <c r="AA203" i="10"/>
  <c r="H203" i="10"/>
  <c r="AN203" i="10"/>
  <c r="Y203" i="10"/>
  <c r="AL203" i="10"/>
  <c r="AY203" i="10"/>
  <c r="F203" i="10"/>
  <c r="S203" i="10"/>
  <c r="AF203" i="10"/>
  <c r="AD203" i="10"/>
  <c r="Q203" i="10"/>
  <c r="AQ203" i="10"/>
  <c r="AW203" i="10"/>
  <c r="X203" i="10"/>
  <c r="K203" i="10"/>
  <c r="S301" i="10"/>
  <c r="AI301" i="10"/>
  <c r="AY301" i="10"/>
  <c r="P301" i="10"/>
  <c r="AF301" i="10"/>
  <c r="AV301" i="10"/>
  <c r="Q301" i="10"/>
  <c r="AG301" i="10"/>
  <c r="AW301" i="10"/>
  <c r="N301" i="10"/>
  <c r="AD301" i="10"/>
  <c r="AT301" i="10"/>
  <c r="G301" i="10"/>
  <c r="AA301" i="10"/>
  <c r="AU301" i="10"/>
  <c r="T301" i="10"/>
  <c r="AN301" i="10"/>
  <c r="M301" i="10"/>
  <c r="AK301" i="10"/>
  <c r="F301" i="10"/>
  <c r="Z301" i="10"/>
  <c r="AX301" i="10"/>
  <c r="W301" i="10"/>
  <c r="AQ301" i="10"/>
  <c r="L301" i="10"/>
  <c r="AJ301" i="10"/>
  <c r="I301" i="10"/>
  <c r="AC301" i="10"/>
  <c r="BA301" i="10"/>
  <c r="V301" i="10"/>
  <c r="AP301" i="10"/>
  <c r="O301" i="10"/>
  <c r="H301" i="10"/>
  <c r="AZ301" i="10"/>
  <c r="AS301" i="10"/>
  <c r="AL301" i="10"/>
  <c r="AM301" i="10"/>
  <c r="AB301" i="10"/>
  <c r="Y301" i="10"/>
  <c r="R301" i="10"/>
  <c r="AE301" i="10"/>
  <c r="U301" i="10"/>
  <c r="BB301" i="10"/>
  <c r="X301" i="10"/>
  <c r="J301" i="10"/>
  <c r="K301" i="10"/>
  <c r="AR301" i="10"/>
  <c r="AH301" i="10"/>
  <c r="AO301" i="10"/>
  <c r="BC301" i="10"/>
  <c r="J220" i="10"/>
  <c r="Z220" i="10"/>
  <c r="AP220" i="10"/>
  <c r="G220" i="10"/>
  <c r="W220" i="10"/>
  <c r="AM220" i="10"/>
  <c r="BC220" i="10"/>
  <c r="T220" i="10"/>
  <c r="AJ220" i="10"/>
  <c r="AZ220" i="10"/>
  <c r="U220" i="10"/>
  <c r="AK220" i="10"/>
  <c r="BA220" i="10"/>
  <c r="R220" i="10"/>
  <c r="AL220" i="10"/>
  <c r="K220" i="10"/>
  <c r="AE220" i="10"/>
  <c r="AY220" i="10"/>
  <c r="X220" i="10"/>
  <c r="AR220" i="10"/>
  <c r="Q220" i="10"/>
  <c r="AO220" i="10"/>
  <c r="N220" i="10"/>
  <c r="AH220" i="10"/>
  <c r="BB220" i="10"/>
  <c r="AA220" i="10"/>
  <c r="AU220" i="10"/>
  <c r="P220" i="10"/>
  <c r="AN220" i="10"/>
  <c r="M220" i="10"/>
  <c r="AG220" i="10"/>
  <c r="AD220" i="10"/>
  <c r="S220" i="10"/>
  <c r="L220" i="10"/>
  <c r="I220" i="10"/>
  <c r="AW220" i="10"/>
  <c r="F220" i="10"/>
  <c r="AX220" i="10"/>
  <c r="AQ220" i="10"/>
  <c r="AF220" i="10"/>
  <c r="AC220" i="10"/>
  <c r="AI220" i="10"/>
  <c r="Y220" i="10"/>
  <c r="AT220" i="10"/>
  <c r="AB220" i="10"/>
  <c r="O220" i="10"/>
  <c r="AV220" i="10"/>
  <c r="V220" i="10"/>
  <c r="H220" i="10"/>
  <c r="AS220" i="10"/>
  <c r="S205" i="10"/>
  <c r="AI205" i="10"/>
  <c r="AY205" i="10"/>
  <c r="P205" i="10"/>
  <c r="AF205" i="10"/>
  <c r="AV205" i="10"/>
  <c r="Q205" i="10"/>
  <c r="AG205" i="10"/>
  <c r="AW205" i="10"/>
  <c r="N205" i="10"/>
  <c r="AD205" i="10"/>
  <c r="AT205" i="10"/>
  <c r="O205" i="10"/>
  <c r="AE205" i="10"/>
  <c r="AU205" i="10"/>
  <c r="L205" i="10"/>
  <c r="AB205" i="10"/>
  <c r="AR205" i="10"/>
  <c r="M205" i="10"/>
  <c r="AC205" i="10"/>
  <c r="AS205" i="10"/>
  <c r="J205" i="10"/>
  <c r="Z205" i="10"/>
  <c r="AP205" i="10"/>
  <c r="AA205" i="10"/>
  <c r="H205" i="10"/>
  <c r="AN205" i="10"/>
  <c r="Y205" i="10"/>
  <c r="F205" i="10"/>
  <c r="AL205" i="10"/>
  <c r="K205" i="10"/>
  <c r="AQ205" i="10"/>
  <c r="X205" i="10"/>
  <c r="I205" i="10"/>
  <c r="AO205" i="10"/>
  <c r="V205" i="10"/>
  <c r="BB205" i="10"/>
  <c r="AM205" i="10"/>
  <c r="AZ205" i="10"/>
  <c r="R205" i="10"/>
  <c r="G205" i="10"/>
  <c r="T205" i="10"/>
  <c r="AK205" i="10"/>
  <c r="AX205" i="10"/>
  <c r="W205" i="10"/>
  <c r="AJ205" i="10"/>
  <c r="BA205" i="10"/>
  <c r="U205" i="10"/>
  <c r="AH205" i="10"/>
  <c r="BC205" i="10"/>
  <c r="F228" i="10"/>
  <c r="V228" i="10"/>
  <c r="AL228" i="10"/>
  <c r="BB228" i="10"/>
  <c r="S228" i="10"/>
  <c r="AI228" i="10"/>
  <c r="AY228" i="10"/>
  <c r="P228" i="10"/>
  <c r="AF228" i="10"/>
  <c r="AV228" i="10"/>
  <c r="Q228" i="10"/>
  <c r="AG228" i="10"/>
  <c r="AW228" i="10"/>
  <c r="N228" i="10"/>
  <c r="AH228" i="10"/>
  <c r="G228" i="10"/>
  <c r="AA228" i="10"/>
  <c r="AU228" i="10"/>
  <c r="T228" i="10"/>
  <c r="AN228" i="10"/>
  <c r="M228" i="10"/>
  <c r="AK228" i="10"/>
  <c r="Z228" i="10"/>
  <c r="AT228" i="10"/>
  <c r="O228" i="10"/>
  <c r="AM228" i="10"/>
  <c r="H228" i="10"/>
  <c r="AB228" i="10"/>
  <c r="AZ228" i="10"/>
  <c r="Y228" i="10"/>
  <c r="AS228" i="10"/>
  <c r="J228" i="10"/>
  <c r="AD228" i="10"/>
  <c r="AX228" i="10"/>
  <c r="W228" i="10"/>
  <c r="AQ228" i="10"/>
  <c r="L228" i="10"/>
  <c r="AJ228" i="10"/>
  <c r="I228" i="10"/>
  <c r="AC228" i="10"/>
  <c r="BA228" i="10"/>
  <c r="K228" i="10"/>
  <c r="AR228" i="10"/>
  <c r="AE228" i="10"/>
  <c r="U228" i="10"/>
  <c r="R228" i="10"/>
  <c r="BC228" i="10"/>
  <c r="AO228" i="10"/>
  <c r="AP228" i="10"/>
  <c r="X228" i="10"/>
  <c r="P230" i="10"/>
  <c r="AF230" i="10"/>
  <c r="AV230" i="10"/>
  <c r="Q230" i="10"/>
  <c r="AG230" i="10"/>
  <c r="AW230" i="10"/>
  <c r="N230" i="10"/>
  <c r="AD230" i="10"/>
  <c r="AT230" i="10"/>
  <c r="K230" i="10"/>
  <c r="AA230" i="10"/>
  <c r="AQ230" i="10"/>
  <c r="H230" i="10"/>
  <c r="X230" i="10"/>
  <c r="AN230" i="10"/>
  <c r="I230" i="10"/>
  <c r="Y230" i="10"/>
  <c r="AO230" i="10"/>
  <c r="F230" i="10"/>
  <c r="V230" i="10"/>
  <c r="AL230" i="10"/>
  <c r="BB230" i="10"/>
  <c r="S230" i="10"/>
  <c r="AI230" i="10"/>
  <c r="AY230" i="10"/>
  <c r="L230" i="10"/>
  <c r="AR230" i="10"/>
  <c r="AC230" i="10"/>
  <c r="J230" i="10"/>
  <c r="AP230" i="10"/>
  <c r="W230" i="10"/>
  <c r="BC230" i="10"/>
  <c r="AB230" i="10"/>
  <c r="M230" i="10"/>
  <c r="AS230" i="10"/>
  <c r="Z230" i="10"/>
  <c r="G230" i="10"/>
  <c r="AM230" i="10"/>
  <c r="AJ230" i="10"/>
  <c r="U230" i="10"/>
  <c r="BA230" i="10"/>
  <c r="AH230" i="10"/>
  <c r="O230" i="10"/>
  <c r="AU230" i="10"/>
  <c r="AK230" i="10"/>
  <c r="R230" i="10"/>
  <c r="T230" i="10"/>
  <c r="AX230" i="10"/>
  <c r="AZ230" i="10"/>
  <c r="AE230" i="10"/>
  <c r="T194" i="10"/>
  <c r="AJ194" i="10"/>
  <c r="AZ194" i="10"/>
  <c r="U194" i="10"/>
  <c r="AK194" i="10"/>
  <c r="BA194" i="10"/>
  <c r="R194" i="10"/>
  <c r="AH194" i="10"/>
  <c r="AX194" i="10"/>
  <c r="O194" i="10"/>
  <c r="AE194" i="10"/>
  <c r="AU194" i="10"/>
  <c r="L194" i="10"/>
  <c r="AB194" i="10"/>
  <c r="AR194" i="10"/>
  <c r="M194" i="10"/>
  <c r="AC194" i="10"/>
  <c r="AS194" i="10"/>
  <c r="J194" i="10"/>
  <c r="Z194" i="10"/>
  <c r="AP194" i="10"/>
  <c r="G194" i="10"/>
  <c r="W194" i="10"/>
  <c r="AM194" i="10"/>
  <c r="BC194" i="10"/>
  <c r="X194" i="10"/>
  <c r="I194" i="10"/>
  <c r="AO194" i="10"/>
  <c r="V194" i="10"/>
  <c r="BB194" i="10"/>
  <c r="AI194" i="10"/>
  <c r="H194" i="10"/>
  <c r="AN194" i="10"/>
  <c r="Y194" i="10"/>
  <c r="F194" i="10"/>
  <c r="AL194" i="10"/>
  <c r="S194" i="10"/>
  <c r="AY194" i="10"/>
  <c r="P194" i="10"/>
  <c r="AV194" i="10"/>
  <c r="AG194" i="10"/>
  <c r="N194" i="10"/>
  <c r="AT194" i="10"/>
  <c r="AA194" i="10"/>
  <c r="Q194" i="10"/>
  <c r="AQ194" i="10"/>
  <c r="AD194" i="10"/>
  <c r="AF194" i="10"/>
  <c r="K194" i="10"/>
  <c r="AW194" i="10"/>
  <c r="K217" i="10"/>
  <c r="AA217" i="10"/>
  <c r="AQ217" i="10"/>
  <c r="H217" i="10"/>
  <c r="X217" i="10"/>
  <c r="AN217" i="10"/>
  <c r="I217" i="10"/>
  <c r="Y217" i="10"/>
  <c r="AO217" i="10"/>
  <c r="F217" i="10"/>
  <c r="V217" i="10"/>
  <c r="AL217" i="10"/>
  <c r="BB217" i="10"/>
  <c r="O217" i="10"/>
  <c r="AE217" i="10"/>
  <c r="AU217" i="10"/>
  <c r="L217" i="10"/>
  <c r="AB217" i="10"/>
  <c r="AR217" i="10"/>
  <c r="M217" i="10"/>
  <c r="AC217" i="10"/>
  <c r="AS217" i="10"/>
  <c r="J217" i="10"/>
  <c r="Z217" i="10"/>
  <c r="AP217" i="10"/>
  <c r="S217" i="10"/>
  <c r="AI217" i="10"/>
  <c r="AY217" i="10"/>
  <c r="P217" i="10"/>
  <c r="AF217" i="10"/>
  <c r="AV217" i="10"/>
  <c r="Q217" i="10"/>
  <c r="AG217" i="10"/>
  <c r="AW217" i="10"/>
  <c r="N217" i="10"/>
  <c r="AD217" i="10"/>
  <c r="AT217" i="10"/>
  <c r="G217" i="10"/>
  <c r="T217" i="10"/>
  <c r="AK217" i="10"/>
  <c r="AX217" i="10"/>
  <c r="W217" i="10"/>
  <c r="AJ217" i="10"/>
  <c r="BA217" i="10"/>
  <c r="BC217" i="10"/>
  <c r="AH217" i="10"/>
  <c r="AM217" i="10"/>
  <c r="AZ217" i="10"/>
  <c r="R217" i="10"/>
  <c r="U217" i="10"/>
  <c r="N204" i="10"/>
  <c r="AD204" i="10"/>
  <c r="AT204" i="10"/>
  <c r="K204" i="10"/>
  <c r="AA204" i="10"/>
  <c r="AQ204" i="10"/>
  <c r="H204" i="10"/>
  <c r="X204" i="10"/>
  <c r="AN204" i="10"/>
  <c r="I204" i="10"/>
  <c r="Y204" i="10"/>
  <c r="AO204" i="10"/>
  <c r="V204" i="10"/>
  <c r="AP204" i="10"/>
  <c r="O204" i="10"/>
  <c r="AI204" i="10"/>
  <c r="BC204" i="10"/>
  <c r="AB204" i="10"/>
  <c r="AV204" i="10"/>
  <c r="U204" i="10"/>
  <c r="AS204" i="10"/>
  <c r="F204" i="10"/>
  <c r="Z204" i="10"/>
  <c r="AX204" i="10"/>
  <c r="S204" i="10"/>
  <c r="AM204" i="10"/>
  <c r="L204" i="10"/>
  <c r="AF204" i="10"/>
  <c r="AZ204" i="10"/>
  <c r="AC204" i="10"/>
  <c r="AW204" i="10"/>
  <c r="J204" i="10"/>
  <c r="AH204" i="10"/>
  <c r="BB204" i="10"/>
  <c r="W204" i="10"/>
  <c r="AU204" i="10"/>
  <c r="P204" i="10"/>
  <c r="AJ204" i="10"/>
  <c r="M204" i="10"/>
  <c r="AG204" i="10"/>
  <c r="BA204" i="10"/>
  <c r="AL204" i="10"/>
  <c r="T204" i="10"/>
  <c r="G204" i="10"/>
  <c r="AR204" i="10"/>
  <c r="AE204" i="10"/>
  <c r="Q204" i="10"/>
  <c r="AK204" i="10"/>
  <c r="R204" i="10"/>
  <c r="AY204" i="10"/>
  <c r="P314" i="10"/>
  <c r="AF314" i="10"/>
  <c r="AV314" i="10"/>
  <c r="Q314" i="10"/>
  <c r="AG314" i="10"/>
  <c r="AW314" i="10"/>
  <c r="N314" i="10"/>
  <c r="AD314" i="10"/>
  <c r="AT314" i="10"/>
  <c r="K314" i="10"/>
  <c r="AA314" i="10"/>
  <c r="AQ314" i="10"/>
  <c r="H314" i="10"/>
  <c r="AB314" i="10"/>
  <c r="AZ314" i="10"/>
  <c r="Y314" i="10"/>
  <c r="AS314" i="10"/>
  <c r="R314" i="10"/>
  <c r="AL314" i="10"/>
  <c r="G314" i="10"/>
  <c r="AE314" i="10"/>
  <c r="AY314" i="10"/>
  <c r="L314" i="10"/>
  <c r="AN314" i="10"/>
  <c r="U314" i="10"/>
  <c r="BA314" i="10"/>
  <c r="Z314" i="10"/>
  <c r="BB314" i="10"/>
  <c r="AI314" i="10"/>
  <c r="T314" i="10"/>
  <c r="AR314" i="10"/>
  <c r="AC314" i="10"/>
  <c r="F314" i="10"/>
  <c r="AH314" i="10"/>
  <c r="O314" i="10"/>
  <c r="AM314" i="10"/>
  <c r="X314" i="10"/>
  <c r="I314" i="10"/>
  <c r="AK314" i="10"/>
  <c r="J314" i="10"/>
  <c r="AP314" i="10"/>
  <c r="S314" i="10"/>
  <c r="AU314" i="10"/>
  <c r="V314" i="10"/>
  <c r="AJ314" i="10"/>
  <c r="AX314" i="10"/>
  <c r="M314" i="10"/>
  <c r="W314" i="10"/>
  <c r="AO314" i="10"/>
  <c r="BC314" i="10"/>
  <c r="H206" i="10"/>
  <c r="X206" i="10"/>
  <c r="AN206" i="10"/>
  <c r="I206" i="10"/>
  <c r="Y206" i="10"/>
  <c r="AO206" i="10"/>
  <c r="F206" i="10"/>
  <c r="V206" i="10"/>
  <c r="AL206" i="10"/>
  <c r="BB206" i="10"/>
  <c r="S206" i="10"/>
  <c r="AI206" i="10"/>
  <c r="AY206" i="10"/>
  <c r="T206" i="10"/>
  <c r="AR206" i="10"/>
  <c r="Q206" i="10"/>
  <c r="AK206" i="10"/>
  <c r="J206" i="10"/>
  <c r="AD206" i="10"/>
  <c r="AX206" i="10"/>
  <c r="W206" i="10"/>
  <c r="AQ206" i="10"/>
  <c r="AB206" i="10"/>
  <c r="AV206" i="10"/>
  <c r="U206" i="10"/>
  <c r="AS206" i="10"/>
  <c r="N206" i="10"/>
  <c r="AH206" i="10"/>
  <c r="G206" i="10"/>
  <c r="AA206" i="10"/>
  <c r="AU206" i="10"/>
  <c r="L206" i="10"/>
  <c r="AF206" i="10"/>
  <c r="AZ206" i="10"/>
  <c r="AC206" i="10"/>
  <c r="AW206" i="10"/>
  <c r="R206" i="10"/>
  <c r="AP206" i="10"/>
  <c r="K206" i="10"/>
  <c r="AE206" i="10"/>
  <c r="BC206" i="10"/>
  <c r="M206" i="10"/>
  <c r="AT206" i="10"/>
  <c r="AG206" i="10"/>
  <c r="O206" i="10"/>
  <c r="AJ206" i="10"/>
  <c r="P206" i="10"/>
  <c r="BA206" i="10"/>
  <c r="AM206" i="10"/>
  <c r="Z206" i="10"/>
  <c r="P302" i="10"/>
  <c r="AF302" i="10"/>
  <c r="AV302" i="10"/>
  <c r="Q302" i="10"/>
  <c r="AG302" i="10"/>
  <c r="AW302" i="10"/>
  <c r="N302" i="10"/>
  <c r="AD302" i="10"/>
  <c r="AT302" i="10"/>
  <c r="K302" i="10"/>
  <c r="AA302" i="10"/>
  <c r="AQ302" i="10"/>
  <c r="L302" i="10"/>
  <c r="AJ302" i="10"/>
  <c r="I302" i="10"/>
  <c r="AC302" i="10"/>
  <c r="BA302" i="10"/>
  <c r="V302" i="10"/>
  <c r="AP302" i="10"/>
  <c r="O302" i="10"/>
  <c r="AI302" i="10"/>
  <c r="BC302" i="10"/>
  <c r="T302" i="10"/>
  <c r="AN302" i="10"/>
  <c r="M302" i="10"/>
  <c r="AK302" i="10"/>
  <c r="F302" i="10"/>
  <c r="Z302" i="10"/>
  <c r="AX302" i="10"/>
  <c r="S302" i="10"/>
  <c r="AM302" i="10"/>
  <c r="X302" i="10"/>
  <c r="AR302" i="10"/>
  <c r="U302" i="10"/>
  <c r="AO302" i="10"/>
  <c r="J302" i="10"/>
  <c r="AH302" i="10"/>
  <c r="BB302" i="10"/>
  <c r="W302" i="10"/>
  <c r="AU302" i="10"/>
  <c r="AB302" i="10"/>
  <c r="R302" i="10"/>
  <c r="AY302" i="10"/>
  <c r="AZ302" i="10"/>
  <c r="AL302" i="10"/>
  <c r="H302" i="10"/>
  <c r="AE302" i="10"/>
  <c r="Y302" i="10"/>
  <c r="G302" i="10"/>
  <c r="AS302" i="10"/>
  <c r="O313" i="10"/>
  <c r="AE313" i="10"/>
  <c r="AU313" i="10"/>
  <c r="L313" i="10"/>
  <c r="AB313" i="10"/>
  <c r="AR313" i="10"/>
  <c r="M313" i="10"/>
  <c r="AC313" i="10"/>
  <c r="AS313" i="10"/>
  <c r="J313" i="10"/>
  <c r="Z313" i="10"/>
  <c r="AP313" i="10"/>
  <c r="G313" i="10"/>
  <c r="AA313" i="10"/>
  <c r="AY313" i="10"/>
  <c r="T313" i="10"/>
  <c r="AN313" i="10"/>
  <c r="Q313" i="10"/>
  <c r="AK313" i="10"/>
  <c r="F313" i="10"/>
  <c r="AD313" i="10"/>
  <c r="AX313" i="10"/>
  <c r="S313" i="10"/>
  <c r="AM313" i="10"/>
  <c r="H313" i="10"/>
  <c r="AF313" i="10"/>
  <c r="AZ313" i="10"/>
  <c r="Y313" i="10"/>
  <c r="AW313" i="10"/>
  <c r="R313" i="10"/>
  <c r="AL313" i="10"/>
  <c r="W313" i="10"/>
  <c r="AQ313" i="10"/>
  <c r="P313" i="10"/>
  <c r="AJ313" i="10"/>
  <c r="I313" i="10"/>
  <c r="AG313" i="10"/>
  <c r="BA313" i="10"/>
  <c r="V313" i="10"/>
  <c r="AT313" i="10"/>
  <c r="AI313" i="10"/>
  <c r="U313" i="10"/>
  <c r="BB313" i="10"/>
  <c r="BC313" i="10"/>
  <c r="AO313" i="10"/>
  <c r="X313" i="10"/>
  <c r="N313" i="10"/>
  <c r="AV313" i="10"/>
  <c r="AH313" i="10"/>
  <c r="K313" i="10"/>
  <c r="Q231" i="10"/>
  <c r="U231" i="10"/>
  <c r="AK231" i="10"/>
  <c r="BA231" i="10"/>
  <c r="R231" i="10"/>
  <c r="AH231" i="10"/>
  <c r="AX231" i="10"/>
  <c r="O231" i="10"/>
  <c r="AE231" i="10"/>
  <c r="AU231" i="10"/>
  <c r="L231" i="10"/>
  <c r="AB231" i="10"/>
  <c r="AR231" i="10"/>
  <c r="Y231" i="10"/>
  <c r="AO231" i="10"/>
  <c r="F231" i="10"/>
  <c r="V231" i="10"/>
  <c r="AL231" i="10"/>
  <c r="BB231" i="10"/>
  <c r="S231" i="10"/>
  <c r="AI231" i="10"/>
  <c r="AY231" i="10"/>
  <c r="P231" i="10"/>
  <c r="AF231" i="10"/>
  <c r="AV231" i="10"/>
  <c r="I231" i="10"/>
  <c r="AC231" i="10"/>
  <c r="AS231" i="10"/>
  <c r="J231" i="10"/>
  <c r="Z231" i="10"/>
  <c r="AP231" i="10"/>
  <c r="G231" i="10"/>
  <c r="W231" i="10"/>
  <c r="AM231" i="10"/>
  <c r="BC231" i="10"/>
  <c r="T231" i="10"/>
  <c r="AJ231" i="10"/>
  <c r="AZ231" i="10"/>
  <c r="AW231" i="10"/>
  <c r="K231" i="10"/>
  <c r="X231" i="10"/>
  <c r="N231" i="10"/>
  <c r="AA231" i="10"/>
  <c r="AN231" i="10"/>
  <c r="AT231" i="10"/>
  <c r="M231" i="10"/>
  <c r="AD231" i="10"/>
  <c r="AQ231" i="10"/>
  <c r="AG231" i="10"/>
  <c r="H231" i="10"/>
  <c r="S229" i="10"/>
  <c r="AI229" i="10"/>
  <c r="AY229" i="10"/>
  <c r="P229" i="10"/>
  <c r="AF229" i="10"/>
  <c r="AV229" i="10"/>
  <c r="Q229" i="10"/>
  <c r="G229" i="10"/>
  <c r="W229" i="10"/>
  <c r="AM229" i="10"/>
  <c r="BC229" i="10"/>
  <c r="T229" i="10"/>
  <c r="AJ229" i="10"/>
  <c r="AZ229" i="10"/>
  <c r="U229" i="10"/>
  <c r="K229" i="10"/>
  <c r="AA229" i="10"/>
  <c r="AQ229" i="10"/>
  <c r="H229" i="10"/>
  <c r="X229" i="10"/>
  <c r="AN229" i="10"/>
  <c r="I229" i="10"/>
  <c r="AE229" i="10"/>
  <c r="AR229" i="10"/>
  <c r="AG229" i="10"/>
  <c r="AW229" i="10"/>
  <c r="N229" i="10"/>
  <c r="AD229" i="10"/>
  <c r="AT229" i="10"/>
  <c r="AU229" i="10"/>
  <c r="M229" i="10"/>
  <c r="AK229" i="10"/>
  <c r="BA229" i="10"/>
  <c r="R229" i="10"/>
  <c r="AH229" i="10"/>
  <c r="AX229" i="10"/>
  <c r="AB229" i="10"/>
  <c r="AS229" i="10"/>
  <c r="Z229" i="10"/>
  <c r="L229" i="10"/>
  <c r="Y229" i="10"/>
  <c r="AO229" i="10"/>
  <c r="F229" i="10"/>
  <c r="V229" i="10"/>
  <c r="AL229" i="10"/>
  <c r="BB229" i="10"/>
  <c r="O229" i="10"/>
  <c r="AC229" i="10"/>
  <c r="J229" i="10"/>
  <c r="AP229" i="10"/>
  <c r="H123" i="10"/>
  <c r="L123" i="10"/>
  <c r="P123" i="10"/>
  <c r="T123" i="10"/>
  <c r="X123" i="10"/>
  <c r="AB123" i="10"/>
  <c r="AF123" i="10"/>
  <c r="AJ123" i="10"/>
  <c r="AN123" i="10"/>
  <c r="AR123" i="10"/>
  <c r="AV123" i="10"/>
  <c r="AZ123" i="10"/>
  <c r="I123" i="10"/>
  <c r="M123" i="10"/>
  <c r="Q123" i="10"/>
  <c r="U123" i="10"/>
  <c r="Y123" i="10"/>
  <c r="AC123" i="10"/>
  <c r="AG123" i="10"/>
  <c r="AK123" i="10"/>
  <c r="AO123" i="10"/>
  <c r="AS123" i="10"/>
  <c r="AW123" i="10"/>
  <c r="BA123" i="10"/>
  <c r="G123" i="10"/>
  <c r="K123" i="10"/>
  <c r="O123" i="10"/>
  <c r="S123" i="10"/>
  <c r="W123" i="10"/>
  <c r="AA123" i="10"/>
  <c r="AE123" i="10"/>
  <c r="AI123" i="10"/>
  <c r="AM123" i="10"/>
  <c r="AQ123" i="10"/>
  <c r="AU123" i="10"/>
  <c r="AY123" i="10"/>
  <c r="BC123" i="10"/>
  <c r="J123" i="10"/>
  <c r="Z123" i="10"/>
  <c r="AP123" i="10"/>
  <c r="N123" i="10"/>
  <c r="AD123" i="10"/>
  <c r="AT123" i="10"/>
  <c r="R123" i="10"/>
  <c r="AH123" i="10"/>
  <c r="AX123" i="10"/>
  <c r="F123" i="10"/>
  <c r="V123" i="10"/>
  <c r="AL123" i="10"/>
  <c r="BB123" i="10"/>
  <c r="F300" i="10"/>
  <c r="J300" i="10"/>
  <c r="N300" i="10"/>
  <c r="R300" i="10"/>
  <c r="V300" i="10"/>
  <c r="Z300" i="10"/>
  <c r="AD300" i="10"/>
  <c r="AH300" i="10"/>
  <c r="AL300" i="10"/>
  <c r="AP300" i="10"/>
  <c r="AT300" i="10"/>
  <c r="AX300" i="10"/>
  <c r="BB300" i="10"/>
  <c r="G300" i="10"/>
  <c r="K300" i="10"/>
  <c r="O300" i="10"/>
  <c r="S300" i="10"/>
  <c r="W300" i="10"/>
  <c r="AA300" i="10"/>
  <c r="AE300" i="10"/>
  <c r="AI300" i="10"/>
  <c r="AM300" i="10"/>
  <c r="AQ300" i="10"/>
  <c r="AU300" i="10"/>
  <c r="AY300" i="10"/>
  <c r="BC300" i="10"/>
  <c r="H300" i="10"/>
  <c r="L300" i="10"/>
  <c r="P300" i="10"/>
  <c r="T300" i="10"/>
  <c r="X300" i="10"/>
  <c r="AB300" i="10"/>
  <c r="AF300" i="10"/>
  <c r="AJ300" i="10"/>
  <c r="AN300" i="10"/>
  <c r="AR300" i="10"/>
  <c r="AV300" i="10"/>
  <c r="AZ300" i="10"/>
  <c r="I300" i="10"/>
  <c r="M300" i="10"/>
  <c r="Q300" i="10"/>
  <c r="U300" i="10"/>
  <c r="Y300" i="10"/>
  <c r="AC300" i="10"/>
  <c r="AG300" i="10"/>
  <c r="AK300" i="10"/>
  <c r="AO300" i="10"/>
  <c r="AS300" i="10"/>
  <c r="AW300" i="10"/>
  <c r="BA300" i="10"/>
  <c r="F196" i="10"/>
  <c r="J196" i="10"/>
  <c r="N196" i="10"/>
  <c r="R196" i="10"/>
  <c r="V196" i="10"/>
  <c r="Z196" i="10"/>
  <c r="AD196" i="10"/>
  <c r="AH196" i="10"/>
  <c r="AL196" i="10"/>
  <c r="AP196" i="10"/>
  <c r="AT196" i="10"/>
  <c r="AX196" i="10"/>
  <c r="BB196" i="10"/>
  <c r="G196" i="10"/>
  <c r="K196" i="10"/>
  <c r="O196" i="10"/>
  <c r="S196" i="10"/>
  <c r="W196" i="10"/>
  <c r="AA196" i="10"/>
  <c r="AE196" i="10"/>
  <c r="AI196" i="10"/>
  <c r="AM196" i="10"/>
  <c r="AQ196" i="10"/>
  <c r="AU196" i="10"/>
  <c r="AY196" i="10"/>
  <c r="BC196" i="10"/>
  <c r="H196" i="10"/>
  <c r="L196" i="10"/>
  <c r="P196" i="10"/>
  <c r="T196" i="10"/>
  <c r="X196" i="10"/>
  <c r="AB196" i="10"/>
  <c r="AF196" i="10"/>
  <c r="AJ196" i="10"/>
  <c r="AN196" i="10"/>
  <c r="AR196" i="10"/>
  <c r="AV196" i="10"/>
  <c r="AZ196" i="10"/>
  <c r="I196" i="10"/>
  <c r="M196" i="10"/>
  <c r="Q196" i="10"/>
  <c r="U196" i="10"/>
  <c r="Y196" i="10"/>
  <c r="AC196" i="10"/>
  <c r="AG196" i="10"/>
  <c r="AK196" i="10"/>
  <c r="AO196" i="10"/>
  <c r="AS196" i="10"/>
  <c r="AW196" i="10"/>
  <c r="BA196" i="10"/>
  <c r="H298" i="10"/>
  <c r="L298" i="10"/>
  <c r="P298" i="10"/>
  <c r="T298" i="10"/>
  <c r="X298" i="10"/>
  <c r="AB298" i="10"/>
  <c r="AF298" i="10"/>
  <c r="AJ298" i="10"/>
  <c r="AN298" i="10"/>
  <c r="AR298" i="10"/>
  <c r="AV298" i="10"/>
  <c r="AZ298" i="10"/>
  <c r="I298" i="10"/>
  <c r="M298" i="10"/>
  <c r="Q298" i="10"/>
  <c r="U298" i="10"/>
  <c r="Y298" i="10"/>
  <c r="AC298" i="10"/>
  <c r="AG298" i="10"/>
  <c r="AK298" i="10"/>
  <c r="AO298" i="10"/>
  <c r="AS298" i="10"/>
  <c r="AW298" i="10"/>
  <c r="BA298" i="10"/>
  <c r="F298" i="10"/>
  <c r="J298" i="10"/>
  <c r="N298" i="10"/>
  <c r="R298" i="10"/>
  <c r="V298" i="10"/>
  <c r="Z298" i="10"/>
  <c r="AD298" i="10"/>
  <c r="AH298" i="10"/>
  <c r="AL298" i="10"/>
  <c r="AP298" i="10"/>
  <c r="AT298" i="10"/>
  <c r="AX298" i="10"/>
  <c r="BB298" i="10"/>
  <c r="G298" i="10"/>
  <c r="K298" i="10"/>
  <c r="O298" i="10"/>
  <c r="S298" i="10"/>
  <c r="W298" i="10"/>
  <c r="AA298" i="10"/>
  <c r="AE298" i="10"/>
  <c r="AI298" i="10"/>
  <c r="AM298" i="10"/>
  <c r="AQ298" i="10"/>
  <c r="AU298" i="10"/>
  <c r="AY298" i="10"/>
  <c r="BC298" i="10"/>
  <c r="F296" i="10"/>
  <c r="J296" i="10"/>
  <c r="N296" i="10"/>
  <c r="R296" i="10"/>
  <c r="V296" i="10"/>
  <c r="Z296" i="10"/>
  <c r="AD296" i="10"/>
  <c r="AH296" i="10"/>
  <c r="AL296" i="10"/>
  <c r="AP296" i="10"/>
  <c r="AT296" i="10"/>
  <c r="AX296" i="10"/>
  <c r="BB296" i="10"/>
  <c r="G296" i="10"/>
  <c r="K296" i="10"/>
  <c r="O296" i="10"/>
  <c r="S296" i="10"/>
  <c r="W296" i="10"/>
  <c r="AA296" i="10"/>
  <c r="AE296" i="10"/>
  <c r="AI296" i="10"/>
  <c r="AM296" i="10"/>
  <c r="AQ296" i="10"/>
  <c r="AU296" i="10"/>
  <c r="AY296" i="10"/>
  <c r="BC296" i="10"/>
  <c r="H296" i="10"/>
  <c r="L296" i="10"/>
  <c r="P296" i="10"/>
  <c r="T296" i="10"/>
  <c r="X296" i="10"/>
  <c r="AB296" i="10"/>
  <c r="AF296" i="10"/>
  <c r="AJ296" i="10"/>
  <c r="AN296" i="10"/>
  <c r="AR296" i="10"/>
  <c r="AV296" i="10"/>
  <c r="AZ296" i="10"/>
  <c r="I296" i="10"/>
  <c r="M296" i="10"/>
  <c r="Q296" i="10"/>
  <c r="U296" i="10"/>
  <c r="Y296" i="10"/>
  <c r="AC296" i="10"/>
  <c r="AG296" i="10"/>
  <c r="AK296" i="10"/>
  <c r="AO296" i="10"/>
  <c r="AS296" i="10"/>
  <c r="AW296" i="10"/>
  <c r="BA296" i="10"/>
  <c r="G225" i="10"/>
  <c r="K225" i="10"/>
  <c r="O225" i="10"/>
  <c r="S225" i="10"/>
  <c r="W225" i="10"/>
  <c r="AA225" i="10"/>
  <c r="AE225" i="10"/>
  <c r="AI225" i="10"/>
  <c r="AM225" i="10"/>
  <c r="AQ225" i="10"/>
  <c r="AU225" i="10"/>
  <c r="AY225" i="10"/>
  <c r="BC225" i="10"/>
  <c r="H225" i="10"/>
  <c r="L225" i="10"/>
  <c r="P225" i="10"/>
  <c r="T225" i="10"/>
  <c r="X225" i="10"/>
  <c r="AB225" i="10"/>
  <c r="AF225" i="10"/>
  <c r="AJ225" i="10"/>
  <c r="AN225" i="10"/>
  <c r="AR225" i="10"/>
  <c r="AV225" i="10"/>
  <c r="AZ225" i="10"/>
  <c r="I225" i="10"/>
  <c r="M225" i="10"/>
  <c r="Q225" i="10"/>
  <c r="U225" i="10"/>
  <c r="Y225" i="10"/>
  <c r="AC225" i="10"/>
  <c r="AG225" i="10"/>
  <c r="AK225" i="10"/>
  <c r="AO225" i="10"/>
  <c r="AS225" i="10"/>
  <c r="AW225" i="10"/>
  <c r="BA225" i="10"/>
  <c r="F225" i="10"/>
  <c r="J225" i="10"/>
  <c r="N225" i="10"/>
  <c r="R225" i="10"/>
  <c r="V225" i="10"/>
  <c r="Z225" i="10"/>
  <c r="AD225" i="10"/>
  <c r="AH225" i="10"/>
  <c r="AL225" i="10"/>
  <c r="AP225" i="10"/>
  <c r="AT225" i="10"/>
  <c r="AX225" i="10"/>
  <c r="BB225" i="10"/>
  <c r="F312" i="10"/>
  <c r="J312" i="10"/>
  <c r="N312" i="10"/>
  <c r="R312" i="10"/>
  <c r="V312" i="10"/>
  <c r="Z312" i="10"/>
  <c r="AD312" i="10"/>
  <c r="AH312" i="10"/>
  <c r="AL312" i="10"/>
  <c r="AP312" i="10"/>
  <c r="AT312" i="10"/>
  <c r="AX312" i="10"/>
  <c r="BB312" i="10"/>
  <c r="G312" i="10"/>
  <c r="K312" i="10"/>
  <c r="O312" i="10"/>
  <c r="S312" i="10"/>
  <c r="W312" i="10"/>
  <c r="AA312" i="10"/>
  <c r="AE312" i="10"/>
  <c r="AI312" i="10"/>
  <c r="AM312" i="10"/>
  <c r="AQ312" i="10"/>
  <c r="AU312" i="10"/>
  <c r="AY312" i="10"/>
  <c r="BC312" i="10"/>
  <c r="H312" i="10"/>
  <c r="L312" i="10"/>
  <c r="P312" i="10"/>
  <c r="T312" i="10"/>
  <c r="X312" i="10"/>
  <c r="AB312" i="10"/>
  <c r="AF312" i="10"/>
  <c r="AJ312" i="10"/>
  <c r="AN312" i="10"/>
  <c r="AR312" i="10"/>
  <c r="AV312" i="10"/>
  <c r="AZ312" i="10"/>
  <c r="I312" i="10"/>
  <c r="M312" i="10"/>
  <c r="Q312" i="10"/>
  <c r="U312" i="10"/>
  <c r="Y312" i="10"/>
  <c r="AC312" i="10"/>
  <c r="AG312" i="10"/>
  <c r="AK312" i="10"/>
  <c r="AO312" i="10"/>
  <c r="AS312" i="10"/>
  <c r="AW312" i="10"/>
  <c r="BA312" i="10"/>
  <c r="H234" i="10"/>
  <c r="L234" i="10"/>
  <c r="P234" i="10"/>
  <c r="T234" i="10"/>
  <c r="X234" i="10"/>
  <c r="AB234" i="10"/>
  <c r="AF234" i="10"/>
  <c r="AJ234" i="10"/>
  <c r="AN234" i="10"/>
  <c r="AR234" i="10"/>
  <c r="AV234" i="10"/>
  <c r="AZ234" i="10"/>
  <c r="I234" i="10"/>
  <c r="M234" i="10"/>
  <c r="Q234" i="10"/>
  <c r="U234" i="10"/>
  <c r="Y234" i="10"/>
  <c r="AC234" i="10"/>
  <c r="AG234" i="10"/>
  <c r="AK234" i="10"/>
  <c r="AO234" i="10"/>
  <c r="AS234" i="10"/>
  <c r="AW234" i="10"/>
  <c r="BA234" i="10"/>
  <c r="F234" i="10"/>
  <c r="J234" i="10"/>
  <c r="N234" i="10"/>
  <c r="R234" i="10"/>
  <c r="V234" i="10"/>
  <c r="Z234" i="10"/>
  <c r="AD234" i="10"/>
  <c r="AH234" i="10"/>
  <c r="AL234" i="10"/>
  <c r="AP234" i="10"/>
  <c r="AT234" i="10"/>
  <c r="AX234" i="10"/>
  <c r="BB234" i="10"/>
  <c r="G234" i="10"/>
  <c r="K234" i="10"/>
  <c r="O234" i="10"/>
  <c r="S234" i="10"/>
  <c r="W234" i="10"/>
  <c r="AA234" i="10"/>
  <c r="AE234" i="10"/>
  <c r="AI234" i="10"/>
  <c r="AM234" i="10"/>
  <c r="AQ234" i="10"/>
  <c r="AU234" i="10"/>
  <c r="AY234" i="10"/>
  <c r="BC234" i="10"/>
  <c r="F208" i="10"/>
  <c r="J208" i="10"/>
  <c r="N208" i="10"/>
  <c r="R208" i="10"/>
  <c r="V208" i="10"/>
  <c r="Z208" i="10"/>
  <c r="AD208" i="10"/>
  <c r="AH208" i="10"/>
  <c r="AL208" i="10"/>
  <c r="AP208" i="10"/>
  <c r="AT208" i="10"/>
  <c r="AX208" i="10"/>
  <c r="BB208" i="10"/>
  <c r="G208" i="10"/>
  <c r="K208" i="10"/>
  <c r="O208" i="10"/>
  <c r="S208" i="10"/>
  <c r="W208" i="10"/>
  <c r="AA208" i="10"/>
  <c r="AE208" i="10"/>
  <c r="AI208" i="10"/>
  <c r="AM208" i="10"/>
  <c r="AQ208" i="10"/>
  <c r="AU208" i="10"/>
  <c r="AY208" i="10"/>
  <c r="BC208" i="10"/>
  <c r="H208" i="10"/>
  <c r="L208" i="10"/>
  <c r="P208" i="10"/>
  <c r="T208" i="10"/>
  <c r="X208" i="10"/>
  <c r="AB208" i="10"/>
  <c r="AF208" i="10"/>
  <c r="AJ208" i="10"/>
  <c r="AN208" i="10"/>
  <c r="AR208" i="10"/>
  <c r="AV208" i="10"/>
  <c r="AZ208" i="10"/>
  <c r="I208" i="10"/>
  <c r="M208" i="10"/>
  <c r="Q208" i="10"/>
  <c r="U208" i="10"/>
  <c r="Y208" i="10"/>
  <c r="AC208" i="10"/>
  <c r="AG208" i="10"/>
  <c r="AK208" i="10"/>
  <c r="AO208" i="10"/>
  <c r="AS208" i="10"/>
  <c r="AW208" i="10"/>
  <c r="BA208" i="10"/>
  <c r="I235" i="10"/>
  <c r="M235" i="10"/>
  <c r="Q235" i="10"/>
  <c r="U235" i="10"/>
  <c r="Y235" i="10"/>
  <c r="AC235" i="10"/>
  <c r="AG235" i="10"/>
  <c r="AK235" i="10"/>
  <c r="AO235" i="10"/>
  <c r="AS235" i="10"/>
  <c r="AW235" i="10"/>
  <c r="BA235" i="10"/>
  <c r="F235" i="10"/>
  <c r="J235" i="10"/>
  <c r="N235" i="10"/>
  <c r="R235" i="10"/>
  <c r="V235" i="10"/>
  <c r="Z235" i="10"/>
  <c r="AD235" i="10"/>
  <c r="AH235" i="10"/>
  <c r="AL235" i="10"/>
  <c r="AP235" i="10"/>
  <c r="AT235" i="10"/>
  <c r="AX235" i="10"/>
  <c r="BB235" i="10"/>
  <c r="G235" i="10"/>
  <c r="K235" i="10"/>
  <c r="O235" i="10"/>
  <c r="S235" i="10"/>
  <c r="W235" i="10"/>
  <c r="AA235" i="10"/>
  <c r="AE235" i="10"/>
  <c r="AI235" i="10"/>
  <c r="AM235" i="10"/>
  <c r="AQ235" i="10"/>
  <c r="AU235" i="10"/>
  <c r="AY235" i="10"/>
  <c r="BC235" i="10"/>
  <c r="H235" i="10"/>
  <c r="L235" i="10"/>
  <c r="P235" i="10"/>
  <c r="T235" i="10"/>
  <c r="X235" i="10"/>
  <c r="AB235" i="10"/>
  <c r="AF235" i="10"/>
  <c r="AJ235" i="10"/>
  <c r="AN235" i="10"/>
  <c r="AR235" i="10"/>
  <c r="AV235" i="10"/>
  <c r="AZ235" i="10"/>
  <c r="H122" i="10"/>
  <c r="L122" i="10"/>
  <c r="P122" i="10"/>
  <c r="T122" i="10"/>
  <c r="X122" i="10"/>
  <c r="AB122" i="10"/>
  <c r="AF122" i="10"/>
  <c r="AJ122" i="10"/>
  <c r="AN122" i="10"/>
  <c r="AR122" i="10"/>
  <c r="AV122" i="10"/>
  <c r="AZ122" i="10"/>
  <c r="I122" i="10"/>
  <c r="M122" i="10"/>
  <c r="Q122" i="10"/>
  <c r="U122" i="10"/>
  <c r="Y122" i="10"/>
  <c r="AC122" i="10"/>
  <c r="AG122" i="10"/>
  <c r="AK122" i="10"/>
  <c r="AO122" i="10"/>
  <c r="AS122" i="10"/>
  <c r="AW122" i="10"/>
  <c r="BA122" i="10"/>
  <c r="F122" i="10"/>
  <c r="J122" i="10"/>
  <c r="N122" i="10"/>
  <c r="R122" i="10"/>
  <c r="V122" i="10"/>
  <c r="Z122" i="10"/>
  <c r="AD122" i="10"/>
  <c r="AH122" i="10"/>
  <c r="AL122" i="10"/>
  <c r="AP122" i="10"/>
  <c r="AT122" i="10"/>
  <c r="AX122" i="10"/>
  <c r="BB122" i="10"/>
  <c r="G122" i="10"/>
  <c r="K122" i="10"/>
  <c r="O122" i="10"/>
  <c r="S122" i="10"/>
  <c r="W122" i="10"/>
  <c r="AA122" i="10"/>
  <c r="AE122" i="10"/>
  <c r="AI122" i="10"/>
  <c r="AM122" i="10"/>
  <c r="AQ122" i="10"/>
  <c r="AU122" i="10"/>
  <c r="AY122" i="10"/>
  <c r="BC122" i="10"/>
  <c r="F224" i="10"/>
  <c r="J224" i="10"/>
  <c r="N224" i="10"/>
  <c r="R224" i="10"/>
  <c r="V224" i="10"/>
  <c r="Z224" i="10"/>
  <c r="AD224" i="10"/>
  <c r="AH224" i="10"/>
  <c r="AL224" i="10"/>
  <c r="AP224" i="10"/>
  <c r="AT224" i="10"/>
  <c r="AX224" i="10"/>
  <c r="BB224" i="10"/>
  <c r="G224" i="10"/>
  <c r="K224" i="10"/>
  <c r="O224" i="10"/>
  <c r="S224" i="10"/>
  <c r="W224" i="10"/>
  <c r="AA224" i="10"/>
  <c r="AE224" i="10"/>
  <c r="AI224" i="10"/>
  <c r="AM224" i="10"/>
  <c r="AQ224" i="10"/>
  <c r="AU224" i="10"/>
  <c r="AY224" i="10"/>
  <c r="BC224" i="10"/>
  <c r="H224" i="10"/>
  <c r="L224" i="10"/>
  <c r="P224" i="10"/>
  <c r="T224" i="10"/>
  <c r="X224" i="10"/>
  <c r="AB224" i="10"/>
  <c r="AF224" i="10"/>
  <c r="AJ224" i="10"/>
  <c r="AN224" i="10"/>
  <c r="AR224" i="10"/>
  <c r="AV224" i="10"/>
  <c r="AZ224" i="10"/>
  <c r="I224" i="10"/>
  <c r="M224" i="10"/>
  <c r="Q224" i="10"/>
  <c r="U224" i="10"/>
  <c r="Y224" i="10"/>
  <c r="AC224" i="10"/>
  <c r="AG224" i="10"/>
  <c r="AK224" i="10"/>
  <c r="AO224" i="10"/>
  <c r="AS224" i="10"/>
  <c r="AW224" i="10"/>
  <c r="BA224" i="10"/>
  <c r="G297" i="10"/>
  <c r="K297" i="10"/>
  <c r="O297" i="10"/>
  <c r="S297" i="10"/>
  <c r="W297" i="10"/>
  <c r="AA297" i="10"/>
  <c r="AE297" i="10"/>
  <c r="AI297" i="10"/>
  <c r="AM297" i="10"/>
  <c r="AQ297" i="10"/>
  <c r="AU297" i="10"/>
  <c r="AY297" i="10"/>
  <c r="BC297" i="10"/>
  <c r="H297" i="10"/>
  <c r="L297" i="10"/>
  <c r="P297" i="10"/>
  <c r="T297" i="10"/>
  <c r="X297" i="10"/>
  <c r="AB297" i="10"/>
  <c r="AF297" i="10"/>
  <c r="AJ297" i="10"/>
  <c r="AN297" i="10"/>
  <c r="AR297" i="10"/>
  <c r="AV297" i="10"/>
  <c r="AZ297" i="10"/>
  <c r="I297" i="10"/>
  <c r="M297" i="10"/>
  <c r="Q297" i="10"/>
  <c r="U297" i="10"/>
  <c r="Y297" i="10"/>
  <c r="AC297" i="10"/>
  <c r="AG297" i="10"/>
  <c r="AK297" i="10"/>
  <c r="AO297" i="10"/>
  <c r="AS297" i="10"/>
  <c r="AW297" i="10"/>
  <c r="BA297" i="10"/>
  <c r="F297" i="10"/>
  <c r="J297" i="10"/>
  <c r="N297" i="10"/>
  <c r="R297" i="10"/>
  <c r="V297" i="10"/>
  <c r="Z297" i="10"/>
  <c r="AD297" i="10"/>
  <c r="AH297" i="10"/>
  <c r="AL297" i="10"/>
  <c r="AP297" i="10"/>
  <c r="AT297" i="10"/>
  <c r="AX297" i="10"/>
  <c r="BB297" i="10"/>
  <c r="H226" i="10"/>
  <c r="L226" i="10"/>
  <c r="P226" i="10"/>
  <c r="T226" i="10"/>
  <c r="X226" i="10"/>
  <c r="AB226" i="10"/>
  <c r="AF226" i="10"/>
  <c r="AJ226" i="10"/>
  <c r="AN226" i="10"/>
  <c r="AR226" i="10"/>
  <c r="AV226" i="10"/>
  <c r="AZ226" i="10"/>
  <c r="I226" i="10"/>
  <c r="M226" i="10"/>
  <c r="Q226" i="10"/>
  <c r="U226" i="10"/>
  <c r="Y226" i="10"/>
  <c r="AC226" i="10"/>
  <c r="AG226" i="10"/>
  <c r="AK226" i="10"/>
  <c r="AO226" i="10"/>
  <c r="AS226" i="10"/>
  <c r="AW226" i="10"/>
  <c r="BA226" i="10"/>
  <c r="F226" i="10"/>
  <c r="J226" i="10"/>
  <c r="N226" i="10"/>
  <c r="R226" i="10"/>
  <c r="V226" i="10"/>
  <c r="Z226" i="10"/>
  <c r="AD226" i="10"/>
  <c r="AH226" i="10"/>
  <c r="AL226" i="10"/>
  <c r="AP226" i="10"/>
  <c r="AT226" i="10"/>
  <c r="AX226" i="10"/>
  <c r="BB226" i="10"/>
  <c r="G226" i="10"/>
  <c r="K226" i="10"/>
  <c r="O226" i="10"/>
  <c r="S226" i="10"/>
  <c r="W226" i="10"/>
  <c r="AA226" i="10"/>
  <c r="AE226" i="10"/>
  <c r="AI226" i="10"/>
  <c r="AM226" i="10"/>
  <c r="AQ226" i="10"/>
  <c r="AU226" i="10"/>
  <c r="AY226" i="10"/>
  <c r="BC226" i="10"/>
  <c r="H222" i="10"/>
  <c r="L222" i="10"/>
  <c r="P222" i="10"/>
  <c r="T222" i="10"/>
  <c r="X222" i="10"/>
  <c r="AB222" i="10"/>
  <c r="AF222" i="10"/>
  <c r="AJ222" i="10"/>
  <c r="AN222" i="10"/>
  <c r="AR222" i="10"/>
  <c r="AV222" i="10"/>
  <c r="AZ222" i="10"/>
  <c r="I222" i="10"/>
  <c r="M222" i="10"/>
  <c r="Q222" i="10"/>
  <c r="U222" i="10"/>
  <c r="Y222" i="10"/>
  <c r="AC222" i="10"/>
  <c r="AG222" i="10"/>
  <c r="AK222" i="10"/>
  <c r="AO222" i="10"/>
  <c r="AS222" i="10"/>
  <c r="AW222" i="10"/>
  <c r="BA222" i="10"/>
  <c r="F222" i="10"/>
  <c r="J222" i="10"/>
  <c r="N222" i="10"/>
  <c r="R222" i="10"/>
  <c r="V222" i="10"/>
  <c r="Z222" i="10"/>
  <c r="AD222" i="10"/>
  <c r="AH222" i="10"/>
  <c r="AL222" i="10"/>
  <c r="AP222" i="10"/>
  <c r="AT222" i="10"/>
  <c r="AX222" i="10"/>
  <c r="BB222" i="10"/>
  <c r="G222" i="10"/>
  <c r="K222" i="10"/>
  <c r="O222" i="10"/>
  <c r="S222" i="10"/>
  <c r="W222" i="10"/>
  <c r="AA222" i="10"/>
  <c r="AE222" i="10"/>
  <c r="AI222" i="10"/>
  <c r="AM222" i="10"/>
  <c r="AQ222" i="10"/>
  <c r="AU222" i="10"/>
  <c r="AY222" i="10"/>
  <c r="BC222" i="10"/>
  <c r="F200" i="10"/>
  <c r="J200" i="10"/>
  <c r="N200" i="10"/>
  <c r="R200" i="10"/>
  <c r="V200" i="10"/>
  <c r="Z200" i="10"/>
  <c r="AD200" i="10"/>
  <c r="AH200" i="10"/>
  <c r="AL200" i="10"/>
  <c r="AP200" i="10"/>
  <c r="AT200" i="10"/>
  <c r="AX200" i="10"/>
  <c r="BB200" i="10"/>
  <c r="G200" i="10"/>
  <c r="K200" i="10"/>
  <c r="O200" i="10"/>
  <c r="S200" i="10"/>
  <c r="W200" i="10"/>
  <c r="AA200" i="10"/>
  <c r="AE200" i="10"/>
  <c r="AI200" i="10"/>
  <c r="AM200" i="10"/>
  <c r="AQ200" i="10"/>
  <c r="AU200" i="10"/>
  <c r="AY200" i="10"/>
  <c r="BC200" i="10"/>
  <c r="H200" i="10"/>
  <c r="L200" i="10"/>
  <c r="P200" i="10"/>
  <c r="T200" i="10"/>
  <c r="X200" i="10"/>
  <c r="AB200" i="10"/>
  <c r="AF200" i="10"/>
  <c r="AJ200" i="10"/>
  <c r="AN200" i="10"/>
  <c r="AR200" i="10"/>
  <c r="AV200" i="10"/>
  <c r="AZ200" i="10"/>
  <c r="I200" i="10"/>
  <c r="M200" i="10"/>
  <c r="Q200" i="10"/>
  <c r="U200" i="10"/>
  <c r="Y200" i="10"/>
  <c r="AC200" i="10"/>
  <c r="AG200" i="10"/>
  <c r="AK200" i="10"/>
  <c r="AO200" i="10"/>
  <c r="AS200" i="10"/>
  <c r="AW200" i="10"/>
  <c r="BA200" i="10"/>
  <c r="G309" i="10"/>
  <c r="K309" i="10"/>
  <c r="O309" i="10"/>
  <c r="S309" i="10"/>
  <c r="W309" i="10"/>
  <c r="AA309" i="10"/>
  <c r="AE309" i="10"/>
  <c r="AI309" i="10"/>
  <c r="AM309" i="10"/>
  <c r="AQ309" i="10"/>
  <c r="AU309" i="10"/>
  <c r="AY309" i="10"/>
  <c r="BC309" i="10"/>
  <c r="H309" i="10"/>
  <c r="L309" i="10"/>
  <c r="P309" i="10"/>
  <c r="T309" i="10"/>
  <c r="X309" i="10"/>
  <c r="AB309" i="10"/>
  <c r="AF309" i="10"/>
  <c r="AJ309" i="10"/>
  <c r="AN309" i="10"/>
  <c r="AR309" i="10"/>
  <c r="AV309" i="10"/>
  <c r="AZ309" i="10"/>
  <c r="I309" i="10"/>
  <c r="M309" i="10"/>
  <c r="Q309" i="10"/>
  <c r="U309" i="10"/>
  <c r="Y309" i="10"/>
  <c r="AC309" i="10"/>
  <c r="AG309" i="10"/>
  <c r="AK309" i="10"/>
  <c r="AO309" i="10"/>
  <c r="AS309" i="10"/>
  <c r="AW309" i="10"/>
  <c r="BA309" i="10"/>
  <c r="F309" i="10"/>
  <c r="J309" i="10"/>
  <c r="N309" i="10"/>
  <c r="R309" i="10"/>
  <c r="V309" i="10"/>
  <c r="Z309" i="10"/>
  <c r="AD309" i="10"/>
  <c r="AH309" i="10"/>
  <c r="AL309" i="10"/>
  <c r="AP309" i="10"/>
  <c r="AT309" i="10"/>
  <c r="AX309" i="10"/>
  <c r="BB309" i="10"/>
  <c r="F308" i="10"/>
  <c r="J308" i="10"/>
  <c r="N308" i="10"/>
  <c r="R308" i="10"/>
  <c r="V308" i="10"/>
  <c r="Z308" i="10"/>
  <c r="AD308" i="10"/>
  <c r="AH308" i="10"/>
  <c r="AL308" i="10"/>
  <c r="AP308" i="10"/>
  <c r="AT308" i="10"/>
  <c r="AX308" i="10"/>
  <c r="BB308" i="10"/>
  <c r="G308" i="10"/>
  <c r="K308" i="10"/>
  <c r="O308" i="10"/>
  <c r="S308" i="10"/>
  <c r="W308" i="10"/>
  <c r="AA308" i="10"/>
  <c r="AE308" i="10"/>
  <c r="AI308" i="10"/>
  <c r="AM308" i="10"/>
  <c r="AQ308" i="10"/>
  <c r="AU308" i="10"/>
  <c r="AY308" i="10"/>
  <c r="BC308" i="10"/>
  <c r="H308" i="10"/>
  <c r="L308" i="10"/>
  <c r="P308" i="10"/>
  <c r="T308" i="10"/>
  <c r="X308" i="10"/>
  <c r="AB308" i="10"/>
  <c r="AF308" i="10"/>
  <c r="AJ308" i="10"/>
  <c r="AN308" i="10"/>
  <c r="AR308" i="10"/>
  <c r="AV308" i="10"/>
  <c r="AZ308" i="10"/>
  <c r="I308" i="10"/>
  <c r="M308" i="10"/>
  <c r="Q308" i="10"/>
  <c r="U308" i="10"/>
  <c r="Y308" i="10"/>
  <c r="AC308" i="10"/>
  <c r="AG308" i="10"/>
  <c r="AK308" i="10"/>
  <c r="AO308" i="10"/>
  <c r="AS308" i="10"/>
  <c r="AW308" i="10"/>
  <c r="BA308" i="10"/>
  <c r="H310" i="10"/>
  <c r="L310" i="10"/>
  <c r="P310" i="10"/>
  <c r="T310" i="10"/>
  <c r="X310" i="10"/>
  <c r="AB310" i="10"/>
  <c r="AF310" i="10"/>
  <c r="AJ310" i="10"/>
  <c r="AN310" i="10"/>
  <c r="AR310" i="10"/>
  <c r="AV310" i="10"/>
  <c r="AZ310" i="10"/>
  <c r="I310" i="10"/>
  <c r="M310" i="10"/>
  <c r="Q310" i="10"/>
  <c r="U310" i="10"/>
  <c r="Y310" i="10"/>
  <c r="AC310" i="10"/>
  <c r="AG310" i="10"/>
  <c r="AK310" i="10"/>
  <c r="AO310" i="10"/>
  <c r="AS310" i="10"/>
  <c r="AW310" i="10"/>
  <c r="BA310" i="10"/>
  <c r="F310" i="10"/>
  <c r="J310" i="10"/>
  <c r="N310" i="10"/>
  <c r="R310" i="10"/>
  <c r="V310" i="10"/>
  <c r="Z310" i="10"/>
  <c r="AD310" i="10"/>
  <c r="AH310" i="10"/>
  <c r="AL310" i="10"/>
  <c r="AP310" i="10"/>
  <c r="AT310" i="10"/>
  <c r="AX310" i="10"/>
  <c r="BB310" i="10"/>
  <c r="G310" i="10"/>
  <c r="K310" i="10"/>
  <c r="O310" i="10"/>
  <c r="S310" i="10"/>
  <c r="W310" i="10"/>
  <c r="AA310" i="10"/>
  <c r="AE310" i="10"/>
  <c r="AI310" i="10"/>
  <c r="AM310" i="10"/>
  <c r="AQ310" i="10"/>
  <c r="AU310" i="10"/>
  <c r="AY310" i="10"/>
  <c r="BC310" i="10"/>
  <c r="H238" i="10"/>
  <c r="L238" i="10"/>
  <c r="P238" i="10"/>
  <c r="T238" i="10"/>
  <c r="X238" i="10"/>
  <c r="AB238" i="10"/>
  <c r="AF238" i="10"/>
  <c r="AJ238" i="10"/>
  <c r="AN238" i="10"/>
  <c r="AR238" i="10"/>
  <c r="AV238" i="10"/>
  <c r="AZ238" i="10"/>
  <c r="I238" i="10"/>
  <c r="M238" i="10"/>
  <c r="Q238" i="10"/>
  <c r="U238" i="10"/>
  <c r="Y238" i="10"/>
  <c r="AC238" i="10"/>
  <c r="AG238" i="10"/>
  <c r="AK238" i="10"/>
  <c r="AO238" i="10"/>
  <c r="AS238" i="10"/>
  <c r="AW238" i="10"/>
  <c r="BA238" i="10"/>
  <c r="F238" i="10"/>
  <c r="J238" i="10"/>
  <c r="N238" i="10"/>
  <c r="R238" i="10"/>
  <c r="V238" i="10"/>
  <c r="Z238" i="10"/>
  <c r="AD238" i="10"/>
  <c r="AH238" i="10"/>
  <c r="AL238" i="10"/>
  <c r="AP238" i="10"/>
  <c r="AT238" i="10"/>
  <c r="AX238" i="10"/>
  <c r="BB238" i="10"/>
  <c r="G238" i="10"/>
  <c r="K238" i="10"/>
  <c r="O238" i="10"/>
  <c r="S238" i="10"/>
  <c r="W238" i="10"/>
  <c r="AA238" i="10"/>
  <c r="AE238" i="10"/>
  <c r="AI238" i="10"/>
  <c r="AM238" i="10"/>
  <c r="AQ238" i="10"/>
  <c r="AU238" i="10"/>
  <c r="AY238" i="10"/>
  <c r="BC238" i="10"/>
  <c r="H290" i="10"/>
  <c r="L290" i="10"/>
  <c r="P290" i="10"/>
  <c r="T290" i="10"/>
  <c r="X290" i="10"/>
  <c r="AB290" i="10"/>
  <c r="AF290" i="10"/>
  <c r="AJ290" i="10"/>
  <c r="AN290" i="10"/>
  <c r="AR290" i="10"/>
  <c r="AV290" i="10"/>
  <c r="AZ290" i="10"/>
  <c r="I290" i="10"/>
  <c r="M290" i="10"/>
  <c r="Q290" i="10"/>
  <c r="U290" i="10"/>
  <c r="Y290" i="10"/>
  <c r="AC290" i="10"/>
  <c r="AG290" i="10"/>
  <c r="AK290" i="10"/>
  <c r="AO290" i="10"/>
  <c r="AS290" i="10"/>
  <c r="AW290" i="10"/>
  <c r="BA290" i="10"/>
  <c r="F290" i="10"/>
  <c r="J290" i="10"/>
  <c r="N290" i="10"/>
  <c r="R290" i="10"/>
  <c r="V290" i="10"/>
  <c r="Z290" i="10"/>
  <c r="AD290" i="10"/>
  <c r="AH290" i="10"/>
  <c r="AL290" i="10"/>
  <c r="AP290" i="10"/>
  <c r="AT290" i="10"/>
  <c r="AX290" i="10"/>
  <c r="BB290" i="10"/>
  <c r="G290" i="10"/>
  <c r="K290" i="10"/>
  <c r="O290" i="10"/>
  <c r="S290" i="10"/>
  <c r="W290" i="10"/>
  <c r="AA290" i="10"/>
  <c r="AE290" i="10"/>
  <c r="AI290" i="10"/>
  <c r="AM290" i="10"/>
  <c r="AQ290" i="10"/>
  <c r="AU290" i="10"/>
  <c r="AY290" i="10"/>
  <c r="BC290" i="10"/>
  <c r="F125" i="10"/>
  <c r="J125" i="10"/>
  <c r="N125" i="10"/>
  <c r="R125" i="10"/>
  <c r="V125" i="10"/>
  <c r="Z125" i="10"/>
  <c r="AD125" i="10"/>
  <c r="G125" i="10"/>
  <c r="K125" i="10"/>
  <c r="O125" i="10"/>
  <c r="S125" i="10"/>
  <c r="W125" i="10"/>
  <c r="AA125" i="10"/>
  <c r="AE125" i="10"/>
  <c r="I125" i="10"/>
  <c r="Q125" i="10"/>
  <c r="Y125" i="10"/>
  <c r="AG125" i="10"/>
  <c r="AK125" i="10"/>
  <c r="AO125" i="10"/>
  <c r="AS125" i="10"/>
  <c r="AW125" i="10"/>
  <c r="BA125" i="10"/>
  <c r="L125" i="10"/>
  <c r="T125" i="10"/>
  <c r="AB125" i="10"/>
  <c r="AH125" i="10"/>
  <c r="AL125" i="10"/>
  <c r="AP125" i="10"/>
  <c r="AT125" i="10"/>
  <c r="AX125" i="10"/>
  <c r="BB125" i="10"/>
  <c r="M125" i="10"/>
  <c r="U125" i="10"/>
  <c r="AC125" i="10"/>
  <c r="AI125" i="10"/>
  <c r="AM125" i="10"/>
  <c r="AQ125" i="10"/>
  <c r="AU125" i="10"/>
  <c r="AY125" i="10"/>
  <c r="BC125" i="10"/>
  <c r="H125" i="10"/>
  <c r="P125" i="10"/>
  <c r="X125" i="10"/>
  <c r="AF125" i="10"/>
  <c r="AJ125" i="10"/>
  <c r="AN125" i="10"/>
  <c r="AR125" i="10"/>
  <c r="AV125" i="10"/>
  <c r="AZ125" i="10"/>
  <c r="G197" i="10"/>
  <c r="K197" i="10"/>
  <c r="O197" i="10"/>
  <c r="S197" i="10"/>
  <c r="W197" i="10"/>
  <c r="AA197" i="10"/>
  <c r="AE197" i="10"/>
  <c r="AI197" i="10"/>
  <c r="AM197" i="10"/>
  <c r="AQ197" i="10"/>
  <c r="AU197" i="10"/>
  <c r="AY197" i="10"/>
  <c r="BC197" i="10"/>
  <c r="H197" i="10"/>
  <c r="L197" i="10"/>
  <c r="P197" i="10"/>
  <c r="T197" i="10"/>
  <c r="X197" i="10"/>
  <c r="AB197" i="10"/>
  <c r="AF197" i="10"/>
  <c r="AJ197" i="10"/>
  <c r="AN197" i="10"/>
  <c r="AR197" i="10"/>
  <c r="AV197" i="10"/>
  <c r="AZ197" i="10"/>
  <c r="I197" i="10"/>
  <c r="M197" i="10"/>
  <c r="Q197" i="10"/>
  <c r="U197" i="10"/>
  <c r="Y197" i="10"/>
  <c r="AC197" i="10"/>
  <c r="AG197" i="10"/>
  <c r="AK197" i="10"/>
  <c r="AO197" i="10"/>
  <c r="AS197" i="10"/>
  <c r="AW197" i="10"/>
  <c r="BA197" i="10"/>
  <c r="F197" i="10"/>
  <c r="J197" i="10"/>
  <c r="N197" i="10"/>
  <c r="R197" i="10"/>
  <c r="V197" i="10"/>
  <c r="Z197" i="10"/>
  <c r="AD197" i="10"/>
  <c r="AH197" i="10"/>
  <c r="AL197" i="10"/>
  <c r="AP197" i="10"/>
  <c r="AT197" i="10"/>
  <c r="AX197" i="10"/>
  <c r="BB197" i="10"/>
  <c r="I199" i="10"/>
  <c r="M199" i="10"/>
  <c r="Q199" i="10"/>
  <c r="U199" i="10"/>
  <c r="Y199" i="10"/>
  <c r="AC199" i="10"/>
  <c r="AG199" i="10"/>
  <c r="AK199" i="10"/>
  <c r="AO199" i="10"/>
  <c r="AS199" i="10"/>
  <c r="AW199" i="10"/>
  <c r="BA199" i="10"/>
  <c r="F199" i="10"/>
  <c r="J199" i="10"/>
  <c r="N199" i="10"/>
  <c r="R199" i="10"/>
  <c r="V199" i="10"/>
  <c r="Z199" i="10"/>
  <c r="AD199" i="10"/>
  <c r="AH199" i="10"/>
  <c r="AL199" i="10"/>
  <c r="AP199" i="10"/>
  <c r="AT199" i="10"/>
  <c r="AX199" i="10"/>
  <c r="BB199" i="10"/>
  <c r="G199" i="10"/>
  <c r="K199" i="10"/>
  <c r="O199" i="10"/>
  <c r="S199" i="10"/>
  <c r="W199" i="10"/>
  <c r="AA199" i="10"/>
  <c r="AE199" i="10"/>
  <c r="AI199" i="10"/>
  <c r="AM199" i="10"/>
  <c r="AQ199" i="10"/>
  <c r="AU199" i="10"/>
  <c r="AY199" i="10"/>
  <c r="BC199" i="10"/>
  <c r="H199" i="10"/>
  <c r="L199" i="10"/>
  <c r="P199" i="10"/>
  <c r="T199" i="10"/>
  <c r="X199" i="10"/>
  <c r="AB199" i="10"/>
  <c r="AF199" i="10"/>
  <c r="AJ199" i="10"/>
  <c r="AN199" i="10"/>
  <c r="AR199" i="10"/>
  <c r="AV199" i="10"/>
  <c r="AZ199" i="10"/>
  <c r="G221" i="10"/>
  <c r="K221" i="10"/>
  <c r="O221" i="10"/>
  <c r="S221" i="10"/>
  <c r="W221" i="10"/>
  <c r="AA221" i="10"/>
  <c r="AE221" i="10"/>
  <c r="AI221" i="10"/>
  <c r="AM221" i="10"/>
  <c r="AQ221" i="10"/>
  <c r="AU221" i="10"/>
  <c r="AY221" i="10"/>
  <c r="BC221" i="10"/>
  <c r="H221" i="10"/>
  <c r="L221" i="10"/>
  <c r="P221" i="10"/>
  <c r="T221" i="10"/>
  <c r="X221" i="10"/>
  <c r="AB221" i="10"/>
  <c r="AF221" i="10"/>
  <c r="AJ221" i="10"/>
  <c r="AN221" i="10"/>
  <c r="AR221" i="10"/>
  <c r="AV221" i="10"/>
  <c r="AZ221" i="10"/>
  <c r="I221" i="10"/>
  <c r="M221" i="10"/>
  <c r="Q221" i="10"/>
  <c r="U221" i="10"/>
  <c r="Y221" i="10"/>
  <c r="AC221" i="10"/>
  <c r="AG221" i="10"/>
  <c r="AK221" i="10"/>
  <c r="AO221" i="10"/>
  <c r="AS221" i="10"/>
  <c r="AW221" i="10"/>
  <c r="BA221" i="10"/>
  <c r="F221" i="10"/>
  <c r="J221" i="10"/>
  <c r="N221" i="10"/>
  <c r="R221" i="10"/>
  <c r="V221" i="10"/>
  <c r="Z221" i="10"/>
  <c r="AD221" i="10"/>
  <c r="AH221" i="10"/>
  <c r="AL221" i="10"/>
  <c r="AP221" i="10"/>
  <c r="AT221" i="10"/>
  <c r="AX221" i="10"/>
  <c r="BB221" i="10"/>
  <c r="I299" i="10"/>
  <c r="M299" i="10"/>
  <c r="Q299" i="10"/>
  <c r="U299" i="10"/>
  <c r="Y299" i="10"/>
  <c r="AC299" i="10"/>
  <c r="AG299" i="10"/>
  <c r="AK299" i="10"/>
  <c r="AO299" i="10"/>
  <c r="AS299" i="10"/>
  <c r="AW299" i="10"/>
  <c r="BA299" i="10"/>
  <c r="F299" i="10"/>
  <c r="J299" i="10"/>
  <c r="N299" i="10"/>
  <c r="R299" i="10"/>
  <c r="V299" i="10"/>
  <c r="Z299" i="10"/>
  <c r="AD299" i="10"/>
  <c r="AH299" i="10"/>
  <c r="AL299" i="10"/>
  <c r="AP299" i="10"/>
  <c r="AT299" i="10"/>
  <c r="AX299" i="10"/>
  <c r="BB299" i="10"/>
  <c r="G299" i="10"/>
  <c r="K299" i="10"/>
  <c r="O299" i="10"/>
  <c r="S299" i="10"/>
  <c r="W299" i="10"/>
  <c r="AA299" i="10"/>
  <c r="AE299" i="10"/>
  <c r="AI299" i="10"/>
  <c r="AM299" i="10"/>
  <c r="AQ299" i="10"/>
  <c r="AU299" i="10"/>
  <c r="AY299" i="10"/>
  <c r="BC299" i="10"/>
  <c r="H299" i="10"/>
  <c r="L299" i="10"/>
  <c r="P299" i="10"/>
  <c r="T299" i="10"/>
  <c r="X299" i="10"/>
  <c r="AB299" i="10"/>
  <c r="AF299" i="10"/>
  <c r="AJ299" i="10"/>
  <c r="AN299" i="10"/>
  <c r="AR299" i="10"/>
  <c r="AV299" i="10"/>
  <c r="AZ299" i="10"/>
  <c r="G237" i="10"/>
  <c r="K237" i="10"/>
  <c r="O237" i="10"/>
  <c r="S237" i="10"/>
  <c r="W237" i="10"/>
  <c r="AA237" i="10"/>
  <c r="AE237" i="10"/>
  <c r="AI237" i="10"/>
  <c r="AM237" i="10"/>
  <c r="AQ237" i="10"/>
  <c r="AU237" i="10"/>
  <c r="AY237" i="10"/>
  <c r="BC237" i="10"/>
  <c r="H237" i="10"/>
  <c r="L237" i="10"/>
  <c r="P237" i="10"/>
  <c r="T237" i="10"/>
  <c r="X237" i="10"/>
  <c r="AB237" i="10"/>
  <c r="AF237" i="10"/>
  <c r="AJ237" i="10"/>
  <c r="AN237" i="10"/>
  <c r="AR237" i="10"/>
  <c r="AV237" i="10"/>
  <c r="AZ237" i="10"/>
  <c r="I237" i="10"/>
  <c r="M237" i="10"/>
  <c r="Q237" i="10"/>
  <c r="U237" i="10"/>
  <c r="Y237" i="10"/>
  <c r="AC237" i="10"/>
  <c r="AG237" i="10"/>
  <c r="AK237" i="10"/>
  <c r="AO237" i="10"/>
  <c r="AS237" i="10"/>
  <c r="AW237" i="10"/>
  <c r="BA237" i="10"/>
  <c r="F237" i="10"/>
  <c r="J237" i="10"/>
  <c r="N237" i="10"/>
  <c r="R237" i="10"/>
  <c r="V237" i="10"/>
  <c r="Z237" i="10"/>
  <c r="AD237" i="10"/>
  <c r="AH237" i="10"/>
  <c r="AL237" i="10"/>
  <c r="AP237" i="10"/>
  <c r="AT237" i="10"/>
  <c r="AX237" i="10"/>
  <c r="BB237" i="10"/>
  <c r="I307" i="10"/>
  <c r="M307" i="10"/>
  <c r="Q307" i="10"/>
  <c r="U307" i="10"/>
  <c r="Y307" i="10"/>
  <c r="AC307" i="10"/>
  <c r="AG307" i="10"/>
  <c r="AK307" i="10"/>
  <c r="AO307" i="10"/>
  <c r="AS307" i="10"/>
  <c r="AW307" i="10"/>
  <c r="BA307" i="10"/>
  <c r="F307" i="10"/>
  <c r="J307" i="10"/>
  <c r="N307" i="10"/>
  <c r="R307" i="10"/>
  <c r="V307" i="10"/>
  <c r="Z307" i="10"/>
  <c r="AD307" i="10"/>
  <c r="AH307" i="10"/>
  <c r="AL307" i="10"/>
  <c r="AP307" i="10"/>
  <c r="AT307" i="10"/>
  <c r="AX307" i="10"/>
  <c r="BB307" i="10"/>
  <c r="G307" i="10"/>
  <c r="K307" i="10"/>
  <c r="O307" i="10"/>
  <c r="S307" i="10"/>
  <c r="W307" i="10"/>
  <c r="AA307" i="10"/>
  <c r="AE307" i="10"/>
  <c r="AI307" i="10"/>
  <c r="AM307" i="10"/>
  <c r="AQ307" i="10"/>
  <c r="AU307" i="10"/>
  <c r="AY307" i="10"/>
  <c r="BC307" i="10"/>
  <c r="H307" i="10"/>
  <c r="L307" i="10"/>
  <c r="P307" i="10"/>
  <c r="T307" i="10"/>
  <c r="X307" i="10"/>
  <c r="AB307" i="10"/>
  <c r="AF307" i="10"/>
  <c r="AJ307" i="10"/>
  <c r="AN307" i="10"/>
  <c r="AR307" i="10"/>
  <c r="AV307" i="10"/>
  <c r="AZ307" i="10"/>
  <c r="F236" i="10"/>
  <c r="J236" i="10"/>
  <c r="N236" i="10"/>
  <c r="R236" i="10"/>
  <c r="V236" i="10"/>
  <c r="Z236" i="10"/>
  <c r="AD236" i="10"/>
  <c r="AH236" i="10"/>
  <c r="AL236" i="10"/>
  <c r="AP236" i="10"/>
  <c r="AT236" i="10"/>
  <c r="AX236" i="10"/>
  <c r="BB236" i="10"/>
  <c r="G236" i="10"/>
  <c r="K236" i="10"/>
  <c r="O236" i="10"/>
  <c r="S236" i="10"/>
  <c r="W236" i="10"/>
  <c r="AA236" i="10"/>
  <c r="AE236" i="10"/>
  <c r="AI236" i="10"/>
  <c r="AM236" i="10"/>
  <c r="AQ236" i="10"/>
  <c r="AU236" i="10"/>
  <c r="AY236" i="10"/>
  <c r="BC236" i="10"/>
  <c r="H236" i="10"/>
  <c r="L236" i="10"/>
  <c r="P236" i="10"/>
  <c r="T236" i="10"/>
  <c r="X236" i="10"/>
  <c r="AB236" i="10"/>
  <c r="AF236" i="10"/>
  <c r="AJ236" i="10"/>
  <c r="AN236" i="10"/>
  <c r="AR236" i="10"/>
  <c r="AV236" i="10"/>
  <c r="AZ236" i="10"/>
  <c r="I236" i="10"/>
  <c r="M236" i="10"/>
  <c r="Q236" i="10"/>
  <c r="U236" i="10"/>
  <c r="Y236" i="10"/>
  <c r="AC236" i="10"/>
  <c r="AG236" i="10"/>
  <c r="AK236" i="10"/>
  <c r="AO236" i="10"/>
  <c r="AS236" i="10"/>
  <c r="AW236" i="10"/>
  <c r="BA236" i="10"/>
  <c r="I211" i="10"/>
  <c r="M211" i="10"/>
  <c r="Q211" i="10"/>
  <c r="U211" i="10"/>
  <c r="Y211" i="10"/>
  <c r="AC211" i="10"/>
  <c r="AG211" i="10"/>
  <c r="AK211" i="10"/>
  <c r="AO211" i="10"/>
  <c r="AS211" i="10"/>
  <c r="AW211" i="10"/>
  <c r="BA211" i="10"/>
  <c r="F211" i="10"/>
  <c r="J211" i="10"/>
  <c r="N211" i="10"/>
  <c r="R211" i="10"/>
  <c r="V211" i="10"/>
  <c r="Z211" i="10"/>
  <c r="AD211" i="10"/>
  <c r="AH211" i="10"/>
  <c r="AL211" i="10"/>
  <c r="AP211" i="10"/>
  <c r="AT211" i="10"/>
  <c r="AX211" i="10"/>
  <c r="BB211" i="10"/>
  <c r="G211" i="10"/>
  <c r="K211" i="10"/>
  <c r="O211" i="10"/>
  <c r="S211" i="10"/>
  <c r="W211" i="10"/>
  <c r="AA211" i="10"/>
  <c r="AE211" i="10"/>
  <c r="AI211" i="10"/>
  <c r="AM211" i="10"/>
  <c r="AQ211" i="10"/>
  <c r="AU211" i="10"/>
  <c r="AY211" i="10"/>
  <c r="BC211" i="10"/>
  <c r="H211" i="10"/>
  <c r="L211" i="10"/>
  <c r="P211" i="10"/>
  <c r="T211" i="10"/>
  <c r="X211" i="10"/>
  <c r="AB211" i="10"/>
  <c r="AF211" i="10"/>
  <c r="AJ211" i="10"/>
  <c r="AN211" i="10"/>
  <c r="AR211" i="10"/>
  <c r="AV211" i="10"/>
  <c r="AZ211" i="10"/>
  <c r="H210" i="10"/>
  <c r="L210" i="10"/>
  <c r="P210" i="10"/>
  <c r="T210" i="10"/>
  <c r="X210" i="10"/>
  <c r="AB210" i="10"/>
  <c r="AF210" i="10"/>
  <c r="AJ210" i="10"/>
  <c r="AN210" i="10"/>
  <c r="AR210" i="10"/>
  <c r="AV210" i="10"/>
  <c r="AZ210" i="10"/>
  <c r="I210" i="10"/>
  <c r="M210" i="10"/>
  <c r="Q210" i="10"/>
  <c r="U210" i="10"/>
  <c r="Y210" i="10"/>
  <c r="AC210" i="10"/>
  <c r="AG210" i="10"/>
  <c r="AK210" i="10"/>
  <c r="AO210" i="10"/>
  <c r="AS210" i="10"/>
  <c r="AW210" i="10"/>
  <c r="BA210" i="10"/>
  <c r="F210" i="10"/>
  <c r="J210" i="10"/>
  <c r="N210" i="10"/>
  <c r="R210" i="10"/>
  <c r="V210" i="10"/>
  <c r="Z210" i="10"/>
  <c r="AD210" i="10"/>
  <c r="AH210" i="10"/>
  <c r="AL210" i="10"/>
  <c r="AP210" i="10"/>
  <c r="AT210" i="10"/>
  <c r="AX210" i="10"/>
  <c r="BB210" i="10"/>
  <c r="G210" i="10"/>
  <c r="K210" i="10"/>
  <c r="O210" i="10"/>
  <c r="S210" i="10"/>
  <c r="W210" i="10"/>
  <c r="AA210" i="10"/>
  <c r="AE210" i="10"/>
  <c r="AI210" i="10"/>
  <c r="AM210" i="10"/>
  <c r="AQ210" i="10"/>
  <c r="AU210" i="10"/>
  <c r="AY210" i="10"/>
  <c r="BC210" i="10"/>
  <c r="I124" i="10"/>
  <c r="M124" i="10"/>
  <c r="Q124" i="10"/>
  <c r="U124" i="10"/>
  <c r="Y124" i="10"/>
  <c r="AC124" i="10"/>
  <c r="AG124" i="10"/>
  <c r="AK124" i="10"/>
  <c r="AO124" i="10"/>
  <c r="AS124" i="10"/>
  <c r="AW124" i="10"/>
  <c r="BA124" i="10"/>
  <c r="F124" i="10"/>
  <c r="J124" i="10"/>
  <c r="N124" i="10"/>
  <c r="R124" i="10"/>
  <c r="V124" i="10"/>
  <c r="Z124" i="10"/>
  <c r="AD124" i="10"/>
  <c r="AH124" i="10"/>
  <c r="AL124" i="10"/>
  <c r="AP124" i="10"/>
  <c r="AT124" i="10"/>
  <c r="AX124" i="10"/>
  <c r="BB124" i="10"/>
  <c r="H124" i="10"/>
  <c r="L124" i="10"/>
  <c r="P124" i="10"/>
  <c r="T124" i="10"/>
  <c r="X124" i="10"/>
  <c r="AB124" i="10"/>
  <c r="AF124" i="10"/>
  <c r="AJ124" i="10"/>
  <c r="AN124" i="10"/>
  <c r="AR124" i="10"/>
  <c r="AV124" i="10"/>
  <c r="G124" i="10"/>
  <c r="W124" i="10"/>
  <c r="AM124" i="10"/>
  <c r="AZ124" i="10"/>
  <c r="K124" i="10"/>
  <c r="AA124" i="10"/>
  <c r="AQ124" i="10"/>
  <c r="BC124" i="10"/>
  <c r="O124" i="10"/>
  <c r="AE124" i="10"/>
  <c r="AU124" i="10"/>
  <c r="S124" i="10"/>
  <c r="AI124" i="10"/>
  <c r="AY124" i="10"/>
  <c r="I267" i="10"/>
  <c r="M267" i="10"/>
  <c r="Q267" i="10"/>
  <c r="U267" i="10"/>
  <c r="Y267" i="10"/>
  <c r="AC267" i="10"/>
  <c r="AG267" i="10"/>
  <c r="AK267" i="10"/>
  <c r="AO267" i="10"/>
  <c r="AS267" i="10"/>
  <c r="AW267" i="10"/>
  <c r="BA267" i="10"/>
  <c r="F267" i="10"/>
  <c r="J267" i="10"/>
  <c r="N267" i="10"/>
  <c r="R267" i="10"/>
  <c r="V267" i="10"/>
  <c r="Z267" i="10"/>
  <c r="AD267" i="10"/>
  <c r="AH267" i="10"/>
  <c r="AL267" i="10"/>
  <c r="AP267" i="10"/>
  <c r="AT267" i="10"/>
  <c r="AX267" i="10"/>
  <c r="BB267" i="10"/>
  <c r="G267" i="10"/>
  <c r="K267" i="10"/>
  <c r="O267" i="10"/>
  <c r="S267" i="10"/>
  <c r="W267" i="10"/>
  <c r="AA267" i="10"/>
  <c r="AE267" i="10"/>
  <c r="AI267" i="10"/>
  <c r="AM267" i="10"/>
  <c r="AQ267" i="10"/>
  <c r="AU267" i="10"/>
  <c r="AY267" i="10"/>
  <c r="BC267" i="10"/>
  <c r="H267" i="10"/>
  <c r="L267" i="10"/>
  <c r="P267" i="10"/>
  <c r="T267" i="10"/>
  <c r="X267" i="10"/>
  <c r="AB267" i="10"/>
  <c r="AF267" i="10"/>
  <c r="AJ267" i="10"/>
  <c r="AN267" i="10"/>
  <c r="AR267" i="10"/>
  <c r="AV267" i="10"/>
  <c r="AZ267" i="10"/>
  <c r="I195" i="10"/>
  <c r="M195" i="10"/>
  <c r="Q195" i="10"/>
  <c r="U195" i="10"/>
  <c r="Y195" i="10"/>
  <c r="AC195" i="10"/>
  <c r="AG195" i="10"/>
  <c r="AK195" i="10"/>
  <c r="AO195" i="10"/>
  <c r="AS195" i="10"/>
  <c r="AW195" i="10"/>
  <c r="BA195" i="10"/>
  <c r="F195" i="10"/>
  <c r="J195" i="10"/>
  <c r="N195" i="10"/>
  <c r="R195" i="10"/>
  <c r="V195" i="10"/>
  <c r="Z195" i="10"/>
  <c r="AD195" i="10"/>
  <c r="AH195" i="10"/>
  <c r="AL195" i="10"/>
  <c r="AP195" i="10"/>
  <c r="AT195" i="10"/>
  <c r="AX195" i="10"/>
  <c r="BB195" i="10"/>
  <c r="G195" i="10"/>
  <c r="K195" i="10"/>
  <c r="O195" i="10"/>
  <c r="S195" i="10"/>
  <c r="W195" i="10"/>
  <c r="AA195" i="10"/>
  <c r="AE195" i="10"/>
  <c r="AI195" i="10"/>
  <c r="AM195" i="10"/>
  <c r="AQ195" i="10"/>
  <c r="AU195" i="10"/>
  <c r="AY195" i="10"/>
  <c r="BC195" i="10"/>
  <c r="H195" i="10"/>
  <c r="L195" i="10"/>
  <c r="P195" i="10"/>
  <c r="T195" i="10"/>
  <c r="X195" i="10"/>
  <c r="AB195" i="10"/>
  <c r="AF195" i="10"/>
  <c r="AJ195" i="10"/>
  <c r="AN195" i="10"/>
  <c r="AR195" i="10"/>
  <c r="AV195" i="10"/>
  <c r="AZ195" i="10"/>
  <c r="I295" i="10"/>
  <c r="M295" i="10"/>
  <c r="Q295" i="10"/>
  <c r="U295" i="10"/>
  <c r="Y295" i="10"/>
  <c r="AC295" i="10"/>
  <c r="AG295" i="10"/>
  <c r="AK295" i="10"/>
  <c r="AO295" i="10"/>
  <c r="AS295" i="10"/>
  <c r="AW295" i="10"/>
  <c r="BA295" i="10"/>
  <c r="F295" i="10"/>
  <c r="J295" i="10"/>
  <c r="N295" i="10"/>
  <c r="R295" i="10"/>
  <c r="V295" i="10"/>
  <c r="Z295" i="10"/>
  <c r="AD295" i="10"/>
  <c r="AH295" i="10"/>
  <c r="AL295" i="10"/>
  <c r="AP295" i="10"/>
  <c r="AT295" i="10"/>
  <c r="AX295" i="10"/>
  <c r="BB295" i="10"/>
  <c r="G295" i="10"/>
  <c r="K295" i="10"/>
  <c r="O295" i="10"/>
  <c r="S295" i="10"/>
  <c r="W295" i="10"/>
  <c r="AA295" i="10"/>
  <c r="AE295" i="10"/>
  <c r="AI295" i="10"/>
  <c r="AM295" i="10"/>
  <c r="AQ295" i="10"/>
  <c r="AU295" i="10"/>
  <c r="AY295" i="10"/>
  <c r="BC295" i="10"/>
  <c r="H295" i="10"/>
  <c r="L295" i="10"/>
  <c r="P295" i="10"/>
  <c r="T295" i="10"/>
  <c r="X295" i="10"/>
  <c r="AB295" i="10"/>
  <c r="AF295" i="10"/>
  <c r="AJ295" i="10"/>
  <c r="AN295" i="10"/>
  <c r="AR295" i="10"/>
  <c r="AV295" i="10"/>
  <c r="AZ295" i="10"/>
  <c r="H198" i="10"/>
  <c r="L198" i="10"/>
  <c r="P198" i="10"/>
  <c r="T198" i="10"/>
  <c r="X198" i="10"/>
  <c r="AB198" i="10"/>
  <c r="AF198" i="10"/>
  <c r="AJ198" i="10"/>
  <c r="AN198" i="10"/>
  <c r="AR198" i="10"/>
  <c r="AV198" i="10"/>
  <c r="AZ198" i="10"/>
  <c r="I198" i="10"/>
  <c r="M198" i="10"/>
  <c r="Q198" i="10"/>
  <c r="U198" i="10"/>
  <c r="Y198" i="10"/>
  <c r="AC198" i="10"/>
  <c r="AG198" i="10"/>
  <c r="AK198" i="10"/>
  <c r="AO198" i="10"/>
  <c r="AS198" i="10"/>
  <c r="AW198" i="10"/>
  <c r="BA198" i="10"/>
  <c r="F198" i="10"/>
  <c r="J198" i="10"/>
  <c r="N198" i="10"/>
  <c r="R198" i="10"/>
  <c r="V198" i="10"/>
  <c r="Z198" i="10"/>
  <c r="AD198" i="10"/>
  <c r="AH198" i="10"/>
  <c r="AL198" i="10"/>
  <c r="AP198" i="10"/>
  <c r="AT198" i="10"/>
  <c r="AX198" i="10"/>
  <c r="BB198" i="10"/>
  <c r="G198" i="10"/>
  <c r="K198" i="10"/>
  <c r="O198" i="10"/>
  <c r="S198" i="10"/>
  <c r="W198" i="10"/>
  <c r="AA198" i="10"/>
  <c r="AE198" i="10"/>
  <c r="AI198" i="10"/>
  <c r="AM198" i="10"/>
  <c r="AQ198" i="10"/>
  <c r="AU198" i="10"/>
  <c r="AY198" i="10"/>
  <c r="BC198" i="10"/>
  <c r="I223" i="10"/>
  <c r="M223" i="10"/>
  <c r="Q223" i="10"/>
  <c r="U223" i="10"/>
  <c r="Y223" i="10"/>
  <c r="AC223" i="10"/>
  <c r="AG223" i="10"/>
  <c r="AK223" i="10"/>
  <c r="AO223" i="10"/>
  <c r="AS223" i="10"/>
  <c r="AW223" i="10"/>
  <c r="BA223" i="10"/>
  <c r="F223" i="10"/>
  <c r="J223" i="10"/>
  <c r="N223" i="10"/>
  <c r="R223" i="10"/>
  <c r="V223" i="10"/>
  <c r="Z223" i="10"/>
  <c r="AD223" i="10"/>
  <c r="AH223" i="10"/>
  <c r="AL223" i="10"/>
  <c r="AP223" i="10"/>
  <c r="AT223" i="10"/>
  <c r="AX223" i="10"/>
  <c r="BB223" i="10"/>
  <c r="G223" i="10"/>
  <c r="K223" i="10"/>
  <c r="O223" i="10"/>
  <c r="S223" i="10"/>
  <c r="W223" i="10"/>
  <c r="AA223" i="10"/>
  <c r="AE223" i="10"/>
  <c r="AI223" i="10"/>
  <c r="AM223" i="10"/>
  <c r="AQ223" i="10"/>
  <c r="AU223" i="10"/>
  <c r="AY223" i="10"/>
  <c r="BC223" i="10"/>
  <c r="H223" i="10"/>
  <c r="L223" i="10"/>
  <c r="P223" i="10"/>
  <c r="T223" i="10"/>
  <c r="X223" i="10"/>
  <c r="AB223" i="10"/>
  <c r="AF223" i="10"/>
  <c r="AJ223" i="10"/>
  <c r="AN223" i="10"/>
  <c r="AR223" i="10"/>
  <c r="AV223" i="10"/>
  <c r="AZ223" i="10"/>
  <c r="F212" i="10"/>
  <c r="J212" i="10"/>
  <c r="N212" i="10"/>
  <c r="R212" i="10"/>
  <c r="V212" i="10"/>
  <c r="Z212" i="10"/>
  <c r="AD212" i="10"/>
  <c r="AH212" i="10"/>
  <c r="AL212" i="10"/>
  <c r="AP212" i="10"/>
  <c r="AT212" i="10"/>
  <c r="AX212" i="10"/>
  <c r="BB212" i="10"/>
  <c r="G212" i="10"/>
  <c r="K212" i="10"/>
  <c r="O212" i="10"/>
  <c r="S212" i="10"/>
  <c r="W212" i="10"/>
  <c r="AA212" i="10"/>
  <c r="AE212" i="10"/>
  <c r="AI212" i="10"/>
  <c r="AM212" i="10"/>
  <c r="AQ212" i="10"/>
  <c r="AU212" i="10"/>
  <c r="AY212" i="10"/>
  <c r="BC212" i="10"/>
  <c r="H212" i="10"/>
  <c r="L212" i="10"/>
  <c r="P212" i="10"/>
  <c r="T212" i="10"/>
  <c r="X212" i="10"/>
  <c r="AB212" i="10"/>
  <c r="AF212" i="10"/>
  <c r="AJ212" i="10"/>
  <c r="AN212" i="10"/>
  <c r="AR212" i="10"/>
  <c r="AV212" i="10"/>
  <c r="AZ212" i="10"/>
  <c r="I212" i="10"/>
  <c r="M212" i="10"/>
  <c r="Q212" i="10"/>
  <c r="U212" i="10"/>
  <c r="Y212" i="10"/>
  <c r="AC212" i="10"/>
  <c r="AG212" i="10"/>
  <c r="AK212" i="10"/>
  <c r="AO212" i="10"/>
  <c r="AS212" i="10"/>
  <c r="AW212" i="10"/>
  <c r="BA212" i="10"/>
  <c r="G233" i="10"/>
  <c r="K233" i="10"/>
  <c r="O233" i="10"/>
  <c r="S233" i="10"/>
  <c r="W233" i="10"/>
  <c r="AA233" i="10"/>
  <c r="AE233" i="10"/>
  <c r="AI233" i="10"/>
  <c r="AM233" i="10"/>
  <c r="AQ233" i="10"/>
  <c r="AU233" i="10"/>
  <c r="AY233" i="10"/>
  <c r="BC233" i="10"/>
  <c r="H233" i="10"/>
  <c r="L233" i="10"/>
  <c r="P233" i="10"/>
  <c r="T233" i="10"/>
  <c r="X233" i="10"/>
  <c r="AB233" i="10"/>
  <c r="AF233" i="10"/>
  <c r="AJ233" i="10"/>
  <c r="AN233" i="10"/>
  <c r="AR233" i="10"/>
  <c r="AV233" i="10"/>
  <c r="AZ233" i="10"/>
  <c r="I233" i="10"/>
  <c r="M233" i="10"/>
  <c r="Q233" i="10"/>
  <c r="U233" i="10"/>
  <c r="Y233" i="10"/>
  <c r="AC233" i="10"/>
  <c r="AG233" i="10"/>
  <c r="AK233" i="10"/>
  <c r="AO233" i="10"/>
  <c r="AS233" i="10"/>
  <c r="AW233" i="10"/>
  <c r="BA233" i="10"/>
  <c r="F233" i="10"/>
  <c r="J233" i="10"/>
  <c r="N233" i="10"/>
  <c r="R233" i="10"/>
  <c r="V233" i="10"/>
  <c r="Z233" i="10"/>
  <c r="AD233" i="10"/>
  <c r="AH233" i="10"/>
  <c r="AL233" i="10"/>
  <c r="AP233" i="10"/>
  <c r="AT233" i="10"/>
  <c r="AX233" i="10"/>
  <c r="BB233" i="10"/>
  <c r="I207" i="10"/>
  <c r="M207" i="10"/>
  <c r="Q207" i="10"/>
  <c r="U207" i="10"/>
  <c r="Y207" i="10"/>
  <c r="AC207" i="10"/>
  <c r="AG207" i="10"/>
  <c r="AK207" i="10"/>
  <c r="AO207" i="10"/>
  <c r="AS207" i="10"/>
  <c r="AW207" i="10"/>
  <c r="BA207" i="10"/>
  <c r="F207" i="10"/>
  <c r="J207" i="10"/>
  <c r="N207" i="10"/>
  <c r="R207" i="10"/>
  <c r="V207" i="10"/>
  <c r="Z207" i="10"/>
  <c r="AD207" i="10"/>
  <c r="AH207" i="10"/>
  <c r="AL207" i="10"/>
  <c r="AP207" i="10"/>
  <c r="AT207" i="10"/>
  <c r="AX207" i="10"/>
  <c r="BB207" i="10"/>
  <c r="G207" i="10"/>
  <c r="K207" i="10"/>
  <c r="O207" i="10"/>
  <c r="S207" i="10"/>
  <c r="W207" i="10"/>
  <c r="AA207" i="10"/>
  <c r="AE207" i="10"/>
  <c r="AI207" i="10"/>
  <c r="AM207" i="10"/>
  <c r="AQ207" i="10"/>
  <c r="AU207" i="10"/>
  <c r="AY207" i="10"/>
  <c r="BC207" i="10"/>
  <c r="H207" i="10"/>
  <c r="L207" i="10"/>
  <c r="P207" i="10"/>
  <c r="T207" i="10"/>
  <c r="X207" i="10"/>
  <c r="AB207" i="10"/>
  <c r="AF207" i="10"/>
  <c r="AJ207" i="10"/>
  <c r="AN207" i="10"/>
  <c r="AR207" i="10"/>
  <c r="AV207" i="10"/>
  <c r="AZ207" i="10"/>
  <c r="G209" i="10"/>
  <c r="K209" i="10"/>
  <c r="O209" i="10"/>
  <c r="S209" i="10"/>
  <c r="W209" i="10"/>
  <c r="AA209" i="10"/>
  <c r="AE209" i="10"/>
  <c r="AI209" i="10"/>
  <c r="AM209" i="10"/>
  <c r="AQ209" i="10"/>
  <c r="AU209" i="10"/>
  <c r="AY209" i="10"/>
  <c r="BC209" i="10"/>
  <c r="H209" i="10"/>
  <c r="L209" i="10"/>
  <c r="P209" i="10"/>
  <c r="T209" i="10"/>
  <c r="X209" i="10"/>
  <c r="AB209" i="10"/>
  <c r="AF209" i="10"/>
  <c r="AJ209" i="10"/>
  <c r="AN209" i="10"/>
  <c r="AR209" i="10"/>
  <c r="AV209" i="10"/>
  <c r="AZ209" i="10"/>
  <c r="I209" i="10"/>
  <c r="M209" i="10"/>
  <c r="Q209" i="10"/>
  <c r="U209" i="10"/>
  <c r="Y209" i="10"/>
  <c r="AC209" i="10"/>
  <c r="AG209" i="10"/>
  <c r="AK209" i="10"/>
  <c r="AO209" i="10"/>
  <c r="AS209" i="10"/>
  <c r="AW209" i="10"/>
  <c r="BA209" i="10"/>
  <c r="F209" i="10"/>
  <c r="J209" i="10"/>
  <c r="N209" i="10"/>
  <c r="R209" i="10"/>
  <c r="V209" i="10"/>
  <c r="Z209" i="10"/>
  <c r="AD209" i="10"/>
  <c r="AH209" i="10"/>
  <c r="AL209" i="10"/>
  <c r="AP209" i="10"/>
  <c r="AT209" i="10"/>
  <c r="AX209" i="10"/>
  <c r="BB209" i="10"/>
  <c r="I311" i="10"/>
  <c r="M311" i="10"/>
  <c r="Q311" i="10"/>
  <c r="U311" i="10"/>
  <c r="Y311" i="10"/>
  <c r="AC311" i="10"/>
  <c r="AG311" i="10"/>
  <c r="AK311" i="10"/>
  <c r="AO311" i="10"/>
  <c r="AS311" i="10"/>
  <c r="AW311" i="10"/>
  <c r="BA311" i="10"/>
  <c r="F311" i="10"/>
  <c r="J311" i="10"/>
  <c r="N311" i="10"/>
  <c r="R311" i="10"/>
  <c r="V311" i="10"/>
  <c r="Z311" i="10"/>
  <c r="AD311" i="10"/>
  <c r="AH311" i="10"/>
  <c r="AL311" i="10"/>
  <c r="AP311" i="10"/>
  <c r="AT311" i="10"/>
  <c r="AX311" i="10"/>
  <c r="BB311" i="10"/>
  <c r="G311" i="10"/>
  <c r="K311" i="10"/>
  <c r="O311" i="10"/>
  <c r="S311" i="10"/>
  <c r="W311" i="10"/>
  <c r="AA311" i="10"/>
  <c r="AE311" i="10"/>
  <c r="AI311" i="10"/>
  <c r="AM311" i="10"/>
  <c r="AQ311" i="10"/>
  <c r="AU311" i="10"/>
  <c r="AY311" i="10"/>
  <c r="BC311" i="10"/>
  <c r="H311" i="10"/>
  <c r="L311" i="10"/>
  <c r="P311" i="10"/>
  <c r="T311" i="10"/>
  <c r="X311" i="10"/>
  <c r="AB311" i="10"/>
  <c r="AF311" i="10"/>
  <c r="AJ311" i="10"/>
  <c r="AN311" i="10"/>
  <c r="AR311" i="10"/>
  <c r="AV311" i="10"/>
  <c r="AZ311" i="10"/>
  <c r="E123" i="10" l="1"/>
  <c r="E225" i="10"/>
  <c r="E231" i="10"/>
  <c r="E204" i="10"/>
  <c r="E301" i="10"/>
  <c r="E203" i="10"/>
  <c r="E218" i="10"/>
  <c r="E212" i="10"/>
  <c r="E198" i="10"/>
  <c r="E195" i="10"/>
  <c r="E124" i="10"/>
  <c r="E211" i="10"/>
  <c r="E307" i="10"/>
  <c r="E299" i="10"/>
  <c r="E199" i="10"/>
  <c r="E125" i="10"/>
  <c r="E238" i="10"/>
  <c r="E308" i="10"/>
  <c r="E200" i="10"/>
  <c r="E226" i="10"/>
  <c r="E224" i="10"/>
  <c r="E235" i="10"/>
  <c r="E234" i="10"/>
  <c r="E298" i="10"/>
  <c r="E300" i="10"/>
  <c r="E302" i="10"/>
  <c r="E230" i="10"/>
  <c r="E228" i="10"/>
  <c r="E220" i="10"/>
  <c r="E232" i="10"/>
  <c r="E216" i="10"/>
  <c r="E311" i="10"/>
  <c r="E237" i="10"/>
  <c r="E221" i="10"/>
  <c r="E197" i="10"/>
  <c r="E309" i="10"/>
  <c r="E297" i="10"/>
  <c r="E313" i="10"/>
  <c r="E217" i="10"/>
  <c r="E207" i="10"/>
  <c r="E209" i="10"/>
  <c r="E233" i="10"/>
  <c r="E223" i="10"/>
  <c r="E295" i="10"/>
  <c r="E267" i="10"/>
  <c r="E210" i="10"/>
  <c r="E236" i="10"/>
  <c r="E290" i="10"/>
  <c r="E310" i="10"/>
  <c r="E222" i="10"/>
  <c r="E122" i="10"/>
  <c r="E208" i="10"/>
  <c r="E312" i="10"/>
  <c r="E296" i="10"/>
  <c r="E196" i="10"/>
  <c r="E229" i="10"/>
  <c r="E206" i="10"/>
  <c r="E314" i="10"/>
  <c r="E194" i="10"/>
  <c r="E205" i="10"/>
  <c r="E185" i="10"/>
  <c r="H4535" i="41"/>
  <c r="G4535" i="41"/>
  <c r="K4535" i="41"/>
  <c r="I4535" i="41"/>
  <c r="J4535" i="41"/>
  <c r="D4536" i="41"/>
  <c r="E4536" i="41" s="1"/>
  <c r="F4536" i="41" s="1"/>
  <c r="J4536" i="41" l="1"/>
  <c r="I4536" i="41"/>
  <c r="G4536" i="41"/>
  <c r="H4536" i="41"/>
  <c r="K4536" i="41"/>
  <c r="D4537" i="41"/>
  <c r="E4537" i="41" s="1"/>
  <c r="F4537" i="41" s="1"/>
  <c r="K4537" i="41" l="1"/>
  <c r="I4537" i="41"/>
  <c r="H4537" i="41"/>
  <c r="J4537" i="41"/>
  <c r="G4537" i="41"/>
  <c r="D4538" i="41"/>
  <c r="E4538" i="41" s="1"/>
  <c r="F4538" i="41" s="1"/>
  <c r="K4538" i="41" l="1"/>
  <c r="J4538" i="41"/>
  <c r="I4538" i="41"/>
  <c r="G4538" i="41"/>
  <c r="H4538" i="41"/>
  <c r="D4539" i="41"/>
  <c r="E4539" i="41" s="1"/>
  <c r="F4539" i="41" s="1"/>
  <c r="H4539" i="41" l="1"/>
  <c r="G4539" i="41"/>
  <c r="K4539" i="41"/>
  <c r="J4539" i="41"/>
  <c r="I4539" i="41"/>
  <c r="D4540" i="41"/>
  <c r="E4540" i="41" s="1"/>
  <c r="F4540" i="41" s="1"/>
  <c r="J4540" i="41" l="1"/>
  <c r="I4540" i="41"/>
  <c r="G4540" i="41"/>
  <c r="K4540" i="41"/>
  <c r="H4540" i="41"/>
  <c r="D4541" i="41"/>
  <c r="E4541" i="41" s="1"/>
  <c r="F4541" i="41" s="1"/>
  <c r="K4541" i="41" l="1"/>
  <c r="I4541" i="41"/>
  <c r="H4541" i="41"/>
  <c r="J4541" i="41"/>
  <c r="G4541" i="41"/>
  <c r="D4542" i="41"/>
  <c r="E4542" i="41" s="1"/>
  <c r="F4542" i="41" s="1"/>
  <c r="K4542" i="41" l="1"/>
  <c r="J4542" i="41"/>
  <c r="I4542" i="41"/>
  <c r="H4542" i="41"/>
  <c r="G4542" i="41"/>
  <c r="D4543" i="41"/>
  <c r="E4543" i="41" s="1"/>
  <c r="F4543" i="41" s="1"/>
  <c r="H4543" i="41" l="1"/>
  <c r="G4543" i="41"/>
  <c r="K4543" i="41"/>
  <c r="I4543" i="41"/>
  <c r="J4543" i="41"/>
  <c r="D4544" i="41"/>
  <c r="E4544" i="41" s="1"/>
  <c r="F4544" i="41" s="1"/>
  <c r="J4544" i="41" l="1"/>
  <c r="I4544" i="41"/>
  <c r="G4544" i="41"/>
  <c r="H4544" i="41"/>
  <c r="K4544" i="41"/>
  <c r="D4545" i="41"/>
  <c r="E4545" i="41" s="1"/>
  <c r="F4545" i="41" s="1"/>
  <c r="K4545" i="41" l="1"/>
  <c r="I4545" i="41"/>
  <c r="H4545" i="41"/>
  <c r="J4545" i="41"/>
  <c r="G4545" i="41"/>
  <c r="D4546" i="41"/>
  <c r="E4546" i="41" s="1"/>
  <c r="F4546" i="41" s="1"/>
  <c r="K4546" i="41" l="1"/>
  <c r="J4546" i="41"/>
  <c r="I4546" i="41"/>
  <c r="G4546" i="41"/>
  <c r="H4546" i="41"/>
  <c r="D4547" i="41"/>
  <c r="E4547" i="41" s="1"/>
  <c r="F4547" i="41" s="1"/>
  <c r="H4547" i="41" l="1"/>
  <c r="G4547" i="41"/>
  <c r="I4547" i="41"/>
  <c r="K4547" i="41"/>
  <c r="J4547" i="41"/>
  <c r="D4548" i="41"/>
  <c r="E4548" i="41" s="1"/>
  <c r="F4548" i="41" s="1"/>
  <c r="G976" i="37"/>
  <c r="G1019" i="37" s="1"/>
  <c r="J4548" i="41" l="1"/>
  <c r="I4548" i="41"/>
  <c r="G4548" i="41"/>
  <c r="K4548" i="41"/>
  <c r="H4548" i="41"/>
  <c r="D4549" i="41"/>
  <c r="E4549" i="41" s="1"/>
  <c r="F4549" i="41" s="1"/>
  <c r="G997" i="37"/>
  <c r="G1002" i="37"/>
  <c r="G1006" i="37"/>
  <c r="G1005" i="37"/>
  <c r="G1001" i="37"/>
  <c r="G1004" i="37"/>
  <c r="G1003" i="37"/>
  <c r="E126" i="39" l="1" a="1"/>
  <c r="K4549" i="41"/>
  <c r="I4549" i="41"/>
  <c r="H4549" i="41"/>
  <c r="J4549" i="41"/>
  <c r="G4549" i="41"/>
  <c r="D4550" i="41"/>
  <c r="E4550" i="41" s="1"/>
  <c r="F4550" i="41" s="1"/>
  <c r="E129" i="39" l="1"/>
  <c r="E126" i="39"/>
  <c r="E128" i="39"/>
  <c r="E130" i="39"/>
  <c r="E131" i="39"/>
  <c r="E127" i="39"/>
  <c r="K4550" i="41"/>
  <c r="J4550" i="41"/>
  <c r="G4550" i="41"/>
  <c r="I4550" i="41"/>
  <c r="H4550" i="41"/>
  <c r="D4551" i="41"/>
  <c r="E4551" i="41" s="1"/>
  <c r="F4551" i="41" s="1"/>
  <c r="H4551" i="41" l="1"/>
  <c r="G4551" i="41"/>
  <c r="K4551" i="41"/>
  <c r="J4551" i="41"/>
  <c r="I4551" i="41"/>
  <c r="D4552" i="41"/>
  <c r="E4552" i="41" s="1"/>
  <c r="F4552" i="41" s="1"/>
  <c r="J788" i="37"/>
  <c r="J821" i="37" s="1"/>
  <c r="O788" i="37"/>
  <c r="O821" i="37" s="1"/>
  <c r="N793" i="37"/>
  <c r="N826" i="37" s="1"/>
  <c r="M801" i="37"/>
  <c r="M834" i="37" s="1"/>
  <c r="M799" i="37"/>
  <c r="M832" i="37" s="1"/>
  <c r="G798" i="37"/>
  <c r="G831" i="37" s="1"/>
  <c r="H799" i="37"/>
  <c r="H832" i="37" s="1"/>
  <c r="M800" i="37"/>
  <c r="M833" i="37" s="1"/>
  <c r="L798" i="37"/>
  <c r="L831" i="37" s="1"/>
  <c r="I793" i="37"/>
  <c r="I826" i="37" s="1"/>
  <c r="H800" i="37"/>
  <c r="H833" i="37" s="1"/>
  <c r="H801" i="37"/>
  <c r="H834" i="37" s="1"/>
  <c r="L799" i="37"/>
  <c r="L832" i="37" s="1"/>
  <c r="G799" i="37"/>
  <c r="G832" i="37" s="1"/>
  <c r="N787" i="37"/>
  <c r="I787" i="37"/>
  <c r="N792" i="37"/>
  <c r="N825" i="37" s="1"/>
  <c r="I792" i="37"/>
  <c r="I825" i="37" s="1"/>
  <c r="J4552" i="41" l="1"/>
  <c r="I4552" i="41"/>
  <c r="G4552" i="41"/>
  <c r="K4552" i="41"/>
  <c r="H4552" i="41"/>
  <c r="D4553" i="41"/>
  <c r="E4553" i="41" s="1"/>
  <c r="F4553" i="41" s="1"/>
  <c r="N820" i="37"/>
  <c r="I820" i="37"/>
  <c r="K4553" i="41" l="1"/>
  <c r="I4553" i="41"/>
  <c r="H4553" i="41"/>
  <c r="J4553" i="41"/>
  <c r="G4553" i="41"/>
  <c r="D4554" i="41"/>
  <c r="E4554" i="41" s="1"/>
  <c r="F4554" i="41" s="1"/>
  <c r="K4554" i="41" l="1"/>
  <c r="J4554" i="41"/>
  <c r="I4554" i="41"/>
  <c r="H4554" i="41"/>
  <c r="G4554" i="41"/>
  <c r="D4555" i="41"/>
  <c r="E4555" i="41" s="1"/>
  <c r="F4555" i="41" s="1"/>
  <c r="H4555" i="41" l="1"/>
  <c r="G4555" i="41"/>
  <c r="I4555" i="41"/>
  <c r="K4555" i="41"/>
  <c r="J4555" i="41"/>
  <c r="D4556" i="41"/>
  <c r="E4556" i="41" s="1"/>
  <c r="F4556" i="41" s="1"/>
  <c r="J4556" i="41" l="1"/>
  <c r="I4556" i="41"/>
  <c r="G4556" i="41"/>
  <c r="K4556" i="41"/>
  <c r="H4556" i="41"/>
  <c r="D4557" i="41"/>
  <c r="E4557" i="41" s="1"/>
  <c r="F4557" i="41" s="1"/>
  <c r="K4557" i="41" l="1"/>
  <c r="I4557" i="41"/>
  <c r="H4557" i="41"/>
  <c r="J4557" i="41"/>
  <c r="G4557" i="41"/>
  <c r="D4558" i="41"/>
  <c r="E4558" i="41" s="1"/>
  <c r="F4558" i="41" s="1"/>
  <c r="K4558" i="41" l="1"/>
  <c r="J4558" i="41"/>
  <c r="G4558" i="41"/>
  <c r="I4558" i="41"/>
  <c r="H4558" i="41"/>
  <c r="D4559" i="41"/>
  <c r="E4559" i="41" s="1"/>
  <c r="F4559" i="41" s="1"/>
  <c r="H4559" i="41" l="1"/>
  <c r="G4559" i="41"/>
  <c r="K4559" i="41"/>
  <c r="J4559" i="41"/>
  <c r="I4559" i="41"/>
  <c r="D4560" i="41"/>
  <c r="E4560" i="41" s="1"/>
  <c r="F4560" i="41" s="1"/>
  <c r="J4560" i="41" l="1"/>
  <c r="I4560" i="41"/>
  <c r="G4560" i="41"/>
  <c r="K4560" i="41"/>
  <c r="H4560" i="41"/>
  <c r="D4561" i="41"/>
  <c r="E4561" i="41" s="1"/>
  <c r="F4561" i="41" s="1"/>
  <c r="K4561" i="41" l="1"/>
  <c r="I4561" i="41"/>
  <c r="H4561" i="41"/>
  <c r="J4561" i="41"/>
  <c r="G4561" i="41"/>
  <c r="D4562" i="41"/>
  <c r="E4562" i="41" s="1"/>
  <c r="F4562" i="41" s="1"/>
  <c r="K4562" i="41" l="1"/>
  <c r="J4562" i="41"/>
  <c r="I4562" i="41"/>
  <c r="H4562" i="41"/>
  <c r="G4562" i="41"/>
  <c r="D4563" i="41"/>
  <c r="E4563" i="41" s="1"/>
  <c r="F4563" i="41" s="1"/>
  <c r="H4563" i="41" l="1"/>
  <c r="G4563" i="41"/>
  <c r="I4563" i="41"/>
  <c r="K4563" i="41"/>
  <c r="J4563" i="41"/>
  <c r="D4564" i="41"/>
  <c r="E4564" i="41" s="1"/>
  <c r="F4564" i="41" s="1"/>
  <c r="J4564" i="41" l="1"/>
  <c r="I4564" i="41"/>
  <c r="G4564" i="41"/>
  <c r="K4564" i="41"/>
  <c r="H4564" i="41"/>
  <c r="D4565" i="41"/>
  <c r="E4565" i="41" s="1"/>
  <c r="F4565" i="41" s="1"/>
  <c r="J4565" i="41" l="1"/>
  <c r="I4565" i="41"/>
  <c r="K4565" i="41"/>
  <c r="H4565" i="41"/>
  <c r="G4565" i="41"/>
  <c r="D4566" i="41"/>
  <c r="E4566" i="41" s="1"/>
  <c r="F4566" i="41" s="1"/>
  <c r="K4566" i="41" l="1"/>
  <c r="J4566" i="41"/>
  <c r="I4566" i="41"/>
  <c r="H4566" i="41"/>
  <c r="G4566" i="41"/>
  <c r="D4567" i="41"/>
  <c r="E4567" i="41" s="1"/>
  <c r="F4567" i="41" s="1"/>
  <c r="K4567" i="41" l="1"/>
  <c r="J4567" i="41"/>
  <c r="I4567" i="41"/>
  <c r="H4567" i="41"/>
  <c r="G4567" i="41"/>
  <c r="D4568" i="41"/>
  <c r="E4568" i="41" s="1"/>
  <c r="F4568" i="41" s="1"/>
  <c r="G1180" i="37"/>
  <c r="H4568" i="41" l="1"/>
  <c r="G4568" i="41"/>
  <c r="K4568" i="41"/>
  <c r="J4568" i="41"/>
  <c r="I4568" i="41"/>
  <c r="D4569" i="41"/>
  <c r="E4569" i="41" s="1"/>
  <c r="F4569" i="41" s="1"/>
  <c r="E178" i="39"/>
  <c r="J4569" i="41" l="1"/>
  <c r="I4569" i="41"/>
  <c r="H4569" i="41"/>
  <c r="G4569" i="41"/>
  <c r="K4569" i="41"/>
  <c r="D4570" i="41"/>
  <c r="E4570" i="41" s="1"/>
  <c r="F4570" i="41" s="1"/>
  <c r="K4570" i="41" l="1"/>
  <c r="J4570" i="41"/>
  <c r="I4570" i="41"/>
  <c r="H4570" i="41"/>
  <c r="G4570" i="41"/>
  <c r="D4571" i="41"/>
  <c r="E4571" i="41" s="1"/>
  <c r="F4571" i="41" s="1"/>
  <c r="K4571" i="41" l="1"/>
  <c r="J4571" i="41"/>
  <c r="I4571" i="41"/>
  <c r="H4571" i="41"/>
  <c r="G4571" i="41"/>
  <c r="D4572" i="41"/>
  <c r="E4572" i="41" s="1"/>
  <c r="F4572" i="41" s="1"/>
  <c r="H4572" i="41" l="1"/>
  <c r="G4572" i="41"/>
  <c r="K4572" i="41"/>
  <c r="J4572" i="41"/>
  <c r="I4572" i="41"/>
  <c r="D4573" i="41"/>
  <c r="E4573" i="41" s="1"/>
  <c r="F4573" i="41" s="1"/>
  <c r="J4573" i="41" l="1"/>
  <c r="I4573" i="41"/>
  <c r="H4573" i="41"/>
  <c r="G4573" i="41"/>
  <c r="K4573" i="41"/>
  <c r="D4574" i="41"/>
  <c r="E4574" i="41" s="1"/>
  <c r="F4574" i="41" s="1"/>
  <c r="K4574" i="41" l="1"/>
  <c r="J4574" i="41"/>
  <c r="I4574" i="41"/>
  <c r="H4574" i="41"/>
  <c r="G4574" i="41"/>
  <c r="D4575" i="41"/>
  <c r="E4575" i="41" s="1"/>
  <c r="F4575" i="41" s="1"/>
  <c r="K4575" i="41" l="1"/>
  <c r="J4575" i="41"/>
  <c r="I4575" i="41"/>
  <c r="H4575" i="41"/>
  <c r="G4575" i="41"/>
  <c r="D4576" i="41"/>
  <c r="E4576" i="41" s="1"/>
  <c r="F4576" i="41" s="1"/>
  <c r="H4576" i="41" l="1"/>
  <c r="G4576" i="41"/>
  <c r="K4576" i="41"/>
  <c r="J4576" i="41"/>
  <c r="I4576" i="41"/>
  <c r="D4577" i="41"/>
  <c r="E4577" i="41" s="1"/>
  <c r="F4577" i="41" s="1"/>
  <c r="J4577" i="41" l="1"/>
  <c r="I4577" i="41"/>
  <c r="H4577" i="41"/>
  <c r="G4577" i="41"/>
  <c r="K4577" i="41"/>
  <c r="D4578" i="41"/>
  <c r="E4578" i="41" s="1"/>
  <c r="F4578" i="41" s="1"/>
  <c r="K4578" i="41" l="1"/>
  <c r="J4578" i="41"/>
  <c r="I4578" i="41"/>
  <c r="H4578" i="41"/>
  <c r="G4578" i="41"/>
  <c r="D4579" i="41"/>
  <c r="E4579" i="41" s="1"/>
  <c r="F4579" i="41" s="1"/>
  <c r="K4579" i="41" l="1"/>
  <c r="J4579" i="41"/>
  <c r="I4579" i="41"/>
  <c r="H4579" i="41"/>
  <c r="G4579" i="41"/>
  <c r="D4580" i="41"/>
  <c r="E4580" i="41" s="1"/>
  <c r="F4580" i="41" s="1"/>
  <c r="H4580" i="41" l="1"/>
  <c r="G4580" i="41"/>
  <c r="K4580" i="41"/>
  <c r="J4580" i="41"/>
  <c r="I4580" i="41"/>
  <c r="D4581" i="41"/>
  <c r="E4581" i="41" s="1"/>
  <c r="F4581" i="41" s="1"/>
  <c r="J4581" i="41" l="1"/>
  <c r="I4581" i="41"/>
  <c r="H4581" i="41"/>
  <c r="G4581" i="41"/>
  <c r="K4581" i="41"/>
  <c r="D4582" i="41"/>
  <c r="E4582" i="41" s="1"/>
  <c r="F4582" i="41" s="1"/>
  <c r="K4582" i="41" l="1"/>
  <c r="J4582" i="41"/>
  <c r="I4582" i="41"/>
  <c r="H4582" i="41"/>
  <c r="G4582" i="41"/>
  <c r="D4583" i="41"/>
  <c r="E4583" i="41" s="1"/>
  <c r="F4583" i="41" s="1"/>
  <c r="K4583" i="41" l="1"/>
  <c r="J4583" i="41"/>
  <c r="I4583" i="41"/>
  <c r="H4583" i="41"/>
  <c r="G4583" i="41"/>
  <c r="D4584" i="41"/>
  <c r="E4584" i="41" s="1"/>
  <c r="F4584" i="41" s="1"/>
  <c r="H4584" i="41" l="1"/>
  <c r="G4584" i="41"/>
  <c r="K4584" i="41"/>
  <c r="J4584" i="41"/>
  <c r="I4584" i="41"/>
  <c r="D4585" i="41"/>
  <c r="E4585" i="41" s="1"/>
  <c r="F4585" i="41" s="1"/>
  <c r="J4585" i="41" l="1"/>
  <c r="I4585" i="41"/>
  <c r="H4585" i="41"/>
  <c r="G4585" i="41"/>
  <c r="K4585" i="41"/>
  <c r="D4586" i="41"/>
  <c r="E4586" i="41" s="1"/>
  <c r="F4586" i="41" s="1"/>
  <c r="F294" i="10" a="1"/>
  <c r="F129" i="10" a="1"/>
  <c r="F292" i="10" a="1"/>
  <c r="F291" i="10" a="1"/>
  <c r="K4586" i="41" l="1"/>
  <c r="J4586" i="41"/>
  <c r="I4586" i="41"/>
  <c r="H4586" i="41"/>
  <c r="G4586" i="41"/>
  <c r="D4587" i="41"/>
  <c r="E4587" i="41" s="1"/>
  <c r="F4587" i="41" s="1"/>
  <c r="F293" i="10" a="1"/>
  <c r="AQ293" i="10" s="1"/>
  <c r="F128" i="10" a="1"/>
  <c r="AV128" i="10" s="1"/>
  <c r="F283" i="10" a="1"/>
  <c r="F285" i="10" a="1"/>
  <c r="F286" i="10" a="1"/>
  <c r="F288" i="10" a="1"/>
  <c r="F287" i="10" a="1"/>
  <c r="F284" i="10" a="1"/>
  <c r="F289" i="10" a="1"/>
  <c r="H294" i="10"/>
  <c r="X294" i="10"/>
  <c r="AN294" i="10"/>
  <c r="I294" i="10"/>
  <c r="Y294" i="10"/>
  <c r="AO294" i="10"/>
  <c r="F294" i="10"/>
  <c r="V294" i="10"/>
  <c r="AL294" i="10"/>
  <c r="BB294" i="10"/>
  <c r="S294" i="10"/>
  <c r="P294" i="10"/>
  <c r="AF294" i="10"/>
  <c r="AV294" i="10"/>
  <c r="Q294" i="10"/>
  <c r="AG294" i="10"/>
  <c r="AW294" i="10"/>
  <c r="N294" i="10"/>
  <c r="AD294" i="10"/>
  <c r="AT294" i="10"/>
  <c r="K294" i="10"/>
  <c r="AA294" i="10"/>
  <c r="AQ294" i="10"/>
  <c r="AJ294" i="10"/>
  <c r="U294" i="10"/>
  <c r="BA294" i="10"/>
  <c r="AH294" i="10"/>
  <c r="O294" i="10"/>
  <c r="AM294" i="10"/>
  <c r="T294" i="10"/>
  <c r="AZ294" i="10"/>
  <c r="AK294" i="10"/>
  <c r="R294" i="10"/>
  <c r="AX294" i="10"/>
  <c r="AE294" i="10"/>
  <c r="AY294" i="10"/>
  <c r="AB294" i="10"/>
  <c r="M294" i="10"/>
  <c r="AS294" i="10"/>
  <c r="Z294" i="10"/>
  <c r="G294" i="10"/>
  <c r="AI294" i="10"/>
  <c r="BC294" i="10"/>
  <c r="L294" i="10"/>
  <c r="AP294" i="10"/>
  <c r="AR294" i="10"/>
  <c r="W294" i="10"/>
  <c r="AC294" i="10"/>
  <c r="AU294" i="10"/>
  <c r="J294" i="10"/>
  <c r="F257" i="10" a="1"/>
  <c r="F259" i="10" a="1"/>
  <c r="F260" i="10" a="1"/>
  <c r="F258" i="10" a="1"/>
  <c r="I291" i="10"/>
  <c r="Y291" i="10"/>
  <c r="AO291" i="10"/>
  <c r="F291" i="10"/>
  <c r="V291" i="10"/>
  <c r="AL291" i="10"/>
  <c r="BB291" i="10"/>
  <c r="S291" i="10"/>
  <c r="AI291" i="10"/>
  <c r="AY291" i="10"/>
  <c r="P291" i="10"/>
  <c r="AF291" i="10"/>
  <c r="AV291" i="10"/>
  <c r="M291" i="10"/>
  <c r="AC291" i="10"/>
  <c r="AS291" i="10"/>
  <c r="J291" i="10"/>
  <c r="Z291" i="10"/>
  <c r="AP291" i="10"/>
  <c r="G291" i="10"/>
  <c r="W291" i="10"/>
  <c r="AM291" i="10"/>
  <c r="BC291" i="10"/>
  <c r="T291" i="10"/>
  <c r="AJ291" i="10"/>
  <c r="AZ291" i="10"/>
  <c r="Q291" i="10"/>
  <c r="AG291" i="10"/>
  <c r="AW291" i="10"/>
  <c r="N291" i="10"/>
  <c r="AD291" i="10"/>
  <c r="AT291" i="10"/>
  <c r="K291" i="10"/>
  <c r="AA291" i="10"/>
  <c r="AQ291" i="10"/>
  <c r="H291" i="10"/>
  <c r="X291" i="10"/>
  <c r="AN291" i="10"/>
  <c r="U291" i="10"/>
  <c r="AK291" i="10"/>
  <c r="BA291" i="10"/>
  <c r="R291" i="10"/>
  <c r="AH291" i="10"/>
  <c r="AX291" i="10"/>
  <c r="O291" i="10"/>
  <c r="AE291" i="10"/>
  <c r="AU291" i="10"/>
  <c r="L291" i="10"/>
  <c r="AB291" i="10"/>
  <c r="AR291" i="10"/>
  <c r="J292" i="10"/>
  <c r="Z292" i="10"/>
  <c r="AP292" i="10"/>
  <c r="G292" i="10"/>
  <c r="W292" i="10"/>
  <c r="AM292" i="10"/>
  <c r="BC292" i="10"/>
  <c r="T292" i="10"/>
  <c r="AJ292" i="10"/>
  <c r="AZ292" i="10"/>
  <c r="U292" i="10"/>
  <c r="AK292" i="10"/>
  <c r="BA292" i="10"/>
  <c r="N292" i="10"/>
  <c r="AD292" i="10"/>
  <c r="AT292" i="10"/>
  <c r="K292" i="10"/>
  <c r="AA292" i="10"/>
  <c r="AQ292" i="10"/>
  <c r="H292" i="10"/>
  <c r="X292" i="10"/>
  <c r="AN292" i="10"/>
  <c r="I292" i="10"/>
  <c r="Y292" i="10"/>
  <c r="AO292" i="10"/>
  <c r="R292" i="10"/>
  <c r="AH292" i="10"/>
  <c r="AX292" i="10"/>
  <c r="O292" i="10"/>
  <c r="AE292" i="10"/>
  <c r="AU292" i="10"/>
  <c r="L292" i="10"/>
  <c r="AB292" i="10"/>
  <c r="AR292" i="10"/>
  <c r="M292" i="10"/>
  <c r="AC292" i="10"/>
  <c r="AS292" i="10"/>
  <c r="F292" i="10"/>
  <c r="V292" i="10"/>
  <c r="AL292" i="10"/>
  <c r="BB292" i="10"/>
  <c r="S292" i="10"/>
  <c r="AI292" i="10"/>
  <c r="AY292" i="10"/>
  <c r="P292" i="10"/>
  <c r="AF292" i="10"/>
  <c r="AV292" i="10"/>
  <c r="Q292" i="10"/>
  <c r="AG292" i="10"/>
  <c r="AW292" i="10"/>
  <c r="M129" i="10"/>
  <c r="AC129" i="10"/>
  <c r="AS129" i="10"/>
  <c r="J129" i="10"/>
  <c r="Z129" i="10"/>
  <c r="AP129" i="10"/>
  <c r="G129" i="10"/>
  <c r="W129" i="10"/>
  <c r="AM129" i="10"/>
  <c r="BC129" i="10"/>
  <c r="T129" i="10"/>
  <c r="AJ129" i="10"/>
  <c r="AZ129" i="10"/>
  <c r="Q129" i="10"/>
  <c r="AG129" i="10"/>
  <c r="AW129" i="10"/>
  <c r="N129" i="10"/>
  <c r="AD129" i="10"/>
  <c r="AT129" i="10"/>
  <c r="K129" i="10"/>
  <c r="AA129" i="10"/>
  <c r="AQ129" i="10"/>
  <c r="H129" i="10"/>
  <c r="X129" i="10"/>
  <c r="AN129" i="10"/>
  <c r="U129" i="10"/>
  <c r="AK129" i="10"/>
  <c r="BA129" i="10"/>
  <c r="R129" i="10"/>
  <c r="AH129" i="10"/>
  <c r="AX129" i="10"/>
  <c r="O129" i="10"/>
  <c r="AE129" i="10"/>
  <c r="AU129" i="10"/>
  <c r="L129" i="10"/>
  <c r="AB129" i="10"/>
  <c r="AR129" i="10"/>
  <c r="I129" i="10"/>
  <c r="Y129" i="10"/>
  <c r="AO129" i="10"/>
  <c r="F129" i="10"/>
  <c r="V129" i="10"/>
  <c r="AL129" i="10"/>
  <c r="BB129" i="10"/>
  <c r="S129" i="10"/>
  <c r="AI129" i="10"/>
  <c r="AY129" i="10"/>
  <c r="P129" i="10"/>
  <c r="AF129" i="10"/>
  <c r="AV129" i="10"/>
  <c r="E129" i="10" l="1"/>
  <c r="E294" i="10"/>
  <c r="E292" i="10"/>
  <c r="E291" i="10"/>
  <c r="K4587" i="41"/>
  <c r="J4587" i="41"/>
  <c r="I4587" i="41"/>
  <c r="H4587" i="41"/>
  <c r="G4587" i="41"/>
  <c r="D4588" i="41"/>
  <c r="E4588" i="41" s="1"/>
  <c r="F4588" i="41" s="1"/>
  <c r="Z293" i="10"/>
  <c r="Y293" i="10"/>
  <c r="R293" i="10"/>
  <c r="AD293" i="10"/>
  <c r="M293" i="10"/>
  <c r="H293" i="10"/>
  <c r="AK293" i="10"/>
  <c r="Q293" i="10"/>
  <c r="AU293" i="10"/>
  <c r="W293" i="10"/>
  <c r="AY293" i="10"/>
  <c r="AL293" i="10"/>
  <c r="AJ293" i="10"/>
  <c r="U293" i="10"/>
  <c r="AW293" i="10"/>
  <c r="S293" i="10"/>
  <c r="AB293" i="10"/>
  <c r="F293" i="10"/>
  <c r="AA293" i="10"/>
  <c r="G293" i="10"/>
  <c r="AM293" i="10"/>
  <c r="AF293" i="10"/>
  <c r="AS293" i="10"/>
  <c r="O293" i="10"/>
  <c r="AN293" i="10"/>
  <c r="AX293" i="10"/>
  <c r="BA293" i="10"/>
  <c r="BC293" i="10"/>
  <c r="AT293" i="10"/>
  <c r="AG293" i="10"/>
  <c r="P293" i="10"/>
  <c r="AP293" i="10"/>
  <c r="AC293" i="10"/>
  <c r="L293" i="10"/>
  <c r="BB293" i="10"/>
  <c r="AO293" i="10"/>
  <c r="X293" i="10"/>
  <c r="K293" i="10"/>
  <c r="T293" i="10"/>
  <c r="AH293" i="10"/>
  <c r="AZ293" i="10"/>
  <c r="N293" i="10"/>
  <c r="AV293" i="10"/>
  <c r="AI293" i="10"/>
  <c r="J293" i="10"/>
  <c r="AR293" i="10"/>
  <c r="AE293" i="10"/>
  <c r="V293" i="10"/>
  <c r="I293" i="10"/>
  <c r="O128" i="10"/>
  <c r="AW128" i="10"/>
  <c r="L128" i="10"/>
  <c r="BB128" i="10"/>
  <c r="BA128" i="10"/>
  <c r="AF128" i="10"/>
  <c r="AP128" i="10"/>
  <c r="AO128" i="10"/>
  <c r="AJ128" i="10"/>
  <c r="BC128" i="10"/>
  <c r="AC128" i="10"/>
  <c r="X128" i="10"/>
  <c r="K128" i="10"/>
  <c r="AM128" i="10"/>
  <c r="Z128" i="10"/>
  <c r="M128" i="10"/>
  <c r="AY128" i="10"/>
  <c r="AL128" i="10"/>
  <c r="Y128" i="10"/>
  <c r="H128" i="10"/>
  <c r="AX128" i="10"/>
  <c r="AK128" i="10"/>
  <c r="T128" i="10"/>
  <c r="AT128" i="10"/>
  <c r="AG128" i="10"/>
  <c r="P128" i="10"/>
  <c r="W128" i="10"/>
  <c r="J128" i="10"/>
  <c r="AR128" i="10"/>
  <c r="AI128" i="10"/>
  <c r="V128" i="10"/>
  <c r="I128" i="10"/>
  <c r="AU128" i="10"/>
  <c r="AH128" i="10"/>
  <c r="U128" i="10"/>
  <c r="AQ128" i="10"/>
  <c r="AD128" i="10"/>
  <c r="Q128" i="10"/>
  <c r="G128" i="10"/>
  <c r="AS128" i="10"/>
  <c r="AB128" i="10"/>
  <c r="S128" i="10"/>
  <c r="F128" i="10"/>
  <c r="AN128" i="10"/>
  <c r="AE128" i="10"/>
  <c r="R128" i="10"/>
  <c r="AZ128" i="10"/>
  <c r="AA128" i="10"/>
  <c r="N128" i="10"/>
  <c r="F288" i="10"/>
  <c r="V288" i="10"/>
  <c r="AL288" i="10"/>
  <c r="BB288" i="10"/>
  <c r="S288" i="10"/>
  <c r="AI288" i="10"/>
  <c r="AY288" i="10"/>
  <c r="P288" i="10"/>
  <c r="AF288" i="10"/>
  <c r="AV288" i="10"/>
  <c r="Q288" i="10"/>
  <c r="AG288" i="10"/>
  <c r="AW288" i="10"/>
  <c r="J288" i="10"/>
  <c r="Z288" i="10"/>
  <c r="AP288" i="10"/>
  <c r="G288" i="10"/>
  <c r="W288" i="10"/>
  <c r="AM288" i="10"/>
  <c r="BC288" i="10"/>
  <c r="T288" i="10"/>
  <c r="AJ288" i="10"/>
  <c r="AZ288" i="10"/>
  <c r="U288" i="10"/>
  <c r="AK288" i="10"/>
  <c r="BA288" i="10"/>
  <c r="N288" i="10"/>
  <c r="AD288" i="10"/>
  <c r="AT288" i="10"/>
  <c r="K288" i="10"/>
  <c r="AA288" i="10"/>
  <c r="AQ288" i="10"/>
  <c r="H288" i="10"/>
  <c r="X288" i="10"/>
  <c r="AN288" i="10"/>
  <c r="I288" i="10"/>
  <c r="Y288" i="10"/>
  <c r="AO288" i="10"/>
  <c r="AH288" i="10"/>
  <c r="AU288" i="10"/>
  <c r="M288" i="10"/>
  <c r="L288" i="10"/>
  <c r="AC288" i="10"/>
  <c r="AE288" i="10"/>
  <c r="AX288" i="10"/>
  <c r="O288" i="10"/>
  <c r="AB288" i="10"/>
  <c r="AS288" i="10"/>
  <c r="R288" i="10"/>
  <c r="AR288" i="10"/>
  <c r="G289" i="10"/>
  <c r="W289" i="10"/>
  <c r="AM289" i="10"/>
  <c r="BC289" i="10"/>
  <c r="T289" i="10"/>
  <c r="AJ289" i="10"/>
  <c r="AZ289" i="10"/>
  <c r="U289" i="10"/>
  <c r="AK289" i="10"/>
  <c r="BA289" i="10"/>
  <c r="R289" i="10"/>
  <c r="AH289" i="10"/>
  <c r="AX289" i="10"/>
  <c r="K289" i="10"/>
  <c r="AA289" i="10"/>
  <c r="AQ289" i="10"/>
  <c r="H289" i="10"/>
  <c r="X289" i="10"/>
  <c r="AN289" i="10"/>
  <c r="I289" i="10"/>
  <c r="Y289" i="10"/>
  <c r="AO289" i="10"/>
  <c r="F289" i="10"/>
  <c r="V289" i="10"/>
  <c r="AL289" i="10"/>
  <c r="BB289" i="10"/>
  <c r="O289" i="10"/>
  <c r="AE289" i="10"/>
  <c r="AU289" i="10"/>
  <c r="L289" i="10"/>
  <c r="AB289" i="10"/>
  <c r="AR289" i="10"/>
  <c r="M289" i="10"/>
  <c r="AC289" i="10"/>
  <c r="AS289" i="10"/>
  <c r="J289" i="10"/>
  <c r="Z289" i="10"/>
  <c r="AP289" i="10"/>
  <c r="S289" i="10"/>
  <c r="AI289" i="10"/>
  <c r="AY289" i="10"/>
  <c r="P289" i="10"/>
  <c r="AF289" i="10"/>
  <c r="AV289" i="10"/>
  <c r="Q289" i="10"/>
  <c r="AG289" i="10"/>
  <c r="AW289" i="10"/>
  <c r="N289" i="10"/>
  <c r="AD289" i="10"/>
  <c r="AT289" i="10"/>
  <c r="H286" i="10"/>
  <c r="X286" i="10"/>
  <c r="AN286" i="10"/>
  <c r="I286" i="10"/>
  <c r="Y286" i="10"/>
  <c r="AO286" i="10"/>
  <c r="F286" i="10"/>
  <c r="V286" i="10"/>
  <c r="AL286" i="10"/>
  <c r="BB286" i="10"/>
  <c r="S286" i="10"/>
  <c r="AI286" i="10"/>
  <c r="AY286" i="10"/>
  <c r="AB286" i="10"/>
  <c r="AC286" i="10"/>
  <c r="J286" i="10"/>
  <c r="AP286" i="10"/>
  <c r="W286" i="10"/>
  <c r="BC286" i="10"/>
  <c r="L286" i="10"/>
  <c r="AR286" i="10"/>
  <c r="M286" i="10"/>
  <c r="AS286" i="10"/>
  <c r="Z286" i="10"/>
  <c r="G286" i="10"/>
  <c r="AM286" i="10"/>
  <c r="P286" i="10"/>
  <c r="AF286" i="10"/>
  <c r="AV286" i="10"/>
  <c r="Q286" i="10"/>
  <c r="AG286" i="10"/>
  <c r="AW286" i="10"/>
  <c r="N286" i="10"/>
  <c r="AD286" i="10"/>
  <c r="AT286" i="10"/>
  <c r="K286" i="10"/>
  <c r="AA286" i="10"/>
  <c r="AQ286" i="10"/>
  <c r="U286" i="10"/>
  <c r="AH286" i="10"/>
  <c r="AU286" i="10"/>
  <c r="T286" i="10"/>
  <c r="AK286" i="10"/>
  <c r="AZ286" i="10"/>
  <c r="AE286" i="10"/>
  <c r="AX286" i="10"/>
  <c r="AJ286" i="10"/>
  <c r="BA286" i="10"/>
  <c r="O286" i="10"/>
  <c r="R286" i="10"/>
  <c r="O284" i="10"/>
  <c r="AE284" i="10"/>
  <c r="AU284" i="10"/>
  <c r="L284" i="10"/>
  <c r="AB284" i="10"/>
  <c r="AR284" i="10"/>
  <c r="M284" i="10"/>
  <c r="V284" i="10"/>
  <c r="BB284" i="10"/>
  <c r="AO284" i="10"/>
  <c r="AH284" i="10"/>
  <c r="AC284" i="10"/>
  <c r="S284" i="10"/>
  <c r="AI284" i="10"/>
  <c r="AY284" i="10"/>
  <c r="P284" i="10"/>
  <c r="AF284" i="10"/>
  <c r="AV284" i="10"/>
  <c r="Q284" i="10"/>
  <c r="AD284" i="10"/>
  <c r="J284" i="10"/>
  <c r="AW284" i="10"/>
  <c r="AP284" i="10"/>
  <c r="AK284" i="10"/>
  <c r="G284" i="10"/>
  <c r="W284" i="10"/>
  <c r="AM284" i="10"/>
  <c r="BC284" i="10"/>
  <c r="T284" i="10"/>
  <c r="AJ284" i="10"/>
  <c r="AZ284" i="10"/>
  <c r="U284" i="10"/>
  <c r="AL284" i="10"/>
  <c r="Y284" i="10"/>
  <c r="N284" i="10"/>
  <c r="AX284" i="10"/>
  <c r="AS284" i="10"/>
  <c r="K284" i="10"/>
  <c r="X284" i="10"/>
  <c r="AT284" i="10"/>
  <c r="BA284" i="10"/>
  <c r="AA284" i="10"/>
  <c r="AN284" i="10"/>
  <c r="AG284" i="10"/>
  <c r="AQ284" i="10"/>
  <c r="I284" i="10"/>
  <c r="Z284" i="10"/>
  <c r="H284" i="10"/>
  <c r="F284" i="10"/>
  <c r="R284" i="10"/>
  <c r="H285" i="10"/>
  <c r="X285" i="10"/>
  <c r="AN285" i="10"/>
  <c r="M285" i="10"/>
  <c r="AC285" i="10"/>
  <c r="AS285" i="10"/>
  <c r="AA285" i="10"/>
  <c r="BC285" i="10"/>
  <c r="AD285" i="10"/>
  <c r="G285" i="10"/>
  <c r="AM285" i="10"/>
  <c r="R285" i="10"/>
  <c r="AX285" i="10"/>
  <c r="P285" i="10"/>
  <c r="AF285" i="10"/>
  <c r="AV285" i="10"/>
  <c r="U285" i="10"/>
  <c r="AK285" i="10"/>
  <c r="K285" i="10"/>
  <c r="AQ285" i="10"/>
  <c r="N285" i="10"/>
  <c r="AT285" i="10"/>
  <c r="W285" i="10"/>
  <c r="BA285" i="10"/>
  <c r="AH285" i="10"/>
  <c r="T285" i="10"/>
  <c r="I285" i="10"/>
  <c r="AO285" i="10"/>
  <c r="AY285" i="10"/>
  <c r="AZ285" i="10"/>
  <c r="J285" i="10"/>
  <c r="L285" i="10"/>
  <c r="AG285" i="10"/>
  <c r="AL285" i="10"/>
  <c r="BB285" i="10"/>
  <c r="AB285" i="10"/>
  <c r="Q285" i="10"/>
  <c r="AW285" i="10"/>
  <c r="F285" i="10"/>
  <c r="O285" i="10"/>
  <c r="Z285" i="10"/>
  <c r="AJ285" i="10"/>
  <c r="Y285" i="10"/>
  <c r="S285" i="10"/>
  <c r="V285" i="10"/>
  <c r="AE285" i="10"/>
  <c r="AP285" i="10"/>
  <c r="AR285" i="10"/>
  <c r="AI285" i="10"/>
  <c r="AU285" i="10"/>
  <c r="I287" i="10"/>
  <c r="Y287" i="10"/>
  <c r="AO287" i="10"/>
  <c r="F287" i="10"/>
  <c r="V287" i="10"/>
  <c r="AL287" i="10"/>
  <c r="BB287" i="10"/>
  <c r="S287" i="10"/>
  <c r="AI287" i="10"/>
  <c r="AY287" i="10"/>
  <c r="P287" i="10"/>
  <c r="AF287" i="10"/>
  <c r="AV287" i="10"/>
  <c r="M287" i="10"/>
  <c r="AC287" i="10"/>
  <c r="AS287" i="10"/>
  <c r="J287" i="10"/>
  <c r="Z287" i="10"/>
  <c r="AP287" i="10"/>
  <c r="G287" i="10"/>
  <c r="W287" i="10"/>
  <c r="AM287" i="10"/>
  <c r="BC287" i="10"/>
  <c r="T287" i="10"/>
  <c r="AJ287" i="10"/>
  <c r="AZ287" i="10"/>
  <c r="Q287" i="10"/>
  <c r="AG287" i="10"/>
  <c r="AW287" i="10"/>
  <c r="N287" i="10"/>
  <c r="AD287" i="10"/>
  <c r="AT287" i="10"/>
  <c r="K287" i="10"/>
  <c r="AA287" i="10"/>
  <c r="AQ287" i="10"/>
  <c r="H287" i="10"/>
  <c r="X287" i="10"/>
  <c r="AN287" i="10"/>
  <c r="R287" i="10"/>
  <c r="AE287" i="10"/>
  <c r="AR287" i="10"/>
  <c r="BA287" i="10"/>
  <c r="AB287" i="10"/>
  <c r="U287" i="10"/>
  <c r="AH287" i="10"/>
  <c r="AU287" i="10"/>
  <c r="AK287" i="10"/>
  <c r="AX287" i="10"/>
  <c r="L287" i="10"/>
  <c r="O287" i="10"/>
  <c r="Q283" i="10"/>
  <c r="AG283" i="10"/>
  <c r="AW283" i="10"/>
  <c r="R283" i="10"/>
  <c r="AH283" i="10"/>
  <c r="AX283" i="10"/>
  <c r="O283" i="10"/>
  <c r="I283" i="10"/>
  <c r="Y283" i="10"/>
  <c r="AO283" i="10"/>
  <c r="J283" i="10"/>
  <c r="Z283" i="10"/>
  <c r="AP283" i="10"/>
  <c r="G283" i="10"/>
  <c r="W283" i="10"/>
  <c r="U283" i="10"/>
  <c r="F283" i="10"/>
  <c r="AL283" i="10"/>
  <c r="S283" i="10"/>
  <c r="AM283" i="10"/>
  <c r="BC283" i="10"/>
  <c r="T283" i="10"/>
  <c r="AJ283" i="10"/>
  <c r="AZ283" i="10"/>
  <c r="AC283" i="10"/>
  <c r="N283" i="10"/>
  <c r="AT283" i="10"/>
  <c r="AA283" i="10"/>
  <c r="AQ283" i="10"/>
  <c r="H283" i="10"/>
  <c r="X283" i="10"/>
  <c r="AN283" i="10"/>
  <c r="BA283" i="10"/>
  <c r="AK283" i="10"/>
  <c r="V283" i="10"/>
  <c r="BB283" i="10"/>
  <c r="AE283" i="10"/>
  <c r="AU283" i="10"/>
  <c r="L283" i="10"/>
  <c r="AB283" i="10"/>
  <c r="AR283" i="10"/>
  <c r="AD283" i="10"/>
  <c r="P283" i="10"/>
  <c r="AY283" i="10"/>
  <c r="K283" i="10"/>
  <c r="AF283" i="10"/>
  <c r="M283" i="10"/>
  <c r="AI283" i="10"/>
  <c r="AV283" i="10"/>
  <c r="AS283" i="10"/>
  <c r="Q259" i="10"/>
  <c r="AG259" i="10"/>
  <c r="AW259" i="10"/>
  <c r="N259" i="10"/>
  <c r="AD259" i="10"/>
  <c r="AT259" i="10"/>
  <c r="K259" i="10"/>
  <c r="AA259" i="10"/>
  <c r="AQ259" i="10"/>
  <c r="H259" i="10"/>
  <c r="X259" i="10"/>
  <c r="AN259" i="10"/>
  <c r="U259" i="10"/>
  <c r="AK259" i="10"/>
  <c r="BA259" i="10"/>
  <c r="R259" i="10"/>
  <c r="AH259" i="10"/>
  <c r="AX259" i="10"/>
  <c r="O259" i="10"/>
  <c r="AE259" i="10"/>
  <c r="AU259" i="10"/>
  <c r="L259" i="10"/>
  <c r="AB259" i="10"/>
  <c r="AR259" i="10"/>
  <c r="I259" i="10"/>
  <c r="Y259" i="10"/>
  <c r="AO259" i="10"/>
  <c r="F259" i="10"/>
  <c r="V259" i="10"/>
  <c r="AL259" i="10"/>
  <c r="BB259" i="10"/>
  <c r="S259" i="10"/>
  <c r="AI259" i="10"/>
  <c r="AY259" i="10"/>
  <c r="P259" i="10"/>
  <c r="AF259" i="10"/>
  <c r="AV259" i="10"/>
  <c r="M259" i="10"/>
  <c r="AC259" i="10"/>
  <c r="AS259" i="10"/>
  <c r="J259" i="10"/>
  <c r="Z259" i="10"/>
  <c r="AP259" i="10"/>
  <c r="G259" i="10"/>
  <c r="W259" i="10"/>
  <c r="AM259" i="10"/>
  <c r="BC259" i="10"/>
  <c r="T259" i="10"/>
  <c r="AJ259" i="10"/>
  <c r="AZ259" i="10"/>
  <c r="H258" i="10"/>
  <c r="X258" i="10"/>
  <c r="AN258" i="10"/>
  <c r="I258" i="10"/>
  <c r="Y258" i="10"/>
  <c r="AO258" i="10"/>
  <c r="F258" i="10"/>
  <c r="V258" i="10"/>
  <c r="AL258" i="10"/>
  <c r="BB258" i="10"/>
  <c r="S258" i="10"/>
  <c r="AI258" i="10"/>
  <c r="AY258" i="10"/>
  <c r="L258" i="10"/>
  <c r="AB258" i="10"/>
  <c r="AR258" i="10"/>
  <c r="M258" i="10"/>
  <c r="AC258" i="10"/>
  <c r="AS258" i="10"/>
  <c r="J258" i="10"/>
  <c r="Z258" i="10"/>
  <c r="AP258" i="10"/>
  <c r="G258" i="10"/>
  <c r="W258" i="10"/>
  <c r="AM258" i="10"/>
  <c r="BC258" i="10"/>
  <c r="P258" i="10"/>
  <c r="AF258" i="10"/>
  <c r="AV258" i="10"/>
  <c r="Q258" i="10"/>
  <c r="AG258" i="10"/>
  <c r="AW258" i="10"/>
  <c r="N258" i="10"/>
  <c r="AD258" i="10"/>
  <c r="AT258" i="10"/>
  <c r="K258" i="10"/>
  <c r="AA258" i="10"/>
  <c r="AQ258" i="10"/>
  <c r="T258" i="10"/>
  <c r="AJ258" i="10"/>
  <c r="AZ258" i="10"/>
  <c r="U258" i="10"/>
  <c r="AK258" i="10"/>
  <c r="BA258" i="10"/>
  <c r="R258" i="10"/>
  <c r="AH258" i="10"/>
  <c r="AX258" i="10"/>
  <c r="O258" i="10"/>
  <c r="AE258" i="10"/>
  <c r="AU258" i="10"/>
  <c r="F261" i="10" a="1"/>
  <c r="F219" i="10" a="1"/>
  <c r="N260" i="10"/>
  <c r="AD260" i="10"/>
  <c r="AT260" i="10"/>
  <c r="K260" i="10"/>
  <c r="AA260" i="10"/>
  <c r="AQ260" i="10"/>
  <c r="H260" i="10"/>
  <c r="X260" i="10"/>
  <c r="AN260" i="10"/>
  <c r="I260" i="10"/>
  <c r="Y260" i="10"/>
  <c r="AO260" i="10"/>
  <c r="R260" i="10"/>
  <c r="AH260" i="10"/>
  <c r="AX260" i="10"/>
  <c r="O260" i="10"/>
  <c r="AE260" i="10"/>
  <c r="AU260" i="10"/>
  <c r="L260" i="10"/>
  <c r="AB260" i="10"/>
  <c r="AR260" i="10"/>
  <c r="M260" i="10"/>
  <c r="AC260" i="10"/>
  <c r="AS260" i="10"/>
  <c r="F260" i="10"/>
  <c r="V260" i="10"/>
  <c r="AL260" i="10"/>
  <c r="BB260" i="10"/>
  <c r="S260" i="10"/>
  <c r="AI260" i="10"/>
  <c r="AY260" i="10"/>
  <c r="P260" i="10"/>
  <c r="AF260" i="10"/>
  <c r="AV260" i="10"/>
  <c r="Q260" i="10"/>
  <c r="AG260" i="10"/>
  <c r="AW260" i="10"/>
  <c r="J260" i="10"/>
  <c r="Z260" i="10"/>
  <c r="AP260" i="10"/>
  <c r="G260" i="10"/>
  <c r="W260" i="10"/>
  <c r="AM260" i="10"/>
  <c r="BC260" i="10"/>
  <c r="T260" i="10"/>
  <c r="AJ260" i="10"/>
  <c r="AZ260" i="10"/>
  <c r="U260" i="10"/>
  <c r="AK260" i="10"/>
  <c r="BA260" i="10"/>
  <c r="O257" i="10"/>
  <c r="AE257" i="10"/>
  <c r="AU257" i="10"/>
  <c r="L257" i="10"/>
  <c r="AB257" i="10"/>
  <c r="AR257" i="10"/>
  <c r="M257" i="10"/>
  <c r="AC257" i="10"/>
  <c r="AS257" i="10"/>
  <c r="J257" i="10"/>
  <c r="Z257" i="10"/>
  <c r="AP257" i="10"/>
  <c r="S257" i="10"/>
  <c r="AI257" i="10"/>
  <c r="AY257" i="10"/>
  <c r="P257" i="10"/>
  <c r="AF257" i="10"/>
  <c r="AV257" i="10"/>
  <c r="Q257" i="10"/>
  <c r="AG257" i="10"/>
  <c r="AW257" i="10"/>
  <c r="N257" i="10"/>
  <c r="AD257" i="10"/>
  <c r="AT257" i="10"/>
  <c r="G257" i="10"/>
  <c r="W257" i="10"/>
  <c r="AM257" i="10"/>
  <c r="BC257" i="10"/>
  <c r="T257" i="10"/>
  <c r="AJ257" i="10"/>
  <c r="AZ257" i="10"/>
  <c r="U257" i="10"/>
  <c r="AK257" i="10"/>
  <c r="BA257" i="10"/>
  <c r="R257" i="10"/>
  <c r="AH257" i="10"/>
  <c r="AX257" i="10"/>
  <c r="K257" i="10"/>
  <c r="AA257" i="10"/>
  <c r="AQ257" i="10"/>
  <c r="H257" i="10"/>
  <c r="X257" i="10"/>
  <c r="AN257" i="10"/>
  <c r="I257" i="10"/>
  <c r="Y257" i="10"/>
  <c r="AO257" i="10"/>
  <c r="F257" i="10"/>
  <c r="V257" i="10"/>
  <c r="AL257" i="10"/>
  <c r="BB257" i="10"/>
  <c r="E258" i="10" l="1"/>
  <c r="E285" i="10"/>
  <c r="E284" i="10"/>
  <c r="E286" i="10"/>
  <c r="E293" i="10"/>
  <c r="E259" i="10"/>
  <c r="E287" i="10"/>
  <c r="E128" i="10"/>
  <c r="E257" i="10"/>
  <c r="E260" i="10"/>
  <c r="E283" i="10"/>
  <c r="E289" i="10"/>
  <c r="E288" i="10"/>
  <c r="H4588" i="41"/>
  <c r="G4588" i="41"/>
  <c r="K4588" i="41"/>
  <c r="J4588" i="41"/>
  <c r="I4588" i="41"/>
  <c r="D4589" i="41"/>
  <c r="E4589" i="41" s="1"/>
  <c r="F4589" i="41" s="1"/>
  <c r="F215" i="10" a="1"/>
  <c r="AO215" i="10" s="1"/>
  <c r="G261" i="10"/>
  <c r="W261" i="10"/>
  <c r="AM261" i="10"/>
  <c r="BC261" i="10"/>
  <c r="T261" i="10"/>
  <c r="AJ261" i="10"/>
  <c r="AZ261" i="10"/>
  <c r="U261" i="10"/>
  <c r="AK261" i="10"/>
  <c r="BA261" i="10"/>
  <c r="R261" i="10"/>
  <c r="AH261" i="10"/>
  <c r="AX261" i="10"/>
  <c r="K261" i="10"/>
  <c r="AA261" i="10"/>
  <c r="AQ261" i="10"/>
  <c r="H261" i="10"/>
  <c r="X261" i="10"/>
  <c r="AN261" i="10"/>
  <c r="I261" i="10"/>
  <c r="Y261" i="10"/>
  <c r="AO261" i="10"/>
  <c r="F261" i="10"/>
  <c r="V261" i="10"/>
  <c r="AL261" i="10"/>
  <c r="BB261" i="10"/>
  <c r="O261" i="10"/>
  <c r="AE261" i="10"/>
  <c r="AU261" i="10"/>
  <c r="L261" i="10"/>
  <c r="AB261" i="10"/>
  <c r="AR261" i="10"/>
  <c r="M261" i="10"/>
  <c r="AC261" i="10"/>
  <c r="AS261" i="10"/>
  <c r="J261" i="10"/>
  <c r="Z261" i="10"/>
  <c r="AP261" i="10"/>
  <c r="S261" i="10"/>
  <c r="AI261" i="10"/>
  <c r="AY261" i="10"/>
  <c r="P261" i="10"/>
  <c r="AF261" i="10"/>
  <c r="AV261" i="10"/>
  <c r="Q261" i="10"/>
  <c r="AG261" i="10"/>
  <c r="AW261" i="10"/>
  <c r="N261" i="10"/>
  <c r="AD261" i="10"/>
  <c r="AT261" i="10"/>
  <c r="U219" i="10"/>
  <c r="AK219" i="10"/>
  <c r="BA219" i="10"/>
  <c r="R219" i="10"/>
  <c r="AH219" i="10"/>
  <c r="AX219" i="10"/>
  <c r="O219" i="10"/>
  <c r="AE219" i="10"/>
  <c r="AU219" i="10"/>
  <c r="L219" i="10"/>
  <c r="AB219" i="10"/>
  <c r="AR219" i="10"/>
  <c r="I219" i="10"/>
  <c r="Y219" i="10"/>
  <c r="AO219" i="10"/>
  <c r="F219" i="10"/>
  <c r="V219" i="10"/>
  <c r="AL219" i="10"/>
  <c r="BB219" i="10"/>
  <c r="S219" i="10"/>
  <c r="AI219" i="10"/>
  <c r="AY219" i="10"/>
  <c r="P219" i="10"/>
  <c r="AF219" i="10"/>
  <c r="AV219" i="10"/>
  <c r="M219" i="10"/>
  <c r="AC219" i="10"/>
  <c r="AS219" i="10"/>
  <c r="J219" i="10"/>
  <c r="Z219" i="10"/>
  <c r="AP219" i="10"/>
  <c r="G219" i="10"/>
  <c r="W219" i="10"/>
  <c r="AM219" i="10"/>
  <c r="BC219" i="10"/>
  <c r="T219" i="10"/>
  <c r="AJ219" i="10"/>
  <c r="AZ219" i="10"/>
  <c r="Q219" i="10"/>
  <c r="AG219" i="10"/>
  <c r="AW219" i="10"/>
  <c r="N219" i="10"/>
  <c r="AD219" i="10"/>
  <c r="AT219" i="10"/>
  <c r="K219" i="10"/>
  <c r="AA219" i="10"/>
  <c r="AQ219" i="10"/>
  <c r="H219" i="10"/>
  <c r="X219" i="10"/>
  <c r="AN219" i="10"/>
  <c r="E261" i="10" l="1"/>
  <c r="E219" i="10"/>
  <c r="J4589" i="41"/>
  <c r="I4589" i="41"/>
  <c r="H4589" i="41"/>
  <c r="G4589" i="41"/>
  <c r="K4589" i="41"/>
  <c r="D4590" i="41"/>
  <c r="E4590" i="41" s="1"/>
  <c r="F4590" i="41" s="1"/>
  <c r="J215" i="10"/>
  <c r="P215" i="10"/>
  <c r="H215" i="10"/>
  <c r="AW215" i="10"/>
  <c r="BC215" i="10"/>
  <c r="AV215" i="10"/>
  <c r="S215" i="10"/>
  <c r="BB215" i="10"/>
  <c r="AI215" i="10"/>
  <c r="Z215" i="10"/>
  <c r="U215" i="10"/>
  <c r="F215" i="10"/>
  <c r="AN215" i="10"/>
  <c r="AF215" i="10"/>
  <c r="AC215" i="10"/>
  <c r="AB215" i="10"/>
  <c r="V215" i="10"/>
  <c r="AH215" i="10"/>
  <c r="O215" i="10"/>
  <c r="BA215" i="10"/>
  <c r="R215" i="10"/>
  <c r="AZ215" i="10"/>
  <c r="AS215" i="10"/>
  <c r="AX215" i="10"/>
  <c r="AM215" i="10"/>
  <c r="AR215" i="10"/>
  <c r="AP215" i="10"/>
  <c r="AK215" i="10"/>
  <c r="N215" i="10"/>
  <c r="AE215" i="10"/>
  <c r="AD215" i="10"/>
  <c r="AT215" i="10"/>
  <c r="AQ215" i="10"/>
  <c r="AL215" i="10"/>
  <c r="K215" i="10"/>
  <c r="Q215" i="10"/>
  <c r="M215" i="10"/>
  <c r="X215" i="10"/>
  <c r="W215" i="10"/>
  <c r="Y215" i="10"/>
  <c r="AG215" i="10"/>
  <c r="L215" i="10"/>
  <c r="AY215" i="10"/>
  <c r="AU215" i="10"/>
  <c r="AJ215" i="10"/>
  <c r="T215" i="10"/>
  <c r="AA215" i="10"/>
  <c r="G215" i="10"/>
  <c r="I215" i="10"/>
  <c r="E215" i="10" l="1"/>
  <c r="K4590" i="41"/>
  <c r="J4590" i="41"/>
  <c r="I4590" i="41"/>
  <c r="H4590" i="41"/>
  <c r="G4590" i="41"/>
  <c r="D4591" i="41"/>
  <c r="E4591" i="41" s="1"/>
  <c r="F4591" i="41" s="1"/>
  <c r="K4591" i="41" l="1"/>
  <c r="J4591" i="41"/>
  <c r="I4591" i="41"/>
  <c r="H4591" i="41"/>
  <c r="G4591" i="41"/>
  <c r="D4592" i="41"/>
  <c r="E4592" i="41" s="1"/>
  <c r="F4592" i="41" s="1"/>
  <c r="H4592" i="41" l="1"/>
  <c r="G4592" i="41"/>
  <c r="K4592" i="41"/>
  <c r="J4592" i="41"/>
  <c r="I4592" i="41"/>
  <c r="D4593" i="41"/>
  <c r="E4593" i="41" s="1"/>
  <c r="F4593" i="41" s="1"/>
  <c r="J4593" i="41" l="1"/>
  <c r="I4593" i="41"/>
  <c r="H4593" i="41"/>
  <c r="G4593" i="41"/>
  <c r="K4593" i="41"/>
  <c r="D4594" i="41"/>
  <c r="E4594" i="41" s="1"/>
  <c r="F4594" i="41" s="1"/>
  <c r="K4594" i="41" l="1"/>
  <c r="J4594" i="41"/>
  <c r="I4594" i="41"/>
  <c r="H4594" i="41"/>
  <c r="G4594" i="41"/>
  <c r="D4595" i="41"/>
  <c r="E4595" i="41" s="1"/>
  <c r="F4595" i="41" s="1"/>
  <c r="K4595" i="41" l="1"/>
  <c r="J4595" i="41"/>
  <c r="I4595" i="41"/>
  <c r="H4595" i="41"/>
  <c r="G4595" i="41"/>
  <c r="D4596" i="41"/>
  <c r="E4596" i="41" s="1"/>
  <c r="F4596" i="41" s="1"/>
  <c r="H4596" i="41" l="1"/>
  <c r="G4596" i="41"/>
  <c r="K4596" i="41"/>
  <c r="J4596" i="41"/>
  <c r="I4596" i="41"/>
  <c r="D4597" i="41"/>
  <c r="E4597" i="41" s="1"/>
  <c r="F4597" i="41" s="1"/>
  <c r="F275" i="10" a="1"/>
  <c r="J4597" i="41" l="1"/>
  <c r="I4597" i="41"/>
  <c r="H4597" i="41"/>
  <c r="G4597" i="41"/>
  <c r="K4597" i="41"/>
  <c r="D4598" i="41"/>
  <c r="E4598" i="41" s="1"/>
  <c r="F4598" i="41" s="1"/>
  <c r="U275" i="10"/>
  <c r="AK275" i="10"/>
  <c r="BA275" i="10"/>
  <c r="R275" i="10"/>
  <c r="AH275" i="10"/>
  <c r="AX275" i="10"/>
  <c r="O275" i="10"/>
  <c r="AE275" i="10"/>
  <c r="AU275" i="10"/>
  <c r="L275" i="10"/>
  <c r="AB275" i="10"/>
  <c r="AR275" i="10"/>
  <c r="H275" i="10"/>
  <c r="I275" i="10"/>
  <c r="Y275" i="10"/>
  <c r="AO275" i="10"/>
  <c r="F275" i="10"/>
  <c r="V275" i="10"/>
  <c r="AL275" i="10"/>
  <c r="BB275" i="10"/>
  <c r="S275" i="10"/>
  <c r="AI275" i="10"/>
  <c r="AY275" i="10"/>
  <c r="P275" i="10"/>
  <c r="AF275" i="10"/>
  <c r="AV275" i="10"/>
  <c r="AQ275" i="10"/>
  <c r="M275" i="10"/>
  <c r="AC275" i="10"/>
  <c r="AS275" i="10"/>
  <c r="J275" i="10"/>
  <c r="Z275" i="10"/>
  <c r="AP275" i="10"/>
  <c r="G275" i="10"/>
  <c r="W275" i="10"/>
  <c r="AM275" i="10"/>
  <c r="BC275" i="10"/>
  <c r="T275" i="10"/>
  <c r="AJ275" i="10"/>
  <c r="AZ275" i="10"/>
  <c r="Q275" i="10"/>
  <c r="AG275" i="10"/>
  <c r="AW275" i="10"/>
  <c r="N275" i="10"/>
  <c r="AD275" i="10"/>
  <c r="AT275" i="10"/>
  <c r="K275" i="10"/>
  <c r="AA275" i="10"/>
  <c r="X275" i="10"/>
  <c r="AN275" i="10"/>
  <c r="F187" i="10" a="1"/>
  <c r="F193" i="10" a="1"/>
  <c r="E275" i="10" l="1"/>
  <c r="K4598" i="41"/>
  <c r="J4598" i="41"/>
  <c r="I4598" i="41"/>
  <c r="H4598" i="41"/>
  <c r="G4598" i="41"/>
  <c r="D4599" i="41"/>
  <c r="E4599" i="41" s="1"/>
  <c r="F4599" i="41" s="1"/>
  <c r="L193" i="10"/>
  <c r="AC193" i="10"/>
  <c r="AP193" i="10"/>
  <c r="P193" i="10"/>
  <c r="AG193" i="10"/>
  <c r="AT193" i="10"/>
  <c r="BC193" i="10"/>
  <c r="U193" i="10"/>
  <c r="AH193" i="10"/>
  <c r="AQ193" i="10"/>
  <c r="I193" i="10"/>
  <c r="V193" i="10"/>
  <c r="O193" i="10"/>
  <c r="AB193" i="10"/>
  <c r="AS193" i="10"/>
  <c r="S193" i="10"/>
  <c r="AF193" i="10"/>
  <c r="AW193" i="10"/>
  <c r="G193" i="10"/>
  <c r="T193" i="10"/>
  <c r="AK193" i="10"/>
  <c r="AX193" i="10"/>
  <c r="H193" i="10"/>
  <c r="Y193" i="10"/>
  <c r="AL193" i="10"/>
  <c r="AE193" i="10"/>
  <c r="AR193" i="10"/>
  <c r="J193" i="10"/>
  <c r="AI193" i="10"/>
  <c r="AV193" i="10"/>
  <c r="N193" i="10"/>
  <c r="W193" i="10"/>
  <c r="AJ193" i="10"/>
  <c r="BA193" i="10"/>
  <c r="K193" i="10"/>
  <c r="X193" i="10"/>
  <c r="AO193" i="10"/>
  <c r="BB193" i="10"/>
  <c r="AU193" i="10"/>
  <c r="M193" i="10"/>
  <c r="Z193" i="10"/>
  <c r="AY193" i="10"/>
  <c r="Q193" i="10"/>
  <c r="AD193" i="10"/>
  <c r="AM193" i="10"/>
  <c r="AZ193" i="10"/>
  <c r="R193" i="10"/>
  <c r="AA193" i="10"/>
  <c r="AN193" i="10"/>
  <c r="F193" i="10"/>
  <c r="U187" i="10"/>
  <c r="AH187" i="10"/>
  <c r="AU187" i="10"/>
  <c r="I187" i="10"/>
  <c r="V187" i="10"/>
  <c r="AI187" i="10"/>
  <c r="AV187" i="10"/>
  <c r="J187" i="10"/>
  <c r="W187" i="10"/>
  <c r="AJ187" i="10"/>
  <c r="AW187" i="10"/>
  <c r="K187" i="10"/>
  <c r="X187" i="10"/>
  <c r="AK187" i="10"/>
  <c r="AX187" i="10"/>
  <c r="L187" i="10"/>
  <c r="Y187" i="10"/>
  <c r="AL187" i="10"/>
  <c r="AY187" i="10"/>
  <c r="M187" i="10"/>
  <c r="Z187" i="10"/>
  <c r="AM187" i="10"/>
  <c r="AZ187" i="10"/>
  <c r="N187" i="10"/>
  <c r="AA187" i="10"/>
  <c r="AN187" i="10"/>
  <c r="BA187" i="10"/>
  <c r="O187" i="10"/>
  <c r="AB187" i="10"/>
  <c r="AO187" i="10"/>
  <c r="BB187" i="10"/>
  <c r="P187" i="10"/>
  <c r="AC187" i="10"/>
  <c r="AP187" i="10"/>
  <c r="BC187" i="10"/>
  <c r="Q187" i="10"/>
  <c r="AD187" i="10"/>
  <c r="AQ187" i="10"/>
  <c r="R187" i="10"/>
  <c r="AE187" i="10"/>
  <c r="AR187" i="10"/>
  <c r="F187" i="10"/>
  <c r="S187" i="10"/>
  <c r="AF187" i="10"/>
  <c r="AS187" i="10"/>
  <c r="G187" i="10"/>
  <c r="T187" i="10"/>
  <c r="AG187" i="10"/>
  <c r="AT187" i="10"/>
  <c r="H187" i="10"/>
  <c r="E193" i="10" l="1"/>
  <c r="E187" i="10"/>
  <c r="K4599" i="41"/>
  <c r="J4599" i="41"/>
  <c r="I4599" i="41"/>
  <c r="H4599" i="41"/>
  <c r="G4599" i="41"/>
  <c r="D4600" i="41"/>
  <c r="E4600" i="41" s="1"/>
  <c r="F4600" i="41" s="1"/>
  <c r="H4600" i="41" l="1"/>
  <c r="G4600" i="41"/>
  <c r="K4600" i="41"/>
  <c r="J4600" i="41"/>
  <c r="I4600" i="41"/>
  <c r="D4601" i="41"/>
  <c r="E4601" i="41" s="1"/>
  <c r="F4601" i="41" s="1"/>
  <c r="J4601" i="41" l="1"/>
  <c r="I4601" i="41"/>
  <c r="H4601" i="41"/>
  <c r="G4601" i="41"/>
  <c r="K4601" i="41"/>
  <c r="D4602" i="41"/>
  <c r="E4602" i="41" s="1"/>
  <c r="F4602" i="41" s="1"/>
  <c r="K4602" i="41" l="1"/>
  <c r="J4602" i="41"/>
  <c r="I4602" i="41"/>
  <c r="H4602" i="41"/>
  <c r="G4602" i="41"/>
  <c r="D4603" i="41"/>
  <c r="E4603" i="41" s="1"/>
  <c r="F4603" i="41" s="1"/>
  <c r="K4603" i="41" l="1"/>
  <c r="J4603" i="41"/>
  <c r="I4603" i="41"/>
  <c r="H4603" i="41"/>
  <c r="G4603" i="41"/>
  <c r="D4604" i="41"/>
  <c r="E4604" i="41" s="1"/>
  <c r="F4604" i="41" s="1"/>
  <c r="H4604" i="41" l="1"/>
  <c r="G4604" i="41"/>
  <c r="K4604" i="41"/>
  <c r="J4604" i="41"/>
  <c r="I4604" i="41"/>
  <c r="D4605" i="41"/>
  <c r="E4605" i="41" s="1"/>
  <c r="F4605" i="41" s="1"/>
  <c r="J4605" i="41" l="1"/>
  <c r="I4605" i="41"/>
  <c r="H4605" i="41"/>
  <c r="G4605" i="41"/>
  <c r="K4605" i="41"/>
  <c r="D4606" i="41"/>
  <c r="E4606" i="41" s="1"/>
  <c r="F4606" i="41" s="1"/>
  <c r="K4606" i="41" l="1"/>
  <c r="J4606" i="41"/>
  <c r="I4606" i="41"/>
  <c r="H4606" i="41"/>
  <c r="G4606" i="41"/>
  <c r="D4607" i="41"/>
  <c r="E4607" i="41" s="1"/>
  <c r="F4607" i="41" s="1"/>
  <c r="K4607" i="41" l="1"/>
  <c r="J4607" i="41"/>
  <c r="I4607" i="41"/>
  <c r="H4607" i="41"/>
  <c r="G4607" i="41"/>
  <c r="D4608" i="41"/>
  <c r="E4608" i="41" s="1"/>
  <c r="F4608" i="41" s="1"/>
  <c r="H4608" i="41" l="1"/>
  <c r="G4608" i="41"/>
  <c r="K4608" i="41"/>
  <c r="J4608" i="41"/>
  <c r="I4608" i="41"/>
  <c r="D4609" i="41"/>
  <c r="E4609" i="41" s="1"/>
  <c r="F4609" i="41" s="1"/>
  <c r="J4609" i="41" l="1"/>
  <c r="I4609" i="41"/>
  <c r="H4609" i="41"/>
  <c r="G4609" i="41"/>
  <c r="K4609" i="41"/>
  <c r="D4610" i="41"/>
  <c r="E4610" i="41" s="1"/>
  <c r="F4610" i="41" s="1"/>
  <c r="K4610" i="41" l="1"/>
  <c r="J4610" i="41"/>
  <c r="I4610" i="41"/>
  <c r="H4610" i="41"/>
  <c r="G4610" i="41"/>
  <c r="D4611" i="41"/>
  <c r="E4611" i="41" s="1"/>
  <c r="F4611" i="41" s="1"/>
  <c r="K4611" i="41" l="1"/>
  <c r="J4611" i="41"/>
  <c r="I4611" i="41"/>
  <c r="H4611" i="41"/>
  <c r="G4611" i="41"/>
  <c r="D4612" i="41"/>
  <c r="E4612" i="41" s="1"/>
  <c r="F4612" i="41" s="1"/>
  <c r="H4612" i="41" l="1"/>
  <c r="G4612" i="41"/>
  <c r="K4612" i="41"/>
  <c r="J4612" i="41"/>
  <c r="I4612" i="41"/>
  <c r="D4613" i="41"/>
  <c r="E4613" i="41" s="1"/>
  <c r="F4613" i="41" s="1"/>
  <c r="J4613" i="41" l="1"/>
  <c r="I4613" i="41"/>
  <c r="H4613" i="41"/>
  <c r="G4613" i="41"/>
  <c r="K4613" i="41"/>
  <c r="D4614" i="41"/>
  <c r="E4614" i="41" s="1"/>
  <c r="F4614" i="41" s="1"/>
  <c r="K4614" i="41" l="1"/>
  <c r="J4614" i="41"/>
  <c r="I4614" i="41"/>
  <c r="H4614" i="41"/>
  <c r="G4614" i="41"/>
  <c r="D4615" i="41"/>
  <c r="E4615" i="41" s="1"/>
  <c r="F4615" i="41" s="1"/>
  <c r="K4615" i="41" l="1"/>
  <c r="J4615" i="41"/>
  <c r="I4615" i="41"/>
  <c r="H4615" i="41"/>
  <c r="G4615" i="41"/>
  <c r="D4616" i="41"/>
  <c r="E4616" i="41" s="1"/>
  <c r="F4616" i="41" s="1"/>
  <c r="H4616" i="41" l="1"/>
  <c r="G4616" i="41"/>
  <c r="K4616" i="41"/>
  <c r="J4616" i="41"/>
  <c r="I4616" i="41"/>
  <c r="D4617" i="41"/>
  <c r="E4617" i="41" s="1"/>
  <c r="F4617" i="41" s="1"/>
  <c r="J4617" i="41" l="1"/>
  <c r="I4617" i="41"/>
  <c r="H4617" i="41"/>
  <c r="G4617" i="41"/>
  <c r="K4617" i="41"/>
  <c r="D4618" i="41"/>
  <c r="E4618" i="41" s="1"/>
  <c r="F4618" i="41" s="1"/>
  <c r="K4618" i="41" l="1"/>
  <c r="J4618" i="41"/>
  <c r="I4618" i="41"/>
  <c r="H4618" i="41"/>
  <c r="G4618" i="41"/>
  <c r="D4619" i="41"/>
  <c r="E4619" i="41" s="1"/>
  <c r="F4619" i="41" s="1"/>
  <c r="K4619" i="41" l="1"/>
  <c r="J4619" i="41"/>
  <c r="I4619" i="41"/>
  <c r="H4619" i="41"/>
  <c r="G4619" i="41"/>
  <c r="D4620" i="41"/>
  <c r="E4620" i="41" s="1"/>
  <c r="F4620" i="41" s="1"/>
  <c r="H4620" i="41" l="1"/>
  <c r="G4620" i="41"/>
  <c r="K4620" i="41"/>
  <c r="J4620" i="41"/>
  <c r="I4620" i="41"/>
  <c r="D4621" i="41"/>
  <c r="E4621" i="41" s="1"/>
  <c r="F4621" i="41" s="1"/>
  <c r="J4621" i="41" l="1"/>
  <c r="I4621" i="41"/>
  <c r="H4621" i="41"/>
  <c r="G4621" i="41"/>
  <c r="K4621" i="41"/>
  <c r="D4622" i="41"/>
  <c r="E4622" i="41" s="1"/>
  <c r="F4622" i="41" s="1"/>
  <c r="K4622" i="41" l="1"/>
  <c r="J4622" i="41"/>
  <c r="I4622" i="41"/>
  <c r="H4622" i="41"/>
  <c r="G4622" i="41"/>
  <c r="D4623" i="41"/>
  <c r="E4623" i="41" s="1"/>
  <c r="F4623" i="41" s="1"/>
  <c r="K4623" i="41" l="1"/>
  <c r="J4623" i="41"/>
  <c r="I4623" i="41"/>
  <c r="H4623" i="41"/>
  <c r="G4623" i="41"/>
  <c r="D4624" i="41"/>
  <c r="E4624" i="41" s="1"/>
  <c r="F4624" i="41" s="1"/>
  <c r="H4624" i="41" l="1"/>
  <c r="G4624" i="41"/>
  <c r="K4624" i="41"/>
  <c r="J4624" i="41"/>
  <c r="I4624" i="41"/>
  <c r="D4625" i="41"/>
  <c r="E4625" i="41" s="1"/>
  <c r="F4625" i="41" s="1"/>
  <c r="J4625" i="41" l="1"/>
  <c r="I4625" i="41"/>
  <c r="H4625" i="41"/>
  <c r="G4625" i="41"/>
  <c r="K4625" i="41"/>
  <c r="D4626" i="41"/>
  <c r="E4626" i="41" s="1"/>
  <c r="F4626" i="41" s="1"/>
  <c r="K4626" i="41" l="1"/>
  <c r="J4626" i="41"/>
  <c r="I4626" i="41"/>
  <c r="H4626" i="41"/>
  <c r="G4626" i="41"/>
  <c r="D4627" i="41"/>
  <c r="E4627" i="41" s="1"/>
  <c r="F4627" i="41" s="1"/>
  <c r="K4627" i="41" l="1"/>
  <c r="J4627" i="41"/>
  <c r="I4627" i="41"/>
  <c r="H4627" i="41"/>
  <c r="G4627" i="41"/>
  <c r="D4628" i="41"/>
  <c r="E4628" i="41" s="1"/>
  <c r="F4628" i="41" s="1"/>
  <c r="H4628" i="41" l="1"/>
  <c r="G4628" i="41"/>
  <c r="K4628" i="41"/>
  <c r="J4628" i="41"/>
  <c r="I4628" i="41"/>
  <c r="D4629" i="41"/>
  <c r="E4629" i="41" s="1"/>
  <c r="F4629" i="41" s="1"/>
  <c r="J4629" i="41" l="1"/>
  <c r="I4629" i="41"/>
  <c r="H4629" i="41"/>
  <c r="G4629" i="41"/>
  <c r="K4629" i="41"/>
  <c r="D4630" i="41"/>
  <c r="E4630" i="41" s="1"/>
  <c r="F4630" i="41" s="1"/>
  <c r="K4630" i="41" l="1"/>
  <c r="J4630" i="41"/>
  <c r="I4630" i="41"/>
  <c r="H4630" i="41"/>
  <c r="G4630" i="41"/>
  <c r="D4631" i="41"/>
  <c r="E4631" i="41" s="1"/>
  <c r="F4631" i="41" s="1"/>
  <c r="K4631" i="41" l="1"/>
  <c r="J4631" i="41"/>
  <c r="I4631" i="41"/>
  <c r="H4631" i="41"/>
  <c r="G4631" i="41"/>
  <c r="D4632" i="41"/>
  <c r="E4632" i="41" s="1"/>
  <c r="F4632" i="41" s="1"/>
  <c r="J883" i="37"/>
  <c r="J916" i="37" s="1"/>
  <c r="O883" i="37"/>
  <c r="O916" i="37" s="1"/>
  <c r="I888" i="37"/>
  <c r="I921" i="37" s="1"/>
  <c r="I889" i="37"/>
  <c r="I922" i="37" s="1"/>
  <c r="N888" i="37"/>
  <c r="N921" i="37" s="1"/>
  <c r="N889" i="37"/>
  <c r="N922" i="37" s="1"/>
  <c r="N882" i="37"/>
  <c r="H894" i="37"/>
  <c r="H927" i="37" s="1"/>
  <c r="G893" i="37"/>
  <c r="H895" i="37"/>
  <c r="H928" i="37" s="1"/>
  <c r="M895" i="37"/>
  <c r="M928" i="37" s="1"/>
  <c r="M894" i="37"/>
  <c r="M927" i="37" s="1"/>
  <c r="I887" i="37"/>
  <c r="I920" i="37" s="1"/>
  <c r="I882" i="37"/>
  <c r="N887" i="37"/>
  <c r="N920" i="37" s="1"/>
  <c r="L893" i="37"/>
  <c r="H4632" i="41" l="1"/>
  <c r="G4632" i="41"/>
  <c r="K4632" i="41"/>
  <c r="J4632" i="41"/>
  <c r="I4632" i="41"/>
  <c r="D4633" i="41"/>
  <c r="E4633" i="41" s="1"/>
  <c r="F4633" i="41" s="1"/>
  <c r="I915" i="37"/>
  <c r="N915" i="37"/>
  <c r="J4633" i="41" l="1"/>
  <c r="I4633" i="41"/>
  <c r="H4633" i="41"/>
  <c r="G4633" i="41"/>
  <c r="K4633" i="41"/>
  <c r="D4634" i="41"/>
  <c r="E4634" i="41" s="1"/>
  <c r="F4634" i="41" s="1"/>
  <c r="K4634" i="41" l="1"/>
  <c r="J4634" i="41"/>
  <c r="I4634" i="41"/>
  <c r="H4634" i="41"/>
  <c r="G4634" i="41"/>
  <c r="D4635" i="41"/>
  <c r="E4635" i="41" s="1"/>
  <c r="F4635" i="41" s="1"/>
  <c r="K4635" i="41" l="1"/>
  <c r="J4635" i="41"/>
  <c r="I4635" i="41"/>
  <c r="H4635" i="41"/>
  <c r="G4635" i="41"/>
  <c r="D4636" i="41"/>
  <c r="E4636" i="41" s="1"/>
  <c r="F4636" i="41" s="1"/>
  <c r="I4636" i="41" l="1"/>
  <c r="H4636" i="41"/>
  <c r="K4636" i="41"/>
  <c r="J4636" i="41"/>
  <c r="G4636" i="41"/>
  <c r="D4637" i="41"/>
  <c r="E4637" i="41" s="1"/>
  <c r="F4637" i="41" s="1"/>
  <c r="K4637" i="41" l="1"/>
  <c r="J4637" i="41"/>
  <c r="H4637" i="41"/>
  <c r="G4637" i="41"/>
  <c r="I4637" i="41"/>
  <c r="D4638" i="41"/>
  <c r="E4638" i="41" s="1"/>
  <c r="F4638" i="41" s="1"/>
  <c r="J4638" i="41" l="1"/>
  <c r="I4638" i="41"/>
  <c r="K4638" i="41"/>
  <c r="H4638" i="41"/>
  <c r="G4638" i="41"/>
  <c r="D4639" i="41"/>
  <c r="E4639" i="41" s="1"/>
  <c r="F4639" i="41" s="1"/>
  <c r="G4639" i="41" l="1"/>
  <c r="K4639" i="41"/>
  <c r="J4639" i="41"/>
  <c r="I4639" i="41"/>
  <c r="H4639" i="41"/>
  <c r="D4640" i="41"/>
  <c r="E4640" i="41" s="1"/>
  <c r="F4640" i="41" s="1"/>
  <c r="I4640" i="41" l="1"/>
  <c r="H4640" i="41"/>
  <c r="K4640" i="41"/>
  <c r="J4640" i="41"/>
  <c r="G4640" i="41"/>
  <c r="D4641" i="41"/>
  <c r="E4641" i="41" s="1"/>
  <c r="F4641" i="41" s="1"/>
  <c r="K4641" i="41" l="1"/>
  <c r="J4641" i="41"/>
  <c r="H4641" i="41"/>
  <c r="G4641" i="41"/>
  <c r="I4641" i="41"/>
  <c r="D4642" i="41"/>
  <c r="E4642" i="41" s="1"/>
  <c r="F4642" i="41" s="1"/>
  <c r="J4642" i="41" l="1"/>
  <c r="I4642" i="41"/>
  <c r="H4642" i="41"/>
  <c r="G4642" i="41"/>
  <c r="K4642" i="41"/>
  <c r="D4643" i="41"/>
  <c r="E4643" i="41" s="1"/>
  <c r="F4643" i="41" s="1"/>
  <c r="G4643" i="41" l="1"/>
  <c r="K4643" i="41"/>
  <c r="J4643" i="41"/>
  <c r="I4643" i="41"/>
  <c r="H4643" i="41"/>
  <c r="D4644" i="41"/>
  <c r="E4644" i="41" s="1"/>
  <c r="F4644" i="41" s="1"/>
  <c r="I4644" i="41" l="1"/>
  <c r="H4644" i="41"/>
  <c r="K4644" i="41"/>
  <c r="J4644" i="41"/>
  <c r="G4644" i="41"/>
  <c r="D4645" i="41"/>
  <c r="E4645" i="41" s="1"/>
  <c r="F4645" i="41" s="1"/>
  <c r="K4645" i="41" l="1"/>
  <c r="J4645" i="41"/>
  <c r="H4645" i="41"/>
  <c r="G4645" i="41"/>
  <c r="I4645" i="41"/>
  <c r="D4646" i="41"/>
  <c r="E4646" i="41" s="1"/>
  <c r="F4646" i="41" s="1"/>
  <c r="J4646" i="41" l="1"/>
  <c r="I4646" i="41"/>
  <c r="K4646" i="41"/>
  <c r="H4646" i="41"/>
  <c r="G4646" i="41"/>
  <c r="D4647" i="41"/>
  <c r="E4647" i="41" s="1"/>
  <c r="F4647" i="41" s="1"/>
  <c r="G4647" i="41" l="1"/>
  <c r="K4647" i="41"/>
  <c r="J4647" i="41"/>
  <c r="I4647" i="41"/>
  <c r="H4647" i="41"/>
  <c r="D4648" i="41"/>
  <c r="E4648" i="41" s="1"/>
  <c r="F4648" i="41" s="1"/>
  <c r="I4648" i="41" l="1"/>
  <c r="H4648" i="41"/>
  <c r="K4648" i="41"/>
  <c r="J4648" i="41"/>
  <c r="G4648" i="41"/>
  <c r="D4649" i="41"/>
  <c r="E4649" i="41" s="1"/>
  <c r="F4649" i="41" s="1"/>
  <c r="K4649" i="41" l="1"/>
  <c r="J4649" i="41"/>
  <c r="H4649" i="41"/>
  <c r="G4649" i="41"/>
  <c r="I4649" i="41"/>
  <c r="D4650" i="41"/>
  <c r="E4650" i="41" s="1"/>
  <c r="F4650" i="41" s="1"/>
  <c r="J4650" i="41" l="1"/>
  <c r="I4650" i="41"/>
  <c r="H4650" i="41"/>
  <c r="G4650" i="41"/>
  <c r="K4650" i="41"/>
  <c r="D4651" i="41"/>
  <c r="E4651" i="41" s="1"/>
  <c r="F4651" i="41" s="1"/>
  <c r="G4651" i="41" l="1"/>
  <c r="K4651" i="41"/>
  <c r="J4651" i="41"/>
  <c r="I4651" i="41"/>
  <c r="H4651" i="41"/>
  <c r="D4652" i="41"/>
  <c r="E4652" i="41" s="1"/>
  <c r="F4652" i="41" s="1"/>
  <c r="I4652" i="41" l="1"/>
  <c r="H4652" i="41"/>
  <c r="K4652" i="41"/>
  <c r="J4652" i="41"/>
  <c r="G4652" i="41"/>
  <c r="D4653" i="41"/>
  <c r="E4653" i="41" s="1"/>
  <c r="F4653" i="41" s="1"/>
  <c r="K4653" i="41" l="1"/>
  <c r="J4653" i="41"/>
  <c r="H4653" i="41"/>
  <c r="G4653" i="41"/>
  <c r="I4653" i="41"/>
  <c r="D4654" i="41"/>
  <c r="E4654" i="41" s="1"/>
  <c r="F4654" i="41" s="1"/>
  <c r="J4654" i="41" l="1"/>
  <c r="I4654" i="41"/>
  <c r="K4654" i="41"/>
  <c r="H4654" i="41"/>
  <c r="G4654" i="41"/>
  <c r="D4655" i="41"/>
  <c r="E4655" i="41" s="1"/>
  <c r="F4655" i="41" s="1"/>
  <c r="G4655" i="41" l="1"/>
  <c r="K4655" i="41"/>
  <c r="J4655" i="41"/>
  <c r="I4655" i="41"/>
  <c r="H4655" i="41"/>
  <c r="D4656" i="41"/>
  <c r="E4656" i="41" s="1"/>
  <c r="F4656" i="41" s="1"/>
  <c r="I4656" i="41" l="1"/>
  <c r="H4656" i="41"/>
  <c r="K4656" i="41"/>
  <c r="J4656" i="41"/>
  <c r="G4656" i="41"/>
  <c r="D4657" i="41"/>
  <c r="E4657" i="41" s="1"/>
  <c r="F4657" i="41" s="1"/>
  <c r="K4657" i="41" l="1"/>
  <c r="J4657" i="41"/>
  <c r="H4657" i="41"/>
  <c r="G4657" i="41"/>
  <c r="I4657" i="41"/>
  <c r="D4658" i="41"/>
  <c r="E4658" i="41" s="1"/>
  <c r="F4658" i="41" s="1"/>
  <c r="J4658" i="41" l="1"/>
  <c r="I4658" i="41"/>
  <c r="H4658" i="41"/>
  <c r="G4658" i="41"/>
  <c r="K4658" i="41"/>
  <c r="D4659" i="41"/>
  <c r="E4659" i="41" s="1"/>
  <c r="F4659" i="41" s="1"/>
  <c r="G4659" i="41" l="1"/>
  <c r="K4659" i="41"/>
  <c r="J4659" i="41"/>
  <c r="I4659" i="41"/>
  <c r="H4659" i="41"/>
  <c r="D4660" i="41"/>
  <c r="E4660" i="41" s="1"/>
  <c r="F4660" i="41" s="1"/>
  <c r="I4660" i="41" l="1"/>
  <c r="H4660" i="41"/>
  <c r="K4660" i="41"/>
  <c r="J4660" i="41"/>
  <c r="G4660" i="41"/>
  <c r="D4661" i="41"/>
  <c r="E4661" i="41" s="1"/>
  <c r="F4661" i="41" s="1"/>
  <c r="K4661" i="41" l="1"/>
  <c r="J4661" i="41"/>
  <c r="H4661" i="41"/>
  <c r="G4661" i="41"/>
  <c r="I4661" i="41"/>
  <c r="D4662" i="41"/>
  <c r="E4662" i="41" s="1"/>
  <c r="F4662" i="41" s="1"/>
  <c r="J4662" i="41" l="1"/>
  <c r="I4662" i="41"/>
  <c r="K4662" i="41"/>
  <c r="H4662" i="41"/>
  <c r="G4662" i="41"/>
  <c r="D4663" i="41"/>
  <c r="E4663" i="41" s="1"/>
  <c r="F4663" i="41" s="1"/>
  <c r="G4663" i="41" l="1"/>
  <c r="K4663" i="41"/>
  <c r="J4663" i="41"/>
  <c r="I4663" i="41"/>
  <c r="H4663" i="41"/>
  <c r="D4664" i="41"/>
  <c r="E4664" i="41" s="1"/>
  <c r="F4664" i="41" s="1"/>
  <c r="I4664" i="41" l="1"/>
  <c r="H4664" i="41"/>
  <c r="K4664" i="41"/>
  <c r="J4664" i="41"/>
  <c r="G4664" i="41"/>
  <c r="D4665" i="41"/>
  <c r="E4665" i="41" s="1"/>
  <c r="F4665" i="41" s="1"/>
  <c r="K4665" i="41" l="1"/>
  <c r="J4665" i="41"/>
  <c r="H4665" i="41"/>
  <c r="G4665" i="41"/>
  <c r="I4665" i="41"/>
  <c r="D4666" i="41"/>
  <c r="E4666" i="41" s="1"/>
  <c r="F4666" i="41" s="1"/>
  <c r="J4666" i="41" l="1"/>
  <c r="I4666" i="41"/>
  <c r="H4666" i="41"/>
  <c r="G4666" i="41"/>
  <c r="K4666" i="41"/>
  <c r="D4667" i="41"/>
  <c r="E4667" i="41" s="1"/>
  <c r="F4667" i="41" s="1"/>
  <c r="G4667" i="41" l="1"/>
  <c r="K4667" i="41"/>
  <c r="J4667" i="41"/>
  <c r="I4667" i="41"/>
  <c r="H4667" i="41"/>
  <c r="D4668" i="41"/>
  <c r="E4668" i="41" s="1"/>
  <c r="F4668" i="41" s="1"/>
  <c r="I4668" i="41" l="1"/>
  <c r="H4668" i="41"/>
  <c r="K4668" i="41"/>
  <c r="J4668" i="41"/>
  <c r="G4668" i="41"/>
  <c r="D4669" i="41"/>
  <c r="E4669" i="41" s="1"/>
  <c r="F4669" i="41" s="1"/>
  <c r="K4669" i="41" l="1"/>
  <c r="J4669" i="41"/>
  <c r="H4669" i="41"/>
  <c r="G4669" i="41"/>
  <c r="I4669" i="41"/>
  <c r="D4670" i="41"/>
  <c r="E4670" i="41" s="1"/>
  <c r="F4670" i="41" s="1"/>
  <c r="J4670" i="41" l="1"/>
  <c r="I4670" i="41"/>
  <c r="K4670" i="41"/>
  <c r="H4670" i="41"/>
  <c r="G4670" i="41"/>
  <c r="D4671" i="41"/>
  <c r="E4671" i="41" s="1"/>
  <c r="F4671" i="41" s="1"/>
  <c r="G4671" i="41" l="1"/>
  <c r="K4671" i="41"/>
  <c r="J4671" i="41"/>
  <c r="I4671" i="41"/>
  <c r="H4671" i="41"/>
  <c r="D4672" i="41"/>
  <c r="E4672" i="41" s="1"/>
  <c r="F4672" i="41" s="1"/>
  <c r="I4672" i="41" l="1"/>
  <c r="H4672" i="41"/>
  <c r="K4672" i="41"/>
  <c r="J4672" i="41"/>
  <c r="G4672" i="41"/>
  <c r="D4673" i="41"/>
  <c r="E4673" i="41" s="1"/>
  <c r="F4673" i="41" s="1"/>
  <c r="K4673" i="41" l="1"/>
  <c r="J4673" i="41"/>
  <c r="H4673" i="41"/>
  <c r="G4673" i="41"/>
  <c r="I4673" i="41"/>
  <c r="D4674" i="41"/>
  <c r="E4674" i="41" s="1"/>
  <c r="F4674" i="41" s="1"/>
  <c r="J4674" i="41" l="1"/>
  <c r="I4674" i="41"/>
  <c r="H4674" i="41"/>
  <c r="G4674" i="41"/>
  <c r="K4674" i="41"/>
  <c r="D4675" i="41"/>
  <c r="E4675" i="41" s="1"/>
  <c r="F4675" i="41" s="1"/>
  <c r="G4675" i="41" l="1"/>
  <c r="K4675" i="41"/>
  <c r="J4675" i="41"/>
  <c r="I4675" i="41"/>
  <c r="H4675" i="41"/>
  <c r="D4676" i="41"/>
  <c r="E4676" i="41" s="1"/>
  <c r="F4676" i="41" s="1"/>
  <c r="I4676" i="41" l="1"/>
  <c r="H4676" i="41"/>
  <c r="K4676" i="41"/>
  <c r="J4676" i="41"/>
  <c r="G4676" i="41"/>
  <c r="D4677" i="41"/>
  <c r="E4677" i="41" s="1"/>
  <c r="F4677" i="41" s="1"/>
  <c r="K4677" i="41" l="1"/>
  <c r="J4677" i="41"/>
  <c r="H4677" i="41"/>
  <c r="G4677" i="41"/>
  <c r="I4677" i="41"/>
  <c r="D4678" i="41"/>
  <c r="E4678" i="41" s="1"/>
  <c r="F4678" i="41" s="1"/>
  <c r="J4678" i="41" l="1"/>
  <c r="I4678" i="41"/>
  <c r="K4678" i="41"/>
  <c r="H4678" i="41"/>
  <c r="G4678" i="41"/>
  <c r="D4679" i="41"/>
  <c r="E4679" i="41" s="1"/>
  <c r="F4679" i="41" s="1"/>
  <c r="G4679" i="41" l="1"/>
  <c r="K4679" i="41"/>
  <c r="J4679" i="41"/>
  <c r="I4679" i="41"/>
  <c r="H4679" i="41"/>
  <c r="D4680" i="41"/>
  <c r="E4680" i="41" s="1"/>
  <c r="F4680" i="41" s="1"/>
  <c r="I4680" i="41" l="1"/>
  <c r="H4680" i="41"/>
  <c r="K4680" i="41"/>
  <c r="J4680" i="41"/>
  <c r="G4680" i="41"/>
  <c r="D4681" i="41"/>
  <c r="E4681" i="41" s="1"/>
  <c r="F4681" i="41" s="1"/>
  <c r="K4681" i="41" l="1"/>
  <c r="J4681" i="41"/>
  <c r="H4681" i="41"/>
  <c r="G4681" i="41"/>
  <c r="I4681" i="41"/>
  <c r="D4682" i="41"/>
  <c r="E4682" i="41" s="1"/>
  <c r="F4682" i="41" s="1"/>
  <c r="J4682" i="41" l="1"/>
  <c r="I4682" i="41"/>
  <c r="H4682" i="41"/>
  <c r="G4682" i="41"/>
  <c r="K4682" i="41"/>
  <c r="D4683" i="41"/>
  <c r="E4683" i="41" s="1"/>
  <c r="F4683" i="41" s="1"/>
  <c r="G4683" i="41" l="1"/>
  <c r="K4683" i="41"/>
  <c r="J4683" i="41"/>
  <c r="I4683" i="41"/>
  <c r="H4683" i="41"/>
  <c r="D4684" i="41"/>
  <c r="E4684" i="41" s="1"/>
  <c r="F4684" i="41" s="1"/>
  <c r="I4684" i="41" l="1"/>
  <c r="H4684" i="41"/>
  <c r="K4684" i="41"/>
  <c r="J4684" i="41"/>
  <c r="G4684" i="41"/>
  <c r="D4685" i="41"/>
  <c r="E4685" i="41" s="1"/>
  <c r="F4685" i="41" s="1"/>
  <c r="K4685" i="41" l="1"/>
  <c r="J4685" i="41"/>
  <c r="H4685" i="41"/>
  <c r="G4685" i="41"/>
  <c r="I4685" i="41"/>
  <c r="D4686" i="41"/>
  <c r="E4686" i="41" s="1"/>
  <c r="F4686" i="41" s="1"/>
  <c r="J4686" i="41" l="1"/>
  <c r="I4686" i="41"/>
  <c r="K4686" i="41"/>
  <c r="H4686" i="41"/>
  <c r="G4686" i="41"/>
  <c r="D4687" i="41"/>
  <c r="E4687" i="41" s="1"/>
  <c r="F4687" i="41" s="1"/>
  <c r="G4687" i="41" l="1"/>
  <c r="K4687" i="41"/>
  <c r="J4687" i="41"/>
  <c r="I4687" i="41"/>
  <c r="H4687" i="41"/>
  <c r="D4688" i="41"/>
  <c r="E4688" i="41" s="1"/>
  <c r="F4688" i="41" s="1"/>
  <c r="I4688" i="41" l="1"/>
  <c r="H4688" i="41"/>
  <c r="K4688" i="41"/>
  <c r="J4688" i="41"/>
  <c r="G4688" i="41"/>
  <c r="D4689" i="41"/>
  <c r="E4689" i="41" s="1"/>
  <c r="F4689" i="41" s="1"/>
  <c r="K4689" i="41" l="1"/>
  <c r="J4689" i="41"/>
  <c r="H4689" i="41"/>
  <c r="G4689" i="41"/>
  <c r="I4689" i="41"/>
  <c r="D4690" i="41"/>
  <c r="E4690" i="41" s="1"/>
  <c r="F4690" i="41" s="1"/>
  <c r="J4690" i="41" l="1"/>
  <c r="I4690" i="41"/>
  <c r="H4690" i="41"/>
  <c r="G4690" i="41"/>
  <c r="K4690" i="41"/>
  <c r="D4691" i="41"/>
  <c r="E4691" i="41" s="1"/>
  <c r="F4691" i="41" s="1"/>
  <c r="G4691" i="41" l="1"/>
  <c r="K4691" i="41"/>
  <c r="J4691" i="41"/>
  <c r="I4691" i="41"/>
  <c r="H4691" i="41"/>
  <c r="D4692" i="41"/>
  <c r="E4692" i="41" s="1"/>
  <c r="F4692" i="41" s="1"/>
  <c r="I4692" i="41" l="1"/>
  <c r="H4692" i="41"/>
  <c r="K4692" i="41"/>
  <c r="J4692" i="41"/>
  <c r="G4692" i="41"/>
  <c r="D4693" i="41"/>
  <c r="E4693" i="41" s="1"/>
  <c r="F4693" i="41" s="1"/>
  <c r="K4693" i="41" l="1"/>
  <c r="J4693" i="41"/>
  <c r="H4693" i="41"/>
  <c r="G4693" i="41"/>
  <c r="I4693" i="41"/>
  <c r="D4694" i="41"/>
  <c r="E4694" i="41" s="1"/>
  <c r="F4694" i="41" s="1"/>
  <c r="J4694" i="41" l="1"/>
  <c r="I4694" i="41"/>
  <c r="K4694" i="41"/>
  <c r="H4694" i="41"/>
  <c r="G4694" i="41"/>
  <c r="D4695" i="41"/>
  <c r="E4695" i="41" s="1"/>
  <c r="F4695" i="41" s="1"/>
  <c r="G4695" i="41" l="1"/>
  <c r="K4695" i="41"/>
  <c r="J4695" i="41"/>
  <c r="I4695" i="41"/>
  <c r="H4695" i="41"/>
  <c r="D4696" i="41"/>
  <c r="E4696" i="41" s="1"/>
  <c r="F4696" i="41" s="1"/>
  <c r="I4696" i="41" l="1"/>
  <c r="H4696" i="41"/>
  <c r="K4696" i="41"/>
  <c r="J4696" i="41"/>
  <c r="G4696" i="41"/>
  <c r="D4697" i="41"/>
  <c r="E4697" i="41" s="1"/>
  <c r="F4697" i="41" s="1"/>
  <c r="K4697" i="41" l="1"/>
  <c r="J4697" i="41"/>
  <c r="I4697" i="41"/>
  <c r="H4697" i="41"/>
  <c r="G4697" i="41"/>
  <c r="D4698" i="41"/>
  <c r="E4698" i="41" s="1"/>
  <c r="F4698" i="41" s="1"/>
  <c r="K4698" i="41" l="1"/>
  <c r="J4698" i="41"/>
  <c r="I4698" i="41"/>
  <c r="H4698" i="41"/>
  <c r="G4698" i="41"/>
  <c r="D4699" i="41"/>
  <c r="E4699" i="41" s="1"/>
  <c r="F4699" i="41" s="1"/>
  <c r="H4699" i="41" l="1"/>
  <c r="G4699" i="41"/>
  <c r="K4699" i="41"/>
  <c r="J4699" i="41"/>
  <c r="I4699" i="41"/>
  <c r="D4700" i="41"/>
  <c r="E4700" i="41" s="1"/>
  <c r="F4700" i="41" s="1"/>
  <c r="J4700" i="41" l="1"/>
  <c r="I4700" i="41"/>
  <c r="H4700" i="41"/>
  <c r="G4700" i="41"/>
  <c r="K4700" i="41"/>
  <c r="D4701" i="41"/>
  <c r="E4701" i="41" s="1"/>
  <c r="F4701" i="41" s="1"/>
  <c r="K4701" i="41" l="1"/>
  <c r="J4701" i="41"/>
  <c r="I4701" i="41"/>
  <c r="H4701" i="41"/>
  <c r="G4701" i="41"/>
  <c r="D4702" i="41"/>
  <c r="E4702" i="41" s="1"/>
  <c r="F4702" i="41" s="1"/>
  <c r="K4702" i="41" l="1"/>
  <c r="J4702" i="41"/>
  <c r="I4702" i="41"/>
  <c r="H4702" i="41"/>
  <c r="G4702" i="41"/>
  <c r="D4703" i="41"/>
  <c r="E4703" i="41" s="1"/>
  <c r="F4703" i="41" s="1"/>
  <c r="H4703" i="41" l="1"/>
  <c r="G4703" i="41"/>
  <c r="K4703" i="41"/>
  <c r="J4703" i="41"/>
  <c r="I4703" i="41"/>
  <c r="D4704" i="41"/>
  <c r="E4704" i="41" s="1"/>
  <c r="F4704" i="41" s="1"/>
  <c r="J4704" i="41" l="1"/>
  <c r="I4704" i="41"/>
  <c r="H4704" i="41"/>
  <c r="G4704" i="41"/>
  <c r="K4704" i="41"/>
  <c r="D4705" i="41"/>
  <c r="E4705" i="41" s="1"/>
  <c r="F4705" i="41" s="1"/>
  <c r="K4705" i="41" l="1"/>
  <c r="J4705" i="41"/>
  <c r="I4705" i="41"/>
  <c r="H4705" i="41"/>
  <c r="G4705" i="41"/>
  <c r="D4706" i="41"/>
  <c r="E4706" i="41" s="1"/>
  <c r="F4706" i="41" s="1"/>
  <c r="K4706" i="41" l="1"/>
  <c r="J4706" i="41"/>
  <c r="I4706" i="41"/>
  <c r="H4706" i="41"/>
  <c r="G4706" i="41"/>
  <c r="D4707" i="41"/>
  <c r="E4707" i="41" s="1"/>
  <c r="F4707" i="41" s="1"/>
  <c r="H4707" i="41" l="1"/>
  <c r="G4707" i="41"/>
  <c r="K4707" i="41"/>
  <c r="J4707" i="41"/>
  <c r="I4707" i="41"/>
  <c r="D4708" i="41"/>
  <c r="E4708" i="41" s="1"/>
  <c r="F4708" i="41" s="1"/>
  <c r="J4708" i="41" l="1"/>
  <c r="I4708" i="41"/>
  <c r="H4708" i="41"/>
  <c r="G4708" i="41"/>
  <c r="K4708" i="41"/>
  <c r="D4709" i="41"/>
  <c r="E4709" i="41" s="1"/>
  <c r="F4709" i="41" s="1"/>
  <c r="K4709" i="41" l="1"/>
  <c r="J4709" i="41"/>
  <c r="I4709" i="41"/>
  <c r="H4709" i="41"/>
  <c r="G4709" i="41"/>
  <c r="D4710" i="41"/>
  <c r="E4710" i="41" s="1"/>
  <c r="F4710" i="41" s="1"/>
  <c r="K4710" i="41" l="1"/>
  <c r="J4710" i="41"/>
  <c r="I4710" i="41"/>
  <c r="H4710" i="41"/>
  <c r="G4710" i="41"/>
  <c r="D4711" i="41"/>
  <c r="E4711" i="41" s="1"/>
  <c r="F4711" i="41" s="1"/>
  <c r="H4711" i="41" l="1"/>
  <c r="G4711" i="41"/>
  <c r="K4711" i="41"/>
  <c r="J4711" i="41"/>
  <c r="I4711" i="41"/>
  <c r="D4712" i="41"/>
  <c r="E4712" i="41" s="1"/>
  <c r="F4712" i="41" s="1"/>
  <c r="J4712" i="41" l="1"/>
  <c r="I4712" i="41"/>
  <c r="H4712" i="41"/>
  <c r="G4712" i="41"/>
  <c r="K4712" i="41"/>
  <c r="D4713" i="41"/>
  <c r="E4713" i="41" s="1"/>
  <c r="F4713" i="41" s="1"/>
  <c r="K4713" i="41" l="1"/>
  <c r="J4713" i="41"/>
  <c r="I4713" i="41"/>
  <c r="H4713" i="41"/>
  <c r="G4713" i="41"/>
  <c r="D4714" i="41"/>
  <c r="E4714" i="41" s="1"/>
  <c r="F4714" i="41" s="1"/>
  <c r="K4714" i="41" l="1"/>
  <c r="J4714" i="41"/>
  <c r="I4714" i="41"/>
  <c r="H4714" i="41"/>
  <c r="G4714" i="41"/>
  <c r="D4715" i="41"/>
  <c r="E4715" i="41" s="1"/>
  <c r="F4715" i="41" s="1"/>
  <c r="H4715" i="41" l="1"/>
  <c r="G4715" i="41"/>
  <c r="K4715" i="41"/>
  <c r="J4715" i="41"/>
  <c r="I4715" i="41"/>
  <c r="D4716" i="41"/>
  <c r="E4716" i="41" s="1"/>
  <c r="F4716" i="41" s="1"/>
  <c r="J4716" i="41" l="1"/>
  <c r="I4716" i="41"/>
  <c r="H4716" i="41"/>
  <c r="G4716" i="41"/>
  <c r="K4716" i="41"/>
  <c r="D4717" i="41"/>
  <c r="E4717" i="41" s="1"/>
  <c r="F4717" i="41" s="1"/>
  <c r="K4717" i="41" l="1"/>
  <c r="J4717" i="41"/>
  <c r="I4717" i="41"/>
  <c r="H4717" i="41"/>
  <c r="G4717" i="41"/>
  <c r="D4718" i="41"/>
  <c r="E4718" i="41" s="1"/>
  <c r="F4718" i="41" s="1"/>
  <c r="K4718" i="41" l="1"/>
  <c r="J4718" i="41"/>
  <c r="I4718" i="41"/>
  <c r="H4718" i="41"/>
  <c r="G4718" i="41"/>
  <c r="D4719" i="41"/>
  <c r="E4719" i="41" s="1"/>
  <c r="F4719" i="41" s="1"/>
  <c r="H4719" i="41" l="1"/>
  <c r="G4719" i="41"/>
  <c r="K4719" i="41"/>
  <c r="J4719" i="41"/>
  <c r="I4719" i="41"/>
  <c r="D4720" i="41"/>
  <c r="E4720" i="41" s="1"/>
  <c r="F4720" i="41" s="1"/>
  <c r="J4720" i="41" l="1"/>
  <c r="I4720" i="41"/>
  <c r="H4720" i="41"/>
  <c r="G4720" i="41"/>
  <c r="K4720" i="41"/>
  <c r="D4721" i="41"/>
  <c r="E4721" i="41" s="1"/>
  <c r="F4721" i="41" s="1"/>
  <c r="K4721" i="41" l="1"/>
  <c r="J4721" i="41"/>
  <c r="I4721" i="41"/>
  <c r="H4721" i="41"/>
  <c r="G4721" i="41"/>
  <c r="D4722" i="41"/>
  <c r="E4722" i="41" s="1"/>
  <c r="F4722" i="41" s="1"/>
  <c r="K4722" i="41" l="1"/>
  <c r="J4722" i="41"/>
  <c r="I4722" i="41"/>
  <c r="H4722" i="41"/>
  <c r="G4722" i="41"/>
  <c r="D4723" i="41"/>
  <c r="E4723" i="41" s="1"/>
  <c r="F4723" i="41" s="1"/>
  <c r="H4723" i="41" l="1"/>
  <c r="G4723" i="41"/>
  <c r="K4723" i="41"/>
  <c r="J4723" i="41"/>
  <c r="I4723" i="41"/>
  <c r="D4724" i="41"/>
  <c r="E4724" i="41" s="1"/>
  <c r="F4724" i="41" s="1"/>
  <c r="J4724" i="41" l="1"/>
  <c r="I4724" i="41"/>
  <c r="H4724" i="41"/>
  <c r="G4724" i="41"/>
  <c r="K4724" i="41"/>
  <c r="D4725" i="41"/>
  <c r="E4725" i="41" s="1"/>
  <c r="F4725" i="41" s="1"/>
  <c r="K4725" i="41" l="1"/>
  <c r="J4725" i="41"/>
  <c r="I4725" i="41"/>
  <c r="H4725" i="41"/>
  <c r="G4725" i="41"/>
  <c r="D4726" i="41"/>
  <c r="E4726" i="41" s="1"/>
  <c r="F4726" i="41" s="1"/>
  <c r="K4726" i="41" l="1"/>
  <c r="J4726" i="41"/>
  <c r="I4726" i="41"/>
  <c r="H4726" i="41"/>
  <c r="G4726" i="41"/>
  <c r="D4727" i="41"/>
  <c r="E4727" i="41" s="1"/>
  <c r="F4727" i="41" s="1"/>
  <c r="H4727" i="41" l="1"/>
  <c r="G4727" i="41"/>
  <c r="K4727" i="41"/>
  <c r="J4727" i="41"/>
  <c r="I4727" i="41"/>
  <c r="D4728" i="41"/>
  <c r="E4728" i="41" s="1"/>
  <c r="F4728" i="41" s="1"/>
  <c r="J4728" i="41" l="1"/>
  <c r="I4728" i="41"/>
  <c r="H4728" i="41"/>
  <c r="G4728" i="41"/>
  <c r="K4728" i="41"/>
  <c r="D4729" i="41"/>
  <c r="E4729" i="41" s="1"/>
  <c r="F4729" i="41" s="1"/>
  <c r="K4729" i="41" l="1"/>
  <c r="J4729" i="41"/>
  <c r="I4729" i="41"/>
  <c r="H4729" i="41"/>
  <c r="G4729" i="41"/>
  <c r="D4730" i="41"/>
  <c r="E4730" i="41" s="1"/>
  <c r="F4730" i="41" s="1"/>
  <c r="K4730" i="41" l="1"/>
  <c r="J4730" i="41"/>
  <c r="I4730" i="41"/>
  <c r="H4730" i="41"/>
  <c r="G4730" i="41"/>
  <c r="D4731" i="41"/>
  <c r="E4731" i="41" s="1"/>
  <c r="F4731" i="41" s="1"/>
  <c r="H4731" i="41" l="1"/>
  <c r="G4731" i="41"/>
  <c r="K4731" i="41"/>
  <c r="J4731" i="41"/>
  <c r="I4731" i="41"/>
  <c r="D4732" i="41"/>
  <c r="E4732" i="41" s="1"/>
  <c r="F4732" i="41" s="1"/>
  <c r="J4732" i="41" l="1"/>
  <c r="I4732" i="41"/>
  <c r="H4732" i="41"/>
  <c r="G4732" i="41"/>
  <c r="K4732" i="41"/>
  <c r="D4733" i="41"/>
  <c r="E4733" i="41" s="1"/>
  <c r="F4733" i="41" s="1"/>
  <c r="K4733" i="41" l="1"/>
  <c r="J4733" i="41"/>
  <c r="I4733" i="41"/>
  <c r="H4733" i="41"/>
  <c r="G4733" i="41"/>
  <c r="D4734" i="41"/>
  <c r="E4734" i="41" s="1"/>
  <c r="F4734" i="41" s="1"/>
  <c r="K4734" i="41" l="1"/>
  <c r="J4734" i="41"/>
  <c r="I4734" i="41"/>
  <c r="H4734" i="41"/>
  <c r="G4734" i="41"/>
  <c r="D4735" i="41"/>
  <c r="E4735" i="41" s="1"/>
  <c r="F4735" i="41" s="1"/>
  <c r="K4735" i="41" l="1"/>
  <c r="J4735" i="41"/>
  <c r="I4735" i="41"/>
  <c r="H4735" i="41"/>
  <c r="G4735" i="41"/>
  <c r="D4736" i="41"/>
  <c r="E4736" i="41" s="1"/>
  <c r="F4736" i="41" s="1"/>
  <c r="K4736" i="41" l="1"/>
  <c r="J4736" i="41"/>
  <c r="I4736" i="41"/>
  <c r="H4736" i="41"/>
  <c r="G4736" i="41"/>
  <c r="D4737" i="41"/>
  <c r="E4737" i="41" s="1"/>
  <c r="F4737" i="41" s="1"/>
  <c r="G4737" i="41" l="1"/>
  <c r="K4737" i="41"/>
  <c r="J4737" i="41"/>
  <c r="I4737" i="41"/>
  <c r="H4737" i="41"/>
  <c r="D4738" i="41"/>
  <c r="E4738" i="41" s="1"/>
  <c r="F4738" i="41" s="1"/>
  <c r="I4738" i="41" l="1"/>
  <c r="H4738" i="41"/>
  <c r="G4738" i="41"/>
  <c r="K4738" i="41"/>
  <c r="J4738" i="41"/>
  <c r="D4739" i="41"/>
  <c r="E4739" i="41" s="1"/>
  <c r="F4739" i="41" s="1"/>
  <c r="K4739" i="41" l="1"/>
  <c r="J4739" i="41"/>
  <c r="I4739" i="41"/>
  <c r="H4739" i="41"/>
  <c r="G4739" i="41"/>
  <c r="D4740" i="41"/>
  <c r="E4740" i="41" s="1"/>
  <c r="F4740" i="41" s="1"/>
  <c r="K4740" i="41" l="1"/>
  <c r="J4740" i="41"/>
  <c r="I4740" i="41"/>
  <c r="H4740" i="41"/>
  <c r="G4740" i="41"/>
  <c r="D4741" i="41"/>
  <c r="E4741" i="41" s="1"/>
  <c r="F4741" i="41" s="1"/>
  <c r="G4741" i="41" l="1"/>
  <c r="K4741" i="41"/>
  <c r="J4741" i="41"/>
  <c r="I4741" i="41"/>
  <c r="H4741" i="41"/>
  <c r="D4742" i="41"/>
  <c r="E4742" i="41" s="1"/>
  <c r="F4742" i="41" s="1"/>
  <c r="I4742" i="41" l="1"/>
  <c r="H4742" i="41"/>
  <c r="G4742" i="41"/>
  <c r="K4742" i="41"/>
  <c r="J4742" i="41"/>
  <c r="D4743" i="41"/>
  <c r="E4743" i="41" s="1"/>
  <c r="F4743" i="41" s="1"/>
  <c r="K4743" i="41" l="1"/>
  <c r="J4743" i="41"/>
  <c r="I4743" i="41"/>
  <c r="H4743" i="41"/>
  <c r="G4743" i="41"/>
  <c r="D4744" i="41"/>
  <c r="E4744" i="41" s="1"/>
  <c r="F4744" i="41" s="1"/>
  <c r="K4744" i="41" l="1"/>
  <c r="J4744" i="41"/>
  <c r="I4744" i="41"/>
  <c r="H4744" i="41"/>
  <c r="G4744" i="41"/>
  <c r="D4745" i="41"/>
  <c r="E4745" i="41" s="1"/>
  <c r="F4745" i="41" s="1"/>
  <c r="G4745" i="41" l="1"/>
  <c r="K4745" i="41"/>
  <c r="J4745" i="41"/>
  <c r="I4745" i="41"/>
  <c r="H4745" i="41"/>
  <c r="D4746" i="41"/>
  <c r="E4746" i="41" s="1"/>
  <c r="F4746" i="41" s="1"/>
  <c r="I4746" i="41" l="1"/>
  <c r="H4746" i="41"/>
  <c r="G4746" i="41"/>
  <c r="K4746" i="41"/>
  <c r="J4746" i="41"/>
  <c r="D4747" i="41"/>
  <c r="E4747" i="41" s="1"/>
  <c r="F4747" i="41" s="1"/>
  <c r="K4747" i="41" l="1"/>
  <c r="J4747" i="41"/>
  <c r="I4747" i="41"/>
  <c r="H4747" i="41"/>
  <c r="G4747" i="41"/>
  <c r="D4748" i="41"/>
  <c r="E4748" i="41" s="1"/>
  <c r="F4748" i="41" s="1"/>
  <c r="K4748" i="41" l="1"/>
  <c r="J4748" i="41"/>
  <c r="I4748" i="41"/>
  <c r="H4748" i="41"/>
  <c r="G4748" i="41"/>
  <c r="D4749" i="41"/>
  <c r="E4749" i="41" s="1"/>
  <c r="F4749" i="41" s="1"/>
  <c r="G4749" i="41" l="1"/>
  <c r="K4749" i="41"/>
  <c r="J4749" i="41"/>
  <c r="I4749" i="41"/>
  <c r="H4749" i="41"/>
  <c r="D4750" i="41"/>
  <c r="E4750" i="41" s="1"/>
  <c r="F4750" i="41" s="1"/>
  <c r="I4750" i="41" l="1"/>
  <c r="H4750" i="41"/>
  <c r="G4750" i="41"/>
  <c r="K4750" i="41"/>
  <c r="J4750" i="41"/>
  <c r="D4751" i="41"/>
  <c r="E4751" i="41" s="1"/>
  <c r="F4751" i="41" s="1"/>
  <c r="K4751" i="41" l="1"/>
  <c r="J4751" i="41"/>
  <c r="I4751" i="41"/>
  <c r="H4751" i="41"/>
  <c r="G4751" i="41"/>
  <c r="D4752" i="41"/>
  <c r="E4752" i="41" s="1"/>
  <c r="F4752" i="41" s="1"/>
  <c r="K4752" i="41" l="1"/>
  <c r="J4752" i="41"/>
  <c r="I4752" i="41"/>
  <c r="H4752" i="41"/>
  <c r="G4752" i="41"/>
  <c r="D4753" i="41"/>
  <c r="E4753" i="41" s="1"/>
  <c r="F4753" i="41" s="1"/>
  <c r="G4753" i="41" l="1"/>
  <c r="K4753" i="41"/>
  <c r="J4753" i="41"/>
  <c r="I4753" i="41"/>
  <c r="H4753" i="41"/>
  <c r="D4754" i="41"/>
  <c r="E4754" i="41" s="1"/>
  <c r="F4754" i="41" s="1"/>
  <c r="I4754" i="41" l="1"/>
  <c r="H4754" i="41"/>
  <c r="G4754" i="41"/>
  <c r="K4754" i="41"/>
  <c r="J4754" i="41"/>
  <c r="D4755" i="41"/>
  <c r="E4755" i="41" s="1"/>
  <c r="F4755" i="41" s="1"/>
  <c r="K4755" i="41" l="1"/>
  <c r="J4755" i="41"/>
  <c r="I4755" i="41"/>
  <c r="H4755" i="41"/>
  <c r="G4755" i="41"/>
  <c r="D4756" i="41"/>
  <c r="E4756" i="41" s="1"/>
  <c r="F4756" i="41" s="1"/>
  <c r="K4756" i="41" l="1"/>
  <c r="J4756" i="41"/>
  <c r="I4756" i="41"/>
  <c r="H4756" i="41"/>
  <c r="G4756" i="41"/>
  <c r="D4757" i="41"/>
  <c r="E4757" i="41" s="1"/>
  <c r="F4757" i="41" s="1"/>
  <c r="G4757" i="41" l="1"/>
  <c r="K4757" i="41"/>
  <c r="J4757" i="41"/>
  <c r="I4757" i="41"/>
  <c r="H4757" i="41"/>
  <c r="D4758" i="41"/>
  <c r="E4758" i="41" s="1"/>
  <c r="F4758" i="41" s="1"/>
  <c r="I4758" i="41" l="1"/>
  <c r="H4758" i="41"/>
  <c r="G4758" i="41"/>
  <c r="K4758" i="41"/>
  <c r="J4758" i="41"/>
  <c r="D4759" i="41"/>
  <c r="E4759" i="41" s="1"/>
  <c r="F4759" i="41" s="1"/>
  <c r="K4759" i="41" l="1"/>
  <c r="J4759" i="41"/>
  <c r="I4759" i="41"/>
  <c r="H4759" i="41"/>
  <c r="G4759" i="41"/>
  <c r="D4760" i="41"/>
  <c r="E4760" i="41" s="1"/>
  <c r="F4760" i="41" s="1"/>
  <c r="K4760" i="41" l="1"/>
  <c r="J4760" i="41"/>
  <c r="I4760" i="41"/>
  <c r="H4760" i="41"/>
  <c r="G4760" i="41"/>
  <c r="D4761" i="41"/>
  <c r="E4761" i="41" s="1"/>
  <c r="F4761" i="41" s="1"/>
  <c r="G4761" i="41" l="1"/>
  <c r="K4761" i="41"/>
  <c r="J4761" i="41"/>
  <c r="I4761" i="41"/>
  <c r="H4761" i="41"/>
  <c r="D4762" i="41"/>
  <c r="E4762" i="41" s="1"/>
  <c r="F4762" i="41" s="1"/>
  <c r="I4762" i="41" l="1"/>
  <c r="H4762" i="41"/>
  <c r="G4762" i="41"/>
  <c r="K4762" i="41"/>
  <c r="J4762" i="41"/>
  <c r="D4763" i="41"/>
  <c r="E4763" i="41" s="1"/>
  <c r="F4763" i="41" s="1"/>
  <c r="K4763" i="41" l="1"/>
  <c r="J4763" i="41"/>
  <c r="I4763" i="41"/>
  <c r="H4763" i="41"/>
  <c r="G4763" i="41"/>
  <c r="D4764" i="41"/>
  <c r="E4764" i="41" s="1"/>
  <c r="F4764" i="41" s="1"/>
  <c r="K4764" i="41" l="1"/>
  <c r="J4764" i="41"/>
  <c r="I4764" i="41"/>
  <c r="H4764" i="41"/>
  <c r="G4764" i="41"/>
  <c r="D4765" i="41"/>
  <c r="E4765" i="41" s="1"/>
  <c r="F4765" i="41" s="1"/>
  <c r="G4765" i="41" l="1"/>
  <c r="K4765" i="41"/>
  <c r="J4765" i="41"/>
  <c r="I4765" i="41"/>
  <c r="H4765" i="41"/>
  <c r="D4766" i="41"/>
  <c r="E4766" i="41" s="1"/>
  <c r="F4766" i="41" s="1"/>
  <c r="I4766" i="41" l="1"/>
  <c r="H4766" i="41"/>
  <c r="G4766" i="41"/>
  <c r="K4766" i="41"/>
  <c r="J4766" i="41"/>
  <c r="D4767" i="41"/>
  <c r="E4767" i="41" s="1"/>
  <c r="F4767" i="41" s="1"/>
  <c r="K4767" i="41" l="1"/>
  <c r="J4767" i="41"/>
  <c r="I4767" i="41"/>
  <c r="H4767" i="41"/>
  <c r="G4767" i="41"/>
  <c r="D4768" i="41"/>
  <c r="E4768" i="41" s="1"/>
  <c r="F4768" i="41" s="1"/>
  <c r="K4768" i="41" l="1"/>
  <c r="J4768" i="41"/>
  <c r="I4768" i="41"/>
  <c r="H4768" i="41"/>
  <c r="G4768" i="41"/>
  <c r="D4769" i="41"/>
  <c r="E4769" i="41" s="1"/>
  <c r="F4769" i="41" s="1"/>
  <c r="G4769" i="41" l="1"/>
  <c r="K4769" i="41"/>
  <c r="J4769" i="41"/>
  <c r="I4769" i="41"/>
  <c r="H4769" i="41"/>
  <c r="D4770" i="41"/>
  <c r="E4770" i="41" s="1"/>
  <c r="F4770" i="41" s="1"/>
  <c r="I4770" i="41" l="1"/>
  <c r="H4770" i="41"/>
  <c r="G4770" i="41"/>
  <c r="K4770" i="41"/>
  <c r="J4770" i="41"/>
  <c r="D4771" i="41"/>
  <c r="E4771" i="41" s="1"/>
  <c r="F4771" i="41" s="1"/>
  <c r="K4771" i="41" l="1"/>
  <c r="J4771" i="41"/>
  <c r="I4771" i="41"/>
  <c r="H4771" i="41"/>
  <c r="G4771" i="41"/>
  <c r="D4772" i="41"/>
  <c r="E4772" i="41" s="1"/>
  <c r="F4772" i="41" s="1"/>
  <c r="K4772" i="41" l="1"/>
  <c r="J4772" i="41"/>
  <c r="I4772" i="41"/>
  <c r="H4772" i="41"/>
  <c r="G4772" i="41"/>
  <c r="D4773" i="41"/>
  <c r="E4773" i="41" s="1"/>
  <c r="F4773" i="41" s="1"/>
  <c r="G4773" i="41" l="1"/>
  <c r="K4773" i="41"/>
  <c r="J4773" i="41"/>
  <c r="I4773" i="41"/>
  <c r="H4773" i="41"/>
  <c r="D4774" i="41"/>
  <c r="E4774" i="41" s="1"/>
  <c r="F4774" i="41" s="1"/>
  <c r="I4774" i="41" l="1"/>
  <c r="H4774" i="41"/>
  <c r="G4774" i="41"/>
  <c r="K4774" i="41"/>
  <c r="J4774" i="41"/>
  <c r="D4775" i="41"/>
  <c r="E4775" i="41" s="1"/>
  <c r="F4775" i="41" s="1"/>
  <c r="K4775" i="41" l="1"/>
  <c r="J4775" i="41"/>
  <c r="I4775" i="41"/>
  <c r="H4775" i="41"/>
  <c r="G4775" i="41"/>
  <c r="D4776" i="41"/>
  <c r="E4776" i="41" s="1"/>
  <c r="F4776" i="41" s="1"/>
  <c r="K4776" i="41" l="1"/>
  <c r="J4776" i="41"/>
  <c r="I4776" i="41"/>
  <c r="H4776" i="41"/>
  <c r="G4776" i="41"/>
  <c r="D4777" i="41"/>
  <c r="E4777" i="41" s="1"/>
  <c r="F4777" i="41" s="1"/>
  <c r="G4777" i="41" l="1"/>
  <c r="K4777" i="41"/>
  <c r="J4777" i="41"/>
  <c r="I4777" i="41"/>
  <c r="H4777" i="41"/>
  <c r="D4778" i="41"/>
  <c r="E4778" i="41" s="1"/>
  <c r="F4778" i="41" s="1"/>
  <c r="I4778" i="41" l="1"/>
  <c r="H4778" i="41"/>
  <c r="G4778" i="41"/>
  <c r="K4778" i="41"/>
  <c r="J4778" i="41"/>
  <c r="D4779" i="41"/>
  <c r="E4779" i="41" s="1"/>
  <c r="F4779" i="41" s="1"/>
  <c r="K4779" i="41" l="1"/>
  <c r="J4779" i="41"/>
  <c r="I4779" i="41"/>
  <c r="H4779" i="41"/>
  <c r="G4779" i="41"/>
  <c r="D4780" i="41"/>
  <c r="E4780" i="41" s="1"/>
  <c r="F4780" i="41" s="1"/>
  <c r="K4780" i="41" l="1"/>
  <c r="J4780" i="41"/>
  <c r="I4780" i="41"/>
  <c r="H4780" i="41"/>
  <c r="G4780" i="41"/>
  <c r="D4781" i="41"/>
  <c r="E4781" i="41" s="1"/>
  <c r="F4781" i="41" s="1"/>
  <c r="G4781" i="41" l="1"/>
  <c r="K4781" i="41"/>
  <c r="J4781" i="41"/>
  <c r="I4781" i="41"/>
  <c r="H4781" i="41"/>
  <c r="D4782" i="41"/>
  <c r="E4782" i="41" s="1"/>
  <c r="F4782" i="41" s="1"/>
  <c r="I4782" i="41" l="1"/>
  <c r="H4782" i="41"/>
  <c r="G4782" i="41"/>
  <c r="K4782" i="41"/>
  <c r="J4782" i="41"/>
  <c r="D4783" i="41"/>
  <c r="E4783" i="41" s="1"/>
  <c r="F4783" i="41" s="1"/>
  <c r="K4783" i="41" l="1"/>
  <c r="J4783" i="41"/>
  <c r="I4783" i="41"/>
  <c r="H4783" i="41"/>
  <c r="G4783" i="41"/>
  <c r="D4784" i="41"/>
  <c r="E4784" i="41" s="1"/>
  <c r="F4784" i="41" s="1"/>
  <c r="K4784" i="41" l="1"/>
  <c r="J4784" i="41"/>
  <c r="I4784" i="41"/>
  <c r="H4784" i="41"/>
  <c r="G4784" i="41"/>
  <c r="D4785" i="41"/>
  <c r="E4785" i="41" s="1"/>
  <c r="F4785" i="41" s="1"/>
  <c r="G4785" i="41" l="1"/>
  <c r="K4785" i="41"/>
  <c r="J4785" i="41"/>
  <c r="I4785" i="41"/>
  <c r="H4785" i="41"/>
  <c r="D4786" i="41"/>
  <c r="E4786" i="41" s="1"/>
  <c r="F4786" i="41" s="1"/>
  <c r="I4786" i="41" l="1"/>
  <c r="H4786" i="41"/>
  <c r="G4786" i="41"/>
  <c r="K4786" i="41"/>
  <c r="J4786" i="41"/>
  <c r="D4787" i="41"/>
  <c r="E4787" i="41" s="1"/>
  <c r="F4787" i="41" s="1"/>
  <c r="K4787" i="41" l="1"/>
  <c r="J4787" i="41"/>
  <c r="I4787" i="41"/>
  <c r="H4787" i="41"/>
  <c r="G4787" i="41"/>
  <c r="D4788" i="41"/>
  <c r="E4788" i="41" s="1"/>
  <c r="F4788" i="41" s="1"/>
  <c r="K4788" i="41" l="1"/>
  <c r="J4788" i="41"/>
  <c r="I4788" i="41"/>
  <c r="H4788" i="41"/>
  <c r="G4788" i="41"/>
  <c r="D4789" i="41"/>
  <c r="E4789" i="41" s="1"/>
  <c r="F4789" i="41" s="1"/>
  <c r="G4789" i="41" l="1"/>
  <c r="K4789" i="41"/>
  <c r="J4789" i="41"/>
  <c r="I4789" i="41"/>
  <c r="H4789" i="41"/>
  <c r="D4790" i="41"/>
  <c r="E4790" i="41" s="1"/>
  <c r="F4790" i="41" s="1"/>
  <c r="I4790" i="41" l="1"/>
  <c r="H4790" i="41"/>
  <c r="G4790" i="41"/>
  <c r="K4790" i="41"/>
  <c r="J4790" i="41"/>
  <c r="D4791" i="41"/>
  <c r="E4791" i="41" s="1"/>
  <c r="F4791" i="41" s="1"/>
  <c r="K4791" i="41" l="1"/>
  <c r="J4791" i="41"/>
  <c r="I4791" i="41"/>
  <c r="H4791" i="41"/>
  <c r="G4791" i="41"/>
  <c r="D4792" i="41"/>
  <c r="E4792" i="41" s="1"/>
  <c r="F4792" i="41" s="1"/>
  <c r="K4792" i="41" l="1"/>
  <c r="J4792" i="41"/>
  <c r="I4792" i="41"/>
  <c r="H4792" i="41"/>
  <c r="G4792" i="41"/>
  <c r="D4793" i="41"/>
  <c r="E4793" i="41" s="1"/>
  <c r="F4793" i="41" s="1"/>
  <c r="G4793" i="41" l="1"/>
  <c r="K4793" i="41"/>
  <c r="J4793" i="41"/>
  <c r="I4793" i="41"/>
  <c r="H4793" i="41"/>
  <c r="D4794" i="41"/>
  <c r="E4794" i="41" s="1"/>
  <c r="F4794" i="41" s="1"/>
  <c r="I4794" i="41" l="1"/>
  <c r="H4794" i="41"/>
  <c r="G4794" i="41"/>
  <c r="K4794" i="41"/>
  <c r="J4794" i="41"/>
  <c r="D4795" i="41"/>
  <c r="E4795" i="41" s="1"/>
  <c r="F4795" i="41" s="1"/>
  <c r="K4795" i="41" l="1"/>
  <c r="J4795" i="41"/>
  <c r="I4795" i="41"/>
  <c r="H4795" i="41"/>
  <c r="G4795" i="41"/>
  <c r="D4796" i="41"/>
  <c r="E4796" i="41" s="1"/>
  <c r="F4796" i="41" s="1"/>
  <c r="K4796" i="41" l="1"/>
  <c r="J4796" i="41"/>
  <c r="I4796" i="41"/>
  <c r="H4796" i="41"/>
  <c r="G4796" i="41"/>
  <c r="D4797" i="41"/>
  <c r="E4797" i="41" s="1"/>
  <c r="F4797" i="41" s="1"/>
  <c r="G4797" i="41" l="1"/>
  <c r="K4797" i="41"/>
  <c r="J4797" i="41"/>
  <c r="I4797" i="41"/>
  <c r="H4797" i="41"/>
  <c r="D4798" i="41"/>
  <c r="E4798" i="41" s="1"/>
  <c r="F4798" i="41" s="1"/>
  <c r="I4798" i="41" l="1"/>
  <c r="H4798" i="41"/>
  <c r="G4798" i="41"/>
  <c r="K4798" i="41"/>
  <c r="J4798" i="41"/>
  <c r="D4799" i="41"/>
  <c r="E4799" i="41" s="1"/>
  <c r="F4799" i="41" s="1"/>
  <c r="K4799" i="41" l="1"/>
  <c r="J4799" i="41"/>
  <c r="I4799" i="41"/>
  <c r="H4799" i="41"/>
  <c r="G4799" i="41"/>
  <c r="D4800" i="41"/>
  <c r="E4800" i="41" s="1"/>
  <c r="F4800" i="41" s="1"/>
  <c r="K4800" i="41" l="1"/>
  <c r="J4800" i="41"/>
  <c r="I4800" i="41"/>
  <c r="H4800" i="41"/>
  <c r="G4800" i="41"/>
  <c r="D4801" i="41"/>
  <c r="E4801" i="41" s="1"/>
  <c r="F4801" i="41" s="1"/>
  <c r="G4801" i="41" l="1"/>
  <c r="K4801" i="41"/>
  <c r="J4801" i="41"/>
  <c r="I4801" i="41"/>
  <c r="H4801" i="41"/>
  <c r="D4802" i="41"/>
  <c r="E4802" i="41" s="1"/>
  <c r="F4802" i="41" s="1"/>
  <c r="I4802" i="41" l="1"/>
  <c r="H4802" i="41"/>
  <c r="G4802" i="41"/>
  <c r="K4802" i="41"/>
  <c r="J4802" i="41"/>
  <c r="D4803" i="41"/>
  <c r="E4803" i="41" s="1"/>
  <c r="F4803" i="41" s="1"/>
  <c r="K4803" i="41" l="1"/>
  <c r="J4803" i="41"/>
  <c r="I4803" i="41"/>
  <c r="H4803" i="41"/>
  <c r="G4803" i="41"/>
  <c r="D4804" i="41"/>
  <c r="E4804" i="41" s="1"/>
  <c r="F4804" i="41" s="1"/>
  <c r="K4804" i="41" l="1"/>
  <c r="J4804" i="41"/>
  <c r="I4804" i="41"/>
  <c r="H4804" i="41"/>
  <c r="G4804" i="41"/>
  <c r="D4805" i="41"/>
  <c r="E4805" i="41" s="1"/>
  <c r="F4805" i="41" s="1"/>
  <c r="G4805" i="41" l="1"/>
  <c r="K4805" i="41"/>
  <c r="J4805" i="41"/>
  <c r="I4805" i="41"/>
  <c r="H4805" i="41"/>
  <c r="D4806" i="41"/>
  <c r="E4806" i="41" s="1"/>
  <c r="F4806" i="41" s="1"/>
  <c r="I4806" i="41" l="1"/>
  <c r="H4806" i="41"/>
  <c r="G4806" i="41"/>
  <c r="K4806" i="41"/>
  <c r="J4806" i="41"/>
  <c r="D4807" i="41"/>
  <c r="E4807" i="41" s="1"/>
  <c r="F4807" i="41" s="1"/>
  <c r="K4807" i="41" l="1"/>
  <c r="J4807" i="41"/>
  <c r="I4807" i="41"/>
  <c r="H4807" i="41"/>
  <c r="G4807" i="41"/>
  <c r="D4808" i="41"/>
  <c r="E4808" i="41" s="1"/>
  <c r="F4808" i="41" s="1"/>
  <c r="K4808" i="41" l="1"/>
  <c r="J4808" i="41"/>
  <c r="I4808" i="41"/>
  <c r="H4808" i="41"/>
  <c r="G4808" i="41"/>
  <c r="D4809" i="41"/>
  <c r="E4809" i="41" s="1"/>
  <c r="F4809" i="41" s="1"/>
  <c r="G4809" i="41" l="1"/>
  <c r="K4809" i="41"/>
  <c r="J4809" i="41"/>
  <c r="I4809" i="41"/>
  <c r="H4809" i="41"/>
  <c r="D4810" i="41"/>
  <c r="E4810" i="41" s="1"/>
  <c r="F4810" i="41" s="1"/>
  <c r="I4810" i="41" l="1"/>
  <c r="H4810" i="41"/>
  <c r="G4810" i="41"/>
  <c r="K4810" i="41"/>
  <c r="J4810" i="41"/>
  <c r="D4811" i="41"/>
  <c r="E4811" i="41" s="1"/>
  <c r="F4811" i="41" s="1"/>
  <c r="K4811" i="41" l="1"/>
  <c r="J4811" i="41"/>
  <c r="I4811" i="41"/>
  <c r="H4811" i="41"/>
  <c r="G4811" i="41"/>
  <c r="D4812" i="41"/>
  <c r="E4812" i="41" s="1"/>
  <c r="F4812" i="41" s="1"/>
  <c r="K4812" i="41" l="1"/>
  <c r="J4812" i="41"/>
  <c r="I4812" i="41"/>
  <c r="H4812" i="41"/>
  <c r="G4812" i="41"/>
  <c r="D4813" i="41"/>
  <c r="E4813" i="41" s="1"/>
  <c r="F4813" i="41" s="1"/>
  <c r="G4813" i="41" l="1"/>
  <c r="K4813" i="41"/>
  <c r="J4813" i="41"/>
  <c r="I4813" i="41"/>
  <c r="H4813" i="41"/>
  <c r="D4814" i="41"/>
  <c r="E4814" i="41" s="1"/>
  <c r="F4814" i="41" s="1"/>
  <c r="I4814" i="41" l="1"/>
  <c r="H4814" i="41"/>
  <c r="G4814" i="41"/>
  <c r="K4814" i="41"/>
  <c r="J4814" i="41"/>
  <c r="D4815" i="41"/>
  <c r="E4815" i="41" s="1"/>
  <c r="F4815" i="41" s="1"/>
  <c r="K4815" i="41" l="1"/>
  <c r="J4815" i="41"/>
  <c r="I4815" i="41"/>
  <c r="H4815" i="41"/>
  <c r="G4815" i="41"/>
  <c r="D4816" i="41"/>
  <c r="E4816" i="41" s="1"/>
  <c r="F4816" i="41" s="1"/>
  <c r="K4816" i="41" l="1"/>
  <c r="J4816" i="41"/>
  <c r="I4816" i="41"/>
  <c r="H4816" i="41"/>
  <c r="G4816" i="41"/>
  <c r="D4817" i="41"/>
  <c r="E4817" i="41" s="1"/>
  <c r="F4817" i="41" s="1"/>
  <c r="G4817" i="41" l="1"/>
  <c r="K4817" i="41"/>
  <c r="J4817" i="41"/>
  <c r="I4817" i="41"/>
  <c r="H4817" i="41"/>
  <c r="D4818" i="41"/>
  <c r="E4818" i="41" s="1"/>
  <c r="F4818" i="41" s="1"/>
  <c r="I4818" i="41" l="1"/>
  <c r="H4818" i="41"/>
  <c r="G4818" i="41"/>
  <c r="K4818" i="41"/>
  <c r="J4818" i="41"/>
  <c r="D4819" i="41"/>
  <c r="E4819" i="41" s="1"/>
  <c r="F4819" i="41" s="1"/>
  <c r="K4819" i="41" l="1"/>
  <c r="J4819" i="41"/>
  <c r="I4819" i="41"/>
  <c r="H4819" i="41"/>
  <c r="G4819" i="41"/>
  <c r="D4820" i="41"/>
  <c r="E4820" i="41" s="1"/>
  <c r="F4820" i="41" s="1"/>
  <c r="K4820" i="41" l="1"/>
  <c r="J4820" i="41"/>
  <c r="I4820" i="41"/>
  <c r="H4820" i="41"/>
  <c r="G4820" i="41"/>
  <c r="D4821" i="41"/>
  <c r="E4821" i="41" s="1"/>
  <c r="F4821" i="41" s="1"/>
  <c r="G4821" i="41" l="1"/>
  <c r="K4821" i="41"/>
  <c r="J4821" i="41"/>
  <c r="I4821" i="41"/>
  <c r="H4821" i="41"/>
  <c r="D4822" i="41"/>
  <c r="E4822" i="41" s="1"/>
  <c r="F4822" i="41" s="1"/>
  <c r="I4822" i="41" l="1"/>
  <c r="H4822" i="41"/>
  <c r="G4822" i="41"/>
  <c r="K4822" i="41"/>
  <c r="J4822" i="41"/>
  <c r="D4823" i="41"/>
  <c r="E4823" i="41" s="1"/>
  <c r="F4823" i="41" s="1"/>
  <c r="K4823" i="41" l="1"/>
  <c r="J4823" i="41"/>
  <c r="I4823" i="41"/>
  <c r="H4823" i="41"/>
  <c r="G4823" i="41"/>
  <c r="D4824" i="41"/>
  <c r="E4824" i="41" s="1"/>
  <c r="F4824" i="41" s="1"/>
  <c r="K4824" i="41" l="1"/>
  <c r="J4824" i="41"/>
  <c r="I4824" i="41"/>
  <c r="H4824" i="41"/>
  <c r="G4824" i="41"/>
  <c r="D4825" i="41"/>
  <c r="E4825" i="41" s="1"/>
  <c r="F4825" i="41" s="1"/>
  <c r="G4825" i="41" l="1"/>
  <c r="K4825" i="41"/>
  <c r="J4825" i="41"/>
  <c r="I4825" i="41"/>
  <c r="H4825" i="41"/>
  <c r="D4826" i="41"/>
  <c r="E4826" i="41" s="1"/>
  <c r="F4826" i="41" s="1"/>
  <c r="I4826" i="41" l="1"/>
  <c r="H4826" i="41"/>
  <c r="G4826" i="41"/>
  <c r="K4826" i="41"/>
  <c r="J4826" i="41"/>
  <c r="D4827" i="41"/>
  <c r="E4827" i="41" s="1"/>
  <c r="F4827" i="41" s="1"/>
  <c r="K4827" i="41" l="1"/>
  <c r="J4827" i="41"/>
  <c r="I4827" i="41"/>
  <c r="H4827" i="41"/>
  <c r="G4827" i="41"/>
  <c r="D4828" i="41"/>
  <c r="E4828" i="41" s="1"/>
  <c r="F4828" i="41" s="1"/>
  <c r="K4828" i="41" l="1"/>
  <c r="J4828" i="41"/>
  <c r="I4828" i="41"/>
  <c r="H4828" i="41"/>
  <c r="G4828" i="41"/>
  <c r="D4829" i="41"/>
  <c r="E4829" i="41" s="1"/>
  <c r="F4829" i="41" s="1"/>
  <c r="G4829" i="41" l="1"/>
  <c r="K4829" i="41"/>
  <c r="J4829" i="41"/>
  <c r="I4829" i="41"/>
  <c r="H4829" i="41"/>
  <c r="D4830" i="41"/>
  <c r="E4830" i="41" s="1"/>
  <c r="F4830" i="41" s="1"/>
  <c r="I4830" i="41" l="1"/>
  <c r="H4830" i="41"/>
  <c r="G4830" i="41"/>
  <c r="K4830" i="41"/>
  <c r="J4830" i="41"/>
  <c r="D4831" i="41"/>
  <c r="E4831" i="41" s="1"/>
  <c r="F4831" i="41" s="1"/>
  <c r="K4831" i="41" l="1"/>
  <c r="J4831" i="41"/>
  <c r="I4831" i="41"/>
  <c r="H4831" i="41"/>
  <c r="G4831" i="41"/>
  <c r="D4832" i="41"/>
  <c r="E4832" i="41" s="1"/>
  <c r="F4832" i="41" s="1"/>
  <c r="K4832" i="41" l="1"/>
  <c r="J4832" i="41"/>
  <c r="I4832" i="41"/>
  <c r="H4832" i="41"/>
  <c r="G4832" i="41"/>
  <c r="D4833" i="41"/>
  <c r="E4833" i="41" s="1"/>
  <c r="F4833" i="41" s="1"/>
  <c r="G4833" i="41" l="1"/>
  <c r="K4833" i="41"/>
  <c r="J4833" i="41"/>
  <c r="I4833" i="41"/>
  <c r="H4833" i="41"/>
  <c r="D4834" i="41"/>
  <c r="E4834" i="41" s="1"/>
  <c r="F4834" i="41" s="1"/>
  <c r="I4834" i="41" l="1"/>
  <c r="H4834" i="41"/>
  <c r="G4834" i="41"/>
  <c r="K4834" i="41"/>
  <c r="J4834" i="41"/>
  <c r="D4835" i="41"/>
  <c r="E4835" i="41" s="1"/>
  <c r="F4835" i="41" s="1"/>
  <c r="K4835" i="41" l="1"/>
  <c r="J4835" i="41"/>
  <c r="I4835" i="41"/>
  <c r="H4835" i="41"/>
  <c r="G4835" i="41"/>
  <c r="D4836" i="41"/>
  <c r="E4836" i="41" s="1"/>
  <c r="F4836" i="41" s="1"/>
  <c r="K4836" i="41" l="1"/>
  <c r="J4836" i="41"/>
  <c r="I4836" i="41"/>
  <c r="H4836" i="41"/>
  <c r="G4836" i="41"/>
  <c r="D4837" i="41"/>
  <c r="E4837" i="41" s="1"/>
  <c r="F4837" i="41" s="1"/>
  <c r="G4837" i="41" l="1"/>
  <c r="K4837" i="41"/>
  <c r="J4837" i="41"/>
  <c r="I4837" i="41"/>
  <c r="H4837" i="41"/>
  <c r="D4838" i="41"/>
  <c r="E4838" i="41" s="1"/>
  <c r="F4838" i="41" s="1"/>
  <c r="I4838" i="41" l="1"/>
  <c r="H4838" i="41"/>
  <c r="G4838" i="41"/>
  <c r="K4838" i="41"/>
  <c r="J4838" i="41"/>
  <c r="D4839" i="41"/>
  <c r="E4839" i="41" s="1"/>
  <c r="F4839" i="41" s="1"/>
  <c r="K4839" i="41" l="1"/>
  <c r="J4839" i="41"/>
  <c r="I4839" i="41"/>
  <c r="H4839" i="41"/>
  <c r="G4839" i="41"/>
  <c r="D4840" i="41"/>
  <c r="E4840" i="41" s="1"/>
  <c r="F4840" i="41" s="1"/>
  <c r="K4840" i="41" l="1"/>
  <c r="J4840" i="41"/>
  <c r="I4840" i="41"/>
  <c r="H4840" i="41"/>
  <c r="G4840" i="41"/>
  <c r="D4841" i="41"/>
  <c r="E4841" i="41" s="1"/>
  <c r="F4841" i="41" s="1"/>
  <c r="G4841" i="41" l="1"/>
  <c r="K4841" i="41"/>
  <c r="J4841" i="41"/>
  <c r="I4841" i="41"/>
  <c r="H4841" i="41"/>
  <c r="D4842" i="41"/>
  <c r="E4842" i="41" s="1"/>
  <c r="F4842" i="41" s="1"/>
  <c r="I4842" i="41" l="1"/>
  <c r="H4842" i="41"/>
  <c r="G4842" i="41"/>
  <c r="K4842" i="41"/>
  <c r="J4842" i="41"/>
  <c r="D4843" i="41"/>
  <c r="E4843" i="41" s="1"/>
  <c r="F4843" i="41" s="1"/>
  <c r="K4843" i="41" l="1"/>
  <c r="J4843" i="41"/>
  <c r="I4843" i="41"/>
  <c r="H4843" i="41"/>
  <c r="G4843" i="41"/>
  <c r="D4844" i="41"/>
  <c r="E4844" i="41" s="1"/>
  <c r="F4844" i="41" s="1"/>
  <c r="K4844" i="41" l="1"/>
  <c r="J4844" i="41"/>
  <c r="I4844" i="41"/>
  <c r="H4844" i="41"/>
  <c r="G4844" i="41"/>
  <c r="D4845" i="41"/>
  <c r="E4845" i="41" s="1"/>
  <c r="F4845" i="41" s="1"/>
  <c r="G4845" i="41" l="1"/>
  <c r="K4845" i="41"/>
  <c r="J4845" i="41"/>
  <c r="I4845" i="41"/>
  <c r="H4845" i="41"/>
  <c r="D4846" i="41"/>
  <c r="E4846" i="41" s="1"/>
  <c r="F4846" i="41" s="1"/>
  <c r="E4847" i="41"/>
  <c r="F4847" i="41" s="1"/>
  <c r="K4847" i="41" l="1"/>
  <c r="J4847" i="41"/>
  <c r="I4847" i="41"/>
  <c r="H4847" i="41"/>
  <c r="G4847" i="41"/>
  <c r="I4846" i="41"/>
  <c r="M4335" i="41" s="1" a="1"/>
  <c r="H4846" i="41"/>
  <c r="G4846" i="41"/>
  <c r="K4846" i="41"/>
  <c r="J4846" i="41"/>
  <c r="M4340" i="41" l="1"/>
  <c r="M4348" i="41"/>
  <c r="M4356" i="41"/>
  <c r="M4336" i="41"/>
  <c r="M4344" i="41"/>
  <c r="M4352" i="41"/>
  <c r="M4360" i="41"/>
  <c r="M4339" i="41"/>
  <c r="M4350" i="41"/>
  <c r="M4361" i="41"/>
  <c r="M4369" i="41"/>
  <c r="M4377" i="41"/>
  <c r="M4385" i="41"/>
  <c r="M4393" i="41"/>
  <c r="M4401" i="41"/>
  <c r="M4409" i="41"/>
  <c r="M4417" i="41"/>
  <c r="M4425" i="41"/>
  <c r="M4433" i="41"/>
  <c r="M4441" i="41"/>
  <c r="M4449" i="41"/>
  <c r="M4457" i="41"/>
  <c r="M4465" i="41"/>
  <c r="M4473" i="41"/>
  <c r="M4481" i="41"/>
  <c r="M4489" i="41"/>
  <c r="M4497" i="41"/>
  <c r="M4505" i="41"/>
  <c r="M4513" i="41"/>
  <c r="M4521" i="41"/>
  <c r="M4529" i="41"/>
  <c r="M4537" i="41"/>
  <c r="M4545" i="41"/>
  <c r="M4553" i="41"/>
  <c r="M4561" i="41"/>
  <c r="M4569" i="41"/>
  <c r="M4577" i="41"/>
  <c r="M4585" i="41"/>
  <c r="M4593" i="41"/>
  <c r="M4601" i="41"/>
  <c r="M4609" i="41"/>
  <c r="M4617" i="41"/>
  <c r="M4625" i="41"/>
  <c r="M4633" i="41"/>
  <c r="M4641" i="41"/>
  <c r="M4649" i="41"/>
  <c r="M4657" i="41"/>
  <c r="M4665" i="41"/>
  <c r="M4673" i="41"/>
  <c r="M4681" i="41"/>
  <c r="M4689" i="41"/>
  <c r="M4697" i="41"/>
  <c r="M4705" i="41"/>
  <c r="M4713" i="41"/>
  <c r="M4721" i="41"/>
  <c r="M4729" i="41"/>
  <c r="M4737" i="41"/>
  <c r="M4745" i="41"/>
  <c r="M4335" i="41"/>
  <c r="M4347" i="41"/>
  <c r="M4359" i="41"/>
  <c r="M4370" i="41"/>
  <c r="M4379" i="41"/>
  <c r="M4388" i="41"/>
  <c r="M4397" i="41"/>
  <c r="M4406" i="41"/>
  <c r="M4415" i="41"/>
  <c r="M4424" i="41"/>
  <c r="M4434" i="41"/>
  <c r="M4443" i="41"/>
  <c r="M4452" i="41"/>
  <c r="M4461" i="41"/>
  <c r="M4470" i="41"/>
  <c r="M4479" i="41"/>
  <c r="M4488" i="41"/>
  <c r="M4498" i="41"/>
  <c r="M4507" i="41"/>
  <c r="M4516" i="41"/>
  <c r="M4337" i="41"/>
  <c r="M4349" i="41"/>
  <c r="M4362" i="41"/>
  <c r="M4371" i="41"/>
  <c r="M4338" i="41"/>
  <c r="M4351" i="41"/>
  <c r="M4341" i="41"/>
  <c r="M4353" i="41"/>
  <c r="M4364" i="41"/>
  <c r="M4373" i="41"/>
  <c r="M4382" i="41"/>
  <c r="M4391" i="41"/>
  <c r="M4400" i="41"/>
  <c r="M4410" i="41"/>
  <c r="M4419" i="41"/>
  <c r="M4428" i="41"/>
  <c r="M4437" i="41"/>
  <c r="M4446" i="41"/>
  <c r="M4455" i="41"/>
  <c r="M4464" i="41"/>
  <c r="M4474" i="41"/>
  <c r="M4483" i="41"/>
  <c r="M4492" i="41"/>
  <c r="M4501" i="41"/>
  <c r="M4510" i="41"/>
  <c r="M4519" i="41"/>
  <c r="M4528" i="41"/>
  <c r="M4538" i="41"/>
  <c r="M4547" i="41"/>
  <c r="M4556" i="41"/>
  <c r="M4565" i="41"/>
  <c r="M4574" i="41"/>
  <c r="M4583" i="41"/>
  <c r="M4592" i="41"/>
  <c r="M4602" i="41"/>
  <c r="M4611" i="41"/>
  <c r="M4620" i="41"/>
  <c r="M4629" i="41"/>
  <c r="M4638" i="41"/>
  <c r="M4647" i="41"/>
  <c r="M4656" i="41"/>
  <c r="M4666" i="41"/>
  <c r="M4675" i="41"/>
  <c r="M4684" i="41"/>
  <c r="M4693" i="41"/>
  <c r="M4702" i="41"/>
  <c r="M4711" i="41"/>
  <c r="M4720" i="41"/>
  <c r="M4730" i="41"/>
  <c r="M4739" i="41"/>
  <c r="M4748" i="41"/>
  <c r="M4756" i="41"/>
  <c r="M4764" i="41"/>
  <c r="M4772" i="41"/>
  <c r="M4780" i="41"/>
  <c r="M4788" i="41"/>
  <c r="M4796" i="41"/>
  <c r="M4804" i="41"/>
  <c r="M4812" i="41"/>
  <c r="M4820" i="41"/>
  <c r="M4828" i="41"/>
  <c r="M4836" i="41"/>
  <c r="M4844" i="41"/>
  <c r="M4342" i="41"/>
  <c r="M4365" i="41"/>
  <c r="M4374" i="41"/>
  <c r="M4383" i="41"/>
  <c r="M4402" i="41"/>
  <c r="M4411" i="41"/>
  <c r="M4429" i="41"/>
  <c r="M4438" i="41"/>
  <c r="M4456" i="41"/>
  <c r="M4466" i="41"/>
  <c r="M4484" i="41"/>
  <c r="M4502" i="41"/>
  <c r="M4511" i="41"/>
  <c r="M4530" i="41"/>
  <c r="M4539" i="41"/>
  <c r="M4354" i="41"/>
  <c r="M4392" i="41"/>
  <c r="M4420" i="41"/>
  <c r="M4447" i="41"/>
  <c r="M4475" i="41"/>
  <c r="M4493" i="41"/>
  <c r="M4520" i="41"/>
  <c r="M4343" i="41"/>
  <c r="M4355" i="41"/>
  <c r="M4366" i="41"/>
  <c r="M4345" i="41"/>
  <c r="M4357" i="41"/>
  <c r="M4346" i="41"/>
  <c r="M4358" i="41"/>
  <c r="M4368" i="41"/>
  <c r="M4378" i="41"/>
  <c r="M4387" i="41"/>
  <c r="M4396" i="41"/>
  <c r="M4405" i="41"/>
  <c r="M4414" i="41"/>
  <c r="M4423" i="41"/>
  <c r="M4432" i="41"/>
  <c r="M4442" i="41"/>
  <c r="M4451" i="41"/>
  <c r="M4460" i="41"/>
  <c r="M4469" i="41"/>
  <c r="M4478" i="41"/>
  <c r="M4487" i="41"/>
  <c r="M4496" i="41"/>
  <c r="M4506" i="41"/>
  <c r="M4515" i="41"/>
  <c r="M4524" i="41"/>
  <c r="M4533" i="41"/>
  <c r="M4542" i="41"/>
  <c r="M4551" i="41"/>
  <c r="M4560" i="41"/>
  <c r="M4570" i="41"/>
  <c r="M4579" i="41"/>
  <c r="M4588" i="41"/>
  <c r="M4597" i="41"/>
  <c r="M4606" i="41"/>
  <c r="M4615" i="41"/>
  <c r="M4624" i="41"/>
  <c r="M4634" i="41"/>
  <c r="M4643" i="41"/>
  <c r="M4652" i="41"/>
  <c r="M4661" i="41"/>
  <c r="M4670" i="41"/>
  <c r="M4679" i="41"/>
  <c r="M4688" i="41"/>
  <c r="M4698" i="41"/>
  <c r="M4707" i="41"/>
  <c r="M4716" i="41"/>
  <c r="M4725" i="41"/>
  <c r="M4734" i="41"/>
  <c r="M4743" i="41"/>
  <c r="M4752" i="41"/>
  <c r="M4760" i="41"/>
  <c r="M4768" i="41"/>
  <c r="M4776" i="41"/>
  <c r="M4784" i="41"/>
  <c r="M4792" i="41"/>
  <c r="M4800" i="41"/>
  <c r="M4808" i="41"/>
  <c r="M4816" i="41"/>
  <c r="M4824" i="41"/>
  <c r="M4832" i="41"/>
  <c r="M4840" i="41"/>
  <c r="M4390" i="41"/>
  <c r="M4518" i="41"/>
  <c r="M4572" i="41"/>
  <c r="M4596" i="41"/>
  <c r="M4632" i="41"/>
  <c r="M4658" i="41"/>
  <c r="M4682" i="41"/>
  <c r="M4706" i="41"/>
  <c r="M4731" i="41"/>
  <c r="M4754" i="41"/>
  <c r="M4786" i="41"/>
  <c r="M4807" i="41"/>
  <c r="M4829" i="41"/>
  <c r="M4735" i="41"/>
  <c r="M4779" i="41"/>
  <c r="M4822" i="41"/>
  <c r="M4823" i="41"/>
  <c r="M4801" i="41"/>
  <c r="M4463" i="41"/>
  <c r="M4621" i="41"/>
  <c r="M4775" i="41"/>
  <c r="M4813" i="41"/>
  <c r="M4375" i="41"/>
  <c r="M4394" i="41"/>
  <c r="M4412" i="41"/>
  <c r="M4430" i="41"/>
  <c r="M4448" i="41"/>
  <c r="M4467" i="41"/>
  <c r="M4485" i="41"/>
  <c r="M4503" i="41"/>
  <c r="M4522" i="41"/>
  <c r="M4535" i="41"/>
  <c r="M4549" i="41"/>
  <c r="M4562" i="41"/>
  <c r="M4573" i="41"/>
  <c r="M4586" i="41"/>
  <c r="M4598" i="41"/>
  <c r="M4610" i="41"/>
  <c r="M4622" i="41"/>
  <c r="M4635" i="41"/>
  <c r="M4646" i="41"/>
  <c r="M4659" i="41"/>
  <c r="M4671" i="41"/>
  <c r="M4683" i="41"/>
  <c r="M4695" i="41"/>
  <c r="M4708" i="41"/>
  <c r="M4719" i="41"/>
  <c r="M4732" i="41"/>
  <c r="M4744" i="41"/>
  <c r="M4755" i="41"/>
  <c r="M4766" i="41"/>
  <c r="M4777" i="41"/>
  <c r="M4787" i="41"/>
  <c r="M4798" i="41"/>
  <c r="M4809" i="41"/>
  <c r="M4819" i="41"/>
  <c r="M4830" i="41"/>
  <c r="M4841" i="41"/>
  <c r="M4376" i="41"/>
  <c r="M4395" i="41"/>
  <c r="M4413" i="41"/>
  <c r="M4431" i="41"/>
  <c r="M4450" i="41"/>
  <c r="M4468" i="41"/>
  <c r="M4486" i="41"/>
  <c r="M4504" i="41"/>
  <c r="M4523" i="41"/>
  <c r="M4536" i="41"/>
  <c r="M4550" i="41"/>
  <c r="M4563" i="41"/>
  <c r="M4575" i="41"/>
  <c r="M4587" i="41"/>
  <c r="M4599" i="41"/>
  <c r="M4612" i="41"/>
  <c r="M4623" i="41"/>
  <c r="M4636" i="41"/>
  <c r="M4648" i="41"/>
  <c r="M4660" i="41"/>
  <c r="M4672" i="41"/>
  <c r="M4685" i="41"/>
  <c r="M4696" i="41"/>
  <c r="M4709" i="41"/>
  <c r="M4722" i="41"/>
  <c r="M4733" i="41"/>
  <c r="M4746" i="41"/>
  <c r="M4757" i="41"/>
  <c r="M4767" i="41"/>
  <c r="M4778" i="41"/>
  <c r="M4789" i="41"/>
  <c r="M4799" i="41"/>
  <c r="M4810" i="41"/>
  <c r="M4821" i="41"/>
  <c r="M4831" i="41"/>
  <c r="M4842" i="41"/>
  <c r="M4398" i="41"/>
  <c r="M4471" i="41"/>
  <c r="M4508" i="41"/>
  <c r="M4525" i="41"/>
  <c r="M4552" i="41"/>
  <c r="M4564" i="41"/>
  <c r="M4589" i="41"/>
  <c r="M4600" i="41"/>
  <c r="M4626" i="41"/>
  <c r="M4637" i="41"/>
  <c r="M4662" i="41"/>
  <c r="M4686" i="41"/>
  <c r="M4699" i="41"/>
  <c r="M4723" i="41"/>
  <c r="M4758" i="41"/>
  <c r="M4769" i="41"/>
  <c r="M4811" i="41"/>
  <c r="M4843" i="41"/>
  <c r="M4834" i="41"/>
  <c r="M4380" i="41"/>
  <c r="M4416" i="41"/>
  <c r="M4435" i="41"/>
  <c r="M4453" i="41"/>
  <c r="M4490" i="41"/>
  <c r="M4540" i="41"/>
  <c r="M4576" i="41"/>
  <c r="M4613" i="41"/>
  <c r="M4650" i="41"/>
  <c r="M4674" i="41"/>
  <c r="M4710" i="41"/>
  <c r="M4747" i="41"/>
  <c r="M4790" i="41"/>
  <c r="M4833" i="41"/>
  <c r="M4381" i="41"/>
  <c r="M4399" i="41"/>
  <c r="M4418" i="41"/>
  <c r="M4436" i="41"/>
  <c r="M4454" i="41"/>
  <c r="M4472" i="41"/>
  <c r="M4491" i="41"/>
  <c r="M4509" i="41"/>
  <c r="M4526" i="41"/>
  <c r="M4541" i="41"/>
  <c r="M4554" i="41"/>
  <c r="M4566" i="41"/>
  <c r="M4578" i="41"/>
  <c r="M4590" i="41"/>
  <c r="M4603" i="41"/>
  <c r="M4614" i="41"/>
  <c r="M4627" i="41"/>
  <c r="M4639" i="41"/>
  <c r="M4651" i="41"/>
  <c r="M4663" i="41"/>
  <c r="M4676" i="41"/>
  <c r="M4687" i="41"/>
  <c r="M4700" i="41"/>
  <c r="M4712" i="41"/>
  <c r="M4724" i="41"/>
  <c r="M4736" i="41"/>
  <c r="M4749" i="41"/>
  <c r="M4759" i="41"/>
  <c r="M4770" i="41"/>
  <c r="M4781" i="41"/>
  <c r="M4791" i="41"/>
  <c r="M4802" i="41"/>
  <c r="M4845" i="41"/>
  <c r="M4384" i="41"/>
  <c r="M4403" i="41"/>
  <c r="M4421" i="41"/>
  <c r="M4439" i="41"/>
  <c r="M4458" i="41"/>
  <c r="M4476" i="41"/>
  <c r="M4494" i="41"/>
  <c r="M4512" i="41"/>
  <c r="M4527" i="41"/>
  <c r="M4543" i="41"/>
  <c r="M4555" i="41"/>
  <c r="M4567" i="41"/>
  <c r="M4580" i="41"/>
  <c r="M4591" i="41"/>
  <c r="M4604" i="41"/>
  <c r="M4616" i="41"/>
  <c r="M4628" i="41"/>
  <c r="M4640" i="41"/>
  <c r="M4653" i="41"/>
  <c r="M4664" i="41"/>
  <c r="M4677" i="41"/>
  <c r="M4690" i="41"/>
  <c r="M4701" i="41"/>
  <c r="M4714" i="41"/>
  <c r="M4726" i="41"/>
  <c r="M4738" i="41"/>
  <c r="M4750" i="41"/>
  <c r="M4761" i="41"/>
  <c r="M4771" i="41"/>
  <c r="M4782" i="41"/>
  <c r="M4793" i="41"/>
  <c r="M4803" i="41"/>
  <c r="M4814" i="41"/>
  <c r="M4825" i="41"/>
  <c r="M4835" i="41"/>
  <c r="M4846" i="41"/>
  <c r="M4363" i="41"/>
  <c r="M4386" i="41"/>
  <c r="M4404" i="41"/>
  <c r="M4422" i="41"/>
  <c r="M4440" i="41"/>
  <c r="M4459" i="41"/>
  <c r="M4477" i="41"/>
  <c r="M4495" i="41"/>
  <c r="M4514" i="41"/>
  <c r="M4531" i="41"/>
  <c r="M4544" i="41"/>
  <c r="M4557" i="41"/>
  <c r="M4568" i="41"/>
  <c r="M4581" i="41"/>
  <c r="M4594" i="41"/>
  <c r="M4605" i="41"/>
  <c r="M4618" i="41"/>
  <c r="M4630" i="41"/>
  <c r="M4642" i="41"/>
  <c r="M4654" i="41"/>
  <c r="M4667" i="41"/>
  <c r="M4678" i="41"/>
  <c r="M4691" i="41"/>
  <c r="M4703" i="41"/>
  <c r="M4715" i="41"/>
  <c r="M4727" i="41"/>
  <c r="M4740" i="41"/>
  <c r="M4751" i="41"/>
  <c r="M4762" i="41"/>
  <c r="M4773" i="41"/>
  <c r="M4783" i="41"/>
  <c r="M4794" i="41"/>
  <c r="M4805" i="41"/>
  <c r="M4815" i="41"/>
  <c r="M4826" i="41"/>
  <c r="M4837" i="41"/>
  <c r="M4847" i="41"/>
  <c r="M4367" i="41"/>
  <c r="M4389" i="41"/>
  <c r="M4407" i="41"/>
  <c r="M4426" i="41"/>
  <c r="M4444" i="41"/>
  <c r="M4462" i="41"/>
  <c r="M4480" i="41"/>
  <c r="M4499" i="41"/>
  <c r="M4517" i="41"/>
  <c r="M4532" i="41"/>
  <c r="M4546" i="41"/>
  <c r="M4558" i="41"/>
  <c r="M4571" i="41"/>
  <c r="M4582" i="41"/>
  <c r="M4595" i="41"/>
  <c r="M4607" i="41"/>
  <c r="M4619" i="41"/>
  <c r="M4631" i="41"/>
  <c r="M4644" i="41"/>
  <c r="M4655" i="41"/>
  <c r="M4668" i="41"/>
  <c r="M4680" i="41"/>
  <c r="M4692" i="41"/>
  <c r="M4704" i="41"/>
  <c r="M4717" i="41"/>
  <c r="M4728" i="41"/>
  <c r="M4741" i="41"/>
  <c r="M4753" i="41"/>
  <c r="M4763" i="41"/>
  <c r="M4774" i="41"/>
  <c r="M4785" i="41"/>
  <c r="M4795" i="41"/>
  <c r="M4806" i="41"/>
  <c r="M4817" i="41"/>
  <c r="M4827" i="41"/>
  <c r="M4838" i="41"/>
  <c r="M4372" i="41"/>
  <c r="M4408" i="41"/>
  <c r="M4427" i="41"/>
  <c r="M4445" i="41"/>
  <c r="M4482" i="41"/>
  <c r="M4500" i="41"/>
  <c r="M4534" i="41"/>
  <c r="M4548" i="41"/>
  <c r="M4559" i="41"/>
  <c r="M4584" i="41"/>
  <c r="M4608" i="41"/>
  <c r="M4645" i="41"/>
  <c r="M4669" i="41"/>
  <c r="M4694" i="41"/>
  <c r="M4718" i="41"/>
  <c r="M4742" i="41"/>
  <c r="M4765" i="41"/>
  <c r="M4797" i="41"/>
  <c r="M4818" i="41"/>
  <c r="M4839" i="41"/>
  <c r="I39" i="70" l="1" a="1"/>
  <c r="I41" i="70" s="1"/>
  <c r="I49" i="70" s="1"/>
  <c r="I40" i="70" l="1"/>
  <c r="I46" i="70" s="1"/>
  <c r="I39" i="70"/>
  <c r="I45" i="70" s="1"/>
  <c r="I31" i="70" l="1" a="1"/>
  <c r="I31" i="70" s="1"/>
  <c r="I55" i="70" s="1" a="1"/>
  <c r="I48" i="70"/>
  <c r="I47" i="70"/>
  <c r="I85" i="70" l="1" a="1"/>
  <c r="I89" i="70" s="1"/>
  <c r="I33" i="70"/>
  <c r="I69" i="70" s="1" a="1"/>
  <c r="I70" i="70" s="1"/>
  <c r="I32" i="70"/>
  <c r="I62" i="70" s="1" a="1"/>
  <c r="I62" i="70" s="1"/>
  <c r="I58" i="70"/>
  <c r="I56" i="70"/>
  <c r="I60" i="70"/>
  <c r="I61" i="70"/>
  <c r="I55" i="70"/>
  <c r="I57" i="70"/>
  <c r="I59" i="70"/>
  <c r="I88" i="70" l="1"/>
  <c r="I63" i="70"/>
  <c r="I86" i="70"/>
  <c r="I35" i="70" a="1"/>
  <c r="I35" i="70" s="1"/>
  <c r="I76" i="70" s="1" a="1"/>
  <c r="I78" i="70" s="1"/>
  <c r="I87" i="70"/>
  <c r="I85" i="70"/>
  <c r="I65" i="70"/>
  <c r="I71" i="70"/>
  <c r="I69" i="70"/>
  <c r="I67" i="70"/>
  <c r="I73" i="70"/>
  <c r="I66" i="70"/>
  <c r="I75" i="70"/>
  <c r="I74" i="70"/>
  <c r="I68" i="70"/>
  <c r="I72" i="70"/>
  <c r="I64" i="70"/>
  <c r="I36" i="70" l="1"/>
  <c r="I79" i="70" s="1" a="1"/>
  <c r="I79" i="70" s="1"/>
  <c r="I76" i="70"/>
  <c r="I37" i="70"/>
  <c r="I82" i="70" s="1" a="1"/>
  <c r="I84" i="70" s="1"/>
  <c r="I77" i="70"/>
  <c r="I80" i="70" l="1"/>
  <c r="N55" i="70" s="1" a="1"/>
  <c r="I83" i="70"/>
  <c r="I82" i="70"/>
  <c r="I81" i="70"/>
  <c r="N57" i="70" l="1"/>
  <c r="N104" i="70"/>
  <c r="N95" i="70"/>
  <c r="N86" i="70"/>
  <c r="N69" i="70"/>
  <c r="N99" i="70"/>
  <c r="N82" i="70"/>
  <c r="N65" i="70"/>
  <c r="N96" i="70"/>
  <c r="N87" i="70"/>
  <c r="N78" i="70"/>
  <c r="N61" i="70"/>
  <c r="N91" i="70"/>
  <c r="N74" i="70"/>
  <c r="N55" i="70"/>
  <c r="N102" i="70"/>
  <c r="N90" i="70"/>
  <c r="N88" i="70"/>
  <c r="N79" i="70"/>
  <c r="N70" i="70"/>
  <c r="N100" i="70"/>
  <c r="N83" i="70"/>
  <c r="N66" i="70"/>
  <c r="N72" i="70"/>
  <c r="N101" i="70"/>
  <c r="N84" i="70"/>
  <c r="N67" i="70"/>
  <c r="N97" i="70"/>
  <c r="N81" i="70"/>
  <c r="N103" i="70"/>
  <c r="N77" i="70"/>
  <c r="N73" i="70"/>
  <c r="N80" i="70"/>
  <c r="N71" i="70"/>
  <c r="N62" i="70"/>
  <c r="N92" i="70"/>
  <c r="N75" i="70"/>
  <c r="N58" i="70"/>
  <c r="N63" i="70"/>
  <c r="N64" i="70"/>
  <c r="N93" i="70"/>
  <c r="N76" i="70"/>
  <c r="N59" i="70"/>
  <c r="N89" i="70"/>
  <c r="N56" i="70"/>
  <c r="N85" i="70"/>
  <c r="N68" i="70"/>
  <c r="N98" i="70"/>
  <c r="N94" i="70"/>
  <c r="N60" i="70"/>
  <c r="X7" i="9"/>
  <c r="X15" i="9" s="1"/>
  <c r="AZ7" i="9"/>
  <c r="AU7" i="9"/>
  <c r="AX7" i="9"/>
  <c r="AS7" i="9"/>
  <c r="BD7" i="9"/>
  <c r="AW7" i="9"/>
  <c r="W7" i="9"/>
  <c r="W15" i="9" s="1"/>
  <c r="AP7" i="9"/>
  <c r="V7" i="9"/>
  <c r="V15" i="9" s="1"/>
  <c r="AQ7" i="9"/>
  <c r="AN7" i="9"/>
  <c r="AT7" i="9"/>
  <c r="H7" i="9"/>
  <c r="P15" i="9" s="1"/>
  <c r="AV7" i="9"/>
  <c r="BA7" i="9"/>
  <c r="Q7" i="9"/>
  <c r="U15" i="9" s="1"/>
  <c r="BC7" i="9"/>
  <c r="BB7" i="9"/>
  <c r="AY7" i="9"/>
  <c r="AR7" i="9"/>
  <c r="G7" i="9" l="1"/>
  <c r="S7" i="9"/>
  <c r="R7" i="9"/>
  <c r="J15" i="9" s="1"/>
  <c r="AG7" i="9"/>
  <c r="AM7" i="9"/>
  <c r="Z7" i="9"/>
  <c r="T7" i="9"/>
  <c r="Y7" i="9"/>
  <c r="AE7" i="9"/>
  <c r="AK7" i="9"/>
  <c r="AA7" i="9"/>
  <c r="AJ7" i="9"/>
  <c r="U7" i="9"/>
  <c r="O7" i="9"/>
  <c r="S15" i="9" s="1"/>
  <c r="AD7" i="9"/>
  <c r="AI7" i="9"/>
  <c r="AF7" i="9"/>
  <c r="AL7" i="9"/>
  <c r="AB7" i="9"/>
  <c r="AC7" i="9"/>
  <c r="AH7" i="9"/>
  <c r="AO7" i="9"/>
  <c r="P7" i="9"/>
  <c r="T15" i="9" s="1"/>
  <c r="I7" i="9"/>
  <c r="Q15" i="9" s="1"/>
  <c r="J7" i="9"/>
  <c r="R15" i="9" s="1"/>
  <c r="L7" i="9"/>
  <c r="N7" i="9"/>
  <c r="K7" i="9"/>
  <c r="G15" i="9" s="1"/>
  <c r="M7" i="9"/>
  <c r="F6" i="8" a="1"/>
  <c r="F39" i="8" s="1"/>
  <c r="F473" i="8" a="1"/>
  <c r="AS473" i="8" s="1"/>
  <c r="G9" i="34" a="1"/>
  <c r="G10" i="34" s="1"/>
  <c r="K15" i="9" l="1"/>
  <c r="M15" i="9"/>
  <c r="O15" i="9"/>
  <c r="L15" i="9"/>
  <c r="I15" i="9"/>
  <c r="H15" i="9"/>
  <c r="N15" i="9"/>
  <c r="F6" i="8"/>
  <c r="F38" i="8"/>
  <c r="F7" i="8"/>
  <c r="F32" i="8"/>
  <c r="F16" i="8"/>
  <c r="F54" i="8"/>
  <c r="F53" i="8"/>
  <c r="F48" i="8"/>
  <c r="F21" i="8"/>
  <c r="F23" i="8"/>
  <c r="F12" i="8"/>
  <c r="F22" i="8"/>
  <c r="F28" i="8"/>
  <c r="F50" i="8"/>
  <c r="F31" i="8"/>
  <c r="F36" i="8"/>
  <c r="F45" i="8"/>
  <c r="F13" i="8"/>
  <c r="F43" i="8"/>
  <c r="F34" i="8"/>
  <c r="F29" i="8"/>
  <c r="F33" i="8"/>
  <c r="F40" i="8"/>
  <c r="F17" i="8"/>
  <c r="F26" i="8"/>
  <c r="F44" i="8"/>
  <c r="F37" i="8"/>
  <c r="F14" i="8"/>
  <c r="F27" i="8"/>
  <c r="F11" i="8"/>
  <c r="F30" i="8"/>
  <c r="F9" i="8"/>
  <c r="F18" i="8"/>
  <c r="F46" i="8"/>
  <c r="F42" i="8"/>
  <c r="F20" i="8"/>
  <c r="F25" i="8"/>
  <c r="F52" i="8"/>
  <c r="F49" i="8"/>
  <c r="F55" i="8"/>
  <c r="F51" i="8"/>
  <c r="F47" i="8"/>
  <c r="F24" i="8"/>
  <c r="F15" i="8"/>
  <c r="F19" i="8"/>
  <c r="F41" i="8"/>
  <c r="F10" i="8"/>
  <c r="F35" i="8"/>
  <c r="F8" i="8"/>
  <c r="G9" i="34"/>
  <c r="G15" i="34"/>
  <c r="AB473" i="8"/>
  <c r="AN473" i="8"/>
  <c r="G23" i="34"/>
  <c r="AP473" i="8"/>
  <c r="G17" i="34"/>
  <c r="G14" i="34"/>
  <c r="AD473" i="8"/>
  <c r="G26" i="34"/>
  <c r="AU473" i="8"/>
  <c r="AR473" i="8"/>
  <c r="BC473" i="8"/>
  <c r="M473" i="8"/>
  <c r="F473" i="8"/>
  <c r="G33" i="34"/>
  <c r="G37" i="34"/>
  <c r="AM473" i="8"/>
  <c r="Q473" i="8"/>
  <c r="G21" i="34"/>
  <c r="AQ473" i="8"/>
  <c r="AC473" i="8"/>
  <c r="O473" i="8"/>
  <c r="G12" i="34"/>
  <c r="G47" i="34"/>
  <c r="G45" i="34"/>
  <c r="G39" i="34"/>
  <c r="G58" i="34"/>
  <c r="G52" i="34"/>
  <c r="X473" i="8"/>
  <c r="I473" i="8"/>
  <c r="J473" i="8"/>
  <c r="AJ473" i="8"/>
  <c r="G57" i="34"/>
  <c r="G11" i="34"/>
  <c r="G56" i="34"/>
  <c r="G36" i="34"/>
  <c r="G48" i="34"/>
  <c r="AX473" i="8"/>
  <c r="K473" i="8"/>
  <c r="AE473" i="8"/>
  <c r="T473" i="8"/>
  <c r="U473" i="8"/>
  <c r="AI473" i="8"/>
  <c r="AY473" i="8"/>
  <c r="AK473" i="8"/>
  <c r="BB473" i="8"/>
  <c r="AV473" i="8"/>
  <c r="G19" i="34"/>
  <c r="G54" i="34"/>
  <c r="G41" i="34"/>
  <c r="G53" i="34"/>
  <c r="G22" i="34"/>
  <c r="G29" i="34"/>
  <c r="G18" i="34"/>
  <c r="G27" i="34"/>
  <c r="G30" i="34"/>
  <c r="BA473" i="8"/>
  <c r="N473" i="8"/>
  <c r="AW473" i="8"/>
  <c r="V473" i="8"/>
  <c r="G473" i="8"/>
  <c r="AO473" i="8"/>
  <c r="H473" i="8"/>
  <c r="AL473" i="8"/>
  <c r="AA473" i="8"/>
  <c r="Z473" i="8"/>
  <c r="G28" i="34"/>
  <c r="G16" i="34"/>
  <c r="G46" i="34"/>
  <c r="G42" i="34"/>
  <c r="G31" i="34"/>
  <c r="G44" i="34"/>
  <c r="G34" i="34"/>
  <c r="G13" i="34"/>
  <c r="G38" i="34"/>
  <c r="S473" i="8"/>
  <c r="AZ473" i="8"/>
  <c r="L473" i="8"/>
  <c r="AG473" i="8"/>
  <c r="AF473" i="8"/>
  <c r="P473" i="8"/>
  <c r="AT473" i="8"/>
  <c r="W473" i="8"/>
  <c r="Y473" i="8"/>
  <c r="R473" i="8"/>
  <c r="AH473" i="8"/>
  <c r="G25" i="34"/>
  <c r="G43" i="34"/>
  <c r="G51" i="34"/>
  <c r="G49" i="34"/>
  <c r="G55" i="34"/>
  <c r="G24" i="34"/>
  <c r="G40" i="34"/>
  <c r="G50" i="34"/>
  <c r="G35" i="34"/>
  <c r="G20" i="34"/>
  <c r="G32" i="34"/>
  <c r="G779" i="34" l="1"/>
  <c r="F15" i="9"/>
  <c r="G728" i="34" a="1"/>
  <c r="G728" i="34" s="1"/>
  <c r="N106" i="70"/>
  <c r="G1363" i="37" s="1"/>
  <c r="F21" i="9" s="1"/>
  <c r="G88" i="34" a="1"/>
  <c r="G93" i="34" s="1"/>
  <c r="G233" i="34" a="1"/>
  <c r="G240" i="34" s="1"/>
  <c r="G735" i="34" a="1"/>
  <c r="G739" i="34" s="1"/>
  <c r="G97" i="34" a="1"/>
  <c r="G106" i="34" s="1"/>
  <c r="G112" i="34" a="1"/>
  <c r="G112" i="34" s="1"/>
  <c r="G73" i="34" a="1"/>
  <c r="G81" i="34" s="1"/>
  <c r="G244" i="34" a="1"/>
  <c r="G246" i="34" s="1"/>
  <c r="G123" i="34" a="1"/>
  <c r="G124" i="34" s="1"/>
  <c r="G266" i="34" a="1"/>
  <c r="G267" i="34" s="1"/>
  <c r="G132" i="34" a="1"/>
  <c r="G133" i="34" s="1"/>
  <c r="G742" i="34" a="1"/>
  <c r="G748" i="34" s="1"/>
  <c r="G274" i="34" a="1"/>
  <c r="G278" i="34" s="1"/>
  <c r="G780" i="34"/>
  <c r="G719" i="34"/>
  <c r="G777" i="34"/>
  <c r="G778" i="34"/>
  <c r="G1365" i="37" l="1"/>
  <c r="G108" i="34"/>
  <c r="G110" i="34"/>
  <c r="G97" i="34"/>
  <c r="G107" i="34"/>
  <c r="G109" i="34"/>
  <c r="G103" i="34"/>
  <c r="G100" i="34"/>
  <c r="G102" i="34"/>
  <c r="G98" i="34"/>
  <c r="G99" i="34"/>
  <c r="G101" i="34"/>
  <c r="G105" i="34"/>
  <c r="G104" i="34"/>
  <c r="G85" i="34"/>
  <c r="G237" i="34"/>
  <c r="G241" i="34"/>
  <c r="G90" i="34"/>
  <c r="G91" i="34"/>
  <c r="G92" i="34"/>
  <c r="G118" i="34"/>
  <c r="G134" i="34"/>
  <c r="G138" i="34"/>
  <c r="G136" i="34"/>
  <c r="G135" i="34"/>
  <c r="G132" i="34"/>
  <c r="G88" i="34"/>
  <c r="G89" i="34"/>
  <c r="G115" i="34"/>
  <c r="G94" i="34"/>
  <c r="G247" i="34"/>
  <c r="G86" i="34"/>
  <c r="G233" i="34"/>
  <c r="G234" i="34"/>
  <c r="G235" i="34"/>
  <c r="G238" i="34"/>
  <c r="G83" i="34"/>
  <c r="G239" i="34"/>
  <c r="G236" i="34"/>
  <c r="G251" i="34"/>
  <c r="G729" i="34"/>
  <c r="G249" i="34"/>
  <c r="G252" i="34"/>
  <c r="G248" i="34"/>
  <c r="G733" i="34"/>
  <c r="G731" i="34"/>
  <c r="G245" i="34"/>
  <c r="G250" i="34"/>
  <c r="G244" i="34"/>
  <c r="G732" i="34"/>
  <c r="G730" i="34"/>
  <c r="G734" i="34"/>
  <c r="G741" i="34"/>
  <c r="G735" i="34"/>
  <c r="G736" i="34"/>
  <c r="G738" i="34"/>
  <c r="G123" i="34"/>
  <c r="G114" i="34"/>
  <c r="G740" i="34"/>
  <c r="G82" i="34"/>
  <c r="G84" i="34"/>
  <c r="G78" i="34"/>
  <c r="G79" i="34"/>
  <c r="G73" i="34"/>
  <c r="G74" i="34"/>
  <c r="G129" i="34"/>
  <c r="G113" i="34"/>
  <c r="G80" i="34"/>
  <c r="G125" i="34"/>
  <c r="G75" i="34"/>
  <c r="G76" i="34"/>
  <c r="G77" i="34"/>
  <c r="G117" i="34"/>
  <c r="G126" i="34"/>
  <c r="G128" i="34"/>
  <c r="G737" i="34"/>
  <c r="G743" i="34"/>
  <c r="G116" i="34"/>
  <c r="G137" i="34"/>
  <c r="G127" i="34"/>
  <c r="G745" i="34"/>
  <c r="G747" i="34"/>
  <c r="G742" i="34"/>
  <c r="G744" i="34"/>
  <c r="G746" i="34"/>
  <c r="G299" i="34"/>
  <c r="G339" i="34"/>
  <c r="G505" i="34"/>
  <c r="G271" i="34"/>
  <c r="G268" i="34"/>
  <c r="G270" i="34"/>
  <c r="G341" i="34" s="1"/>
  <c r="G266" i="34"/>
  <c r="G338" i="34" s="1"/>
  <c r="G269" i="34"/>
  <c r="G275" i="34"/>
  <c r="G509" i="34" s="1"/>
  <c r="G348" i="34"/>
  <c r="G322" i="34"/>
  <c r="G274" i="34"/>
  <c r="G277" i="34"/>
  <c r="G279" i="34"/>
  <c r="G276" i="34"/>
  <c r="G773" i="34"/>
  <c r="G774" i="34"/>
  <c r="G508" i="34" l="1"/>
  <c r="G185" i="34" a="1"/>
  <c r="G189" i="34" s="1"/>
  <c r="G178" i="34" a="1"/>
  <c r="G184" i="34" s="1"/>
  <c r="G757" i="34"/>
  <c r="G194" i="34" a="1"/>
  <c r="G196" i="34" s="1"/>
  <c r="G221" i="34" a="1"/>
  <c r="G221" i="34" s="1"/>
  <c r="G755" i="34"/>
  <c r="G169" i="34" a="1"/>
  <c r="G173" i="34" s="1"/>
  <c r="K143" i="34"/>
  <c r="G756" i="34"/>
  <c r="G783" i="34"/>
  <c r="G752" i="34"/>
  <c r="G799" i="34" a="1"/>
  <c r="G799" i="34" s="1"/>
  <c r="G800" i="34" s="1"/>
  <c r="G162" i="34" a="1"/>
  <c r="G165" i="34" s="1"/>
  <c r="G320" i="34"/>
  <c r="G324" i="34" s="1"/>
  <c r="G776" i="34" s="1"/>
  <c r="G212" i="34" a="1"/>
  <c r="G215" i="34" s="1"/>
  <c r="G751" i="34"/>
  <c r="G750" i="34"/>
  <c r="G203" i="34" a="1"/>
  <c r="G206" i="34" s="1"/>
  <c r="G510" i="34"/>
  <c r="G314" i="34" a="1"/>
  <c r="G704" i="34"/>
  <c r="G292" i="34"/>
  <c r="G99" i="37" s="1"/>
  <c r="G504" i="34"/>
  <c r="G449" i="34"/>
  <c r="G452" i="34"/>
  <c r="G506" i="34"/>
  <c r="G702" i="34"/>
  <c r="G337" i="34"/>
  <c r="G340" i="34"/>
  <c r="G347" i="34"/>
  <c r="G346" i="34"/>
  <c r="G304" i="34"/>
  <c r="G344" i="34"/>
  <c r="G345" i="34"/>
  <c r="G802" i="34" l="1"/>
  <c r="G798" i="34"/>
  <c r="G796" i="34"/>
  <c r="G797" i="34" s="1"/>
  <c r="G801" i="34"/>
  <c r="G191" i="34"/>
  <c r="G188" i="34"/>
  <c r="G183" i="34"/>
  <c r="G186" i="34"/>
  <c r="G178" i="34"/>
  <c r="G190" i="34"/>
  <c r="G185" i="34"/>
  <c r="G182" i="34"/>
  <c r="G179" i="34"/>
  <c r="G187" i="34"/>
  <c r="G181" i="34"/>
  <c r="G180" i="34"/>
  <c r="G198" i="34"/>
  <c r="G195" i="34"/>
  <c r="G223" i="34"/>
  <c r="G200" i="34"/>
  <c r="G199" i="34"/>
  <c r="G224" i="34"/>
  <c r="G225" i="34"/>
  <c r="G227" i="34"/>
  <c r="G216" i="34"/>
  <c r="G222" i="34"/>
  <c r="G226" i="34"/>
  <c r="G369" i="35"/>
  <c r="G172" i="34"/>
  <c r="G169" i="34"/>
  <c r="G175" i="34"/>
  <c r="G170" i="34"/>
  <c r="G171" i="34"/>
  <c r="G197" i="34"/>
  <c r="G194" i="34"/>
  <c r="G174" i="34"/>
  <c r="G164" i="34"/>
  <c r="G166" i="34"/>
  <c r="G162" i="34"/>
  <c r="G775" i="34"/>
  <c r="G791" i="34" s="1" a="1"/>
  <c r="G791" i="34" s="1"/>
  <c r="G168" i="34"/>
  <c r="G167" i="34"/>
  <c r="G163" i="34"/>
  <c r="G706" i="34"/>
  <c r="G968" i="37" s="1"/>
  <c r="G218" i="34"/>
  <c r="G214" i="34"/>
  <c r="G771" i="34"/>
  <c r="G790" i="34" s="1"/>
  <c r="G217" i="34"/>
  <c r="G212" i="34"/>
  <c r="G213" i="34"/>
  <c r="G207" i="34"/>
  <c r="G203" i="34"/>
  <c r="G208" i="34"/>
  <c r="G204" i="34"/>
  <c r="G209" i="34"/>
  <c r="G342" i="34"/>
  <c r="F342" i="34" s="1"/>
  <c r="G205" i="34"/>
  <c r="G315" i="34"/>
  <c r="G319" i="35" s="1"/>
  <c r="G314" i="34"/>
  <c r="G314" i="35" s="1"/>
  <c r="G349" i="34"/>
  <c r="F349" i="34" s="1"/>
  <c r="G563" i="34" l="1"/>
  <c r="G567" i="34"/>
  <c r="G562" i="34"/>
  <c r="G566" i="34"/>
  <c r="G16" i="35" a="1"/>
  <c r="G16" i="35" s="1"/>
  <c r="G303" i="34"/>
  <c r="G305" i="34" s="1"/>
  <c r="G407" i="34"/>
  <c r="G419" i="34" s="1"/>
  <c r="G629" i="34" a="1"/>
  <c r="G633" i="34" s="1"/>
  <c r="G622" i="34" a="1"/>
  <c r="G623" i="34" s="1"/>
  <c r="G406" i="34"/>
  <c r="G418" i="34" s="1"/>
  <c r="G475" i="34"/>
  <c r="G484" i="34" s="1"/>
  <c r="G402" i="34" a="1"/>
  <c r="G402" i="34" s="1"/>
  <c r="G414" i="34" s="1"/>
  <c r="G606" i="34" a="1"/>
  <c r="G606" i="34" s="1"/>
  <c r="G794" i="34"/>
  <c r="G792" i="34"/>
  <c r="G795" i="34"/>
  <c r="G793" i="34"/>
  <c r="G401" i="34"/>
  <c r="G413" i="34" s="1"/>
  <c r="G298" i="34"/>
  <c r="G300" i="34" s="1"/>
  <c r="G286" i="34"/>
  <c r="G613" i="34" a="1"/>
  <c r="G613" i="34" s="1"/>
  <c r="G599" i="34" a="1"/>
  <c r="G604" i="34" s="1"/>
  <c r="G285" i="34"/>
  <c r="G209" i="35" s="1"/>
  <c r="G399" i="34"/>
  <c r="G472" i="34"/>
  <c r="G481" i="34" s="1"/>
  <c r="G400" i="34"/>
  <c r="G412" i="34" s="1"/>
  <c r="G405" i="34"/>
  <c r="G417" i="34" s="1"/>
  <c r="G408" i="34"/>
  <c r="G420" i="34" s="1"/>
  <c r="G636" i="34" a="1"/>
  <c r="N794" i="37"/>
  <c r="N827" i="37" s="1"/>
  <c r="G13" i="35" a="1"/>
  <c r="I13" i="35" s="1"/>
  <c r="G192" i="35" a="1"/>
  <c r="G201" i="35" a="1"/>
  <c r="G10" i="35" a="1"/>
  <c r="L10" i="35" s="1"/>
  <c r="G574" i="34" l="1" a="1"/>
  <c r="G574" i="34" s="1"/>
  <c r="G578" i="34" a="1"/>
  <c r="G579" i="34" s="1"/>
  <c r="G571" i="34"/>
  <c r="P16" i="35"/>
  <c r="H16" i="35"/>
  <c r="K16" i="35"/>
  <c r="L16" i="35"/>
  <c r="N16" i="35"/>
  <c r="M16" i="35"/>
  <c r="J16" i="35"/>
  <c r="I16" i="35"/>
  <c r="O16" i="35"/>
  <c r="G632" i="34"/>
  <c r="G635" i="34"/>
  <c r="G634" i="34"/>
  <c r="G307" i="34"/>
  <c r="G309" i="34" s="1"/>
  <c r="G278" i="35" s="1"/>
  <c r="G630" i="34"/>
  <c r="G631" i="34"/>
  <c r="G629" i="34"/>
  <c r="G622" i="34"/>
  <c r="G624" i="34"/>
  <c r="G625" i="34"/>
  <c r="G628" i="34"/>
  <c r="G627" i="34"/>
  <c r="G626" i="34"/>
  <c r="G487" i="34"/>
  <c r="G490" i="34" s="1"/>
  <c r="G543" i="35" s="1"/>
  <c r="G607" i="34"/>
  <c r="G570" i="34"/>
  <c r="G608" i="34"/>
  <c r="G609" i="34"/>
  <c r="G610" i="34"/>
  <c r="G612" i="34"/>
  <c r="G611" i="34"/>
  <c r="G614" i="34"/>
  <c r="G617" i="34"/>
  <c r="G619" i="34"/>
  <c r="G616" i="34"/>
  <c r="G615" i="34"/>
  <c r="G618" i="34"/>
  <c r="G605" i="34"/>
  <c r="G599" i="34"/>
  <c r="G403" i="34"/>
  <c r="F403" i="34" s="1"/>
  <c r="G601" i="34"/>
  <c r="G600" i="34"/>
  <c r="G603" i="34"/>
  <c r="G478" i="34"/>
  <c r="G602" i="34"/>
  <c r="G411" i="34"/>
  <c r="G423" i="34" s="1"/>
  <c r="G427" i="34" s="1"/>
  <c r="G421" i="34"/>
  <c r="F421" i="34" s="1"/>
  <c r="G409" i="34"/>
  <c r="F409" i="34" s="1"/>
  <c r="G642" i="34"/>
  <c r="G637" i="34"/>
  <c r="G641" i="34"/>
  <c r="G636" i="34"/>
  <c r="G639" i="34"/>
  <c r="G638" i="34"/>
  <c r="G640" i="34"/>
  <c r="G199" i="35" a="1"/>
  <c r="G199" i="35" s="1"/>
  <c r="G200" i="35" a="1"/>
  <c r="J200" i="35" s="1"/>
  <c r="H13" i="35"/>
  <c r="G193" i="35" a="1"/>
  <c r="G193" i="35" s="1"/>
  <c r="O13" i="35"/>
  <c r="K13" i="35"/>
  <c r="P13" i="35"/>
  <c r="L13" i="35"/>
  <c r="M13" i="35"/>
  <c r="N13" i="35"/>
  <c r="J13" i="35"/>
  <c r="G13" i="35"/>
  <c r="I794" i="37"/>
  <c r="I827" i="37" s="1"/>
  <c r="G198" i="35" a="1"/>
  <c r="P192" i="35"/>
  <c r="K192" i="35"/>
  <c r="L192" i="35"/>
  <c r="I192" i="35"/>
  <c r="J192" i="35"/>
  <c r="O192" i="35"/>
  <c r="M192" i="35"/>
  <c r="G192" i="35"/>
  <c r="N192" i="35"/>
  <c r="H192" i="35"/>
  <c r="P201" i="35"/>
  <c r="N201" i="35"/>
  <c r="I201" i="35"/>
  <c r="G201" i="35"/>
  <c r="H201" i="35"/>
  <c r="J201" i="35"/>
  <c r="M201" i="35"/>
  <c r="K201" i="35"/>
  <c r="L201" i="35"/>
  <c r="O201" i="35"/>
  <c r="N10" i="35"/>
  <c r="M10" i="35"/>
  <c r="J10" i="35"/>
  <c r="G10" i="35"/>
  <c r="I10" i="35"/>
  <c r="P10" i="35"/>
  <c r="K10" i="35"/>
  <c r="O10" i="35"/>
  <c r="H10" i="35"/>
  <c r="G575" i="34" l="1"/>
  <c r="G589" i="34" s="1"/>
  <c r="G578" i="34"/>
  <c r="G582" i="34" s="1"/>
  <c r="G308" i="34"/>
  <c r="G277" i="35" s="1"/>
  <c r="G275" i="35"/>
  <c r="G540" i="35"/>
  <c r="G489" i="34"/>
  <c r="G491" i="34" s="1"/>
  <c r="F491" i="34" s="1"/>
  <c r="J199" i="35"/>
  <c r="F192" i="35" a="1"/>
  <c r="F192" i="35" s="1"/>
  <c r="F201" i="35" a="1"/>
  <c r="F201" i="35" s="1"/>
  <c r="I199" i="35"/>
  <c r="L199" i="35"/>
  <c r="O199" i="35"/>
  <c r="H200" i="35"/>
  <c r="M200" i="35"/>
  <c r="G433" i="35"/>
  <c r="G425" i="34"/>
  <c r="G432" i="34" s="1"/>
  <c r="G437" i="35" s="1"/>
  <c r="P193" i="35"/>
  <c r="G772" i="34"/>
  <c r="N199" i="35"/>
  <c r="K199" i="35"/>
  <c r="H199" i="35"/>
  <c r="P199" i="35"/>
  <c r="G765" i="34"/>
  <c r="G787" i="34" s="1" a="1"/>
  <c r="G787" i="34" s="1"/>
  <c r="K200" i="35"/>
  <c r="N193" i="35"/>
  <c r="G426" i="34"/>
  <c r="G433" i="34" s="1"/>
  <c r="G438" i="35" s="1"/>
  <c r="G690" i="34"/>
  <c r="G966" i="37" s="1"/>
  <c r="G786" i="34"/>
  <c r="H193" i="35"/>
  <c r="G200" i="35"/>
  <c r="P200" i="35"/>
  <c r="G415" i="34"/>
  <c r="F415" i="34" s="1"/>
  <c r="M199" i="35"/>
  <c r="G692" i="34"/>
  <c r="G710" i="34" s="1"/>
  <c r="N200" i="35"/>
  <c r="L193" i="35"/>
  <c r="L200" i="35"/>
  <c r="O200" i="35"/>
  <c r="I200" i="35"/>
  <c r="J193" i="35"/>
  <c r="M193" i="35"/>
  <c r="O193" i="35"/>
  <c r="K193" i="35"/>
  <c r="I193" i="35"/>
  <c r="G20" i="37" a="1"/>
  <c r="H20" i="37" s="1"/>
  <c r="G212" i="35" a="1"/>
  <c r="N212" i="35" s="1"/>
  <c r="N198" i="35"/>
  <c r="P198" i="35"/>
  <c r="L198" i="35"/>
  <c r="J198" i="35"/>
  <c r="G198" i="35"/>
  <c r="M198" i="35"/>
  <c r="I198" i="35"/>
  <c r="K198" i="35"/>
  <c r="H198" i="35"/>
  <c r="O198" i="35"/>
  <c r="G10" i="37" a="1"/>
  <c r="L10" i="37" s="1"/>
  <c r="G30" i="37" a="1"/>
  <c r="H30" i="37" s="1"/>
  <c r="G592" i="34" l="1"/>
  <c r="G593" i="34"/>
  <c r="G591" i="34"/>
  <c r="G577" i="35" s="1"/>
  <c r="G589" i="35" s="1" a="1"/>
  <c r="G590" i="34"/>
  <c r="G576" i="35" s="1"/>
  <c r="G588" i="35" s="1" a="1"/>
  <c r="G585" i="34"/>
  <c r="G584" i="34"/>
  <c r="G573" i="35" s="1"/>
  <c r="G584" i="35" s="1" a="1"/>
  <c r="G586" i="34"/>
  <c r="G583" i="34"/>
  <c r="G571" i="35"/>
  <c r="G542" i="35"/>
  <c r="G548" i="35" s="1" a="1"/>
  <c r="G429" i="34"/>
  <c r="G435" i="35" s="1"/>
  <c r="F193" i="35" a="1"/>
  <c r="F193" i="35" s="1"/>
  <c r="F199" i="35" a="1"/>
  <c r="F199" i="35" s="1"/>
  <c r="F198" i="35" a="1"/>
  <c r="F198" i="35" s="1"/>
  <c r="F200" i="35" a="1"/>
  <c r="F200" i="35" s="1"/>
  <c r="G431" i="34"/>
  <c r="G430" i="34"/>
  <c r="G436" i="35" s="1"/>
  <c r="G434" i="34"/>
  <c r="G439" i="35" s="1"/>
  <c r="G428" i="34"/>
  <c r="F428" i="34" s="1"/>
  <c r="G435" i="34"/>
  <c r="G440" i="35" s="1"/>
  <c r="G788" i="34"/>
  <c r="G1051" i="37" s="1" a="1"/>
  <c r="G1074" i="37" s="1"/>
  <c r="G1146" i="37" s="1"/>
  <c r="G708" i="34"/>
  <c r="G712" i="34" s="1"/>
  <c r="G970" i="37" s="1"/>
  <c r="G978" i="37" s="1"/>
  <c r="I1019" i="37" s="1"/>
  <c r="G1021" i="37" s="1" a="1"/>
  <c r="G1021" i="37" s="1"/>
  <c r="O20" i="37"/>
  <c r="M20" i="37"/>
  <c r="K20" i="37"/>
  <c r="J20" i="37"/>
  <c r="N20" i="37"/>
  <c r="I20" i="37"/>
  <c r="G20" i="37"/>
  <c r="P20" i="37"/>
  <c r="L20" i="37"/>
  <c r="O212" i="35"/>
  <c r="P212" i="35"/>
  <c r="H212" i="35"/>
  <c r="J212" i="35"/>
  <c r="K212" i="35"/>
  <c r="I212" i="35"/>
  <c r="L212" i="35"/>
  <c r="G212" i="35"/>
  <c r="M212" i="35"/>
  <c r="I10" i="37"/>
  <c r="P10" i="37"/>
  <c r="N30" i="37"/>
  <c r="H10" i="37"/>
  <c r="I30" i="37"/>
  <c r="G30" i="37"/>
  <c r="K30" i="37"/>
  <c r="N10" i="37"/>
  <c r="M10" i="37"/>
  <c r="M30" i="37"/>
  <c r="J30" i="37"/>
  <c r="G10" i="37"/>
  <c r="J10" i="37"/>
  <c r="L30" i="37"/>
  <c r="K10" i="37"/>
  <c r="P30" i="37"/>
  <c r="O30" i="37"/>
  <c r="O10" i="37"/>
  <c r="AJ588" i="35" l="1"/>
  <c r="T588" i="35"/>
  <c r="AT588" i="35"/>
  <c r="AD588" i="35"/>
  <c r="N588" i="35"/>
  <c r="AK588" i="35"/>
  <c r="U588" i="35"/>
  <c r="AQ588" i="35"/>
  <c r="AA588" i="35"/>
  <c r="K588" i="35"/>
  <c r="AH588" i="35"/>
  <c r="I588" i="35"/>
  <c r="G588" i="35"/>
  <c r="AF588" i="35"/>
  <c r="P588" i="35"/>
  <c r="AP588" i="35"/>
  <c r="Z588" i="35"/>
  <c r="J588" i="35"/>
  <c r="AG588" i="35"/>
  <c r="Q588" i="35"/>
  <c r="AM588" i="35"/>
  <c r="W588" i="35"/>
  <c r="X588" i="35"/>
  <c r="R588" i="35"/>
  <c r="Y588" i="35"/>
  <c r="O588" i="35"/>
  <c r="AR588" i="35"/>
  <c r="AB588" i="35"/>
  <c r="L588" i="35"/>
  <c r="AL588" i="35"/>
  <c r="V588" i="35"/>
  <c r="AS588" i="35"/>
  <c r="AC588" i="35"/>
  <c r="M588" i="35"/>
  <c r="AI588" i="35"/>
  <c r="S588" i="35"/>
  <c r="AN588" i="35"/>
  <c r="H588" i="35"/>
  <c r="AO588" i="35"/>
  <c r="AE588" i="35"/>
  <c r="W589" i="35"/>
  <c r="G589" i="35"/>
  <c r="L589" i="35"/>
  <c r="AB589" i="35"/>
  <c r="AR589" i="35"/>
  <c r="M589" i="35"/>
  <c r="AC589" i="35"/>
  <c r="AS589" i="35"/>
  <c r="V589" i="35"/>
  <c r="AL589" i="35"/>
  <c r="H589" i="35"/>
  <c r="Y589" i="35"/>
  <c r="AH589" i="35"/>
  <c r="AI589" i="35"/>
  <c r="S589" i="35"/>
  <c r="P589" i="35"/>
  <c r="AF589" i="35"/>
  <c r="O589" i="35"/>
  <c r="Q589" i="35"/>
  <c r="AG589" i="35"/>
  <c r="J589" i="35"/>
  <c r="Z589" i="35"/>
  <c r="AP589" i="35"/>
  <c r="AQ589" i="35"/>
  <c r="X589" i="35"/>
  <c r="I589" i="35"/>
  <c r="R589" i="35"/>
  <c r="AT589" i="35"/>
  <c r="AM589" i="35"/>
  <c r="AE589" i="35"/>
  <c r="T589" i="35"/>
  <c r="AJ589" i="35"/>
  <c r="AA589" i="35"/>
  <c r="U589" i="35"/>
  <c r="AK589" i="35"/>
  <c r="N589" i="35"/>
  <c r="AD589" i="35"/>
  <c r="K589" i="35"/>
  <c r="AN589" i="35"/>
  <c r="AO589" i="35"/>
  <c r="G584" i="35"/>
  <c r="AH584" i="35"/>
  <c r="J584" i="35"/>
  <c r="AG584" i="35"/>
  <c r="Q584" i="35"/>
  <c r="AD584" i="35"/>
  <c r="AJ584" i="35"/>
  <c r="T584" i="35"/>
  <c r="AP584" i="35"/>
  <c r="AI584" i="35"/>
  <c r="S584" i="35"/>
  <c r="U584" i="35"/>
  <c r="AT584" i="35"/>
  <c r="X584" i="35"/>
  <c r="AM584" i="35"/>
  <c r="Z584" i="35"/>
  <c r="AS584" i="35"/>
  <c r="AC584" i="35"/>
  <c r="M584" i="35"/>
  <c r="N584" i="35"/>
  <c r="AF584" i="35"/>
  <c r="P584" i="35"/>
  <c r="AL584" i="35"/>
  <c r="AE584" i="35"/>
  <c r="O584" i="35"/>
  <c r="AK584" i="35"/>
  <c r="V584" i="35"/>
  <c r="AO584" i="35"/>
  <c r="Y584" i="35"/>
  <c r="I584" i="35"/>
  <c r="AR584" i="35"/>
  <c r="AB584" i="35"/>
  <c r="L584" i="35"/>
  <c r="AQ584" i="35"/>
  <c r="AA584" i="35"/>
  <c r="K584" i="35"/>
  <c r="R584" i="35"/>
  <c r="AN584" i="35"/>
  <c r="H584" i="35"/>
  <c r="W584" i="35"/>
  <c r="G572" i="35"/>
  <c r="G583" i="35" s="1" a="1"/>
  <c r="G594" i="34"/>
  <c r="F594" i="34" s="1"/>
  <c r="G587" i="34"/>
  <c r="F587" i="34" s="1"/>
  <c r="G548" i="35"/>
  <c r="Z549" i="35"/>
  <c r="Z677" i="37" s="1"/>
  <c r="AL548" i="35"/>
  <c r="AS549" i="35"/>
  <c r="AS677" i="37" s="1"/>
  <c r="M549" i="35"/>
  <c r="M677" i="37" s="1"/>
  <c r="U548" i="35"/>
  <c r="AN549" i="35"/>
  <c r="AN677" i="37" s="1"/>
  <c r="X549" i="35"/>
  <c r="X677" i="37" s="1"/>
  <c r="H549" i="35"/>
  <c r="H677" i="37" s="1"/>
  <c r="AF548" i="35"/>
  <c r="P548" i="35"/>
  <c r="AL549" i="35"/>
  <c r="AL677" i="37" s="1"/>
  <c r="AT548" i="35"/>
  <c r="J548" i="35"/>
  <c r="Q549" i="35"/>
  <c r="Q677" i="37" s="1"/>
  <c r="Y548" i="35"/>
  <c r="AI549" i="35"/>
  <c r="AI677" i="37" s="1"/>
  <c r="S549" i="35"/>
  <c r="S677" i="37" s="1"/>
  <c r="AQ548" i="35"/>
  <c r="AA548" i="35"/>
  <c r="K548" i="35"/>
  <c r="AB549" i="35"/>
  <c r="AB677" i="37" s="1"/>
  <c r="N549" i="35"/>
  <c r="N677" i="37" s="1"/>
  <c r="AG548" i="35"/>
  <c r="G549" i="35"/>
  <c r="G677" i="37" s="1"/>
  <c r="R549" i="35"/>
  <c r="R677" i="37" s="1"/>
  <c r="AD548" i="35"/>
  <c r="AK549" i="35"/>
  <c r="AK677" i="37" s="1"/>
  <c r="AS548" i="35"/>
  <c r="Q548" i="35"/>
  <c r="AJ549" i="35"/>
  <c r="AJ677" i="37" s="1"/>
  <c r="T549" i="35"/>
  <c r="T677" i="37" s="1"/>
  <c r="AR548" i="35"/>
  <c r="AB548" i="35"/>
  <c r="L548" i="35"/>
  <c r="AD549" i="35"/>
  <c r="AD677" i="37" s="1"/>
  <c r="AH548" i="35"/>
  <c r="AO549" i="35"/>
  <c r="AO677" i="37" s="1"/>
  <c r="I549" i="35"/>
  <c r="I677" i="37" s="1"/>
  <c r="M548" i="35"/>
  <c r="AE549" i="35"/>
  <c r="AE677" i="37" s="1"/>
  <c r="O549" i="35"/>
  <c r="O677" i="37" s="1"/>
  <c r="AM548" i="35"/>
  <c r="W548" i="35"/>
  <c r="AH549" i="35"/>
  <c r="AH677" i="37" s="1"/>
  <c r="N548" i="35"/>
  <c r="AC548" i="35"/>
  <c r="L549" i="35"/>
  <c r="L677" i="37" s="1"/>
  <c r="T548" i="35"/>
  <c r="R548" i="35"/>
  <c r="AM549" i="35"/>
  <c r="AM677" i="37" s="1"/>
  <c r="AE548" i="35"/>
  <c r="AP549" i="35"/>
  <c r="AP677" i="37" s="1"/>
  <c r="J549" i="35"/>
  <c r="J677" i="37" s="1"/>
  <c r="V548" i="35"/>
  <c r="AC549" i="35"/>
  <c r="AC677" i="37" s="1"/>
  <c r="AK548" i="35"/>
  <c r="I548" i="35"/>
  <c r="AF549" i="35"/>
  <c r="AF677" i="37" s="1"/>
  <c r="P549" i="35"/>
  <c r="P677" i="37" s="1"/>
  <c r="AN548" i="35"/>
  <c r="X548" i="35"/>
  <c r="H548" i="35"/>
  <c r="V549" i="35"/>
  <c r="V677" i="37" s="1"/>
  <c r="Z548" i="35"/>
  <c r="AG549" i="35"/>
  <c r="AG677" i="37" s="1"/>
  <c r="AO548" i="35"/>
  <c r="AQ549" i="35"/>
  <c r="AQ677" i="37" s="1"/>
  <c r="AA549" i="35"/>
  <c r="AA677" i="37" s="1"/>
  <c r="K549" i="35"/>
  <c r="K677" i="37" s="1"/>
  <c r="AI548" i="35"/>
  <c r="S548" i="35"/>
  <c r="AP548" i="35"/>
  <c r="U549" i="35"/>
  <c r="U677" i="37" s="1"/>
  <c r="AR549" i="35"/>
  <c r="AR677" i="37" s="1"/>
  <c r="AJ548" i="35"/>
  <c r="AT549" i="35"/>
  <c r="AT677" i="37" s="1"/>
  <c r="Y549" i="35"/>
  <c r="Y677" i="37" s="1"/>
  <c r="W549" i="35"/>
  <c r="W677" i="37" s="1"/>
  <c r="O548" i="35"/>
  <c r="F3" i="35"/>
  <c r="G436" i="34"/>
  <c r="F436" i="34" s="1"/>
  <c r="G1051" i="37"/>
  <c r="G1123" i="37" s="1"/>
  <c r="G1072" i="37"/>
  <c r="G1144" i="37" s="1"/>
  <c r="G1055" i="37"/>
  <c r="G1127" i="37" s="1"/>
  <c r="G1064" i="37"/>
  <c r="G1136" i="37" s="1"/>
  <c r="G1067" i="37"/>
  <c r="G1139" i="37" s="1"/>
  <c r="G1062" i="37"/>
  <c r="G1134" i="37" s="1"/>
  <c r="G1061" i="37"/>
  <c r="G1133" i="37" s="1"/>
  <c r="G1079" i="37"/>
  <c r="G1151" i="37" s="1"/>
  <c r="G1066" i="37"/>
  <c r="G1138" i="37" s="1"/>
  <c r="G1078" i="37"/>
  <c r="G1150" i="37" s="1"/>
  <c r="G1070" i="37"/>
  <c r="G1142" i="37" s="1"/>
  <c r="G1080" i="37"/>
  <c r="G1152" i="37" s="1"/>
  <c r="G1082" i="37"/>
  <c r="G1154" i="37" s="1"/>
  <c r="G1063" i="37"/>
  <c r="G1135" i="37" s="1"/>
  <c r="G1068" i="37"/>
  <c r="G1140" i="37" s="1"/>
  <c r="G1057" i="37"/>
  <c r="G1129" i="37" s="1"/>
  <c r="G1060" i="37"/>
  <c r="G1132" i="37" s="1"/>
  <c r="G1065" i="37"/>
  <c r="G1137" i="37" s="1"/>
  <c r="G1052" i="37"/>
  <c r="G1124" i="37" s="1"/>
  <c r="G1056" i="37"/>
  <c r="G1128" i="37" s="1"/>
  <c r="G1076" i="37"/>
  <c r="G1148" i="37" s="1"/>
  <c r="G1077" i="37"/>
  <c r="G1149" i="37" s="1"/>
  <c r="G1059" i="37"/>
  <c r="G1131" i="37" s="1"/>
  <c r="G1069" i="37"/>
  <c r="G1141" i="37" s="1"/>
  <c r="G1073" i="37"/>
  <c r="G1145" i="37" s="1"/>
  <c r="G1081" i="37"/>
  <c r="G1153" i="37" s="1"/>
  <c r="G1071" i="37"/>
  <c r="G1143" i="37" s="1"/>
  <c r="G1053" i="37"/>
  <c r="G1125" i="37" s="1"/>
  <c r="G1075" i="37"/>
  <c r="G1147" i="37" s="1"/>
  <c r="G1054" i="37"/>
  <c r="G1126" i="37" s="1"/>
  <c r="G1083" i="37"/>
  <c r="G1155" i="37" s="1"/>
  <c r="G1058" i="37"/>
  <c r="G1130" i="37" s="1"/>
  <c r="G1022" i="37"/>
  <c r="G1027" i="37"/>
  <c r="G1023" i="37"/>
  <c r="G1024" i="37"/>
  <c r="G1025" i="37"/>
  <c r="G1028" i="37"/>
  <c r="G1026" i="37"/>
  <c r="I997" i="37"/>
  <c r="G24" i="37" a="1"/>
  <c r="P24" i="37" s="1"/>
  <c r="G34" i="37" a="1"/>
  <c r="L34" i="37" s="1"/>
  <c r="G50" i="37" a="1"/>
  <c r="P50" i="37" s="1"/>
  <c r="G14" i="37" a="1"/>
  <c r="G284" i="35" a="1"/>
  <c r="G282" i="35" a="1"/>
  <c r="G590" i="35" l="1" a="1"/>
  <c r="AE590" i="35" s="1"/>
  <c r="H583" i="35"/>
  <c r="AO583" i="35"/>
  <c r="Y583" i="35"/>
  <c r="I583" i="35"/>
  <c r="AE583" i="35"/>
  <c r="O583" i="35"/>
  <c r="AP583" i="35"/>
  <c r="Z583" i="35"/>
  <c r="J583" i="35"/>
  <c r="AF583" i="35"/>
  <c r="P583" i="35"/>
  <c r="AS583" i="35"/>
  <c r="M583" i="35"/>
  <c r="S583" i="35"/>
  <c r="AD583" i="35"/>
  <c r="AJ583" i="35"/>
  <c r="AK583" i="35"/>
  <c r="U583" i="35"/>
  <c r="AQ583" i="35"/>
  <c r="AA583" i="35"/>
  <c r="K583" i="35"/>
  <c r="AL583" i="35"/>
  <c r="V583" i="35"/>
  <c r="AR583" i="35"/>
  <c r="AB583" i="35"/>
  <c r="L583" i="35"/>
  <c r="AG583" i="35"/>
  <c r="Q583" i="35"/>
  <c r="AM583" i="35"/>
  <c r="W583" i="35"/>
  <c r="G583" i="35"/>
  <c r="AH583" i="35"/>
  <c r="R583" i="35"/>
  <c r="AN583" i="35"/>
  <c r="X583" i="35"/>
  <c r="AC583" i="35"/>
  <c r="AI583" i="35"/>
  <c r="AT583" i="35"/>
  <c r="N583" i="35"/>
  <c r="T583" i="35"/>
  <c r="F3" i="34"/>
  <c r="E132" i="39" a="1"/>
  <c r="E136" i="39" s="1"/>
  <c r="E143" i="39" a="1"/>
  <c r="G682" i="37" a="1"/>
  <c r="P682" i="37" s="1"/>
  <c r="M797" i="37" s="1"/>
  <c r="M830" i="37" s="1"/>
  <c r="G1030" i="37"/>
  <c r="M24" i="37"/>
  <c r="H24" i="37"/>
  <c r="N24" i="37"/>
  <c r="G24" i="37"/>
  <c r="I24" i="37"/>
  <c r="J24" i="37"/>
  <c r="O24" i="37"/>
  <c r="K24" i="37"/>
  <c r="L24" i="37"/>
  <c r="H50" i="37"/>
  <c r="M34" i="37"/>
  <c r="N34" i="37"/>
  <c r="J34" i="37"/>
  <c r="K34" i="37"/>
  <c r="H34" i="37"/>
  <c r="G34" i="37"/>
  <c r="O34" i="37"/>
  <c r="P34" i="37"/>
  <c r="I34" i="37"/>
  <c r="J50" i="37"/>
  <c r="O50" i="37"/>
  <c r="K50" i="37"/>
  <c r="K282" i="35"/>
  <c r="O282" i="35"/>
  <c r="I282" i="35"/>
  <c r="N282" i="35"/>
  <c r="M282" i="35"/>
  <c r="H282" i="35"/>
  <c r="G282" i="35"/>
  <c r="P282" i="35"/>
  <c r="L282" i="35"/>
  <c r="J282" i="35"/>
  <c r="G372" i="35" a="1"/>
  <c r="P372" i="35" s="1"/>
  <c r="O284" i="35"/>
  <c r="I284" i="35"/>
  <c r="N284" i="35"/>
  <c r="M284" i="35"/>
  <c r="G284" i="35"/>
  <c r="P284" i="35"/>
  <c r="L284" i="35"/>
  <c r="J284" i="35"/>
  <c r="H284" i="35"/>
  <c r="K284" i="35"/>
  <c r="N50" i="37"/>
  <c r="G317" i="35" a="1"/>
  <c r="G322" i="35" a="1"/>
  <c r="M50" i="37"/>
  <c r="L50" i="37"/>
  <c r="G101" i="37" a="1"/>
  <c r="G101" i="37" s="1"/>
  <c r="G50" i="37"/>
  <c r="G285" i="35" a="1"/>
  <c r="G285" i="35" s="1"/>
  <c r="I50" i="37"/>
  <c r="G444" i="35" a="1"/>
  <c r="H14" i="37"/>
  <c r="M14" i="37"/>
  <c r="O14" i="37"/>
  <c r="L14" i="37"/>
  <c r="I14" i="37"/>
  <c r="J14" i="37"/>
  <c r="K14" i="37"/>
  <c r="P14" i="37"/>
  <c r="G14" i="37"/>
  <c r="N14" i="37"/>
  <c r="F1030" i="37" l="1"/>
  <c r="F3" i="37" s="1"/>
  <c r="AC590" i="35"/>
  <c r="G585" i="35" a="1"/>
  <c r="N585" i="35" s="1"/>
  <c r="K590" i="35"/>
  <c r="AG590" i="35"/>
  <c r="AI590" i="35"/>
  <c r="AJ590" i="35"/>
  <c r="O590" i="35"/>
  <c r="I590" i="35"/>
  <c r="Z590" i="35"/>
  <c r="AT590" i="35"/>
  <c r="AB590" i="35"/>
  <c r="N590" i="35"/>
  <c r="AM590" i="35"/>
  <c r="AN590" i="35"/>
  <c r="AF590" i="35"/>
  <c r="AL590" i="35"/>
  <c r="U590" i="35"/>
  <c r="X590" i="35"/>
  <c r="AO590" i="35"/>
  <c r="AP590" i="35"/>
  <c r="AS590" i="35"/>
  <c r="AA590" i="35"/>
  <c r="Y590" i="35"/>
  <c r="T590" i="35"/>
  <c r="J590" i="35"/>
  <c r="M590" i="35"/>
  <c r="AH590" i="35"/>
  <c r="AR590" i="35"/>
  <c r="AD590" i="35"/>
  <c r="Q590" i="35"/>
  <c r="S590" i="35"/>
  <c r="G590" i="35"/>
  <c r="L590" i="35"/>
  <c r="AK590" i="35"/>
  <c r="W590" i="35"/>
  <c r="H590" i="35"/>
  <c r="P590" i="35"/>
  <c r="V590" i="35"/>
  <c r="AQ590" i="35"/>
  <c r="R590" i="35"/>
  <c r="G715" i="37" a="1"/>
  <c r="X715" i="37" s="1"/>
  <c r="G714" i="37" a="1"/>
  <c r="G714" i="37" s="1"/>
  <c r="E135" i="39"/>
  <c r="E132" i="39"/>
  <c r="E139" i="39"/>
  <c r="E137" i="39"/>
  <c r="E138" i="39"/>
  <c r="E133" i="39"/>
  <c r="E134" i="39"/>
  <c r="E175" i="39"/>
  <c r="E168" i="39"/>
  <c r="E152" i="39"/>
  <c r="E164" i="39"/>
  <c r="E148" i="39"/>
  <c r="E160" i="39"/>
  <c r="E144" i="39"/>
  <c r="E172" i="39"/>
  <c r="E156" i="39"/>
  <c r="E149" i="39"/>
  <c r="E165" i="39"/>
  <c r="E158" i="39"/>
  <c r="E174" i="39"/>
  <c r="E147" i="39"/>
  <c r="E163" i="39"/>
  <c r="E153" i="39"/>
  <c r="E169" i="39"/>
  <c r="E146" i="39"/>
  <c r="E162" i="39"/>
  <c r="E151" i="39"/>
  <c r="E167" i="39"/>
  <c r="E145" i="39"/>
  <c r="E154" i="39"/>
  <c r="E143" i="39"/>
  <c r="E157" i="39"/>
  <c r="E173" i="39"/>
  <c r="E150" i="39"/>
  <c r="E166" i="39"/>
  <c r="E155" i="39"/>
  <c r="E171" i="39"/>
  <c r="E161" i="39"/>
  <c r="E170" i="39"/>
  <c r="E159" i="39"/>
  <c r="U682" i="37"/>
  <c r="M787" i="37" s="1"/>
  <c r="M820" i="37" s="1"/>
  <c r="AM682" i="37"/>
  <c r="AO682" i="37"/>
  <c r="X682" i="37"/>
  <c r="Z682" i="37"/>
  <c r="M792" i="37" s="1"/>
  <c r="M825" i="37" s="1"/>
  <c r="W682" i="37"/>
  <c r="L793" i="37" s="1"/>
  <c r="L826" i="37" s="1"/>
  <c r="K682" i="37"/>
  <c r="L788" i="37" s="1"/>
  <c r="L821" i="37" s="1"/>
  <c r="AS682" i="37"/>
  <c r="I682" i="37"/>
  <c r="M796" i="37" s="1"/>
  <c r="M829" i="37" s="1"/>
  <c r="L682" i="37"/>
  <c r="L797" i="37" s="1"/>
  <c r="L830" i="37" s="1"/>
  <c r="AB682" i="37"/>
  <c r="N791" i="37" s="1"/>
  <c r="N824" i="37" s="1"/>
  <c r="AQ682" i="37"/>
  <c r="AE682" i="37"/>
  <c r="L792" i="37" s="1"/>
  <c r="L825" i="37" s="1"/>
  <c r="V682" i="37"/>
  <c r="M790" i="37" s="1"/>
  <c r="M823" i="37" s="1"/>
  <c r="AI682" i="37"/>
  <c r="Q682" i="37"/>
  <c r="M798" i="37" s="1"/>
  <c r="M831" i="37" s="1"/>
  <c r="AC682" i="37"/>
  <c r="T682" i="37"/>
  <c r="O787" i="37" s="1"/>
  <c r="O820" i="37" s="1"/>
  <c r="AA682" i="37"/>
  <c r="M791" i="37" s="1"/>
  <c r="M824" i="37" s="1"/>
  <c r="AK682" i="37"/>
  <c r="AN682" i="37"/>
  <c r="AL682" i="37"/>
  <c r="G682" i="37"/>
  <c r="M795" i="37" s="1"/>
  <c r="M828" i="37" s="1"/>
  <c r="AP682" i="37"/>
  <c r="M682" i="37"/>
  <c r="L794" i="37" s="1"/>
  <c r="L827" i="37" s="1"/>
  <c r="AD682" i="37"/>
  <c r="L789" i="37" s="1"/>
  <c r="L822" i="37" s="1"/>
  <c r="N682" i="37"/>
  <c r="L790" i="37" s="1"/>
  <c r="L823" i="37" s="1"/>
  <c r="Y682" i="37"/>
  <c r="M793" i="37" s="1"/>
  <c r="M826" i="37" s="1"/>
  <c r="AF682" i="37"/>
  <c r="H682" i="37"/>
  <c r="M789" i="37" s="1"/>
  <c r="M822" i="37" s="1"/>
  <c r="S682" i="37"/>
  <c r="M788" i="37" s="1"/>
  <c r="M821" i="37" s="1"/>
  <c r="O682" i="37"/>
  <c r="M794" i="37" s="1"/>
  <c r="M827" i="37" s="1"/>
  <c r="AJ682" i="37"/>
  <c r="AR682" i="37"/>
  <c r="J682" i="37"/>
  <c r="L795" i="37" s="1"/>
  <c r="L828" i="37" s="1"/>
  <c r="AT682" i="37"/>
  <c r="AG682" i="37"/>
  <c r="AH682" i="37"/>
  <c r="R682" i="37"/>
  <c r="L796" i="37" s="1"/>
  <c r="L829" i="37" s="1"/>
  <c r="G676" i="37"/>
  <c r="AH676" i="37"/>
  <c r="AO676" i="37"/>
  <c r="I676" i="37"/>
  <c r="AF676" i="37"/>
  <c r="P676" i="37"/>
  <c r="AL676" i="37"/>
  <c r="AS676" i="37"/>
  <c r="M676" i="37"/>
  <c r="AE676" i="37"/>
  <c r="O676" i="37"/>
  <c r="N676" i="37"/>
  <c r="Z676" i="37"/>
  <c r="AG676" i="37"/>
  <c r="AR676" i="37"/>
  <c r="AB676" i="37"/>
  <c r="L676" i="37"/>
  <c r="AD676" i="37"/>
  <c r="AK676" i="37"/>
  <c r="AQ676" i="37"/>
  <c r="AA676" i="37"/>
  <c r="K676" i="37"/>
  <c r="AP676" i="37"/>
  <c r="Q676" i="37"/>
  <c r="T676" i="37"/>
  <c r="U676" i="37"/>
  <c r="S676" i="37"/>
  <c r="R676" i="37"/>
  <c r="Y676" i="37"/>
  <c r="AN676" i="37"/>
  <c r="X676" i="37"/>
  <c r="H676" i="37"/>
  <c r="V676" i="37"/>
  <c r="AC676" i="37"/>
  <c r="AM676" i="37"/>
  <c r="W676" i="37"/>
  <c r="J676" i="37"/>
  <c r="AJ676" i="37"/>
  <c r="AT676" i="37"/>
  <c r="AI676" i="37"/>
  <c r="L26" i="37" a="1"/>
  <c r="P26" i="37" s="1"/>
  <c r="G26" i="37" a="1"/>
  <c r="H26" i="37" s="1"/>
  <c r="J372" i="35"/>
  <c r="N285" i="35"/>
  <c r="N372" i="35"/>
  <c r="H372" i="35"/>
  <c r="I372" i="35"/>
  <c r="G36" i="37" a="1"/>
  <c r="I36" i="37" s="1"/>
  <c r="L36" i="37" a="1"/>
  <c r="N36" i="37" s="1"/>
  <c r="L894" i="37"/>
  <c r="M896" i="37"/>
  <c r="M929" i="37" s="1"/>
  <c r="H896" i="37"/>
  <c r="H929" i="37" s="1"/>
  <c r="G894" i="37"/>
  <c r="I285" i="35"/>
  <c r="K285" i="35"/>
  <c r="L372" i="35"/>
  <c r="M372" i="35"/>
  <c r="O285" i="35"/>
  <c r="G372" i="35"/>
  <c r="H101" i="37"/>
  <c r="I101" i="37"/>
  <c r="P285" i="35"/>
  <c r="K101" i="37"/>
  <c r="K322" i="35"/>
  <c r="I322" i="35"/>
  <c r="P322" i="35"/>
  <c r="J322" i="35"/>
  <c r="N322" i="35"/>
  <c r="L322" i="35"/>
  <c r="G322" i="35"/>
  <c r="O322" i="35"/>
  <c r="H322" i="35"/>
  <c r="M322" i="35"/>
  <c r="M285" i="35"/>
  <c r="K372" i="35"/>
  <c r="O101" i="37"/>
  <c r="O372" i="35"/>
  <c r="N444" i="35"/>
  <c r="M444" i="35"/>
  <c r="L444" i="35"/>
  <c r="G444" i="35"/>
  <c r="H444" i="35"/>
  <c r="J444" i="35"/>
  <c r="K444" i="35"/>
  <c r="O444" i="35"/>
  <c r="P444" i="35"/>
  <c r="I444" i="35"/>
  <c r="G115" i="37" a="1"/>
  <c r="H115" i="37" s="1"/>
  <c r="H285" i="35"/>
  <c r="L285" i="35"/>
  <c r="L101" i="37"/>
  <c r="M101" i="37"/>
  <c r="O317" i="35"/>
  <c r="J317" i="35"/>
  <c r="N317" i="35"/>
  <c r="L317" i="35"/>
  <c r="G317" i="35"/>
  <c r="K317" i="35"/>
  <c r="I317" i="35"/>
  <c r="P317" i="35"/>
  <c r="H317" i="35"/>
  <c r="M317" i="35"/>
  <c r="P101" i="37"/>
  <c r="N101" i="37"/>
  <c r="L16" i="37" a="1"/>
  <c r="M16" i="37" s="1"/>
  <c r="G16" i="37" a="1"/>
  <c r="H16" i="37" s="1"/>
  <c r="J285" i="35"/>
  <c r="J101" i="37"/>
  <c r="I585" i="35" l="1"/>
  <c r="N788" i="37"/>
  <c r="AE585" i="35"/>
  <c r="L585" i="35"/>
  <c r="K585" i="35"/>
  <c r="AF585" i="35"/>
  <c r="AC585" i="35"/>
  <c r="AI585" i="35"/>
  <c r="AD585" i="35"/>
  <c r="AA585" i="35"/>
  <c r="Z585" i="35"/>
  <c r="AR585" i="35"/>
  <c r="T585" i="35"/>
  <c r="J585" i="35"/>
  <c r="AB585" i="35"/>
  <c r="S585" i="35"/>
  <c r="W585" i="35"/>
  <c r="Y585" i="35"/>
  <c r="AQ585" i="35"/>
  <c r="G585" i="35"/>
  <c r="AS585" i="35"/>
  <c r="Q585" i="35"/>
  <c r="M585" i="35"/>
  <c r="AM585" i="35"/>
  <c r="AO585" i="35"/>
  <c r="U585" i="35"/>
  <c r="AN585" i="35"/>
  <c r="AP585" i="35"/>
  <c r="V585" i="35"/>
  <c r="X585" i="35"/>
  <c r="AJ585" i="35"/>
  <c r="AH585" i="35"/>
  <c r="H585" i="35"/>
  <c r="AK585" i="35"/>
  <c r="R585" i="35"/>
  <c r="O585" i="35"/>
  <c r="AL585" i="35"/>
  <c r="AT585" i="35"/>
  <c r="P585" i="35"/>
  <c r="AG585" i="35"/>
  <c r="N789" i="37"/>
  <c r="N822" i="37" s="1"/>
  <c r="H714" i="37"/>
  <c r="M715" i="37"/>
  <c r="G1212" i="37" a="1"/>
  <c r="Q715" i="37"/>
  <c r="AG715" i="37"/>
  <c r="Z715" i="37"/>
  <c r="O714" i="37"/>
  <c r="W714" i="37"/>
  <c r="AJ715" i="37"/>
  <c r="AE715" i="37"/>
  <c r="AF715" i="37"/>
  <c r="AK715" i="37"/>
  <c r="AO715" i="37"/>
  <c r="L715" i="37"/>
  <c r="AN714" i="37"/>
  <c r="AP714" i="37"/>
  <c r="J714" i="37"/>
  <c r="AG714" i="37"/>
  <c r="J715" i="37"/>
  <c r="G715" i="37"/>
  <c r="V715" i="37"/>
  <c r="AI715" i="37"/>
  <c r="O715" i="37"/>
  <c r="AC714" i="37"/>
  <c r="L714" i="37"/>
  <c r="P714" i="37"/>
  <c r="K715" i="37"/>
  <c r="U715" i="37"/>
  <c r="AD715" i="37"/>
  <c r="R715" i="37"/>
  <c r="P715" i="37"/>
  <c r="AK714" i="37"/>
  <c r="S714" i="37"/>
  <c r="N714" i="37"/>
  <c r="AT714" i="37"/>
  <c r="AR714" i="37"/>
  <c r="AQ714" i="37"/>
  <c r="I714" i="37"/>
  <c r="AI714" i="37"/>
  <c r="AF714" i="37"/>
  <c r="AE714" i="37"/>
  <c r="AM714" i="37"/>
  <c r="AJ714" i="37"/>
  <c r="AN715" i="37"/>
  <c r="AM715" i="37"/>
  <c r="H715" i="37"/>
  <c r="AH715" i="37"/>
  <c r="N715" i="37"/>
  <c r="AQ715" i="37"/>
  <c r="Y715" i="37"/>
  <c r="I715" i="37"/>
  <c r="AT715" i="37"/>
  <c r="AR715" i="37"/>
  <c r="AB714" i="37"/>
  <c r="AL714" i="37"/>
  <c r="AD714" i="37"/>
  <c r="AO714" i="37"/>
  <c r="M714" i="37"/>
  <c r="AH714" i="37"/>
  <c r="AS714" i="37"/>
  <c r="Q714" i="37"/>
  <c r="T715" i="37"/>
  <c r="S715" i="37"/>
  <c r="AL715" i="37"/>
  <c r="AB715" i="37"/>
  <c r="AA715" i="37"/>
  <c r="W715" i="37"/>
  <c r="AP715" i="37"/>
  <c r="AS715" i="37"/>
  <c r="AC715" i="37"/>
  <c r="R714" i="37"/>
  <c r="AA714" i="37"/>
  <c r="T714" i="37"/>
  <c r="U714" i="37"/>
  <c r="V714" i="37"/>
  <c r="K714" i="37"/>
  <c r="X714" i="37"/>
  <c r="Y714" i="37"/>
  <c r="Z714" i="37"/>
  <c r="L791" i="37"/>
  <c r="L824" i="37" s="1"/>
  <c r="L787" i="37"/>
  <c r="L820" i="37" s="1"/>
  <c r="N790" i="37"/>
  <c r="N823" i="37" s="1"/>
  <c r="O803" i="37"/>
  <c r="O840" i="37"/>
  <c r="O841" i="37" s="1"/>
  <c r="O842" i="37" s="1"/>
  <c r="I26" i="37"/>
  <c r="G550" i="35" a="1"/>
  <c r="AQ550" i="35" s="1"/>
  <c r="G681" i="37" a="1"/>
  <c r="AI681" i="37" s="1"/>
  <c r="J26" i="37"/>
  <c r="G26" i="37"/>
  <c r="N26" i="37"/>
  <c r="M26" i="37"/>
  <c r="L26" i="37"/>
  <c r="O26" i="37"/>
  <c r="J36" i="37"/>
  <c r="G36" i="37"/>
  <c r="H36" i="37"/>
  <c r="N821" i="37"/>
  <c r="M840" i="37"/>
  <c r="M841" i="37" s="1"/>
  <c r="M842" i="37" s="1"/>
  <c r="M803" i="37"/>
  <c r="L36" i="37"/>
  <c r="O36" i="37"/>
  <c r="P36" i="37"/>
  <c r="M36" i="37"/>
  <c r="L115" i="37"/>
  <c r="I115" i="37"/>
  <c r="G115" i="37"/>
  <c r="P115" i="37"/>
  <c r="K115" i="37"/>
  <c r="N115" i="37"/>
  <c r="I16" i="37"/>
  <c r="J16" i="37"/>
  <c r="G587" i="37" a="1"/>
  <c r="G587" i="37" s="1"/>
  <c r="O115" i="37"/>
  <c r="N16" i="37"/>
  <c r="G157" i="37" a="1"/>
  <c r="O157" i="37" s="1"/>
  <c r="L16" i="37"/>
  <c r="G16" i="37"/>
  <c r="P16" i="37"/>
  <c r="M115" i="37"/>
  <c r="O16" i="37"/>
  <c r="G251" i="37" a="1"/>
  <c r="K251" i="37" s="1"/>
  <c r="G116" i="37" a="1"/>
  <c r="G156" i="37" a="1"/>
  <c r="N156" i="37" s="1"/>
  <c r="J115" i="37"/>
  <c r="G1272" i="37" l="1" a="1"/>
  <c r="G1272" i="37" s="1"/>
  <c r="G1212" i="37"/>
  <c r="AP1213" i="37"/>
  <c r="J1213" i="37"/>
  <c r="V1212" i="37"/>
  <c r="AG1213" i="37"/>
  <c r="AS1212" i="37"/>
  <c r="U1212" i="37"/>
  <c r="AN1213" i="37"/>
  <c r="X1213" i="37"/>
  <c r="H1213" i="37"/>
  <c r="AF1212" i="37"/>
  <c r="P1212" i="37"/>
  <c r="AD1213" i="37"/>
  <c r="AL1212" i="37"/>
  <c r="AK1213" i="37"/>
  <c r="AO1212" i="37"/>
  <c r="AM1213" i="37"/>
  <c r="W1213" i="37"/>
  <c r="G1213" i="37"/>
  <c r="AE1212" i="37"/>
  <c r="O1212" i="37"/>
  <c r="AH1213" i="37"/>
  <c r="AP1212" i="37"/>
  <c r="R1212" i="37"/>
  <c r="Y1213" i="37"/>
  <c r="AK1212" i="37"/>
  <c r="Q1212" i="37"/>
  <c r="AJ1213" i="37"/>
  <c r="T1213" i="37"/>
  <c r="AR1212" i="37"/>
  <c r="AB1212" i="37"/>
  <c r="L1212" i="37"/>
  <c r="V1213" i="37"/>
  <c r="Z1212" i="37"/>
  <c r="AC1213" i="37"/>
  <c r="AC1212" i="37"/>
  <c r="AI1213" i="37"/>
  <c r="S1213" i="37"/>
  <c r="AQ1212" i="37"/>
  <c r="AA1212" i="37"/>
  <c r="K1212" i="37"/>
  <c r="R1213" i="37"/>
  <c r="AO1213" i="37"/>
  <c r="Y1212" i="37"/>
  <c r="AB1213" i="37"/>
  <c r="AJ1212" i="37"/>
  <c r="AL1213" i="37"/>
  <c r="AS1213" i="37"/>
  <c r="AQ1213" i="37"/>
  <c r="K1213" i="37"/>
  <c r="S1212" i="37"/>
  <c r="AH1212" i="37"/>
  <c r="U1213" i="37"/>
  <c r="I1212" i="37"/>
  <c r="P1213" i="37"/>
  <c r="X1212" i="37"/>
  <c r="N1213" i="37"/>
  <c r="Q1213" i="37"/>
  <c r="AE1213" i="37"/>
  <c r="AM1212" i="37"/>
  <c r="AT1213" i="37"/>
  <c r="AD1212" i="37"/>
  <c r="M1213" i="37"/>
  <c r="AR1213" i="37"/>
  <c r="L1213" i="37"/>
  <c r="T1212" i="37"/>
  <c r="AT1212" i="37"/>
  <c r="I1213" i="37"/>
  <c r="AA1213" i="37"/>
  <c r="AI1212" i="37"/>
  <c r="Z1213" i="37"/>
  <c r="J1212" i="37"/>
  <c r="AG1212" i="37"/>
  <c r="AF1213" i="37"/>
  <c r="AN1212" i="37"/>
  <c r="H1212" i="37"/>
  <c r="N1212" i="37"/>
  <c r="M1212" i="37"/>
  <c r="O1213" i="37"/>
  <c r="W1212" i="37"/>
  <c r="G690" i="37" a="1"/>
  <c r="AM690" i="37" s="1"/>
  <c r="L840" i="37"/>
  <c r="N840" i="37"/>
  <c r="N803" i="37"/>
  <c r="L803" i="37"/>
  <c r="X681" i="37"/>
  <c r="Y681" i="37"/>
  <c r="H793" i="37" s="1"/>
  <c r="H826" i="37" s="1"/>
  <c r="AM681" i="37"/>
  <c r="AA681" i="37"/>
  <c r="H791" i="37" s="1"/>
  <c r="H824" i="37" s="1"/>
  <c r="Q550" i="35"/>
  <c r="AN681" i="37"/>
  <c r="S681" i="37"/>
  <c r="H788" i="37" s="1"/>
  <c r="H821" i="37" s="1"/>
  <c r="W550" i="35"/>
  <c r="I681" i="37"/>
  <c r="H796" i="37" s="1"/>
  <c r="H829" i="37" s="1"/>
  <c r="AJ681" i="37"/>
  <c r="P681" i="37"/>
  <c r="H797" i="37" s="1"/>
  <c r="H830" i="37" s="1"/>
  <c r="M681" i="37"/>
  <c r="G794" i="37" s="1"/>
  <c r="G827" i="37" s="1"/>
  <c r="AF681" i="37"/>
  <c r="AL681" i="37"/>
  <c r="J681" i="37"/>
  <c r="G795" i="37" s="1"/>
  <c r="G828" i="37" s="1"/>
  <c r="AB681" i="37"/>
  <c r="I791" i="37" s="1"/>
  <c r="I824" i="37" s="1"/>
  <c r="AS681" i="37"/>
  <c r="H681" i="37"/>
  <c r="H789" i="37" s="1"/>
  <c r="H822" i="37" s="1"/>
  <c r="K681" i="37"/>
  <c r="G788" i="37" s="1"/>
  <c r="G821" i="37" s="1"/>
  <c r="AP681" i="37"/>
  <c r="L681" i="37"/>
  <c r="G797" i="37" s="1"/>
  <c r="G830" i="37" s="1"/>
  <c r="AS550" i="35"/>
  <c r="R550" i="35"/>
  <c r="AR681" i="37"/>
  <c r="T681" i="37"/>
  <c r="J787" i="37" s="1"/>
  <c r="J820" i="37" s="1"/>
  <c r="AT681" i="37"/>
  <c r="U681" i="37"/>
  <c r="H787" i="37" s="1"/>
  <c r="H820" i="37" s="1"/>
  <c r="AO681" i="37"/>
  <c r="V681" i="37"/>
  <c r="H790" i="37" s="1"/>
  <c r="H823" i="37" s="1"/>
  <c r="Z681" i="37"/>
  <c r="H792" i="37" s="1"/>
  <c r="H825" i="37" s="1"/>
  <c r="Q681" i="37"/>
  <c r="H798" i="37" s="1"/>
  <c r="H831" i="37" s="1"/>
  <c r="AH681" i="37"/>
  <c r="AB550" i="35"/>
  <c r="AI550" i="35"/>
  <c r="AD681" i="37"/>
  <c r="G789" i="37" s="1"/>
  <c r="G822" i="37" s="1"/>
  <c r="AC681" i="37"/>
  <c r="W681" i="37"/>
  <c r="G793" i="37" s="1"/>
  <c r="G826" i="37" s="1"/>
  <c r="AE681" i="37"/>
  <c r="G792" i="37" s="1"/>
  <c r="G825" i="37" s="1"/>
  <c r="R681" i="37"/>
  <c r="G796" i="37" s="1"/>
  <c r="G829" i="37" s="1"/>
  <c r="G681" i="37"/>
  <c r="H795" i="37" s="1"/>
  <c r="H828" i="37" s="1"/>
  <c r="AK681" i="37"/>
  <c r="O681" i="37"/>
  <c r="H794" i="37" s="1"/>
  <c r="H827" i="37" s="1"/>
  <c r="AQ681" i="37"/>
  <c r="I550" i="35"/>
  <c r="AC550" i="35"/>
  <c r="J550" i="35"/>
  <c r="AE550" i="35"/>
  <c r="N550" i="35"/>
  <c r="X550" i="35"/>
  <c r="AD550" i="35"/>
  <c r="AJ550" i="35"/>
  <c r="AL550" i="35"/>
  <c r="V550" i="35"/>
  <c r="Z550" i="35"/>
  <c r="AF550" i="35"/>
  <c r="M550" i="35"/>
  <c r="L550" i="35"/>
  <c r="T550" i="35"/>
  <c r="K550" i="35"/>
  <c r="AT550" i="35"/>
  <c r="AM550" i="35"/>
  <c r="AR550" i="35"/>
  <c r="H550" i="35"/>
  <c r="G550" i="35"/>
  <c r="AH550" i="35"/>
  <c r="Y550" i="35"/>
  <c r="AA550" i="35"/>
  <c r="O550" i="35"/>
  <c r="AK550" i="35"/>
  <c r="S550" i="35"/>
  <c r="P550" i="35"/>
  <c r="U550" i="35"/>
  <c r="AO550" i="35"/>
  <c r="AP550" i="35"/>
  <c r="AN550" i="35"/>
  <c r="AG550" i="35"/>
  <c r="N681" i="37"/>
  <c r="G790" i="37" s="1"/>
  <c r="G823" i="37" s="1"/>
  <c r="AG681" i="37"/>
  <c r="G135" i="37" a="1"/>
  <c r="L135" i="37" s="1"/>
  <c r="G179" i="37" a="1"/>
  <c r="G179" i="37" s="1"/>
  <c r="G118" i="37" a="1"/>
  <c r="M118" i="37" s="1"/>
  <c r="M436" i="37" s="1"/>
  <c r="G132" i="37" a="1"/>
  <c r="G269" i="37" a="1"/>
  <c r="J269" i="37" s="1"/>
  <c r="H587" i="37"/>
  <c r="L857" i="37"/>
  <c r="L860" i="37"/>
  <c r="L858" i="37"/>
  <c r="L859" i="37"/>
  <c r="L861" i="37"/>
  <c r="L856" i="37"/>
  <c r="G248" i="37" a="1"/>
  <c r="K248" i="37" s="1"/>
  <c r="K157" i="37"/>
  <c r="N587" i="37"/>
  <c r="K587" i="37"/>
  <c r="M587" i="37"/>
  <c r="O156" i="37"/>
  <c r="M157" i="37"/>
  <c r="I587" i="37"/>
  <c r="K156" i="37"/>
  <c r="P157" i="37"/>
  <c r="L587" i="37"/>
  <c r="I156" i="37"/>
  <c r="O587" i="37"/>
  <c r="N116" i="37"/>
  <c r="I116" i="37"/>
  <c r="O116" i="37"/>
  <c r="K116" i="37"/>
  <c r="G116" i="37"/>
  <c r="P251" i="37"/>
  <c r="G251" i="37"/>
  <c r="N251" i="37"/>
  <c r="L251" i="37"/>
  <c r="M251" i="37"/>
  <c r="J251" i="37"/>
  <c r="H251" i="37"/>
  <c r="I251" i="37"/>
  <c r="H116" i="37"/>
  <c r="M156" i="37"/>
  <c r="O251" i="37"/>
  <c r="G122" i="37" a="1"/>
  <c r="L156" i="37"/>
  <c r="N157" i="37"/>
  <c r="G156" i="37"/>
  <c r="I157" i="37"/>
  <c r="L116" i="37"/>
  <c r="G157" i="37"/>
  <c r="J157" i="37"/>
  <c r="P156" i="37"/>
  <c r="H157" i="37"/>
  <c r="P587" i="37"/>
  <c r="H156" i="37"/>
  <c r="J116" i="37"/>
  <c r="P116" i="37"/>
  <c r="L157" i="37"/>
  <c r="J587" i="37"/>
  <c r="J156" i="37"/>
  <c r="G68" i="37" a="1"/>
  <c r="G53" i="37" a="1"/>
  <c r="G65" i="37" a="1"/>
  <c r="G56" i="37" a="1"/>
  <c r="M116" i="37"/>
  <c r="I790" i="37" l="1"/>
  <c r="I823" i="37" s="1"/>
  <c r="AF690" i="37"/>
  <c r="G165" i="37" a="1"/>
  <c r="P165" i="37" s="1"/>
  <c r="G266" i="37" a="1"/>
  <c r="K266" i="37" s="1"/>
  <c r="G164" i="37" a="1"/>
  <c r="I789" i="37"/>
  <c r="I822" i="37" s="1"/>
  <c r="AS690" i="37"/>
  <c r="AC690" i="37"/>
  <c r="AH690" i="37"/>
  <c r="G690" i="37"/>
  <c r="K1272" i="37"/>
  <c r="Z1273" i="37"/>
  <c r="AD1272" i="37"/>
  <c r="N1272" i="37"/>
  <c r="AA1272" i="37"/>
  <c r="U1272" i="37"/>
  <c r="Q1272" i="37"/>
  <c r="AM1272" i="37"/>
  <c r="AE1272" i="37"/>
  <c r="X1273" i="37"/>
  <c r="S1273" i="37"/>
  <c r="AE1273" i="37"/>
  <c r="AQ1272" i="37"/>
  <c r="W1272" i="37"/>
  <c r="V1273" i="37"/>
  <c r="G1273" i="37"/>
  <c r="L1272" i="37"/>
  <c r="AT1272" i="37"/>
  <c r="I1273" i="37"/>
  <c r="M1272" i="37"/>
  <c r="R1273" i="37"/>
  <c r="AP1273" i="37"/>
  <c r="Z1272" i="37"/>
  <c r="Q1273" i="37"/>
  <c r="J1272" i="37"/>
  <c r="I1272" i="37"/>
  <c r="T1273" i="37"/>
  <c r="AI1272" i="37"/>
  <c r="AH1273" i="37"/>
  <c r="V1272" i="37"/>
  <c r="X1272" i="37"/>
  <c r="AJ1272" i="37"/>
  <c r="H1272" i="37"/>
  <c r="J1273" i="37"/>
  <c r="AL1272" i="37"/>
  <c r="AO1272" i="37"/>
  <c r="AR1273" i="37"/>
  <c r="K1273" i="37"/>
  <c r="P1272" i="37"/>
  <c r="N1273" i="37"/>
  <c r="AN1273" i="37"/>
  <c r="P1273" i="37"/>
  <c r="Y1272" i="37"/>
  <c r="AB1273" i="37"/>
  <c r="AI1273" i="37"/>
  <c r="AN1272" i="37"/>
  <c r="O1273" i="37"/>
  <c r="T1272" i="37"/>
  <c r="AC1272" i="37"/>
  <c r="AD1273" i="37"/>
  <c r="W1273" i="37"/>
  <c r="AG1273" i="37"/>
  <c r="AB1272" i="37"/>
  <c r="AK1272" i="37"/>
  <c r="AL1273" i="37"/>
  <c r="AA1273" i="37"/>
  <c r="AO1273" i="37"/>
  <c r="AF1272" i="37"/>
  <c r="AS1272" i="37"/>
  <c r="AT1273" i="37"/>
  <c r="Y1273" i="37"/>
  <c r="M1273" i="37"/>
  <c r="R1272" i="37"/>
  <c r="AS1273" i="37"/>
  <c r="AG1272" i="37"/>
  <c r="AJ1273" i="37"/>
  <c r="AF1273" i="37"/>
  <c r="L1273" i="37"/>
  <c r="U1273" i="37"/>
  <c r="O1272" i="37"/>
  <c r="AM1273" i="37"/>
  <c r="AH1272" i="37"/>
  <c r="AR1272" i="37"/>
  <c r="AC1273" i="37"/>
  <c r="S1272" i="37"/>
  <c r="AQ1273" i="37"/>
  <c r="AP1272" i="37"/>
  <c r="H1273" i="37"/>
  <c r="AK1273" i="37"/>
  <c r="U690" i="37"/>
  <c r="AJ690" i="37"/>
  <c r="AK690" i="37"/>
  <c r="L690" i="37"/>
  <c r="Q690" i="37"/>
  <c r="AD690" i="37"/>
  <c r="V690" i="37"/>
  <c r="Y690" i="37"/>
  <c r="W690" i="37"/>
  <c r="AO690" i="37"/>
  <c r="Z690" i="37"/>
  <c r="AA690" i="37"/>
  <c r="N690" i="37"/>
  <c r="AR690" i="37"/>
  <c r="AQ690" i="37"/>
  <c r="P690" i="37"/>
  <c r="R690" i="37"/>
  <c r="I690" i="37"/>
  <c r="AT690" i="37"/>
  <c r="AB690" i="37"/>
  <c r="AI690" i="37"/>
  <c r="K690" i="37"/>
  <c r="M690" i="37"/>
  <c r="H690" i="37"/>
  <c r="AN690" i="37"/>
  <c r="AE690" i="37"/>
  <c r="T690" i="37"/>
  <c r="AG690" i="37"/>
  <c r="O690" i="37"/>
  <c r="AL690" i="37"/>
  <c r="S690" i="37"/>
  <c r="AP690" i="37"/>
  <c r="X690" i="37"/>
  <c r="J690" i="37"/>
  <c r="E108" i="39" a="1"/>
  <c r="L841" i="37"/>
  <c r="L842" i="37" s="1"/>
  <c r="G787" i="37"/>
  <c r="G820" i="37" s="1"/>
  <c r="N841" i="37"/>
  <c r="N842" i="37" s="1"/>
  <c r="J840" i="37"/>
  <c r="J841" i="37" s="1"/>
  <c r="J842" i="37" s="1"/>
  <c r="J803" i="37"/>
  <c r="J850" i="37" a="1"/>
  <c r="J850" i="37" s="1"/>
  <c r="O850" i="37" s="1"/>
  <c r="I788" i="37"/>
  <c r="I821" i="37" s="1"/>
  <c r="G791" i="37"/>
  <c r="G824" i="37" s="1"/>
  <c r="G135" i="37"/>
  <c r="K135" i="37"/>
  <c r="H135" i="37"/>
  <c r="N135" i="37"/>
  <c r="O135" i="37"/>
  <c r="I135" i="37"/>
  <c r="M135" i="37"/>
  <c r="J135" i="37"/>
  <c r="P135" i="37"/>
  <c r="K179" i="37"/>
  <c r="I179" i="37"/>
  <c r="N179" i="37"/>
  <c r="P179" i="37"/>
  <c r="L179" i="37"/>
  <c r="O179" i="37"/>
  <c r="J179" i="37"/>
  <c r="H179" i="37"/>
  <c r="M179" i="37"/>
  <c r="P118" i="37"/>
  <c r="P436" i="37" s="1"/>
  <c r="N118" i="37"/>
  <c r="N436" i="37" s="1"/>
  <c r="J118" i="37"/>
  <c r="O118" i="37"/>
  <c r="O436" i="37" s="1"/>
  <c r="K118" i="37"/>
  <c r="G118" i="37"/>
  <c r="L118" i="37"/>
  <c r="L436" i="37" s="1"/>
  <c r="I118" i="37"/>
  <c r="H118" i="37"/>
  <c r="O132" i="37"/>
  <c r="P132" i="37"/>
  <c r="M132" i="37"/>
  <c r="L132" i="37"/>
  <c r="I132" i="37"/>
  <c r="N132" i="37"/>
  <c r="K132" i="37"/>
  <c r="J132" i="37"/>
  <c r="H132" i="37"/>
  <c r="G132" i="37"/>
  <c r="M269" i="37"/>
  <c r="K269" i="37"/>
  <c r="N269" i="37"/>
  <c r="O269" i="37"/>
  <c r="I269" i="37"/>
  <c r="P269" i="37"/>
  <c r="G269" i="37"/>
  <c r="H269" i="37"/>
  <c r="L269" i="37"/>
  <c r="P248" i="37"/>
  <c r="H248" i="37"/>
  <c r="H840" i="37"/>
  <c r="H841" i="37" s="1"/>
  <c r="H842" i="37" s="1"/>
  <c r="H803" i="37"/>
  <c r="H846" i="37" a="1"/>
  <c r="H846" i="37" s="1"/>
  <c r="J248" i="37"/>
  <c r="N248" i="37"/>
  <c r="G248" i="37"/>
  <c r="M248" i="37"/>
  <c r="I248" i="37"/>
  <c r="L248" i="37"/>
  <c r="O248" i="37"/>
  <c r="K53" i="37"/>
  <c r="P53" i="37"/>
  <c r="J53" i="37"/>
  <c r="L53" i="37"/>
  <c r="N53" i="37"/>
  <c r="G53" i="37"/>
  <c r="M53" i="37"/>
  <c r="O53" i="37"/>
  <c r="I53" i="37"/>
  <c r="H53" i="37"/>
  <c r="G177" i="37" a="1"/>
  <c r="G161" i="37" a="1"/>
  <c r="K68" i="37"/>
  <c r="I68" i="37"/>
  <c r="M68" i="37"/>
  <c r="J68" i="37"/>
  <c r="L68" i="37"/>
  <c r="N68" i="37"/>
  <c r="O68" i="37"/>
  <c r="H68" i="37"/>
  <c r="G68" i="37"/>
  <c r="P68" i="37"/>
  <c r="G257" i="37" a="1"/>
  <c r="G254" i="37" a="1"/>
  <c r="L56" i="37"/>
  <c r="M56" i="37"/>
  <c r="G56" i="37"/>
  <c r="H56" i="37"/>
  <c r="K56" i="37"/>
  <c r="J56" i="37"/>
  <c r="O56" i="37"/>
  <c r="I56" i="37"/>
  <c r="P56" i="37"/>
  <c r="N56" i="37"/>
  <c r="O122" i="37"/>
  <c r="G122" i="37"/>
  <c r="P122" i="37"/>
  <c r="I122" i="37"/>
  <c r="L122" i="37"/>
  <c r="N122" i="37"/>
  <c r="M122" i="37"/>
  <c r="H122" i="37"/>
  <c r="J122" i="37"/>
  <c r="K122" i="37"/>
  <c r="G65" i="37"/>
  <c r="N65" i="37"/>
  <c r="M65" i="37"/>
  <c r="H65" i="37"/>
  <c r="K65" i="37"/>
  <c r="P65" i="37"/>
  <c r="I65" i="37"/>
  <c r="O65" i="37"/>
  <c r="J65" i="37"/>
  <c r="L65" i="37"/>
  <c r="G176" i="37" a="1"/>
  <c r="G160" i="37" a="1"/>
  <c r="G123" i="37" a="1"/>
  <c r="G114" i="37" a="1"/>
  <c r="G59" i="37" l="1" a="1"/>
  <c r="M165" i="37"/>
  <c r="J165" i="37"/>
  <c r="L165" i="37"/>
  <c r="N165" i="37"/>
  <c r="I165" i="37"/>
  <c r="G165" i="37"/>
  <c r="K165" i="37"/>
  <c r="H266" i="37"/>
  <c r="P266" i="37"/>
  <c r="O266" i="37"/>
  <c r="H165" i="37"/>
  <c r="O165" i="37"/>
  <c r="G266" i="37"/>
  <c r="M266" i="37"/>
  <c r="L266" i="37"/>
  <c r="J266" i="37"/>
  <c r="N266" i="37"/>
  <c r="I266" i="37"/>
  <c r="G164" i="37"/>
  <c r="I164" i="37"/>
  <c r="N164" i="37"/>
  <c r="O164" i="37"/>
  <c r="J164" i="37"/>
  <c r="K164" i="37"/>
  <c r="M164" i="37"/>
  <c r="P164" i="37"/>
  <c r="L164" i="37"/>
  <c r="H164" i="37"/>
  <c r="G698" i="37" a="1"/>
  <c r="G698" i="37" s="1"/>
  <c r="E112" i="39"/>
  <c r="E113" i="39"/>
  <c r="E109" i="39"/>
  <c r="E110" i="39"/>
  <c r="E111" i="39"/>
  <c r="E108" i="39"/>
  <c r="L870" i="37"/>
  <c r="L928" i="37" s="1"/>
  <c r="L869" i="37"/>
  <c r="L927" i="37" s="1"/>
  <c r="L868" i="37"/>
  <c r="L926" i="37" s="1"/>
  <c r="I840" i="37"/>
  <c r="I841" i="37" s="1"/>
  <c r="I842" i="37" s="1"/>
  <c r="I846" i="37" a="1"/>
  <c r="I846" i="37" s="1"/>
  <c r="I803" i="37"/>
  <c r="G803" i="37"/>
  <c r="G840" i="37"/>
  <c r="G846" i="37" a="1"/>
  <c r="G846" i="37" s="1"/>
  <c r="G858" i="37"/>
  <c r="G856" i="37"/>
  <c r="G860" i="37"/>
  <c r="G859" i="37"/>
  <c r="G861" i="37"/>
  <c r="G857" i="37"/>
  <c r="H114" i="37"/>
  <c r="L114" i="37"/>
  <c r="G114" i="37"/>
  <c r="K114" i="37"/>
  <c r="P114" i="37"/>
  <c r="I114" i="37"/>
  <c r="N114" i="37"/>
  <c r="M114" i="37"/>
  <c r="J114" i="37"/>
  <c r="O114" i="37"/>
  <c r="P254" i="37"/>
  <c r="M254" i="37"/>
  <c r="G254" i="37"/>
  <c r="J254" i="37"/>
  <c r="L254" i="37"/>
  <c r="H254" i="37"/>
  <c r="N254" i="37"/>
  <c r="K254" i="37"/>
  <c r="O254" i="37"/>
  <c r="I254" i="37"/>
  <c r="N123" i="37"/>
  <c r="L123" i="37"/>
  <c r="O123" i="37"/>
  <c r="H123" i="37"/>
  <c r="K123" i="37"/>
  <c r="I123" i="37"/>
  <c r="J123" i="37"/>
  <c r="M123" i="37"/>
  <c r="P123" i="37"/>
  <c r="G123" i="37"/>
  <c r="I257" i="37"/>
  <c r="O257" i="37"/>
  <c r="J257" i="37"/>
  <c r="H257" i="37"/>
  <c r="L257" i="37"/>
  <c r="P257" i="37"/>
  <c r="N257" i="37"/>
  <c r="K257" i="37"/>
  <c r="M257" i="37"/>
  <c r="G257" i="37"/>
  <c r="K161" i="37"/>
  <c r="L161" i="37"/>
  <c r="H161" i="37"/>
  <c r="J161" i="37"/>
  <c r="I161" i="37"/>
  <c r="P161" i="37"/>
  <c r="M161" i="37"/>
  <c r="O161" i="37"/>
  <c r="G161" i="37"/>
  <c r="N161" i="37"/>
  <c r="H160" i="37"/>
  <c r="I160" i="37"/>
  <c r="P160" i="37"/>
  <c r="G160" i="37"/>
  <c r="J160" i="37"/>
  <c r="K160" i="37"/>
  <c r="N160" i="37"/>
  <c r="L160" i="37"/>
  <c r="O160" i="37"/>
  <c r="M160" i="37"/>
  <c r="P176" i="37"/>
  <c r="J176" i="37"/>
  <c r="I176" i="37"/>
  <c r="N176" i="37"/>
  <c r="H176" i="37"/>
  <c r="G176" i="37"/>
  <c r="L176" i="37"/>
  <c r="O176" i="37"/>
  <c r="M176" i="37"/>
  <c r="G126" i="37" a="1"/>
  <c r="K176" i="37"/>
  <c r="H177" i="37"/>
  <c r="G177" i="37"/>
  <c r="L177" i="37"/>
  <c r="I177" i="37"/>
  <c r="O177" i="37"/>
  <c r="P177" i="37"/>
  <c r="J177" i="37"/>
  <c r="N177" i="37"/>
  <c r="M177" i="37"/>
  <c r="K177" i="37"/>
  <c r="H59" i="37" l="1"/>
  <c r="L59" i="37"/>
  <c r="P59" i="37"/>
  <c r="I59" i="37"/>
  <c r="M59" i="37"/>
  <c r="J59" i="37"/>
  <c r="N59" i="37"/>
  <c r="G59" i="37"/>
  <c r="K59" i="37"/>
  <c r="O59" i="37"/>
  <c r="G260" i="37" a="1"/>
  <c r="K260" i="37" s="1"/>
  <c r="G168" i="37" a="1"/>
  <c r="AE698" i="37"/>
  <c r="AK698" i="37"/>
  <c r="Q698" i="37"/>
  <c r="K698" i="37"/>
  <c r="AI698" i="37"/>
  <c r="R698" i="37"/>
  <c r="AA698" i="37"/>
  <c r="T698" i="37"/>
  <c r="AL698" i="37"/>
  <c r="AC698" i="37"/>
  <c r="Z698" i="37"/>
  <c r="AM698" i="37"/>
  <c r="AF698" i="37"/>
  <c r="AS698" i="37"/>
  <c r="W698" i="37"/>
  <c r="X698" i="37"/>
  <c r="AO698" i="37"/>
  <c r="AN698" i="37"/>
  <c r="AH698" i="37"/>
  <c r="H698" i="37"/>
  <c r="AR698" i="37"/>
  <c r="V698" i="37"/>
  <c r="U698" i="37"/>
  <c r="M698" i="37"/>
  <c r="AT698" i="37"/>
  <c r="L698" i="37"/>
  <c r="S698" i="37"/>
  <c r="AD698" i="37"/>
  <c r="AJ698" i="37"/>
  <c r="AQ698" i="37"/>
  <c r="J698" i="37"/>
  <c r="P698" i="37"/>
  <c r="O698" i="37"/>
  <c r="AG698" i="37"/>
  <c r="Y698" i="37"/>
  <c r="AP698" i="37"/>
  <c r="I698" i="37"/>
  <c r="AB698" i="37"/>
  <c r="N698" i="37"/>
  <c r="G841" i="37"/>
  <c r="G842" i="37" s="1"/>
  <c r="G870" i="37" s="1"/>
  <c r="G928" i="37" s="1"/>
  <c r="E102" i="39" a="1"/>
  <c r="G848" i="37" a="1"/>
  <c r="H848" i="37" s="1"/>
  <c r="G121" i="37" a="1"/>
  <c r="O121" i="37" s="1"/>
  <c r="G127" i="37" a="1"/>
  <c r="I127" i="37" s="1"/>
  <c r="G287" i="37"/>
  <c r="G282" i="37"/>
  <c r="G286" i="37"/>
  <c r="G283" i="37"/>
  <c r="G284" i="37"/>
  <c r="P126" i="37"/>
  <c r="I126" i="37"/>
  <c r="M126" i="37"/>
  <c r="J126" i="37"/>
  <c r="L126" i="37"/>
  <c r="K126" i="37"/>
  <c r="H126" i="37"/>
  <c r="O126" i="37"/>
  <c r="N126" i="37"/>
  <c r="G126" i="37"/>
  <c r="G703" i="37" l="1"/>
  <c r="J260" i="37"/>
  <c r="L260" i="37"/>
  <c r="I260" i="37"/>
  <c r="P260" i="37"/>
  <c r="N260" i="37"/>
  <c r="M260" i="37"/>
  <c r="G260" i="37"/>
  <c r="H260" i="37"/>
  <c r="O260" i="37"/>
  <c r="G168" i="37"/>
  <c r="O169" i="37"/>
  <c r="I168" i="37"/>
  <c r="J169" i="37"/>
  <c r="N168" i="37"/>
  <c r="K168" i="37"/>
  <c r="P168" i="37"/>
  <c r="P169" i="37"/>
  <c r="H169" i="37"/>
  <c r="I169" i="37"/>
  <c r="M168" i="37"/>
  <c r="H168" i="37"/>
  <c r="K169" i="37"/>
  <c r="L169" i="37"/>
  <c r="M169" i="37"/>
  <c r="G169" i="37"/>
  <c r="L168" i="37"/>
  <c r="J168" i="37"/>
  <c r="N169" i="37"/>
  <c r="O168" i="37"/>
  <c r="G1276" i="37" a="1"/>
  <c r="R1276" i="37" s="1"/>
  <c r="G1277" i="37" a="1"/>
  <c r="O1277" i="37" s="1"/>
  <c r="G702" i="37"/>
  <c r="G711" i="37" a="1"/>
  <c r="AC711" i="37" s="1"/>
  <c r="G868" i="37"/>
  <c r="G926" i="37" s="1"/>
  <c r="G869" i="37"/>
  <c r="G927" i="37" s="1"/>
  <c r="E105" i="39"/>
  <c r="E106" i="39"/>
  <c r="E104" i="39"/>
  <c r="E102" i="39"/>
  <c r="E107" i="39"/>
  <c r="E103" i="39"/>
  <c r="E35" i="39"/>
  <c r="E34" i="39"/>
  <c r="I848" i="37"/>
  <c r="G865" i="37" s="1"/>
  <c r="G848" i="37"/>
  <c r="K121" i="37"/>
  <c r="I121" i="37"/>
  <c r="P121" i="37"/>
  <c r="G121" i="37"/>
  <c r="N121" i="37"/>
  <c r="L121" i="37"/>
  <c r="H121" i="37"/>
  <c r="J121" i="37"/>
  <c r="M121" i="37"/>
  <c r="K127" i="37"/>
  <c r="G62" i="37" a="1"/>
  <c r="O62" i="37" s="1"/>
  <c r="O71" i="37" s="1"/>
  <c r="O127" i="37"/>
  <c r="M127" i="37"/>
  <c r="P127" i="37"/>
  <c r="G127" i="37"/>
  <c r="L127" i="37"/>
  <c r="J127" i="37"/>
  <c r="H127" i="37"/>
  <c r="N127" i="37"/>
  <c r="E75" i="39" l="1" a="1"/>
  <c r="E76" i="39" s="1"/>
  <c r="G263" i="37" a="1"/>
  <c r="G173" i="37" a="1"/>
  <c r="G172" i="37" a="1"/>
  <c r="AK1277" i="37"/>
  <c r="AR1277" i="37"/>
  <c r="K1277" i="37"/>
  <c r="H1277" i="37"/>
  <c r="Y1277" i="37"/>
  <c r="AB1277" i="37"/>
  <c r="AH1277" i="37"/>
  <c r="M1277" i="37"/>
  <c r="P1276" i="37"/>
  <c r="N1277" i="37"/>
  <c r="Z1277" i="37"/>
  <c r="AD1276" i="37"/>
  <c r="N1276" i="37"/>
  <c r="AQ1276" i="37"/>
  <c r="AS1276" i="37"/>
  <c r="AF1276" i="37"/>
  <c r="T1276" i="37"/>
  <c r="I1276" i="37"/>
  <c r="AO1276" i="37"/>
  <c r="Z1276" i="37"/>
  <c r="AT1276" i="37"/>
  <c r="W1276" i="37"/>
  <c r="AN1276" i="37"/>
  <c r="AB1276" i="37"/>
  <c r="U1276" i="37"/>
  <c r="AH1276" i="37"/>
  <c r="Q1276" i="37"/>
  <c r="K1276" i="37"/>
  <c r="S1276" i="37"/>
  <c r="AI1276" i="37"/>
  <c r="J1276" i="37"/>
  <c r="AR1276" i="37"/>
  <c r="AA1276" i="37"/>
  <c r="AC1276" i="37"/>
  <c r="AM1276" i="37"/>
  <c r="Y1276" i="37"/>
  <c r="AP1276" i="37"/>
  <c r="H1276" i="37"/>
  <c r="AK1276" i="37"/>
  <c r="V1276" i="37"/>
  <c r="G1276" i="37"/>
  <c r="O1276" i="37"/>
  <c r="M1276" i="37"/>
  <c r="AJ1276" i="37"/>
  <c r="AL1276" i="37"/>
  <c r="X1276" i="37"/>
  <c r="L1276" i="37"/>
  <c r="AE1276" i="37"/>
  <c r="AG1276" i="37"/>
  <c r="AE1277" i="37"/>
  <c r="T1277" i="37"/>
  <c r="W1277" i="37"/>
  <c r="AP1277" i="37"/>
  <c r="U1277" i="37"/>
  <c r="P1277" i="37"/>
  <c r="S1277" i="37"/>
  <c r="X1277" i="37"/>
  <c r="AC1277" i="37"/>
  <c r="Q1277" i="37"/>
  <c r="AL1277" i="37"/>
  <c r="R1277" i="37"/>
  <c r="J1277" i="37"/>
  <c r="AF1277" i="37"/>
  <c r="AI1277" i="37"/>
  <c r="AD1277" i="37"/>
  <c r="AO1277" i="37"/>
  <c r="AG1277" i="37"/>
  <c r="AS1277" i="37"/>
  <c r="AA1277" i="37"/>
  <c r="I1277" i="37"/>
  <c r="G1277" i="37"/>
  <c r="AT1277" i="37"/>
  <c r="L1277" i="37"/>
  <c r="V1277" i="37"/>
  <c r="AM1277" i="37"/>
  <c r="AQ1277" i="37"/>
  <c r="AJ1277" i="37"/>
  <c r="AN1277" i="37"/>
  <c r="J711" i="37"/>
  <c r="AL711" i="37"/>
  <c r="Q711" i="37"/>
  <c r="AE711" i="37"/>
  <c r="AP711" i="37"/>
  <c r="AI711" i="37"/>
  <c r="T711" i="37"/>
  <c r="H711" i="37"/>
  <c r="K711" i="37"/>
  <c r="AJ711" i="37"/>
  <c r="AR711" i="37"/>
  <c r="AQ711" i="37"/>
  <c r="AT711" i="37"/>
  <c r="AG711" i="37"/>
  <c r="N711" i="37"/>
  <c r="AF711" i="37"/>
  <c r="AN711" i="37"/>
  <c r="R711" i="37"/>
  <c r="L711" i="37"/>
  <c r="AD711" i="37"/>
  <c r="AH711" i="37"/>
  <c r="Z711" i="37"/>
  <c r="U711" i="37"/>
  <c r="AS711" i="37"/>
  <c r="AM711" i="37"/>
  <c r="AK711" i="37"/>
  <c r="M711" i="37"/>
  <c r="AO711" i="37"/>
  <c r="G711" i="37"/>
  <c r="AB711" i="37"/>
  <c r="Y711" i="37"/>
  <c r="AA711" i="37"/>
  <c r="V711" i="37"/>
  <c r="X711" i="37"/>
  <c r="I711" i="37"/>
  <c r="S711" i="37"/>
  <c r="W711" i="37"/>
  <c r="P711" i="37"/>
  <c r="O711" i="37"/>
  <c r="G866" i="37"/>
  <c r="G867" i="37"/>
  <c r="L848" i="37" a="1"/>
  <c r="L848" i="37" s="1"/>
  <c r="K62" i="37"/>
  <c r="K71" i="37" s="1"/>
  <c r="I62" i="37"/>
  <c r="I71" i="37" s="1"/>
  <c r="G62" i="37"/>
  <c r="G71" i="37" s="1"/>
  <c r="M62" i="37"/>
  <c r="M71" i="37" s="1"/>
  <c r="P62" i="37"/>
  <c r="P71" i="37" s="1"/>
  <c r="L62" i="37"/>
  <c r="L71" i="37" s="1"/>
  <c r="N62" i="37"/>
  <c r="N71" i="37" s="1"/>
  <c r="H62" i="37"/>
  <c r="H71" i="37" s="1"/>
  <c r="J62" i="37"/>
  <c r="J71" i="37" s="1"/>
  <c r="G125" i="37" a="1"/>
  <c r="K125" i="37" s="1"/>
  <c r="E75" i="39" l="1"/>
  <c r="E77" i="39"/>
  <c r="M263" i="37"/>
  <c r="M272" i="37" s="1"/>
  <c r="N263" i="37"/>
  <c r="N272" i="37" s="1"/>
  <c r="O263" i="37"/>
  <c r="O272" i="37" s="1"/>
  <c r="P263" i="37"/>
  <c r="P272" i="37" s="1"/>
  <c r="H263" i="37"/>
  <c r="H272" i="37" s="1"/>
  <c r="K263" i="37"/>
  <c r="K272" i="37" s="1"/>
  <c r="I263" i="37"/>
  <c r="I272" i="37" s="1"/>
  <c r="G263" i="37"/>
  <c r="G272" i="37" s="1"/>
  <c r="L263" i="37"/>
  <c r="L272" i="37" s="1"/>
  <c r="J263" i="37"/>
  <c r="J272" i="37" s="1"/>
  <c r="G172" i="37"/>
  <c r="J172" i="37"/>
  <c r="O172" i="37"/>
  <c r="L172" i="37"/>
  <c r="H172" i="37"/>
  <c r="M172" i="37"/>
  <c r="P172" i="37"/>
  <c r="K172" i="37"/>
  <c r="I172" i="37"/>
  <c r="N172" i="37"/>
  <c r="G173" i="37"/>
  <c r="G184" i="37" s="1"/>
  <c r="M173" i="37"/>
  <c r="M184" i="37" s="1"/>
  <c r="P173" i="37"/>
  <c r="P184" i="37" s="1"/>
  <c r="K173" i="37"/>
  <c r="K184" i="37" s="1"/>
  <c r="N173" i="37"/>
  <c r="N184" i="37" s="1"/>
  <c r="H173" i="37"/>
  <c r="H184" i="37" s="1"/>
  <c r="O173" i="37"/>
  <c r="O184" i="37" s="1"/>
  <c r="I173" i="37"/>
  <c r="I184" i="37" s="1"/>
  <c r="L173" i="37"/>
  <c r="L184" i="37" s="1"/>
  <c r="J173" i="37"/>
  <c r="J184" i="37" s="1"/>
  <c r="G1292" i="37" a="1"/>
  <c r="P1292" i="37" s="1"/>
  <c r="G720" i="37" a="1"/>
  <c r="Y720" i="37" s="1"/>
  <c r="M888" i="37" s="1"/>
  <c r="M921" i="37" s="1"/>
  <c r="G719" i="37" a="1"/>
  <c r="U719" i="37" s="1"/>
  <c r="G1291" i="37" a="1"/>
  <c r="AG1291" i="37" s="1"/>
  <c r="E78" i="39" a="1"/>
  <c r="E81" i="39" s="1"/>
  <c r="G1194" i="37" a="1"/>
  <c r="G1199" i="37" s="1"/>
  <c r="M848" i="37"/>
  <c r="L866" i="37" s="1"/>
  <c r="N848" i="37"/>
  <c r="M125" i="37"/>
  <c r="N125" i="37"/>
  <c r="I125" i="37"/>
  <c r="L125" i="37"/>
  <c r="H125" i="37"/>
  <c r="G74" i="37" a="1"/>
  <c r="H74" i="37" s="1"/>
  <c r="O125" i="37"/>
  <c r="G125" i="37"/>
  <c r="P125" i="37"/>
  <c r="J125" i="37"/>
  <c r="G351" i="37" l="1" a="1"/>
  <c r="P351" i="37" s="1"/>
  <c r="G439" i="37" a="1"/>
  <c r="H439" i="37" s="1"/>
  <c r="G275" i="37" a="1"/>
  <c r="K275" i="37" s="1"/>
  <c r="K171" i="37"/>
  <c r="K183" i="37"/>
  <c r="K436" i="37" s="1"/>
  <c r="L171" i="37"/>
  <c r="L183" i="37"/>
  <c r="L182" i="37" s="1"/>
  <c r="G188" i="37" a="1"/>
  <c r="P183" i="37"/>
  <c r="P182" i="37" s="1"/>
  <c r="P171" i="37"/>
  <c r="O183" i="37"/>
  <c r="O182" i="37" s="1"/>
  <c r="O171" i="37"/>
  <c r="N183" i="37"/>
  <c r="N182" i="37" s="1"/>
  <c r="N171" i="37"/>
  <c r="M171" i="37"/>
  <c r="M183" i="37"/>
  <c r="M182" i="37" s="1"/>
  <c r="J171" i="37"/>
  <c r="J183" i="37"/>
  <c r="J436" i="37" s="1"/>
  <c r="I171" i="37"/>
  <c r="I183" i="37"/>
  <c r="I436" i="37" s="1"/>
  <c r="H183" i="37"/>
  <c r="H436" i="37" s="1"/>
  <c r="H171" i="37"/>
  <c r="G183" i="37"/>
  <c r="G436" i="37" s="1"/>
  <c r="G171" i="37"/>
  <c r="AJ719" i="37"/>
  <c r="AI719" i="37"/>
  <c r="AA719" i="37"/>
  <c r="H886" i="37" s="1"/>
  <c r="H919" i="37" s="1"/>
  <c r="I719" i="37"/>
  <c r="H891" i="37" s="1"/>
  <c r="H924" i="37" s="1"/>
  <c r="V719" i="37"/>
  <c r="H885" i="37" s="1"/>
  <c r="H918" i="37" s="1"/>
  <c r="AP719" i="37"/>
  <c r="R719" i="37"/>
  <c r="G891" i="37" s="1"/>
  <c r="G924" i="37" s="1"/>
  <c r="AK719" i="37"/>
  <c r="N719" i="37"/>
  <c r="G885" i="37" s="1"/>
  <c r="G918" i="37" s="1"/>
  <c r="AS719" i="37"/>
  <c r="O719" i="37"/>
  <c r="H889" i="37" s="1"/>
  <c r="H922" i="37" s="1"/>
  <c r="AH719" i="37"/>
  <c r="G719" i="37"/>
  <c r="H890" i="37" s="1"/>
  <c r="H923" i="37" s="1"/>
  <c r="T719" i="37"/>
  <c r="J882" i="37" s="1"/>
  <c r="J940" i="37" s="1" a="1"/>
  <c r="J940" i="37" s="1"/>
  <c r="AQ719" i="37"/>
  <c r="AM719" i="37"/>
  <c r="AB719" i="37"/>
  <c r="I886" i="37" s="1"/>
  <c r="I919" i="37" s="1"/>
  <c r="P719" i="37"/>
  <c r="H892" i="37" s="1"/>
  <c r="H925" i="37" s="1"/>
  <c r="K719" i="37"/>
  <c r="G883" i="37" s="1"/>
  <c r="G916" i="37" s="1"/>
  <c r="AT719" i="37"/>
  <c r="AG719" i="37"/>
  <c r="W719" i="37"/>
  <c r="G888" i="37" s="1"/>
  <c r="G921" i="37" s="1"/>
  <c r="AR719" i="37"/>
  <c r="L719" i="37"/>
  <c r="G892" i="37" s="1"/>
  <c r="G925" i="37" s="1"/>
  <c r="Y719" i="37"/>
  <c r="H888" i="37" s="1"/>
  <c r="H921" i="37" s="1"/>
  <c r="AN719" i="37"/>
  <c r="AC719" i="37"/>
  <c r="Z719" i="37"/>
  <c r="H887" i="37" s="1"/>
  <c r="H920" i="37" s="1"/>
  <c r="X719" i="37"/>
  <c r="AF719" i="37"/>
  <c r="H719" i="37"/>
  <c r="H884" i="37" s="1"/>
  <c r="H917" i="37" s="1"/>
  <c r="S719" i="37"/>
  <c r="H883" i="37" s="1"/>
  <c r="H916" i="37" s="1"/>
  <c r="M719" i="37"/>
  <c r="G889" i="37" s="1"/>
  <c r="G922" i="37" s="1"/>
  <c r="J719" i="37"/>
  <c r="G890" i="37" s="1"/>
  <c r="G923" i="37" s="1"/>
  <c r="Q719" i="37"/>
  <c r="H893" i="37" s="1"/>
  <c r="H926" i="37" s="1"/>
  <c r="AD719" i="37"/>
  <c r="G884" i="37" s="1"/>
  <c r="G917" i="37" s="1"/>
  <c r="AO719" i="37"/>
  <c r="AL719" i="37"/>
  <c r="AE719" i="37"/>
  <c r="G887" i="37" s="1"/>
  <c r="G920" i="37" s="1"/>
  <c r="AE720" i="37"/>
  <c r="L887" i="37" s="1"/>
  <c r="L920" i="37" s="1"/>
  <c r="AO720" i="37"/>
  <c r="AH720" i="37"/>
  <c r="T720" i="37"/>
  <c r="O882" i="37" s="1"/>
  <c r="O935" i="37" s="1"/>
  <c r="O936" i="37" s="1"/>
  <c r="AD720" i="37"/>
  <c r="L884" i="37" s="1"/>
  <c r="L917" i="37" s="1"/>
  <c r="AF720" i="37"/>
  <c r="M720" i="37"/>
  <c r="L889" i="37" s="1"/>
  <c r="L922" i="37" s="1"/>
  <c r="AQ720" i="37"/>
  <c r="G720" i="37"/>
  <c r="M890" i="37" s="1"/>
  <c r="M923" i="37" s="1"/>
  <c r="AR720" i="37"/>
  <c r="AS720" i="37"/>
  <c r="AI720" i="37"/>
  <c r="AG720" i="37"/>
  <c r="AK720" i="37"/>
  <c r="AC720" i="37"/>
  <c r="AT720" i="37"/>
  <c r="S720" i="37"/>
  <c r="M883" i="37" s="1"/>
  <c r="M916" i="37" s="1"/>
  <c r="X720" i="37"/>
  <c r="W720" i="37"/>
  <c r="L886" i="37" s="1"/>
  <c r="L919" i="37" s="1"/>
  <c r="N720" i="37"/>
  <c r="L885" i="37" s="1"/>
  <c r="L918" i="37" s="1"/>
  <c r="AH1292" i="37"/>
  <c r="AC1292" i="37"/>
  <c r="W1292" i="37"/>
  <c r="AN1292" i="37"/>
  <c r="Y1292" i="37"/>
  <c r="AQ1292" i="37"/>
  <c r="M1292" i="37"/>
  <c r="G1292" i="37"/>
  <c r="AP1292" i="37"/>
  <c r="Q1292" i="37"/>
  <c r="AD1292" i="37"/>
  <c r="AF1292" i="37"/>
  <c r="N1292" i="37"/>
  <c r="AO1292" i="37"/>
  <c r="T1292" i="37"/>
  <c r="AJ1292" i="37"/>
  <c r="V1292" i="37"/>
  <c r="AM1292" i="37"/>
  <c r="S1292" i="37"/>
  <c r="AL1292" i="37"/>
  <c r="Z1292" i="37"/>
  <c r="AT1292" i="37"/>
  <c r="K1292" i="37"/>
  <c r="X1292" i="37"/>
  <c r="AI1292" i="37"/>
  <c r="AA1292" i="37"/>
  <c r="I1292" i="37"/>
  <c r="L1292" i="37"/>
  <c r="AR1292" i="37"/>
  <c r="O1292" i="37"/>
  <c r="J1292" i="37"/>
  <c r="AG1292" i="37"/>
  <c r="H1292" i="37"/>
  <c r="AS1292" i="37"/>
  <c r="AK1292" i="37"/>
  <c r="R1292" i="37"/>
  <c r="AB1292" i="37"/>
  <c r="AE1292" i="37"/>
  <c r="U1292" i="37"/>
  <c r="L865" i="37"/>
  <c r="Z1291" i="37"/>
  <c r="AR1291" i="37"/>
  <c r="T1291" i="37"/>
  <c r="AQ1291" i="37"/>
  <c r="R1291" i="37"/>
  <c r="V1291" i="37"/>
  <c r="AS1291" i="37"/>
  <c r="R720" i="37"/>
  <c r="L891" i="37" s="1"/>
  <c r="L924" i="37" s="1"/>
  <c r="AB720" i="37"/>
  <c r="N886" i="37" s="1"/>
  <c r="N919" i="37" s="1"/>
  <c r="AP720" i="37"/>
  <c r="Z720" i="37"/>
  <c r="M887" i="37" s="1"/>
  <c r="M920" i="37" s="1"/>
  <c r="K720" i="37"/>
  <c r="L883" i="37" s="1"/>
  <c r="L916" i="37" s="1"/>
  <c r="H720" i="37"/>
  <c r="M884" i="37" s="1"/>
  <c r="M917" i="37" s="1"/>
  <c r="P720" i="37"/>
  <c r="M892" i="37" s="1"/>
  <c r="M925" i="37" s="1"/>
  <c r="AL720" i="37"/>
  <c r="I720" i="37"/>
  <c r="M891" i="37" s="1"/>
  <c r="M924" i="37" s="1"/>
  <c r="AM720" i="37"/>
  <c r="G1291" i="37"/>
  <c r="J1291" i="37"/>
  <c r="H1291" i="37"/>
  <c r="V720" i="37"/>
  <c r="M885" i="37" s="1"/>
  <c r="M918" i="37" s="1"/>
  <c r="U720" i="37"/>
  <c r="L882" i="37" s="1"/>
  <c r="J720" i="37"/>
  <c r="L890" i="37" s="1"/>
  <c r="AA720" i="37"/>
  <c r="M886" i="37" s="1"/>
  <c r="M919" i="37" s="1"/>
  <c r="O720" i="37"/>
  <c r="M889" i="37" s="1"/>
  <c r="M922" i="37" s="1"/>
  <c r="Q720" i="37"/>
  <c r="M893" i="37" s="1"/>
  <c r="M926" i="37" s="1"/>
  <c r="AN720" i="37"/>
  <c r="L720" i="37"/>
  <c r="L892" i="37" s="1"/>
  <c r="AJ720" i="37"/>
  <c r="AC1291" i="37"/>
  <c r="I1291" i="37"/>
  <c r="L1291" i="37"/>
  <c r="O1291" i="37"/>
  <c r="AB1291" i="37"/>
  <c r="AD1291" i="37"/>
  <c r="X1291" i="37"/>
  <c r="S1291" i="37"/>
  <c r="U1291" i="37"/>
  <c r="Q1291" i="37"/>
  <c r="AT1291" i="37"/>
  <c r="AN1291" i="37"/>
  <c r="AK1291" i="37"/>
  <c r="AI1291" i="37"/>
  <c r="AM1291" i="37"/>
  <c r="K1291" i="37"/>
  <c r="AP1291" i="37"/>
  <c r="Y1291" i="37"/>
  <c r="M1291" i="37"/>
  <c r="AA1291" i="37"/>
  <c r="AL1291" i="37"/>
  <c r="P1291" i="37"/>
  <c r="N1291" i="37"/>
  <c r="AO1291" i="37"/>
  <c r="AH1291" i="37"/>
  <c r="AF1291" i="37"/>
  <c r="AE1291" i="37"/>
  <c r="AJ1291" i="37"/>
  <c r="W1291" i="37"/>
  <c r="E78" i="39"/>
  <c r="E80" i="39"/>
  <c r="E83" i="39"/>
  <c r="E82" i="39"/>
  <c r="E79" i="39"/>
  <c r="G1198" i="37"/>
  <c r="G1197" i="37"/>
  <c r="G1194" i="37"/>
  <c r="G1195" i="37"/>
  <c r="L867" i="37"/>
  <c r="G1196" i="37"/>
  <c r="M74" i="37"/>
  <c r="K74" i="37"/>
  <c r="G74" i="37"/>
  <c r="J74" i="37"/>
  <c r="N74" i="37"/>
  <c r="P74" i="37"/>
  <c r="I74" i="37"/>
  <c r="O74" i="37"/>
  <c r="L74" i="37"/>
  <c r="G129" i="37" a="1"/>
  <c r="J129" i="37" s="1"/>
  <c r="J138" i="37" s="1"/>
  <c r="G882" i="37"/>
  <c r="H882" i="37"/>
  <c r="P275" i="37" l="1"/>
  <c r="O275" i="37"/>
  <c r="H275" i="37"/>
  <c r="M275" i="37"/>
  <c r="I275" i="37"/>
  <c r="J275" i="37"/>
  <c r="N275" i="37"/>
  <c r="O351" i="37"/>
  <c r="I351" i="37"/>
  <c r="J351" i="37"/>
  <c r="K351" i="37"/>
  <c r="H351" i="37"/>
  <c r="M351" i="37"/>
  <c r="L351" i="37"/>
  <c r="G351" i="37"/>
  <c r="N351" i="37"/>
  <c r="G275" i="37"/>
  <c r="L275" i="37"/>
  <c r="K439" i="37"/>
  <c r="L439" i="37"/>
  <c r="G439" i="37"/>
  <c r="M439" i="37"/>
  <c r="P439" i="37"/>
  <c r="O439" i="37"/>
  <c r="N439" i="37"/>
  <c r="J439" i="37"/>
  <c r="I439" i="37"/>
  <c r="I885" i="37"/>
  <c r="I918" i="37" s="1"/>
  <c r="G187" i="37" a="1"/>
  <c r="G182" i="37"/>
  <c r="J182" i="37"/>
  <c r="H182" i="37"/>
  <c r="K182" i="37"/>
  <c r="I182" i="37"/>
  <c r="M188" i="37"/>
  <c r="N188" i="37"/>
  <c r="I188" i="37"/>
  <c r="H188" i="37"/>
  <c r="K188" i="37"/>
  <c r="O188" i="37"/>
  <c r="L188" i="37"/>
  <c r="J188" i="37"/>
  <c r="P188" i="37"/>
  <c r="G188" i="37"/>
  <c r="N884" i="37"/>
  <c r="N917" i="37" s="1"/>
  <c r="I884" i="37"/>
  <c r="I917" i="37" s="1"/>
  <c r="N885" i="37"/>
  <c r="N918" i="37" s="1"/>
  <c r="J935" i="37"/>
  <c r="J936" i="37" s="1"/>
  <c r="J915" i="37"/>
  <c r="J898" i="37"/>
  <c r="G886" i="37"/>
  <c r="G919" i="37" s="1"/>
  <c r="N883" i="37"/>
  <c r="L888" i="37"/>
  <c r="L921" i="37" s="1"/>
  <c r="O898" i="37"/>
  <c r="L923" i="37"/>
  <c r="I883" i="37"/>
  <c r="O915" i="37"/>
  <c r="G1202" i="37" a="1"/>
  <c r="G1207" i="37" s="1"/>
  <c r="G1303" i="37" a="1"/>
  <c r="X1307" i="37" s="1"/>
  <c r="M882" i="37"/>
  <c r="M915" i="37" s="1"/>
  <c r="G1295" i="37" a="1"/>
  <c r="Z1295" i="37" s="1"/>
  <c r="L925" i="37"/>
  <c r="E84" i="39" a="1"/>
  <c r="G77" i="37" a="1"/>
  <c r="O77" i="37" s="1"/>
  <c r="G89" i="37" a="1"/>
  <c r="H89" i="37" s="1"/>
  <c r="I129" i="37"/>
  <c r="I138" i="37" s="1"/>
  <c r="H129" i="37"/>
  <c r="H138" i="37" s="1"/>
  <c r="N129" i="37"/>
  <c r="N138" i="37" s="1"/>
  <c r="K129" i="37"/>
  <c r="K138" i="37" s="1"/>
  <c r="L129" i="37"/>
  <c r="L138" i="37" s="1"/>
  <c r="O129" i="37"/>
  <c r="O138" i="37" s="1"/>
  <c r="M129" i="37"/>
  <c r="M138" i="37" s="1"/>
  <c r="P129" i="37"/>
  <c r="P138" i="37" s="1"/>
  <c r="G129" i="37"/>
  <c r="G138" i="37" s="1"/>
  <c r="L915" i="37"/>
  <c r="H898" i="37"/>
  <c r="H935" i="37"/>
  <c r="H936" i="37" s="1"/>
  <c r="H940" i="37" a="1"/>
  <c r="H940" i="37" s="1"/>
  <c r="H915" i="37"/>
  <c r="G915" i="37"/>
  <c r="G278" i="37" l="1" a="1"/>
  <c r="G278" i="37" s="1"/>
  <c r="G293" i="37" a="1"/>
  <c r="H293" i="37" s="1"/>
  <c r="G354" i="37" a="1"/>
  <c r="M354" i="37" s="1"/>
  <c r="G472" i="37" a="1"/>
  <c r="M472" i="37" s="1"/>
  <c r="I935" i="37"/>
  <c r="I936" i="37" s="1"/>
  <c r="G192" i="37" a="1"/>
  <c r="M192" i="37" s="1"/>
  <c r="G345" i="37" a="1"/>
  <c r="G187" i="37"/>
  <c r="J187" i="37"/>
  <c r="J186" i="37" s="1"/>
  <c r="H187" i="37"/>
  <c r="H186" i="37" s="1"/>
  <c r="I187" i="37"/>
  <c r="I186" i="37" s="1"/>
  <c r="K187" i="37"/>
  <c r="K186" i="37" s="1"/>
  <c r="M187" i="37"/>
  <c r="M186" i="37" s="1"/>
  <c r="P187" i="37"/>
  <c r="P186" i="37" s="1"/>
  <c r="O187" i="37"/>
  <c r="O186" i="37" s="1"/>
  <c r="N187" i="37"/>
  <c r="N186" i="37" s="1"/>
  <c r="L187" i="37"/>
  <c r="L186" i="37" s="1"/>
  <c r="N898" i="37"/>
  <c r="G898" i="37"/>
  <c r="N935" i="37"/>
  <c r="N936" i="37" s="1"/>
  <c r="G940" i="37" a="1"/>
  <c r="G940" i="37" s="1"/>
  <c r="G1204" i="37"/>
  <c r="L935" i="37"/>
  <c r="L936" i="37" s="1"/>
  <c r="G935" i="37"/>
  <c r="G936" i="37" s="1"/>
  <c r="N916" i="37"/>
  <c r="L948" i="37" s="1"/>
  <c r="L898" i="37"/>
  <c r="I898" i="37"/>
  <c r="I916" i="37"/>
  <c r="G947" i="37" s="1"/>
  <c r="G1202" i="37"/>
  <c r="G1203" i="37"/>
  <c r="I940" i="37" a="1"/>
  <c r="I940" i="37" s="1"/>
  <c r="M898" i="37"/>
  <c r="G1206" i="37"/>
  <c r="G1205" i="37"/>
  <c r="M935" i="37"/>
  <c r="M936" i="37" s="1"/>
  <c r="I1304" i="37"/>
  <c r="P1304" i="37"/>
  <c r="AK1304" i="37"/>
  <c r="G1303" i="37"/>
  <c r="AT1303" i="37"/>
  <c r="AF1304" i="37"/>
  <c r="O1306" i="37"/>
  <c r="R1308" i="37"/>
  <c r="AD1306" i="37"/>
  <c r="AG1308" i="37"/>
  <c r="I1306" i="37"/>
  <c r="AT1306" i="37"/>
  <c r="J1307" i="37"/>
  <c r="L1305" i="37"/>
  <c r="I1307" i="37"/>
  <c r="AN1307" i="37"/>
  <c r="AP1305" i="37"/>
  <c r="P1308" i="37"/>
  <c r="S1303" i="37"/>
  <c r="W1306" i="37"/>
  <c r="AA1307" i="37"/>
  <c r="AP1303" i="37"/>
  <c r="V1308" i="37"/>
  <c r="AP1307" i="37"/>
  <c r="X1306" i="37"/>
  <c r="AM1303" i="37"/>
  <c r="G1305" i="37"/>
  <c r="AN1306" i="37"/>
  <c r="N1303" i="37"/>
  <c r="AJ1307" i="37"/>
  <c r="X1304" i="37"/>
  <c r="N1304" i="37"/>
  <c r="AC1308" i="37"/>
  <c r="AP1304" i="37"/>
  <c r="K1307" i="37"/>
  <c r="AT1307" i="37"/>
  <c r="AC1303" i="37"/>
  <c r="AT1304" i="37"/>
  <c r="M1306" i="37"/>
  <c r="AK1306" i="37"/>
  <c r="AF1307" i="37"/>
  <c r="Q1303" i="37"/>
  <c r="AP1308" i="37"/>
  <c r="H1308" i="37"/>
  <c r="N1305" i="37"/>
  <c r="AM1307" i="37"/>
  <c r="S1304" i="37"/>
  <c r="H1307" i="37"/>
  <c r="AI1303" i="37"/>
  <c r="Z1308" i="37"/>
  <c r="V1305" i="37"/>
  <c r="AS1306" i="37"/>
  <c r="K1306" i="37"/>
  <c r="I1308" i="37"/>
  <c r="AH1307" i="37"/>
  <c r="AG1307" i="37"/>
  <c r="AL1304" i="37"/>
  <c r="AI1305" i="37"/>
  <c r="P1306" i="37"/>
  <c r="N1307" i="37"/>
  <c r="S1307" i="37"/>
  <c r="AR1305" i="37"/>
  <c r="X1305" i="37"/>
  <c r="AR1307" i="37"/>
  <c r="AO1307" i="37"/>
  <c r="AE1306" i="37"/>
  <c r="L1308" i="37"/>
  <c r="AL1306" i="37"/>
  <c r="AL1305" i="37"/>
  <c r="Y1306" i="37"/>
  <c r="AI1306" i="37"/>
  <c r="N1308" i="37"/>
  <c r="AN1303" i="37"/>
  <c r="AL1308" i="37"/>
  <c r="AO1303" i="37"/>
  <c r="R1306" i="37"/>
  <c r="AB1306" i="37"/>
  <c r="S1305" i="37"/>
  <c r="AF1308" i="37"/>
  <c r="T1303" i="37"/>
  <c r="AP1306" i="37"/>
  <c r="AK1303" i="37"/>
  <c r="AG1306" i="37"/>
  <c r="L1303" i="37"/>
  <c r="U1308" i="37"/>
  <c r="U1303" i="37"/>
  <c r="AG1305" i="37"/>
  <c r="V1307" i="37"/>
  <c r="AQ1303" i="37"/>
  <c r="Y1303" i="37"/>
  <c r="Q1305" i="37"/>
  <c r="AA1308" i="37"/>
  <c r="AK1307" i="37"/>
  <c r="X1308" i="37"/>
  <c r="T1307" i="37"/>
  <c r="W1305" i="37"/>
  <c r="V1303" i="37"/>
  <c r="AD1304" i="37"/>
  <c r="K1308" i="37"/>
  <c r="AA1306" i="37"/>
  <c r="AB1307" i="37"/>
  <c r="W1308" i="37"/>
  <c r="X1303" i="37"/>
  <c r="AK1308" i="37"/>
  <c r="AI1308" i="37"/>
  <c r="AS1303" i="37"/>
  <c r="P1305" i="37"/>
  <c r="G1307" i="37"/>
  <c r="AT1305" i="37"/>
  <c r="AR1303" i="37"/>
  <c r="Q1306" i="37"/>
  <c r="K1303" i="37"/>
  <c r="M1303" i="37"/>
  <c r="Z1304" i="37"/>
  <c r="O1303" i="37"/>
  <c r="AB1305" i="37"/>
  <c r="R1303" i="37"/>
  <c r="AH1308" i="37"/>
  <c r="K1305" i="37"/>
  <c r="AD1305" i="37"/>
  <c r="AH1304" i="37"/>
  <c r="T1308" i="37"/>
  <c r="Y1308" i="37"/>
  <c r="AQ1306" i="37"/>
  <c r="M1304" i="37"/>
  <c r="AC1304" i="37"/>
  <c r="AQ1304" i="37"/>
  <c r="I1303" i="37"/>
  <c r="V1306" i="37"/>
  <c r="U1304" i="37"/>
  <c r="G1304" i="37"/>
  <c r="AJ1303" i="37"/>
  <c r="AB1304" i="37"/>
  <c r="AM1304" i="37"/>
  <c r="T1306" i="37"/>
  <c r="U1305" i="37"/>
  <c r="AI1307" i="37"/>
  <c r="AJ1306" i="37"/>
  <c r="AH1306" i="37"/>
  <c r="J1308" i="37"/>
  <c r="AE1304" i="37"/>
  <c r="R1305" i="37"/>
  <c r="AG1303" i="37"/>
  <c r="AS1308" i="37"/>
  <c r="H1305" i="37"/>
  <c r="W1303" i="37"/>
  <c r="T1304" i="37"/>
  <c r="O1308" i="37"/>
  <c r="AE1307" i="37"/>
  <c r="AQ1305" i="37"/>
  <c r="N1306" i="37"/>
  <c r="AH1303" i="37"/>
  <c r="M1305" i="37"/>
  <c r="M1307" i="37"/>
  <c r="AM1308" i="37"/>
  <c r="AN1308" i="37"/>
  <c r="AJ1305" i="37"/>
  <c r="G1306" i="37"/>
  <c r="W1304" i="37"/>
  <c r="I1305" i="37"/>
  <c r="AL1307" i="37"/>
  <c r="Y1307" i="37"/>
  <c r="J1304" i="37"/>
  <c r="AH1305" i="37"/>
  <c r="AD1307" i="37"/>
  <c r="Q1308" i="37"/>
  <c r="AC1306" i="37"/>
  <c r="AO1308" i="37"/>
  <c r="AN1305" i="37"/>
  <c r="Z1305" i="37"/>
  <c r="K1304" i="37"/>
  <c r="AM1305" i="37"/>
  <c r="AJ1304" i="37"/>
  <c r="AD1303" i="37"/>
  <c r="AO1305" i="37"/>
  <c r="S1306" i="37"/>
  <c r="AB1303" i="37"/>
  <c r="W1307" i="37"/>
  <c r="Q1307" i="37"/>
  <c r="AI1304" i="37"/>
  <c r="AL1303" i="37"/>
  <c r="J1306" i="37"/>
  <c r="Z1303" i="37"/>
  <c r="AN1304" i="37"/>
  <c r="AM1306" i="37"/>
  <c r="AS1307" i="37"/>
  <c r="O1304" i="37"/>
  <c r="AE1305" i="37"/>
  <c r="AR1304" i="37"/>
  <c r="Y1304" i="37"/>
  <c r="S1308" i="37"/>
  <c r="AC1307" i="37"/>
  <c r="L1307" i="37"/>
  <c r="AO1306" i="37"/>
  <c r="R1307" i="37"/>
  <c r="AE1308" i="37"/>
  <c r="G1308" i="37"/>
  <c r="Z1306" i="37"/>
  <c r="P1303" i="37"/>
  <c r="O1307" i="37"/>
  <c r="U1306" i="37"/>
  <c r="H1304" i="37"/>
  <c r="J1303" i="37"/>
  <c r="AA1303" i="37"/>
  <c r="AK1305" i="37"/>
  <c r="O1305" i="37"/>
  <c r="P1307" i="37"/>
  <c r="M1308" i="37"/>
  <c r="AS1304" i="37"/>
  <c r="AR1306" i="37"/>
  <c r="Q1304" i="37"/>
  <c r="AF1303" i="37"/>
  <c r="Y1305" i="37"/>
  <c r="AC1305" i="37"/>
  <c r="AA1304" i="37"/>
  <c r="Z1307" i="37"/>
  <c r="L1306" i="37"/>
  <c r="H1306" i="37"/>
  <c r="AR1308" i="37"/>
  <c r="AA1305" i="37"/>
  <c r="AO1304" i="37"/>
  <c r="L1304" i="37"/>
  <c r="J1305" i="37"/>
  <c r="AE1303" i="37"/>
  <c r="V1304" i="37"/>
  <c r="R1304" i="37"/>
  <c r="AF1305" i="37"/>
  <c r="U1307" i="37"/>
  <c r="AT1308" i="37"/>
  <c r="AD1308" i="37"/>
  <c r="AQ1307" i="37"/>
  <c r="AQ1308" i="37"/>
  <c r="T1305" i="37"/>
  <c r="H1303" i="37"/>
  <c r="AG1304" i="37"/>
  <c r="AS1305" i="37"/>
  <c r="AJ1308" i="37"/>
  <c r="AF1306" i="37"/>
  <c r="AB1308" i="37"/>
  <c r="I1295" i="37"/>
  <c r="AD1299" i="37"/>
  <c r="AI1297" i="37"/>
  <c r="AE1297" i="37"/>
  <c r="S1297" i="37"/>
  <c r="AF1300" i="37"/>
  <c r="H1295" i="37"/>
  <c r="S1296" i="37"/>
  <c r="AE1300" i="37"/>
  <c r="R1300" i="37"/>
  <c r="S1300" i="37"/>
  <c r="X1300" i="37"/>
  <c r="AD1296" i="37"/>
  <c r="AF1296" i="37"/>
  <c r="V1297" i="37"/>
  <c r="AK1295" i="37"/>
  <c r="AL1296" i="37"/>
  <c r="I1297" i="37"/>
  <c r="AA1300" i="37"/>
  <c r="P1300" i="37"/>
  <c r="J1297" i="37"/>
  <c r="Z1296" i="37"/>
  <c r="H1300" i="37"/>
  <c r="AH1296" i="37"/>
  <c r="M1300" i="37"/>
  <c r="M1297" i="37"/>
  <c r="AP1295" i="37"/>
  <c r="Z1297" i="37"/>
  <c r="P1295" i="37"/>
  <c r="AM1300" i="37"/>
  <c r="T1296" i="37"/>
  <c r="AJ1296" i="37"/>
  <c r="G1297" i="37"/>
  <c r="AI1299" i="37"/>
  <c r="G1296" i="37"/>
  <c r="AH1299" i="37"/>
  <c r="AN1300" i="37"/>
  <c r="AJ1299" i="37"/>
  <c r="AO1299" i="37"/>
  <c r="M1295" i="37"/>
  <c r="AC1296" i="37"/>
  <c r="P1298" i="37"/>
  <c r="U1297" i="37"/>
  <c r="G1295" i="37"/>
  <c r="AL1295" i="37"/>
  <c r="AI1295" i="37"/>
  <c r="U1299" i="37"/>
  <c r="N1298" i="37"/>
  <c r="AS1297" i="37"/>
  <c r="AK1297" i="37"/>
  <c r="AN1297" i="37"/>
  <c r="Y1297" i="37"/>
  <c r="AC1295" i="37"/>
  <c r="AI1296" i="37"/>
  <c r="AJ1297" i="37"/>
  <c r="AR1295" i="37"/>
  <c r="T1298" i="37"/>
  <c r="AA1299" i="37"/>
  <c r="AM1299" i="37"/>
  <c r="AK1296" i="37"/>
  <c r="AG1297" i="37"/>
  <c r="AB1299" i="37"/>
  <c r="AH1298" i="37"/>
  <c r="S1298" i="37"/>
  <c r="W1299" i="37"/>
  <c r="AM1298" i="37"/>
  <c r="AG1300" i="37"/>
  <c r="Y1300" i="37"/>
  <c r="AA1298" i="37"/>
  <c r="AS1300" i="37"/>
  <c r="AM1296" i="37"/>
  <c r="AF1299" i="37"/>
  <c r="AF1295" i="37"/>
  <c r="AI1300" i="37"/>
  <c r="AA1297" i="37"/>
  <c r="AP1300" i="37"/>
  <c r="AL1299" i="37"/>
  <c r="AP1296" i="37"/>
  <c r="AM1295" i="37"/>
  <c r="AH1295" i="37"/>
  <c r="AR1299" i="37"/>
  <c r="V1300" i="37"/>
  <c r="N1300" i="37"/>
  <c r="O1295" i="37"/>
  <c r="AT1299" i="37"/>
  <c r="AS1295" i="37"/>
  <c r="L1295" i="37"/>
  <c r="G1298" i="37"/>
  <c r="AT1300" i="37"/>
  <c r="Y1298" i="37"/>
  <c r="I1299" i="37"/>
  <c r="T1299" i="37"/>
  <c r="K1295" i="37"/>
  <c r="Q1298" i="37"/>
  <c r="AE1295" i="37"/>
  <c r="AB1300" i="37"/>
  <c r="S1299" i="37"/>
  <c r="K1299" i="37"/>
  <c r="AR1300" i="37"/>
  <c r="O1297" i="37"/>
  <c r="AP1297" i="37"/>
  <c r="M1296" i="37"/>
  <c r="O1299" i="37"/>
  <c r="AT1298" i="37"/>
  <c r="AJ1298" i="37"/>
  <c r="AI1298" i="37"/>
  <c r="AE1296" i="37"/>
  <c r="AO1298" i="37"/>
  <c r="T1300" i="37"/>
  <c r="AN1298" i="37"/>
  <c r="V1298" i="37"/>
  <c r="AP1298" i="37"/>
  <c r="AL1300" i="37"/>
  <c r="L1300" i="37"/>
  <c r="AJ1300" i="37"/>
  <c r="AS1296" i="37"/>
  <c r="N1296" i="37"/>
  <c r="T1297" i="37"/>
  <c r="K1300" i="37"/>
  <c r="N1295" i="37"/>
  <c r="AS1298" i="37"/>
  <c r="AE1299" i="37"/>
  <c r="AA1295" i="37"/>
  <c r="AB1297" i="37"/>
  <c r="AH1300" i="37"/>
  <c r="AJ1295" i="37"/>
  <c r="P1297" i="37"/>
  <c r="AC1298" i="37"/>
  <c r="X1298" i="37"/>
  <c r="R1298" i="37"/>
  <c r="K1298" i="37"/>
  <c r="AC1297" i="37"/>
  <c r="AC1300" i="37"/>
  <c r="K1297" i="37"/>
  <c r="Q1299" i="37"/>
  <c r="AD1298" i="37"/>
  <c r="R1297" i="37"/>
  <c r="AH1297" i="37"/>
  <c r="Y1296" i="37"/>
  <c r="AF1297" i="37"/>
  <c r="R1295" i="37"/>
  <c r="AL1298" i="37"/>
  <c r="AF1298" i="37"/>
  <c r="AR1298" i="37"/>
  <c r="AD1297" i="37"/>
  <c r="AT1297" i="37"/>
  <c r="P1299" i="37"/>
  <c r="AE1298" i="37"/>
  <c r="AO1295" i="37"/>
  <c r="Q1296" i="37"/>
  <c r="N1297" i="37"/>
  <c r="G1299" i="37"/>
  <c r="AG1296" i="37"/>
  <c r="AQ1298" i="37"/>
  <c r="L1296" i="37"/>
  <c r="AS1299" i="37"/>
  <c r="X1299" i="37"/>
  <c r="L1299" i="37"/>
  <c r="AQ1296" i="37"/>
  <c r="AO1297" i="37"/>
  <c r="Y1299" i="37"/>
  <c r="AK1298" i="37"/>
  <c r="J1296" i="37"/>
  <c r="AO1300" i="37"/>
  <c r="U1295" i="37"/>
  <c r="J1295" i="37"/>
  <c r="AD1300" i="37"/>
  <c r="M1299" i="37"/>
  <c r="Z1298" i="37"/>
  <c r="T1295" i="37"/>
  <c r="W1297" i="37"/>
  <c r="Q1295" i="37"/>
  <c r="Q1297" i="37"/>
  <c r="Y1295" i="37"/>
  <c r="AQ1300" i="37"/>
  <c r="U1296" i="37"/>
  <c r="AN1295" i="37"/>
  <c r="X1295" i="37"/>
  <c r="U1298" i="37"/>
  <c r="L1297" i="37"/>
  <c r="H1296" i="37"/>
  <c r="G1300" i="37"/>
  <c r="AD1295" i="37"/>
  <c r="AK1300" i="37"/>
  <c r="I1296" i="37"/>
  <c r="AQ1297" i="37"/>
  <c r="M1298" i="37"/>
  <c r="J1300" i="37"/>
  <c r="R1299" i="37"/>
  <c r="W1298" i="37"/>
  <c r="J1298" i="37"/>
  <c r="AT1295" i="37"/>
  <c r="O1296" i="37"/>
  <c r="V1295" i="37"/>
  <c r="O1300" i="37"/>
  <c r="AM1297" i="37"/>
  <c r="AR1297" i="37"/>
  <c r="AB1295" i="37"/>
  <c r="W1295" i="37"/>
  <c r="AP1299" i="37"/>
  <c r="W1300" i="37"/>
  <c r="AO1296" i="37"/>
  <c r="X1297" i="37"/>
  <c r="AG1298" i="37"/>
  <c r="AR1296" i="37"/>
  <c r="W1296" i="37"/>
  <c r="AQ1299" i="37"/>
  <c r="AN1299" i="37"/>
  <c r="R1296" i="37"/>
  <c r="S1295" i="37"/>
  <c r="H1299" i="37"/>
  <c r="AG1295" i="37"/>
  <c r="AA1296" i="37"/>
  <c r="Q1300" i="37"/>
  <c r="H1298" i="37"/>
  <c r="V1299" i="37"/>
  <c r="J1299" i="37"/>
  <c r="Z1299" i="37"/>
  <c r="L1298" i="37"/>
  <c r="K1296" i="37"/>
  <c r="AT1296" i="37"/>
  <c r="AC1299" i="37"/>
  <c r="N1299" i="37"/>
  <c r="Z1300" i="37"/>
  <c r="X1296" i="37"/>
  <c r="O1298" i="37"/>
  <c r="P1296" i="37"/>
  <c r="I1300" i="37"/>
  <c r="I1298" i="37"/>
  <c r="AG1299" i="37"/>
  <c r="AQ1295" i="37"/>
  <c r="AB1296" i="37"/>
  <c r="AN1296" i="37"/>
  <c r="V1296" i="37"/>
  <c r="H1297" i="37"/>
  <c r="AB1298" i="37"/>
  <c r="U1300" i="37"/>
  <c r="AL1297" i="37"/>
  <c r="AK1299" i="37"/>
  <c r="E87" i="39"/>
  <c r="E86" i="39"/>
  <c r="E88" i="39"/>
  <c r="E84" i="39"/>
  <c r="E85" i="39"/>
  <c r="E89" i="39"/>
  <c r="J89" i="37"/>
  <c r="N89" i="37"/>
  <c r="L89" i="37"/>
  <c r="G89" i="37"/>
  <c r="O89" i="37"/>
  <c r="J77" i="37"/>
  <c r="H77" i="37"/>
  <c r="N77" i="37"/>
  <c r="M77" i="37"/>
  <c r="I77" i="37"/>
  <c r="G77" i="37"/>
  <c r="P77" i="37"/>
  <c r="L77" i="37"/>
  <c r="K77" i="37"/>
  <c r="M89" i="37"/>
  <c r="P89" i="37"/>
  <c r="K89" i="37"/>
  <c r="I89" i="37"/>
  <c r="G141" i="37" a="1"/>
  <c r="J141" i="37" s="1"/>
  <c r="G147" i="37" a="1"/>
  <c r="G147" i="37" s="1"/>
  <c r="K293" i="37" l="1"/>
  <c r="L293" i="37"/>
  <c r="J293" i="37"/>
  <c r="D299" i="37" s="1"/>
  <c r="G743" i="6" s="1"/>
  <c r="G293" i="37"/>
  <c r="P293" i="37"/>
  <c r="M278" i="37"/>
  <c r="N278" i="37"/>
  <c r="L278" i="37"/>
  <c r="O278" i="37"/>
  <c r="H278" i="37"/>
  <c r="I278" i="37"/>
  <c r="J278" i="37"/>
  <c r="P278" i="37"/>
  <c r="K278" i="37"/>
  <c r="J472" i="37"/>
  <c r="I472" i="37"/>
  <c r="H472" i="37"/>
  <c r="N293" i="37"/>
  <c r="I293" i="37"/>
  <c r="M293" i="37"/>
  <c r="O293" i="37"/>
  <c r="N472" i="37"/>
  <c r="G354" i="37"/>
  <c r="G472" i="37"/>
  <c r="P472" i="37"/>
  <c r="K472" i="37"/>
  <c r="L472" i="37"/>
  <c r="O472" i="37"/>
  <c r="N354" i="37"/>
  <c r="I354" i="37"/>
  <c r="H354" i="37"/>
  <c r="L354" i="37"/>
  <c r="O354" i="37"/>
  <c r="P354" i="37"/>
  <c r="J354" i="37"/>
  <c r="K354" i="37"/>
  <c r="G956" i="37"/>
  <c r="N192" i="37"/>
  <c r="L192" i="37"/>
  <c r="P192" i="37"/>
  <c r="J192" i="37"/>
  <c r="G192" i="37"/>
  <c r="O192" i="37"/>
  <c r="K192" i="37"/>
  <c r="H192" i="37"/>
  <c r="I192" i="37"/>
  <c r="G186" i="37"/>
  <c r="G216" i="37" a="1"/>
  <c r="O216" i="37" s="1"/>
  <c r="G191" i="37" a="1"/>
  <c r="G345" i="37"/>
  <c r="K345" i="37"/>
  <c r="I345" i="37"/>
  <c r="L345" i="37"/>
  <c r="J345" i="37"/>
  <c r="M345" i="37"/>
  <c r="P345" i="37"/>
  <c r="H345" i="37"/>
  <c r="N345" i="37"/>
  <c r="O345" i="37"/>
  <c r="L951" i="37"/>
  <c r="G949" i="37"/>
  <c r="G942" i="37" a="1"/>
  <c r="J942" i="37" s="1"/>
  <c r="G955" i="37"/>
  <c r="G957" i="37"/>
  <c r="L950" i="37"/>
  <c r="L949" i="37"/>
  <c r="L947" i="37"/>
  <c r="L946" i="37"/>
  <c r="G948" i="37"/>
  <c r="G950" i="37"/>
  <c r="G946" i="37"/>
  <c r="G951" i="37"/>
  <c r="L956" i="37"/>
  <c r="L957" i="37"/>
  <c r="L955" i="37"/>
  <c r="AU1306" i="37"/>
  <c r="AU1305" i="37"/>
  <c r="AU1308" i="37"/>
  <c r="AU1304" i="37"/>
  <c r="AU1303" i="37"/>
  <c r="AU1307" i="37"/>
  <c r="AU1296" i="37"/>
  <c r="AU1298" i="37"/>
  <c r="AU1300" i="37"/>
  <c r="AU1295" i="37"/>
  <c r="AU1297" i="37"/>
  <c r="AU1299" i="37"/>
  <c r="G650" i="37" a="1"/>
  <c r="G80" i="37" a="1"/>
  <c r="O80" i="37" s="1"/>
  <c r="Q89" i="37"/>
  <c r="G311" i="37" a="1"/>
  <c r="G311" i="37" s="1"/>
  <c r="L141" i="37"/>
  <c r="M141" i="37"/>
  <c r="O141" i="37"/>
  <c r="P141" i="37"/>
  <c r="G141" i="37"/>
  <c r="I141" i="37"/>
  <c r="N141" i="37"/>
  <c r="H141" i="37"/>
  <c r="K141" i="37"/>
  <c r="N147" i="37"/>
  <c r="H147" i="37"/>
  <c r="I147" i="37"/>
  <c r="L147" i="37"/>
  <c r="O147" i="37"/>
  <c r="M147" i="37"/>
  <c r="J147" i="37"/>
  <c r="P147" i="37"/>
  <c r="K147" i="37"/>
  <c r="G285" i="37" l="1"/>
  <c r="E33" i="39" s="1"/>
  <c r="G313" i="37" a="1"/>
  <c r="I313" i="37" s="1"/>
  <c r="Q278" i="37"/>
  <c r="E29" i="39" s="1"/>
  <c r="D295" i="37"/>
  <c r="G737" i="6" s="1"/>
  <c r="G302" i="37" a="1"/>
  <c r="P302" i="37" s="1"/>
  <c r="G203" i="37" a="1"/>
  <c r="G203" i="37" s="1"/>
  <c r="G205" i="37" a="1"/>
  <c r="G205" i="37" s="1"/>
  <c r="G206" i="37" a="1"/>
  <c r="G206" i="37" s="1"/>
  <c r="G204" i="37" a="1"/>
  <c r="G204" i="37" s="1"/>
  <c r="G207" i="37" a="1"/>
  <c r="G207" i="37" s="1"/>
  <c r="G208" i="37" a="1"/>
  <c r="G208" i="37" s="1"/>
  <c r="E26" i="39" s="1"/>
  <c r="P191" i="37"/>
  <c r="P190" i="37" s="1"/>
  <c r="O191" i="37"/>
  <c r="O190" i="37" s="1"/>
  <c r="I191" i="37"/>
  <c r="I190" i="37" s="1"/>
  <c r="N191" i="37"/>
  <c r="N190" i="37" s="1"/>
  <c r="L191" i="37"/>
  <c r="L190" i="37" s="1"/>
  <c r="M191" i="37"/>
  <c r="M190" i="37" s="1"/>
  <c r="K191" i="37"/>
  <c r="K190" i="37" s="1"/>
  <c r="J191" i="37"/>
  <c r="J190" i="37" s="1"/>
  <c r="G191" i="37"/>
  <c r="I216" i="37"/>
  <c r="H216" i="37"/>
  <c r="J216" i="37"/>
  <c r="N216" i="37"/>
  <c r="M216" i="37"/>
  <c r="L216" i="37"/>
  <c r="P216" i="37"/>
  <c r="K216" i="37"/>
  <c r="G216" i="37"/>
  <c r="H191" i="37"/>
  <c r="H190" i="37" s="1"/>
  <c r="I942" i="37"/>
  <c r="G942" i="37"/>
  <c r="H942" i="37"/>
  <c r="E120" i="39" a="1"/>
  <c r="E123" i="39" s="1"/>
  <c r="E114" i="39" a="1"/>
  <c r="E119" i="39" s="1"/>
  <c r="H650" i="37"/>
  <c r="AO650" i="37"/>
  <c r="Y650" i="37"/>
  <c r="I650" i="37"/>
  <c r="AE650" i="37"/>
  <c r="O650" i="37"/>
  <c r="AP650" i="37"/>
  <c r="Z650" i="37"/>
  <c r="J650" i="37"/>
  <c r="AF650" i="37"/>
  <c r="P650" i="37"/>
  <c r="AG650" i="37"/>
  <c r="Q650" i="37"/>
  <c r="AM650" i="37"/>
  <c r="W650" i="37"/>
  <c r="G650" i="37"/>
  <c r="AH650" i="37"/>
  <c r="R650" i="37"/>
  <c r="AN650" i="37"/>
  <c r="X650" i="37"/>
  <c r="AS650" i="37"/>
  <c r="AC650" i="37"/>
  <c r="M650" i="37"/>
  <c r="AI650" i="37"/>
  <c r="S650" i="37"/>
  <c r="AT650" i="37"/>
  <c r="AD650" i="37"/>
  <c r="N650" i="37"/>
  <c r="AJ650" i="37"/>
  <c r="T650" i="37"/>
  <c r="AK650" i="37"/>
  <c r="U650" i="37"/>
  <c r="AQ650" i="37"/>
  <c r="AA650" i="37"/>
  <c r="K650" i="37"/>
  <c r="AL650" i="37"/>
  <c r="V650" i="37"/>
  <c r="AR650" i="37"/>
  <c r="AB650" i="37"/>
  <c r="L650" i="37"/>
  <c r="G344" i="37" a="1"/>
  <c r="L80" i="37"/>
  <c r="I80" i="37"/>
  <c r="H80" i="37"/>
  <c r="P311" i="37"/>
  <c r="N311" i="37"/>
  <c r="K311" i="37"/>
  <c r="J311" i="37"/>
  <c r="L311" i="37"/>
  <c r="I311" i="37"/>
  <c r="E10" i="39"/>
  <c r="N80" i="37"/>
  <c r="G80" i="37"/>
  <c r="M80" i="37"/>
  <c r="K80" i="37"/>
  <c r="J80" i="37"/>
  <c r="D82" i="37" s="1"/>
  <c r="G739" i="6" s="1"/>
  <c r="P80" i="37"/>
  <c r="M311" i="37"/>
  <c r="H311" i="37"/>
  <c r="O311" i="37"/>
  <c r="G144" i="37" a="1"/>
  <c r="J144" i="37" s="1"/>
  <c r="G239" i="37" a="1"/>
  <c r="O239" i="37" s="1"/>
  <c r="G150" i="37" a="1"/>
  <c r="G150" i="37" s="1"/>
  <c r="G958" i="37"/>
  <c r="E32" i="39" l="1"/>
  <c r="H313" i="37"/>
  <c r="O313" i="37"/>
  <c r="P313" i="37"/>
  <c r="N313" i="37"/>
  <c r="L313" i="37"/>
  <c r="M313" i="37"/>
  <c r="G313" i="37"/>
  <c r="L302" i="37"/>
  <c r="E31" i="39"/>
  <c r="M27" i="10" a="1"/>
  <c r="M27" i="10" s="1"/>
  <c r="N27" i="10" s="1"/>
  <c r="M20" i="10" s="1"/>
  <c r="M22" i="10" s="1"/>
  <c r="M23" i="10" s="1"/>
  <c r="AN50" i="10" s="1"/>
  <c r="AN81" i="10" s="1"/>
  <c r="AN88" i="10" s="1"/>
  <c r="E30" i="39"/>
  <c r="J313" i="37"/>
  <c r="K313" i="37"/>
  <c r="O302" i="37"/>
  <c r="I302" i="37"/>
  <c r="K302" i="37"/>
  <c r="J302" i="37"/>
  <c r="H302" i="37"/>
  <c r="M302" i="37"/>
  <c r="G302" i="37"/>
  <c r="N302" i="37"/>
  <c r="E22" i="39"/>
  <c r="E25" i="39"/>
  <c r="E24" i="39"/>
  <c r="E23" i="39"/>
  <c r="E21" i="39"/>
  <c r="G190" i="37"/>
  <c r="G199" i="37" a="1"/>
  <c r="G199" i="37" s="1"/>
  <c r="G197" i="37" a="1"/>
  <c r="G197" i="37" s="1"/>
  <c r="G200" i="37" a="1"/>
  <c r="G200" i="37" s="1"/>
  <c r="E20" i="39" s="1"/>
  <c r="G196" i="37" a="1"/>
  <c r="G196" i="37" s="1"/>
  <c r="G195" i="37" a="1"/>
  <c r="G195" i="37" s="1"/>
  <c r="G198" i="37" a="1"/>
  <c r="G198" i="37" s="1"/>
  <c r="G960" i="37"/>
  <c r="G654" i="37" a="1"/>
  <c r="G959" i="37"/>
  <c r="L940" i="37" a="1"/>
  <c r="M940" i="37" s="1"/>
  <c r="E124" i="39"/>
  <c r="E122" i="39"/>
  <c r="E114" i="39"/>
  <c r="E117" i="39"/>
  <c r="E115" i="39"/>
  <c r="E121" i="39"/>
  <c r="E125" i="39"/>
  <c r="E120" i="39"/>
  <c r="E118" i="39"/>
  <c r="E116" i="39"/>
  <c r="G344" i="37"/>
  <c r="J344" i="37"/>
  <c r="L344" i="37"/>
  <c r="K344" i="37"/>
  <c r="M344" i="37"/>
  <c r="H344" i="37"/>
  <c r="O344" i="37"/>
  <c r="I344" i="37"/>
  <c r="N344" i="37"/>
  <c r="P344" i="37"/>
  <c r="P144" i="37"/>
  <c r="G86" i="37" a="1"/>
  <c r="J86" i="37" s="1"/>
  <c r="M144" i="37"/>
  <c r="L144" i="37"/>
  <c r="M150" i="37"/>
  <c r="L150" i="37"/>
  <c r="I144" i="37"/>
  <c r="G239" i="37"/>
  <c r="G144" i="37"/>
  <c r="K144" i="37"/>
  <c r="N144" i="37"/>
  <c r="O144" i="37"/>
  <c r="H144" i="37"/>
  <c r="H150" i="37"/>
  <c r="N150" i="37"/>
  <c r="J150" i="37"/>
  <c r="O150" i="37"/>
  <c r="I150" i="37"/>
  <c r="K150" i="37"/>
  <c r="P150" i="37"/>
  <c r="I239" i="37"/>
  <c r="K239" i="37"/>
  <c r="H239" i="37"/>
  <c r="L239" i="37"/>
  <c r="M239" i="37"/>
  <c r="P239" i="37"/>
  <c r="N239" i="37"/>
  <c r="J239" i="37"/>
  <c r="F189" i="10" a="1"/>
  <c r="F188" i="10" a="1"/>
  <c r="AN89" i="10" l="1"/>
  <c r="H13" i="10"/>
  <c r="H14" i="10" s="1"/>
  <c r="AG45" i="10" s="1"/>
  <c r="AG66" i="10" s="1"/>
  <c r="G357" i="37" a="1"/>
  <c r="G357" i="37" s="1"/>
  <c r="G329" i="37" a="1"/>
  <c r="H329" i="37" s="1"/>
  <c r="G369" i="37" a="1"/>
  <c r="L369" i="37" s="1"/>
  <c r="L392" i="37" s="1"/>
  <c r="E18" i="39"/>
  <c r="E17" i="39"/>
  <c r="E15" i="39"/>
  <c r="J27" i="10" a="1"/>
  <c r="J27" i="10" s="1"/>
  <c r="K27" i="10" s="1"/>
  <c r="J20" i="10" s="1"/>
  <c r="J22" i="10" s="1"/>
  <c r="J23" i="10" s="1"/>
  <c r="AL48" i="10" s="1"/>
  <c r="AL81" i="10" s="1"/>
  <c r="AL83" i="10" s="1"/>
  <c r="E19" i="39"/>
  <c r="E16" i="39"/>
  <c r="G1254" i="37" a="1"/>
  <c r="G1258" i="37" s="1"/>
  <c r="E90" i="39" a="1"/>
  <c r="E91" i="39" s="1"/>
  <c r="M942" i="37"/>
  <c r="N940" i="37"/>
  <c r="G654" i="37"/>
  <c r="AT654" i="37"/>
  <c r="N654" i="37"/>
  <c r="Q654" i="37"/>
  <c r="AJ654" i="37"/>
  <c r="T654" i="37"/>
  <c r="AP654" i="37"/>
  <c r="J654" i="37"/>
  <c r="U654" i="37"/>
  <c r="AI654" i="37"/>
  <c r="S654" i="37"/>
  <c r="AL654" i="37"/>
  <c r="AO654" i="37"/>
  <c r="I654" i="37"/>
  <c r="AF654" i="37"/>
  <c r="P654" i="37"/>
  <c r="AH654" i="37"/>
  <c r="AS654" i="37"/>
  <c r="M654" i="37"/>
  <c r="AE654" i="37"/>
  <c r="O654" i="37"/>
  <c r="AD654" i="37"/>
  <c r="AG654" i="37"/>
  <c r="AR654" i="37"/>
  <c r="AB654" i="37"/>
  <c r="L654" i="37"/>
  <c r="Z654" i="37"/>
  <c r="AK654" i="37"/>
  <c r="AQ654" i="37"/>
  <c r="AA654" i="37"/>
  <c r="K654" i="37"/>
  <c r="V654" i="37"/>
  <c r="Y654" i="37"/>
  <c r="AN654" i="37"/>
  <c r="X654" i="37"/>
  <c r="H654" i="37"/>
  <c r="R654" i="37"/>
  <c r="AC654" i="37"/>
  <c r="AM654" i="37"/>
  <c r="W654" i="37"/>
  <c r="O941" i="37"/>
  <c r="O942" i="37"/>
  <c r="N941" i="37"/>
  <c r="N942" i="37"/>
  <c r="L942" i="37"/>
  <c r="L940" i="37"/>
  <c r="L941" i="37"/>
  <c r="O940" i="37"/>
  <c r="M941" i="37"/>
  <c r="O86" i="37"/>
  <c r="P86" i="37"/>
  <c r="G86" i="37"/>
  <c r="H86" i="37"/>
  <c r="G343" i="37" a="1"/>
  <c r="M86" i="37"/>
  <c r="I86" i="37"/>
  <c r="K86" i="37"/>
  <c r="L86" i="37"/>
  <c r="N86" i="37"/>
  <c r="G235" i="37" a="1"/>
  <c r="G235" i="37" s="1"/>
  <c r="G213" i="37" a="1"/>
  <c r="G213" i="37" s="1"/>
  <c r="G223" i="37" s="1"/>
  <c r="Q239" i="37"/>
  <c r="AJ188" i="10"/>
  <c r="O188" i="10"/>
  <c r="J188" i="10"/>
  <c r="AZ188" i="10"/>
  <c r="BA188" i="10"/>
  <c r="AK188" i="10"/>
  <c r="L188" i="10"/>
  <c r="G188" i="10"/>
  <c r="AL188" i="10"/>
  <c r="P188" i="10"/>
  <c r="AC188" i="10"/>
  <c r="AA188" i="10"/>
  <c r="S188" i="10"/>
  <c r="AN188" i="10"/>
  <c r="U188" i="10"/>
  <c r="N188" i="10"/>
  <c r="W188" i="10"/>
  <c r="I188" i="10"/>
  <c r="AO188" i="10"/>
  <c r="AY188" i="10"/>
  <c r="K188" i="10"/>
  <c r="AV188" i="10"/>
  <c r="AR188" i="10"/>
  <c r="AE188" i="10"/>
  <c r="AX188" i="10"/>
  <c r="AF188" i="10"/>
  <c r="F188" i="10"/>
  <c r="AI188" i="10"/>
  <c r="AQ188" i="10"/>
  <c r="X188" i="10"/>
  <c r="AS188" i="10"/>
  <c r="M188" i="10"/>
  <c r="V188" i="10"/>
  <c r="T188" i="10"/>
  <c r="R188" i="10"/>
  <c r="AM188" i="10"/>
  <c r="AT188" i="10"/>
  <c r="Y188" i="10"/>
  <c r="AG188" i="10"/>
  <c r="BB188" i="10"/>
  <c r="H188" i="10"/>
  <c r="AD188" i="10"/>
  <c r="Z188" i="10"/>
  <c r="AB188" i="10"/>
  <c r="AH188" i="10"/>
  <c r="AU188" i="10"/>
  <c r="AW188" i="10"/>
  <c r="AP188" i="10"/>
  <c r="Q188" i="10"/>
  <c r="BC188" i="10"/>
  <c r="R189" i="10"/>
  <c r="AT189" i="10"/>
  <c r="AP189" i="10"/>
  <c r="AW189" i="10"/>
  <c r="K189" i="10"/>
  <c r="W189" i="10"/>
  <c r="AY189" i="10"/>
  <c r="AQ189" i="10"/>
  <c r="H189" i="10"/>
  <c r="T189" i="10"/>
  <c r="AV189" i="10"/>
  <c r="Y189" i="10"/>
  <c r="AU189" i="10"/>
  <c r="N189" i="10"/>
  <c r="AR189" i="10"/>
  <c r="S189" i="10"/>
  <c r="O189" i="10"/>
  <c r="AA189" i="10"/>
  <c r="AM189" i="10"/>
  <c r="AC189" i="10"/>
  <c r="L189" i="10"/>
  <c r="X189" i="10"/>
  <c r="AJ189" i="10"/>
  <c r="AS189" i="10"/>
  <c r="J189" i="10"/>
  <c r="V189" i="10"/>
  <c r="AH189" i="10"/>
  <c r="M189" i="10"/>
  <c r="AZ189" i="10"/>
  <c r="BB189" i="10"/>
  <c r="Q189" i="10"/>
  <c r="AX189" i="10"/>
  <c r="AO189" i="10"/>
  <c r="AF189" i="10"/>
  <c r="AB189" i="10"/>
  <c r="AN189" i="10"/>
  <c r="AG189" i="10"/>
  <c r="AD189" i="10"/>
  <c r="Z189" i="10"/>
  <c r="AL189" i="10"/>
  <c r="U189" i="10"/>
  <c r="G189" i="10"/>
  <c r="AI189" i="10"/>
  <c r="AE189" i="10"/>
  <c r="I189" i="10"/>
  <c r="BC189" i="10"/>
  <c r="F189" i="10"/>
  <c r="P189" i="10"/>
  <c r="BA189" i="10"/>
  <c r="AK189" i="10"/>
  <c r="G369" i="37" l="1"/>
  <c r="M329" i="37"/>
  <c r="L329" i="37"/>
  <c r="AG63" i="10"/>
  <c r="AG96" i="10" s="1"/>
  <c r="AG81" i="10"/>
  <c r="AG89" i="10" s="1"/>
  <c r="AG65" i="10"/>
  <c r="AI45" i="10"/>
  <c r="AI64" i="10" s="1"/>
  <c r="AI97" i="10" s="1"/>
  <c r="AG64" i="10"/>
  <c r="AG97" i="10" s="1"/>
  <c r="L960" i="37"/>
  <c r="AH45" i="10"/>
  <c r="AH81" i="10" s="1"/>
  <c r="AH88" i="10" s="1"/>
  <c r="N329" i="37"/>
  <c r="J329" i="37"/>
  <c r="G329" i="37"/>
  <c r="P329" i="37"/>
  <c r="K357" i="37"/>
  <c r="N369" i="37"/>
  <c r="N392" i="37" s="1"/>
  <c r="O329" i="37"/>
  <c r="M357" i="37"/>
  <c r="M369" i="37"/>
  <c r="M392" i="37" s="1"/>
  <c r="K329" i="37"/>
  <c r="I329" i="37"/>
  <c r="O357" i="37"/>
  <c r="L357" i="37"/>
  <c r="I357" i="37"/>
  <c r="P357" i="37"/>
  <c r="N357" i="37"/>
  <c r="H369" i="37"/>
  <c r="P369" i="37"/>
  <c r="P392" i="37" s="1"/>
  <c r="H357" i="37"/>
  <c r="J357" i="37"/>
  <c r="O369" i="37"/>
  <c r="O392" i="37" s="1"/>
  <c r="I369" i="37"/>
  <c r="K369" i="37"/>
  <c r="J369" i="37"/>
  <c r="F127" i="10" a="1"/>
  <c r="F126" i="10" a="1"/>
  <c r="F190" i="10" a="1"/>
  <c r="F192" i="10" a="1"/>
  <c r="F186" i="10" a="1"/>
  <c r="F191" i="10" a="1"/>
  <c r="G1257" i="37"/>
  <c r="G1254" i="37"/>
  <c r="G1256" i="37"/>
  <c r="G1255" i="37"/>
  <c r="G1259" i="37"/>
  <c r="E189" i="10"/>
  <c r="E188" i="10"/>
  <c r="E94" i="39"/>
  <c r="E90" i="39"/>
  <c r="E93" i="39"/>
  <c r="E95" i="39"/>
  <c r="E92" i="39"/>
  <c r="L959" i="37"/>
  <c r="L958" i="37"/>
  <c r="G660" i="37" a="1"/>
  <c r="G327" i="37" a="1"/>
  <c r="M327" i="37" s="1"/>
  <c r="G343" i="37"/>
  <c r="N343" i="37"/>
  <c r="I343" i="37"/>
  <c r="J343" i="37"/>
  <c r="M343" i="37"/>
  <c r="P343" i="37"/>
  <c r="K343" i="37"/>
  <c r="O343" i="37"/>
  <c r="L343" i="37"/>
  <c r="H343" i="37"/>
  <c r="G430" i="37" a="1"/>
  <c r="H430" i="37" s="1"/>
  <c r="G365" i="37" a="1"/>
  <c r="I365" i="37" s="1"/>
  <c r="G94" i="37" a="1"/>
  <c r="H94" i="37" s="1"/>
  <c r="E14" i="39"/>
  <c r="M213" i="37"/>
  <c r="I213" i="37"/>
  <c r="I223" i="37" s="1"/>
  <c r="L213" i="37"/>
  <c r="J213" i="37"/>
  <c r="J223" i="37" s="1"/>
  <c r="K213" i="37"/>
  <c r="K223" i="37" s="1"/>
  <c r="H213" i="37"/>
  <c r="H223" i="37" s="1"/>
  <c r="P213" i="37"/>
  <c r="J235" i="37"/>
  <c r="O235" i="37"/>
  <c r="M235" i="37"/>
  <c r="N235" i="37"/>
  <c r="P235" i="37"/>
  <c r="L235" i="37"/>
  <c r="H235" i="37"/>
  <c r="O213" i="37"/>
  <c r="N213" i="37"/>
  <c r="I235" i="37"/>
  <c r="K235" i="37"/>
  <c r="F153" i="10" a="1"/>
  <c r="AH66" i="10" l="1"/>
  <c r="AG88" i="10"/>
  <c r="AI81" i="10"/>
  <c r="F157" i="10" s="1" a="1"/>
  <c r="AS157" i="10" s="1"/>
  <c r="AI66" i="10"/>
  <c r="AI65" i="10"/>
  <c r="AI63" i="10"/>
  <c r="AI96" i="10" s="1"/>
  <c r="AH89" i="10"/>
  <c r="AH65" i="10"/>
  <c r="AH64" i="10"/>
  <c r="AH97" i="10" s="1"/>
  <c r="F181" i="10" s="1" a="1"/>
  <c r="Q181" i="10" s="1"/>
  <c r="AH63" i="10"/>
  <c r="AH96" i="10" s="1"/>
  <c r="BC190" i="10"/>
  <c r="AZ190" i="10"/>
  <c r="J190" i="10"/>
  <c r="AE190" i="10"/>
  <c r="P190" i="10"/>
  <c r="O190" i="10"/>
  <c r="M190" i="10"/>
  <c r="AS190" i="10"/>
  <c r="AQ190" i="10"/>
  <c r="AY190" i="10"/>
  <c r="AT190" i="10"/>
  <c r="H190" i="10"/>
  <c r="AA190" i="10"/>
  <c r="Q190" i="10"/>
  <c r="AH190" i="10"/>
  <c r="AW190" i="10"/>
  <c r="U190" i="10"/>
  <c r="V190" i="10"/>
  <c r="BA190" i="10"/>
  <c r="AN190" i="10"/>
  <c r="AR190" i="10"/>
  <c r="K190" i="10"/>
  <c r="G190" i="10"/>
  <c r="AF190" i="10"/>
  <c r="AJ190" i="10"/>
  <c r="S190" i="10"/>
  <c r="AG190" i="10"/>
  <c r="AX190" i="10"/>
  <c r="N190" i="10"/>
  <c r="AK190" i="10"/>
  <c r="AL190" i="10"/>
  <c r="R190" i="10"/>
  <c r="Y190" i="10"/>
  <c r="Z190" i="10"/>
  <c r="F190" i="10"/>
  <c r="L190" i="10"/>
  <c r="AV190" i="10"/>
  <c r="W190" i="10"/>
  <c r="T190" i="10"/>
  <c r="AP190" i="10"/>
  <c r="AI190" i="10"/>
  <c r="BB190" i="10"/>
  <c r="AU190" i="10"/>
  <c r="AB190" i="10"/>
  <c r="AO190" i="10"/>
  <c r="AC190" i="10"/>
  <c r="AM190" i="10"/>
  <c r="I190" i="10"/>
  <c r="X190" i="10"/>
  <c r="AD190" i="10"/>
  <c r="S192" i="10"/>
  <c r="W192" i="10"/>
  <c r="AA192" i="10"/>
  <c r="M192" i="10"/>
  <c r="AI192" i="10"/>
  <c r="AM192" i="10"/>
  <c r="AG192" i="10"/>
  <c r="AV192" i="10"/>
  <c r="AZ192" i="10"/>
  <c r="U192" i="10"/>
  <c r="AC192" i="10"/>
  <c r="Q192" i="10"/>
  <c r="AU192" i="10"/>
  <c r="T192" i="10"/>
  <c r="X192" i="10"/>
  <c r="AR192" i="10"/>
  <c r="AF192" i="10"/>
  <c r="AJ192" i="10"/>
  <c r="AN192" i="10"/>
  <c r="AW192" i="10"/>
  <c r="BA192" i="10"/>
  <c r="R192" i="10"/>
  <c r="F192" i="10"/>
  <c r="J192" i="10"/>
  <c r="N192" i="10"/>
  <c r="I192" i="10"/>
  <c r="Y192" i="10"/>
  <c r="AS192" i="10"/>
  <c r="AD192" i="10"/>
  <c r="AK192" i="10"/>
  <c r="AO192" i="10"/>
  <c r="P192" i="10"/>
  <c r="AT192" i="10"/>
  <c r="O192" i="10"/>
  <c r="AP192" i="10"/>
  <c r="G192" i="10"/>
  <c r="K192" i="10"/>
  <c r="AE192" i="10"/>
  <c r="V192" i="10"/>
  <c r="AL192" i="10"/>
  <c r="AH192" i="10"/>
  <c r="AY192" i="10"/>
  <c r="Z192" i="10"/>
  <c r="AQ192" i="10"/>
  <c r="H192" i="10"/>
  <c r="BC192" i="10"/>
  <c r="BB192" i="10"/>
  <c r="L192" i="10"/>
  <c r="AB192" i="10"/>
  <c r="AX192" i="10"/>
  <c r="AG191" i="10"/>
  <c r="AK191" i="10"/>
  <c r="AO191" i="10"/>
  <c r="AS191" i="10"/>
  <c r="AW191" i="10"/>
  <c r="BA191" i="10"/>
  <c r="F191" i="10"/>
  <c r="J191" i="10"/>
  <c r="N191" i="10"/>
  <c r="S191" i="10"/>
  <c r="W191" i="10"/>
  <c r="AA191" i="10"/>
  <c r="AF191" i="10"/>
  <c r="AN191" i="10"/>
  <c r="AV191" i="10"/>
  <c r="P191" i="10"/>
  <c r="M191" i="10"/>
  <c r="AH191" i="10"/>
  <c r="AL191" i="10"/>
  <c r="AP191" i="10"/>
  <c r="AT191" i="10"/>
  <c r="AX191" i="10"/>
  <c r="BB191" i="10"/>
  <c r="G191" i="10"/>
  <c r="K191" i="10"/>
  <c r="O191" i="10"/>
  <c r="T191" i="10"/>
  <c r="X191" i="10"/>
  <c r="AB191" i="10"/>
  <c r="AJ191" i="10"/>
  <c r="AR191" i="10"/>
  <c r="AZ191" i="10"/>
  <c r="I191" i="10"/>
  <c r="AE191" i="10"/>
  <c r="AI191" i="10"/>
  <c r="AM191" i="10"/>
  <c r="AQ191" i="10"/>
  <c r="AU191" i="10"/>
  <c r="AY191" i="10"/>
  <c r="BC191" i="10"/>
  <c r="H191" i="10"/>
  <c r="L191" i="10"/>
  <c r="Q191" i="10"/>
  <c r="U191" i="10"/>
  <c r="Y191" i="10"/>
  <c r="AC191" i="10"/>
  <c r="R191" i="10"/>
  <c r="AD191" i="10"/>
  <c r="V191" i="10"/>
  <c r="Z191" i="10"/>
  <c r="Z126" i="10"/>
  <c r="BA126" i="10"/>
  <c r="O126" i="10"/>
  <c r="G126" i="10"/>
  <c r="F126" i="10"/>
  <c r="X126" i="10"/>
  <c r="AM126" i="10"/>
  <c r="K126" i="10"/>
  <c r="H126" i="10"/>
  <c r="I126" i="10"/>
  <c r="P126" i="10"/>
  <c r="AZ126" i="10"/>
  <c r="U126" i="10"/>
  <c r="AN126" i="10"/>
  <c r="AO126" i="10"/>
  <c r="AL126" i="10"/>
  <c r="V126" i="10"/>
  <c r="Y126" i="10"/>
  <c r="AQ126" i="10"/>
  <c r="AC126" i="10"/>
  <c r="S126" i="10"/>
  <c r="AH126" i="10"/>
  <c r="AY126" i="10"/>
  <c r="AX126" i="10"/>
  <c r="AV126" i="10"/>
  <c r="AU126" i="10"/>
  <c r="BB126" i="10"/>
  <c r="AI126" i="10"/>
  <c r="AG126" i="10"/>
  <c r="AA126" i="10"/>
  <c r="BC126" i="10"/>
  <c r="R126" i="10"/>
  <c r="AF126" i="10"/>
  <c r="AP126" i="10"/>
  <c r="AK126" i="10"/>
  <c r="M126" i="10"/>
  <c r="AW126" i="10"/>
  <c r="Q126" i="10"/>
  <c r="AD126" i="10"/>
  <c r="N126" i="10"/>
  <c r="W126" i="10"/>
  <c r="AB126" i="10"/>
  <c r="AE126" i="10"/>
  <c r="AS126" i="10"/>
  <c r="T126" i="10"/>
  <c r="L126" i="10"/>
  <c r="AJ126" i="10"/>
  <c r="AT126" i="10"/>
  <c r="J126" i="10"/>
  <c r="AR126" i="10"/>
  <c r="Q186" i="10"/>
  <c r="AD186" i="10"/>
  <c r="T186" i="10"/>
  <c r="AK186" i="10"/>
  <c r="AX186" i="10"/>
  <c r="BB186" i="10"/>
  <c r="I186" i="10"/>
  <c r="V186" i="10"/>
  <c r="AY186" i="10"/>
  <c r="M186" i="10"/>
  <c r="Z186" i="10"/>
  <c r="AM186" i="10"/>
  <c r="P186" i="10"/>
  <c r="AG186" i="10"/>
  <c r="K186" i="10"/>
  <c r="AJ186" i="10"/>
  <c r="BA186" i="10"/>
  <c r="O186" i="10"/>
  <c r="H186" i="10"/>
  <c r="Y186" i="10"/>
  <c r="AL186" i="10"/>
  <c r="L186" i="10"/>
  <c r="AC186" i="10"/>
  <c r="AP186" i="10"/>
  <c r="BC186" i="10"/>
  <c r="AF186" i="10"/>
  <c r="AW186" i="10"/>
  <c r="AA186" i="10"/>
  <c r="AZ186" i="10"/>
  <c r="R186" i="10"/>
  <c r="AE186" i="10"/>
  <c r="X186" i="10"/>
  <c r="AO186" i="10"/>
  <c r="S186" i="10"/>
  <c r="AB186" i="10"/>
  <c r="AS186" i="10"/>
  <c r="G186" i="10"/>
  <c r="AT186" i="10"/>
  <c r="N186" i="10"/>
  <c r="AU186" i="10"/>
  <c r="AR186" i="10"/>
  <c r="AQ186" i="10"/>
  <c r="J186" i="10"/>
  <c r="AV186" i="10"/>
  <c r="AI186" i="10"/>
  <c r="AN186" i="10"/>
  <c r="U186" i="10"/>
  <c r="F186" i="10"/>
  <c r="W186" i="10"/>
  <c r="AH186" i="10"/>
  <c r="U127" i="10"/>
  <c r="M127" i="10"/>
  <c r="AT127" i="10"/>
  <c r="G127" i="10"/>
  <c r="AG127" i="10"/>
  <c r="AF127" i="10"/>
  <c r="AR127" i="10"/>
  <c r="AV127" i="10"/>
  <c r="Z127" i="10"/>
  <c r="AX127" i="10"/>
  <c r="H127" i="10"/>
  <c r="Y127" i="10"/>
  <c r="P127" i="10"/>
  <c r="F127" i="10"/>
  <c r="T127" i="10"/>
  <c r="AN127" i="10"/>
  <c r="X127" i="10"/>
  <c r="AS127" i="10"/>
  <c r="AZ127" i="10"/>
  <c r="BB127" i="10"/>
  <c r="J127" i="10"/>
  <c r="W127" i="10"/>
  <c r="O127" i="10"/>
  <c r="BA127" i="10"/>
  <c r="AJ127" i="10"/>
  <c r="AY127" i="10"/>
  <c r="R127" i="10"/>
  <c r="S127" i="10"/>
  <c r="AP127" i="10"/>
  <c r="Q127" i="10"/>
  <c r="AB127" i="10"/>
  <c r="L127" i="10"/>
  <c r="AI127" i="10"/>
  <c r="V127" i="10"/>
  <c r="AA127" i="10"/>
  <c r="N127" i="10"/>
  <c r="AK127" i="10"/>
  <c r="AE127" i="10"/>
  <c r="AO127" i="10"/>
  <c r="AW127" i="10"/>
  <c r="BC127" i="10"/>
  <c r="K127" i="10"/>
  <c r="AM127" i="10"/>
  <c r="AU127" i="10"/>
  <c r="AD127" i="10"/>
  <c r="AL127" i="10"/>
  <c r="AQ127" i="10"/>
  <c r="I127" i="10"/>
  <c r="AH127" i="10"/>
  <c r="AC127" i="10"/>
  <c r="E194" i="39" a="1"/>
  <c r="E197" i="39" s="1"/>
  <c r="E96" i="39" a="1"/>
  <c r="E97" i="39" s="1"/>
  <c r="G1262" i="37" a="1"/>
  <c r="G1263" i="37" s="1"/>
  <c r="G660" i="37"/>
  <c r="AD660" i="37"/>
  <c r="AG660" i="37"/>
  <c r="I660" i="37"/>
  <c r="AF660" i="37"/>
  <c r="P660" i="37"/>
  <c r="AH660" i="37"/>
  <c r="AS660" i="37"/>
  <c r="AQ660" i="37"/>
  <c r="AA660" i="37"/>
  <c r="K660" i="37"/>
  <c r="V660" i="37"/>
  <c r="Y660" i="37"/>
  <c r="AR660" i="37"/>
  <c r="AB660" i="37"/>
  <c r="L660" i="37"/>
  <c r="Z660" i="37"/>
  <c r="AK660" i="37"/>
  <c r="AM660" i="37"/>
  <c r="W660" i="37"/>
  <c r="AT660" i="37"/>
  <c r="N660" i="37"/>
  <c r="U660" i="37"/>
  <c r="AN660" i="37"/>
  <c r="X660" i="37"/>
  <c r="H660" i="37"/>
  <c r="G665" i="37" s="1"/>
  <c r="R660" i="37"/>
  <c r="AC660" i="37"/>
  <c r="AI660" i="37"/>
  <c r="S660" i="37"/>
  <c r="AL660" i="37"/>
  <c r="AO660" i="37"/>
  <c r="M660" i="37"/>
  <c r="AJ660" i="37"/>
  <c r="T660" i="37"/>
  <c r="AP660" i="37"/>
  <c r="J660" i="37"/>
  <c r="Q660" i="37"/>
  <c r="AE660" i="37"/>
  <c r="O660" i="37"/>
  <c r="O94" i="37"/>
  <c r="P94" i="37"/>
  <c r="M94" i="37"/>
  <c r="J94" i="37"/>
  <c r="N365" i="37"/>
  <c r="N386" i="37" s="1"/>
  <c r="H365" i="37"/>
  <c r="K327" i="37"/>
  <c r="N327" i="37"/>
  <c r="P365" i="37"/>
  <c r="P386" i="37" s="1"/>
  <c r="J365" i="37"/>
  <c r="M365" i="37"/>
  <c r="M386" i="37" s="1"/>
  <c r="P327" i="37"/>
  <c r="H327" i="37"/>
  <c r="O327" i="37"/>
  <c r="G327" i="37"/>
  <c r="I327" i="37"/>
  <c r="L327" i="37"/>
  <c r="J327" i="37"/>
  <c r="G365" i="37"/>
  <c r="O365" i="37"/>
  <c r="O386" i="37" s="1"/>
  <c r="L365" i="37"/>
  <c r="L386" i="37" s="1"/>
  <c r="G94" i="37"/>
  <c r="N94" i="37"/>
  <c r="I94" i="37"/>
  <c r="K94" i="37"/>
  <c r="L94" i="37"/>
  <c r="K430" i="37"/>
  <c r="P430" i="37"/>
  <c r="K365" i="37"/>
  <c r="M430" i="37"/>
  <c r="J430" i="37"/>
  <c r="L430" i="37"/>
  <c r="O430" i="37"/>
  <c r="I430" i="37"/>
  <c r="G430" i="37"/>
  <c r="N430" i="37"/>
  <c r="G312" i="37" a="1"/>
  <c r="G312" i="37" s="1"/>
  <c r="Q235" i="37"/>
  <c r="F262" i="10" a="1"/>
  <c r="F141" i="10" a="1"/>
  <c r="F280" i="10" a="1"/>
  <c r="AQ153" i="10"/>
  <c r="Z153" i="10"/>
  <c r="AC153" i="10"/>
  <c r="AO153" i="10"/>
  <c r="AK153" i="10"/>
  <c r="AX153" i="10"/>
  <c r="AN153" i="10"/>
  <c r="J153" i="10"/>
  <c r="R153" i="10"/>
  <c r="AT153" i="10"/>
  <c r="AP153" i="10"/>
  <c r="Y153" i="10"/>
  <c r="AA153" i="10"/>
  <c r="N153" i="10"/>
  <c r="M153" i="10"/>
  <c r="AB153" i="10"/>
  <c r="AG153" i="10"/>
  <c r="I153" i="10"/>
  <c r="AE153" i="10"/>
  <c r="T153" i="10"/>
  <c r="K153" i="10"/>
  <c r="L153" i="10"/>
  <c r="F153" i="10"/>
  <c r="AR153" i="10"/>
  <c r="AI153" i="10"/>
  <c r="AH153" i="10"/>
  <c r="AZ153" i="10"/>
  <c r="P153" i="10"/>
  <c r="O153" i="10"/>
  <c r="G153" i="10"/>
  <c r="AU153" i="10"/>
  <c r="AM153" i="10"/>
  <c r="S153" i="10"/>
  <c r="AV153" i="10"/>
  <c r="BC153" i="10"/>
  <c r="AS153" i="10"/>
  <c r="X153" i="10"/>
  <c r="V153" i="10"/>
  <c r="U153" i="10"/>
  <c r="BB153" i="10"/>
  <c r="BA153" i="10"/>
  <c r="AJ153" i="10"/>
  <c r="AY153" i="10"/>
  <c r="AF153" i="10"/>
  <c r="AW153" i="10"/>
  <c r="AD153" i="10"/>
  <c r="H153" i="10"/>
  <c r="AL153" i="10"/>
  <c r="W153" i="10"/>
  <c r="Q153" i="10"/>
  <c r="F155" i="10" l="1" a="1"/>
  <c r="T155" i="10" s="1"/>
  <c r="F71" i="10" a="1"/>
  <c r="AG71" i="10" s="1"/>
  <c r="AG98" i="10" s="1"/>
  <c r="AI89" i="10"/>
  <c r="F158" i="10" a="1"/>
  <c r="AS158" i="10" s="1"/>
  <c r="F152" i="10" a="1"/>
  <c r="AG152" i="10" s="1"/>
  <c r="AI88" i="10"/>
  <c r="F264" i="10" s="1" a="1"/>
  <c r="AP264" i="10" s="1"/>
  <c r="F151" i="10" a="1"/>
  <c r="T151" i="10" s="1"/>
  <c r="F156" i="10" a="1"/>
  <c r="AC156" i="10" s="1"/>
  <c r="F321" i="10" a="1"/>
  <c r="BB321" i="10" s="1"/>
  <c r="F172" i="10" a="1"/>
  <c r="AT172" i="10" s="1"/>
  <c r="L181" i="10"/>
  <c r="BC181" i="10"/>
  <c r="N181" i="10"/>
  <c r="AN181" i="10"/>
  <c r="H181" i="10"/>
  <c r="J181" i="10"/>
  <c r="Z181" i="10"/>
  <c r="T181" i="10"/>
  <c r="P181" i="10"/>
  <c r="AZ181" i="10"/>
  <c r="F171" i="10" a="1"/>
  <c r="U171" i="10" s="1"/>
  <c r="X181" i="10"/>
  <c r="V181" i="10"/>
  <c r="K181" i="10"/>
  <c r="M181" i="10"/>
  <c r="G181" i="10"/>
  <c r="I181" i="10"/>
  <c r="AS181" i="10"/>
  <c r="AM181" i="10"/>
  <c r="F170" i="10" a="1"/>
  <c r="AU170" i="10" s="1"/>
  <c r="AC181" i="10"/>
  <c r="W181" i="10"/>
  <c r="Y181" i="10"/>
  <c r="S181" i="10"/>
  <c r="U181" i="10"/>
  <c r="F181" i="10"/>
  <c r="AY181" i="10"/>
  <c r="BB181" i="10"/>
  <c r="BA181" i="10"/>
  <c r="AV181" i="10"/>
  <c r="AU181" i="10"/>
  <c r="AX181" i="10"/>
  <c r="AW181" i="10"/>
  <c r="AR181" i="10"/>
  <c r="AQ181" i="10"/>
  <c r="AT181" i="10"/>
  <c r="AB181" i="10"/>
  <c r="AA181" i="10"/>
  <c r="AD181" i="10"/>
  <c r="F184" i="10" a="1"/>
  <c r="O184" i="10" s="1"/>
  <c r="F182" i="10" a="1"/>
  <c r="T182" i="10" s="1"/>
  <c r="F168" i="10" a="1"/>
  <c r="AQ168" i="10" s="1"/>
  <c r="AP181" i="10"/>
  <c r="AO181" i="10"/>
  <c r="AJ181" i="10"/>
  <c r="AI181" i="10"/>
  <c r="AL181" i="10"/>
  <c r="AK181" i="10"/>
  <c r="AF181" i="10"/>
  <c r="AE181" i="10"/>
  <c r="AH181" i="10"/>
  <c r="AG181" i="10"/>
  <c r="O181" i="10"/>
  <c r="R181" i="10"/>
  <c r="F169" i="10" a="1"/>
  <c r="H169" i="10" s="1"/>
  <c r="F176" i="10" a="1"/>
  <c r="AK176" i="10" s="1"/>
  <c r="F164" i="10" a="1"/>
  <c r="L164" i="10" s="1"/>
  <c r="F177" i="10" a="1"/>
  <c r="R177" i="10" s="1"/>
  <c r="F163" i="10" a="1"/>
  <c r="BA163" i="10" s="1"/>
  <c r="F183" i="10" a="1"/>
  <c r="M183" i="10" s="1"/>
  <c r="F162" i="10" a="1"/>
  <c r="AU162" i="10" s="1"/>
  <c r="F175" i="10" a="1"/>
  <c r="I175" i="10" s="1"/>
  <c r="F167" i="10" a="1"/>
  <c r="AD167" i="10" s="1"/>
  <c r="F179" i="10" a="1"/>
  <c r="AP179" i="10" s="1"/>
  <c r="F173" i="10" a="1"/>
  <c r="AY173" i="10" s="1"/>
  <c r="F178" i="10" a="1"/>
  <c r="BC178" i="10" s="1"/>
  <c r="F165" i="10" a="1"/>
  <c r="AD165" i="10" s="1"/>
  <c r="F180" i="10" a="1"/>
  <c r="AF180" i="10" s="1"/>
  <c r="F160" i="10" a="1"/>
  <c r="AE160" i="10" s="1"/>
  <c r="F161" i="10" a="1"/>
  <c r="AM161" i="10" s="1"/>
  <c r="F166" i="10" a="1"/>
  <c r="BA166" i="10" s="1"/>
  <c r="F174" i="10" a="1"/>
  <c r="AU174" i="10" s="1"/>
  <c r="F159" i="10" a="1"/>
  <c r="U159" i="10" s="1"/>
  <c r="E196" i="39"/>
  <c r="E194" i="39"/>
  <c r="E195" i="39"/>
  <c r="E198" i="39"/>
  <c r="E199" i="39"/>
  <c r="E186" i="10"/>
  <c r="E127" i="10"/>
  <c r="E126" i="10"/>
  <c r="E191" i="10"/>
  <c r="E190" i="10"/>
  <c r="E192" i="10"/>
  <c r="E153" i="10"/>
  <c r="G1265" i="37"/>
  <c r="G1267" i="37"/>
  <c r="G1264" i="37"/>
  <c r="G1266" i="37"/>
  <c r="G1262" i="37"/>
  <c r="E99" i="39"/>
  <c r="E101" i="39"/>
  <c r="E100" i="39"/>
  <c r="E98" i="39"/>
  <c r="E96" i="39"/>
  <c r="X157" i="10"/>
  <c r="AT157" i="10"/>
  <c r="AN157" i="10"/>
  <c r="P157" i="10"/>
  <c r="AO157" i="10"/>
  <c r="AR157" i="10"/>
  <c r="AK157" i="10"/>
  <c r="AQ157" i="10"/>
  <c r="J157" i="10"/>
  <c r="W157" i="10"/>
  <c r="AE157" i="10"/>
  <c r="S157" i="10"/>
  <c r="T157" i="10"/>
  <c r="AF157" i="10"/>
  <c r="Y157" i="10"/>
  <c r="O157" i="10"/>
  <c r="AA157" i="10"/>
  <c r="Z157" i="10"/>
  <c r="AW157" i="10"/>
  <c r="H157" i="10"/>
  <c r="N157" i="10"/>
  <c r="G157" i="10"/>
  <c r="AI157" i="10"/>
  <c r="AL157" i="10"/>
  <c r="M157" i="10"/>
  <c r="AH157" i="10"/>
  <c r="BC157" i="10"/>
  <c r="AJ157" i="10"/>
  <c r="AM157" i="10"/>
  <c r="AP157" i="10"/>
  <c r="AY157" i="10"/>
  <c r="AC157" i="10"/>
  <c r="R157" i="10"/>
  <c r="F157" i="10"/>
  <c r="BA157" i="10"/>
  <c r="AU157" i="10"/>
  <c r="Q157" i="10"/>
  <c r="AB157" i="10"/>
  <c r="AG157" i="10"/>
  <c r="V157" i="10"/>
  <c r="U157" i="10"/>
  <c r="K157" i="10"/>
  <c r="I157" i="10"/>
  <c r="AD157" i="10"/>
  <c r="AV157" i="10"/>
  <c r="BB157" i="10"/>
  <c r="L157" i="10"/>
  <c r="AX157" i="10"/>
  <c r="AZ157" i="10"/>
  <c r="G103" i="37" a="1"/>
  <c r="I103" i="37" s="1"/>
  <c r="G664" i="37"/>
  <c r="E72" i="39" s="1" a="1"/>
  <c r="E72" i="39" s="1"/>
  <c r="G1217" i="37" a="1"/>
  <c r="G1216" i="37" a="1"/>
  <c r="G673" i="37" a="1"/>
  <c r="G1166" i="37" a="1"/>
  <c r="M1166" i="37" s="1"/>
  <c r="G468" i="37" a="1"/>
  <c r="J468" i="37" s="1"/>
  <c r="E13" i="39"/>
  <c r="I312" i="37"/>
  <c r="J312" i="37"/>
  <c r="K312" i="37"/>
  <c r="M312" i="37"/>
  <c r="N312" i="37"/>
  <c r="O312" i="37"/>
  <c r="L312" i="37"/>
  <c r="H312" i="37"/>
  <c r="P312" i="37"/>
  <c r="D229" i="37"/>
  <c r="G741" i="6" s="1"/>
  <c r="Z280" i="10"/>
  <c r="AR280" i="10"/>
  <c r="K280" i="10"/>
  <c r="AI280" i="10"/>
  <c r="J280" i="10"/>
  <c r="G280" i="10"/>
  <c r="AN280" i="10"/>
  <c r="AM280" i="10"/>
  <c r="R280" i="10"/>
  <c r="BC280" i="10"/>
  <c r="AH280" i="10"/>
  <c r="AL280" i="10"/>
  <c r="X280" i="10"/>
  <c r="AP280" i="10"/>
  <c r="N280" i="10"/>
  <c r="AU280" i="10"/>
  <c r="AE280" i="10"/>
  <c r="T280" i="10"/>
  <c r="AT280" i="10"/>
  <c r="Y280" i="10"/>
  <c r="P280" i="10"/>
  <c r="AG280" i="10"/>
  <c r="U280" i="10"/>
  <c r="AO280" i="10"/>
  <c r="Q280" i="10"/>
  <c r="L280" i="10"/>
  <c r="AZ280" i="10"/>
  <c r="AV280" i="10"/>
  <c r="M280" i="10"/>
  <c r="AD280" i="10"/>
  <c r="AY280" i="10"/>
  <c r="AS280" i="10"/>
  <c r="AQ280" i="10"/>
  <c r="AJ280" i="10"/>
  <c r="O280" i="10"/>
  <c r="H280" i="10"/>
  <c r="AB280" i="10"/>
  <c r="AW280" i="10"/>
  <c r="AK280" i="10"/>
  <c r="AC280" i="10"/>
  <c r="AA280" i="10"/>
  <c r="S280" i="10"/>
  <c r="W280" i="10"/>
  <c r="AX280" i="10"/>
  <c r="I280" i="10"/>
  <c r="BB280" i="10"/>
  <c r="BA280" i="10"/>
  <c r="F280" i="10"/>
  <c r="AF280" i="10"/>
  <c r="V280" i="10"/>
  <c r="AG262" i="10"/>
  <c r="T262" i="10"/>
  <c r="AH262" i="10"/>
  <c r="W262" i="10"/>
  <c r="AA262" i="10"/>
  <c r="AB262" i="10"/>
  <c r="L262" i="10"/>
  <c r="Y262" i="10"/>
  <c r="V262" i="10"/>
  <c r="N262" i="10"/>
  <c r="AX262" i="10"/>
  <c r="BB262" i="10"/>
  <c r="S262" i="10"/>
  <c r="R262" i="10"/>
  <c r="U262" i="10"/>
  <c r="AY262" i="10"/>
  <c r="AM262" i="10"/>
  <c r="AC262" i="10"/>
  <c r="AJ262" i="10"/>
  <c r="AE262" i="10"/>
  <c r="AT262" i="10"/>
  <c r="AP262" i="10"/>
  <c r="AW262" i="10"/>
  <c r="F262" i="10"/>
  <c r="AV262" i="10"/>
  <c r="O262" i="10"/>
  <c r="Q262" i="10"/>
  <c r="M262" i="10"/>
  <c r="H262" i="10"/>
  <c r="BA262" i="10"/>
  <c r="J262" i="10"/>
  <c r="I262" i="10"/>
  <c r="X262" i="10"/>
  <c r="AD262" i="10"/>
  <c r="AK262" i="10"/>
  <c r="P262" i="10"/>
  <c r="AI262" i="10"/>
  <c r="AL262" i="10"/>
  <c r="AZ262" i="10"/>
  <c r="AO262" i="10"/>
  <c r="AQ262" i="10"/>
  <c r="AN262" i="10"/>
  <c r="BC262" i="10"/>
  <c r="G262" i="10"/>
  <c r="Z262" i="10"/>
  <c r="K262" i="10"/>
  <c r="AU262" i="10"/>
  <c r="AS262" i="10"/>
  <c r="AF262" i="10"/>
  <c r="AR262" i="10"/>
  <c r="L141" i="10"/>
  <c r="AL141" i="10"/>
  <c r="AC141" i="10"/>
  <c r="AE141" i="10"/>
  <c r="AP141" i="10"/>
  <c r="AG141" i="10"/>
  <c r="AN141" i="10"/>
  <c r="AK141" i="10"/>
  <c r="K141" i="10"/>
  <c r="AO141" i="10"/>
  <c r="BC141" i="10"/>
  <c r="V141" i="10"/>
  <c r="T141" i="10"/>
  <c r="Y141" i="10"/>
  <c r="J141" i="10"/>
  <c r="AZ141" i="10"/>
  <c r="AT141" i="10"/>
  <c r="AD141" i="10"/>
  <c r="S141" i="10"/>
  <c r="AF141" i="10"/>
  <c r="AV141" i="10"/>
  <c r="M141" i="10"/>
  <c r="O141" i="10"/>
  <c r="U141" i="10"/>
  <c r="Z141" i="10"/>
  <c r="Q141" i="10"/>
  <c r="R141" i="10"/>
  <c r="AH141" i="10"/>
  <c r="AB141" i="10"/>
  <c r="G141" i="10"/>
  <c r="AW141" i="10"/>
  <c r="AQ141" i="10"/>
  <c r="AU141" i="10"/>
  <c r="P141" i="10"/>
  <c r="N141" i="10"/>
  <c r="AA141" i="10"/>
  <c r="AY141" i="10"/>
  <c r="I141" i="10"/>
  <c r="BA141" i="10"/>
  <c r="F141" i="10"/>
  <c r="AX141" i="10"/>
  <c r="H141" i="10"/>
  <c r="AM141" i="10"/>
  <c r="W141" i="10"/>
  <c r="AI141" i="10"/>
  <c r="X141" i="10"/>
  <c r="AR141" i="10"/>
  <c r="AJ141" i="10"/>
  <c r="AS141" i="10"/>
  <c r="BB141" i="10"/>
  <c r="F240" i="10" a="1"/>
  <c r="AF155" i="10" l="1"/>
  <c r="AH72" i="10"/>
  <c r="AH99" i="10" s="1"/>
  <c r="N71" i="10"/>
  <c r="N98" i="10" s="1"/>
  <c r="O71" i="10"/>
  <c r="O98" i="10" s="1"/>
  <c r="Y71" i="10"/>
  <c r="Y98" i="10" s="1"/>
  <c r="V72" i="10"/>
  <c r="V99" i="10" s="1"/>
  <c r="O72" i="10"/>
  <c r="O99" i="10" s="1"/>
  <c r="Q71" i="10"/>
  <c r="Q98" i="10" s="1"/>
  <c r="F72" i="10"/>
  <c r="F99" i="10" s="1"/>
  <c r="N72" i="10"/>
  <c r="N99" i="10" s="1"/>
  <c r="AO155" i="10"/>
  <c r="F155" i="10"/>
  <c r="M155" i="10"/>
  <c r="AL155" i="10"/>
  <c r="AA155" i="10"/>
  <c r="AR155" i="10"/>
  <c r="Y155" i="10"/>
  <c r="R155" i="10"/>
  <c r="AS155" i="10"/>
  <c r="W155" i="10"/>
  <c r="AC155" i="10"/>
  <c r="G155" i="10"/>
  <c r="BA155" i="10"/>
  <c r="O155" i="10"/>
  <c r="AQ155" i="10"/>
  <c r="K155" i="10"/>
  <c r="V155" i="10"/>
  <c r="AH155" i="10"/>
  <c r="AN155" i="10"/>
  <c r="AM155" i="10"/>
  <c r="X155" i="10"/>
  <c r="AD155" i="10"/>
  <c r="AI155" i="10"/>
  <c r="AV155" i="10"/>
  <c r="AJ155" i="10"/>
  <c r="AZ155" i="10"/>
  <c r="AT155" i="10"/>
  <c r="L155" i="10"/>
  <c r="AE155" i="10"/>
  <c r="U155" i="10"/>
  <c r="Q155" i="10"/>
  <c r="J155" i="10"/>
  <c r="AP155" i="10"/>
  <c r="AG155" i="10"/>
  <c r="I155" i="10"/>
  <c r="AU155" i="10"/>
  <c r="P155" i="10"/>
  <c r="AK155" i="10"/>
  <c r="AW155" i="10"/>
  <c r="BB155" i="10"/>
  <c r="AX155" i="10"/>
  <c r="BC155" i="10"/>
  <c r="Z155" i="10"/>
  <c r="AB155" i="10"/>
  <c r="S155" i="10"/>
  <c r="N155" i="10"/>
  <c r="H155" i="10"/>
  <c r="AY155" i="10"/>
  <c r="W72" i="10"/>
  <c r="W99" i="10" s="1"/>
  <c r="M72" i="10"/>
  <c r="M99" i="10" s="1"/>
  <c r="Z72" i="10"/>
  <c r="Z99" i="10" s="1"/>
  <c r="AA72" i="10"/>
  <c r="AA99" i="10" s="1"/>
  <c r="M71" i="10"/>
  <c r="M98" i="10" s="1"/>
  <c r="AC72" i="10"/>
  <c r="AC99" i="10" s="1"/>
  <c r="AB72" i="10"/>
  <c r="AB99" i="10" s="1"/>
  <c r="F71" i="10"/>
  <c r="F98" i="10" s="1"/>
  <c r="G72" i="10"/>
  <c r="G99" i="10" s="1"/>
  <c r="T72" i="10"/>
  <c r="T99" i="10" s="1"/>
  <c r="I71" i="10"/>
  <c r="I98" i="10" s="1"/>
  <c r="P72" i="10"/>
  <c r="P99" i="10" s="1"/>
  <c r="AI72" i="10"/>
  <c r="AI99" i="10" s="1"/>
  <c r="AD71" i="10"/>
  <c r="AD98" i="10" s="1"/>
  <c r="H72" i="10"/>
  <c r="H99" i="10" s="1"/>
  <c r="L72" i="10"/>
  <c r="L99" i="10" s="1"/>
  <c r="U71" i="10"/>
  <c r="U98" i="10" s="1"/>
  <c r="H71" i="10"/>
  <c r="H98" i="10" s="1"/>
  <c r="V71" i="10"/>
  <c r="V98" i="10" s="1"/>
  <c r="AE71" i="10"/>
  <c r="AE98" i="10" s="1"/>
  <c r="S71" i="10"/>
  <c r="S98" i="10" s="1"/>
  <c r="J71" i="10"/>
  <c r="J98" i="10" s="1"/>
  <c r="S72" i="10"/>
  <c r="S99" i="10" s="1"/>
  <c r="P71" i="10"/>
  <c r="P98" i="10" s="1"/>
  <c r="AB71" i="10"/>
  <c r="AB98" i="10" s="1"/>
  <c r="X72" i="10"/>
  <c r="X99" i="10" s="1"/>
  <c r="W71" i="10"/>
  <c r="W98" i="10" s="1"/>
  <c r="AG72" i="10"/>
  <c r="AG99" i="10" s="1"/>
  <c r="AG100" i="10" s="1"/>
  <c r="AF71" i="10"/>
  <c r="AF98" i="10" s="1"/>
  <c r="K71" i="10"/>
  <c r="K98" i="10" s="1"/>
  <c r="T71" i="10"/>
  <c r="T98" i="10" s="1"/>
  <c r="G71" i="10"/>
  <c r="G98" i="10" s="1"/>
  <c r="AE72" i="10"/>
  <c r="AE99" i="10" s="1"/>
  <c r="I72" i="10"/>
  <c r="I99" i="10" s="1"/>
  <c r="AF72" i="10"/>
  <c r="AF99" i="10" s="1"/>
  <c r="AH71" i="10"/>
  <c r="AH98" i="10" s="1"/>
  <c r="Z71" i="10"/>
  <c r="Z98" i="10" s="1"/>
  <c r="R72" i="10"/>
  <c r="R99" i="10" s="1"/>
  <c r="Q72" i="10"/>
  <c r="Q99" i="10" s="1"/>
  <c r="AC71" i="10"/>
  <c r="AC98" i="10" s="1"/>
  <c r="AD72" i="10"/>
  <c r="AD99" i="10" s="1"/>
  <c r="R71" i="10"/>
  <c r="R98" i="10" s="1"/>
  <c r="AA71" i="10"/>
  <c r="AA98" i="10" s="1"/>
  <c r="Y72" i="10"/>
  <c r="Y99" i="10" s="1"/>
  <c r="L71" i="10"/>
  <c r="L98" i="10" s="1"/>
  <c r="K72" i="10"/>
  <c r="K99" i="10" s="1"/>
  <c r="J72" i="10"/>
  <c r="J99" i="10" s="1"/>
  <c r="AI71" i="10"/>
  <c r="AI98" i="10" s="1"/>
  <c r="X71" i="10"/>
  <c r="X98" i="10" s="1"/>
  <c r="U72" i="10"/>
  <c r="U99" i="10" s="1"/>
  <c r="F152" i="10"/>
  <c r="AP152" i="10"/>
  <c r="K152" i="10"/>
  <c r="AZ152" i="10"/>
  <c r="BB158" i="10"/>
  <c r="R158" i="10"/>
  <c r="AG158" i="10"/>
  <c r="P158" i="10"/>
  <c r="M158" i="10"/>
  <c r="F158" i="10"/>
  <c r="AV158" i="10"/>
  <c r="AM158" i="10"/>
  <c r="L158" i="10"/>
  <c r="AN264" i="10"/>
  <c r="AB158" i="10"/>
  <c r="AI158" i="10"/>
  <c r="BA158" i="10"/>
  <c r="AR158" i="10"/>
  <c r="AP158" i="10"/>
  <c r="AJ158" i="10"/>
  <c r="AF158" i="10"/>
  <c r="AE158" i="10"/>
  <c r="U151" i="10"/>
  <c r="AW158" i="10"/>
  <c r="U158" i="10"/>
  <c r="X158" i="10"/>
  <c r="W158" i="10"/>
  <c r="AN158" i="10"/>
  <c r="K158" i="10"/>
  <c r="S158" i="10"/>
  <c r="J158" i="10"/>
  <c r="AL158" i="10"/>
  <c r="T158" i="10"/>
  <c r="Z158" i="10"/>
  <c r="I158" i="10"/>
  <c r="AZ158" i="10"/>
  <c r="AK158" i="10"/>
  <c r="O158" i="10"/>
  <c r="AT158" i="10"/>
  <c r="Q158" i="10"/>
  <c r="AD158" i="10"/>
  <c r="BC158" i="10"/>
  <c r="AK151" i="10"/>
  <c r="F151" i="10"/>
  <c r="AR151" i="10"/>
  <c r="W151" i="10"/>
  <c r="BA151" i="10"/>
  <c r="AZ151" i="10"/>
  <c r="Y158" i="10"/>
  <c r="G158" i="10"/>
  <c r="AQ158" i="10"/>
  <c r="AC158" i="10"/>
  <c r="H158" i="10"/>
  <c r="V158" i="10"/>
  <c r="AY158" i="10"/>
  <c r="AU158" i="10"/>
  <c r="AO158" i="10"/>
  <c r="AA158" i="10"/>
  <c r="AH158" i="10"/>
  <c r="N158" i="10"/>
  <c r="AV151" i="10"/>
  <c r="Q151" i="10"/>
  <c r="AX158" i="10"/>
  <c r="AB172" i="10"/>
  <c r="BC172" i="10"/>
  <c r="G152" i="10"/>
  <c r="AH152" i="10"/>
  <c r="Y152" i="10"/>
  <c r="AA152" i="10"/>
  <c r="Q152" i="10"/>
  <c r="N152" i="10"/>
  <c r="O152" i="10"/>
  <c r="AW152" i="10"/>
  <c r="P152" i="10"/>
  <c r="H152" i="10"/>
  <c r="AI152" i="10"/>
  <c r="W152" i="10"/>
  <c r="AX152" i="10"/>
  <c r="J152" i="10"/>
  <c r="U152" i="10"/>
  <c r="M152" i="10"/>
  <c r="AT152" i="10"/>
  <c r="L152" i="10"/>
  <c r="AV152" i="10"/>
  <c r="BB152" i="10"/>
  <c r="AM152" i="10"/>
  <c r="AO152" i="10"/>
  <c r="S152" i="10"/>
  <c r="AR152" i="10"/>
  <c r="AU152" i="10"/>
  <c r="R152" i="10"/>
  <c r="I152" i="10"/>
  <c r="AD152" i="10"/>
  <c r="BA152" i="10"/>
  <c r="AF152" i="10"/>
  <c r="AC152" i="10"/>
  <c r="AB152" i="10"/>
  <c r="AY152" i="10"/>
  <c r="AN152" i="10"/>
  <c r="X152" i="10"/>
  <c r="Z152" i="10"/>
  <c r="AL152" i="10"/>
  <c r="AE152" i="10"/>
  <c r="V152" i="10"/>
  <c r="AQ152" i="10"/>
  <c r="AJ152" i="10"/>
  <c r="AK152" i="10"/>
  <c r="BC152" i="10"/>
  <c r="AS152" i="10"/>
  <c r="T152" i="10"/>
  <c r="AW321" i="10"/>
  <c r="AX321" i="10"/>
  <c r="N321" i="10"/>
  <c r="O321" i="10"/>
  <c r="F264" i="10"/>
  <c r="AM264" i="10"/>
  <c r="AW264" i="10"/>
  <c r="AA264" i="10"/>
  <c r="AR264" i="10"/>
  <c r="Z264" i="10"/>
  <c r="F263" i="10" a="1"/>
  <c r="AJ263" i="10" s="1"/>
  <c r="AF264" i="10"/>
  <c r="AE264" i="10"/>
  <c r="N264" i="10"/>
  <c r="AI321" i="10"/>
  <c r="AQ321" i="10"/>
  <c r="AR321" i="10"/>
  <c r="I321" i="10"/>
  <c r="S264" i="10"/>
  <c r="R264" i="10"/>
  <c r="AZ264" i="10"/>
  <c r="F154" i="10" a="1"/>
  <c r="AX154" i="10" s="1"/>
  <c r="F149" i="10" a="1"/>
  <c r="U149" i="10" s="1"/>
  <c r="AC321" i="10"/>
  <c r="F321" i="10"/>
  <c r="T321" i="10"/>
  <c r="AD321" i="10"/>
  <c r="AT321" i="10"/>
  <c r="AG151" i="10"/>
  <c r="AB151" i="10"/>
  <c r="G151" i="10"/>
  <c r="AI151" i="10"/>
  <c r="AY151" i="10"/>
  <c r="Y151" i="10"/>
  <c r="AQ151" i="10"/>
  <c r="R151" i="10"/>
  <c r="M151" i="10"/>
  <c r="AX151" i="10"/>
  <c r="AA151" i="10"/>
  <c r="AF151" i="10"/>
  <c r="H151" i="10"/>
  <c r="AE151" i="10"/>
  <c r="AM151" i="10"/>
  <c r="AP151" i="10"/>
  <c r="AU151" i="10"/>
  <c r="AC151" i="10"/>
  <c r="S151" i="10"/>
  <c r="O151" i="10"/>
  <c r="X151" i="10"/>
  <c r="K151" i="10"/>
  <c r="L151" i="10"/>
  <c r="J151" i="10"/>
  <c r="AD151" i="10"/>
  <c r="V151" i="10"/>
  <c r="AT151" i="10"/>
  <c r="AH151" i="10"/>
  <c r="N172" i="10"/>
  <c r="W172" i="10"/>
  <c r="AE172" i="10"/>
  <c r="AM172" i="10"/>
  <c r="S172" i="10"/>
  <c r="R172" i="10"/>
  <c r="Y172" i="10"/>
  <c r="AV172" i="10"/>
  <c r="AA172" i="10"/>
  <c r="AN172" i="10"/>
  <c r="AQ172" i="10"/>
  <c r="AL172" i="10"/>
  <c r="AW172" i="10"/>
  <c r="P172" i="10"/>
  <c r="G172" i="10"/>
  <c r="AF172" i="10"/>
  <c r="X172" i="10"/>
  <c r="AC172" i="10"/>
  <c r="Z172" i="10"/>
  <c r="AG172" i="10"/>
  <c r="Q172" i="10"/>
  <c r="K172" i="10"/>
  <c r="AD172" i="10"/>
  <c r="AR172" i="10"/>
  <c r="Q171" i="10"/>
  <c r="AS172" i="10"/>
  <c r="AK172" i="10"/>
  <c r="M172" i="10"/>
  <c r="BB172" i="10"/>
  <c r="F172" i="10"/>
  <c r="AZ172" i="10"/>
  <c r="AP172" i="10"/>
  <c r="AU172" i="10"/>
  <c r="AJ172" i="10"/>
  <c r="O172" i="10"/>
  <c r="J172" i="10"/>
  <c r="AA171" i="10"/>
  <c r="BA172" i="10"/>
  <c r="I172" i="10"/>
  <c r="AX172" i="10"/>
  <c r="AY172" i="10"/>
  <c r="U172" i="10"/>
  <c r="H172" i="10"/>
  <c r="V172" i="10"/>
  <c r="L172" i="10"/>
  <c r="AO172" i="10"/>
  <c r="AI172" i="10"/>
  <c r="H165" i="10"/>
  <c r="T172" i="10"/>
  <c r="AH172" i="10"/>
  <c r="AS151" i="10"/>
  <c r="AN151" i="10"/>
  <c r="AW151" i="10"/>
  <c r="AJ151" i="10"/>
  <c r="AO151" i="10"/>
  <c r="I151" i="10"/>
  <c r="N151" i="10"/>
  <c r="BB151" i="10"/>
  <c r="BC151" i="10"/>
  <c r="AL151" i="10"/>
  <c r="Z151" i="10"/>
  <c r="Z171" i="10"/>
  <c r="P151" i="10"/>
  <c r="BB176" i="10"/>
  <c r="AW180" i="10"/>
  <c r="T156" i="10"/>
  <c r="J156" i="10"/>
  <c r="AA156" i="10"/>
  <c r="Q156" i="10"/>
  <c r="AN156" i="10"/>
  <c r="BA156" i="10"/>
  <c r="AB156" i="10"/>
  <c r="AX156" i="10"/>
  <c r="V170" i="10"/>
  <c r="AJ184" i="10"/>
  <c r="AP156" i="10"/>
  <c r="M156" i="10"/>
  <c r="AW156" i="10"/>
  <c r="U183" i="10"/>
  <c r="W156" i="10"/>
  <c r="AZ156" i="10"/>
  <c r="AR156" i="10"/>
  <c r="U156" i="10"/>
  <c r="F156" i="10"/>
  <c r="AK156" i="10"/>
  <c r="AT156" i="10"/>
  <c r="AJ156" i="10"/>
  <c r="AU156" i="10"/>
  <c r="AH156" i="10"/>
  <c r="AV156" i="10"/>
  <c r="AD156" i="10"/>
  <c r="AY156" i="10"/>
  <c r="Z156" i="10"/>
  <c r="AC184" i="10"/>
  <c r="K184" i="10"/>
  <c r="BA176" i="10"/>
  <c r="AH176" i="10"/>
  <c r="AK183" i="10"/>
  <c r="AO156" i="10"/>
  <c r="AM156" i="10"/>
  <c r="AQ156" i="10"/>
  <c r="Y156" i="10"/>
  <c r="S156" i="10"/>
  <c r="AS156" i="10"/>
  <c r="G156" i="10"/>
  <c r="I156" i="10"/>
  <c r="AF156" i="10"/>
  <c r="R156" i="10"/>
  <c r="V156" i="10"/>
  <c r="BB156" i="10"/>
  <c r="AH170" i="10"/>
  <c r="AD170" i="10"/>
  <c r="H184" i="10"/>
  <c r="AN184" i="10"/>
  <c r="J176" i="10"/>
  <c r="AM176" i="10"/>
  <c r="BB183" i="10"/>
  <c r="H156" i="10"/>
  <c r="AE156" i="10"/>
  <c r="AI156" i="10"/>
  <c r="K156" i="10"/>
  <c r="L156" i="10"/>
  <c r="AG156" i="10"/>
  <c r="AL156" i="10"/>
  <c r="BC156" i="10"/>
  <c r="O156" i="10"/>
  <c r="P156" i="10"/>
  <c r="X156" i="10"/>
  <c r="N156" i="10"/>
  <c r="R170" i="10"/>
  <c r="AQ170" i="10"/>
  <c r="AI170" i="10"/>
  <c r="AB170" i="10"/>
  <c r="I184" i="10"/>
  <c r="S176" i="10"/>
  <c r="AQ183" i="10"/>
  <c r="U179" i="10"/>
  <c r="F150" i="10" a="1"/>
  <c r="N150" i="10" s="1"/>
  <c r="F148" i="10" a="1"/>
  <c r="V148" i="10" s="1"/>
  <c r="F142" i="10" a="1"/>
  <c r="AS142" i="10" s="1"/>
  <c r="AB321" i="10"/>
  <c r="AZ321" i="10"/>
  <c r="M321" i="10"/>
  <c r="AO321" i="10"/>
  <c r="AA321" i="10"/>
  <c r="AU321" i="10"/>
  <c r="K321" i="10"/>
  <c r="V321" i="10"/>
  <c r="G321" i="10"/>
  <c r="X321" i="10"/>
  <c r="AL321" i="10"/>
  <c r="H321" i="10"/>
  <c r="Q264" i="10"/>
  <c r="AY264" i="10"/>
  <c r="AL264" i="10"/>
  <c r="AC264" i="10"/>
  <c r="L264" i="10"/>
  <c r="AX264" i="10"/>
  <c r="Y264" i="10"/>
  <c r="H264" i="10"/>
  <c r="AT264" i="10"/>
  <c r="AK264" i="10"/>
  <c r="T264" i="10"/>
  <c r="G264" i="10"/>
  <c r="F146" i="10" a="1"/>
  <c r="AL146" i="10" s="1"/>
  <c r="F147" i="10" a="1"/>
  <c r="H147" i="10" s="1"/>
  <c r="F145" i="10" a="1"/>
  <c r="AC145" i="10" s="1"/>
  <c r="F281" i="10" a="1"/>
  <c r="N281" i="10" s="1"/>
  <c r="Q321" i="10"/>
  <c r="L321" i="10"/>
  <c r="R321" i="10"/>
  <c r="AH321" i="10"/>
  <c r="AF321" i="10"/>
  <c r="Z321" i="10"/>
  <c r="S321" i="10"/>
  <c r="AG321" i="10"/>
  <c r="BA321" i="10"/>
  <c r="AE321" i="10"/>
  <c r="AP321" i="10"/>
  <c r="AG264" i="10"/>
  <c r="P264" i="10"/>
  <c r="BB264" i="10"/>
  <c r="AS264" i="10"/>
  <c r="AB264" i="10"/>
  <c r="O264" i="10"/>
  <c r="AO264" i="10"/>
  <c r="X264" i="10"/>
  <c r="K264" i="10"/>
  <c r="BA264" i="10"/>
  <c r="AJ264" i="10"/>
  <c r="W264" i="10"/>
  <c r="J264" i="10"/>
  <c r="AV264" i="10"/>
  <c r="AI264" i="10"/>
  <c r="V264" i="10"/>
  <c r="M264" i="10"/>
  <c r="AU264" i="10"/>
  <c r="AH264" i="10"/>
  <c r="I264" i="10"/>
  <c r="AQ264" i="10"/>
  <c r="AD264" i="10"/>
  <c r="U264" i="10"/>
  <c r="BC264" i="10"/>
  <c r="F282" i="10" a="1"/>
  <c r="M282" i="10" s="1"/>
  <c r="F143" i="10" a="1"/>
  <c r="W143" i="10" s="1"/>
  <c r="F144" i="10" a="1"/>
  <c r="AS144" i="10" s="1"/>
  <c r="BC321" i="10"/>
  <c r="AJ321" i="10"/>
  <c r="AN321" i="10"/>
  <c r="AM321" i="10"/>
  <c r="AY321" i="10"/>
  <c r="Y321" i="10"/>
  <c r="AK321" i="10"/>
  <c r="AS321" i="10"/>
  <c r="W321" i="10"/>
  <c r="P321" i="10"/>
  <c r="U321" i="10"/>
  <c r="J321" i="10"/>
  <c r="AV321" i="10"/>
  <c r="K182" i="10"/>
  <c r="N164" i="10"/>
  <c r="I162" i="10"/>
  <c r="P182" i="10"/>
  <c r="AH162" i="10"/>
  <c r="AI182" i="10"/>
  <c r="H164" i="10"/>
  <c r="AG162" i="10"/>
  <c r="P173" i="10"/>
  <c r="G164" i="10"/>
  <c r="T164" i="10"/>
  <c r="AR164" i="10"/>
  <c r="Y182" i="10"/>
  <c r="O182" i="10"/>
  <c r="AM162" i="10"/>
  <c r="AX162" i="10"/>
  <c r="AL162" i="10"/>
  <c r="AZ162" i="10"/>
  <c r="N162" i="10"/>
  <c r="BA173" i="10"/>
  <c r="L179" i="10"/>
  <c r="L170" i="10"/>
  <c r="AT184" i="10"/>
  <c r="AS164" i="10"/>
  <c r="W164" i="10"/>
  <c r="AY170" i="10"/>
  <c r="AC170" i="10"/>
  <c r="Z182" i="10"/>
  <c r="AS182" i="10"/>
  <c r="AE162" i="10"/>
  <c r="BA182" i="10"/>
  <c r="BA184" i="10"/>
  <c r="H162" i="10"/>
  <c r="AO184" i="10"/>
  <c r="AN162" i="10"/>
  <c r="W176" i="10"/>
  <c r="I176" i="10"/>
  <c r="AR183" i="10"/>
  <c r="BA183" i="10"/>
  <c r="AL173" i="10"/>
  <c r="BA179" i="10"/>
  <c r="M180" i="10"/>
  <c r="BC170" i="10"/>
  <c r="AA170" i="10"/>
  <c r="AE184" i="10"/>
  <c r="AL184" i="10"/>
  <c r="AB164" i="10"/>
  <c r="AH164" i="10"/>
  <c r="K164" i="10"/>
  <c r="BA164" i="10"/>
  <c r="BC184" i="10"/>
  <c r="AA182" i="10"/>
  <c r="AR162" i="10"/>
  <c r="AK162" i="10"/>
  <c r="AB182" i="10"/>
  <c r="AO182" i="10"/>
  <c r="AP184" i="10"/>
  <c r="AH182" i="10"/>
  <c r="T176" i="10"/>
  <c r="M176" i="10"/>
  <c r="AN176" i="10"/>
  <c r="AP183" i="10"/>
  <c r="AM183" i="10"/>
  <c r="AB166" i="10"/>
  <c r="H183" i="10"/>
  <c r="Q183" i="10"/>
  <c r="F183" i="10"/>
  <c r="U168" i="10"/>
  <c r="AH177" i="10"/>
  <c r="G177" i="10"/>
  <c r="BA175" i="10"/>
  <c r="U177" i="10"/>
  <c r="BC161" i="10"/>
  <c r="AC171" i="10"/>
  <c r="AQ171" i="10"/>
  <c r="G171" i="10"/>
  <c r="AW167" i="10"/>
  <c r="AY171" i="10"/>
  <c r="N171" i="10"/>
  <c r="S167" i="10"/>
  <c r="AF165" i="10"/>
  <c r="AF171" i="10"/>
  <c r="AX171" i="10"/>
  <c r="V171" i="10"/>
  <c r="I167" i="10"/>
  <c r="AG165" i="10"/>
  <c r="AW166" i="10"/>
  <c r="F171" i="10"/>
  <c r="AG171" i="10"/>
  <c r="AZ163" i="10"/>
  <c r="BB169" i="10"/>
  <c r="AY163" i="10"/>
  <c r="J169" i="10"/>
  <c r="W163" i="10"/>
  <c r="AZ167" i="10"/>
  <c r="AQ167" i="10"/>
  <c r="K167" i="10"/>
  <c r="AB165" i="10"/>
  <c r="AU165" i="10"/>
  <c r="AO165" i="10"/>
  <c r="AI171" i="10"/>
  <c r="S171" i="10"/>
  <c r="I171" i="10"/>
  <c r="M171" i="10"/>
  <c r="R171" i="10"/>
  <c r="AW171" i="10"/>
  <c r="BC171" i="10"/>
  <c r="AV171" i="10"/>
  <c r="AN171" i="10"/>
  <c r="Z163" i="10"/>
  <c r="AK171" i="10"/>
  <c r="AH171" i="10"/>
  <c r="K163" i="10"/>
  <c r="AM171" i="10"/>
  <c r="AM163" i="10"/>
  <c r="AO169" i="10"/>
  <c r="Q169" i="10"/>
  <c r="AC163" i="10"/>
  <c r="AL163" i="10"/>
  <c r="AF167" i="10"/>
  <c r="G167" i="10"/>
  <c r="AI167" i="10"/>
  <c r="J165" i="10"/>
  <c r="Z165" i="10"/>
  <c r="G165" i="10"/>
  <c r="AG161" i="10"/>
  <c r="K171" i="10"/>
  <c r="O171" i="10"/>
  <c r="J171" i="10"/>
  <c r="AL171" i="10"/>
  <c r="AP171" i="10"/>
  <c r="Y171" i="10"/>
  <c r="AT171" i="10"/>
  <c r="AB171" i="10"/>
  <c r="AO171" i="10"/>
  <c r="BA171" i="10"/>
  <c r="Q163" i="10"/>
  <c r="AR171" i="10"/>
  <c r="BB171" i="10"/>
  <c r="T169" i="10"/>
  <c r="U169" i="10"/>
  <c r="I169" i="10"/>
  <c r="AT169" i="10"/>
  <c r="Y169" i="10"/>
  <c r="T163" i="10"/>
  <c r="AU167" i="10"/>
  <c r="AM167" i="10"/>
  <c r="Q167" i="10"/>
  <c r="T165" i="10"/>
  <c r="U165" i="10"/>
  <c r="X165" i="10"/>
  <c r="L171" i="10"/>
  <c r="T171" i="10"/>
  <c r="AE171" i="10"/>
  <c r="AD171" i="10"/>
  <c r="X171" i="10"/>
  <c r="AS171" i="10"/>
  <c r="P171" i="10"/>
  <c r="AU171" i="10"/>
  <c r="AJ171" i="10"/>
  <c r="W171" i="10"/>
  <c r="AZ171" i="10"/>
  <c r="H171" i="10"/>
  <c r="AH169" i="10"/>
  <c r="AB169" i="10"/>
  <c r="AF169" i="10"/>
  <c r="AH163" i="10"/>
  <c r="AQ166" i="10"/>
  <c r="AO179" i="10"/>
  <c r="AF179" i="10"/>
  <c r="V179" i="10"/>
  <c r="AP180" i="10"/>
  <c r="F180" i="10"/>
  <c r="H166" i="10"/>
  <c r="AO180" i="10"/>
  <c r="L180" i="10"/>
  <c r="T166" i="10"/>
  <c r="G170" i="10"/>
  <c r="AX170" i="10"/>
  <c r="J170" i="10"/>
  <c r="AS170" i="10"/>
  <c r="AG170" i="10"/>
  <c r="AT170" i="10"/>
  <c r="BA170" i="10"/>
  <c r="AP170" i="10"/>
  <c r="AO170" i="10"/>
  <c r="O170" i="10"/>
  <c r="AB184" i="10"/>
  <c r="Q184" i="10"/>
  <c r="AQ184" i="10"/>
  <c r="AZ184" i="10"/>
  <c r="M184" i="10"/>
  <c r="Y184" i="10"/>
  <c r="H170" i="10"/>
  <c r="U170" i="10"/>
  <c r="F170" i="10"/>
  <c r="AS184" i="10"/>
  <c r="AI184" i="10"/>
  <c r="Z184" i="10"/>
  <c r="AK184" i="10"/>
  <c r="T184" i="10"/>
  <c r="Q176" i="10"/>
  <c r="AF176" i="10"/>
  <c r="AR176" i="10"/>
  <c r="R176" i="10"/>
  <c r="F176" i="10"/>
  <c r="AY176" i="10"/>
  <c r="AI176" i="10"/>
  <c r="P176" i="10"/>
  <c r="AW176" i="10"/>
  <c r="AZ176" i="10"/>
  <c r="Y176" i="10"/>
  <c r="AS176" i="10"/>
  <c r="AV176" i="10"/>
  <c r="AH183" i="10"/>
  <c r="T183" i="10"/>
  <c r="AF183" i="10"/>
  <c r="AJ183" i="10"/>
  <c r="AX183" i="10"/>
  <c r="P183" i="10"/>
  <c r="AV183" i="10"/>
  <c r="AD183" i="10"/>
  <c r="AB183" i="10"/>
  <c r="G183" i="10"/>
  <c r="J183" i="10"/>
  <c r="AC183" i="10"/>
  <c r="AO166" i="10"/>
  <c r="K166" i="10"/>
  <c r="Q166" i="10"/>
  <c r="J179" i="10"/>
  <c r="AC179" i="10"/>
  <c r="AJ179" i="10"/>
  <c r="Z180" i="10"/>
  <c r="AL180" i="10"/>
  <c r="AG180" i="10"/>
  <c r="Q170" i="10"/>
  <c r="Y170" i="10"/>
  <c r="AL170" i="10"/>
  <c r="AK170" i="10"/>
  <c r="AW170" i="10"/>
  <c r="T170" i="10"/>
  <c r="AM170" i="10"/>
  <c r="AF170" i="10"/>
  <c r="AV170" i="10"/>
  <c r="L184" i="10"/>
  <c r="X184" i="10"/>
  <c r="N184" i="10"/>
  <c r="AF184" i="10"/>
  <c r="BB184" i="10"/>
  <c r="AR184" i="10"/>
  <c r="AZ170" i="10"/>
  <c r="AE170" i="10"/>
  <c r="M170" i="10"/>
  <c r="AD184" i="10"/>
  <c r="V184" i="10"/>
  <c r="AY184" i="10"/>
  <c r="S184" i="10"/>
  <c r="P184" i="10"/>
  <c r="AC176" i="10"/>
  <c r="K176" i="10"/>
  <c r="AJ176" i="10"/>
  <c r="AB176" i="10"/>
  <c r="L176" i="10"/>
  <c r="AU176" i="10"/>
  <c r="AP176" i="10"/>
  <c r="AX176" i="10"/>
  <c r="AA176" i="10"/>
  <c r="AO176" i="10"/>
  <c r="AT176" i="10"/>
  <c r="V176" i="10"/>
  <c r="H176" i="10"/>
  <c r="AU183" i="10"/>
  <c r="O183" i="10"/>
  <c r="AA183" i="10"/>
  <c r="AE183" i="10"/>
  <c r="Z183" i="10"/>
  <c r="AS183" i="10"/>
  <c r="I183" i="10"/>
  <c r="AN183" i="10"/>
  <c r="AG183" i="10"/>
  <c r="V183" i="10"/>
  <c r="AZ183" i="10"/>
  <c r="AY183" i="10"/>
  <c r="AW183" i="10"/>
  <c r="V166" i="10"/>
  <c r="AD166" i="10"/>
  <c r="AE166" i="10"/>
  <c r="AG179" i="10"/>
  <c r="AN179" i="10"/>
  <c r="O179" i="10"/>
  <c r="AH179" i="10"/>
  <c r="U180" i="10"/>
  <c r="AR180" i="10"/>
  <c r="AD180" i="10"/>
  <c r="I170" i="10"/>
  <c r="BB170" i="10"/>
  <c r="AJ170" i="10"/>
  <c r="AR170" i="10"/>
  <c r="Z170" i="10"/>
  <c r="S170" i="10"/>
  <c r="K170" i="10"/>
  <c r="P170" i="10"/>
  <c r="N170" i="10"/>
  <c r="U184" i="10"/>
  <c r="G184" i="10"/>
  <c r="J184" i="10"/>
  <c r="AU184" i="10"/>
  <c r="AX184" i="10"/>
  <c r="F184" i="10"/>
  <c r="AN170" i="10"/>
  <c r="W170" i="10"/>
  <c r="X170" i="10"/>
  <c r="AH184" i="10"/>
  <c r="AA184" i="10"/>
  <c r="AM184" i="10"/>
  <c r="R184" i="10"/>
  <c r="AW184" i="10"/>
  <c r="W184" i="10"/>
  <c r="AG184" i="10"/>
  <c r="AV184" i="10"/>
  <c r="Z176" i="10"/>
  <c r="AE176" i="10"/>
  <c r="AL176" i="10"/>
  <c r="U176" i="10"/>
  <c r="N176" i="10"/>
  <c r="BC176" i="10"/>
  <c r="O176" i="10"/>
  <c r="G176" i="10"/>
  <c r="X176" i="10"/>
  <c r="AQ176" i="10"/>
  <c r="AG176" i="10"/>
  <c r="AD176" i="10"/>
  <c r="AI183" i="10"/>
  <c r="K183" i="10"/>
  <c r="AO183" i="10"/>
  <c r="S183" i="10"/>
  <c r="Y183" i="10"/>
  <c r="BC183" i="10"/>
  <c r="X183" i="10"/>
  <c r="W183" i="10"/>
  <c r="R183" i="10"/>
  <c r="AT183" i="10"/>
  <c r="AL183" i="10"/>
  <c r="N183" i="10"/>
  <c r="L183" i="10"/>
  <c r="AD173" i="10"/>
  <c r="Z164" i="10"/>
  <c r="AW164" i="10"/>
  <c r="I164" i="10"/>
  <c r="AX164" i="10"/>
  <c r="AO164" i="10"/>
  <c r="AD164" i="10"/>
  <c r="O164" i="10"/>
  <c r="J164" i="10"/>
  <c r="P164" i="10"/>
  <c r="R164" i="10"/>
  <c r="AF164" i="10"/>
  <c r="AV164" i="10"/>
  <c r="Q164" i="10"/>
  <c r="AK182" i="10"/>
  <c r="AL182" i="10"/>
  <c r="AM182" i="10"/>
  <c r="AN182" i="10"/>
  <c r="W182" i="10"/>
  <c r="X162" i="10"/>
  <c r="F162" i="10"/>
  <c r="AJ162" i="10"/>
  <c r="AY162" i="10"/>
  <c r="M162" i="10"/>
  <c r="U162" i="10"/>
  <c r="AE182" i="10"/>
  <c r="J182" i="10"/>
  <c r="P162" i="10"/>
  <c r="AV162" i="10"/>
  <c r="AJ182" i="10"/>
  <c r="S182" i="10"/>
  <c r="AW182" i="10"/>
  <c r="AT162" i="10"/>
  <c r="AO162" i="10"/>
  <c r="AD182" i="10"/>
  <c r="BB162" i="10"/>
  <c r="AC182" i="10"/>
  <c r="AW162" i="10"/>
  <c r="W162" i="10"/>
  <c r="J173" i="10"/>
  <c r="N173" i="10"/>
  <c r="AZ164" i="10"/>
  <c r="AL164" i="10"/>
  <c r="AG164" i="10"/>
  <c r="AI164" i="10"/>
  <c r="AK164" i="10"/>
  <c r="BB164" i="10"/>
  <c r="AA164" i="10"/>
  <c r="AJ164" i="10"/>
  <c r="AC164" i="10"/>
  <c r="BC164" i="10"/>
  <c r="AY164" i="10"/>
  <c r="V164" i="10"/>
  <c r="AX182" i="10"/>
  <c r="AY182" i="10"/>
  <c r="AV182" i="10"/>
  <c r="V182" i="10"/>
  <c r="Q182" i="10"/>
  <c r="J162" i="10"/>
  <c r="T162" i="10"/>
  <c r="L162" i="10"/>
  <c r="AA162" i="10"/>
  <c r="Y162" i="10"/>
  <c r="AP162" i="10"/>
  <c r="I182" i="10"/>
  <c r="BC182" i="10"/>
  <c r="AB162" i="10"/>
  <c r="BA162" i="10"/>
  <c r="R182" i="10"/>
  <c r="AR182" i="10"/>
  <c r="AQ182" i="10"/>
  <c r="AQ162" i="10"/>
  <c r="AI162" i="10"/>
  <c r="S162" i="10"/>
  <c r="X182" i="10"/>
  <c r="AS162" i="10"/>
  <c r="F182" i="10"/>
  <c r="K173" i="10"/>
  <c r="U173" i="10"/>
  <c r="I173" i="10"/>
  <c r="R173" i="10"/>
  <c r="AE164" i="10"/>
  <c r="Y164" i="10"/>
  <c r="AT164" i="10"/>
  <c r="M164" i="10"/>
  <c r="F164" i="10"/>
  <c r="U164" i="10"/>
  <c r="AU164" i="10"/>
  <c r="AP164" i="10"/>
  <c r="S164" i="10"/>
  <c r="AN164" i="10"/>
  <c r="AM164" i="10"/>
  <c r="X164" i="10"/>
  <c r="AQ164" i="10"/>
  <c r="H182" i="10"/>
  <c r="M182" i="10"/>
  <c r="N182" i="10"/>
  <c r="U182" i="10"/>
  <c r="L182" i="10"/>
  <c r="AT182" i="10"/>
  <c r="AC162" i="10"/>
  <c r="AD162" i="10"/>
  <c r="BC162" i="10"/>
  <c r="V162" i="10"/>
  <c r="O162" i="10"/>
  <c r="BB182" i="10"/>
  <c r="AG182" i="10"/>
  <c r="K162" i="10"/>
  <c r="Q162" i="10"/>
  <c r="AU182" i="10"/>
  <c r="AP182" i="10"/>
  <c r="Z162" i="10"/>
  <c r="AF162" i="10"/>
  <c r="AZ182" i="10"/>
  <c r="G162" i="10"/>
  <c r="R162" i="10"/>
  <c r="G182" i="10"/>
  <c r="AF182" i="10"/>
  <c r="M177" i="10"/>
  <c r="AS177" i="10"/>
  <c r="F168" i="10"/>
  <c r="AU168" i="10"/>
  <c r="G168" i="10"/>
  <c r="Y175" i="10"/>
  <c r="BB168" i="10"/>
  <c r="R175" i="10"/>
  <c r="AL177" i="10"/>
  <c r="AV168" i="10"/>
  <c r="H168" i="10"/>
  <c r="AM168" i="10"/>
  <c r="P177" i="10"/>
  <c r="AC168" i="10"/>
  <c r="AC175" i="10"/>
  <c r="O175" i="10"/>
  <c r="S175" i="10"/>
  <c r="AM177" i="10"/>
  <c r="AC177" i="10"/>
  <c r="AO168" i="10"/>
  <c r="R168" i="10"/>
  <c r="AA168" i="10"/>
  <c r="AA175" i="10"/>
  <c r="AO175" i="10"/>
  <c r="AM175" i="10"/>
  <c r="J175" i="10"/>
  <c r="X177" i="10"/>
  <c r="AG177" i="10"/>
  <c r="Q177" i="10"/>
  <c r="AW168" i="10"/>
  <c r="AB168" i="10"/>
  <c r="V168" i="10"/>
  <c r="W175" i="10"/>
  <c r="X175" i="10"/>
  <c r="E181" i="10"/>
  <c r="BB178" i="10"/>
  <c r="AW177" i="10"/>
  <c r="V177" i="10"/>
  <c r="AT177" i="10"/>
  <c r="H177" i="10"/>
  <c r="W177" i="10"/>
  <c r="BB177" i="10"/>
  <c r="AD177" i="10"/>
  <c r="AE177" i="10"/>
  <c r="BA177" i="10"/>
  <c r="AV177" i="10"/>
  <c r="AJ168" i="10"/>
  <c r="AS168" i="10"/>
  <c r="M168" i="10"/>
  <c r="K168" i="10"/>
  <c r="W168" i="10"/>
  <c r="S168" i="10"/>
  <c r="AH168" i="10"/>
  <c r="X168" i="10"/>
  <c r="N168" i="10"/>
  <c r="AA177" i="10"/>
  <c r="I177" i="10"/>
  <c r="AJ175" i="10"/>
  <c r="L175" i="10"/>
  <c r="V175" i="10"/>
  <c r="AL175" i="10"/>
  <c r="AZ175" i="10"/>
  <c r="AW175" i="10"/>
  <c r="G175" i="10"/>
  <c r="N175" i="10"/>
  <c r="AB175" i="10"/>
  <c r="AX175" i="10"/>
  <c r="AD175" i="10"/>
  <c r="BC175" i="10"/>
  <c r="AS175" i="10"/>
  <c r="Y177" i="10"/>
  <c r="O177" i="10"/>
  <c r="AX177" i="10"/>
  <c r="AN177" i="10"/>
  <c r="AR177" i="10"/>
  <c r="Z177" i="10"/>
  <c r="AQ177" i="10"/>
  <c r="S177" i="10"/>
  <c r="AU177" i="10"/>
  <c r="AP177" i="10"/>
  <c r="AJ177" i="10"/>
  <c r="AL168" i="10"/>
  <c r="AF168" i="10"/>
  <c r="AR168" i="10"/>
  <c r="P168" i="10"/>
  <c r="AN168" i="10"/>
  <c r="Z168" i="10"/>
  <c r="Y168" i="10"/>
  <c r="J168" i="10"/>
  <c r="AP168" i="10"/>
  <c r="BA168" i="10"/>
  <c r="I168" i="10"/>
  <c r="AY177" i="10"/>
  <c r="L177" i="10"/>
  <c r="AZ168" i="10"/>
  <c r="L168" i="10"/>
  <c r="P175" i="10"/>
  <c r="K175" i="10"/>
  <c r="AH175" i="10"/>
  <c r="AE175" i="10"/>
  <c r="AN175" i="10"/>
  <c r="T175" i="10"/>
  <c r="AI175" i="10"/>
  <c r="H175" i="10"/>
  <c r="AP175" i="10"/>
  <c r="M175" i="10"/>
  <c r="Z175" i="10"/>
  <c r="BB175" i="10"/>
  <c r="AO177" i="10"/>
  <c r="AI177" i="10"/>
  <c r="AZ177" i="10"/>
  <c r="AF177" i="10"/>
  <c r="T177" i="10"/>
  <c r="K177" i="10"/>
  <c r="F177" i="10"/>
  <c r="AK177" i="10"/>
  <c r="N177" i="10"/>
  <c r="BC177" i="10"/>
  <c r="AI168" i="10"/>
  <c r="AK168" i="10"/>
  <c r="O168" i="10"/>
  <c r="AY168" i="10"/>
  <c r="AD168" i="10"/>
  <c r="AX168" i="10"/>
  <c r="AG168" i="10"/>
  <c r="Q168" i="10"/>
  <c r="AE168" i="10"/>
  <c r="T168" i="10"/>
  <c r="BC168" i="10"/>
  <c r="AB177" i="10"/>
  <c r="J177" i="10"/>
  <c r="AT168" i="10"/>
  <c r="Q175" i="10"/>
  <c r="AK175" i="10"/>
  <c r="AT175" i="10"/>
  <c r="AQ175" i="10"/>
  <c r="F175" i="10"/>
  <c r="U175" i="10"/>
  <c r="AY175" i="10"/>
  <c r="AU175" i="10"/>
  <c r="AV175" i="10"/>
  <c r="AF175" i="10"/>
  <c r="AG175" i="10"/>
  <c r="AR175" i="10"/>
  <c r="AE167" i="10"/>
  <c r="AB167" i="10"/>
  <c r="Z167" i="10"/>
  <c r="F167" i="10"/>
  <c r="AJ167" i="10"/>
  <c r="AS167" i="10"/>
  <c r="W167" i="10"/>
  <c r="AT167" i="10"/>
  <c r="H167" i="10"/>
  <c r="AH167" i="10"/>
  <c r="M167" i="10"/>
  <c r="AY167" i="10"/>
  <c r="U167" i="10"/>
  <c r="F165" i="10"/>
  <c r="AL165" i="10"/>
  <c r="AZ165" i="10"/>
  <c r="AK165" i="10"/>
  <c r="AX165" i="10"/>
  <c r="AC165" i="10"/>
  <c r="AY165" i="10"/>
  <c r="K165" i="10"/>
  <c r="AR165" i="10"/>
  <c r="AP165" i="10"/>
  <c r="BA165" i="10"/>
  <c r="AS165" i="10"/>
  <c r="T161" i="10"/>
  <c r="F161" i="10"/>
  <c r="AM165" i="10"/>
  <c r="V163" i="10"/>
  <c r="F163" i="10"/>
  <c r="L163" i="10"/>
  <c r="AF163" i="10"/>
  <c r="BB163" i="10"/>
  <c r="AW163" i="10"/>
  <c r="AI163" i="10"/>
  <c r="W169" i="10"/>
  <c r="AN169" i="10"/>
  <c r="L169" i="10"/>
  <c r="AU169" i="10"/>
  <c r="AY169" i="10"/>
  <c r="X169" i="10"/>
  <c r="AL169" i="10"/>
  <c r="AG169" i="10"/>
  <c r="M169" i="10"/>
  <c r="AD169" i="10"/>
  <c r="AS169" i="10"/>
  <c r="AE169" i="10"/>
  <c r="K169" i="10"/>
  <c r="AN163" i="10"/>
  <c r="AG163" i="10"/>
  <c r="M163" i="10"/>
  <c r="AS163" i="10"/>
  <c r="N163" i="10"/>
  <c r="S163" i="10"/>
  <c r="AJ163" i="10"/>
  <c r="BC167" i="10"/>
  <c r="BA167" i="10"/>
  <c r="AN167" i="10"/>
  <c r="J167" i="10"/>
  <c r="AC167" i="10"/>
  <c r="N167" i="10"/>
  <c r="AG167" i="10"/>
  <c r="AV167" i="10"/>
  <c r="P167" i="10"/>
  <c r="V167" i="10"/>
  <c r="AA167" i="10"/>
  <c r="O167" i="10"/>
  <c r="I165" i="10"/>
  <c r="S165" i="10"/>
  <c r="Q165" i="10"/>
  <c r="AJ165" i="10"/>
  <c r="V165" i="10"/>
  <c r="M165" i="10"/>
  <c r="R165" i="10"/>
  <c r="O165" i="10"/>
  <c r="AN165" i="10"/>
  <c r="BC165" i="10"/>
  <c r="BB165" i="10"/>
  <c r="AA165" i="10"/>
  <c r="AV161" i="10"/>
  <c r="AX161" i="10"/>
  <c r="R161" i="10"/>
  <c r="AU163" i="10"/>
  <c r="J163" i="10"/>
  <c r="AK163" i="10"/>
  <c r="AB163" i="10"/>
  <c r="H163" i="10"/>
  <c r="O163" i="10"/>
  <c r="R169" i="10"/>
  <c r="AC169" i="10"/>
  <c r="AI169" i="10"/>
  <c r="AA169" i="10"/>
  <c r="AK169" i="10"/>
  <c r="V169" i="10"/>
  <c r="AP169" i="10"/>
  <c r="AJ169" i="10"/>
  <c r="P169" i="10"/>
  <c r="AW169" i="10"/>
  <c r="BA169" i="10"/>
  <c r="AR163" i="10"/>
  <c r="AV163" i="10"/>
  <c r="R163" i="10"/>
  <c r="O169" i="10"/>
  <c r="Y163" i="10"/>
  <c r="U163" i="10"/>
  <c r="AD163" i="10"/>
  <c r="AQ163" i="10"/>
  <c r="AL167" i="10"/>
  <c r="X167" i="10"/>
  <c r="AR167" i="10"/>
  <c r="L167" i="10"/>
  <c r="AX167" i="10"/>
  <c r="BB167" i="10"/>
  <c r="AK167" i="10"/>
  <c r="AO167" i="10"/>
  <c r="T167" i="10"/>
  <c r="AP167" i="10"/>
  <c r="R167" i="10"/>
  <c r="Y167" i="10"/>
  <c r="AV165" i="10"/>
  <c r="L165" i="10"/>
  <c r="N165" i="10"/>
  <c r="AE165" i="10"/>
  <c r="AW165" i="10"/>
  <c r="AT165" i="10"/>
  <c r="AH165" i="10"/>
  <c r="AQ165" i="10"/>
  <c r="W165" i="10"/>
  <c r="AI165" i="10"/>
  <c r="P165" i="10"/>
  <c r="Y165" i="10"/>
  <c r="AI161" i="10"/>
  <c r="AC161" i="10"/>
  <c r="K161" i="10"/>
  <c r="AE163" i="10"/>
  <c r="X163" i="10"/>
  <c r="G163" i="10"/>
  <c r="AX163" i="10"/>
  <c r="AP163" i="10"/>
  <c r="BC163" i="10"/>
  <c r="F169" i="10"/>
  <c r="AX169" i="10"/>
  <c r="AR169" i="10"/>
  <c r="BC169" i="10"/>
  <c r="N169" i="10"/>
  <c r="G169" i="10"/>
  <c r="Z169" i="10"/>
  <c r="S169" i="10"/>
  <c r="AV169" i="10"/>
  <c r="AM169" i="10"/>
  <c r="AQ169" i="10"/>
  <c r="AZ169" i="10"/>
  <c r="AT163" i="10"/>
  <c r="AA163" i="10"/>
  <c r="I163" i="10"/>
  <c r="P163" i="10"/>
  <c r="AO163" i="10"/>
  <c r="AA173" i="10"/>
  <c r="H173" i="10"/>
  <c r="AW173" i="10"/>
  <c r="Q173" i="10"/>
  <c r="L173" i="10"/>
  <c r="AM173" i="10"/>
  <c r="T173" i="10"/>
  <c r="O173" i="10"/>
  <c r="AI173" i="10"/>
  <c r="V173" i="10"/>
  <c r="AU173" i="10"/>
  <c r="AH173" i="10"/>
  <c r="AZ173" i="10"/>
  <c r="AQ173" i="10"/>
  <c r="Y173" i="10"/>
  <c r="AC173" i="10"/>
  <c r="AX173" i="10"/>
  <c r="AT173" i="10"/>
  <c r="AV173" i="10"/>
  <c r="AJ173" i="10"/>
  <c r="AF173" i="10"/>
  <c r="M173" i="10"/>
  <c r="W173" i="10"/>
  <c r="BB173" i="10"/>
  <c r="AE173" i="10"/>
  <c r="S173" i="10"/>
  <c r="AB173" i="10"/>
  <c r="AS173" i="10"/>
  <c r="AK173" i="10"/>
  <c r="AR173" i="10"/>
  <c r="BC173" i="10"/>
  <c r="AN173" i="10"/>
  <c r="X173" i="10"/>
  <c r="AG173" i="10"/>
  <c r="G173" i="10"/>
  <c r="AO173" i="10"/>
  <c r="F173" i="10"/>
  <c r="Z173" i="10"/>
  <c r="AP173" i="10"/>
  <c r="F160" i="10"/>
  <c r="BA160" i="10"/>
  <c r="AS160" i="10"/>
  <c r="BB160" i="10"/>
  <c r="AI159" i="10"/>
  <c r="AD159" i="10"/>
  <c r="O160" i="10"/>
  <c r="AE178" i="10"/>
  <c r="S178" i="10"/>
  <c r="AD178" i="10"/>
  <c r="BC160" i="10"/>
  <c r="AY159" i="10"/>
  <c r="AS159" i="10"/>
  <c r="L178" i="10"/>
  <c r="AZ178" i="10"/>
  <c r="O178" i="10"/>
  <c r="AK178" i="10"/>
  <c r="AP160" i="10"/>
  <c r="AX160" i="10"/>
  <c r="AX159" i="10"/>
  <c r="AY178" i="10"/>
  <c r="T178" i="10"/>
  <c r="F178" i="10"/>
  <c r="G178" i="10"/>
  <c r="J178" i="10"/>
  <c r="P178" i="10"/>
  <c r="N178" i="10"/>
  <c r="AF178" i="10"/>
  <c r="BA178" i="10"/>
  <c r="AJ178" i="10"/>
  <c r="I178" i="10"/>
  <c r="AC178" i="10"/>
  <c r="AH178" i="10"/>
  <c r="H178" i="10"/>
  <c r="AU178" i="10"/>
  <c r="Z160" i="10"/>
  <c r="AV160" i="10"/>
  <c r="AT160" i="10"/>
  <c r="W160" i="10"/>
  <c r="AU160" i="10"/>
  <c r="X160" i="10"/>
  <c r="AR160" i="10"/>
  <c r="AZ160" i="10"/>
  <c r="Q159" i="10"/>
  <c r="BC159" i="10"/>
  <c r="AF159" i="10"/>
  <c r="L160" i="10"/>
  <c r="AD160" i="10"/>
  <c r="AM160" i="10"/>
  <c r="V160" i="10"/>
  <c r="AJ159" i="10"/>
  <c r="AJ160" i="10"/>
  <c r="AC160" i="10"/>
  <c r="U160" i="10"/>
  <c r="J159" i="10"/>
  <c r="M178" i="10"/>
  <c r="Y160" i="10"/>
  <c r="Q160" i="10"/>
  <c r="AO160" i="10"/>
  <c r="AQ160" i="10"/>
  <c r="AR159" i="10"/>
  <c r="AG178" i="10"/>
  <c r="AW178" i="10"/>
  <c r="AI178" i="10"/>
  <c r="U178" i="10"/>
  <c r="AP178" i="10"/>
  <c r="AS178" i="10"/>
  <c r="AQ178" i="10"/>
  <c r="AL178" i="10"/>
  <c r="R178" i="10"/>
  <c r="AA178" i="10"/>
  <c r="AN178" i="10"/>
  <c r="AK160" i="10"/>
  <c r="H160" i="10"/>
  <c r="AW160" i="10"/>
  <c r="G160" i="10"/>
  <c r="AB160" i="10"/>
  <c r="AK159" i="10"/>
  <c r="AL159" i="10"/>
  <c r="R160" i="10"/>
  <c r="AI160" i="10"/>
  <c r="N166" i="10"/>
  <c r="J166" i="10"/>
  <c r="S160" i="10"/>
  <c r="V178" i="10"/>
  <c r="X178" i="10"/>
  <c r="AX178" i="10"/>
  <c r="Z178" i="10"/>
  <c r="W178" i="10"/>
  <c r="AV178" i="10"/>
  <c r="AR178" i="10"/>
  <c r="K178" i="10"/>
  <c r="AM178" i="10"/>
  <c r="Q180" i="10"/>
  <c r="X166" i="10"/>
  <c r="N159" i="10"/>
  <c r="AT178" i="10"/>
  <c r="AO178" i="10"/>
  <c r="Y178" i="10"/>
  <c r="AP166" i="10"/>
  <c r="Q178" i="10"/>
  <c r="AB178" i="10"/>
  <c r="M166" i="10"/>
  <c r="Y166" i="10"/>
  <c r="AZ166" i="10"/>
  <c r="BB166" i="10"/>
  <c r="U166" i="10"/>
  <c r="BC166" i="10"/>
  <c r="R166" i="10"/>
  <c r="AA166" i="10"/>
  <c r="AG166" i="10"/>
  <c r="AU179" i="10"/>
  <c r="Z179" i="10"/>
  <c r="AW179" i="10"/>
  <c r="G179" i="10"/>
  <c r="AV179" i="10"/>
  <c r="AS179" i="10"/>
  <c r="AD179" i="10"/>
  <c r="Q179" i="10"/>
  <c r="S179" i="10"/>
  <c r="BC179" i="10"/>
  <c r="AY179" i="10"/>
  <c r="AQ180" i="10"/>
  <c r="AY180" i="10"/>
  <c r="AH180" i="10"/>
  <c r="AK180" i="10"/>
  <c r="AJ180" i="10"/>
  <c r="J180" i="10"/>
  <c r="AI180" i="10"/>
  <c r="G180" i="10"/>
  <c r="AC180" i="10"/>
  <c r="Y180" i="10"/>
  <c r="R180" i="10"/>
  <c r="AU180" i="10"/>
  <c r="AS180" i="10"/>
  <c r="BC180" i="10"/>
  <c r="AR166" i="10"/>
  <c r="P166" i="10"/>
  <c r="O166" i="10"/>
  <c r="AY166" i="10"/>
  <c r="W166" i="10"/>
  <c r="AN166" i="10"/>
  <c r="S166" i="10"/>
  <c r="AS166" i="10"/>
  <c r="AU166" i="10"/>
  <c r="I166" i="10"/>
  <c r="AV166" i="10"/>
  <c r="F179" i="10"/>
  <c r="N179" i="10"/>
  <c r="AM179" i="10"/>
  <c r="AL179" i="10"/>
  <c r="T179" i="10"/>
  <c r="I179" i="10"/>
  <c r="P179" i="10"/>
  <c r="H179" i="10"/>
  <c r="AA179" i="10"/>
  <c r="AB179" i="10"/>
  <c r="AT179" i="10"/>
  <c r="BB179" i="10"/>
  <c r="AT180" i="10"/>
  <c r="I180" i="10"/>
  <c r="X180" i="10"/>
  <c r="AZ180" i="10"/>
  <c r="O180" i="10"/>
  <c r="AB180" i="10"/>
  <c r="V180" i="10"/>
  <c r="S180" i="10"/>
  <c r="AE180" i="10"/>
  <c r="F166" i="10"/>
  <c r="K180" i="10"/>
  <c r="AX180" i="10"/>
  <c r="AL166" i="10"/>
  <c r="G166" i="10"/>
  <c r="Z166" i="10"/>
  <c r="AM166" i="10"/>
  <c r="AF166" i="10"/>
  <c r="AH166" i="10"/>
  <c r="AC166" i="10"/>
  <c r="AJ166" i="10"/>
  <c r="AK166" i="10"/>
  <c r="AI166" i="10"/>
  <c r="L166" i="10"/>
  <c r="AT166" i="10"/>
  <c r="AX166" i="10"/>
  <c r="R179" i="10"/>
  <c r="Y179" i="10"/>
  <c r="AK179" i="10"/>
  <c r="AE179" i="10"/>
  <c r="AZ179" i="10"/>
  <c r="K179" i="10"/>
  <c r="AQ179" i="10"/>
  <c r="M179" i="10"/>
  <c r="W179" i="10"/>
  <c r="X179" i="10"/>
  <c r="AI179" i="10"/>
  <c r="AX179" i="10"/>
  <c r="AR179" i="10"/>
  <c r="P180" i="10"/>
  <c r="AM180" i="10"/>
  <c r="AA180" i="10"/>
  <c r="BB180" i="10"/>
  <c r="H180" i="10"/>
  <c r="W180" i="10"/>
  <c r="BA180" i="10"/>
  <c r="N180" i="10"/>
  <c r="AV180" i="10"/>
  <c r="T180" i="10"/>
  <c r="AN180" i="10"/>
  <c r="AG174" i="10"/>
  <c r="P159" i="10"/>
  <c r="V159" i="10"/>
  <c r="AP159" i="10"/>
  <c r="F159" i="10"/>
  <c r="BB159" i="10"/>
  <c r="L159" i="10"/>
  <c r="AP161" i="10"/>
  <c r="AJ161" i="10"/>
  <c r="AL161" i="10"/>
  <c r="M160" i="10"/>
  <c r="K160" i="10"/>
  <c r="T160" i="10"/>
  <c r="M161" i="10"/>
  <c r="BB161" i="10"/>
  <c r="J161" i="10"/>
  <c r="AH159" i="10"/>
  <c r="T159" i="10"/>
  <c r="Y159" i="10"/>
  <c r="O159" i="10"/>
  <c r="AV159" i="10"/>
  <c r="AH161" i="10"/>
  <c r="BA161" i="10"/>
  <c r="AY161" i="10"/>
  <c r="AT161" i="10"/>
  <c r="I161" i="10"/>
  <c r="V161" i="10"/>
  <c r="AY160" i="10"/>
  <c r="AA160" i="10"/>
  <c r="S161" i="10"/>
  <c r="AN161" i="10"/>
  <c r="N161" i="10"/>
  <c r="AG159" i="10"/>
  <c r="X174" i="10"/>
  <c r="AM174" i="10"/>
  <c r="AH174" i="10"/>
  <c r="AL174" i="10"/>
  <c r="I174" i="10"/>
  <c r="M159" i="10"/>
  <c r="AB159" i="10"/>
  <c r="BA159" i="10"/>
  <c r="H159" i="10"/>
  <c r="AN159" i="10"/>
  <c r="AQ159" i="10"/>
  <c r="AW159" i="10"/>
  <c r="AO159" i="10"/>
  <c r="AZ159" i="10"/>
  <c r="H161" i="10"/>
  <c r="Y161" i="10"/>
  <c r="AS161" i="10"/>
  <c r="AO161" i="10"/>
  <c r="AR161" i="10"/>
  <c r="W161" i="10"/>
  <c r="O161" i="10"/>
  <c r="Q161" i="10"/>
  <c r="L161" i="10"/>
  <c r="AF161" i="10"/>
  <c r="AK161" i="10"/>
  <c r="AH160" i="10"/>
  <c r="AL160" i="10"/>
  <c r="I160" i="10"/>
  <c r="AF160" i="10"/>
  <c r="N160" i="10"/>
  <c r="P160" i="10"/>
  <c r="X161" i="10"/>
  <c r="W159" i="10"/>
  <c r="X159" i="10"/>
  <c r="AM159" i="10"/>
  <c r="G159" i="10"/>
  <c r="AE159" i="10"/>
  <c r="R159" i="10"/>
  <c r="AA159" i="10"/>
  <c r="AT159" i="10"/>
  <c r="AC159" i="10"/>
  <c r="Z159" i="10"/>
  <c r="S159" i="10"/>
  <c r="G161" i="10"/>
  <c r="AU161" i="10"/>
  <c r="AD161" i="10"/>
  <c r="U161" i="10"/>
  <c r="AW161" i="10"/>
  <c r="AE161" i="10"/>
  <c r="AZ161" i="10"/>
  <c r="AB161" i="10"/>
  <c r="AA161" i="10"/>
  <c r="AQ161" i="10"/>
  <c r="AG160" i="10"/>
  <c r="AN160" i="10"/>
  <c r="J160" i="10"/>
  <c r="I159" i="10"/>
  <c r="K159" i="10"/>
  <c r="P161" i="10"/>
  <c r="Z161" i="10"/>
  <c r="AU159" i="10"/>
  <c r="W174" i="10"/>
  <c r="AK174" i="10"/>
  <c r="V174" i="10"/>
  <c r="R174" i="10"/>
  <c r="AJ174" i="10"/>
  <c r="AT174" i="10"/>
  <c r="P174" i="10"/>
  <c r="AE174" i="10"/>
  <c r="T174" i="10"/>
  <c r="Z174" i="10"/>
  <c r="AC174" i="10"/>
  <c r="Y174" i="10"/>
  <c r="AV174" i="10"/>
  <c r="AY174" i="10"/>
  <c r="F174" i="10"/>
  <c r="AX174" i="10"/>
  <c r="AP174" i="10"/>
  <c r="AF174" i="10"/>
  <c r="AD174" i="10"/>
  <c r="AO174" i="10"/>
  <c r="AB174" i="10"/>
  <c r="L174" i="10"/>
  <c r="BB174" i="10"/>
  <c r="O174" i="10"/>
  <c r="AR174" i="10"/>
  <c r="K174" i="10"/>
  <c r="AI174" i="10"/>
  <c r="N174" i="10"/>
  <c r="U174" i="10"/>
  <c r="Q174" i="10"/>
  <c r="AS174" i="10"/>
  <c r="BA174" i="10"/>
  <c r="H174" i="10"/>
  <c r="S174" i="10"/>
  <c r="BC174" i="10"/>
  <c r="M174" i="10"/>
  <c r="AN174" i="10"/>
  <c r="AQ174" i="10"/>
  <c r="J174" i="10"/>
  <c r="G174" i="10"/>
  <c r="AZ174" i="10"/>
  <c r="AA174" i="10"/>
  <c r="AW174" i="10"/>
  <c r="E262" i="10"/>
  <c r="E141" i="10"/>
  <c r="E280" i="10"/>
  <c r="E157" i="10"/>
  <c r="E200" i="39" a="1"/>
  <c r="E205" i="39" s="1"/>
  <c r="O103" i="37"/>
  <c r="K103" i="37"/>
  <c r="M103" i="37"/>
  <c r="L103" i="37"/>
  <c r="J103" i="37"/>
  <c r="H103" i="37"/>
  <c r="N103" i="37"/>
  <c r="P103" i="37"/>
  <c r="G103" i="37"/>
  <c r="E74" i="39"/>
  <c r="E73" i="39"/>
  <c r="AB1217" i="37"/>
  <c r="G1217" i="37"/>
  <c r="AS1217" i="37"/>
  <c r="X1217" i="37"/>
  <c r="AK1217" i="37"/>
  <c r="V1217" i="37"/>
  <c r="K1217" i="37"/>
  <c r="N1217" i="37"/>
  <c r="L1217" i="37"/>
  <c r="AA1217" i="37"/>
  <c r="AO1217" i="37"/>
  <c r="AT1217" i="37"/>
  <c r="J1217" i="37"/>
  <c r="AE1217" i="37"/>
  <c r="I1217" i="37"/>
  <c r="AP1217" i="37"/>
  <c r="O1217" i="37"/>
  <c r="AH1217" i="37"/>
  <c r="AD1217" i="37"/>
  <c r="AC1217" i="37"/>
  <c r="T1217" i="37"/>
  <c r="AJ1217" i="37"/>
  <c r="Z1217" i="37"/>
  <c r="U1217" i="37"/>
  <c r="Y1217" i="37"/>
  <c r="AL1217" i="37"/>
  <c r="AI1217" i="37"/>
  <c r="AF1217" i="37"/>
  <c r="S1217" i="37"/>
  <c r="W1217" i="37"/>
  <c r="AN1217" i="37"/>
  <c r="AQ1217" i="37"/>
  <c r="AG1217" i="37"/>
  <c r="AM1217" i="37"/>
  <c r="P1217" i="37"/>
  <c r="R1217" i="37"/>
  <c r="H1217" i="37"/>
  <c r="AR1217" i="37"/>
  <c r="Q1217" i="37"/>
  <c r="M1217" i="37"/>
  <c r="AR673" i="37"/>
  <c r="Y673" i="37"/>
  <c r="AG673" i="37"/>
  <c r="R673" i="37"/>
  <c r="AQ673" i="37"/>
  <c r="AD673" i="37"/>
  <c r="AM673" i="37"/>
  <c r="L673" i="37"/>
  <c r="J673" i="37"/>
  <c r="N673" i="37"/>
  <c r="V673" i="37"/>
  <c r="AP673" i="37"/>
  <c r="AH673" i="37"/>
  <c r="T673" i="37"/>
  <c r="Q673" i="37"/>
  <c r="G673" i="37"/>
  <c r="AO673" i="37"/>
  <c r="AE673" i="37"/>
  <c r="AJ673" i="37"/>
  <c r="AA673" i="37"/>
  <c r="I673" i="37"/>
  <c r="U673" i="37"/>
  <c r="Z673" i="37"/>
  <c r="H673" i="37"/>
  <c r="AF673" i="37"/>
  <c r="W673" i="37"/>
  <c r="P673" i="37"/>
  <c r="O673" i="37"/>
  <c r="X673" i="37"/>
  <c r="AS673" i="37"/>
  <c r="M673" i="37"/>
  <c r="AT673" i="37"/>
  <c r="K673" i="37"/>
  <c r="AC673" i="37"/>
  <c r="AN673" i="37"/>
  <c r="S673" i="37"/>
  <c r="AK673" i="37"/>
  <c r="AL673" i="37"/>
  <c r="AB673" i="37"/>
  <c r="AI673" i="37"/>
  <c r="T1216" i="37"/>
  <c r="L1216" i="37"/>
  <c r="AG1216" i="37"/>
  <c r="AO1216" i="37"/>
  <c r="Y1216" i="37"/>
  <c r="M1216" i="37"/>
  <c r="Z1216" i="37"/>
  <c r="AN1216" i="37"/>
  <c r="G1216" i="37"/>
  <c r="AR1216" i="37"/>
  <c r="AH1216" i="37"/>
  <c r="H1216" i="37"/>
  <c r="K1216" i="37"/>
  <c r="AD1216" i="37"/>
  <c r="AT1216" i="37"/>
  <c r="W1216" i="37"/>
  <c r="S1216" i="37"/>
  <c r="X1216" i="37"/>
  <c r="R1216" i="37"/>
  <c r="AQ1216" i="37"/>
  <c r="AE1216" i="37"/>
  <c r="AK1216" i="37"/>
  <c r="O1216" i="37"/>
  <c r="AA1216" i="37"/>
  <c r="P1216" i="37"/>
  <c r="AM1216" i="37"/>
  <c r="AB1216" i="37"/>
  <c r="AC1216" i="37"/>
  <c r="J1216" i="37"/>
  <c r="AL1216" i="37"/>
  <c r="AI1216" i="37"/>
  <c r="V1216" i="37"/>
  <c r="AS1216" i="37"/>
  <c r="N1216" i="37"/>
  <c r="Q1216" i="37"/>
  <c r="AF1216" i="37"/>
  <c r="AP1216" i="37"/>
  <c r="U1216" i="37"/>
  <c r="AJ1216" i="37"/>
  <c r="I1216" i="37"/>
  <c r="O468" i="37"/>
  <c r="I468" i="37"/>
  <c r="L1166" i="37"/>
  <c r="J1166" i="37"/>
  <c r="P1166" i="37"/>
  <c r="H1166" i="37"/>
  <c r="I1166" i="37"/>
  <c r="G1166" i="37"/>
  <c r="G468" i="37"/>
  <c r="M468" i="37"/>
  <c r="P468" i="37"/>
  <c r="H468" i="37"/>
  <c r="L468" i="37"/>
  <c r="K468" i="37"/>
  <c r="N468" i="37"/>
  <c r="N1166" i="37"/>
  <c r="K1166" i="37"/>
  <c r="O1166" i="37"/>
  <c r="G232" i="37" a="1"/>
  <c r="K232" i="37" s="1"/>
  <c r="D225" i="37"/>
  <c r="G735" i="6" s="1"/>
  <c r="Z240" i="10"/>
  <c r="AM240" i="10"/>
  <c r="F240" i="10"/>
  <c r="O240" i="10"/>
  <c r="BB240" i="10"/>
  <c r="AC240" i="10"/>
  <c r="AL240" i="10"/>
  <c r="W240" i="10"/>
  <c r="AJ240" i="10"/>
  <c r="AK240" i="10"/>
  <c r="M240" i="10"/>
  <c r="AH240" i="10"/>
  <c r="AI240" i="10"/>
  <c r="J240" i="10"/>
  <c r="N240" i="10"/>
  <c r="AV240" i="10"/>
  <c r="AQ240" i="10"/>
  <c r="AA240" i="10"/>
  <c r="BA240" i="10"/>
  <c r="AE240" i="10"/>
  <c r="H240" i="10"/>
  <c r="U240" i="10"/>
  <c r="AW240" i="10"/>
  <c r="P240" i="10"/>
  <c r="Y240" i="10"/>
  <c r="AY240" i="10"/>
  <c r="AP240" i="10"/>
  <c r="Q240" i="10"/>
  <c r="AF240" i="10"/>
  <c r="AX240" i="10"/>
  <c r="AB240" i="10"/>
  <c r="AZ240" i="10"/>
  <c r="AO240" i="10"/>
  <c r="AN240" i="10"/>
  <c r="AU240" i="10"/>
  <c r="AS240" i="10"/>
  <c r="AT240" i="10"/>
  <c r="R240" i="10"/>
  <c r="G240" i="10"/>
  <c r="X240" i="10"/>
  <c r="AG240" i="10"/>
  <c r="T240" i="10"/>
  <c r="I240" i="10"/>
  <c r="L240" i="10"/>
  <c r="AD240" i="10"/>
  <c r="BC240" i="10"/>
  <c r="K240" i="10"/>
  <c r="V240" i="10"/>
  <c r="S240" i="10"/>
  <c r="AR240" i="10"/>
  <c r="AH100" i="10" l="1"/>
  <c r="N100" i="10"/>
  <c r="O100" i="10"/>
  <c r="Y100" i="10"/>
  <c r="V100" i="10"/>
  <c r="F100" i="10"/>
  <c r="Q100" i="10"/>
  <c r="AC100" i="10"/>
  <c r="E155" i="10"/>
  <c r="W100" i="10"/>
  <c r="P100" i="10"/>
  <c r="Z100" i="10"/>
  <c r="M100" i="10"/>
  <c r="AA100" i="10"/>
  <c r="AI100" i="10"/>
  <c r="L100" i="10"/>
  <c r="AE100" i="10"/>
  <c r="G100" i="10"/>
  <c r="R100" i="10"/>
  <c r="AF100" i="10"/>
  <c r="U100" i="10"/>
  <c r="X100" i="10"/>
  <c r="F254" i="10" a="1"/>
  <c r="BC254" i="10" s="1"/>
  <c r="F250" i="10" a="1"/>
  <c r="F250" i="10" s="1"/>
  <c r="I100" i="10"/>
  <c r="S100" i="10"/>
  <c r="F253" i="10" a="1"/>
  <c r="AH253" i="10" s="1"/>
  <c r="K100" i="10"/>
  <c r="F247" i="10" a="1"/>
  <c r="AT247" i="10" s="1"/>
  <c r="AD100" i="10"/>
  <c r="F243" i="10" a="1"/>
  <c r="J243" i="10" s="1"/>
  <c r="F244" i="10" a="1"/>
  <c r="AZ244" i="10" s="1"/>
  <c r="J100" i="10"/>
  <c r="T100" i="10"/>
  <c r="H100" i="10"/>
  <c r="F241" i="10" a="1"/>
  <c r="AK241" i="10" s="1"/>
  <c r="AB100" i="10"/>
  <c r="F242" i="10" a="1"/>
  <c r="L242" i="10" s="1"/>
  <c r="F252" i="10" a="1"/>
  <c r="Z252" i="10" s="1"/>
  <c r="F248" i="10" a="1"/>
  <c r="H248" i="10" s="1"/>
  <c r="F245" i="10" a="1"/>
  <c r="W245" i="10" s="1"/>
  <c r="F249" i="10" a="1"/>
  <c r="U249" i="10" s="1"/>
  <c r="F246" i="10" a="1"/>
  <c r="AU246" i="10" s="1"/>
  <c r="F251" i="10" a="1"/>
  <c r="AP251" i="10" s="1"/>
  <c r="AF154" i="10"/>
  <c r="AS154" i="10"/>
  <c r="H154" i="10"/>
  <c r="AG154" i="10"/>
  <c r="AN154" i="10"/>
  <c r="E158" i="10"/>
  <c r="L154" i="10"/>
  <c r="I154" i="10"/>
  <c r="R154" i="10"/>
  <c r="AU154" i="10"/>
  <c r="AM154" i="10"/>
  <c r="BC154" i="10"/>
  <c r="G154" i="10"/>
  <c r="Z154" i="10"/>
  <c r="AE154" i="10"/>
  <c r="F154" i="10"/>
  <c r="J154" i="10"/>
  <c r="AL154" i="10"/>
  <c r="K154" i="10"/>
  <c r="AM146" i="10"/>
  <c r="AA154" i="10"/>
  <c r="N154" i="10"/>
  <c r="T154" i="10"/>
  <c r="V154" i="10"/>
  <c r="AH154" i="10"/>
  <c r="AJ154" i="10"/>
  <c r="AZ154" i="10"/>
  <c r="AK154" i="10"/>
  <c r="AV154" i="10"/>
  <c r="W154" i="10"/>
  <c r="O154" i="10"/>
  <c r="BB154" i="10"/>
  <c r="Y154" i="10"/>
  <c r="AI154" i="10"/>
  <c r="AR154" i="10"/>
  <c r="AY154" i="10"/>
  <c r="M154" i="10"/>
  <c r="U154" i="10"/>
  <c r="BA154" i="10"/>
  <c r="AP154" i="10"/>
  <c r="AW154" i="10"/>
  <c r="S154" i="10"/>
  <c r="P154" i="10"/>
  <c r="AT154" i="10"/>
  <c r="AQ154" i="10"/>
  <c r="AB154" i="10"/>
  <c r="Q154" i="10"/>
  <c r="AD154" i="10"/>
  <c r="X154" i="10"/>
  <c r="AC154" i="10"/>
  <c r="AO154" i="10"/>
  <c r="T263" i="10"/>
  <c r="H149" i="10"/>
  <c r="E152" i="10"/>
  <c r="R263" i="10"/>
  <c r="AP263" i="10"/>
  <c r="AC149" i="10"/>
  <c r="H263" i="10"/>
  <c r="P263" i="10"/>
  <c r="AS263" i="10"/>
  <c r="AB263" i="10"/>
  <c r="AN263" i="10"/>
  <c r="AR263" i="10"/>
  <c r="AZ263" i="10"/>
  <c r="J263" i="10"/>
  <c r="Z263" i="10"/>
  <c r="AT149" i="10"/>
  <c r="AC263" i="10"/>
  <c r="AL263" i="10"/>
  <c r="O263" i="10"/>
  <c r="S263" i="10"/>
  <c r="W263" i="10"/>
  <c r="BA263" i="10"/>
  <c r="Y263" i="10"/>
  <c r="Q263" i="10"/>
  <c r="AA263" i="10"/>
  <c r="AX263" i="10"/>
  <c r="X263" i="10"/>
  <c r="AM263" i="10"/>
  <c r="BB263" i="10"/>
  <c r="AR149" i="10"/>
  <c r="AH149" i="10"/>
  <c r="S149" i="10"/>
  <c r="AY149" i="10"/>
  <c r="N263" i="10"/>
  <c r="AW263" i="10"/>
  <c r="AV263" i="10"/>
  <c r="M263" i="10"/>
  <c r="AH263" i="10"/>
  <c r="AI263" i="10"/>
  <c r="AY263" i="10"/>
  <c r="AF263" i="10"/>
  <c r="G263" i="10"/>
  <c r="V263" i="10"/>
  <c r="AU263" i="10"/>
  <c r="Y149" i="10"/>
  <c r="G149" i="10"/>
  <c r="AT263" i="10"/>
  <c r="AK263" i="10"/>
  <c r="AQ263" i="10"/>
  <c r="AD263" i="10"/>
  <c r="F263" i="10"/>
  <c r="AE263" i="10"/>
  <c r="K263" i="10"/>
  <c r="BC263" i="10"/>
  <c r="U263" i="10"/>
  <c r="AO263" i="10"/>
  <c r="AG263" i="10"/>
  <c r="L263" i="10"/>
  <c r="I263" i="10"/>
  <c r="AZ149" i="10"/>
  <c r="AW149" i="10"/>
  <c r="AU149" i="10"/>
  <c r="W149" i="10"/>
  <c r="AO149" i="10"/>
  <c r="AD149" i="10"/>
  <c r="AA149" i="10"/>
  <c r="K149" i="10"/>
  <c r="AI149" i="10"/>
  <c r="BB149" i="10"/>
  <c r="AB149" i="10"/>
  <c r="AK149" i="10"/>
  <c r="T149" i="10"/>
  <c r="AP149" i="10"/>
  <c r="Z149" i="10"/>
  <c r="J149" i="10"/>
  <c r="V149" i="10"/>
  <c r="AF149" i="10"/>
  <c r="L149" i="10"/>
  <c r="P149" i="10"/>
  <c r="M149" i="10"/>
  <c r="AQ149" i="10"/>
  <c r="AN149" i="10"/>
  <c r="N149" i="10"/>
  <c r="Q149" i="10"/>
  <c r="X149" i="10"/>
  <c r="AR148" i="10"/>
  <c r="O149" i="10"/>
  <c r="AE149" i="10"/>
  <c r="I149" i="10"/>
  <c r="AG149" i="10"/>
  <c r="F149" i="10"/>
  <c r="AL149" i="10"/>
  <c r="AV149" i="10"/>
  <c r="AJ149" i="10"/>
  <c r="AX149" i="10"/>
  <c r="R149" i="10"/>
  <c r="BC149" i="10"/>
  <c r="BA149" i="10"/>
  <c r="AS149" i="10"/>
  <c r="AM149" i="10"/>
  <c r="U144" i="10"/>
  <c r="AF150" i="10"/>
  <c r="L147" i="10"/>
  <c r="AT150" i="10"/>
  <c r="AA147" i="10"/>
  <c r="O144" i="10"/>
  <c r="AO150" i="10"/>
  <c r="AH150" i="10"/>
  <c r="AQ147" i="10"/>
  <c r="S147" i="10"/>
  <c r="AD144" i="10"/>
  <c r="AV144" i="10"/>
  <c r="H144" i="10"/>
  <c r="N147" i="10"/>
  <c r="T147" i="10"/>
  <c r="AJ144" i="10"/>
  <c r="AU144" i="10"/>
  <c r="AR150" i="10"/>
  <c r="X150" i="10"/>
  <c r="AH147" i="10"/>
  <c r="AX147" i="10"/>
  <c r="V147" i="10"/>
  <c r="AF147" i="10"/>
  <c r="AY147" i="10"/>
  <c r="AR144" i="10"/>
  <c r="T144" i="10"/>
  <c r="J144" i="10"/>
  <c r="Z144" i="10"/>
  <c r="P144" i="10"/>
  <c r="K147" i="10"/>
  <c r="X144" i="10"/>
  <c r="AE150" i="10"/>
  <c r="AP150" i="10"/>
  <c r="AU150" i="10"/>
  <c r="AZ150" i="10"/>
  <c r="BA150" i="10"/>
  <c r="AM150" i="10"/>
  <c r="AW150" i="10"/>
  <c r="AM147" i="10"/>
  <c r="AJ147" i="10"/>
  <c r="X147" i="10"/>
  <c r="AO147" i="10"/>
  <c r="AY144" i="10"/>
  <c r="AT144" i="10"/>
  <c r="AZ144" i="10"/>
  <c r="BA144" i="10"/>
  <c r="AT147" i="10"/>
  <c r="AZ147" i="10"/>
  <c r="AK144" i="10"/>
  <c r="O150" i="10"/>
  <c r="AG150" i="10"/>
  <c r="F150" i="10"/>
  <c r="I150" i="10"/>
  <c r="W150" i="10"/>
  <c r="M150" i="10"/>
  <c r="AU147" i="10"/>
  <c r="W147" i="10"/>
  <c r="AI147" i="10"/>
  <c r="BB147" i="10"/>
  <c r="G147" i="10"/>
  <c r="N144" i="10"/>
  <c r="M144" i="10"/>
  <c r="Q144" i="10"/>
  <c r="I144" i="10"/>
  <c r="AI144" i="10"/>
  <c r="AG147" i="10"/>
  <c r="Z147" i="10"/>
  <c r="S144" i="10"/>
  <c r="AD150" i="10"/>
  <c r="BC150" i="10"/>
  <c r="AJ150" i="10"/>
  <c r="L150" i="10"/>
  <c r="AB150" i="10"/>
  <c r="AL147" i="10"/>
  <c r="AK147" i="10"/>
  <c r="M147" i="10"/>
  <c r="R147" i="10"/>
  <c r="AR147" i="10"/>
  <c r="AN147" i="10"/>
  <c r="I147" i="10"/>
  <c r="AB147" i="10"/>
  <c r="AS147" i="10"/>
  <c r="AA144" i="10"/>
  <c r="AP144" i="10"/>
  <c r="F144" i="10"/>
  <c r="L144" i="10"/>
  <c r="AM144" i="10"/>
  <c r="BC144" i="10"/>
  <c r="R144" i="10"/>
  <c r="AH144" i="10"/>
  <c r="AB144" i="10"/>
  <c r="AP147" i="10"/>
  <c r="BC147" i="10"/>
  <c r="J147" i="10"/>
  <c r="AX144" i="10"/>
  <c r="W144" i="10"/>
  <c r="V150" i="10"/>
  <c r="BB150" i="10"/>
  <c r="U150" i="10"/>
  <c r="AK150" i="10"/>
  <c r="J150" i="10"/>
  <c r="AL150" i="10"/>
  <c r="AW144" i="10"/>
  <c r="BB144" i="10"/>
  <c r="G150" i="10"/>
  <c r="Y150" i="10"/>
  <c r="AA150" i="10"/>
  <c r="AS150" i="10"/>
  <c r="AC150" i="10"/>
  <c r="AY150" i="10"/>
  <c r="AX150" i="10"/>
  <c r="AD147" i="10"/>
  <c r="AC147" i="10"/>
  <c r="U147" i="10"/>
  <c r="AE147" i="10"/>
  <c r="AV147" i="10"/>
  <c r="P147" i="10"/>
  <c r="O147" i="10"/>
  <c r="AW147" i="10"/>
  <c r="BA147" i="10"/>
  <c r="AE144" i="10"/>
  <c r="AQ144" i="10"/>
  <c r="AF144" i="10"/>
  <c r="AG144" i="10"/>
  <c r="V144" i="10"/>
  <c r="AO144" i="10"/>
  <c r="Y144" i="10"/>
  <c r="G144" i="10"/>
  <c r="K144" i="10"/>
  <c r="Q147" i="10"/>
  <c r="Y147" i="10"/>
  <c r="F147" i="10"/>
  <c r="AC144" i="10"/>
  <c r="AL144" i="10"/>
  <c r="Z150" i="10"/>
  <c r="AQ150" i="10"/>
  <c r="K150" i="10"/>
  <c r="AN150" i="10"/>
  <c r="Q150" i="10"/>
  <c r="H150" i="10"/>
  <c r="AN144" i="10"/>
  <c r="AV150" i="10"/>
  <c r="S150" i="10"/>
  <c r="R150" i="10"/>
  <c r="AI150" i="10"/>
  <c r="P150" i="10"/>
  <c r="T150" i="10"/>
  <c r="W282" i="10"/>
  <c r="AC282" i="10"/>
  <c r="AO281" i="10"/>
  <c r="AK281" i="10"/>
  <c r="P142" i="10"/>
  <c r="AA281" i="10"/>
  <c r="P282" i="10"/>
  <c r="AR281" i="10"/>
  <c r="G281" i="10"/>
  <c r="H148" i="10"/>
  <c r="AO142" i="10"/>
  <c r="Y282" i="10"/>
  <c r="K282" i="10"/>
  <c r="AS281" i="10"/>
  <c r="AJ142" i="10"/>
  <c r="AN142" i="10"/>
  <c r="BA142" i="10"/>
  <c r="AB143" i="10"/>
  <c r="AF143" i="10"/>
  <c r="AD146" i="10"/>
  <c r="AA146" i="10"/>
  <c r="U143" i="10"/>
  <c r="G146" i="10"/>
  <c r="AO143" i="10"/>
  <c r="AB146" i="10"/>
  <c r="E151" i="10"/>
  <c r="E172" i="10"/>
  <c r="I146" i="10"/>
  <c r="AN146" i="10"/>
  <c r="R146" i="10"/>
  <c r="AR146" i="10"/>
  <c r="AI143" i="10"/>
  <c r="AE146" i="10"/>
  <c r="AY146" i="10"/>
  <c r="AM282" i="10"/>
  <c r="N282" i="10"/>
  <c r="AY143" i="10"/>
  <c r="V282" i="10"/>
  <c r="AR143" i="10"/>
  <c r="AJ143" i="10"/>
  <c r="AG281" i="10"/>
  <c r="I281" i="10"/>
  <c r="BB281" i="10"/>
  <c r="AQ142" i="10"/>
  <c r="AM142" i="10"/>
  <c r="AO146" i="10"/>
  <c r="AJ282" i="10"/>
  <c r="AP143" i="10"/>
  <c r="AS282" i="10"/>
  <c r="BC143" i="10"/>
  <c r="AI282" i="10"/>
  <c r="BB143" i="10"/>
  <c r="Y146" i="10"/>
  <c r="BB282" i="10"/>
  <c r="AL281" i="10"/>
  <c r="AJ281" i="10"/>
  <c r="BA281" i="10"/>
  <c r="AB142" i="10"/>
  <c r="AF142" i="10"/>
  <c r="V142" i="10"/>
  <c r="R145" i="10"/>
  <c r="AU145" i="10"/>
  <c r="W145" i="10"/>
  <c r="U145" i="10"/>
  <c r="N145" i="10"/>
  <c r="P145" i="10"/>
  <c r="AK145" i="10"/>
  <c r="I145" i="10"/>
  <c r="K148" i="10"/>
  <c r="AN148" i="10"/>
  <c r="AY148" i="10"/>
  <c r="X145" i="10"/>
  <c r="AR145" i="10"/>
  <c r="AA148" i="10"/>
  <c r="AP148" i="10"/>
  <c r="J148" i="10"/>
  <c r="AF148" i="10"/>
  <c r="AK148" i="10"/>
  <c r="AG145" i="10"/>
  <c r="H145" i="10"/>
  <c r="BB145" i="10"/>
  <c r="U148" i="10"/>
  <c r="L148" i="10"/>
  <c r="AC148" i="10"/>
  <c r="E321" i="10"/>
  <c r="E156" i="10"/>
  <c r="S145" i="10"/>
  <c r="AV145" i="10"/>
  <c r="AY145" i="10"/>
  <c r="V145" i="10"/>
  <c r="BC145" i="10"/>
  <c r="K145" i="10"/>
  <c r="AT145" i="10"/>
  <c r="Z145" i="10"/>
  <c r="AS145" i="10"/>
  <c r="T145" i="10"/>
  <c r="AW145" i="10"/>
  <c r="BA145" i="10"/>
  <c r="AQ145" i="10"/>
  <c r="Q148" i="10"/>
  <c r="R148" i="10"/>
  <c r="T148" i="10"/>
  <c r="BA148" i="10"/>
  <c r="AI148" i="10"/>
  <c r="G148" i="10"/>
  <c r="BB148" i="10"/>
  <c r="AU148" i="10"/>
  <c r="Y148" i="10"/>
  <c r="AV148" i="10"/>
  <c r="AL148" i="10"/>
  <c r="AZ148" i="10"/>
  <c r="AI145" i="10"/>
  <c r="AL145" i="10"/>
  <c r="L145" i="10"/>
  <c r="Y145" i="10"/>
  <c r="Q145" i="10"/>
  <c r="F145" i="10"/>
  <c r="AF145" i="10"/>
  <c r="AE145" i="10"/>
  <c r="AM145" i="10"/>
  <c r="AA145" i="10"/>
  <c r="AB145" i="10"/>
  <c r="AN145" i="10"/>
  <c r="AJ148" i="10"/>
  <c r="X148" i="10"/>
  <c r="AH148" i="10"/>
  <c r="I148" i="10"/>
  <c r="AW148" i="10"/>
  <c r="AX148" i="10"/>
  <c r="S148" i="10"/>
  <c r="BC148" i="10"/>
  <c r="AS148" i="10"/>
  <c r="O148" i="10"/>
  <c r="AO148" i="10"/>
  <c r="AG148" i="10"/>
  <c r="N148" i="10"/>
  <c r="AO145" i="10"/>
  <c r="AH145" i="10"/>
  <c r="AJ145" i="10"/>
  <c r="AX145" i="10"/>
  <c r="O145" i="10"/>
  <c r="AD145" i="10"/>
  <c r="M145" i="10"/>
  <c r="G145" i="10"/>
  <c r="AP145" i="10"/>
  <c r="AZ145" i="10"/>
  <c r="J145" i="10"/>
  <c r="M148" i="10"/>
  <c r="AD148" i="10"/>
  <c r="AT148" i="10"/>
  <c r="AQ148" i="10"/>
  <c r="AE148" i="10"/>
  <c r="AB148" i="10"/>
  <c r="P148" i="10"/>
  <c r="F148" i="10"/>
  <c r="Z148" i="10"/>
  <c r="AM148" i="10"/>
  <c r="W148" i="10"/>
  <c r="AN282" i="10"/>
  <c r="AD282" i="10"/>
  <c r="AG282" i="10"/>
  <c r="O282" i="10"/>
  <c r="AY282" i="10"/>
  <c r="J282" i="10"/>
  <c r="X282" i="10"/>
  <c r="AP282" i="10"/>
  <c r="U282" i="10"/>
  <c r="AF282" i="10"/>
  <c r="F282" i="10"/>
  <c r="Q282" i="10"/>
  <c r="AL282" i="10"/>
  <c r="AF281" i="10"/>
  <c r="K281" i="10"/>
  <c r="V281" i="10"/>
  <c r="AT281" i="10"/>
  <c r="AM281" i="10"/>
  <c r="AE281" i="10"/>
  <c r="BC281" i="10"/>
  <c r="AV281" i="10"/>
  <c r="AP281" i="10"/>
  <c r="AY281" i="10"/>
  <c r="AU281" i="10"/>
  <c r="H281" i="10"/>
  <c r="J281" i="10"/>
  <c r="BC142" i="10"/>
  <c r="R142" i="10"/>
  <c r="U142" i="10"/>
  <c r="T142" i="10"/>
  <c r="AU142" i="10"/>
  <c r="I142" i="10"/>
  <c r="AI142" i="10"/>
  <c r="K142" i="10"/>
  <c r="AL142" i="10"/>
  <c r="F142" i="10"/>
  <c r="Y142" i="10"/>
  <c r="Q142" i="10"/>
  <c r="N142" i="10"/>
  <c r="AB282" i="10"/>
  <c r="AU282" i="10"/>
  <c r="AW282" i="10"/>
  <c r="AH282" i="10"/>
  <c r="AA282" i="10"/>
  <c r="S282" i="10"/>
  <c r="L282" i="10"/>
  <c r="AT282" i="10"/>
  <c r="AQ282" i="10"/>
  <c r="T282" i="10"/>
  <c r="AX282" i="10"/>
  <c r="P281" i="10"/>
  <c r="R281" i="10"/>
  <c r="F281" i="10"/>
  <c r="AB281" i="10"/>
  <c r="AD281" i="10"/>
  <c r="AN281" i="10"/>
  <c r="AC281" i="10"/>
  <c r="AW281" i="10"/>
  <c r="AH281" i="10"/>
  <c r="Y281" i="10"/>
  <c r="AZ281" i="10"/>
  <c r="AI281" i="10"/>
  <c r="W281" i="10"/>
  <c r="AA142" i="10"/>
  <c r="L142" i="10"/>
  <c r="AC142" i="10"/>
  <c r="S142" i="10"/>
  <c r="AD142" i="10"/>
  <c r="O142" i="10"/>
  <c r="J142" i="10"/>
  <c r="AG142" i="10"/>
  <c r="M142" i="10"/>
  <c r="AV142" i="10"/>
  <c r="AX142" i="10"/>
  <c r="AW142" i="10"/>
  <c r="AZ142" i="10"/>
  <c r="R282" i="10"/>
  <c r="G282" i="10"/>
  <c r="BC282" i="10"/>
  <c r="I282" i="10"/>
  <c r="Z282" i="10"/>
  <c r="AO282" i="10"/>
  <c r="AZ282" i="10"/>
  <c r="AK282" i="10"/>
  <c r="AE282" i="10"/>
  <c r="AV282" i="10"/>
  <c r="H282" i="10"/>
  <c r="AR282" i="10"/>
  <c r="BA282" i="10"/>
  <c r="U281" i="10"/>
  <c r="AQ281" i="10"/>
  <c r="S281" i="10"/>
  <c r="T281" i="10"/>
  <c r="Q281" i="10"/>
  <c r="L281" i="10"/>
  <c r="O281" i="10"/>
  <c r="M281" i="10"/>
  <c r="Z281" i="10"/>
  <c r="AX281" i="10"/>
  <c r="X281" i="10"/>
  <c r="BB142" i="10"/>
  <c r="Z142" i="10"/>
  <c r="X142" i="10"/>
  <c r="AE142" i="10"/>
  <c r="AP142" i="10"/>
  <c r="AK142" i="10"/>
  <c r="AT142" i="10"/>
  <c r="H142" i="10"/>
  <c r="G142" i="10"/>
  <c r="AH142" i="10"/>
  <c r="AY142" i="10"/>
  <c r="W142" i="10"/>
  <c r="AR142" i="10"/>
  <c r="E264" i="10"/>
  <c r="AG146" i="10"/>
  <c r="P146" i="10"/>
  <c r="AS146" i="10"/>
  <c r="X146" i="10"/>
  <c r="T146" i="10"/>
  <c r="AH146" i="10"/>
  <c r="AX146" i="10"/>
  <c r="O146" i="10"/>
  <c r="AF146" i="10"/>
  <c r="G143" i="10"/>
  <c r="AK143" i="10"/>
  <c r="AA143" i="10"/>
  <c r="AG143" i="10"/>
  <c r="Y143" i="10"/>
  <c r="AV143" i="10"/>
  <c r="AM143" i="10"/>
  <c r="AD143" i="10"/>
  <c r="K143" i="10"/>
  <c r="S143" i="10"/>
  <c r="S146" i="10"/>
  <c r="AU146" i="10"/>
  <c r="T143" i="10"/>
  <c r="AS143" i="10"/>
  <c r="N143" i="10"/>
  <c r="BC146" i="10"/>
  <c r="AZ146" i="10"/>
  <c r="AW146" i="10"/>
  <c r="F146" i="10"/>
  <c r="AP146" i="10"/>
  <c r="V146" i="10"/>
  <c r="AI146" i="10"/>
  <c r="BB146" i="10"/>
  <c r="H143" i="10"/>
  <c r="AQ143" i="10"/>
  <c r="AE143" i="10"/>
  <c r="AC143" i="10"/>
  <c r="R143" i="10"/>
  <c r="O143" i="10"/>
  <c r="I143" i="10"/>
  <c r="AZ143" i="10"/>
  <c r="AW143" i="10"/>
  <c r="AC146" i="10"/>
  <c r="Q146" i="10"/>
  <c r="J146" i="10"/>
  <c r="AK146" i="10"/>
  <c r="BA143" i="10"/>
  <c r="AX143" i="10"/>
  <c r="L143" i="10"/>
  <c r="F143" i="10"/>
  <c r="V143" i="10"/>
  <c r="W146" i="10"/>
  <c r="Z146" i="10"/>
  <c r="AQ146" i="10"/>
  <c r="BA146" i="10"/>
  <c r="H146" i="10"/>
  <c r="M146" i="10"/>
  <c r="L146" i="10"/>
  <c r="AT146" i="10"/>
  <c r="U146" i="10"/>
  <c r="AV146" i="10"/>
  <c r="AL143" i="10"/>
  <c r="Q143" i="10"/>
  <c r="AT143" i="10"/>
  <c r="M143" i="10"/>
  <c r="AH143" i="10"/>
  <c r="Z143" i="10"/>
  <c r="AN143" i="10"/>
  <c r="X143" i="10"/>
  <c r="K146" i="10"/>
  <c r="AJ146" i="10"/>
  <c r="N146" i="10"/>
  <c r="J143" i="10"/>
  <c r="AU143" i="10"/>
  <c r="P143" i="10"/>
  <c r="E183" i="10"/>
  <c r="E171" i="10"/>
  <c r="E164" i="10"/>
  <c r="E170" i="10"/>
  <c r="E176" i="10"/>
  <c r="E184" i="10"/>
  <c r="E162" i="10"/>
  <c r="E182" i="10"/>
  <c r="E167" i="10"/>
  <c r="E177" i="10"/>
  <c r="E175" i="10"/>
  <c r="E168" i="10"/>
  <c r="E173" i="10"/>
  <c r="E169" i="10"/>
  <c r="E163" i="10"/>
  <c r="E165" i="10"/>
  <c r="E178" i="10"/>
  <c r="E180" i="10"/>
  <c r="E179" i="10"/>
  <c r="E166" i="10"/>
  <c r="E161" i="10"/>
  <c r="E159" i="10"/>
  <c r="E160" i="10"/>
  <c r="E174" i="10"/>
  <c r="E200" i="39"/>
  <c r="E240" i="10"/>
  <c r="E201" i="39"/>
  <c r="E203" i="39"/>
  <c r="E204" i="39"/>
  <c r="E202" i="39"/>
  <c r="D105" i="37"/>
  <c r="F105" i="37" s="1"/>
  <c r="F4" i="37" s="1"/>
  <c r="G1232" i="37" a="1"/>
  <c r="G1231" i="37" a="1"/>
  <c r="G1168" i="37"/>
  <c r="E176" i="39" s="1"/>
  <c r="I232" i="37"/>
  <c r="O232" i="37"/>
  <c r="J232" i="37"/>
  <c r="L232" i="37"/>
  <c r="M232" i="37"/>
  <c r="H232" i="37"/>
  <c r="G232" i="37"/>
  <c r="N232" i="37"/>
  <c r="P232" i="37"/>
  <c r="AV245" i="10" l="1"/>
  <c r="AX247" i="10"/>
  <c r="AK247" i="10"/>
  <c r="AM247" i="10"/>
  <c r="AI246" i="10"/>
  <c r="AY249" i="10"/>
  <c r="AU251" i="10"/>
  <c r="AP254" i="10"/>
  <c r="AT254" i="10"/>
  <c r="AM250" i="10"/>
  <c r="AV241" i="10"/>
  <c r="G254" i="10"/>
  <c r="N254" i="10"/>
  <c r="AQ242" i="10"/>
  <c r="AG245" i="10"/>
  <c r="AT245" i="10"/>
  <c r="AI249" i="10"/>
  <c r="N249" i="10"/>
  <c r="BC242" i="10"/>
  <c r="AM249" i="10"/>
  <c r="AZ242" i="10"/>
  <c r="M242" i="10"/>
  <c r="BB242" i="10"/>
  <c r="S249" i="10"/>
  <c r="H249" i="10"/>
  <c r="Y249" i="10"/>
  <c r="H242" i="10"/>
  <c r="AI242" i="10"/>
  <c r="AL242" i="10"/>
  <c r="AK242" i="10"/>
  <c r="AF249" i="10"/>
  <c r="AN242" i="10"/>
  <c r="AV242" i="10"/>
  <c r="Q249" i="10"/>
  <c r="M249" i="10"/>
  <c r="V249" i="10"/>
  <c r="F242" i="10"/>
  <c r="K249" i="10"/>
  <c r="S254" i="10"/>
  <c r="AH254" i="10"/>
  <c r="J253" i="10"/>
  <c r="AK254" i="10"/>
  <c r="M254" i="10"/>
  <c r="Z254" i="10"/>
  <c r="AL254" i="10"/>
  <c r="AR254" i="10"/>
  <c r="AC254" i="10"/>
  <c r="AW254" i="10"/>
  <c r="AF254" i="10"/>
  <c r="X254" i="10"/>
  <c r="BA254" i="10"/>
  <c r="BB254" i="10"/>
  <c r="AX254" i="10"/>
  <c r="H254" i="10"/>
  <c r="Y254" i="10"/>
  <c r="T254" i="10"/>
  <c r="W254" i="10"/>
  <c r="AG254" i="10"/>
  <c r="F254" i="10"/>
  <c r="AU254" i="10"/>
  <c r="H243" i="10"/>
  <c r="AQ254" i="10"/>
  <c r="AI253" i="10"/>
  <c r="AK246" i="10"/>
  <c r="K254" i="10"/>
  <c r="V254" i="10"/>
  <c r="Q254" i="10"/>
  <c r="O254" i="10"/>
  <c r="J254" i="10"/>
  <c r="AV254" i="10"/>
  <c r="AI254" i="10"/>
  <c r="AD254" i="10"/>
  <c r="AO254" i="10"/>
  <c r="AZ254" i="10"/>
  <c r="L254" i="10"/>
  <c r="K252" i="10"/>
  <c r="AD253" i="10"/>
  <c r="I253" i="10"/>
  <c r="AM254" i="10"/>
  <c r="R254" i="10"/>
  <c r="AE254" i="10"/>
  <c r="AN254" i="10"/>
  <c r="AS254" i="10"/>
  <c r="AA254" i="10"/>
  <c r="P254" i="10"/>
  <c r="AJ254" i="10"/>
  <c r="I254" i="10"/>
  <c r="AB254" i="10"/>
  <c r="U254" i="10"/>
  <c r="AY254" i="10"/>
  <c r="AR243" i="10"/>
  <c r="AE246" i="10"/>
  <c r="X243" i="10"/>
  <c r="O253" i="10"/>
  <c r="AL252" i="10"/>
  <c r="AK253" i="10"/>
  <c r="T253" i="10"/>
  <c r="AF243" i="10"/>
  <c r="AW253" i="10"/>
  <c r="Y253" i="10"/>
  <c r="Z243" i="10"/>
  <c r="AQ253" i="10"/>
  <c r="AO243" i="10"/>
  <c r="AI243" i="10"/>
  <c r="BC253" i="10"/>
  <c r="AZ253" i="10"/>
  <c r="AF246" i="10"/>
  <c r="AO253" i="10"/>
  <c r="AV252" i="10"/>
  <c r="O252" i="10"/>
  <c r="AM253" i="10"/>
  <c r="G243" i="10"/>
  <c r="AT253" i="10"/>
  <c r="AJ253" i="10"/>
  <c r="AN253" i="10"/>
  <c r="H253" i="10"/>
  <c r="AS243" i="10"/>
  <c r="X253" i="10"/>
  <c r="K253" i="10"/>
  <c r="AL243" i="10"/>
  <c r="Y246" i="10"/>
  <c r="AD246" i="10"/>
  <c r="AX252" i="10"/>
  <c r="AB252" i="10"/>
  <c r="V252" i="10"/>
  <c r="U253" i="10"/>
  <c r="L243" i="10"/>
  <c r="BA243" i="10"/>
  <c r="R253" i="10"/>
  <c r="G253" i="10"/>
  <c r="AP253" i="10"/>
  <c r="BB253" i="10"/>
  <c r="BC243" i="10"/>
  <c r="Z253" i="10"/>
  <c r="AS253" i="10"/>
  <c r="M246" i="10"/>
  <c r="BA252" i="10"/>
  <c r="AE252" i="10"/>
  <c r="BB252" i="10"/>
  <c r="N252" i="10"/>
  <c r="F252" i="10"/>
  <c r="AU252" i="10"/>
  <c r="AA252" i="10"/>
  <c r="AH252" i="10"/>
  <c r="AW252" i="10"/>
  <c r="AL253" i="10"/>
  <c r="AG253" i="10"/>
  <c r="F243" i="10"/>
  <c r="AB243" i="10"/>
  <c r="AD243" i="10"/>
  <c r="AY253" i="10"/>
  <c r="AA253" i="10"/>
  <c r="M253" i="10"/>
  <c r="AY243" i="10"/>
  <c r="AF253" i="10"/>
  <c r="L253" i="10"/>
  <c r="P253" i="10"/>
  <c r="S243" i="10"/>
  <c r="AX243" i="10"/>
  <c r="N253" i="10"/>
  <c r="AQ243" i="10"/>
  <c r="S253" i="10"/>
  <c r="AP243" i="10"/>
  <c r="AQ252" i="10"/>
  <c r="AZ243" i="10"/>
  <c r="P252" i="10"/>
  <c r="AX246" i="10"/>
  <c r="H246" i="10"/>
  <c r="AY246" i="10"/>
  <c r="P246" i="10"/>
  <c r="F246" i="10"/>
  <c r="BB243" i="10"/>
  <c r="AO246" i="10"/>
  <c r="U252" i="10"/>
  <c r="H252" i="10"/>
  <c r="AM252" i="10"/>
  <c r="AG252" i="10"/>
  <c r="AI252" i="10"/>
  <c r="T252" i="10"/>
  <c r="AZ252" i="10"/>
  <c r="F253" i="10"/>
  <c r="AV253" i="10"/>
  <c r="W253" i="10"/>
  <c r="N243" i="10"/>
  <c r="I243" i="10"/>
  <c r="P243" i="10"/>
  <c r="K243" i="10"/>
  <c r="AX253" i="10"/>
  <c r="AB253" i="10"/>
  <c r="AE253" i="10"/>
  <c r="AC243" i="10"/>
  <c r="BA253" i="10"/>
  <c r="V253" i="10"/>
  <c r="AU253" i="10"/>
  <c r="AR253" i="10"/>
  <c r="M243" i="10"/>
  <c r="Y243" i="10"/>
  <c r="Q253" i="10"/>
  <c r="AU243" i="10"/>
  <c r="AH243" i="10"/>
  <c r="AC253" i="10"/>
  <c r="W252" i="10"/>
  <c r="R246" i="10"/>
  <c r="AN246" i="10"/>
  <c r="I246" i="10"/>
  <c r="K246" i="10"/>
  <c r="X246" i="10"/>
  <c r="L246" i="10"/>
  <c r="AQ246" i="10"/>
  <c r="AJ252" i="10"/>
  <c r="X252" i="10"/>
  <c r="AD252" i="10"/>
  <c r="Y252" i="10"/>
  <c r="AO252" i="10"/>
  <c r="AY252" i="10"/>
  <c r="R252" i="10"/>
  <c r="AF252" i="10"/>
  <c r="AN243" i="10"/>
  <c r="Q243" i="10"/>
  <c r="U243" i="10"/>
  <c r="AM243" i="10"/>
  <c r="T243" i="10"/>
  <c r="M252" i="10"/>
  <c r="O246" i="10"/>
  <c r="AC246" i="10"/>
  <c r="AV246" i="10"/>
  <c r="W246" i="10"/>
  <c r="BA246" i="10"/>
  <c r="AN252" i="10"/>
  <c r="AZ246" i="10"/>
  <c r="BB248" i="10"/>
  <c r="G241" i="10"/>
  <c r="AV250" i="10"/>
  <c r="T244" i="10"/>
  <c r="O250" i="10"/>
  <c r="BB251" i="10"/>
  <c r="W251" i="10"/>
  <c r="AS246" i="10"/>
  <c r="AL246" i="10"/>
  <c r="N246" i="10"/>
  <c r="Z246" i="10"/>
  <c r="AA246" i="10"/>
  <c r="AJ246" i="10"/>
  <c r="AR246" i="10"/>
  <c r="Q246" i="10"/>
  <c r="AG246" i="10"/>
  <c r="AT252" i="10"/>
  <c r="AC252" i="10"/>
  <c r="G252" i="10"/>
  <c r="BC252" i="10"/>
  <c r="J252" i="10"/>
  <c r="AS252" i="10"/>
  <c r="I252" i="10"/>
  <c r="L252" i="10"/>
  <c r="AK252" i="10"/>
  <c r="AP252" i="10"/>
  <c r="S252" i="10"/>
  <c r="AW243" i="10"/>
  <c r="V243" i="10"/>
  <c r="O243" i="10"/>
  <c r="AE243" i="10"/>
  <c r="AA243" i="10"/>
  <c r="W243" i="10"/>
  <c r="AT243" i="10"/>
  <c r="AJ243" i="10"/>
  <c r="AK243" i="10"/>
  <c r="AG243" i="10"/>
  <c r="R243" i="10"/>
  <c r="AV243" i="10"/>
  <c r="AR252" i="10"/>
  <c r="Q252" i="10"/>
  <c r="V246" i="10"/>
  <c r="BC246" i="10"/>
  <c r="G246" i="10"/>
  <c r="T246" i="10"/>
  <c r="AW246" i="10"/>
  <c r="AH246" i="10"/>
  <c r="AB246" i="10"/>
  <c r="AM246" i="10"/>
  <c r="BB246" i="10"/>
  <c r="AT246" i="10"/>
  <c r="U246" i="10"/>
  <c r="S246" i="10"/>
  <c r="AP246" i="10"/>
  <c r="J246" i="10"/>
  <c r="U250" i="10"/>
  <c r="AU250" i="10"/>
  <c r="AK250" i="10"/>
  <c r="AW250" i="10"/>
  <c r="AN250" i="10"/>
  <c r="AX241" i="10"/>
  <c r="Q250" i="10"/>
  <c r="AD250" i="10"/>
  <c r="AQ250" i="10"/>
  <c r="AM248" i="10"/>
  <c r="AP244" i="10"/>
  <c r="AC250" i="10"/>
  <c r="AH250" i="10"/>
  <c r="AD244" i="10"/>
  <c r="AW248" i="10"/>
  <c r="G248" i="10"/>
  <c r="Z244" i="10"/>
  <c r="F248" i="10"/>
  <c r="AN244" i="10"/>
  <c r="M250" i="10"/>
  <c r="BB250" i="10"/>
  <c r="AE250" i="10"/>
  <c r="AY250" i="10"/>
  <c r="W250" i="10"/>
  <c r="AF250" i="10"/>
  <c r="AO250" i="10"/>
  <c r="AL250" i="10"/>
  <c r="K250" i="10"/>
  <c r="N250" i="10"/>
  <c r="AG250" i="10"/>
  <c r="L250" i="10"/>
  <c r="K251" i="10"/>
  <c r="AQ241" i="10"/>
  <c r="F241" i="10"/>
  <c r="AZ241" i="10"/>
  <c r="N241" i="10"/>
  <c r="T248" i="10"/>
  <c r="BC244" i="10"/>
  <c r="AV244" i="10"/>
  <c r="G244" i="10"/>
  <c r="AL248" i="10"/>
  <c r="AR250" i="10"/>
  <c r="BA250" i="10"/>
  <c r="Z250" i="10"/>
  <c r="AP250" i="10"/>
  <c r="Y250" i="10"/>
  <c r="F244" i="10"/>
  <c r="I250" i="10"/>
  <c r="AI250" i="10"/>
  <c r="AX250" i="10"/>
  <c r="P250" i="10"/>
  <c r="J250" i="10"/>
  <c r="X250" i="10"/>
  <c r="AL241" i="10"/>
  <c r="AR241" i="10"/>
  <c r="AT250" i="10"/>
  <c r="N248" i="10"/>
  <c r="AV248" i="10"/>
  <c r="AD248" i="10"/>
  <c r="W248" i="10"/>
  <c r="AT248" i="10"/>
  <c r="AE248" i="10"/>
  <c r="P244" i="10"/>
  <c r="AU244" i="10"/>
  <c r="S250" i="10"/>
  <c r="R250" i="10"/>
  <c r="H250" i="10"/>
  <c r="BC250" i="10"/>
  <c r="G250" i="10"/>
  <c r="AZ250" i="10"/>
  <c r="W244" i="10"/>
  <c r="AA250" i="10"/>
  <c r="T250" i="10"/>
  <c r="AJ250" i="10"/>
  <c r="AS250" i="10"/>
  <c r="AB250" i="10"/>
  <c r="V250" i="10"/>
  <c r="AY241" i="10"/>
  <c r="BC241" i="10"/>
  <c r="M241" i="10"/>
  <c r="Z245" i="10"/>
  <c r="AM245" i="10"/>
  <c r="AB245" i="10"/>
  <c r="J247" i="10"/>
  <c r="V245" i="10"/>
  <c r="F245" i="10"/>
  <c r="AC245" i="10"/>
  <c r="K245" i="10"/>
  <c r="AJ247" i="10"/>
  <c r="N247" i="10"/>
  <c r="P245" i="10"/>
  <c r="H245" i="10"/>
  <c r="BC245" i="10"/>
  <c r="F247" i="10"/>
  <c r="BC247" i="10"/>
  <c r="W247" i="10"/>
  <c r="Z247" i="10"/>
  <c r="S245" i="10"/>
  <c r="AP245" i="10"/>
  <c r="AR245" i="10"/>
  <c r="AH245" i="10"/>
  <c r="AK245" i="10"/>
  <c r="AD245" i="10"/>
  <c r="AW245" i="10"/>
  <c r="O245" i="10"/>
  <c r="G245" i="10"/>
  <c r="AQ245" i="10"/>
  <c r="AI245" i="10"/>
  <c r="AP247" i="10"/>
  <c r="AQ247" i="10"/>
  <c r="M247" i="10"/>
  <c r="AG247" i="10"/>
  <c r="AV247" i="10"/>
  <c r="AY247" i="10"/>
  <c r="AL247" i="10"/>
  <c r="AF247" i="10"/>
  <c r="AA247" i="10"/>
  <c r="S247" i="10"/>
  <c r="AB247" i="10"/>
  <c r="X247" i="10"/>
  <c r="BA245" i="10"/>
  <c r="P247" i="10"/>
  <c r="AE247" i="10"/>
  <c r="Y245" i="10"/>
  <c r="AN245" i="10"/>
  <c r="AF245" i="10"/>
  <c r="AL245" i="10"/>
  <c r="AX245" i="10"/>
  <c r="AS245" i="10"/>
  <c r="N245" i="10"/>
  <c r="AY245" i="10"/>
  <c r="AO245" i="10"/>
  <c r="BB245" i="10"/>
  <c r="R245" i="10"/>
  <c r="AE245" i="10"/>
  <c r="I247" i="10"/>
  <c r="T247" i="10"/>
  <c r="AI247" i="10"/>
  <c r="AH247" i="10"/>
  <c r="AR247" i="10"/>
  <c r="AD247" i="10"/>
  <c r="G247" i="10"/>
  <c r="L247" i="10"/>
  <c r="BB247" i="10"/>
  <c r="Y247" i="10"/>
  <c r="Q247" i="10"/>
  <c r="V247" i="10"/>
  <c r="L245" i="10"/>
  <c r="AA245" i="10"/>
  <c r="T245" i="10"/>
  <c r="AJ245" i="10"/>
  <c r="Q245" i="10"/>
  <c r="X245" i="10"/>
  <c r="I245" i="10"/>
  <c r="M245" i="10"/>
  <c r="AZ245" i="10"/>
  <c r="U245" i="10"/>
  <c r="AU245" i="10"/>
  <c r="J245" i="10"/>
  <c r="AO247" i="10"/>
  <c r="AN247" i="10"/>
  <c r="R247" i="10"/>
  <c r="AC247" i="10"/>
  <c r="K247" i="10"/>
  <c r="BA247" i="10"/>
  <c r="AW247" i="10"/>
  <c r="O247" i="10"/>
  <c r="AZ247" i="10"/>
  <c r="U247" i="10"/>
  <c r="AU247" i="10"/>
  <c r="AS247" i="10"/>
  <c r="H247" i="10"/>
  <c r="F256" i="10" a="1"/>
  <c r="AW256" i="10" s="1"/>
  <c r="AZ248" i="10"/>
  <c r="AH248" i="10"/>
  <c r="I248" i="10"/>
  <c r="AC248" i="10"/>
  <c r="L248" i="10"/>
  <c r="BA248" i="10"/>
  <c r="U248" i="10"/>
  <c r="AT244" i="10"/>
  <c r="H241" i="10"/>
  <c r="BA241" i="10"/>
  <c r="Y241" i="10"/>
  <c r="J241" i="10"/>
  <c r="R241" i="10"/>
  <c r="BC248" i="10"/>
  <c r="F255" i="10" a="1"/>
  <c r="AQ255" i="10" s="1"/>
  <c r="X244" i="10"/>
  <c r="AR248" i="10"/>
  <c r="AC244" i="10"/>
  <c r="AY244" i="10"/>
  <c r="V244" i="10"/>
  <c r="Y244" i="10"/>
  <c r="K248" i="10"/>
  <c r="AX251" i="10"/>
  <c r="AC241" i="10"/>
  <c r="Z241" i="10"/>
  <c r="AS241" i="10"/>
  <c r="AT251" i="10"/>
  <c r="I241" i="10"/>
  <c r="AX248" i="10"/>
  <c r="AP248" i="10"/>
  <c r="S248" i="10"/>
  <c r="O248" i="10"/>
  <c r="AK248" i="10"/>
  <c r="M248" i="10"/>
  <c r="AY248" i="10"/>
  <c r="AI248" i="10"/>
  <c r="R248" i="10"/>
  <c r="AH244" i="10"/>
  <c r="AW244" i="10"/>
  <c r="U244" i="10"/>
  <c r="BB244" i="10"/>
  <c r="AR244" i="10"/>
  <c r="AJ244" i="10"/>
  <c r="AM244" i="10"/>
  <c r="AA244" i="10"/>
  <c r="AQ244" i="10"/>
  <c r="O244" i="10"/>
  <c r="M244" i="10"/>
  <c r="L244" i="10"/>
  <c r="AK244" i="10"/>
  <c r="J248" i="10"/>
  <c r="S241" i="10"/>
  <c r="AM241" i="10"/>
  <c r="O241" i="10"/>
  <c r="AF241" i="10"/>
  <c r="K241" i="10"/>
  <c r="AW241" i="10"/>
  <c r="AU241" i="10"/>
  <c r="AI241" i="10"/>
  <c r="AD241" i="10"/>
  <c r="I251" i="10"/>
  <c r="U251" i="10"/>
  <c r="L241" i="10"/>
  <c r="U241" i="10"/>
  <c r="AO241" i="10"/>
  <c r="AW251" i="10"/>
  <c r="AU248" i="10"/>
  <c r="AS244" i="10"/>
  <c r="AA248" i="10"/>
  <c r="AG248" i="10"/>
  <c r="AB244" i="10"/>
  <c r="AX244" i="10"/>
  <c r="AL244" i="10"/>
  <c r="J244" i="10"/>
  <c r="Q244" i="10"/>
  <c r="AT241" i="10"/>
  <c r="BB241" i="10"/>
  <c r="AB248" i="10"/>
  <c r="AN248" i="10"/>
  <c r="Y248" i="10"/>
  <c r="V248" i="10"/>
  <c r="Z248" i="10"/>
  <c r="AQ248" i="10"/>
  <c r="AJ248" i="10"/>
  <c r="P248" i="10"/>
  <c r="AF248" i="10"/>
  <c r="AS248" i="10"/>
  <c r="BA244" i="10"/>
  <c r="AG244" i="10"/>
  <c r="S244" i="10"/>
  <c r="AO248" i="10"/>
  <c r="Q248" i="10"/>
  <c r="X248" i="10"/>
  <c r="I244" i="10"/>
  <c r="AO244" i="10"/>
  <c r="AE244" i="10"/>
  <c r="AF244" i="10"/>
  <c r="H244" i="10"/>
  <c r="R244" i="10"/>
  <c r="K244" i="10"/>
  <c r="N244" i="10"/>
  <c r="AI244" i="10"/>
  <c r="J251" i="10"/>
  <c r="P241" i="10"/>
  <c r="AG241" i="10"/>
  <c r="AJ241" i="10"/>
  <c r="W241" i="10"/>
  <c r="AP241" i="10"/>
  <c r="AI251" i="10"/>
  <c r="AH241" i="10"/>
  <c r="AA241" i="10"/>
  <c r="O251" i="10"/>
  <c r="T241" i="10"/>
  <c r="Q241" i="10"/>
  <c r="BA251" i="10"/>
  <c r="BC251" i="10"/>
  <c r="X241" i="10"/>
  <c r="AE241" i="10"/>
  <c r="AN241" i="10"/>
  <c r="AB241" i="10"/>
  <c r="Y251" i="10"/>
  <c r="V251" i="10"/>
  <c r="AC251" i="10"/>
  <c r="AH251" i="10"/>
  <c r="T251" i="10"/>
  <c r="AN251" i="10"/>
  <c r="AS251" i="10"/>
  <c r="AO251" i="10"/>
  <c r="P251" i="10"/>
  <c r="L251" i="10"/>
  <c r="AD251" i="10"/>
  <c r="AG251" i="10"/>
  <c r="AA251" i="10"/>
  <c r="G251" i="10"/>
  <c r="F251" i="10"/>
  <c r="AJ251" i="10"/>
  <c r="AF251" i="10"/>
  <c r="AL251" i="10"/>
  <c r="AE251" i="10"/>
  <c r="AM251" i="10"/>
  <c r="M251" i="10"/>
  <c r="Q251" i="10"/>
  <c r="AB251" i="10"/>
  <c r="AR251" i="10"/>
  <c r="N251" i="10"/>
  <c r="V241" i="10"/>
  <c r="H251" i="10"/>
  <c r="AV251" i="10"/>
  <c r="AY251" i="10"/>
  <c r="Z251" i="10"/>
  <c r="AQ251" i="10"/>
  <c r="R251" i="10"/>
  <c r="AK251" i="10"/>
  <c r="S251" i="10"/>
  <c r="X251" i="10"/>
  <c r="AZ251" i="10"/>
  <c r="T242" i="10"/>
  <c r="AC242" i="10"/>
  <c r="AD242" i="10"/>
  <c r="N242" i="10"/>
  <c r="O242" i="10"/>
  <c r="AS242" i="10"/>
  <c r="AW242" i="10"/>
  <c r="AA242" i="10"/>
  <c r="AG242" i="10"/>
  <c r="AX242" i="10"/>
  <c r="P249" i="10"/>
  <c r="AO249" i="10"/>
  <c r="AX249" i="10"/>
  <c r="W249" i="10"/>
  <c r="BA249" i="10"/>
  <c r="AB249" i="10"/>
  <c r="AT249" i="10"/>
  <c r="I249" i="10"/>
  <c r="AP249" i="10"/>
  <c r="Z242" i="10"/>
  <c r="AW249" i="10"/>
  <c r="BB249" i="10"/>
  <c r="BC249" i="10"/>
  <c r="X242" i="10"/>
  <c r="R242" i="10"/>
  <c r="AE242" i="10"/>
  <c r="K242" i="10"/>
  <c r="AR242" i="10"/>
  <c r="U242" i="10"/>
  <c r="AU242" i="10"/>
  <c r="V242" i="10"/>
  <c r="AO242" i="10"/>
  <c r="S242" i="10"/>
  <c r="AJ242" i="10"/>
  <c r="AZ249" i="10"/>
  <c r="AD249" i="10"/>
  <c r="AC249" i="10"/>
  <c r="G249" i="10"/>
  <c r="J249" i="10"/>
  <c r="AK249" i="10"/>
  <c r="R249" i="10"/>
  <c r="Z249" i="10"/>
  <c r="AL249" i="10"/>
  <c r="I242" i="10"/>
  <c r="AY242" i="10"/>
  <c r="Y242" i="10"/>
  <c r="AB242" i="10"/>
  <c r="AP242" i="10"/>
  <c r="AH249" i="10"/>
  <c r="AV249" i="10"/>
  <c r="AH242" i="10"/>
  <c r="P242" i="10"/>
  <c r="AF242" i="10"/>
  <c r="G242" i="10"/>
  <c r="J242" i="10"/>
  <c r="BA242" i="10"/>
  <c r="AM242" i="10"/>
  <c r="W242" i="10"/>
  <c r="L249" i="10"/>
  <c r="AR249" i="10"/>
  <c r="F249" i="10"/>
  <c r="AN249" i="10"/>
  <c r="O249" i="10"/>
  <c r="AQ249" i="10"/>
  <c r="AE249" i="10"/>
  <c r="AJ249" i="10"/>
  <c r="AG249" i="10"/>
  <c r="X249" i="10"/>
  <c r="AT242" i="10"/>
  <c r="Q242" i="10"/>
  <c r="T249" i="10"/>
  <c r="AA249" i="10"/>
  <c r="AS249" i="10"/>
  <c r="AU249" i="10"/>
  <c r="E154" i="10"/>
  <c r="E263" i="10"/>
  <c r="E149" i="10"/>
  <c r="E147" i="10"/>
  <c r="E150" i="10"/>
  <c r="E144" i="10"/>
  <c r="E148" i="10"/>
  <c r="E142" i="10"/>
  <c r="E145" i="10"/>
  <c r="E146" i="10"/>
  <c r="E282" i="10"/>
  <c r="E281" i="10"/>
  <c r="E143" i="10"/>
  <c r="G733" i="6"/>
  <c r="AI1231" i="37"/>
  <c r="AK1231" i="37"/>
  <c r="T1231" i="37"/>
  <c r="AP1231" i="37"/>
  <c r="R1231" i="37"/>
  <c r="AN1231" i="37"/>
  <c r="H1231" i="37"/>
  <c r="AE1231" i="37"/>
  <c r="AG1231" i="37"/>
  <c r="X1231" i="37"/>
  <c r="J1231" i="37"/>
  <c r="AB1231" i="37"/>
  <c r="I1231" i="37"/>
  <c r="AO1231" i="37"/>
  <c r="M1231" i="37"/>
  <c r="S1231" i="37"/>
  <c r="G1231" i="37"/>
  <c r="AM1231" i="37"/>
  <c r="AQ1231" i="37"/>
  <c r="AF1231" i="37"/>
  <c r="Y1231" i="37"/>
  <c r="Z1231" i="37"/>
  <c r="O1231" i="37"/>
  <c r="U1231" i="37"/>
  <c r="AC1231" i="37"/>
  <c r="AR1231" i="37"/>
  <c r="K1231" i="37"/>
  <c r="AD1231" i="37"/>
  <c r="N1231" i="37"/>
  <c r="AS1231" i="37"/>
  <c r="P1231" i="37"/>
  <c r="AH1231" i="37"/>
  <c r="AL1231" i="37"/>
  <c r="AA1231" i="37"/>
  <c r="Q1231" i="37"/>
  <c r="W1231" i="37"/>
  <c r="AT1231" i="37"/>
  <c r="V1231" i="37"/>
  <c r="L1231" i="37"/>
  <c r="AJ1231" i="37"/>
  <c r="N1232" i="37"/>
  <c r="AD1232" i="37"/>
  <c r="AL1232" i="37"/>
  <c r="AN1232" i="37"/>
  <c r="S1232" i="37"/>
  <c r="O1232" i="37"/>
  <c r="AP1232" i="37"/>
  <c r="T1232" i="37"/>
  <c r="P1232" i="37"/>
  <c r="AO1232" i="37"/>
  <c r="AQ1232" i="37"/>
  <c r="X1232" i="37"/>
  <c r="AB1232" i="37"/>
  <c r="Z1232" i="37"/>
  <c r="I1232" i="37"/>
  <c r="AM1232" i="37"/>
  <c r="AR1232" i="37"/>
  <c r="G1232" i="37"/>
  <c r="L1232" i="37"/>
  <c r="AC1232" i="37"/>
  <c r="M1232" i="37"/>
  <c r="AK1232" i="37"/>
  <c r="H1232" i="37"/>
  <c r="J1232" i="37"/>
  <c r="AI1232" i="37"/>
  <c r="R1232" i="37"/>
  <c r="AG1232" i="37"/>
  <c r="AT1232" i="37"/>
  <c r="V1232" i="37"/>
  <c r="AE1232" i="37"/>
  <c r="U1232" i="37"/>
  <c r="AH1232" i="37"/>
  <c r="AA1232" i="37"/>
  <c r="Q1232" i="37"/>
  <c r="Y1232" i="37"/>
  <c r="AS1232" i="37"/>
  <c r="AF1232" i="37"/>
  <c r="W1232" i="37"/>
  <c r="AJ1232" i="37"/>
  <c r="K1232" i="37"/>
  <c r="G348" i="37" a="1"/>
  <c r="G328" i="37" a="1"/>
  <c r="O328" i="37" s="1"/>
  <c r="O330" i="37" s="1"/>
  <c r="G367" i="37" a="1"/>
  <c r="M367" i="37" s="1"/>
  <c r="M389" i="37" s="1"/>
  <c r="M404" i="37" s="1"/>
  <c r="G1184" i="37" a="1"/>
  <c r="L1184" i="37" s="1"/>
  <c r="G433" i="37" a="1"/>
  <c r="O433" i="37" s="1"/>
  <c r="E254" i="10" l="1"/>
  <c r="E243" i="10"/>
  <c r="E253" i="10"/>
  <c r="AD256" i="10"/>
  <c r="E246" i="10"/>
  <c r="AC256" i="10"/>
  <c r="E252" i="10"/>
  <c r="T256" i="10"/>
  <c r="Y256" i="10"/>
  <c r="AG256" i="10"/>
  <c r="U256" i="10"/>
  <c r="G256" i="10"/>
  <c r="M256" i="10"/>
  <c r="K256" i="10"/>
  <c r="H256" i="10"/>
  <c r="X256" i="10"/>
  <c r="AJ256" i="10"/>
  <c r="BA256" i="10"/>
  <c r="AR256" i="10"/>
  <c r="AH256" i="10"/>
  <c r="AL256" i="10"/>
  <c r="AP256" i="10"/>
  <c r="BB256" i="10"/>
  <c r="E250" i="10"/>
  <c r="AB256" i="10"/>
  <c r="AS256" i="10"/>
  <c r="AQ256" i="10"/>
  <c r="AE256" i="10"/>
  <c r="S256" i="10"/>
  <c r="AI256" i="10"/>
  <c r="N256" i="10"/>
  <c r="L256" i="10"/>
  <c r="Q256" i="10"/>
  <c r="F256" i="10"/>
  <c r="Z256" i="10"/>
  <c r="V256" i="10"/>
  <c r="BC256" i="10"/>
  <c r="AF256" i="10"/>
  <c r="AN256" i="10"/>
  <c r="I256" i="10"/>
  <c r="R256" i="10"/>
  <c r="AP255" i="10"/>
  <c r="AR255" i="10"/>
  <c r="AE255" i="10"/>
  <c r="AT256" i="10"/>
  <c r="AU256" i="10"/>
  <c r="AV256" i="10"/>
  <c r="AA256" i="10"/>
  <c r="AK256" i="10"/>
  <c r="AZ256" i="10"/>
  <c r="AY256" i="10"/>
  <c r="AM256" i="10"/>
  <c r="AO256" i="10"/>
  <c r="W256" i="10"/>
  <c r="O256" i="10"/>
  <c r="J256" i="10"/>
  <c r="P256" i="10"/>
  <c r="AX256" i="10"/>
  <c r="E247" i="10"/>
  <c r="E245" i="10"/>
  <c r="M255" i="10"/>
  <c r="AH255" i="10"/>
  <c r="F255" i="10"/>
  <c r="Y255" i="10"/>
  <c r="AT255" i="10"/>
  <c r="AD255" i="10"/>
  <c r="AJ255" i="10"/>
  <c r="AI255" i="10"/>
  <c r="AA255" i="10"/>
  <c r="AB255" i="10"/>
  <c r="AS255" i="10"/>
  <c r="BC255" i="10"/>
  <c r="H255" i="10"/>
  <c r="G255" i="10"/>
  <c r="R255" i="10"/>
  <c r="K255" i="10"/>
  <c r="X255" i="10"/>
  <c r="I255" i="10"/>
  <c r="V255" i="10"/>
  <c r="BA255" i="10"/>
  <c r="AY255" i="10"/>
  <c r="AX255" i="10"/>
  <c r="AF255" i="10"/>
  <c r="AN255" i="10"/>
  <c r="W255" i="10"/>
  <c r="Q255" i="10"/>
  <c r="L255" i="10"/>
  <c r="AK255" i="10"/>
  <c r="N255" i="10"/>
  <c r="AZ255" i="10"/>
  <c r="AU255" i="10"/>
  <c r="Z255" i="10"/>
  <c r="AG255" i="10"/>
  <c r="J255" i="10"/>
  <c r="AO255" i="10"/>
  <c r="AC255" i="10"/>
  <c r="S255" i="10"/>
  <c r="AL255" i="10"/>
  <c r="BB255" i="10"/>
  <c r="P255" i="10"/>
  <c r="AV255" i="10"/>
  <c r="O255" i="10"/>
  <c r="AW255" i="10"/>
  <c r="U255" i="10"/>
  <c r="AM255" i="10"/>
  <c r="T255" i="10"/>
  <c r="E251" i="10"/>
  <c r="E244" i="10"/>
  <c r="E248" i="10"/>
  <c r="E241" i="10"/>
  <c r="E249" i="10"/>
  <c r="E242" i="10"/>
  <c r="G1243" i="37" a="1"/>
  <c r="G1235" i="37" a="1"/>
  <c r="Q357" i="37"/>
  <c r="E39" i="39" s="1"/>
  <c r="G348" i="37"/>
  <c r="J348" i="37"/>
  <c r="N348" i="37"/>
  <c r="I348" i="37"/>
  <c r="M348" i="37"/>
  <c r="P348" i="37"/>
  <c r="O348" i="37"/>
  <c r="L348" i="37"/>
  <c r="K348" i="37"/>
  <c r="H348" i="37"/>
  <c r="K367" i="37"/>
  <c r="L367" i="37"/>
  <c r="L389" i="37" s="1"/>
  <c r="L404" i="37" s="1"/>
  <c r="O367" i="37"/>
  <c r="O389" i="37" s="1"/>
  <c r="O404" i="37" s="1"/>
  <c r="N367" i="37"/>
  <c r="N389" i="37" s="1"/>
  <c r="N404" i="37" s="1"/>
  <c r="P367" i="37"/>
  <c r="P389" i="37" s="1"/>
  <c r="P404" i="37" s="1"/>
  <c r="I367" i="37"/>
  <c r="M328" i="37"/>
  <c r="M330" i="37" s="1"/>
  <c r="G367" i="37"/>
  <c r="P328" i="37"/>
  <c r="P330" i="37" s="1"/>
  <c r="N328" i="37"/>
  <c r="N330" i="37" s="1"/>
  <c r="I328" i="37"/>
  <c r="I330" i="37" s="1"/>
  <c r="H328" i="37"/>
  <c r="H330" i="37" s="1"/>
  <c r="J328" i="37"/>
  <c r="J330" i="37" s="1"/>
  <c r="G328" i="37"/>
  <c r="G330" i="37" s="1"/>
  <c r="L328" i="37"/>
  <c r="L330" i="37" s="1"/>
  <c r="M1184" i="37"/>
  <c r="K328" i="37"/>
  <c r="K330" i="37" s="1"/>
  <c r="P1184" i="37"/>
  <c r="H367" i="37"/>
  <c r="J367" i="37"/>
  <c r="H1184" i="37"/>
  <c r="G1184" i="37"/>
  <c r="N1184" i="37"/>
  <c r="K1184" i="37"/>
  <c r="I1184" i="37"/>
  <c r="J1184" i="37"/>
  <c r="O1184" i="37"/>
  <c r="N433" i="37"/>
  <c r="P433" i="37"/>
  <c r="J433" i="37"/>
  <c r="M433" i="37"/>
  <c r="L433" i="37"/>
  <c r="H433" i="37"/>
  <c r="I433" i="37"/>
  <c r="G433" i="37"/>
  <c r="K433" i="37"/>
  <c r="E256" i="10" l="1"/>
  <c r="E255" i="10"/>
  <c r="F61" i="8" a="1"/>
  <c r="AT1237" i="37"/>
  <c r="AD1237" i="37"/>
  <c r="W1236" i="37"/>
  <c r="J1237" i="37"/>
  <c r="AJ1235" i="37"/>
  <c r="AM1236" i="37"/>
  <c r="AJ1238" i="37"/>
  <c r="H1240" i="37"/>
  <c r="H1237" i="37"/>
  <c r="O1240" i="37"/>
  <c r="AE1239" i="37"/>
  <c r="AG1240" i="37"/>
  <c r="J1236" i="37"/>
  <c r="AA1235" i="37"/>
  <c r="AP1236" i="37"/>
  <c r="O1239" i="37"/>
  <c r="V1238" i="37"/>
  <c r="M1236" i="37"/>
  <c r="J1235" i="37"/>
  <c r="Z1235" i="37"/>
  <c r="AD1235" i="37"/>
  <c r="Z1239" i="37"/>
  <c r="AR1235" i="37"/>
  <c r="AS1238" i="37"/>
  <c r="AI1237" i="37"/>
  <c r="AC1239" i="37"/>
  <c r="T1238" i="37"/>
  <c r="AO1238" i="37"/>
  <c r="H1236" i="37"/>
  <c r="AP1237" i="37"/>
  <c r="R1239" i="37"/>
  <c r="AJ1239" i="37"/>
  <c r="AE1240" i="37"/>
  <c r="AD1236" i="37"/>
  <c r="T1236" i="37"/>
  <c r="P1238" i="37"/>
  <c r="Q1240" i="37"/>
  <c r="W1240" i="37"/>
  <c r="Y1238" i="37"/>
  <c r="X1239" i="37"/>
  <c r="AN1235" i="37"/>
  <c r="K1235" i="37"/>
  <c r="AB1237" i="37"/>
  <c r="AB1235" i="37"/>
  <c r="AP1239" i="37"/>
  <c r="G1235" i="37"/>
  <c r="AM1239" i="37"/>
  <c r="T1235" i="37"/>
  <c r="M1237" i="37"/>
  <c r="V1240" i="37"/>
  <c r="AH1237" i="37"/>
  <c r="AN1239" i="37"/>
  <c r="AI1240" i="37"/>
  <c r="P1235" i="37"/>
  <c r="X1236" i="37"/>
  <c r="N1239" i="37"/>
  <c r="AC1236" i="37"/>
  <c r="I1237" i="37"/>
  <c r="I1235" i="37"/>
  <c r="AN1240" i="37"/>
  <c r="AG1235" i="37"/>
  <c r="I1238" i="37"/>
  <c r="H1239" i="37"/>
  <c r="Z1236" i="37"/>
  <c r="V1237" i="37"/>
  <c r="AR1237" i="37"/>
  <c r="AQ1238" i="37"/>
  <c r="AL1237" i="37"/>
  <c r="AL1240" i="37"/>
  <c r="Q1238" i="37"/>
  <c r="AL1236" i="37"/>
  <c r="AC1237" i="37"/>
  <c r="AG1238" i="37"/>
  <c r="AH1238" i="37"/>
  <c r="X1235" i="37"/>
  <c r="G1240" i="37"/>
  <c r="R1238" i="37"/>
  <c r="U1236" i="37"/>
  <c r="S1235" i="37"/>
  <c r="L1236" i="37"/>
  <c r="P1240" i="37"/>
  <c r="AR1238" i="37"/>
  <c r="AB1236" i="37"/>
  <c r="R1235" i="37"/>
  <c r="U1237" i="37"/>
  <c r="Z1240" i="37"/>
  <c r="AA1239" i="37"/>
  <c r="AJ1237" i="37"/>
  <c r="S1236" i="37"/>
  <c r="AK1240" i="37"/>
  <c r="AK1236" i="37"/>
  <c r="W1238" i="37"/>
  <c r="AF1238" i="37"/>
  <c r="AA1238" i="37"/>
  <c r="Q1239" i="37"/>
  <c r="U1238" i="37"/>
  <c r="AM1240" i="37"/>
  <c r="AG1239" i="37"/>
  <c r="K1239" i="37"/>
  <c r="AD1238" i="37"/>
  <c r="I1240" i="37"/>
  <c r="R1240" i="37"/>
  <c r="AQ1237" i="37"/>
  <c r="AN1238" i="37"/>
  <c r="T1240" i="37"/>
  <c r="AS1240" i="37"/>
  <c r="J1238" i="37"/>
  <c r="V1236" i="37"/>
  <c r="L1235" i="37"/>
  <c r="AO1240" i="37"/>
  <c r="I1239" i="37"/>
  <c r="AD1239" i="37"/>
  <c r="P1239" i="37"/>
  <c r="AO1237" i="37"/>
  <c r="AH1239" i="37"/>
  <c r="M1240" i="37"/>
  <c r="AT1236" i="37"/>
  <c r="X1240" i="37"/>
  <c r="N1237" i="37"/>
  <c r="AJ1236" i="37"/>
  <c r="AT1239" i="37"/>
  <c r="AF1240" i="37"/>
  <c r="AA1240" i="37"/>
  <c r="AR1236" i="37"/>
  <c r="G1239" i="37"/>
  <c r="AS1236" i="37"/>
  <c r="AM1237" i="37"/>
  <c r="AQ1239" i="37"/>
  <c r="M1235" i="37"/>
  <c r="AF1236" i="37"/>
  <c r="N1235" i="37"/>
  <c r="AQ1235" i="37"/>
  <c r="AM1238" i="37"/>
  <c r="AQ1236" i="37"/>
  <c r="X1238" i="37"/>
  <c r="Q1236" i="37"/>
  <c r="AK1238" i="37"/>
  <c r="AK1237" i="37"/>
  <c r="G1238" i="37"/>
  <c r="K1236" i="37"/>
  <c r="AT1238" i="37"/>
  <c r="Q1235" i="37"/>
  <c r="AH1240" i="37"/>
  <c r="R1236" i="37"/>
  <c r="O1236" i="37"/>
  <c r="H1235" i="37"/>
  <c r="T1239" i="37"/>
  <c r="Z1238" i="37"/>
  <c r="AE1238" i="37"/>
  <c r="N1236" i="37"/>
  <c r="AP1238" i="37"/>
  <c r="Y1239" i="37"/>
  <c r="AK1235" i="37"/>
  <c r="AF1239" i="37"/>
  <c r="AO1239" i="37"/>
  <c r="H1238" i="37"/>
  <c r="AE1235" i="37"/>
  <c r="S1238" i="37"/>
  <c r="AN1237" i="37"/>
  <c r="AS1237" i="37"/>
  <c r="AR1239" i="37"/>
  <c r="AS1235" i="37"/>
  <c r="S1237" i="37"/>
  <c r="AL1238" i="37"/>
  <c r="S1239" i="37"/>
  <c r="AB1238" i="37"/>
  <c r="AB1239" i="37"/>
  <c r="AM1235" i="37"/>
  <c r="V1239" i="37"/>
  <c r="J1240" i="37"/>
  <c r="AC1235" i="37"/>
  <c r="T1237" i="37"/>
  <c r="AI1238" i="37"/>
  <c r="U1240" i="37"/>
  <c r="AK1239" i="37"/>
  <c r="L1237" i="37"/>
  <c r="K1238" i="37"/>
  <c r="AP1240" i="37"/>
  <c r="J1239" i="37"/>
  <c r="AT1240" i="37"/>
  <c r="AG1237" i="37"/>
  <c r="R1237" i="37"/>
  <c r="AF1237" i="37"/>
  <c r="AA1237" i="37"/>
  <c r="AT1235" i="37"/>
  <c r="AI1239" i="37"/>
  <c r="AI1236" i="37"/>
  <c r="AL1239" i="37"/>
  <c r="P1237" i="37"/>
  <c r="G1237" i="37"/>
  <c r="AS1239" i="37"/>
  <c r="X1237" i="37"/>
  <c r="K1237" i="37"/>
  <c r="M1239" i="37"/>
  <c r="G1236" i="37"/>
  <c r="AQ1240" i="37"/>
  <c r="S1240" i="37"/>
  <c r="W1239" i="37"/>
  <c r="L1238" i="37"/>
  <c r="L1239" i="37"/>
  <c r="AE1237" i="37"/>
  <c r="AO1235" i="37"/>
  <c r="AF1235" i="37"/>
  <c r="O1235" i="37"/>
  <c r="Y1235" i="37"/>
  <c r="V1235" i="37"/>
  <c r="W1235" i="37"/>
  <c r="U1239" i="37"/>
  <c r="AG1236" i="37"/>
  <c r="U1235" i="37"/>
  <c r="N1240" i="37"/>
  <c r="AC1240" i="37"/>
  <c r="AA1236" i="37"/>
  <c r="AD1240" i="37"/>
  <c r="Q1237" i="37"/>
  <c r="Z1237" i="37"/>
  <c r="AH1236" i="37"/>
  <c r="AE1236" i="37"/>
  <c r="AN1236" i="37"/>
  <c r="W1237" i="37"/>
  <c r="AP1235" i="37"/>
  <c r="I1236" i="37"/>
  <c r="M1238" i="37"/>
  <c r="P1236" i="37"/>
  <c r="Y1236" i="37"/>
  <c r="O1237" i="37"/>
  <c r="L1240" i="37"/>
  <c r="O1238" i="37"/>
  <c r="AB1240" i="37"/>
  <c r="AH1235" i="37"/>
  <c r="K1240" i="37"/>
  <c r="N1238" i="37"/>
  <c r="AJ1240" i="37"/>
  <c r="AI1235" i="37"/>
  <c r="AL1235" i="37"/>
  <c r="AC1238" i="37"/>
  <c r="AO1236" i="37"/>
  <c r="Y1240" i="37"/>
  <c r="AR1240" i="37"/>
  <c r="Y1237" i="37"/>
  <c r="AL1246" i="37"/>
  <c r="AJ1245" i="37"/>
  <c r="R1245" i="37"/>
  <c r="O1245" i="37"/>
  <c r="V1248" i="37"/>
  <c r="T1245" i="37"/>
  <c r="H1244" i="37"/>
  <c r="W1247" i="37"/>
  <c r="AP1247" i="37"/>
  <c r="AB1243" i="37"/>
  <c r="AE1248" i="37"/>
  <c r="AO1248" i="37"/>
  <c r="J1247" i="37"/>
  <c r="S1247" i="37"/>
  <c r="T1247" i="37"/>
  <c r="I1243" i="37"/>
  <c r="AG1244" i="37"/>
  <c r="AL1247" i="37"/>
  <c r="H1247" i="37"/>
  <c r="H1248" i="37"/>
  <c r="T1246" i="37"/>
  <c r="M1246" i="37"/>
  <c r="N1244" i="37"/>
  <c r="L1244" i="37"/>
  <c r="AN1244" i="37"/>
  <c r="AI1243" i="37"/>
  <c r="L1243" i="37"/>
  <c r="AT1247" i="37"/>
  <c r="AD1248" i="37"/>
  <c r="Y1248" i="37"/>
  <c r="O1246" i="37"/>
  <c r="Y1246" i="37"/>
  <c r="AF1247" i="37"/>
  <c r="AP1248" i="37"/>
  <c r="O1243" i="37"/>
  <c r="AM1247" i="37"/>
  <c r="AC1245" i="37"/>
  <c r="N1247" i="37"/>
  <c r="V1244" i="37"/>
  <c r="T1243" i="37"/>
  <c r="AQ1244" i="37"/>
  <c r="Z1244" i="37"/>
  <c r="Q1248" i="37"/>
  <c r="Q1243" i="37"/>
  <c r="AM1243" i="37"/>
  <c r="AH1248" i="37"/>
  <c r="AD1245" i="37"/>
  <c r="X1243" i="37"/>
  <c r="AI1245" i="37"/>
  <c r="AF1243" i="37"/>
  <c r="AK1248" i="37"/>
  <c r="AI1246" i="37"/>
  <c r="AR1246" i="37"/>
  <c r="AT1245" i="37"/>
  <c r="P1244" i="37"/>
  <c r="W1246" i="37"/>
  <c r="G1245" i="37"/>
  <c r="AF1245" i="37"/>
  <c r="K1243" i="37"/>
  <c r="O1247" i="37"/>
  <c r="U1243" i="37"/>
  <c r="AF1246" i="37"/>
  <c r="AK1246" i="37"/>
  <c r="P1246" i="37"/>
  <c r="AK1245" i="37"/>
  <c r="K1247" i="37"/>
  <c r="AH1246" i="37"/>
  <c r="AS1248" i="37"/>
  <c r="AR1247" i="37"/>
  <c r="AA1243" i="37"/>
  <c r="AC1247" i="37"/>
  <c r="M1243" i="37"/>
  <c r="V1243" i="37"/>
  <c r="G1248" i="37"/>
  <c r="K1244" i="37"/>
  <c r="Q1244" i="37"/>
  <c r="Y1245" i="37"/>
  <c r="AE1243" i="37"/>
  <c r="AJ1243" i="37"/>
  <c r="AI1248" i="37"/>
  <c r="AB1247" i="37"/>
  <c r="T1244" i="37"/>
  <c r="AS1246" i="37"/>
  <c r="Z1248" i="37"/>
  <c r="AS1247" i="37"/>
  <c r="Z1246" i="37"/>
  <c r="AK1247" i="37"/>
  <c r="I1244" i="37"/>
  <c r="AE1245" i="37"/>
  <c r="AG1248" i="37"/>
  <c r="AO1244" i="37"/>
  <c r="K1245" i="37"/>
  <c r="AP1244" i="37"/>
  <c r="AP1243" i="37"/>
  <c r="O1244" i="37"/>
  <c r="AJ1248" i="37"/>
  <c r="R1248" i="37"/>
  <c r="AH1245" i="37"/>
  <c r="AN1248" i="37"/>
  <c r="AC1246" i="37"/>
  <c r="AR1243" i="37"/>
  <c r="U1247" i="37"/>
  <c r="Z1243" i="37"/>
  <c r="Z1247" i="37"/>
  <c r="AR1244" i="37"/>
  <c r="AG1245" i="37"/>
  <c r="AN1243" i="37"/>
  <c r="AR1248" i="37"/>
  <c r="N1246" i="37"/>
  <c r="L1245" i="37"/>
  <c r="L1247" i="37"/>
  <c r="AF1248" i="37"/>
  <c r="R1246" i="37"/>
  <c r="AA1245" i="37"/>
  <c r="AC1243" i="37"/>
  <c r="AN1245" i="37"/>
  <c r="L1248" i="37"/>
  <c r="AT1243" i="37"/>
  <c r="Z1245" i="37"/>
  <c r="G1244" i="37"/>
  <c r="V1245" i="37"/>
  <c r="G1243" i="37"/>
  <c r="AJ1244" i="37"/>
  <c r="AT1244" i="37"/>
  <c r="AG1247" i="37"/>
  <c r="K1248" i="37"/>
  <c r="J1245" i="37"/>
  <c r="AO1247" i="37"/>
  <c r="AC1244" i="37"/>
  <c r="AT1248" i="37"/>
  <c r="AE1246" i="37"/>
  <c r="AP1245" i="37"/>
  <c r="AM1245" i="37"/>
  <c r="AI1244" i="37"/>
  <c r="AA1247" i="37"/>
  <c r="Y1243" i="37"/>
  <c r="AO1246" i="37"/>
  <c r="M1244" i="37"/>
  <c r="M1248" i="37"/>
  <c r="X1248" i="37"/>
  <c r="X1245" i="37"/>
  <c r="S1244" i="37"/>
  <c r="Q1245" i="37"/>
  <c r="P1247" i="37"/>
  <c r="J1244" i="37"/>
  <c r="AQ1247" i="37"/>
  <c r="AJ1247" i="37"/>
  <c r="AO1243" i="37"/>
  <c r="AD1244" i="37"/>
  <c r="Q1246" i="37"/>
  <c r="H1245" i="37"/>
  <c r="AS1244" i="37"/>
  <c r="W1248" i="37"/>
  <c r="AD1247" i="37"/>
  <c r="U1246" i="37"/>
  <c r="V1247" i="37"/>
  <c r="X1244" i="37"/>
  <c r="AL1243" i="37"/>
  <c r="U1244" i="37"/>
  <c r="P1248" i="37"/>
  <c r="AG1243" i="37"/>
  <c r="AM1244" i="37"/>
  <c r="AQ1248" i="37"/>
  <c r="G1247" i="37"/>
  <c r="AP1246" i="37"/>
  <c r="AD1243" i="37"/>
  <c r="U1245" i="37"/>
  <c r="N1248" i="37"/>
  <c r="S1248" i="37"/>
  <c r="N1245" i="37"/>
  <c r="H1243" i="37"/>
  <c r="S1245" i="37"/>
  <c r="P1243" i="37"/>
  <c r="I1247" i="37"/>
  <c r="U1248" i="37"/>
  <c r="AH1247" i="37"/>
  <c r="S1246" i="37"/>
  <c r="R1247" i="37"/>
  <c r="W1243" i="37"/>
  <c r="AB1245" i="37"/>
  <c r="O1248" i="37"/>
  <c r="T1248" i="37"/>
  <c r="V1246" i="37"/>
  <c r="AA1246" i="37"/>
  <c r="AI1247" i="37"/>
  <c r="AS1245" i="37"/>
  <c r="Y1244" i="37"/>
  <c r="N1243" i="37"/>
  <c r="AJ1246" i="37"/>
  <c r="X1246" i="37"/>
  <c r="AM1248" i="37"/>
  <c r="AA1244" i="37"/>
  <c r="J1243" i="37"/>
  <c r="AQ1245" i="37"/>
  <c r="AB1246" i="37"/>
  <c r="AC1248" i="37"/>
  <c r="AG1246" i="37"/>
  <c r="R1244" i="37"/>
  <c r="AT1246" i="37"/>
  <c r="AA1248" i="37"/>
  <c r="X1247" i="37"/>
  <c r="J1248" i="37"/>
  <c r="W1245" i="37"/>
  <c r="AL1244" i="37"/>
  <c r="AK1244" i="37"/>
  <c r="M1247" i="37"/>
  <c r="AF1244" i="37"/>
  <c r="AS1243" i="37"/>
  <c r="P1245" i="37"/>
  <c r="R1243" i="37"/>
  <c r="AH1243" i="37"/>
  <c r="I1248" i="37"/>
  <c r="AE1247" i="37"/>
  <c r="S1243" i="37"/>
  <c r="I1245" i="37"/>
  <c r="H1246" i="37"/>
  <c r="AN1247" i="37"/>
  <c r="I1246" i="37"/>
  <c r="AL1245" i="37"/>
  <c r="AB1244" i="37"/>
  <c r="AR1245" i="37"/>
  <c r="W1244" i="37"/>
  <c r="AB1248" i="37"/>
  <c r="Y1247" i="37"/>
  <c r="AD1246" i="37"/>
  <c r="J1246" i="37"/>
  <c r="AE1244" i="37"/>
  <c r="M1245" i="37"/>
  <c r="G1246" i="37"/>
  <c r="K1246" i="37"/>
  <c r="AQ1243" i="37"/>
  <c r="AH1244" i="37"/>
  <c r="AL1248" i="37"/>
  <c r="L1246" i="37"/>
  <c r="AM1246" i="37"/>
  <c r="AK1243" i="37"/>
  <c r="AQ1246" i="37"/>
  <c r="Q1247" i="37"/>
  <c r="AO1245" i="37"/>
  <c r="AN1246" i="37"/>
  <c r="Q348" i="37"/>
  <c r="E38" i="39" s="1"/>
  <c r="G1178" i="37" a="1"/>
  <c r="L1178" i="37" s="1"/>
  <c r="G371" i="37" a="1"/>
  <c r="I371" i="37" s="1"/>
  <c r="I375" i="37" s="1"/>
  <c r="G333" i="37" a="1"/>
  <c r="K335" i="37" s="1"/>
  <c r="G1188" i="37"/>
  <c r="E181" i="39" s="1"/>
  <c r="G470" i="37" a="1"/>
  <c r="H470" i="37" s="1"/>
  <c r="E3" i="10" l="1"/>
  <c r="Y63" i="8"/>
  <c r="Q74" i="8"/>
  <c r="L79" i="8"/>
  <c r="AO75" i="8"/>
  <c r="AI79" i="8"/>
  <c r="AF72" i="8"/>
  <c r="BA74" i="8"/>
  <c r="AI78" i="8"/>
  <c r="AH76" i="8"/>
  <c r="AJ68" i="8"/>
  <c r="V76" i="8"/>
  <c r="U72" i="8"/>
  <c r="AY75" i="8"/>
  <c r="Q78" i="8"/>
  <c r="Z76" i="8"/>
  <c r="AO76" i="8"/>
  <c r="AV79" i="8"/>
  <c r="M63" i="8"/>
  <c r="AB72" i="8"/>
  <c r="AX69" i="8"/>
  <c r="S143" i="8"/>
  <c r="X79" i="8"/>
  <c r="N66" i="8"/>
  <c r="Y61" i="8"/>
  <c r="AH69" i="8"/>
  <c r="N67" i="8"/>
  <c r="Y77" i="8"/>
  <c r="Q75" i="8"/>
  <c r="M74" i="8"/>
  <c r="L73" i="8"/>
  <c r="AA76" i="8"/>
  <c r="AQ72" i="8"/>
  <c r="Y79" i="8"/>
  <c r="AI131" i="8"/>
  <c r="J71" i="8"/>
  <c r="AK76" i="8"/>
  <c r="AP67" i="8"/>
  <c r="P72" i="8"/>
  <c r="AX68" i="8"/>
  <c r="AE73" i="8"/>
  <c r="K78" i="8"/>
  <c r="AB106" i="8"/>
  <c r="W68" i="8"/>
  <c r="AL76" i="8"/>
  <c r="M132" i="8"/>
  <c r="AJ79" i="8"/>
  <c r="T77" i="8"/>
  <c r="S70" i="8"/>
  <c r="AT79" i="8"/>
  <c r="AV75" i="8"/>
  <c r="AY76" i="8"/>
  <c r="G121" i="8"/>
  <c r="G62" i="8"/>
  <c r="K76" i="8"/>
  <c r="BB62" i="8"/>
  <c r="AG71" i="8"/>
  <c r="N70" i="8"/>
  <c r="AG72" i="8"/>
  <c r="AG130" i="8"/>
  <c r="BC70" i="8"/>
  <c r="W77" i="8"/>
  <c r="AM73" i="8"/>
  <c r="BC72" i="8"/>
  <c r="BC73" i="8"/>
  <c r="P66" i="8"/>
  <c r="AU73" i="8"/>
  <c r="AU79" i="8"/>
  <c r="AM62" i="8"/>
  <c r="AY121" i="8"/>
  <c r="AX64" i="8"/>
  <c r="AK75" i="8"/>
  <c r="AX74" i="8"/>
  <c r="AT106" i="8"/>
  <c r="AN70" i="8"/>
  <c r="O64" i="8"/>
  <c r="AE77" i="8"/>
  <c r="AF75" i="8"/>
  <c r="V67" i="8"/>
  <c r="AR67" i="8"/>
  <c r="K133" i="8"/>
  <c r="AE76" i="8"/>
  <c r="AG134" i="8"/>
  <c r="O76" i="8"/>
  <c r="AL79" i="8"/>
  <c r="R79" i="8"/>
  <c r="H77" i="8"/>
  <c r="K62" i="8"/>
  <c r="Z71" i="8"/>
  <c r="T75" i="8"/>
  <c r="AW73" i="8"/>
  <c r="AG73" i="8"/>
  <c r="AB77" i="8"/>
  <c r="BA75" i="8"/>
  <c r="AG79" i="8"/>
  <c r="U75" i="8"/>
  <c r="AO77" i="8"/>
  <c r="W75" i="8"/>
  <c r="W74" i="8"/>
  <c r="AN72" i="8"/>
  <c r="AJ72" i="8"/>
  <c r="X75" i="8"/>
  <c r="BC78" i="8"/>
  <c r="AS132" i="8"/>
  <c r="AM77" i="8"/>
  <c r="AY79" i="8"/>
  <c r="AB79" i="8"/>
  <c r="AO78" i="8"/>
  <c r="R70" i="8"/>
  <c r="G75" i="8"/>
  <c r="AD68" i="8"/>
  <c r="AR69" i="8"/>
  <c r="AF73" i="8"/>
  <c r="I76" i="8"/>
  <c r="AY68" i="8"/>
  <c r="AU72" i="8"/>
  <c r="AS79" i="8"/>
  <c r="AJ67" i="8"/>
  <c r="AI106" i="8"/>
  <c r="AK122" i="8"/>
  <c r="AG78" i="8"/>
  <c r="I73" i="8"/>
  <c r="AP79" i="8"/>
  <c r="AQ74" i="8"/>
  <c r="AA78" i="8"/>
  <c r="S74" i="8"/>
  <c r="AT76" i="8"/>
  <c r="J74" i="8"/>
  <c r="M69" i="8"/>
  <c r="N76" i="8"/>
  <c r="M76" i="8"/>
  <c r="AK71" i="8"/>
  <c r="AM64" i="8"/>
  <c r="R120" i="8"/>
  <c r="AB66" i="8"/>
  <c r="U77" i="8"/>
  <c r="AQ62" i="8"/>
  <c r="AG75" i="8"/>
  <c r="AD66" i="8"/>
  <c r="X72" i="8"/>
  <c r="M134" i="8"/>
  <c r="P73" i="8"/>
  <c r="AZ79" i="8"/>
  <c r="K75" i="8"/>
  <c r="V106" i="8"/>
  <c r="AW75" i="8"/>
  <c r="S73" i="8"/>
  <c r="AU75" i="8"/>
  <c r="Q61" i="8"/>
  <c r="AI76" i="8"/>
  <c r="AC73" i="8"/>
  <c r="AU77" i="8"/>
  <c r="T72" i="8"/>
  <c r="Q73" i="8"/>
  <c r="AR70" i="8"/>
  <c r="BC74" i="8"/>
  <c r="I77" i="8"/>
  <c r="BC71" i="8"/>
  <c r="AO79" i="8"/>
  <c r="R64" i="8"/>
  <c r="S78" i="8"/>
  <c r="O106" i="8"/>
  <c r="AR63" i="8"/>
  <c r="I67" i="8"/>
  <c r="Q72" i="8"/>
  <c r="AY62" i="8"/>
  <c r="AL66" i="8"/>
  <c r="AL78" i="8"/>
  <c r="R76" i="8"/>
  <c r="AJ121" i="8"/>
  <c r="P77" i="8"/>
  <c r="AY70" i="8"/>
  <c r="AZ72" i="8"/>
  <c r="AT74" i="8"/>
  <c r="AX76" i="8"/>
  <c r="K135" i="8"/>
  <c r="AR72" i="8"/>
  <c r="BC135" i="8"/>
  <c r="AQ77" i="8"/>
  <c r="AW72" i="8"/>
  <c r="M73" i="8"/>
  <c r="T68" i="8"/>
  <c r="AX71" i="8"/>
  <c r="AT71" i="8"/>
  <c r="T79" i="8"/>
  <c r="AI66" i="8"/>
  <c r="W76" i="8"/>
  <c r="AM74" i="8"/>
  <c r="AW79" i="8"/>
  <c r="AX72" i="8"/>
  <c r="I75" i="8"/>
  <c r="AO130" i="8"/>
  <c r="H75" i="8"/>
  <c r="P71" i="8"/>
  <c r="M77" i="8"/>
  <c r="AZ67" i="8"/>
  <c r="AQ73" i="8"/>
  <c r="G66" i="8"/>
  <c r="AY77" i="8"/>
  <c r="AY78" i="8"/>
  <c r="AM75" i="8"/>
  <c r="AI73" i="8"/>
  <c r="AE74" i="8"/>
  <c r="AA75" i="8"/>
  <c r="AB71" i="8"/>
  <c r="AG63" i="8"/>
  <c r="Y73" i="8"/>
  <c r="AK74" i="8"/>
  <c r="W66" i="8"/>
  <c r="U73" i="8"/>
  <c r="AW78" i="8"/>
  <c r="Q130" i="8"/>
  <c r="G73" i="8"/>
  <c r="H69" i="8"/>
  <c r="T73" i="8"/>
  <c r="L71" i="8"/>
  <c r="L77" i="8"/>
  <c r="AV77" i="8"/>
  <c r="S131" i="8"/>
  <c r="AS77" i="8"/>
  <c r="AW74" i="8"/>
  <c r="BA78" i="8"/>
  <c r="AI74" i="8"/>
  <c r="Q126" i="8"/>
  <c r="G151" i="8"/>
  <c r="W139" i="8"/>
  <c r="W135" i="8"/>
  <c r="X139" i="8"/>
  <c r="AI150" i="8"/>
  <c r="AQ143" i="8"/>
  <c r="AM141" i="8"/>
  <c r="AG106" i="8"/>
  <c r="AB143" i="8"/>
  <c r="P106" i="8"/>
  <c r="AG122" i="8"/>
  <c r="AW61" i="8"/>
  <c r="AP69" i="8"/>
  <c r="W78" i="8"/>
  <c r="H70" i="8"/>
  <c r="AE75" i="8"/>
  <c r="K79" i="8"/>
  <c r="AX78" i="8"/>
  <c r="M79" i="8"/>
  <c r="F74" i="8"/>
  <c r="AW124" i="8"/>
  <c r="AI153" i="8"/>
  <c r="Q106" i="8"/>
  <c r="W149" i="8"/>
  <c r="BB136" i="8"/>
  <c r="AX138" i="8"/>
  <c r="AG131" i="8"/>
  <c r="AI143" i="8"/>
  <c r="AX106" i="8"/>
  <c r="V150" i="8"/>
  <c r="M148" i="8"/>
  <c r="Y122" i="8"/>
  <c r="H66" i="8"/>
  <c r="AI68" i="8"/>
  <c r="AQ66" i="8"/>
  <c r="AX70" i="8"/>
  <c r="AH79" i="8"/>
  <c r="Y134" i="8"/>
  <c r="AK69" i="8"/>
  <c r="G76" i="8"/>
  <c r="BA72" i="8"/>
  <c r="AQ79" i="8"/>
  <c r="H72" i="8"/>
  <c r="AF77" i="8"/>
  <c r="AS63" i="8"/>
  <c r="BA63" i="8"/>
  <c r="BB76" i="8"/>
  <c r="G78" i="8"/>
  <c r="Q79" i="8"/>
  <c r="AL72" i="8"/>
  <c r="AC69" i="8"/>
  <c r="AZ77" i="8"/>
  <c r="AM72" i="8"/>
  <c r="AG77" i="8"/>
  <c r="O74" i="8"/>
  <c r="AX66" i="8"/>
  <c r="AD62" i="8"/>
  <c r="V74" i="8"/>
  <c r="AW130" i="8"/>
  <c r="Z79" i="8"/>
  <c r="AU74" i="8"/>
  <c r="S62" i="8"/>
  <c r="BB72" i="8"/>
  <c r="AB70" i="8"/>
  <c r="AC75" i="8"/>
  <c r="AB69" i="8"/>
  <c r="AO72" i="8"/>
  <c r="S79" i="8"/>
  <c r="V62" i="8"/>
  <c r="AN75" i="8"/>
  <c r="AI75" i="8"/>
  <c r="AC124" i="8"/>
  <c r="Y78" i="8"/>
  <c r="AN79" i="8"/>
  <c r="AD70" i="8"/>
  <c r="AQ76" i="8"/>
  <c r="AI64" i="8"/>
  <c r="P67" i="8"/>
  <c r="M78" i="8"/>
  <c r="M72" i="8"/>
  <c r="AY66" i="8"/>
  <c r="AV106" i="8"/>
  <c r="G64" i="8"/>
  <c r="K125" i="8"/>
  <c r="I134" i="8"/>
  <c r="AP68" i="8"/>
  <c r="N146" i="8"/>
  <c r="AO74" i="8"/>
  <c r="P143" i="8"/>
  <c r="AL125" i="8"/>
  <c r="M153" i="8"/>
  <c r="U146" i="8"/>
  <c r="AK72" i="8"/>
  <c r="P145" i="8"/>
  <c r="AY135" i="8"/>
  <c r="AO106" i="8"/>
  <c r="AM70" i="8"/>
  <c r="AN73" i="8"/>
  <c r="AC79" i="8"/>
  <c r="U67" i="8"/>
  <c r="AJ63" i="8"/>
  <c r="AN77" i="8"/>
  <c r="AM79" i="8"/>
  <c r="W121" i="8"/>
  <c r="AI77" i="8"/>
  <c r="AM78" i="8"/>
  <c r="Y143" i="8"/>
  <c r="AQ149" i="8"/>
  <c r="I138" i="8"/>
  <c r="AS146" i="8"/>
  <c r="AF139" i="8"/>
  <c r="S154" i="8"/>
  <c r="AA147" i="8"/>
  <c r="AI122" i="8"/>
  <c r="AZ143" i="8"/>
  <c r="AV141" i="8"/>
  <c r="AQ141" i="8"/>
  <c r="Q120" i="8"/>
  <c r="AY74" i="8"/>
  <c r="AI70" i="8"/>
  <c r="V69" i="8"/>
  <c r="BC76" i="8"/>
  <c r="Q76" i="8"/>
  <c r="H73" i="8"/>
  <c r="AA79" i="8"/>
  <c r="AE78" i="8"/>
  <c r="AS78" i="8"/>
  <c r="L63" i="8"/>
  <c r="AY72" i="8"/>
  <c r="H68" i="8"/>
  <c r="AD74" i="8"/>
  <c r="Y72" i="8"/>
  <c r="AL120" i="8"/>
  <c r="S121" i="8"/>
  <c r="BB79" i="8"/>
  <c r="O73" i="8"/>
  <c r="AG132" i="8"/>
  <c r="O79" i="8"/>
  <c r="O78" i="8"/>
  <c r="AS76" i="8"/>
  <c r="AW69" i="8"/>
  <c r="U79" i="8"/>
  <c r="M75" i="8"/>
  <c r="AW134" i="8"/>
  <c r="O121" i="8"/>
  <c r="AE139" i="8"/>
  <c r="BB148" i="8"/>
  <c r="K74" i="8"/>
  <c r="S75" i="8"/>
  <c r="AJ106" i="8"/>
  <c r="AM135" i="8"/>
  <c r="F67" i="8"/>
  <c r="AC72" i="8"/>
  <c r="X77" i="8"/>
  <c r="BC79" i="8"/>
  <c r="L139" i="8"/>
  <c r="I106" i="8"/>
  <c r="X124" i="8"/>
  <c r="G141" i="8"/>
  <c r="AX120" i="8"/>
  <c r="O125" i="8"/>
  <c r="AP76" i="8"/>
  <c r="AB73" i="8"/>
  <c r="AW76" i="8"/>
  <c r="AK61" i="8"/>
  <c r="AN106" i="8"/>
  <c r="F71" i="8"/>
  <c r="AP72" i="8"/>
  <c r="R78" i="8"/>
  <c r="AK106" i="8"/>
  <c r="U136" i="8"/>
  <c r="AH136" i="8"/>
  <c r="BA125" i="8"/>
  <c r="AP138" i="8"/>
  <c r="R138" i="8"/>
  <c r="AS149" i="8"/>
  <c r="BA142" i="8"/>
  <c r="AQ121" i="8"/>
  <c r="W106" i="8"/>
  <c r="AK130" i="8"/>
  <c r="S134" i="8"/>
  <c r="J106" i="8"/>
  <c r="AG74" i="8"/>
  <c r="AS73" i="8"/>
  <c r="U69" i="8"/>
  <c r="S76" i="8"/>
  <c r="P79" i="8"/>
  <c r="AD67" i="8"/>
  <c r="AM76" i="8"/>
  <c r="AZ75" i="8"/>
  <c r="BA77" i="8"/>
  <c r="AN147" i="8"/>
  <c r="AC148" i="8"/>
  <c r="AS136" i="8"/>
  <c r="BC136" i="8"/>
  <c r="AX135" i="8"/>
  <c r="AI162" i="8"/>
  <c r="AF120" i="8"/>
  <c r="O137" i="8"/>
  <c r="AC134" i="8"/>
  <c r="F142" i="8"/>
  <c r="AC140" i="8"/>
  <c r="R132" i="8"/>
  <c r="V78" i="8"/>
  <c r="AJ77" i="8"/>
  <c r="H61" i="8"/>
  <c r="AI125" i="8"/>
  <c r="V71" i="8"/>
  <c r="AC61" i="8"/>
  <c r="AG76" i="8"/>
  <c r="W79" i="8"/>
  <c r="Y76" i="8"/>
  <c r="Q77" i="8"/>
  <c r="AW67" i="8"/>
  <c r="G74" i="8"/>
  <c r="AV73" i="8"/>
  <c r="AQ78" i="8"/>
  <c r="U78" i="8"/>
  <c r="AO134" i="8"/>
  <c r="BB78" i="8"/>
  <c r="AT78" i="8"/>
  <c r="Z78" i="8"/>
  <c r="F76" i="8"/>
  <c r="AV61" i="8"/>
  <c r="AV72" i="8"/>
  <c r="R150" i="8"/>
  <c r="AQ133" i="8"/>
  <c r="L72" i="8"/>
  <c r="L70" i="8"/>
  <c r="AH106" i="8"/>
  <c r="G125" i="8"/>
  <c r="BC153" i="8"/>
  <c r="AU137" i="8"/>
  <c r="AZ130" i="8"/>
  <c r="Z74" i="8"/>
  <c r="AZ73" i="8"/>
  <c r="R106" i="8"/>
  <c r="G106" i="8"/>
  <c r="AA74" i="8"/>
  <c r="AF121" i="8"/>
  <c r="Y132" i="8"/>
  <c r="AD148" i="8"/>
  <c r="AI146" i="8"/>
  <c r="AI121" i="8"/>
  <c r="BC154" i="8"/>
  <c r="AS74" i="8"/>
  <c r="Y106" i="8"/>
  <c r="Y140" i="8"/>
  <c r="BA106" i="8"/>
  <c r="AC132" i="8"/>
  <c r="AD76" i="8"/>
  <c r="AC126" i="8"/>
  <c r="AY71" i="8"/>
  <c r="AB67" i="8"/>
  <c r="P69" i="8"/>
  <c r="AM106" i="8"/>
  <c r="W146" i="8"/>
  <c r="AU76" i="8"/>
  <c r="N152" i="8"/>
  <c r="X132" i="8"/>
  <c r="AK132" i="8"/>
  <c r="G145" i="8"/>
  <c r="M124" i="8"/>
  <c r="X141" i="8"/>
  <c r="AO153" i="8"/>
  <c r="Q71" i="8"/>
  <c r="BB120" i="8"/>
  <c r="BA79" i="8"/>
  <c r="P75" i="8"/>
  <c r="BB74" i="8"/>
  <c r="AK78" i="8"/>
  <c r="G135" i="8"/>
  <c r="AK77" i="8"/>
  <c r="Y126" i="8"/>
  <c r="I79" i="8"/>
  <c r="W70" i="8"/>
  <c r="AT124" i="8"/>
  <c r="Z140" i="8"/>
  <c r="AA73" i="8"/>
  <c r="AT152" i="8"/>
  <c r="AB137" i="8"/>
  <c r="BC152" i="8"/>
  <c r="M146" i="8"/>
  <c r="AH78" i="8"/>
  <c r="AD146" i="8"/>
  <c r="AO132" i="8"/>
  <c r="AY137" i="8"/>
  <c r="F122" i="8"/>
  <c r="AA77" i="8"/>
  <c r="AJ73" i="8"/>
  <c r="AB68" i="8"/>
  <c r="AP71" i="8"/>
  <c r="AA133" i="8"/>
  <c r="P61" i="8"/>
  <c r="AH74" i="8"/>
  <c r="AT70" i="8"/>
  <c r="AR79" i="8"/>
  <c r="N78" i="8"/>
  <c r="U63" i="8"/>
  <c r="AQ75" i="8"/>
  <c r="V79" i="8"/>
  <c r="AX79" i="8"/>
  <c r="BC75" i="8"/>
  <c r="BA120" i="8"/>
  <c r="Y74" i="8"/>
  <c r="O75" i="8"/>
  <c r="Y75" i="8"/>
  <c r="AC74" i="8"/>
  <c r="U71" i="8"/>
  <c r="AL74" i="8"/>
  <c r="AK73" i="8"/>
  <c r="Q122" i="8"/>
  <c r="AC76" i="8"/>
  <c r="G68" i="8"/>
  <c r="F106" i="8"/>
  <c r="AU135" i="8"/>
  <c r="AR149" i="8"/>
  <c r="AY139" i="8"/>
  <c r="AT125" i="8"/>
  <c r="BC134" i="8"/>
  <c r="AY73" i="8"/>
  <c r="V66" i="8"/>
  <c r="AE79" i="8"/>
  <c r="AR77" i="8"/>
  <c r="I74" i="8"/>
  <c r="Q134" i="8"/>
  <c r="T141" i="8"/>
  <c r="H135" i="8"/>
  <c r="AF131" i="8"/>
  <c r="AI133" i="8"/>
  <c r="F69" i="8"/>
  <c r="AO126" i="8"/>
  <c r="O156" i="8"/>
  <c r="AP106" i="8"/>
  <c r="AH120" i="8"/>
  <c r="AW77" i="8"/>
  <c r="AR75" i="8"/>
  <c r="AQ134" i="8"/>
  <c r="J78" i="8"/>
  <c r="AU78" i="8"/>
  <c r="AV137" i="8"/>
  <c r="BB130" i="8"/>
  <c r="J120" i="8"/>
  <c r="AD144" i="8"/>
  <c r="Z146" i="8"/>
  <c r="AE145" i="8"/>
  <c r="O141" i="8"/>
  <c r="AO122" i="8"/>
  <c r="AD133" i="8"/>
  <c r="AQ71" i="8"/>
  <c r="AH70" i="8"/>
  <c r="O68" i="8"/>
  <c r="U122" i="8"/>
  <c r="AC154" i="8"/>
  <c r="F78" i="8"/>
  <c r="U120" i="8"/>
  <c r="AR133" i="8"/>
  <c r="AT72" i="8"/>
  <c r="T106" i="8"/>
  <c r="X70" i="8"/>
  <c r="AP78" i="8"/>
  <c r="AO120" i="8"/>
  <c r="BA139" i="8"/>
  <c r="AM121" i="8"/>
  <c r="J142" i="8"/>
  <c r="AT136" i="8"/>
  <c r="AZ106" i="8"/>
  <c r="Q144" i="8"/>
  <c r="AE121" i="8"/>
  <c r="J140" i="8"/>
  <c r="AA106" i="8"/>
  <c r="AE106" i="8"/>
  <c r="J136" i="8"/>
  <c r="K73" i="8"/>
  <c r="I78" i="8"/>
  <c r="F70" i="8"/>
  <c r="AK120" i="8"/>
  <c r="AN61" i="8"/>
  <c r="AD79" i="8"/>
  <c r="I72" i="8"/>
  <c r="M126" i="8"/>
  <c r="BA76" i="8"/>
  <c r="AW106" i="8"/>
  <c r="AL106" i="8"/>
  <c r="AA64" i="8"/>
  <c r="BB71" i="8"/>
  <c r="V121" i="8"/>
  <c r="P124" i="8"/>
  <c r="R131" i="8"/>
  <c r="I126" i="8"/>
  <c r="AK79" i="8"/>
  <c r="BA122" i="8"/>
  <c r="AL144" i="8"/>
  <c r="I122" i="8"/>
  <c r="M120" i="8"/>
  <c r="Z138" i="8"/>
  <c r="Y151" i="8"/>
  <c r="O145" i="8"/>
  <c r="G136" i="8"/>
  <c r="M141" i="8"/>
  <c r="V126" i="8"/>
  <c r="K158" i="8"/>
  <c r="K106" i="8"/>
  <c r="W138" i="8"/>
  <c r="Z134" i="8"/>
  <c r="L167" i="8"/>
  <c r="AT174" i="8"/>
  <c r="AF152" i="8"/>
  <c r="M166" i="8"/>
  <c r="AG206" i="8"/>
  <c r="AH148" i="8"/>
  <c r="BA154" i="8"/>
  <c r="AS140" i="8"/>
  <c r="AY131" i="8"/>
  <c r="F120" i="8"/>
  <c r="I148" i="8"/>
  <c r="AX142" i="8"/>
  <c r="Q178" i="8"/>
  <c r="AG144" i="8"/>
  <c r="BC141" i="8"/>
  <c r="L153" i="8"/>
  <c r="AY133" i="8"/>
  <c r="AE164" i="8"/>
  <c r="O133" i="8"/>
  <c r="AS126" i="8"/>
  <c r="AG137" i="8"/>
  <c r="AF143" i="8"/>
  <c r="T148" i="8"/>
  <c r="AL150" i="8"/>
  <c r="M170" i="8"/>
  <c r="U144" i="8"/>
  <c r="H153" i="8"/>
  <c r="Y149" i="8"/>
  <c r="AR177" i="8"/>
  <c r="BB142" i="8"/>
  <c r="AV131" i="8"/>
  <c r="K164" i="8"/>
  <c r="BC131" i="8"/>
  <c r="T126" i="8"/>
  <c r="F140" i="8"/>
  <c r="AC146" i="8"/>
  <c r="U150" i="8"/>
  <c r="AO198" i="8"/>
  <c r="M165" i="8"/>
  <c r="AD126" i="8"/>
  <c r="AI148" i="8"/>
  <c r="AI132" i="8"/>
  <c r="T133" i="8"/>
  <c r="AN169" i="8"/>
  <c r="AB175" i="8"/>
  <c r="AJ150" i="8"/>
  <c r="V256" i="8"/>
  <c r="AY122" i="8"/>
  <c r="I121" i="8"/>
  <c r="AG163" i="8"/>
  <c r="AT153" i="8"/>
  <c r="R122" i="8"/>
  <c r="K160" i="8"/>
  <c r="L125" i="8"/>
  <c r="AD136" i="8"/>
  <c r="AC149" i="8"/>
  <c r="K126" i="8"/>
  <c r="H131" i="8"/>
  <c r="Q139" i="8"/>
  <c r="I167" i="8"/>
  <c r="AY154" i="8"/>
  <c r="BC133" i="8"/>
  <c r="AK139" i="8"/>
  <c r="P131" i="8"/>
  <c r="BB152" i="8"/>
  <c r="BA155" i="8"/>
  <c r="AI137" i="8"/>
  <c r="O149" i="8"/>
  <c r="G203" i="8"/>
  <c r="L147" i="8"/>
  <c r="AO138" i="8"/>
  <c r="AM124" i="8"/>
  <c r="I130" i="8"/>
  <c r="Q165" i="8"/>
  <c r="AG152" i="8"/>
  <c r="AG147" i="8"/>
  <c r="Z106" i="8"/>
  <c r="L106" i="8"/>
  <c r="G162" i="8"/>
  <c r="M164" i="8"/>
  <c r="H154" i="8"/>
  <c r="X133" i="8"/>
  <c r="AA197" i="8"/>
  <c r="X155" i="8"/>
  <c r="AY164" i="8"/>
  <c r="AG156" i="8"/>
  <c r="BA132" i="8"/>
  <c r="I159" i="8"/>
  <c r="AO150" i="8"/>
  <c r="AS134" i="8"/>
  <c r="X149" i="8"/>
  <c r="AY143" i="8"/>
  <c r="V165" i="8"/>
  <c r="AV126" i="8"/>
  <c r="AT141" i="8"/>
  <c r="AL151" i="8"/>
  <c r="W144" i="8"/>
  <c r="AS120" i="8"/>
  <c r="AJ154" i="8"/>
  <c r="AI173" i="8"/>
  <c r="AL176" i="8"/>
  <c r="O124" i="8"/>
  <c r="AN124" i="8"/>
  <c r="AI136" i="8"/>
  <c r="G199" i="8"/>
  <c r="Q163" i="8"/>
  <c r="AC125" i="8"/>
  <c r="AG139" i="8"/>
  <c r="N126" i="8"/>
  <c r="AY162" i="8"/>
  <c r="AK126" i="8"/>
  <c r="BC125" i="8"/>
  <c r="AM120" i="8"/>
  <c r="Q121" i="8"/>
  <c r="AK151" i="8"/>
  <c r="AH144" i="8"/>
  <c r="AY149" i="8"/>
  <c r="K141" i="8"/>
  <c r="AW139" i="8"/>
  <c r="AM126" i="8"/>
  <c r="AF140" i="8"/>
  <c r="BC211" i="8"/>
  <c r="K177" i="8"/>
  <c r="AS168" i="8"/>
  <c r="I131" i="8"/>
  <c r="W141" i="8"/>
  <c r="AP149" i="8"/>
  <c r="AH126" i="8"/>
  <c r="AF151" i="8"/>
  <c r="N106" i="8"/>
  <c r="V122" i="8"/>
  <c r="AA131" i="8"/>
  <c r="I124" i="8"/>
  <c r="Q136" i="8"/>
  <c r="AV146" i="8"/>
  <c r="U143" i="8"/>
  <c r="R153" i="8"/>
  <c r="AI141" i="8"/>
  <c r="X73" i="8"/>
  <c r="AC77" i="8"/>
  <c r="BC77" i="8"/>
  <c r="AS72" i="8"/>
  <c r="AU131" i="8"/>
  <c r="Y136" i="8"/>
  <c r="AE62" i="8"/>
  <c r="AI135" i="8"/>
  <c r="U106" i="8"/>
  <c r="AW122" i="8"/>
  <c r="K77" i="8"/>
  <c r="U76" i="8"/>
  <c r="U74" i="8"/>
  <c r="AY134" i="8"/>
  <c r="H106" i="8"/>
  <c r="AW146" i="8"/>
  <c r="AF133" i="8"/>
  <c r="R74" i="8"/>
  <c r="AB126" i="8"/>
  <c r="AJ149" i="8"/>
  <c r="AN120" i="8"/>
  <c r="AL148" i="8"/>
  <c r="Q152" i="8"/>
  <c r="X135" i="8"/>
  <c r="I140" i="8"/>
  <c r="AT147" i="8"/>
  <c r="AO73" i="8"/>
  <c r="AD122" i="8"/>
  <c r="AB135" i="8"/>
  <c r="O142" i="8"/>
  <c r="N154" i="8"/>
  <c r="AK138" i="8"/>
  <c r="V170" i="8"/>
  <c r="P134" i="8"/>
  <c r="AK162" i="8"/>
  <c r="V143" i="8"/>
  <c r="AR136" i="8"/>
  <c r="Q125" i="8"/>
  <c r="AL172" i="8"/>
  <c r="AV154" i="8"/>
  <c r="AJ75" i="8"/>
  <c r="AU158" i="8"/>
  <c r="U130" i="8"/>
  <c r="R135" i="8"/>
  <c r="AW155" i="8"/>
  <c r="AM137" i="8"/>
  <c r="V132" i="8"/>
  <c r="AD152" i="8"/>
  <c r="H125" i="8"/>
  <c r="AO155" i="8"/>
  <c r="AF71" i="8"/>
  <c r="AU121" i="8"/>
  <c r="F132" i="8"/>
  <c r="AZ141" i="8"/>
  <c r="AW162" i="8"/>
  <c r="Z139" i="8"/>
  <c r="AE141" i="8"/>
  <c r="AO161" i="8"/>
  <c r="R141" i="8"/>
  <c r="S137" i="8"/>
  <c r="G132" i="8"/>
  <c r="AI199" i="8"/>
  <c r="AM162" i="8"/>
  <c r="AZ126" i="8"/>
  <c r="X147" i="8"/>
  <c r="J146" i="8"/>
  <c r="AK67" i="8"/>
  <c r="AS138" i="8"/>
  <c r="BC145" i="8"/>
  <c r="AK153" i="8"/>
  <c r="Q167" i="8"/>
  <c r="AF122" i="8"/>
  <c r="AC122" i="8"/>
  <c r="AW149" i="8"/>
  <c r="AC142" i="8"/>
  <c r="G126" i="8"/>
  <c r="I153" i="8"/>
  <c r="AS170" i="8"/>
  <c r="AU196" i="8"/>
  <c r="BB150" i="8"/>
  <c r="K136" i="8"/>
  <c r="AR169" i="8"/>
  <c r="AN141" i="8"/>
  <c r="AD132" i="8"/>
  <c r="AH130" i="8"/>
  <c r="AP146" i="8"/>
  <c r="L130" i="8"/>
  <c r="BA145" i="8"/>
  <c r="AX134" i="8"/>
  <c r="W136" i="8"/>
  <c r="Y133" i="8"/>
  <c r="AL122" i="8"/>
  <c r="AB131" i="8"/>
  <c r="W133" i="8"/>
  <c r="G130" i="8"/>
  <c r="G120" i="8"/>
  <c r="T166" i="8"/>
  <c r="V135" i="8"/>
  <c r="S145" i="8"/>
  <c r="AV259" i="8"/>
  <c r="AW167" i="8"/>
  <c r="AL154" i="8"/>
  <c r="Y155" i="8"/>
  <c r="AZ150" i="8"/>
  <c r="AG136" i="8"/>
  <c r="AK134" i="8"/>
  <c r="N68" i="8"/>
  <c r="AE130" i="8"/>
  <c r="AQ150" i="8"/>
  <c r="J138" i="8"/>
  <c r="Q151" i="8"/>
  <c r="L149" i="8"/>
  <c r="AC176" i="8"/>
  <c r="X150" i="8"/>
  <c r="AX146" i="8"/>
  <c r="BA138" i="8"/>
  <c r="M133" i="8"/>
  <c r="AX154" i="8"/>
  <c r="Y130" i="8"/>
  <c r="Z120" i="8"/>
  <c r="U121" i="8"/>
  <c r="M122" i="8"/>
  <c r="AW141" i="8"/>
  <c r="AJ141" i="8"/>
  <c r="AG145" i="8"/>
  <c r="S156" i="8"/>
  <c r="AU143" i="8"/>
  <c r="V178" i="8"/>
  <c r="AY146" i="8"/>
  <c r="U137" i="8"/>
  <c r="AR135" i="8"/>
  <c r="AF171" i="8"/>
  <c r="U134" i="8"/>
  <c r="AD135" i="8"/>
  <c r="AU154" i="8"/>
  <c r="R134" i="8"/>
  <c r="Q210" i="8"/>
  <c r="M159" i="8"/>
  <c r="AL147" i="8"/>
  <c r="L121" i="8"/>
  <c r="AQ166" i="8"/>
  <c r="AZ131" i="8"/>
  <c r="S106" i="8"/>
  <c r="P153" i="8"/>
  <c r="AG165" i="8"/>
  <c r="AQ148" i="8"/>
  <c r="S168" i="8"/>
  <c r="I154" i="8"/>
  <c r="AY166" i="8"/>
  <c r="AC120" i="8"/>
  <c r="AA142" i="8"/>
  <c r="AQ138" i="8"/>
  <c r="AL133" i="8"/>
  <c r="AL168" i="8"/>
  <c r="AD163" i="8"/>
  <c r="I198" i="8"/>
  <c r="AT120" i="8"/>
  <c r="AF153" i="8"/>
  <c r="AJ152" i="8"/>
  <c r="W120" i="8"/>
  <c r="AJ153" i="8"/>
  <c r="AL130" i="8"/>
  <c r="S162" i="8"/>
  <c r="AV143" i="8"/>
  <c r="W125" i="8"/>
  <c r="H156" i="8"/>
  <c r="H175" i="8"/>
  <c r="O146" i="8"/>
  <c r="AE154" i="8"/>
  <c r="AC144" i="8"/>
  <c r="U124" i="8"/>
  <c r="G79" i="8"/>
  <c r="BA73" i="8"/>
  <c r="AC78" i="8"/>
  <c r="AW126" i="8"/>
  <c r="G77" i="8"/>
  <c r="BA134" i="8"/>
  <c r="AK124" i="8"/>
  <c r="AR73" i="8"/>
  <c r="H132" i="8"/>
  <c r="AR66" i="8"/>
  <c r="AB75" i="8"/>
  <c r="AU71" i="8"/>
  <c r="L145" i="8"/>
  <c r="AI130" i="8"/>
  <c r="AQ158" i="8"/>
  <c r="AA125" i="8"/>
  <c r="AU106" i="8"/>
  <c r="S133" i="8"/>
  <c r="AD106" i="8"/>
  <c r="L75" i="8"/>
  <c r="BB140" i="8"/>
  <c r="AZ149" i="8"/>
  <c r="M106" i="8"/>
  <c r="X106" i="8"/>
  <c r="P151" i="8"/>
  <c r="Q147" i="8"/>
  <c r="AU160" i="8"/>
  <c r="AK144" i="8"/>
  <c r="AQ144" i="8"/>
  <c r="AA140" i="8"/>
  <c r="AQ147" i="8"/>
  <c r="AC200" i="8"/>
  <c r="T122" i="8"/>
  <c r="G173" i="8"/>
  <c r="M121" i="8"/>
  <c r="AF149" i="8"/>
  <c r="BA147" i="8"/>
  <c r="AO163" i="8"/>
  <c r="BC106" i="8"/>
  <c r="AX122" i="8"/>
  <c r="AW161" i="8"/>
  <c r="K147" i="8"/>
  <c r="F125" i="8"/>
  <c r="AM131" i="8"/>
  <c r="AE137" i="8"/>
  <c r="Y148" i="8"/>
  <c r="I143" i="8"/>
  <c r="AV125" i="8"/>
  <c r="S158" i="8"/>
  <c r="Y124" i="8"/>
  <c r="Q124" i="8"/>
  <c r="AH134" i="8"/>
  <c r="AU150" i="8"/>
  <c r="AZ171" i="8"/>
  <c r="AH133" i="8"/>
  <c r="AH140" i="8"/>
  <c r="L144" i="8"/>
  <c r="BB146" i="8"/>
  <c r="AO159" i="8"/>
  <c r="AW138" i="8"/>
  <c r="S135" i="8"/>
  <c r="AG157" i="8"/>
  <c r="AQ131" i="8"/>
  <c r="BB133" i="8"/>
  <c r="AR141" i="8"/>
  <c r="G149" i="8"/>
  <c r="AC133" i="8"/>
  <c r="AV151" i="8"/>
  <c r="U161" i="8"/>
  <c r="AU156" i="8"/>
  <c r="AC106" i="8"/>
  <c r="M130" i="8"/>
  <c r="I141" i="8"/>
  <c r="M172" i="8"/>
  <c r="AS210" i="8"/>
  <c r="AK152" i="8"/>
  <c r="AM173" i="8"/>
  <c r="AC136" i="8"/>
  <c r="G150" i="8"/>
  <c r="AK140" i="8"/>
  <c r="AL134" i="8"/>
  <c r="BC122" i="8"/>
  <c r="AR121" i="8"/>
  <c r="BB131" i="8"/>
  <c r="T149" i="8"/>
  <c r="F148" i="8"/>
  <c r="M138" i="8"/>
  <c r="BC120" i="8"/>
  <c r="AB130" i="8"/>
  <c r="BA124" i="8"/>
  <c r="P125" i="8"/>
  <c r="AY145" i="8"/>
  <c r="AM125" i="8"/>
  <c r="BC138" i="8"/>
  <c r="AH141" i="8"/>
  <c r="O140" i="8"/>
  <c r="P137" i="8"/>
  <c r="Q154" i="8"/>
  <c r="L124" i="8"/>
  <c r="Z152" i="8"/>
  <c r="AE138" i="8"/>
  <c r="AE160" i="8"/>
  <c r="R144" i="8"/>
  <c r="J126" i="8"/>
  <c r="AP130" i="8"/>
  <c r="AY106" i="8"/>
  <c r="AK135" i="8"/>
  <c r="S209" i="8"/>
  <c r="AF147" i="8"/>
  <c r="R178" i="8"/>
  <c r="AD143" i="8"/>
  <c r="AD151" i="8"/>
  <c r="AY160" i="8"/>
  <c r="AA124" i="8"/>
  <c r="AY147" i="8"/>
  <c r="M125" i="8"/>
  <c r="AX150" i="8"/>
  <c r="R124" i="8"/>
  <c r="BC160" i="8"/>
  <c r="AG124" i="8"/>
  <c r="AG125" i="8"/>
  <c r="AT132" i="8"/>
  <c r="V152" i="8"/>
  <c r="AE166" i="8"/>
  <c r="AT133" i="8"/>
  <c r="AF137" i="8"/>
  <c r="AD141" i="8"/>
  <c r="AA121" i="8"/>
  <c r="AU122" i="8"/>
  <c r="G143" i="8"/>
  <c r="AA154" i="8"/>
  <c r="V172" i="8"/>
  <c r="AE149" i="8"/>
  <c r="L138" i="8"/>
  <c r="AK200" i="8"/>
  <c r="BA152" i="8"/>
  <c r="F141" i="8"/>
  <c r="AQ124" i="8"/>
  <c r="U132" i="8"/>
  <c r="K166" i="8"/>
  <c r="S153" i="8"/>
  <c r="Q133" i="8"/>
  <c r="Q141" i="8"/>
  <c r="Q131" i="8"/>
  <c r="AE136" i="8"/>
  <c r="X138" i="8"/>
  <c r="V145" i="8"/>
  <c r="S147" i="8"/>
  <c r="S146" i="8"/>
  <c r="S125" i="8"/>
  <c r="L159" i="8"/>
  <c r="AY161" i="8"/>
  <c r="AV121" i="8"/>
  <c r="AP145" i="8"/>
  <c r="R161" i="8"/>
  <c r="AG133" i="8"/>
  <c r="AQ205" i="8"/>
  <c r="AE152" i="8"/>
  <c r="AW144" i="8"/>
  <c r="AQ142" i="8"/>
  <c r="AX124" i="8"/>
  <c r="AI154" i="8"/>
  <c r="AE133" i="8"/>
  <c r="AZ151" i="8"/>
  <c r="AX130" i="8"/>
  <c r="AE199" i="8"/>
  <c r="AW153" i="8"/>
  <c r="F146" i="8"/>
  <c r="M152" i="8"/>
  <c r="W73" i="8"/>
  <c r="J76" i="8"/>
  <c r="X121" i="8"/>
  <c r="AR130" i="8"/>
  <c r="AF79" i="8"/>
  <c r="P121" i="8"/>
  <c r="AY130" i="8"/>
  <c r="O131" i="8"/>
  <c r="F165" i="8"/>
  <c r="AJ140" i="8"/>
  <c r="AP126" i="8"/>
  <c r="AO140" i="8"/>
  <c r="BA161" i="8"/>
  <c r="U142" i="8"/>
  <c r="AI175" i="8"/>
  <c r="AO174" i="8"/>
  <c r="AR137" i="8"/>
  <c r="Z154" i="8"/>
  <c r="AG120" i="8"/>
  <c r="AL141" i="8"/>
  <c r="AA137" i="8"/>
  <c r="AW148" i="8"/>
  <c r="BA121" i="8"/>
  <c r="U126" i="8"/>
  <c r="BC146" i="8"/>
  <c r="AO135" i="8"/>
  <c r="AB125" i="8"/>
  <c r="O120" i="8"/>
  <c r="AR151" i="8"/>
  <c r="AU153" i="8"/>
  <c r="AE131" i="8"/>
  <c r="AQ164" i="8"/>
  <c r="AE140" i="8"/>
  <c r="AW154" i="8"/>
  <c r="J149" i="8"/>
  <c r="W160" i="8"/>
  <c r="V125" i="8"/>
  <c r="AY196" i="8"/>
  <c r="I133" i="8"/>
  <c r="AP150" i="8"/>
  <c r="G131" i="8"/>
  <c r="AW120" i="8"/>
  <c r="AO154" i="8"/>
  <c r="M136" i="8"/>
  <c r="AS131" i="8"/>
  <c r="AM140" i="8"/>
  <c r="AH150" i="8"/>
  <c r="AY158" i="8"/>
  <c r="U174" i="8"/>
  <c r="AV150" i="8"/>
  <c r="V124" i="8"/>
  <c r="AI120" i="8"/>
  <c r="AR156" i="8"/>
  <c r="V136" i="8"/>
  <c r="P147" i="8"/>
  <c r="AH132" i="8"/>
  <c r="BA153" i="8"/>
  <c r="AU64" i="8"/>
  <c r="Q132" i="8"/>
  <c r="AE124" i="8"/>
  <c r="AI166" i="8"/>
  <c r="G195" i="8"/>
  <c r="AR147" i="8"/>
  <c r="N148" i="8"/>
  <c r="S148" i="8"/>
  <c r="AX133" i="8"/>
  <c r="G205" i="8"/>
  <c r="K149" i="8"/>
  <c r="AA149" i="8"/>
  <c r="Z126" i="8"/>
  <c r="AQ106" i="8"/>
  <c r="AU140" i="8"/>
  <c r="G144" i="8"/>
  <c r="AO133" i="8"/>
  <c r="AA151" i="8"/>
  <c r="AS145" i="8"/>
  <c r="AH135" i="8"/>
  <c r="AH166" i="8"/>
  <c r="AN148" i="8"/>
  <c r="X130" i="8"/>
  <c r="O147" i="8"/>
  <c r="O162" i="8"/>
  <c r="F232" i="8"/>
  <c r="AY153" i="8"/>
  <c r="N142" i="8"/>
  <c r="AQ197" i="8"/>
  <c r="AO142" i="8"/>
  <c r="AD147" i="8"/>
  <c r="V141" i="8"/>
  <c r="AK155" i="8"/>
  <c r="AH139" i="8"/>
  <c r="L196" i="8"/>
  <c r="AS174" i="8"/>
  <c r="O136" i="8"/>
  <c r="AB173" i="8"/>
  <c r="AY132" i="8"/>
  <c r="AK209" i="8"/>
  <c r="AO229" i="8"/>
  <c r="J163" i="8"/>
  <c r="AE122" i="8"/>
  <c r="AB139" i="8"/>
  <c r="AZ153" i="8"/>
  <c r="W168" i="8"/>
  <c r="Q157" i="8"/>
  <c r="L152" i="8"/>
  <c r="AY126" i="8"/>
  <c r="J153" i="8"/>
  <c r="AD120" i="8"/>
  <c r="N174" i="8"/>
  <c r="AK148" i="8"/>
  <c r="AV136" i="8"/>
  <c r="V154" i="8"/>
  <c r="AH122" i="8"/>
  <c r="AE153" i="8"/>
  <c r="AM144" i="8"/>
  <c r="AK137" i="8"/>
  <c r="N130" i="8"/>
  <c r="AK149" i="8"/>
  <c r="AP124" i="8"/>
  <c r="AD155" i="8"/>
  <c r="AK154" i="8"/>
  <c r="AN122" i="8"/>
  <c r="J121" i="8"/>
  <c r="G160" i="8"/>
  <c r="AW208" i="8"/>
  <c r="Q138" i="8"/>
  <c r="W151" i="8"/>
  <c r="W164" i="8"/>
  <c r="K154" i="8"/>
  <c r="AS133" i="8"/>
  <c r="BC167" i="8"/>
  <c r="H166" i="8"/>
  <c r="X131" i="8"/>
  <c r="F124" i="8"/>
  <c r="Z153" i="8"/>
  <c r="AO237" i="8"/>
  <c r="AT140" i="8"/>
  <c r="F173" i="8"/>
  <c r="N236" i="8"/>
  <c r="BA199" i="8"/>
  <c r="S140" i="8"/>
  <c r="L146" i="8"/>
  <c r="AR134" i="8"/>
  <c r="AH152" i="8"/>
  <c r="AF154" i="8"/>
  <c r="N143" i="8"/>
  <c r="Z176" i="8"/>
  <c r="P130" i="8"/>
  <c r="Z137" i="8"/>
  <c r="AC155" i="8"/>
  <c r="AV153" i="8"/>
  <c r="AQ211" i="8"/>
  <c r="Z163" i="8"/>
  <c r="AQ130" i="8"/>
  <c r="I120" i="8"/>
  <c r="AC151" i="8"/>
  <c r="AU133" i="8"/>
  <c r="AE148" i="8"/>
  <c r="M149" i="8"/>
  <c r="BC171" i="8"/>
  <c r="AN161" i="8"/>
  <c r="V144" i="8"/>
  <c r="AP131" i="8"/>
  <c r="F126" i="8"/>
  <c r="F144" i="8"/>
  <c r="AQ171" i="8"/>
  <c r="T124" i="8"/>
  <c r="U169" i="8"/>
  <c r="N133" i="8"/>
  <c r="AT142" i="8"/>
  <c r="H79" i="8"/>
  <c r="K139" i="8"/>
  <c r="AQ139" i="8"/>
  <c r="AL140" i="8"/>
  <c r="AP74" i="8"/>
  <c r="N144" i="8"/>
  <c r="AB145" i="8"/>
  <c r="I137" i="8"/>
  <c r="AS161" i="8"/>
  <c r="K130" i="8"/>
  <c r="BC149" i="8"/>
  <c r="O132" i="8"/>
  <c r="AX178" i="8"/>
  <c r="Z174" i="8"/>
  <c r="N150" i="8"/>
  <c r="T121" i="8"/>
  <c r="AS157" i="8"/>
  <c r="AH124" i="8"/>
  <c r="AN135" i="8"/>
  <c r="W145" i="8"/>
  <c r="T135" i="8"/>
  <c r="R142" i="8"/>
  <c r="AR153" i="8"/>
  <c r="AQ135" i="8"/>
  <c r="O151" i="8"/>
  <c r="Q150" i="8"/>
  <c r="V133" i="8"/>
  <c r="L173" i="8"/>
  <c r="G168" i="8"/>
  <c r="AY205" i="8"/>
  <c r="AS122" i="8"/>
  <c r="H136" i="8"/>
  <c r="AM152" i="8"/>
  <c r="AW174" i="8"/>
  <c r="AC138" i="8"/>
  <c r="AY151" i="8"/>
  <c r="AM142" i="8"/>
  <c r="AI138" i="8"/>
  <c r="AK147" i="8"/>
  <c r="AO147" i="8"/>
  <c r="AC165" i="8"/>
  <c r="AB133" i="8"/>
  <c r="I204" i="8"/>
  <c r="AG126" i="8"/>
  <c r="S120" i="8"/>
  <c r="L135" i="8"/>
  <c r="AS153" i="8"/>
  <c r="R121" i="8"/>
  <c r="AV142" i="8"/>
  <c r="AY173" i="8"/>
  <c r="AD124" i="8"/>
  <c r="Y139" i="8"/>
  <c r="BB168" i="8"/>
  <c r="M150" i="8"/>
  <c r="AY142" i="8"/>
  <c r="AT126" i="8"/>
  <c r="AE156" i="8"/>
  <c r="V120" i="8"/>
  <c r="AU125" i="8"/>
  <c r="AZ125" i="8"/>
  <c r="Y161" i="8"/>
  <c r="U163" i="8"/>
  <c r="U148" i="8"/>
  <c r="P132" i="8"/>
  <c r="AM133" i="8"/>
  <c r="U198" i="8"/>
  <c r="AC156" i="8"/>
  <c r="AP174" i="8"/>
  <c r="AM147" i="8"/>
  <c r="J134" i="8"/>
  <c r="N132" i="8"/>
  <c r="K121" i="8"/>
  <c r="AK141" i="8"/>
  <c r="AW206" i="8"/>
  <c r="AG161" i="8"/>
  <c r="AQ154" i="8"/>
  <c r="AO172" i="8"/>
  <c r="AC158" i="8"/>
  <c r="N124" i="8"/>
  <c r="I139" i="8"/>
  <c r="AN146" i="8"/>
  <c r="AH125" i="8"/>
  <c r="F152" i="8"/>
  <c r="AD150" i="8"/>
  <c r="AP135" i="8"/>
  <c r="BA208" i="8"/>
  <c r="AP152" i="8"/>
  <c r="BB135" i="8"/>
  <c r="P144" i="8"/>
  <c r="BA131" i="8"/>
  <c r="V131" i="8"/>
  <c r="N149" i="8"/>
  <c r="I239" i="8"/>
  <c r="AA163" i="8"/>
  <c r="Z157" i="8"/>
  <c r="BC150" i="8"/>
  <c r="Y210" i="8"/>
  <c r="AK195" i="8"/>
  <c r="L175" i="8"/>
  <c r="BA151" i="8"/>
  <c r="G161" i="8"/>
  <c r="F133" i="8"/>
  <c r="J165" i="8"/>
  <c r="AG138" i="8"/>
  <c r="M161" i="8"/>
  <c r="AV135" i="8"/>
  <c r="L122" i="8"/>
  <c r="L133" i="8"/>
  <c r="BB154" i="8"/>
  <c r="AT155" i="8"/>
  <c r="AV133" i="8"/>
  <c r="W152" i="8"/>
  <c r="AZ121" i="8"/>
  <c r="BB106" i="8"/>
  <c r="AQ146" i="8"/>
  <c r="O122" i="8"/>
  <c r="W132" i="8"/>
  <c r="I155" i="8"/>
  <c r="AO145" i="8"/>
  <c r="V159" i="8"/>
  <c r="T200" i="8"/>
  <c r="AK204" i="8"/>
  <c r="AZ158" i="8"/>
  <c r="M200" i="8"/>
  <c r="AF173" i="8"/>
  <c r="T147" i="8"/>
  <c r="AR126" i="8"/>
  <c r="T168" i="8"/>
  <c r="AT176" i="8"/>
  <c r="AG155" i="8"/>
  <c r="P140" i="8"/>
  <c r="AQ151" i="8"/>
  <c r="AB169" i="8"/>
  <c r="Y170" i="8"/>
  <c r="W147" i="8"/>
  <c r="U204" i="8"/>
  <c r="AW166" i="8"/>
  <c r="O143" i="8"/>
  <c r="BC173" i="8"/>
  <c r="AN175" i="8"/>
  <c r="P149" i="8"/>
  <c r="AN138" i="8"/>
  <c r="BC151" i="8"/>
  <c r="AZ152" i="8"/>
  <c r="AQ165" i="8"/>
  <c r="AG149" i="8"/>
  <c r="AN130" i="8"/>
  <c r="AX141" i="8"/>
  <c r="AP153" i="8"/>
  <c r="S232" i="8"/>
  <c r="Y135" i="8"/>
  <c r="V157" i="8"/>
  <c r="BB176" i="8"/>
  <c r="H149" i="8"/>
  <c r="AU166" i="8"/>
  <c r="O166" i="8"/>
  <c r="O135" i="8"/>
  <c r="G134" i="8"/>
  <c r="K146" i="8"/>
  <c r="K124" i="8"/>
  <c r="H171" i="8"/>
  <c r="AF138" i="8"/>
  <c r="BB147" i="8"/>
  <c r="U139" i="8"/>
  <c r="AW198" i="8"/>
  <c r="Y144" i="8"/>
  <c r="AV144" i="8"/>
  <c r="AU130" i="8"/>
  <c r="AG154" i="8"/>
  <c r="T155" i="8"/>
  <c r="AR68" i="8"/>
  <c r="AR145" i="8"/>
  <c r="O77" i="8"/>
  <c r="Y120" i="8"/>
  <c r="I136" i="8"/>
  <c r="AU148" i="8"/>
  <c r="AU120" i="8"/>
  <c r="K134" i="8"/>
  <c r="AL143" i="8"/>
  <c r="U125" i="8"/>
  <c r="V140" i="8"/>
  <c r="H150" i="8"/>
  <c r="BA126" i="8"/>
  <c r="Y141" i="8"/>
  <c r="M151" i="8"/>
  <c r="AX126" i="8"/>
  <c r="AI151" i="8"/>
  <c r="Y159" i="8"/>
  <c r="AY120" i="8"/>
  <c r="AJ171" i="8"/>
  <c r="AF106" i="8"/>
  <c r="BB144" i="8"/>
  <c r="AP120" i="8"/>
  <c r="AG174" i="8"/>
  <c r="AS139" i="8"/>
  <c r="X125" i="8"/>
  <c r="BC144" i="8"/>
  <c r="AO144" i="8"/>
  <c r="BC207" i="8"/>
  <c r="AU164" i="8"/>
  <c r="AS125" i="8"/>
  <c r="J135" i="8"/>
  <c r="H147" i="8"/>
  <c r="U147" i="8"/>
  <c r="V148" i="8"/>
  <c r="AS135" i="8"/>
  <c r="AK143" i="8"/>
  <c r="AG121" i="8"/>
  <c r="AO152" i="8"/>
  <c r="AL170" i="8"/>
  <c r="BC164" i="8"/>
  <c r="O158" i="8"/>
  <c r="AB161" i="8"/>
  <c r="AK145" i="8"/>
  <c r="Y125" i="8"/>
  <c r="T131" i="8"/>
  <c r="X151" i="8"/>
  <c r="T163" i="8"/>
  <c r="AT151" i="8"/>
  <c r="AE197" i="8"/>
  <c r="AL152" i="8"/>
  <c r="AB141" i="8"/>
  <c r="AX172" i="8"/>
  <c r="AN158" i="8"/>
  <c r="N74" i="8"/>
  <c r="Y167" i="8"/>
  <c r="AV132" i="8"/>
  <c r="AA135" i="8"/>
  <c r="AT146" i="8"/>
  <c r="AA139" i="8"/>
  <c r="AK159" i="8"/>
  <c r="BB124" i="8"/>
  <c r="AA130" i="8"/>
  <c r="U138" i="8"/>
  <c r="AI139" i="8"/>
  <c r="AP137" i="8"/>
  <c r="AS148" i="8"/>
  <c r="AJ177" i="8"/>
  <c r="AC143" i="8"/>
  <c r="AA160" i="8"/>
  <c r="AS106" i="8"/>
  <c r="I151" i="8"/>
  <c r="AA132" i="8"/>
  <c r="AJ131" i="8"/>
  <c r="AE195" i="8"/>
  <c r="P133" i="8"/>
  <c r="AF146" i="8"/>
  <c r="R158" i="8"/>
  <c r="AL124" i="8"/>
  <c r="AQ209" i="8"/>
  <c r="AB164" i="8"/>
  <c r="AH151" i="8"/>
  <c r="AW210" i="8"/>
  <c r="AY141" i="8"/>
  <c r="O160" i="8"/>
  <c r="AH146" i="8"/>
  <c r="R137" i="8"/>
  <c r="J139" i="8"/>
  <c r="AU147" i="8"/>
  <c r="AY211" i="8"/>
  <c r="AR175" i="8"/>
  <c r="H145" i="8"/>
  <c r="I231" i="8"/>
  <c r="O150" i="8"/>
  <c r="L142" i="8"/>
  <c r="BB232" i="8"/>
  <c r="AA207" i="8"/>
  <c r="AJ233" i="8"/>
  <c r="BA135" i="8"/>
  <c r="AO168" i="8"/>
  <c r="O152" i="8"/>
  <c r="Z142" i="8"/>
  <c r="Y204" i="8"/>
  <c r="U141" i="8"/>
  <c r="AS121" i="8"/>
  <c r="V139" i="8"/>
  <c r="AK172" i="8"/>
  <c r="AF132" i="8"/>
  <c r="AA203" i="8"/>
  <c r="AK161" i="8"/>
  <c r="AJ146" i="8"/>
  <c r="AW136" i="8"/>
  <c r="AQ152" i="8"/>
  <c r="AW163" i="8"/>
  <c r="W131" i="8"/>
  <c r="AC145" i="8"/>
  <c r="X143" i="8"/>
  <c r="F157" i="8"/>
  <c r="S177" i="8"/>
  <c r="S169" i="8"/>
  <c r="V149" i="8"/>
  <c r="F143" i="8"/>
  <c r="X158" i="8"/>
  <c r="AI160" i="8"/>
  <c r="U165" i="8"/>
  <c r="AQ153" i="8"/>
  <c r="T139" i="8"/>
  <c r="BC199" i="8"/>
  <c r="V156" i="8"/>
  <c r="Z149" i="8"/>
  <c r="AE120" i="8"/>
  <c r="T130" i="8"/>
  <c r="Z178" i="8"/>
  <c r="AP143" i="8"/>
  <c r="AT169" i="8"/>
  <c r="Y221" i="8"/>
  <c r="X255" i="8"/>
  <c r="L205" i="8"/>
  <c r="R208" i="8"/>
  <c r="K156" i="8"/>
  <c r="AX169" i="8"/>
  <c r="W130" i="8"/>
  <c r="AX140" i="8"/>
  <c r="AN139" i="8"/>
  <c r="T132" i="8"/>
  <c r="J176" i="8"/>
  <c r="AT160" i="8"/>
  <c r="AI134" i="8"/>
  <c r="AU157" i="8"/>
  <c r="W162" i="8"/>
  <c r="AF145" i="8"/>
  <c r="P173" i="8"/>
  <c r="F134" i="8"/>
  <c r="AW133" i="8"/>
  <c r="BC162" i="8"/>
  <c r="AU145" i="8"/>
  <c r="AW147" i="8"/>
  <c r="AS137" i="8"/>
  <c r="N134" i="8"/>
  <c r="L162" i="8"/>
  <c r="AH121" i="8"/>
  <c r="M142" i="8"/>
  <c r="Y206" i="8"/>
  <c r="AB140" i="8"/>
  <c r="AU207" i="8"/>
  <c r="Y163" i="8"/>
  <c r="AE209" i="8"/>
  <c r="AH131" i="8"/>
  <c r="AS152" i="8"/>
  <c r="S166" i="8"/>
  <c r="S77" i="8"/>
  <c r="AU132" i="8"/>
  <c r="AE142" i="8"/>
  <c r="AS130" i="8"/>
  <c r="F136" i="8"/>
  <c r="N120" i="8"/>
  <c r="AG142" i="8"/>
  <c r="X175" i="8"/>
  <c r="AH170" i="8"/>
  <c r="BA140" i="8"/>
  <c r="BC121" i="8"/>
  <c r="AO143" i="8"/>
  <c r="X166" i="8"/>
  <c r="AX125" i="8"/>
  <c r="AD78" i="8"/>
  <c r="K144" i="8"/>
  <c r="AO206" i="8"/>
  <c r="AK150" i="8"/>
  <c r="M131" i="8"/>
  <c r="P154" i="8"/>
  <c r="AD172" i="8"/>
  <c r="Y152" i="8"/>
  <c r="AX153" i="8"/>
  <c r="AU205" i="8"/>
  <c r="F159" i="8"/>
  <c r="AS142" i="8"/>
  <c r="P135" i="8"/>
  <c r="K211" i="8"/>
  <c r="J122" i="8"/>
  <c r="AZ142" i="8"/>
  <c r="AC159" i="8"/>
  <c r="AC196" i="8"/>
  <c r="T165" i="8"/>
  <c r="F200" i="8"/>
  <c r="AM214" i="8"/>
  <c r="AO160" i="8"/>
  <c r="S124" i="8"/>
  <c r="AT163" i="8"/>
  <c r="AI126" i="8"/>
  <c r="AA150" i="8"/>
  <c r="AB159" i="8"/>
  <c r="AJ169" i="8"/>
  <c r="AZ139" i="8"/>
  <c r="G156" i="8"/>
  <c r="AZ144" i="8"/>
  <c r="G124" i="8"/>
  <c r="X120" i="8"/>
  <c r="BB157" i="8"/>
  <c r="V164" i="8"/>
  <c r="K200" i="8"/>
  <c r="N176" i="8"/>
  <c r="AS200" i="8"/>
  <c r="R175" i="8"/>
  <c r="AV140" i="8"/>
  <c r="AD157" i="8"/>
  <c r="Q149" i="8"/>
  <c r="AU173" i="8"/>
  <c r="BA143" i="8"/>
  <c r="AQ195" i="8"/>
  <c r="AO151" i="8"/>
  <c r="AS143" i="8"/>
  <c r="S160" i="8"/>
  <c r="AD131" i="8"/>
  <c r="AQ126" i="8"/>
  <c r="AA120" i="8"/>
  <c r="AY199" i="8"/>
  <c r="AI140" i="8"/>
  <c r="AI158" i="8"/>
  <c r="Q146" i="8"/>
  <c r="BA130" i="8"/>
  <c r="I145" i="8"/>
  <c r="AH142" i="8"/>
  <c r="S136" i="8"/>
  <c r="U149" i="8"/>
  <c r="G158" i="8"/>
  <c r="BB165" i="8"/>
  <c r="H120" i="8"/>
  <c r="AG167" i="8"/>
  <c r="I132" i="8"/>
  <c r="AT150" i="8"/>
  <c r="AI147" i="8"/>
  <c r="O168" i="8"/>
  <c r="N161" i="8"/>
  <c r="M135" i="8"/>
  <c r="X136" i="8"/>
  <c r="U153" i="8"/>
  <c r="V167" i="8"/>
  <c r="H133" i="8"/>
  <c r="AN140" i="8"/>
  <c r="AV149" i="8"/>
  <c r="R177" i="8"/>
  <c r="O198" i="8"/>
  <c r="AN156" i="8"/>
  <c r="L213" i="8"/>
  <c r="AX145" i="8"/>
  <c r="V208" i="8"/>
  <c r="BA178" i="8"/>
  <c r="W158" i="8"/>
  <c r="AM157" i="8"/>
  <c r="W142" i="8"/>
  <c r="AN132" i="8"/>
  <c r="AJ126" i="8"/>
  <c r="AJ134" i="8"/>
  <c r="H146" i="8"/>
  <c r="O164" i="8"/>
  <c r="Z147" i="8"/>
  <c r="O153" i="8"/>
  <c r="S212" i="8"/>
  <c r="Q208" i="8"/>
  <c r="AG211" i="8"/>
  <c r="AA141" i="8"/>
  <c r="G154" i="8"/>
  <c r="AP172" i="8"/>
  <c r="N147" i="8"/>
  <c r="AR249" i="8"/>
  <c r="AS247" i="8"/>
  <c r="O161" i="8"/>
  <c r="AZ155" i="8"/>
  <c r="O165" i="8"/>
  <c r="AW145" i="8"/>
  <c r="X156" i="8"/>
  <c r="O203" i="8"/>
  <c r="AO131" i="8"/>
  <c r="U133" i="8"/>
  <c r="AC135" i="8"/>
  <c r="F178" i="8"/>
  <c r="AG210" i="8"/>
  <c r="AE230" i="8"/>
  <c r="AC168" i="8"/>
  <c r="H137" i="8"/>
  <c r="AV160" i="8"/>
  <c r="U170" i="8"/>
  <c r="AX152" i="8"/>
  <c r="AF135" i="8"/>
  <c r="O144" i="8"/>
  <c r="J141" i="8"/>
  <c r="J155" i="8"/>
  <c r="Q137" i="8"/>
  <c r="AX161" i="8"/>
  <c r="BB126" i="8"/>
  <c r="AL131" i="8"/>
  <c r="AN153" i="8"/>
  <c r="AF213" i="8"/>
  <c r="R169" i="8"/>
  <c r="U205" i="8"/>
  <c r="G211" i="8"/>
  <c r="Q205" i="8"/>
  <c r="W170" i="8"/>
  <c r="BB167" i="8"/>
  <c r="AL121" i="8"/>
  <c r="AG233" i="8"/>
  <c r="AF251" i="8"/>
  <c r="H259" i="8"/>
  <c r="M147" i="8"/>
  <c r="AO121" i="8"/>
  <c r="AX218" i="8"/>
  <c r="H199" i="8"/>
  <c r="AF235" i="8"/>
  <c r="AF124" i="8"/>
  <c r="V134" i="8"/>
  <c r="AM146" i="8"/>
  <c r="AZ157" i="8"/>
  <c r="AZ177" i="8"/>
  <c r="AM164" i="8"/>
  <c r="AN142" i="8"/>
  <c r="Y153" i="8"/>
  <c r="AU151" i="8"/>
  <c r="AX160" i="8"/>
  <c r="I210" i="8"/>
  <c r="AC212" i="8"/>
  <c r="F167" i="8"/>
  <c r="AX144" i="8"/>
  <c r="AQ125" i="8"/>
  <c r="AK142" i="8"/>
  <c r="AM130" i="8"/>
  <c r="AD160" i="8"/>
  <c r="AE125" i="8"/>
  <c r="BA150" i="8"/>
  <c r="AO124" i="8"/>
  <c r="F130" i="8"/>
  <c r="J150" i="8"/>
  <c r="AC121" i="8"/>
  <c r="AU162" i="8"/>
  <c r="S151" i="8"/>
  <c r="AT145" i="8"/>
  <c r="AP154" i="8"/>
  <c r="Y137" i="8"/>
  <c r="AA152" i="8"/>
  <c r="W197" i="8"/>
  <c r="U155" i="8"/>
  <c r="AP132" i="8"/>
  <c r="N151" i="8"/>
  <c r="AP160" i="8"/>
  <c r="AJ173" i="8"/>
  <c r="F161" i="8"/>
  <c r="N166" i="8"/>
  <c r="R140" i="8"/>
  <c r="AM148" i="8"/>
  <c r="Z145" i="8"/>
  <c r="AK157" i="8"/>
  <c r="S138" i="8"/>
  <c r="AT168" i="8"/>
  <c r="AK196" i="8"/>
  <c r="AK131" i="8"/>
  <c r="J132" i="8"/>
  <c r="O234" i="8"/>
  <c r="F224" i="8"/>
  <c r="AM158" i="8"/>
  <c r="K137" i="8"/>
  <c r="S130" i="8"/>
  <c r="AA166" i="8"/>
  <c r="AB153" i="8"/>
  <c r="AI163" i="8"/>
  <c r="AI152" i="8"/>
  <c r="G175" i="8"/>
  <c r="Y212" i="8"/>
  <c r="AT172" i="8"/>
  <c r="BB141" i="8"/>
  <c r="AM138" i="8"/>
  <c r="S165" i="8"/>
  <c r="BC177" i="8"/>
  <c r="O155" i="8"/>
  <c r="AF157" i="8"/>
  <c r="AG208" i="8"/>
  <c r="L143" i="8"/>
  <c r="T146" i="8"/>
  <c r="J171" i="8"/>
  <c r="O138" i="8"/>
  <c r="AW131" i="8"/>
  <c r="AT138" i="8"/>
  <c r="AY155" i="8"/>
  <c r="AP176" i="8"/>
  <c r="Z168" i="8"/>
  <c r="AB144" i="8"/>
  <c r="T140" i="8"/>
  <c r="AG140" i="8"/>
  <c r="AV168" i="8"/>
  <c r="AZ133" i="8"/>
  <c r="N153" i="8"/>
  <c r="J174" i="8"/>
  <c r="AJ151" i="8"/>
  <c r="AP134" i="8"/>
  <c r="AO167" i="8"/>
  <c r="AC157" i="8"/>
  <c r="AY138" i="8"/>
  <c r="AC164" i="8"/>
  <c r="AJ145" i="8"/>
  <c r="I163" i="8"/>
  <c r="L148" i="8"/>
  <c r="AJ157" i="8"/>
  <c r="AO212" i="8"/>
  <c r="U135" i="8"/>
  <c r="J162" i="8"/>
  <c r="R143" i="8"/>
  <c r="M204" i="8"/>
  <c r="AM139" i="8"/>
  <c r="AU152" i="8"/>
  <c r="Z160" i="8"/>
  <c r="AJ136" i="8"/>
  <c r="AN134" i="8"/>
  <c r="AX151" i="8"/>
  <c r="X137" i="8"/>
  <c r="P203" i="8"/>
  <c r="G147" i="8"/>
  <c r="AT161" i="8"/>
  <c r="M208" i="8"/>
  <c r="U162" i="8"/>
  <c r="P171" i="8"/>
  <c r="P231" i="8"/>
  <c r="AK231" i="8"/>
  <c r="T175" i="8"/>
  <c r="H167" i="8"/>
  <c r="AW170" i="8"/>
  <c r="AD140" i="8"/>
  <c r="AW200" i="8"/>
  <c r="I146" i="8"/>
  <c r="AT134" i="8"/>
  <c r="AL132" i="8"/>
  <c r="AO204" i="8"/>
  <c r="G230" i="8"/>
  <c r="AX164" i="8"/>
  <c r="AW211" i="8"/>
  <c r="AL146" i="8"/>
  <c r="G167" i="8"/>
  <c r="X215" i="8"/>
  <c r="T143" i="8"/>
  <c r="X243" i="8"/>
  <c r="BA163" i="8"/>
  <c r="O174" i="8"/>
  <c r="I169" i="8"/>
  <c r="R148" i="8"/>
  <c r="AQ132" i="8"/>
  <c r="P160" i="8"/>
  <c r="AO166" i="8"/>
  <c r="R139" i="8"/>
  <c r="AE143" i="8"/>
  <c r="AA157" i="8"/>
  <c r="P243" i="8"/>
  <c r="J151" i="8"/>
  <c r="X159" i="8"/>
  <c r="U212" i="8"/>
  <c r="Y121" i="8"/>
  <c r="S141" i="8"/>
  <c r="O177" i="8"/>
  <c r="AB132" i="8"/>
  <c r="Z121" i="8"/>
  <c r="S175" i="8"/>
  <c r="X163" i="8"/>
  <c r="G166" i="8"/>
  <c r="AG153" i="8"/>
  <c r="AK121" i="8"/>
  <c r="AU124" i="8"/>
  <c r="H158" i="8"/>
  <c r="AU136" i="8"/>
  <c r="AF134" i="8"/>
  <c r="AF162" i="8"/>
  <c r="U239" i="8"/>
  <c r="T145" i="8"/>
  <c r="AB147" i="8"/>
  <c r="AO158" i="8"/>
  <c r="Z151" i="8"/>
  <c r="AR138" i="8"/>
  <c r="AO245" i="8"/>
  <c r="AG151" i="8"/>
  <c r="AP169" i="8"/>
  <c r="AM242" i="8"/>
  <c r="G138" i="8"/>
  <c r="Z212" i="8"/>
  <c r="L245" i="8"/>
  <c r="AM159" i="8"/>
  <c r="S150" i="8"/>
  <c r="AP122" i="8"/>
  <c r="P139" i="8"/>
  <c r="AR161" i="8"/>
  <c r="U154" i="8"/>
  <c r="W203" i="8"/>
  <c r="BA165" i="8"/>
  <c r="J124" i="8"/>
  <c r="AG148" i="8"/>
  <c r="AD142" i="8"/>
  <c r="H196" i="8"/>
  <c r="AB237" i="8"/>
  <c r="K236" i="8"/>
  <c r="AS75" i="8"/>
  <c r="AS165" i="8"/>
  <c r="Z131" i="8"/>
  <c r="BB122" i="8"/>
  <c r="AH172" i="8"/>
  <c r="K162" i="8"/>
  <c r="W134" i="8"/>
  <c r="AE146" i="8"/>
  <c r="AN121" i="8"/>
  <c r="AG196" i="8"/>
  <c r="AZ145" i="8"/>
  <c r="AS156" i="8"/>
  <c r="Z141" i="8"/>
  <c r="AY125" i="8"/>
  <c r="AM205" i="8"/>
  <c r="Y142" i="8"/>
  <c r="M140" i="8"/>
  <c r="N121" i="8"/>
  <c r="BA157" i="8"/>
  <c r="I125" i="8"/>
  <c r="W122" i="8"/>
  <c r="AD161" i="8"/>
  <c r="L136" i="8"/>
  <c r="AX131" i="8"/>
  <c r="AB136" i="8"/>
  <c r="I212" i="8"/>
  <c r="Q148" i="8"/>
  <c r="Z64" i="8"/>
  <c r="U145" i="8"/>
  <c r="U206" i="8"/>
  <c r="AZ148" i="8"/>
  <c r="M157" i="8"/>
  <c r="I142" i="8"/>
  <c r="AC237" i="8"/>
  <c r="X199" i="8"/>
  <c r="AM153" i="8"/>
  <c r="BB149" i="8"/>
  <c r="AA195" i="8"/>
  <c r="AW157" i="8"/>
  <c r="X140" i="8"/>
  <c r="AP139" i="8"/>
  <c r="AS176" i="8"/>
  <c r="AC137" i="8"/>
  <c r="Y150" i="8"/>
  <c r="Z136" i="8"/>
  <c r="AH143" i="8"/>
  <c r="V142" i="8"/>
  <c r="F175" i="8"/>
  <c r="F149" i="8"/>
  <c r="Y176" i="8"/>
  <c r="V175" i="8"/>
  <c r="AJ257" i="8"/>
  <c r="F151" i="8"/>
  <c r="AB211" i="8"/>
  <c r="L229" i="8"/>
  <c r="L211" i="8"/>
  <c r="S144" i="8"/>
  <c r="AP148" i="8"/>
  <c r="AV167" i="8"/>
  <c r="AO148" i="8"/>
  <c r="AD174" i="8"/>
  <c r="K150" i="8"/>
  <c r="AF136" i="8"/>
  <c r="BA144" i="8"/>
  <c r="K138" i="8"/>
  <c r="T151" i="8"/>
  <c r="AD145" i="8"/>
  <c r="AT130" i="8"/>
  <c r="AA126" i="8"/>
  <c r="R130" i="8"/>
  <c r="M154" i="8"/>
  <c r="G148" i="8"/>
  <c r="K142" i="8"/>
  <c r="AX132" i="8"/>
  <c r="K165" i="8"/>
  <c r="AR139" i="8"/>
  <c r="I144" i="8"/>
  <c r="Y198" i="8"/>
  <c r="AC131" i="8"/>
  <c r="AG143" i="8"/>
  <c r="AV171" i="8"/>
  <c r="AY148" i="8"/>
  <c r="M178" i="8"/>
  <c r="T153" i="8"/>
  <c r="L137" i="8"/>
  <c r="J170" i="8"/>
  <c r="Q140" i="8"/>
  <c r="AR106" i="8"/>
  <c r="AS154" i="8"/>
  <c r="AA205" i="8"/>
  <c r="AN131" i="8"/>
  <c r="J178" i="8"/>
  <c r="AG241" i="8"/>
  <c r="AU144" i="8"/>
  <c r="BA136" i="8"/>
  <c r="O196" i="8"/>
  <c r="AM178" i="8"/>
  <c r="AZ122" i="8"/>
  <c r="W137" i="8"/>
  <c r="BC140" i="8"/>
  <c r="AC163" i="8"/>
  <c r="AM160" i="8"/>
  <c r="AU209" i="8"/>
  <c r="AN196" i="8"/>
  <c r="Y172" i="8"/>
  <c r="F147" i="8"/>
  <c r="AI207" i="8"/>
  <c r="AE242" i="8"/>
  <c r="Z205" i="8"/>
  <c r="AG195" i="8"/>
  <c r="AK210" i="8"/>
  <c r="AD252" i="8"/>
  <c r="N210" i="8"/>
  <c r="AP170" i="8"/>
  <c r="AX147" i="8"/>
  <c r="AR162" i="8"/>
  <c r="Y131" i="8"/>
  <c r="Y174" i="8"/>
  <c r="J157" i="8"/>
  <c r="H139" i="8"/>
  <c r="AC161" i="8"/>
  <c r="AW151" i="8"/>
  <c r="AN136" i="8"/>
  <c r="AB122" i="8"/>
  <c r="BA204" i="8"/>
  <c r="AK167" i="8"/>
  <c r="AU250" i="8"/>
  <c r="AI232" i="8"/>
  <c r="H138" i="8"/>
  <c r="P141" i="8"/>
  <c r="AC170" i="8"/>
  <c r="L150" i="8"/>
  <c r="W157" i="8"/>
  <c r="L156" i="8"/>
  <c r="AS150" i="8"/>
  <c r="U172" i="8"/>
  <c r="AZ134" i="8"/>
  <c r="AA156" i="8"/>
  <c r="AI177" i="8"/>
  <c r="H122" i="8"/>
  <c r="BB159" i="8"/>
  <c r="AQ174" i="8"/>
  <c r="S152" i="8"/>
  <c r="BB166" i="8"/>
  <c r="U231" i="8"/>
  <c r="N162" i="8"/>
  <c r="AT149" i="8"/>
  <c r="AF211" i="8"/>
  <c r="K143" i="8"/>
  <c r="K169" i="8"/>
  <c r="H163" i="8"/>
  <c r="F198" i="8"/>
  <c r="AL161" i="8"/>
  <c r="AZ227" i="8"/>
  <c r="T144" i="8"/>
  <c r="AK166" i="8"/>
  <c r="AL206" i="8"/>
  <c r="AZ217" i="8"/>
  <c r="AL153" i="8"/>
  <c r="P167" i="8"/>
  <c r="AM122" i="8"/>
  <c r="Z135" i="8"/>
  <c r="O130" i="8"/>
  <c r="O169" i="8"/>
  <c r="AD134" i="8"/>
  <c r="T136" i="8"/>
  <c r="AU177" i="8"/>
  <c r="H169" i="8"/>
  <c r="AC172" i="8"/>
  <c r="AY236" i="8"/>
  <c r="AL71" i="8"/>
  <c r="BB138" i="8"/>
  <c r="N158" i="8"/>
  <c r="G137" i="8"/>
  <c r="N137" i="8"/>
  <c r="AW150" i="8"/>
  <c r="R149" i="8"/>
  <c r="K209" i="8"/>
  <c r="K205" i="8"/>
  <c r="BC166" i="8"/>
  <c r="I149" i="8"/>
  <c r="AB138" i="8"/>
  <c r="AA236" i="8"/>
  <c r="AQ236" i="8"/>
  <c r="AS162" i="8"/>
  <c r="AE147" i="8"/>
  <c r="J130" i="8"/>
  <c r="AC130" i="8"/>
  <c r="W126" i="8"/>
  <c r="G153" i="8"/>
  <c r="AQ160" i="8"/>
  <c r="AW121" i="8"/>
  <c r="AI161" i="8"/>
  <c r="K199" i="8"/>
  <c r="AJ175" i="8"/>
  <c r="K151" i="8"/>
  <c r="AJ148" i="8"/>
  <c r="AV124" i="8"/>
  <c r="R174" i="8"/>
  <c r="BC205" i="8"/>
  <c r="AL156" i="8"/>
  <c r="U168" i="8"/>
  <c r="AT148" i="8"/>
  <c r="AU242" i="8"/>
  <c r="K120" i="8"/>
  <c r="AO196" i="8"/>
  <c r="Q170" i="8"/>
  <c r="AB221" i="8"/>
  <c r="AQ137" i="8"/>
  <c r="L253" i="8"/>
  <c r="N125" i="8"/>
  <c r="H126" i="8"/>
  <c r="F121" i="8"/>
  <c r="AA211" i="8"/>
  <c r="AP151" i="8"/>
  <c r="V198" i="8"/>
  <c r="Y215" i="8"/>
  <c r="S205" i="8"/>
  <c r="AE150" i="8"/>
  <c r="I170" i="8"/>
  <c r="AU175" i="8"/>
  <c r="I168" i="8"/>
  <c r="AO149" i="8"/>
  <c r="G152" i="8"/>
  <c r="T125" i="8"/>
  <c r="AA144" i="8"/>
  <c r="S178" i="8"/>
  <c r="AZ136" i="8"/>
  <c r="AT246" i="8"/>
  <c r="U164" i="8"/>
  <c r="AF169" i="8"/>
  <c r="AO178" i="8"/>
  <c r="AE207" i="8"/>
  <c r="V146" i="8"/>
  <c r="AB158" i="8"/>
  <c r="AE177" i="8"/>
  <c r="AK171" i="8"/>
  <c r="AQ163" i="8"/>
  <c r="N131" i="8"/>
  <c r="AZ175" i="8"/>
  <c r="AQ162" i="8"/>
  <c r="AB212" i="8"/>
  <c r="AT244" i="8"/>
  <c r="AL175" i="8"/>
  <c r="AN166" i="8"/>
  <c r="AW176" i="8"/>
  <c r="AE144" i="8"/>
  <c r="W159" i="8"/>
  <c r="Z130" i="8"/>
  <c r="BB134" i="8"/>
  <c r="AM143" i="8"/>
  <c r="AA228" i="8"/>
  <c r="AX137" i="8"/>
  <c r="R125" i="8"/>
  <c r="AD168" i="8"/>
  <c r="S173" i="8"/>
  <c r="AY124" i="8"/>
  <c r="BA195" i="8"/>
  <c r="T174" i="8"/>
  <c r="AE126" i="8"/>
  <c r="AV138" i="8"/>
  <c r="AL157" i="8"/>
  <c r="BA146" i="8"/>
  <c r="AS163" i="8"/>
  <c r="AU146" i="8"/>
  <c r="AB196" i="8"/>
  <c r="AJ133" i="8"/>
  <c r="AA143" i="8"/>
  <c r="O212" i="8"/>
  <c r="U167" i="8"/>
  <c r="V138" i="8"/>
  <c r="H255" i="8"/>
  <c r="AL178" i="8"/>
  <c r="AS243" i="8"/>
  <c r="AH258" i="8"/>
  <c r="M213" i="8"/>
  <c r="AF141" i="8"/>
  <c r="J203" i="8"/>
  <c r="N169" i="8"/>
  <c r="T225" i="8"/>
  <c r="I177" i="8"/>
  <c r="AT212" i="8"/>
  <c r="F137" i="8"/>
  <c r="AG176" i="8"/>
  <c r="Z162" i="8"/>
  <c r="R152" i="8"/>
  <c r="AE134" i="8"/>
  <c r="AV145" i="8"/>
  <c r="AW168" i="8"/>
  <c r="AQ120" i="8"/>
  <c r="P159" i="8"/>
  <c r="S139" i="8"/>
  <c r="Z132" i="8"/>
  <c r="BA206" i="8"/>
  <c r="AD177" i="8"/>
  <c r="I196" i="8"/>
  <c r="U227" i="8"/>
  <c r="AZ161" i="8"/>
  <c r="BA159" i="8"/>
  <c r="AI155" i="8"/>
  <c r="AR231" i="8"/>
  <c r="AV209" i="8"/>
  <c r="H231" i="8"/>
  <c r="AC162" i="8"/>
  <c r="AO170" i="8"/>
  <c r="H151" i="8"/>
  <c r="X153" i="8"/>
  <c r="BC139" i="8"/>
  <c r="Q159" i="8"/>
  <c r="AR120" i="8"/>
  <c r="AU169" i="8"/>
  <c r="AL174" i="8"/>
  <c r="K203" i="8"/>
  <c r="AH171" i="8"/>
  <c r="BB174" i="8"/>
  <c r="AX143" i="8"/>
  <c r="AJ160" i="8"/>
  <c r="AV200" i="8"/>
  <c r="S195" i="8"/>
  <c r="AZ225" i="8"/>
  <c r="S207" i="8"/>
  <c r="AJ209" i="8"/>
  <c r="AN171" i="8"/>
  <c r="BA176" i="8"/>
  <c r="M205" i="8"/>
  <c r="R199" i="8"/>
  <c r="Y138" i="8"/>
  <c r="AI209" i="8"/>
  <c r="V155" i="8"/>
  <c r="N203" i="8"/>
  <c r="F234" i="8"/>
  <c r="I232" i="8"/>
  <c r="N251" i="8"/>
  <c r="AK235" i="8"/>
  <c r="J233" i="8"/>
  <c r="AH210" i="8"/>
  <c r="Z197" i="8"/>
  <c r="AU134" i="8"/>
  <c r="AK203" i="8"/>
  <c r="AJ164" i="8"/>
  <c r="AE205" i="8"/>
  <c r="Y168" i="8"/>
  <c r="I200" i="8"/>
  <c r="AP157" i="8"/>
  <c r="AB203" i="8"/>
  <c r="AX212" i="8"/>
  <c r="AS203" i="8"/>
  <c r="L126" i="8"/>
  <c r="AG257" i="8"/>
  <c r="F223" i="8"/>
  <c r="AX235" i="8"/>
  <c r="AU226" i="8"/>
  <c r="AZ224" i="8"/>
  <c r="AG172" i="8"/>
  <c r="H197" i="8"/>
  <c r="V236" i="8"/>
  <c r="AQ232" i="8"/>
  <c r="J238" i="8"/>
  <c r="W175" i="8"/>
  <c r="AG217" i="8"/>
  <c r="I147" i="8"/>
  <c r="AJ125" i="8"/>
  <c r="Z133" i="8"/>
  <c r="J198" i="8"/>
  <c r="AD222" i="8"/>
  <c r="X152" i="8"/>
  <c r="Z204" i="8"/>
  <c r="W167" i="8"/>
  <c r="AY207" i="8"/>
  <c r="AV139" i="8"/>
  <c r="AC197" i="8"/>
  <c r="S213" i="8"/>
  <c r="AR143" i="8"/>
  <c r="AI259" i="8"/>
  <c r="AE248" i="8"/>
  <c r="I259" i="8"/>
  <c r="AZ168" i="8"/>
  <c r="G243" i="8"/>
  <c r="L171" i="8"/>
  <c r="AG146" i="8"/>
  <c r="AQ199" i="8"/>
  <c r="AZ173" i="8"/>
  <c r="AB149" i="8"/>
  <c r="AG178" i="8"/>
  <c r="Q176" i="8"/>
  <c r="K246" i="8"/>
  <c r="AC139" i="8"/>
  <c r="P235" i="8"/>
  <c r="AS222" i="8"/>
  <c r="AZ249" i="8"/>
  <c r="V245" i="8"/>
  <c r="AH211" i="8"/>
  <c r="AD199" i="8"/>
  <c r="AT216" i="8"/>
  <c r="AC226" i="8"/>
  <c r="Z170" i="8"/>
  <c r="T142" i="8"/>
  <c r="AL159" i="8"/>
  <c r="O206" i="8"/>
  <c r="AB177" i="8"/>
  <c r="AY204" i="8"/>
  <c r="AM151" i="8"/>
  <c r="M160" i="8"/>
  <c r="K248" i="8"/>
  <c r="T238" i="8"/>
  <c r="AX121" i="8"/>
  <c r="AX136" i="8"/>
  <c r="AD159" i="8"/>
  <c r="K131" i="8"/>
  <c r="BA196" i="8"/>
  <c r="BA141" i="8"/>
  <c r="M173" i="8"/>
  <c r="I207" i="8"/>
  <c r="AE212" i="8"/>
  <c r="P168" i="8"/>
  <c r="AX228" i="8"/>
  <c r="M67" i="8"/>
  <c r="R198" i="8"/>
  <c r="AZ68" i="8"/>
  <c r="K223" i="8"/>
  <c r="P213" i="8"/>
  <c r="AV134" i="8"/>
  <c r="AX148" i="8"/>
  <c r="AM197" i="8"/>
  <c r="AJ162" i="8"/>
  <c r="BC147" i="8"/>
  <c r="G210" i="8"/>
  <c r="Z124" i="8"/>
  <c r="AR158" i="8"/>
  <c r="L204" i="8"/>
  <c r="V169" i="8"/>
  <c r="R159" i="8"/>
  <c r="AE174" i="8"/>
  <c r="AO227" i="8"/>
  <c r="AD225" i="8"/>
  <c r="AD73" i="8"/>
  <c r="AH255" i="8"/>
  <c r="I64" i="8"/>
  <c r="BC163" i="8"/>
  <c r="AQ198" i="8"/>
  <c r="AQ176" i="8"/>
  <c r="AI174" i="8"/>
  <c r="P138" i="8"/>
  <c r="O226" i="8"/>
  <c r="O222" i="8"/>
  <c r="AF221" i="8"/>
  <c r="G238" i="8"/>
  <c r="AA174" i="8"/>
  <c r="O154" i="8"/>
  <c r="AN239" i="8"/>
  <c r="L164" i="8"/>
  <c r="U208" i="8"/>
  <c r="AM168" i="8"/>
  <c r="G209" i="8"/>
  <c r="V200" i="8"/>
  <c r="AF223" i="8"/>
  <c r="BB229" i="8"/>
  <c r="I66" i="8"/>
  <c r="AQ239" i="8"/>
  <c r="G198" i="8"/>
  <c r="AZ61" i="8"/>
  <c r="AF217" i="8"/>
  <c r="AB230" i="8"/>
  <c r="AA162" i="8"/>
  <c r="AX174" i="8"/>
  <c r="AP136" i="8"/>
  <c r="AF170" i="8"/>
  <c r="Q143" i="8"/>
  <c r="AC175" i="8"/>
  <c r="N196" i="8"/>
  <c r="AT198" i="8"/>
  <c r="M144" i="8"/>
  <c r="AJ203" i="8"/>
  <c r="Y253" i="8"/>
  <c r="M256" i="8"/>
  <c r="R246" i="8"/>
  <c r="AH222" i="8"/>
  <c r="AY64" i="8"/>
  <c r="Z216" i="8"/>
  <c r="AN253" i="8"/>
  <c r="AN247" i="8"/>
  <c r="W124" i="8"/>
  <c r="AH153" i="8"/>
  <c r="N122" i="8"/>
  <c r="AA138" i="8"/>
  <c r="W195" i="8"/>
  <c r="X204" i="8"/>
  <c r="X174" i="8"/>
  <c r="AI212" i="8"/>
  <c r="V252" i="8"/>
  <c r="BB207" i="8"/>
  <c r="L241" i="8"/>
  <c r="AI227" i="8"/>
  <c r="BB233" i="8"/>
  <c r="X239" i="8"/>
  <c r="AB218" i="8"/>
  <c r="AW177" i="8"/>
  <c r="O242" i="8"/>
  <c r="L131" i="8"/>
  <c r="BA210" i="8"/>
  <c r="AO125" i="8"/>
  <c r="J168" i="8"/>
  <c r="AG141" i="8"/>
  <c r="L203" i="8"/>
  <c r="AX162" i="8"/>
  <c r="BB206" i="8"/>
  <c r="O221" i="8"/>
  <c r="AG175" i="8"/>
  <c r="AP242" i="8"/>
  <c r="AN213" i="8"/>
  <c r="AH240" i="8"/>
  <c r="AP178" i="8"/>
  <c r="P175" i="8"/>
  <c r="AU141" i="8"/>
  <c r="H121" i="8"/>
  <c r="AC141" i="8"/>
  <c r="AJ135" i="8"/>
  <c r="AJ132" i="8"/>
  <c r="K132" i="8"/>
  <c r="AH204" i="8"/>
  <c r="AD153" i="8"/>
  <c r="AZ147" i="8"/>
  <c r="AL149" i="8"/>
  <c r="O228" i="8"/>
  <c r="AX165" i="8"/>
  <c r="AR122" i="8"/>
  <c r="X148" i="8"/>
  <c r="AU126" i="8"/>
  <c r="AI156" i="8"/>
  <c r="AK133" i="8"/>
  <c r="AB146" i="8"/>
  <c r="AR229" i="8"/>
  <c r="AF144" i="8"/>
  <c r="AA175" i="8"/>
  <c r="AB142" i="8"/>
  <c r="AA158" i="8"/>
  <c r="AC167" i="8"/>
  <c r="BB156" i="8"/>
  <c r="BA169" i="8"/>
  <c r="Z208" i="8"/>
  <c r="Z144" i="8"/>
  <c r="S155" i="8"/>
  <c r="K198" i="8"/>
  <c r="AR167" i="8"/>
  <c r="N167" i="8"/>
  <c r="AO146" i="8"/>
  <c r="AX176" i="8"/>
  <c r="AH147" i="8"/>
  <c r="BB162" i="8"/>
  <c r="G171" i="8"/>
  <c r="G246" i="8"/>
  <c r="Q155" i="8"/>
  <c r="BC124" i="8"/>
  <c r="Q241" i="8"/>
  <c r="AW204" i="8"/>
  <c r="AB171" i="8"/>
  <c r="S198" i="8"/>
  <c r="M155" i="8"/>
  <c r="W246" i="8"/>
  <c r="AX234" i="8"/>
  <c r="AD154" i="8"/>
  <c r="AB134" i="8"/>
  <c r="AO137" i="8"/>
  <c r="BA148" i="8"/>
  <c r="G139" i="8"/>
  <c r="AT139" i="8"/>
  <c r="G146" i="8"/>
  <c r="AD125" i="8"/>
  <c r="AU197" i="8"/>
  <c r="AY157" i="8"/>
  <c r="AR217" i="8"/>
  <c r="AV213" i="8"/>
  <c r="R168" i="8"/>
  <c r="J166" i="8"/>
  <c r="BA160" i="8"/>
  <c r="AS175" i="8"/>
  <c r="P195" i="8"/>
  <c r="AH242" i="8"/>
  <c r="Z164" i="8"/>
  <c r="W166" i="8"/>
  <c r="AK174" i="8"/>
  <c r="AH159" i="8"/>
  <c r="AR173" i="8"/>
  <c r="R136" i="8"/>
  <c r="X134" i="8"/>
  <c r="AM134" i="8"/>
  <c r="BC143" i="8"/>
  <c r="AN125" i="8"/>
  <c r="AB167" i="8"/>
  <c r="AW140" i="8"/>
  <c r="AK136" i="8"/>
  <c r="Y146" i="8"/>
  <c r="AX163" i="8"/>
  <c r="Z246" i="8"/>
  <c r="U211" i="8"/>
  <c r="Q162" i="8"/>
  <c r="AJ122" i="8"/>
  <c r="H205" i="8"/>
  <c r="BB125" i="8"/>
  <c r="K195" i="8"/>
  <c r="AX158" i="8"/>
  <c r="AW125" i="8"/>
  <c r="J148" i="8"/>
  <c r="AV120" i="8"/>
  <c r="AM166" i="8"/>
  <c r="AS155" i="8"/>
  <c r="AO136" i="8"/>
  <c r="V130" i="8"/>
  <c r="AT121" i="8"/>
  <c r="BA149" i="8"/>
  <c r="AN143" i="8"/>
  <c r="AW171" i="8"/>
  <c r="H159" i="8"/>
  <c r="AA164" i="8"/>
  <c r="AL145" i="8"/>
  <c r="AO209" i="8"/>
  <c r="AJ163" i="8"/>
  <c r="U131" i="8"/>
  <c r="AO165" i="8"/>
  <c r="S149" i="8"/>
  <c r="AY150" i="8"/>
  <c r="AM211" i="8"/>
  <c r="AR131" i="8"/>
  <c r="AL138" i="8"/>
  <c r="N211" i="8"/>
  <c r="AL165" i="8"/>
  <c r="AP165" i="8"/>
  <c r="AM154" i="8"/>
  <c r="P162" i="8"/>
  <c r="Y196" i="8"/>
  <c r="AI205" i="8"/>
  <c r="I165" i="8"/>
  <c r="AT131" i="8"/>
  <c r="AG135" i="8"/>
  <c r="J144" i="8"/>
  <c r="R172" i="8"/>
  <c r="AX168" i="8"/>
  <c r="T157" i="8"/>
  <c r="M137" i="8"/>
  <c r="T176" i="8"/>
  <c r="BC169" i="8"/>
  <c r="Y208" i="8"/>
  <c r="AC147" i="8"/>
  <c r="AD139" i="8"/>
  <c r="U196" i="8"/>
  <c r="S199" i="8"/>
  <c r="BC156" i="8"/>
  <c r="R133" i="8"/>
  <c r="AW142" i="8"/>
  <c r="K122" i="8"/>
  <c r="AN150" i="8"/>
  <c r="AC235" i="8"/>
  <c r="R207" i="8"/>
  <c r="AV164" i="8"/>
  <c r="Q174" i="8"/>
  <c r="X227" i="8"/>
  <c r="AK208" i="8"/>
  <c r="F168" i="8"/>
  <c r="AZ251" i="8"/>
  <c r="I157" i="8"/>
  <c r="AA145" i="8"/>
  <c r="G254" i="8"/>
  <c r="AB172" i="8"/>
  <c r="W173" i="8"/>
  <c r="M210" i="8"/>
  <c r="AM209" i="8"/>
  <c r="AR221" i="8"/>
  <c r="P251" i="8"/>
  <c r="P223" i="8"/>
  <c r="W244" i="8"/>
  <c r="AT238" i="8"/>
  <c r="AP173" i="8"/>
  <c r="AO169" i="8"/>
  <c r="AW236" i="8"/>
  <c r="M211" i="8"/>
  <c r="AL231" i="8"/>
  <c r="AB148" i="8"/>
  <c r="G200" i="8"/>
  <c r="W165" i="8"/>
  <c r="L163" i="8"/>
  <c r="AN231" i="8"/>
  <c r="AS196" i="8"/>
  <c r="AH174" i="8"/>
  <c r="T160" i="8"/>
  <c r="Z196" i="8"/>
  <c r="AP200" i="8"/>
  <c r="AA196" i="8"/>
  <c r="O210" i="8"/>
  <c r="I173" i="8"/>
  <c r="W163" i="8"/>
  <c r="U232" i="8"/>
  <c r="G237" i="8"/>
  <c r="I242" i="8"/>
  <c r="V197" i="8"/>
  <c r="N139" i="8"/>
  <c r="G169" i="8"/>
  <c r="V228" i="8"/>
  <c r="AH164" i="8"/>
  <c r="AP142" i="8"/>
  <c r="AP195" i="8"/>
  <c r="AK169" i="8"/>
  <c r="AJ249" i="8"/>
  <c r="AT204" i="8"/>
  <c r="AS158" i="8"/>
  <c r="W205" i="8"/>
  <c r="J216" i="8"/>
  <c r="G140" i="8"/>
  <c r="Y178" i="8"/>
  <c r="N141" i="8"/>
  <c r="AB178" i="8"/>
  <c r="J246" i="8"/>
  <c r="G163" i="8"/>
  <c r="AY156" i="8"/>
  <c r="N238" i="8"/>
  <c r="AJ196" i="8"/>
  <c r="U238" i="8"/>
  <c r="Z213" i="8"/>
  <c r="N72" i="8"/>
  <c r="AM248" i="8"/>
  <c r="O244" i="8"/>
  <c r="AY248" i="8"/>
  <c r="BA239" i="8"/>
  <c r="V158" i="8"/>
  <c r="U160" i="8"/>
  <c r="N168" i="8"/>
  <c r="AD149" i="8"/>
  <c r="AA244" i="8"/>
  <c r="AT158" i="8"/>
  <c r="AP175" i="8"/>
  <c r="BC238" i="8"/>
  <c r="F243" i="8"/>
  <c r="AM224" i="8"/>
  <c r="F221" i="8"/>
  <c r="AP244" i="8"/>
  <c r="AI236" i="8"/>
  <c r="BC245" i="8"/>
  <c r="AT252" i="8"/>
  <c r="Q195" i="8"/>
  <c r="V153" i="8"/>
  <c r="Z230" i="8"/>
  <c r="O171" i="8"/>
  <c r="BA223" i="8"/>
  <c r="AM169" i="8"/>
  <c r="AV203" i="8"/>
  <c r="J224" i="8"/>
  <c r="AT159" i="8"/>
  <c r="BC195" i="8"/>
  <c r="Q225" i="8"/>
  <c r="BB175" i="8"/>
  <c r="Y147" i="8"/>
  <c r="W208" i="8"/>
  <c r="W222" i="8"/>
  <c r="AN164" i="8"/>
  <c r="P165" i="8"/>
  <c r="Z218" i="8"/>
  <c r="Y247" i="8"/>
  <c r="AJ167" i="8"/>
  <c r="K241" i="8"/>
  <c r="N64" i="8"/>
  <c r="AX252" i="8"/>
  <c r="AG232" i="8"/>
  <c r="AS197" i="8"/>
  <c r="R242" i="8"/>
  <c r="T150" i="8"/>
  <c r="AN211" i="8"/>
  <c r="V240" i="8"/>
  <c r="J211" i="8"/>
  <c r="X171" i="8"/>
  <c r="Y209" i="8"/>
  <c r="AM175" i="8"/>
  <c r="AJ211" i="8"/>
  <c r="BB226" i="8"/>
  <c r="I197" i="8"/>
  <c r="AJ161" i="8"/>
  <c r="AI159" i="8"/>
  <c r="AT69" i="8"/>
  <c r="BA228" i="8"/>
  <c r="AZ205" i="8"/>
  <c r="O157" i="8"/>
  <c r="AA246" i="8"/>
  <c r="BB164" i="8"/>
  <c r="AB225" i="8"/>
  <c r="O148" i="8"/>
  <c r="T241" i="8"/>
  <c r="AM238" i="8"/>
  <c r="BC230" i="8"/>
  <c r="O250" i="8"/>
  <c r="AY178" i="8"/>
  <c r="BA215" i="8"/>
  <c r="AP230" i="8"/>
  <c r="P237" i="8"/>
  <c r="O205" i="8"/>
  <c r="AW172" i="8"/>
  <c r="AT170" i="8"/>
  <c r="AP203" i="8"/>
  <c r="L237" i="8"/>
  <c r="BB155" i="8"/>
  <c r="Q238" i="8"/>
  <c r="F244" i="8"/>
  <c r="U156" i="8"/>
  <c r="X64" i="8"/>
  <c r="AN238" i="8"/>
  <c r="Z229" i="8"/>
  <c r="AF158" i="8"/>
  <c r="K254" i="8"/>
  <c r="AP133" i="8"/>
  <c r="AO208" i="8"/>
  <c r="AA206" i="8"/>
  <c r="V162" i="8"/>
  <c r="AG204" i="8"/>
  <c r="AN204" i="8"/>
  <c r="P157" i="8"/>
  <c r="M156" i="8"/>
  <c r="Q160" i="8"/>
  <c r="AJ178" i="8"/>
  <c r="AF238" i="8"/>
  <c r="AK228" i="8"/>
  <c r="AT224" i="8"/>
  <c r="AQ234" i="8"/>
  <c r="X253" i="8"/>
  <c r="AD63" i="8"/>
  <c r="AD171" i="8"/>
  <c r="N138" i="8"/>
  <c r="Z171" i="8"/>
  <c r="F158" i="8"/>
  <c r="BC130" i="8"/>
  <c r="AH161" i="8"/>
  <c r="AC199" i="8"/>
  <c r="BC210" i="8"/>
  <c r="AF208" i="8"/>
  <c r="AW221" i="8"/>
  <c r="R61" i="8"/>
  <c r="M238" i="8"/>
  <c r="M169" i="8"/>
  <c r="AK254" i="8"/>
  <c r="L215" i="8"/>
  <c r="R69" i="8"/>
  <c r="K159" i="8"/>
  <c r="AL155" i="8"/>
  <c r="K153" i="8"/>
  <c r="AD176" i="8"/>
  <c r="AW205" i="8"/>
  <c r="AP168" i="8"/>
  <c r="AZ137" i="8"/>
  <c r="AV130" i="8"/>
  <c r="AH200" i="8"/>
  <c r="AV155" i="8"/>
  <c r="F215" i="8"/>
  <c r="AV199" i="8"/>
  <c r="AP199" i="8"/>
  <c r="X225" i="8"/>
  <c r="AA213" i="8"/>
  <c r="AE135" i="8"/>
  <c r="X146" i="8"/>
  <c r="AS141" i="8"/>
  <c r="AM149" i="8"/>
  <c r="W161" i="8"/>
  <c r="I209" i="8"/>
  <c r="AK206" i="8"/>
  <c r="H134" i="8"/>
  <c r="AT177" i="8"/>
  <c r="AS124" i="8"/>
  <c r="W148" i="8"/>
  <c r="AO139" i="8"/>
  <c r="AZ207" i="8"/>
  <c r="AK227" i="8"/>
  <c r="AL126" i="8"/>
  <c r="AB120" i="8"/>
  <c r="AR164" i="8"/>
  <c r="J154" i="8"/>
  <c r="AW143" i="8"/>
  <c r="N136" i="8"/>
  <c r="AQ145" i="8"/>
  <c r="BB143" i="8"/>
  <c r="G207" i="8"/>
  <c r="AT154" i="8"/>
  <c r="AH149" i="8"/>
  <c r="AV165" i="8"/>
  <c r="O134" i="8"/>
  <c r="AF229" i="8"/>
  <c r="AZ257" i="8"/>
  <c r="K171" i="8"/>
  <c r="O139" i="8"/>
  <c r="AG225" i="8"/>
  <c r="AF176" i="8"/>
  <c r="AT166" i="8"/>
  <c r="AR142" i="8"/>
  <c r="X177" i="8"/>
  <c r="I156" i="8"/>
  <c r="W178" i="8"/>
  <c r="AU149" i="8"/>
  <c r="N164" i="8"/>
  <c r="S142" i="8"/>
  <c r="AY224" i="8"/>
  <c r="AI167" i="8"/>
  <c r="AN137" i="8"/>
  <c r="K197" i="8"/>
  <c r="S224" i="8"/>
  <c r="L151" i="8"/>
  <c r="AP141" i="8"/>
  <c r="BC203" i="8"/>
  <c r="AR152" i="8"/>
  <c r="AX167" i="8"/>
  <c r="Y145" i="8"/>
  <c r="O209" i="8"/>
  <c r="AB124" i="8"/>
  <c r="AR148" i="8"/>
  <c r="G122" i="8"/>
  <c r="AO157" i="8"/>
  <c r="AK178" i="8"/>
  <c r="N170" i="8"/>
  <c r="AG159" i="8"/>
  <c r="S240" i="8"/>
  <c r="AB162" i="8"/>
  <c r="AJ200" i="8"/>
  <c r="F138" i="8"/>
  <c r="AQ140" i="8"/>
  <c r="N165" i="8"/>
  <c r="AT157" i="8"/>
  <c r="H162" i="8"/>
  <c r="T169" i="8"/>
  <c r="AF168" i="8"/>
  <c r="AL139" i="8"/>
  <c r="M158" i="8"/>
  <c r="I166" i="8"/>
  <c r="P122" i="8"/>
  <c r="BC132" i="8"/>
  <c r="O195" i="8"/>
  <c r="AU171" i="8"/>
  <c r="AR146" i="8"/>
  <c r="AT143" i="8"/>
  <c r="K168" i="8"/>
  <c r="AW164" i="8"/>
  <c r="BB173" i="8"/>
  <c r="AE158" i="8"/>
  <c r="AI165" i="8"/>
  <c r="AP204" i="8"/>
  <c r="V151" i="8"/>
  <c r="AN152" i="8"/>
  <c r="G170" i="8"/>
  <c r="AS198" i="8"/>
  <c r="AV227" i="8"/>
  <c r="W150" i="8"/>
  <c r="AS166" i="8"/>
  <c r="AZ120" i="8"/>
  <c r="AY140" i="8"/>
  <c r="BA133" i="8"/>
  <c r="AF125" i="8"/>
  <c r="AF126" i="8"/>
  <c r="AB121" i="8"/>
  <c r="S122" i="8"/>
  <c r="AB195" i="8"/>
  <c r="BB153" i="8"/>
  <c r="K207" i="8"/>
  <c r="AQ136" i="8"/>
  <c r="R210" i="8"/>
  <c r="X247" i="8"/>
  <c r="AA159" i="8"/>
  <c r="AE175" i="8"/>
  <c r="V248" i="8"/>
  <c r="M175" i="8"/>
  <c r="I229" i="8"/>
  <c r="AY197" i="8"/>
  <c r="BA174" i="8"/>
  <c r="H141" i="8"/>
  <c r="Y166" i="8"/>
  <c r="AO141" i="8"/>
  <c r="AJ120" i="8"/>
  <c r="H143" i="8"/>
  <c r="AF165" i="8"/>
  <c r="T158" i="8"/>
  <c r="AE155" i="8"/>
  <c r="F131" i="8"/>
  <c r="AA122" i="8"/>
  <c r="K145" i="8"/>
  <c r="I174" i="8"/>
  <c r="AJ144" i="8"/>
  <c r="AE203" i="8"/>
  <c r="P176" i="8"/>
  <c r="AG198" i="8"/>
  <c r="X145" i="8"/>
  <c r="AY163" i="8"/>
  <c r="AL216" i="8"/>
  <c r="R167" i="8"/>
  <c r="X142" i="8"/>
  <c r="G197" i="8"/>
  <c r="AE165" i="8"/>
  <c r="AI164" i="8"/>
  <c r="Q145" i="8"/>
  <c r="P126" i="8"/>
  <c r="AZ132" i="8"/>
  <c r="AK146" i="8"/>
  <c r="H157" i="8"/>
  <c r="H130" i="8"/>
  <c r="I199" i="8"/>
  <c r="AW159" i="8"/>
  <c r="AJ137" i="8"/>
  <c r="AD138" i="8"/>
  <c r="BA167" i="8"/>
  <c r="AI157" i="8"/>
  <c r="AI142" i="8"/>
  <c r="AO177" i="8"/>
  <c r="AJ124" i="8"/>
  <c r="AX236" i="8"/>
  <c r="AO207" i="8"/>
  <c r="AX200" i="8"/>
  <c r="U157" i="8"/>
  <c r="BA233" i="8"/>
  <c r="AF200" i="8"/>
  <c r="AV173" i="8"/>
  <c r="AQ248" i="8"/>
  <c r="Z122" i="8"/>
  <c r="AT66" i="8"/>
  <c r="X74" i="8"/>
  <c r="AP231" i="8"/>
  <c r="Q235" i="8"/>
  <c r="AL64" i="8"/>
  <c r="BC240" i="8"/>
  <c r="AT122" i="8"/>
  <c r="AV157" i="8"/>
  <c r="AG164" i="8"/>
  <c r="H124" i="8"/>
  <c r="T134" i="8"/>
  <c r="AY209" i="8"/>
  <c r="P136" i="8"/>
  <c r="AW135" i="8"/>
  <c r="Q197" i="8"/>
  <c r="BC196" i="8"/>
  <c r="BA243" i="8"/>
  <c r="W226" i="8"/>
  <c r="BA70" i="8"/>
  <c r="AQ227" i="8"/>
  <c r="G234" i="8"/>
  <c r="AR238" i="8"/>
  <c r="F206" i="8"/>
  <c r="X126" i="8"/>
  <c r="AG170" i="8"/>
  <c r="AP144" i="8"/>
  <c r="AA209" i="8"/>
  <c r="AG162" i="8"/>
  <c r="AW225" i="8"/>
  <c r="Z206" i="8"/>
  <c r="T198" i="8"/>
  <c r="L169" i="8"/>
  <c r="P178" i="8"/>
  <c r="G222" i="8"/>
  <c r="AD170" i="8"/>
  <c r="M167" i="8"/>
  <c r="AW178" i="8"/>
  <c r="BC159" i="8"/>
  <c r="Q200" i="8"/>
  <c r="AW235" i="8"/>
  <c r="F160" i="8"/>
  <c r="Y223" i="8"/>
  <c r="AY200" i="8"/>
  <c r="AF199" i="8"/>
  <c r="X234" i="8"/>
  <c r="AV166" i="8"/>
  <c r="P78" i="8"/>
  <c r="I178" i="8"/>
  <c r="F240" i="8"/>
  <c r="BB197" i="8"/>
  <c r="AS171" i="8"/>
  <c r="AC207" i="8"/>
  <c r="AX156" i="8"/>
  <c r="W169" i="8"/>
  <c r="V232" i="8"/>
  <c r="AV163" i="8"/>
  <c r="R200" i="8"/>
  <c r="U166" i="8"/>
  <c r="Y197" i="8"/>
  <c r="AN243" i="8"/>
  <c r="BB235" i="8"/>
  <c r="AF244" i="8"/>
  <c r="T254" i="8"/>
  <c r="S236" i="8"/>
  <c r="AI144" i="8"/>
  <c r="AC173" i="8"/>
  <c r="AB151" i="8"/>
  <c r="AP234" i="8"/>
  <c r="W218" i="8"/>
  <c r="AU199" i="8"/>
  <c r="M235" i="8"/>
  <c r="AY232" i="8"/>
  <c r="R209" i="8"/>
  <c r="G142" i="8"/>
  <c r="AK125" i="8"/>
  <c r="S196" i="8"/>
  <c r="AW249" i="8"/>
  <c r="AA165" i="8"/>
  <c r="AK168" i="8"/>
  <c r="P152" i="8"/>
  <c r="Z165" i="8"/>
  <c r="AX230" i="8"/>
  <c r="AR210" i="8"/>
  <c r="H206" i="8"/>
  <c r="AO255" i="8"/>
  <c r="BA164" i="8"/>
  <c r="AQ249" i="8"/>
  <c r="X256" i="8"/>
  <c r="H217" i="8"/>
  <c r="O256" i="8"/>
  <c r="AK207" i="8"/>
  <c r="Q203" i="8"/>
  <c r="AS144" i="8"/>
  <c r="T205" i="8"/>
  <c r="AG205" i="8"/>
  <c r="Q173" i="8"/>
  <c r="Q206" i="8"/>
  <c r="AE252" i="8"/>
  <c r="AU139" i="8"/>
  <c r="K167" i="8"/>
  <c r="AV218" i="8"/>
  <c r="AW230" i="8"/>
  <c r="X231" i="8"/>
  <c r="AN228" i="8"/>
  <c r="V233" i="8"/>
  <c r="AQ254" i="8"/>
  <c r="Z156" i="8"/>
  <c r="X172" i="8"/>
  <c r="AU138" i="8"/>
  <c r="P142" i="8"/>
  <c r="BC148" i="8"/>
  <c r="Z148" i="8"/>
  <c r="Z150" i="8"/>
  <c r="BC137" i="8"/>
  <c r="G164" i="8"/>
  <c r="U209" i="8"/>
  <c r="X196" i="8"/>
  <c r="AZ135" i="8"/>
  <c r="I213" i="8"/>
  <c r="AU155" i="8"/>
  <c r="BC126" i="8"/>
  <c r="AM203" i="8"/>
  <c r="L134" i="8"/>
  <c r="W156" i="8"/>
  <c r="AR154" i="8"/>
  <c r="T203" i="8"/>
  <c r="O197" i="8"/>
  <c r="AV178" i="8"/>
  <c r="AE176" i="8"/>
  <c r="S245" i="8"/>
  <c r="Q254" i="8"/>
  <c r="H74" i="8"/>
  <c r="AG251" i="8"/>
  <c r="BC158" i="8"/>
  <c r="F199" i="8"/>
  <c r="BC176" i="8"/>
  <c r="AX159" i="8"/>
  <c r="J133" i="8"/>
  <c r="AX155" i="8"/>
  <c r="V137" i="8"/>
  <c r="F139" i="8"/>
  <c r="H168" i="8"/>
  <c r="AL226" i="8"/>
  <c r="AH238" i="8"/>
  <c r="AS204" i="8"/>
  <c r="L206" i="8"/>
  <c r="X230" i="8"/>
  <c r="AE259" i="8"/>
  <c r="R206" i="8"/>
  <c r="AI239" i="8"/>
  <c r="O159" i="8"/>
  <c r="AT137" i="8"/>
  <c r="BB224" i="8"/>
  <c r="AU172" i="8"/>
  <c r="N204" i="8"/>
  <c r="AQ168" i="8"/>
  <c r="I245" i="8"/>
  <c r="AI210" i="8"/>
  <c r="BB214" i="8"/>
  <c r="BA245" i="8"/>
  <c r="AY218" i="8"/>
  <c r="AC211" i="8"/>
  <c r="AC62" i="8"/>
  <c r="AG228" i="8"/>
  <c r="Y248" i="8"/>
  <c r="Z75" i="8"/>
  <c r="AX250" i="8"/>
  <c r="L154" i="8"/>
  <c r="H164" i="8"/>
  <c r="W172" i="8"/>
  <c r="AT162" i="8"/>
  <c r="BB139" i="8"/>
  <c r="T233" i="8"/>
  <c r="P177" i="8"/>
  <c r="K173" i="8"/>
  <c r="X165" i="8"/>
  <c r="AL173" i="8"/>
  <c r="S164" i="8"/>
  <c r="AZ246" i="8"/>
  <c r="N258" i="8"/>
  <c r="AV242" i="8"/>
  <c r="G133" i="8"/>
  <c r="H161" i="8"/>
  <c r="BC175" i="8"/>
  <c r="O218" i="8"/>
  <c r="AI145" i="8"/>
  <c r="AP140" i="8"/>
  <c r="AL142" i="8"/>
  <c r="P150" i="8"/>
  <c r="AL177" i="8"/>
  <c r="P166" i="8"/>
  <c r="AR195" i="8"/>
  <c r="AR159" i="8"/>
  <c r="AS178" i="8"/>
  <c r="AJ155" i="8"/>
  <c r="AT135" i="8"/>
  <c r="BC142" i="8"/>
  <c r="AW165" i="8"/>
  <c r="O204" i="8"/>
  <c r="AW156" i="8"/>
  <c r="O207" i="8"/>
  <c r="AH156" i="8"/>
  <c r="BB160" i="8"/>
  <c r="K140" i="8"/>
  <c r="M196" i="8"/>
  <c r="I135" i="8"/>
  <c r="AX171" i="8"/>
  <c r="AH177" i="8"/>
  <c r="N157" i="8"/>
  <c r="F208" i="8"/>
  <c r="AM207" i="8"/>
  <c r="BB151" i="8"/>
  <c r="AR124" i="8"/>
  <c r="T207" i="8"/>
  <c r="AU142" i="8"/>
  <c r="AY152" i="8"/>
  <c r="AS164" i="8"/>
  <c r="O163" i="8"/>
  <c r="AP222" i="8"/>
  <c r="K230" i="8"/>
  <c r="F162" i="8"/>
  <c r="R196" i="8"/>
  <c r="AO176" i="8"/>
  <c r="P227" i="8"/>
  <c r="AV170" i="8"/>
  <c r="AO171" i="8"/>
  <c r="AI216" i="8"/>
  <c r="AZ174" i="8"/>
  <c r="I206" i="8"/>
  <c r="AM199" i="8"/>
  <c r="Z155" i="8"/>
  <c r="AF215" i="8"/>
  <c r="M228" i="8"/>
  <c r="H155" i="8"/>
  <c r="AK176" i="8"/>
  <c r="J204" i="8"/>
  <c r="P254" i="8"/>
  <c r="U159" i="8"/>
  <c r="L141" i="8"/>
  <c r="AQ173" i="8"/>
  <c r="AS207" i="8"/>
  <c r="P196" i="8"/>
  <c r="AE196" i="8"/>
  <c r="AP177" i="8"/>
  <c r="J212" i="8"/>
  <c r="P208" i="8"/>
  <c r="I248" i="8"/>
  <c r="AC230" i="8"/>
  <c r="L178" i="8"/>
  <c r="AA208" i="8"/>
  <c r="AD164" i="8"/>
  <c r="AH163" i="8"/>
  <c r="G176" i="8"/>
  <c r="AG68" i="8"/>
  <c r="AI203" i="8"/>
  <c r="AN251" i="8"/>
  <c r="N198" i="8"/>
  <c r="AQ208" i="8"/>
  <c r="AE247" i="8"/>
  <c r="AT228" i="8"/>
  <c r="X178" i="8"/>
  <c r="AX222" i="8"/>
  <c r="G257" i="8"/>
  <c r="AA146" i="8"/>
  <c r="AS151" i="8"/>
  <c r="AK197" i="8"/>
  <c r="AZ228" i="8"/>
  <c r="BC254" i="8"/>
  <c r="AO226" i="8"/>
  <c r="V173" i="8"/>
  <c r="BC259" i="8"/>
  <c r="AJ241" i="8"/>
  <c r="Z258" i="8"/>
  <c r="AZ232" i="8"/>
  <c r="AB224" i="8"/>
  <c r="G212" i="8"/>
  <c r="AP215" i="8"/>
  <c r="AT144" i="8"/>
  <c r="AV176" i="8"/>
  <c r="H177" i="8"/>
  <c r="AX226" i="8"/>
  <c r="F259" i="8"/>
  <c r="G227" i="8"/>
  <c r="AH221" i="8"/>
  <c r="P211" i="8"/>
  <c r="AC240" i="8"/>
  <c r="AP196" i="8"/>
  <c r="AF177" i="8"/>
  <c r="F135" i="8"/>
  <c r="F228" i="8"/>
  <c r="AH173" i="8"/>
  <c r="S225" i="8"/>
  <c r="AX249" i="8"/>
  <c r="BB228" i="8"/>
  <c r="G247" i="8"/>
  <c r="J214" i="8"/>
  <c r="AN126" i="8"/>
  <c r="AR197" i="8"/>
  <c r="AU163" i="8"/>
  <c r="AA173" i="8"/>
  <c r="AO175" i="8"/>
  <c r="I160" i="8"/>
  <c r="AK160" i="8"/>
  <c r="AE226" i="8"/>
  <c r="AH218" i="8"/>
  <c r="BC200" i="8"/>
  <c r="AX157" i="8"/>
  <c r="BA175" i="8"/>
  <c r="AF218" i="8"/>
  <c r="AE233" i="8"/>
  <c r="T228" i="8"/>
  <c r="AB62" i="8"/>
  <c r="AT173" i="8"/>
  <c r="S208" i="8"/>
  <c r="AD256" i="8"/>
  <c r="AZ222" i="8"/>
  <c r="AN229" i="8"/>
  <c r="AH241" i="8"/>
  <c r="V199" i="8"/>
  <c r="W248" i="8"/>
  <c r="AC198" i="8"/>
  <c r="AZ164" i="8"/>
  <c r="H144" i="8"/>
  <c r="AD200" i="8"/>
  <c r="AB208" i="8"/>
  <c r="AI221" i="8"/>
  <c r="AG258" i="8"/>
  <c r="AT164" i="8"/>
  <c r="AV254" i="8"/>
  <c r="H195" i="8"/>
  <c r="AM204" i="8"/>
  <c r="Z211" i="8"/>
  <c r="AR196" i="8"/>
  <c r="J257" i="8"/>
  <c r="AM229" i="8"/>
  <c r="AQ224" i="8"/>
  <c r="K66" i="8"/>
  <c r="BC250" i="8"/>
  <c r="AA232" i="8"/>
  <c r="Z125" i="8"/>
  <c r="AU234" i="8"/>
  <c r="P163" i="8"/>
  <c r="AG200" i="8"/>
  <c r="AU218" i="8"/>
  <c r="AQ177" i="8"/>
  <c r="X257" i="8"/>
  <c r="Z198" i="8"/>
  <c r="BC206" i="8"/>
  <c r="U247" i="8"/>
  <c r="AG235" i="8"/>
  <c r="H249" i="8"/>
  <c r="AP229" i="8"/>
  <c r="AP214" i="8"/>
  <c r="AT251" i="8"/>
  <c r="W171" i="8"/>
  <c r="AV175" i="8"/>
  <c r="BA158" i="8"/>
  <c r="AR165" i="8"/>
  <c r="H142" i="8"/>
  <c r="AL225" i="8"/>
  <c r="AR241" i="8"/>
  <c r="AA230" i="8"/>
  <c r="J245" i="8"/>
  <c r="K155" i="8"/>
  <c r="AJ195" i="8"/>
  <c r="X198" i="8"/>
  <c r="F166" i="8"/>
  <c r="Z77" i="8"/>
  <c r="AX257" i="8"/>
  <c r="AI69" i="8"/>
  <c r="AD162" i="8"/>
  <c r="AN257" i="8"/>
  <c r="AV148" i="8"/>
  <c r="AF197" i="8"/>
  <c r="T229" i="8"/>
  <c r="AD156" i="8"/>
  <c r="AT225" i="8"/>
  <c r="V70" i="8"/>
  <c r="AQ238" i="8"/>
  <c r="AX225" i="8"/>
  <c r="I195" i="8"/>
  <c r="T154" i="8"/>
  <c r="Y169" i="8"/>
  <c r="AB160" i="8"/>
  <c r="W153" i="8"/>
  <c r="AN215" i="8"/>
  <c r="L170" i="8"/>
  <c r="AH234" i="8"/>
  <c r="M207" i="8"/>
  <c r="AD224" i="8"/>
  <c r="AY206" i="8"/>
  <c r="AL232" i="8"/>
  <c r="I164" i="8"/>
  <c r="W241" i="8"/>
  <c r="AX223" i="8"/>
  <c r="G248" i="8"/>
  <c r="AH216" i="8"/>
  <c r="Q217" i="8"/>
  <c r="AE170" i="8"/>
  <c r="AZ212" i="8"/>
  <c r="BB236" i="8"/>
  <c r="AW251" i="8"/>
  <c r="BC243" i="8"/>
  <c r="AF203" i="8"/>
  <c r="AL230" i="8"/>
  <c r="S211" i="8"/>
  <c r="AP121" i="8"/>
  <c r="AS227" i="8"/>
  <c r="N216" i="8"/>
  <c r="AP233" i="8"/>
  <c r="AG253" i="8"/>
  <c r="AN68" i="8"/>
  <c r="R215" i="8"/>
  <c r="K71" i="8"/>
  <c r="AF130" i="8"/>
  <c r="S242" i="8"/>
  <c r="AM172" i="8"/>
  <c r="AZ124" i="8"/>
  <c r="AW229" i="8"/>
  <c r="AI168" i="8"/>
  <c r="AV222" i="8"/>
  <c r="AR223" i="8"/>
  <c r="AW255" i="8"/>
  <c r="AA168" i="8"/>
  <c r="AF156" i="8"/>
  <c r="Q249" i="8"/>
  <c r="BC242" i="8"/>
  <c r="AZ235" i="8"/>
  <c r="AG254" i="8"/>
  <c r="M66" i="8"/>
  <c r="AV232" i="8"/>
  <c r="AR198" i="8"/>
  <c r="AY170" i="8"/>
  <c r="AV243" i="8"/>
  <c r="AZ146" i="8"/>
  <c r="BB177" i="8"/>
  <c r="AV231" i="8"/>
  <c r="K235" i="8"/>
  <c r="Q214" i="8"/>
  <c r="P240" i="8"/>
  <c r="AP254" i="8"/>
  <c r="AR203" i="8"/>
  <c r="AX199" i="8"/>
  <c r="AT211" i="8"/>
  <c r="AY168" i="8"/>
  <c r="U225" i="8"/>
  <c r="Y227" i="8"/>
  <c r="W236" i="8"/>
  <c r="I71" i="8"/>
  <c r="J131" i="8"/>
  <c r="T152" i="8"/>
  <c r="BA221" i="8"/>
  <c r="AG66" i="8"/>
  <c r="S172" i="8"/>
  <c r="AA170" i="8"/>
  <c r="J72" i="8"/>
  <c r="AE239" i="8"/>
  <c r="BA254" i="8"/>
  <c r="W211" i="8"/>
  <c r="Y217" i="8"/>
  <c r="AU178" i="8"/>
  <c r="BB240" i="8"/>
  <c r="S63" i="8"/>
  <c r="BB195" i="8"/>
  <c r="AF252" i="8"/>
  <c r="X233" i="8"/>
  <c r="AL235" i="8"/>
  <c r="J125" i="8"/>
  <c r="AN241" i="8"/>
  <c r="J147" i="8"/>
  <c r="Y241" i="8"/>
  <c r="AB206" i="8"/>
  <c r="AC236" i="8"/>
  <c r="AE206" i="8"/>
  <c r="BC244" i="8"/>
  <c r="F233" i="8"/>
  <c r="L199" i="8"/>
  <c r="AJ240" i="8"/>
  <c r="AX196" i="8"/>
  <c r="S251" i="8"/>
  <c r="Z235" i="8"/>
  <c r="AI230" i="8"/>
  <c r="O170" i="8"/>
  <c r="AK66" i="8"/>
  <c r="AB235" i="8"/>
  <c r="R217" i="8"/>
  <c r="AZ213" i="8"/>
  <c r="W204" i="8"/>
  <c r="AR252" i="8"/>
  <c r="AB176" i="8"/>
  <c r="AP209" i="8"/>
  <c r="J255" i="8"/>
  <c r="AL221" i="8"/>
  <c r="AN69" i="8"/>
  <c r="AX67" i="8"/>
  <c r="AN199" i="8"/>
  <c r="Y216" i="8"/>
  <c r="AS237" i="8"/>
  <c r="L226" i="8"/>
  <c r="AQ68" i="8"/>
  <c r="T161" i="8"/>
  <c r="AP235" i="8"/>
  <c r="S243" i="8"/>
  <c r="G241" i="8"/>
  <c r="S252" i="8"/>
  <c r="AM243" i="8"/>
  <c r="K196" i="8"/>
  <c r="AK259" i="8"/>
  <c r="AI172" i="8"/>
  <c r="AZ241" i="8"/>
  <c r="AK205" i="8"/>
  <c r="AF178" i="8"/>
  <c r="AX256" i="8"/>
  <c r="AW68" i="8"/>
  <c r="BA214" i="8"/>
  <c r="AJ221" i="8"/>
  <c r="AP239" i="8"/>
  <c r="AP163" i="8"/>
  <c r="L166" i="8"/>
  <c r="AK156" i="8"/>
  <c r="AS169" i="8"/>
  <c r="AK241" i="8"/>
  <c r="AC215" i="8"/>
  <c r="F209" i="8"/>
  <c r="AW132" i="8"/>
  <c r="V147" i="8"/>
  <c r="AM136" i="8"/>
  <c r="AN163" i="8"/>
  <c r="W140" i="8"/>
  <c r="AR132" i="8"/>
  <c r="AF142" i="8"/>
  <c r="AI197" i="8"/>
  <c r="AV147" i="8"/>
  <c r="AM156" i="8"/>
  <c r="L120" i="8"/>
  <c r="AJ225" i="8"/>
  <c r="BA172" i="8"/>
  <c r="AH145" i="8"/>
  <c r="G208" i="8"/>
  <c r="AH199" i="8"/>
  <c r="AD214" i="8"/>
  <c r="AI170" i="8"/>
  <c r="AQ157" i="8"/>
  <c r="AY175" i="8"/>
  <c r="AZ199" i="8"/>
  <c r="J173" i="8"/>
  <c r="S197" i="8"/>
  <c r="M139" i="8"/>
  <c r="AC153" i="8"/>
  <c r="F216" i="8"/>
  <c r="AA148" i="8"/>
  <c r="F172" i="8"/>
  <c r="U140" i="8"/>
  <c r="AZ160" i="8"/>
  <c r="AN133" i="8"/>
  <c r="AK247" i="8"/>
  <c r="AN145" i="8"/>
  <c r="AL167" i="8"/>
  <c r="AF150" i="8"/>
  <c r="U177" i="8"/>
  <c r="R147" i="8"/>
  <c r="AA134" i="8"/>
  <c r="K175" i="8"/>
  <c r="AQ175" i="8"/>
  <c r="P226" i="8"/>
  <c r="AE163" i="8"/>
  <c r="AG166" i="8"/>
  <c r="Q212" i="8"/>
  <c r="AH230" i="8"/>
  <c r="AC224" i="8"/>
  <c r="AE173" i="8"/>
  <c r="AL218" i="8"/>
  <c r="AD166" i="8"/>
  <c r="Y199" i="8"/>
  <c r="P239" i="8"/>
  <c r="H178" i="8"/>
  <c r="V168" i="8"/>
  <c r="N171" i="8"/>
  <c r="AD69" i="8"/>
  <c r="AG64" i="8"/>
  <c r="AA199" i="8"/>
  <c r="Q142" i="8"/>
  <c r="G178" i="8"/>
  <c r="AV162" i="8"/>
  <c r="BC214" i="8"/>
  <c r="AL236" i="8"/>
  <c r="Z217" i="8"/>
  <c r="F174" i="8"/>
  <c r="R176" i="8"/>
  <c r="R213" i="8"/>
  <c r="AV205" i="8"/>
  <c r="AJ147" i="8"/>
  <c r="AE151" i="8"/>
  <c r="AE250" i="8"/>
  <c r="N160" i="8"/>
  <c r="AV210" i="8"/>
  <c r="X157" i="8"/>
  <c r="BB132" i="8"/>
  <c r="Z143" i="8"/>
  <c r="F210" i="8"/>
  <c r="AP159" i="8"/>
  <c r="W214" i="8"/>
  <c r="AU211" i="8"/>
  <c r="N135" i="8"/>
  <c r="W174" i="8"/>
  <c r="AX77" i="8"/>
  <c r="L177" i="8"/>
  <c r="AM170" i="8"/>
  <c r="AY174" i="8"/>
  <c r="AP237" i="8"/>
  <c r="AZ244" i="8"/>
  <c r="R171" i="8"/>
  <c r="X197" i="8"/>
  <c r="AU214" i="8"/>
  <c r="U228" i="8"/>
  <c r="AH198" i="8"/>
  <c r="AK226" i="8"/>
  <c r="AJ66" i="8"/>
  <c r="AG247" i="8"/>
  <c r="AO254" i="8"/>
  <c r="AS206" i="8"/>
  <c r="BA217" i="8"/>
  <c r="P148" i="8"/>
  <c r="P161" i="8"/>
  <c r="AQ178" i="8"/>
  <c r="P233" i="8"/>
  <c r="N242" i="8"/>
  <c r="F171" i="8"/>
  <c r="W257" i="8"/>
  <c r="Z248" i="8"/>
  <c r="BB246" i="8"/>
  <c r="AU222" i="8"/>
  <c r="T243" i="8"/>
  <c r="AX221" i="8"/>
  <c r="AU63" i="8"/>
  <c r="AW241" i="8"/>
  <c r="R71" i="8"/>
  <c r="AK239" i="8"/>
  <c r="AB229" i="8"/>
  <c r="AJ139" i="8"/>
  <c r="J172" i="8"/>
  <c r="R164" i="8"/>
  <c r="Y237" i="8"/>
  <c r="N145" i="8"/>
  <c r="W209" i="8"/>
  <c r="AJ207" i="8"/>
  <c r="N200" i="8"/>
  <c r="Y256" i="8"/>
  <c r="AV246" i="8"/>
  <c r="K214" i="8"/>
  <c r="H245" i="8"/>
  <c r="AO238" i="8"/>
  <c r="AL256" i="8"/>
  <c r="T230" i="8"/>
  <c r="AT210" i="8"/>
  <c r="L197" i="8"/>
  <c r="M227" i="8"/>
  <c r="H148" i="8"/>
  <c r="J160" i="8"/>
  <c r="AY217" i="8"/>
  <c r="Q242" i="8"/>
  <c r="AD232" i="8"/>
  <c r="BA222" i="8"/>
  <c r="BC209" i="8"/>
  <c r="AQ207" i="8"/>
  <c r="AN217" i="8"/>
  <c r="AW158" i="8"/>
  <c r="AU206" i="8"/>
  <c r="T218" i="8"/>
  <c r="Y62" i="8"/>
  <c r="AP63" i="8"/>
  <c r="Z224" i="8"/>
  <c r="L239" i="8"/>
  <c r="L210" i="8"/>
  <c r="Z236" i="8"/>
  <c r="AJ227" i="8"/>
  <c r="AU213" i="8"/>
  <c r="W245" i="8"/>
  <c r="BA227" i="8"/>
  <c r="AV248" i="8"/>
  <c r="U176" i="8"/>
  <c r="W177" i="8"/>
  <c r="AD195" i="8"/>
  <c r="AR211" i="8"/>
  <c r="N228" i="8"/>
  <c r="H140" i="8"/>
  <c r="W199" i="8"/>
  <c r="AK215" i="8"/>
  <c r="AP210" i="8"/>
  <c r="AQ200" i="8"/>
  <c r="BA170" i="8"/>
  <c r="AQ257" i="8"/>
  <c r="AZ233" i="8"/>
  <c r="F207" i="8"/>
  <c r="AR234" i="8"/>
  <c r="W224" i="8"/>
  <c r="AD203" i="8"/>
  <c r="AA153" i="8"/>
  <c r="AL198" i="8"/>
  <c r="AD167" i="8"/>
  <c r="BB250" i="8"/>
  <c r="T162" i="8"/>
  <c r="G224" i="8"/>
  <c r="AT257" i="8"/>
  <c r="AN167" i="8"/>
  <c r="AB245" i="8"/>
  <c r="AA198" i="8"/>
  <c r="AB217" i="8"/>
  <c r="AP238" i="8"/>
  <c r="AR209" i="8"/>
  <c r="AW253" i="8"/>
  <c r="AX255" i="8"/>
  <c r="AZ69" i="8"/>
  <c r="J217" i="8"/>
  <c r="P146" i="8"/>
  <c r="V160" i="8"/>
  <c r="AE222" i="8"/>
  <c r="AJ237" i="8"/>
  <c r="AC203" i="8"/>
  <c r="AN242" i="8"/>
  <c r="AY225" i="8"/>
  <c r="K67" i="8"/>
  <c r="AH212" i="8"/>
  <c r="AU238" i="8"/>
  <c r="AV177" i="8"/>
  <c r="AH208" i="8"/>
  <c r="AM171" i="8"/>
  <c r="AO210" i="8"/>
  <c r="R146" i="8"/>
  <c r="AG168" i="8"/>
  <c r="AB163" i="8"/>
  <c r="M168" i="8"/>
  <c r="Q199" i="8"/>
  <c r="AN208" i="8"/>
  <c r="Q175" i="8"/>
  <c r="AT175" i="8"/>
  <c r="K242" i="8"/>
  <c r="AC232" i="8"/>
  <c r="AR232" i="8"/>
  <c r="AJ142" i="8"/>
  <c r="AN176" i="8"/>
  <c r="AV251" i="8"/>
  <c r="AB250" i="8"/>
  <c r="AR242" i="8"/>
  <c r="N234" i="8"/>
  <c r="AQ213" i="8"/>
  <c r="I247" i="8"/>
  <c r="AF63" i="8"/>
  <c r="BB137" i="8"/>
  <c r="Q227" i="8"/>
  <c r="BA205" i="8"/>
  <c r="AL234" i="8"/>
  <c r="AX238" i="8"/>
  <c r="BC172" i="8"/>
  <c r="AQ241" i="8"/>
  <c r="AM210" i="8"/>
  <c r="N209" i="8"/>
  <c r="F250" i="8"/>
  <c r="AD246" i="8"/>
  <c r="AB247" i="8"/>
  <c r="AM222" i="8"/>
  <c r="J243" i="8"/>
  <c r="W213" i="8"/>
  <c r="Z221" i="8"/>
  <c r="R225" i="8"/>
  <c r="AM177" i="8"/>
  <c r="T208" i="8"/>
  <c r="Y234" i="8"/>
  <c r="AV224" i="8"/>
  <c r="BC168" i="8"/>
  <c r="BB163" i="8"/>
  <c r="X228" i="8"/>
  <c r="AO246" i="8"/>
  <c r="P216" i="8"/>
  <c r="AU229" i="8"/>
  <c r="N195" i="8"/>
  <c r="X173" i="8"/>
  <c r="BB252" i="8"/>
  <c r="AJ246" i="8"/>
  <c r="Z175" i="8"/>
  <c r="J236" i="8"/>
  <c r="BB203" i="8"/>
  <c r="BB238" i="8"/>
  <c r="AD209" i="8"/>
  <c r="AW196" i="8"/>
  <c r="AX197" i="8"/>
  <c r="F63" i="8"/>
  <c r="AA215" i="8"/>
  <c r="L249" i="8"/>
  <c r="N227" i="8"/>
  <c r="N205" i="8"/>
  <c r="N207" i="8"/>
  <c r="AS251" i="8"/>
  <c r="W238" i="8"/>
  <c r="AY171" i="8"/>
  <c r="P200" i="8"/>
  <c r="M239" i="8"/>
  <c r="Y240" i="8"/>
  <c r="F257" i="8"/>
  <c r="AM249" i="8"/>
  <c r="AP255" i="8"/>
  <c r="Q164" i="8"/>
  <c r="BC178" i="8"/>
  <c r="AN205" i="8"/>
  <c r="AG197" i="8"/>
  <c r="N249" i="8"/>
  <c r="K259" i="8"/>
  <c r="AY222" i="8"/>
  <c r="L155" i="8"/>
  <c r="AG250" i="8"/>
  <c r="AT195" i="8"/>
  <c r="V258" i="8"/>
  <c r="AN170" i="8"/>
  <c r="AO239" i="8"/>
  <c r="AE238" i="8"/>
  <c r="AD173" i="8"/>
  <c r="P230" i="8"/>
  <c r="N73" i="8"/>
  <c r="Q236" i="8"/>
  <c r="AY250" i="8"/>
  <c r="Y250" i="8"/>
  <c r="J61" i="8"/>
  <c r="AV229" i="8"/>
  <c r="AI237" i="8"/>
  <c r="AO228" i="8"/>
  <c r="L218" i="8"/>
  <c r="AE215" i="8"/>
  <c r="J209" i="8"/>
  <c r="I62" i="8"/>
  <c r="AU251" i="8"/>
  <c r="AH259" i="8"/>
  <c r="I223" i="8"/>
  <c r="AG223" i="8"/>
  <c r="AV233" i="8"/>
  <c r="AN237" i="8"/>
  <c r="W235" i="8"/>
  <c r="N232" i="8"/>
  <c r="AX207" i="8"/>
  <c r="W258" i="8"/>
  <c r="BC61" i="8"/>
  <c r="AF222" i="8"/>
  <c r="L212" i="8"/>
  <c r="BB171" i="8"/>
  <c r="X223" i="8"/>
  <c r="AA216" i="8"/>
  <c r="Q198" i="8"/>
  <c r="M206" i="8"/>
  <c r="AE224" i="8"/>
  <c r="AZ78" i="8"/>
  <c r="AS195" i="8"/>
  <c r="AD253" i="8"/>
  <c r="AN174" i="8"/>
  <c r="AQ204" i="8"/>
  <c r="AX206" i="8"/>
  <c r="AI228" i="8"/>
  <c r="AV235" i="8"/>
  <c r="G221" i="8"/>
  <c r="AL77" i="8"/>
  <c r="AE167" i="8"/>
  <c r="AZ258" i="8"/>
  <c r="J218" i="8"/>
  <c r="AI196" i="8"/>
  <c r="F248" i="8"/>
  <c r="H172" i="8"/>
  <c r="AN157" i="8"/>
  <c r="AU255" i="8"/>
  <c r="N140" i="8"/>
  <c r="AR125" i="8"/>
  <c r="AT196" i="8"/>
  <c r="AQ203" i="8"/>
  <c r="AC208" i="8"/>
  <c r="S171" i="8"/>
  <c r="AR213" i="8"/>
  <c r="U200" i="8"/>
  <c r="AH137" i="8"/>
  <c r="AI195" i="8"/>
  <c r="AH167" i="8"/>
  <c r="J152" i="8"/>
  <c r="M163" i="8"/>
  <c r="AH138" i="8"/>
  <c r="AJ130" i="8"/>
  <c r="L255" i="8"/>
  <c r="AK163" i="8"/>
  <c r="AC160" i="8"/>
  <c r="U152" i="8"/>
  <c r="AQ122" i="8"/>
  <c r="X164" i="8"/>
  <c r="AF167" i="8"/>
  <c r="AM195" i="8"/>
  <c r="AI149" i="8"/>
  <c r="F145" i="8"/>
  <c r="L140" i="8"/>
  <c r="AZ138" i="8"/>
  <c r="R250" i="8"/>
  <c r="AN149" i="8"/>
  <c r="AJ165" i="8"/>
  <c r="AW152" i="8"/>
  <c r="BA198" i="8"/>
  <c r="R151" i="8"/>
  <c r="O175" i="8"/>
  <c r="L132" i="8"/>
  <c r="R145" i="8"/>
  <c r="AJ166" i="8"/>
  <c r="R234" i="8"/>
  <c r="Q153" i="8"/>
  <c r="AA176" i="8"/>
  <c r="AD64" i="8"/>
  <c r="Y245" i="8"/>
  <c r="I208" i="8"/>
  <c r="AC213" i="8"/>
  <c r="AP70" i="8"/>
  <c r="R218" i="8"/>
  <c r="BB178" i="8"/>
  <c r="AF195" i="8"/>
  <c r="AO162" i="8"/>
  <c r="BB242" i="8"/>
  <c r="AY198" i="8"/>
  <c r="R241" i="8"/>
  <c r="J161" i="8"/>
  <c r="AD198" i="8"/>
  <c r="AI248" i="8"/>
  <c r="N221" i="8"/>
  <c r="BB121" i="8"/>
  <c r="AQ167" i="8"/>
  <c r="AO213" i="8"/>
  <c r="AC204" i="8"/>
  <c r="G177" i="8"/>
  <c r="AQ67" i="8"/>
  <c r="AI250" i="8"/>
  <c r="T177" i="8"/>
  <c r="N163" i="8"/>
  <c r="F196" i="8"/>
  <c r="BB221" i="8"/>
  <c r="S163" i="8"/>
  <c r="AK158" i="8"/>
  <c r="AH178" i="8"/>
  <c r="AB152" i="8"/>
  <c r="AT234" i="8"/>
  <c r="Q213" i="8"/>
  <c r="R170" i="8"/>
  <c r="AU167" i="8"/>
  <c r="AB215" i="8"/>
  <c r="T248" i="8"/>
  <c r="AK177" i="8"/>
  <c r="M176" i="8"/>
  <c r="S159" i="8"/>
  <c r="O240" i="8"/>
  <c r="Q204" i="8"/>
  <c r="AS159" i="8"/>
  <c r="W210" i="8"/>
  <c r="P259" i="8"/>
  <c r="AH254" i="8"/>
  <c r="AZ62" i="8"/>
  <c r="P120" i="8"/>
  <c r="X176" i="8"/>
  <c r="AH250" i="8"/>
  <c r="AR199" i="8"/>
  <c r="AT217" i="8"/>
  <c r="AD221" i="8"/>
  <c r="AO222" i="8"/>
  <c r="S256" i="8"/>
  <c r="AA167" i="8"/>
  <c r="AX149" i="8"/>
  <c r="AR247" i="8"/>
  <c r="I162" i="8"/>
  <c r="O178" i="8"/>
  <c r="K216" i="8"/>
  <c r="J73" i="8"/>
  <c r="AS256" i="8"/>
  <c r="AR64" i="8"/>
  <c r="I152" i="8"/>
  <c r="F197" i="8"/>
  <c r="AR208" i="8"/>
  <c r="T196" i="8"/>
  <c r="AN66" i="8"/>
  <c r="AB240" i="8"/>
  <c r="AV63" i="8"/>
  <c r="AZ247" i="8"/>
  <c r="W215" i="8"/>
  <c r="L172" i="8"/>
  <c r="G232" i="8"/>
  <c r="AX139" i="8"/>
  <c r="N156" i="8"/>
  <c r="R252" i="8"/>
  <c r="AI124" i="8"/>
  <c r="S210" i="8"/>
  <c r="AF210" i="8"/>
  <c r="AD196" i="8"/>
  <c r="AQ228" i="8"/>
  <c r="AX216" i="8"/>
  <c r="AN159" i="8"/>
  <c r="AV239" i="8"/>
  <c r="Z228" i="8"/>
  <c r="K227" i="8"/>
  <c r="N218" i="8"/>
  <c r="AC252" i="8"/>
  <c r="AK212" i="8"/>
  <c r="AJ174" i="8"/>
  <c r="AC169" i="8"/>
  <c r="AN168" i="8"/>
  <c r="AJ251" i="8"/>
  <c r="AO61" i="8"/>
  <c r="AJ69" i="8"/>
  <c r="AQ250" i="8"/>
  <c r="Z195" i="8"/>
  <c r="O200" i="8"/>
  <c r="R248" i="8"/>
  <c r="V215" i="8"/>
  <c r="BB200" i="8"/>
  <c r="J235" i="8"/>
  <c r="Q244" i="8"/>
  <c r="AA237" i="8"/>
  <c r="L225" i="8"/>
  <c r="AM132" i="8"/>
  <c r="M197" i="8"/>
  <c r="AZ211" i="8"/>
  <c r="AL224" i="8"/>
  <c r="BB231" i="8"/>
  <c r="AO69" i="8"/>
  <c r="AH256" i="8"/>
  <c r="AX214" i="8"/>
  <c r="S227" i="8"/>
  <c r="X122" i="8"/>
  <c r="U203" i="8"/>
  <c r="AS172" i="8"/>
  <c r="X205" i="8"/>
  <c r="AU203" i="8"/>
  <c r="AR144" i="8"/>
  <c r="AP167" i="8"/>
  <c r="K157" i="8"/>
  <c r="Q172" i="8"/>
  <c r="J226" i="8"/>
  <c r="AE208" i="8"/>
  <c r="AR178" i="8"/>
  <c r="I171" i="8"/>
  <c r="R232" i="8"/>
  <c r="AA255" i="8"/>
  <c r="O238" i="8"/>
  <c r="M216" i="8"/>
  <c r="AT171" i="8"/>
  <c r="I205" i="8"/>
  <c r="AG239" i="8"/>
  <c r="AP164" i="8"/>
  <c r="M237" i="8"/>
  <c r="H71" i="8"/>
  <c r="AE198" i="8"/>
  <c r="BC68" i="8"/>
  <c r="AQ210" i="8"/>
  <c r="Y200" i="8"/>
  <c r="AO225" i="8"/>
  <c r="K239" i="8"/>
  <c r="V210" i="8"/>
  <c r="Q237" i="8"/>
  <c r="L252" i="8"/>
  <c r="AH214" i="8"/>
  <c r="G229" i="8"/>
  <c r="AN155" i="8"/>
  <c r="U210" i="8"/>
  <c r="AM71" i="8"/>
  <c r="W212" i="8"/>
  <c r="BB205" i="8"/>
  <c r="AU70" i="8"/>
  <c r="BA71" i="8"/>
  <c r="AQ251" i="8"/>
  <c r="AF159" i="8"/>
  <c r="AB197" i="8"/>
  <c r="AY195" i="8"/>
  <c r="BB248" i="8"/>
  <c r="AY167" i="8"/>
  <c r="AQ252" i="8"/>
  <c r="I221" i="8"/>
  <c r="F153" i="8"/>
  <c r="AV207" i="8"/>
  <c r="AP206" i="8"/>
  <c r="AR168" i="8"/>
  <c r="AE246" i="8"/>
  <c r="G236" i="8"/>
  <c r="G172" i="8"/>
  <c r="R203" i="8"/>
  <c r="K228" i="8"/>
  <c r="AL209" i="8"/>
  <c r="R126" i="8"/>
  <c r="AK225" i="8"/>
  <c r="BB256" i="8"/>
  <c r="S170" i="8"/>
  <c r="AE218" i="8"/>
  <c r="L62" i="8"/>
  <c r="AK237" i="8"/>
  <c r="AY230" i="8"/>
  <c r="AJ230" i="8"/>
  <c r="AX244" i="8"/>
  <c r="V205" i="8"/>
  <c r="AR205" i="8"/>
  <c r="L176" i="8"/>
  <c r="AX175" i="8"/>
  <c r="AT63" i="8"/>
  <c r="AZ218" i="8"/>
  <c r="K204" i="8"/>
  <c r="AH236" i="8"/>
  <c r="F242" i="8"/>
  <c r="H225" i="8"/>
  <c r="H214" i="8"/>
  <c r="J169" i="8"/>
  <c r="AI252" i="8"/>
  <c r="AO218" i="8"/>
  <c r="AS232" i="8"/>
  <c r="F77" i="8"/>
  <c r="Q196" i="8"/>
  <c r="AJ199" i="8"/>
  <c r="BB251" i="8"/>
  <c r="L259" i="8"/>
  <c r="AJ222" i="8"/>
  <c r="AN249" i="8"/>
  <c r="AN258" i="8"/>
  <c r="O236" i="8"/>
  <c r="AT242" i="8"/>
  <c r="AW203" i="8"/>
  <c r="H198" i="8"/>
  <c r="AK218" i="8"/>
  <c r="AB198" i="8"/>
  <c r="AJ255" i="8"/>
  <c r="J175" i="8"/>
  <c r="AM215" i="8"/>
  <c r="V204" i="8"/>
  <c r="AZ76" i="8"/>
  <c r="AE172" i="8"/>
  <c r="AZ162" i="8"/>
  <c r="Z244" i="8"/>
  <c r="U171" i="8"/>
  <c r="K61" i="8"/>
  <c r="T195" i="8"/>
  <c r="AI71" i="8"/>
  <c r="S206" i="8"/>
  <c r="K258" i="8"/>
  <c r="O211" i="8"/>
  <c r="O208" i="8"/>
  <c r="AH246" i="8"/>
  <c r="N178" i="8"/>
  <c r="T253" i="8"/>
  <c r="O245" i="8"/>
  <c r="AN216" i="8"/>
  <c r="G233" i="8"/>
  <c r="P225" i="8"/>
  <c r="M198" i="8"/>
  <c r="AU204" i="8"/>
  <c r="AF245" i="8"/>
  <c r="AW243" i="8"/>
  <c r="AY235" i="8"/>
  <c r="BA238" i="8"/>
  <c r="AN212" i="8"/>
  <c r="O232" i="8"/>
  <c r="AX210" i="8"/>
  <c r="K174" i="8"/>
  <c r="X213" i="8"/>
  <c r="AP161" i="8"/>
  <c r="AJ170" i="8"/>
  <c r="AD218" i="8"/>
  <c r="AP245" i="8"/>
  <c r="AF166" i="8"/>
  <c r="AB252" i="8"/>
  <c r="AY256" i="8"/>
  <c r="AR226" i="8"/>
  <c r="M68" i="8"/>
  <c r="BC256" i="8"/>
  <c r="G245" i="8"/>
  <c r="AR204" i="8"/>
  <c r="AB246" i="8"/>
  <c r="U214" i="8"/>
  <c r="H228" i="8"/>
  <c r="N235" i="8"/>
  <c r="AV241" i="8"/>
  <c r="AJ215" i="8"/>
  <c r="AK248" i="8"/>
  <c r="M171" i="8"/>
  <c r="AM259" i="8"/>
  <c r="AT230" i="8"/>
  <c r="T214" i="8"/>
  <c r="AQ61" i="8"/>
  <c r="AW227" i="8"/>
  <c r="S253" i="8"/>
  <c r="AB242" i="8"/>
  <c r="AU165" i="8"/>
  <c r="BC216" i="8"/>
  <c r="AM165" i="8"/>
  <c r="AV257" i="8"/>
  <c r="U242" i="8"/>
  <c r="Z256" i="8"/>
  <c r="AJ206" i="8"/>
  <c r="J252" i="8"/>
  <c r="S249" i="8"/>
  <c r="AJ210" i="8"/>
  <c r="L227" i="8"/>
  <c r="AT256" i="8"/>
  <c r="S226" i="8"/>
  <c r="Q168" i="8"/>
  <c r="AK243" i="8"/>
  <c r="AH207" i="8"/>
  <c r="BB67" i="8"/>
  <c r="AJ216" i="8"/>
  <c r="AB76" i="8"/>
  <c r="AD241" i="8"/>
  <c r="AT64" i="8"/>
  <c r="G174" i="8"/>
  <c r="R212" i="8"/>
  <c r="AM240" i="8"/>
  <c r="R160" i="8"/>
  <c r="AY251" i="8"/>
  <c r="AY169" i="8"/>
  <c r="W143" i="8"/>
  <c r="AO211" i="8"/>
  <c r="W154" i="8"/>
  <c r="AS208" i="8"/>
  <c r="AA240" i="8"/>
  <c r="AC178" i="8"/>
  <c r="AL137" i="8"/>
  <c r="N212" i="8"/>
  <c r="AP125" i="8"/>
  <c r="N226" i="8"/>
  <c r="F239" i="8"/>
  <c r="AA169" i="8"/>
  <c r="U207" i="8"/>
  <c r="AB170" i="8"/>
  <c r="AP259" i="8"/>
  <c r="AR253" i="8"/>
  <c r="AD204" i="8"/>
  <c r="AF64" i="8"/>
  <c r="AJ232" i="8"/>
  <c r="X71" i="8"/>
  <c r="AF61" i="8"/>
  <c r="J249" i="8"/>
  <c r="Z62" i="8"/>
  <c r="AH155" i="8"/>
  <c r="AR237" i="8"/>
  <c r="AG249" i="8"/>
  <c r="O254" i="8"/>
  <c r="AZ226" i="8"/>
  <c r="Y156" i="8"/>
  <c r="AL196" i="8"/>
  <c r="AU195" i="8"/>
  <c r="AC223" i="8"/>
  <c r="AM232" i="8"/>
  <c r="AM208" i="8"/>
  <c r="AF62" i="8"/>
  <c r="AL255" i="8"/>
  <c r="AZ166" i="8"/>
  <c r="AY244" i="8"/>
  <c r="Q253" i="8"/>
  <c r="BA137" i="8"/>
  <c r="AX258" i="8"/>
  <c r="AM212" i="8"/>
  <c r="AQ161" i="8"/>
  <c r="P248" i="8"/>
  <c r="M233" i="8"/>
  <c r="H241" i="8"/>
  <c r="AS66" i="8"/>
  <c r="BB230" i="8"/>
  <c r="AZ167" i="8"/>
  <c r="AP197" i="8"/>
  <c r="AR155" i="8"/>
  <c r="BB208" i="8"/>
  <c r="AW242" i="8"/>
  <c r="Y171" i="8"/>
  <c r="AB228" i="8"/>
  <c r="AS209" i="8"/>
  <c r="Y218" i="8"/>
  <c r="AI240" i="8"/>
  <c r="AL166" i="8"/>
  <c r="AN78" i="8"/>
  <c r="AD158" i="8"/>
  <c r="AQ217" i="8"/>
  <c r="AJ138" i="8"/>
  <c r="Q216" i="8"/>
  <c r="AM226" i="8"/>
  <c r="Z199" i="8"/>
  <c r="X251" i="8"/>
  <c r="N223" i="8"/>
  <c r="J143" i="8"/>
  <c r="T255" i="8"/>
  <c r="H67" i="8"/>
  <c r="BC246" i="8"/>
  <c r="AL204" i="8"/>
  <c r="AO214" i="8"/>
  <c r="L224" i="8"/>
  <c r="AH215" i="8"/>
  <c r="AD233" i="8"/>
  <c r="L158" i="8"/>
  <c r="M247" i="8"/>
  <c r="AL195" i="8"/>
  <c r="AF164" i="8"/>
  <c r="AF246" i="8"/>
  <c r="Y257" i="8"/>
  <c r="U151" i="8"/>
  <c r="AF196" i="8"/>
  <c r="AD244" i="8"/>
  <c r="O225" i="8"/>
  <c r="M199" i="8"/>
  <c r="AV169" i="8"/>
  <c r="F214" i="8"/>
  <c r="P174" i="8"/>
  <c r="G165" i="8"/>
  <c r="AG227" i="8"/>
  <c r="AL237" i="8"/>
  <c r="BC224" i="8"/>
  <c r="AB254" i="8"/>
  <c r="AJ217" i="8"/>
  <c r="AC174" i="8"/>
  <c r="AP258" i="8"/>
  <c r="AD235" i="8"/>
  <c r="AN177" i="8"/>
  <c r="AF224" i="8"/>
  <c r="AJ238" i="8"/>
  <c r="H233" i="8"/>
  <c r="AY61" i="8"/>
  <c r="U223" i="8"/>
  <c r="F256" i="8"/>
  <c r="AP208" i="8"/>
  <c r="AQ230" i="8"/>
  <c r="AB239" i="8"/>
  <c r="AD212" i="8"/>
  <c r="AB61" i="8"/>
  <c r="AV245" i="8"/>
  <c r="AY233" i="8"/>
  <c r="M243" i="8"/>
  <c r="M221" i="8"/>
  <c r="Y164" i="8"/>
  <c r="F235" i="8"/>
  <c r="AZ254" i="8"/>
  <c r="AU258" i="8"/>
  <c r="AA200" i="8"/>
  <c r="AB200" i="8"/>
  <c r="AD75" i="8"/>
  <c r="Y251" i="8"/>
  <c r="T256" i="8"/>
  <c r="H160" i="8"/>
  <c r="J229" i="8"/>
  <c r="BB253" i="8"/>
  <c r="BA244" i="8"/>
  <c r="Z245" i="8"/>
  <c r="AO258" i="8"/>
  <c r="AK250" i="8"/>
  <c r="F203" i="8"/>
  <c r="P222" i="8"/>
  <c r="G256" i="8"/>
  <c r="AR227" i="8"/>
  <c r="P256" i="8"/>
  <c r="N245" i="8"/>
  <c r="BB68" i="8"/>
  <c r="Q252" i="8"/>
  <c r="M259" i="8"/>
  <c r="AD251" i="8"/>
  <c r="AI243" i="8"/>
  <c r="AW237" i="8"/>
  <c r="AU200" i="8"/>
  <c r="BC212" i="8"/>
  <c r="Z232" i="8"/>
  <c r="T212" i="8"/>
  <c r="L247" i="8"/>
  <c r="AC251" i="8"/>
  <c r="X195" i="8"/>
  <c r="BC69" i="8"/>
  <c r="U222" i="8"/>
  <c r="AS160" i="8"/>
  <c r="AS241" i="8"/>
  <c r="AZ176" i="8"/>
  <c r="N208" i="8"/>
  <c r="AJ197" i="8"/>
  <c r="BA231" i="8"/>
  <c r="H173" i="8"/>
  <c r="AS71" i="8"/>
  <c r="AO216" i="8"/>
  <c r="AJ159" i="8"/>
  <c r="S71" i="8"/>
  <c r="AE204" i="8"/>
  <c r="L157" i="8"/>
  <c r="W242" i="8"/>
  <c r="Z250" i="8"/>
  <c r="AC225" i="8"/>
  <c r="U218" i="8"/>
  <c r="AY241" i="8"/>
  <c r="I218" i="8"/>
  <c r="P255" i="8"/>
  <c r="W198" i="8"/>
  <c r="AK257" i="8"/>
  <c r="BA242" i="8"/>
  <c r="L232" i="8"/>
  <c r="I251" i="8"/>
  <c r="I252" i="8"/>
  <c r="AS221" i="8"/>
  <c r="AQ245" i="8"/>
  <c r="AP147" i="8"/>
  <c r="H247" i="8"/>
  <c r="AY246" i="8"/>
  <c r="G206" i="8"/>
  <c r="AC255" i="8"/>
  <c r="T236" i="8"/>
  <c r="Y236" i="8"/>
  <c r="BC204" i="8"/>
  <c r="BC225" i="8"/>
  <c r="AS167" i="8"/>
  <c r="AM150" i="8"/>
  <c r="AJ198" i="8"/>
  <c r="AK223" i="8"/>
  <c r="P224" i="8"/>
  <c r="O223" i="8"/>
  <c r="AC257" i="8"/>
  <c r="AK213" i="8"/>
  <c r="AN198" i="8"/>
  <c r="AZ163" i="8"/>
  <c r="T251" i="8"/>
  <c r="T159" i="8"/>
  <c r="AK252" i="8"/>
  <c r="AD169" i="8"/>
  <c r="R256" i="8"/>
  <c r="AZ209" i="8"/>
  <c r="BB254" i="8"/>
  <c r="AN62" i="8"/>
  <c r="AG221" i="8"/>
  <c r="AM213" i="8"/>
  <c r="AI215" i="8"/>
  <c r="AR236" i="8"/>
  <c r="AO64" i="8"/>
  <c r="AI231" i="8"/>
  <c r="U229" i="8"/>
  <c r="AS231" i="8"/>
  <c r="AJ224" i="8"/>
  <c r="AL75" i="8"/>
  <c r="BA249" i="8"/>
  <c r="AY257" i="8"/>
  <c r="X68" i="8"/>
  <c r="AH213" i="8"/>
  <c r="AV67" i="8"/>
  <c r="AL228" i="8"/>
  <c r="H176" i="8"/>
  <c r="X240" i="8"/>
  <c r="V231" i="8"/>
  <c r="K172" i="8"/>
  <c r="AY234" i="8"/>
  <c r="H218" i="8"/>
  <c r="R228" i="8"/>
  <c r="AS64" i="8"/>
  <c r="O229" i="8"/>
  <c r="W230" i="8"/>
  <c r="AU68" i="8"/>
  <c r="M70" i="8"/>
  <c r="G251" i="8"/>
  <c r="AR74" i="8"/>
  <c r="AR163" i="8"/>
  <c r="AG69" i="8"/>
  <c r="F156" i="8"/>
  <c r="AX208" i="8"/>
  <c r="AQ244" i="8"/>
  <c r="AY136" i="8"/>
  <c r="Y239" i="8"/>
  <c r="AI253" i="8"/>
  <c r="H256" i="8"/>
  <c r="AG259" i="8"/>
  <c r="AR200" i="8"/>
  <c r="I253" i="8"/>
  <c r="AX177" i="8"/>
  <c r="BC170" i="8"/>
  <c r="H203" i="8"/>
  <c r="I249" i="8"/>
  <c r="AR61" i="8"/>
  <c r="J69" i="8"/>
  <c r="Q221" i="8"/>
  <c r="V227" i="8"/>
  <c r="H215" i="8"/>
  <c r="BB198" i="8"/>
  <c r="L217" i="8"/>
  <c r="AB166" i="8"/>
  <c r="AR255" i="8"/>
  <c r="T221" i="8"/>
  <c r="BA62" i="8"/>
  <c r="AT199" i="8"/>
  <c r="J222" i="8"/>
  <c r="AZ206" i="8"/>
  <c r="AC221" i="8"/>
  <c r="AJ213" i="8"/>
  <c r="AV174" i="8"/>
  <c r="AE258" i="8"/>
  <c r="AA69" i="8"/>
  <c r="AX253" i="8"/>
  <c r="AG256" i="8"/>
  <c r="AD121" i="8"/>
  <c r="T167" i="8"/>
  <c r="X63" i="8"/>
  <c r="AS239" i="8"/>
  <c r="AZ221" i="8"/>
  <c r="P234" i="8"/>
  <c r="AM68" i="8"/>
  <c r="AE228" i="8"/>
  <c r="H254" i="8"/>
  <c r="AW137" i="8"/>
  <c r="AW245" i="8"/>
  <c r="AU67" i="8"/>
  <c r="I237" i="8"/>
  <c r="N240" i="8"/>
  <c r="AX231" i="8"/>
  <c r="AJ244" i="8"/>
  <c r="BA250" i="8"/>
  <c r="O231" i="8"/>
  <c r="AU232" i="8"/>
  <c r="AP64" i="8"/>
  <c r="X217" i="8"/>
  <c r="AA245" i="8"/>
  <c r="AT208" i="8"/>
  <c r="AL197" i="8"/>
  <c r="J207" i="8"/>
  <c r="O213" i="8"/>
  <c r="AW231" i="8"/>
  <c r="AS224" i="8"/>
  <c r="R63" i="8"/>
  <c r="AI63" i="8"/>
  <c r="N213" i="8"/>
  <c r="AG209" i="8"/>
  <c r="X208" i="8"/>
  <c r="V230" i="8"/>
  <c r="N63" i="8"/>
  <c r="L76" i="8"/>
  <c r="AE64" i="8"/>
  <c r="V212" i="8"/>
  <c r="AZ197" i="8"/>
  <c r="AO217" i="8"/>
  <c r="AX73" i="8"/>
  <c r="BC248" i="8"/>
  <c r="AD215" i="8"/>
  <c r="S61" i="8"/>
  <c r="AE63" i="8"/>
  <c r="T210" i="8"/>
  <c r="K221" i="8"/>
  <c r="AZ159" i="8"/>
  <c r="AL249" i="8"/>
  <c r="AL69" i="8"/>
  <c r="AR240" i="8"/>
  <c r="AK246" i="8"/>
  <c r="AH73" i="8"/>
  <c r="F61" i="8"/>
  <c r="AC258" i="8"/>
  <c r="AW214" i="8"/>
  <c r="N225" i="8"/>
  <c r="U257" i="8"/>
  <c r="AE69" i="8"/>
  <c r="R223" i="8"/>
  <c r="AF232" i="8"/>
  <c r="AI217" i="8"/>
  <c r="AH197" i="8"/>
  <c r="X246" i="8"/>
  <c r="AW215" i="8"/>
  <c r="K233" i="8"/>
  <c r="AI171" i="8"/>
  <c r="BB73" i="8"/>
  <c r="AV156" i="8"/>
  <c r="AR170" i="8"/>
  <c r="M145" i="8"/>
  <c r="T199" i="8"/>
  <c r="BC161" i="8"/>
  <c r="AF160" i="8"/>
  <c r="BC155" i="8"/>
  <c r="AM196" i="8"/>
  <c r="AE171" i="8"/>
  <c r="AZ169" i="8"/>
  <c r="AX166" i="8"/>
  <c r="AR157" i="8"/>
  <c r="Q135" i="8"/>
  <c r="AY144" i="8"/>
  <c r="L198" i="8"/>
  <c r="AP162" i="8"/>
  <c r="AD210" i="8"/>
  <c r="AE244" i="8"/>
  <c r="Y175" i="8"/>
  <c r="AH158" i="8"/>
  <c r="P158" i="8"/>
  <c r="R166" i="8"/>
  <c r="AK165" i="8"/>
  <c r="S246" i="8"/>
  <c r="X259" i="8"/>
  <c r="Y229" i="8"/>
  <c r="Q259" i="8"/>
  <c r="U216" i="8"/>
  <c r="S244" i="8"/>
  <c r="AU215" i="8"/>
  <c r="AX170" i="8"/>
  <c r="AN160" i="8"/>
  <c r="AD137" i="8"/>
  <c r="T156" i="8"/>
  <c r="AO71" i="8"/>
  <c r="U237" i="8"/>
  <c r="AH205" i="8"/>
  <c r="AG244" i="8"/>
  <c r="AD226" i="8"/>
  <c r="AB205" i="8"/>
  <c r="V247" i="8"/>
  <c r="T138" i="8"/>
  <c r="T137" i="8"/>
  <c r="BB218" i="8"/>
  <c r="N215" i="8"/>
  <c r="N177" i="8"/>
  <c r="AN233" i="8"/>
  <c r="BA203" i="8"/>
  <c r="N224" i="8"/>
  <c r="AZ66" i="8"/>
  <c r="V242" i="8"/>
  <c r="H229" i="8"/>
  <c r="AU168" i="8"/>
  <c r="AT165" i="8"/>
  <c r="U252" i="8"/>
  <c r="AS245" i="8"/>
  <c r="AL244" i="8"/>
  <c r="Z237" i="8"/>
  <c r="H62" i="8"/>
  <c r="AE225" i="8"/>
  <c r="AE200" i="8"/>
  <c r="AC243" i="8"/>
  <c r="AO200" i="8"/>
  <c r="AJ231" i="8"/>
  <c r="AC242" i="8"/>
  <c r="O176" i="8"/>
  <c r="AV256" i="8"/>
  <c r="V226" i="8"/>
  <c r="AQ215" i="8"/>
  <c r="AH239" i="8"/>
  <c r="AM228" i="8"/>
  <c r="AS223" i="8"/>
  <c r="AH225" i="8"/>
  <c r="AB156" i="8"/>
  <c r="Z242" i="8"/>
  <c r="X69" i="8"/>
  <c r="AC71" i="8"/>
  <c r="I70" i="8"/>
  <c r="AW64" i="8"/>
  <c r="P206" i="8"/>
  <c r="K176" i="8"/>
  <c r="AG213" i="8"/>
  <c r="Q209" i="8"/>
  <c r="AN200" i="8"/>
  <c r="BA241" i="8"/>
  <c r="M162" i="8"/>
  <c r="V207" i="8"/>
  <c r="AV70" i="8"/>
  <c r="J75" i="8"/>
  <c r="O237" i="8"/>
  <c r="AC150" i="8"/>
  <c r="AA212" i="8"/>
  <c r="AP211" i="8"/>
  <c r="AB231" i="8"/>
  <c r="AA70" i="8"/>
  <c r="R211" i="8"/>
  <c r="U246" i="8"/>
  <c r="AM225" i="8"/>
  <c r="P245" i="8"/>
  <c r="R238" i="8"/>
  <c r="T237" i="8"/>
  <c r="BB244" i="8"/>
  <c r="Z166" i="8"/>
  <c r="N230" i="8"/>
  <c r="Y255" i="8"/>
  <c r="G217" i="8"/>
  <c r="U258" i="8"/>
  <c r="AA161" i="8"/>
  <c r="X144" i="8"/>
  <c r="Z159" i="8"/>
  <c r="I215" i="8"/>
  <c r="AO164" i="8"/>
  <c r="AF172" i="8"/>
  <c r="AR206" i="8"/>
  <c r="AL223" i="8"/>
  <c r="AQ226" i="8"/>
  <c r="BA177" i="8"/>
  <c r="F163" i="8"/>
  <c r="V218" i="8"/>
  <c r="R237" i="8"/>
  <c r="W176" i="8"/>
  <c r="AJ256" i="8"/>
  <c r="AG248" i="8"/>
  <c r="AF70" i="8"/>
  <c r="S247" i="8"/>
  <c r="AG158" i="8"/>
  <c r="W231" i="8"/>
  <c r="X170" i="8"/>
  <c r="AC67" i="8"/>
  <c r="BA259" i="8"/>
  <c r="I254" i="8"/>
  <c r="U70" i="8"/>
  <c r="H76" i="8"/>
  <c r="V253" i="8"/>
  <c r="V77" i="8"/>
  <c r="AT218" i="8"/>
  <c r="AQ237" i="8"/>
  <c r="AM255" i="8"/>
  <c r="AG67" i="8"/>
  <c r="S231" i="8"/>
  <c r="N214" i="8"/>
  <c r="BA234" i="8"/>
  <c r="AG226" i="8"/>
  <c r="AO173" i="8"/>
  <c r="AJ205" i="8"/>
  <c r="H222" i="8"/>
  <c r="AM218" i="8"/>
  <c r="AB204" i="8"/>
  <c r="AS173" i="8"/>
  <c r="AH160" i="8"/>
  <c r="N217" i="8"/>
  <c r="K208" i="8"/>
  <c r="AN165" i="8"/>
  <c r="AY240" i="8"/>
  <c r="M257" i="8"/>
  <c r="AD71" i="8"/>
  <c r="AO156" i="8"/>
  <c r="AK233" i="8"/>
  <c r="H257" i="8"/>
  <c r="P197" i="8"/>
  <c r="AZ178" i="8"/>
  <c r="AT232" i="8"/>
  <c r="AY227" i="8"/>
  <c r="AO248" i="8"/>
  <c r="AI214" i="8"/>
  <c r="AG229" i="8"/>
  <c r="U255" i="8"/>
  <c r="AH169" i="8"/>
  <c r="AN250" i="8"/>
  <c r="M241" i="8"/>
  <c r="F177" i="8"/>
  <c r="AV223" i="8"/>
  <c r="X61" i="8"/>
  <c r="F169" i="8"/>
  <c r="T250" i="8"/>
  <c r="AQ159" i="8"/>
  <c r="AM161" i="8"/>
  <c r="AZ239" i="8"/>
  <c r="BA156" i="8"/>
  <c r="AX198" i="8"/>
  <c r="AA234" i="8"/>
  <c r="I250" i="8"/>
  <c r="AE168" i="8"/>
  <c r="AU61" i="8"/>
  <c r="L195" i="8"/>
  <c r="AN255" i="8"/>
  <c r="Z173" i="8"/>
  <c r="AS147" i="8"/>
  <c r="N206" i="8"/>
  <c r="AE227" i="8"/>
  <c r="J237" i="8"/>
  <c r="G155" i="8"/>
  <c r="AI246" i="8"/>
  <c r="H223" i="8"/>
  <c r="Z167" i="8"/>
  <c r="AN197" i="8"/>
  <c r="Y158" i="8"/>
  <c r="AR245" i="8"/>
  <c r="I258" i="8"/>
  <c r="W239" i="8"/>
  <c r="AX248" i="8"/>
  <c r="AO67" i="8"/>
  <c r="S203" i="8"/>
  <c r="T172" i="8"/>
  <c r="AW254" i="8"/>
  <c r="AH229" i="8"/>
  <c r="AD249" i="8"/>
  <c r="AO66" i="8"/>
  <c r="AK251" i="8"/>
  <c r="AW222" i="8"/>
  <c r="I214" i="8"/>
  <c r="AR224" i="8"/>
  <c r="K225" i="8"/>
  <c r="O224" i="8"/>
  <c r="AX211" i="8"/>
  <c r="AW218" i="8"/>
  <c r="O241" i="8"/>
  <c r="AJ218" i="8"/>
  <c r="J242" i="8"/>
  <c r="AL229" i="8"/>
  <c r="AT222" i="8"/>
  <c r="O62" i="8"/>
  <c r="AC238" i="8"/>
  <c r="AV237" i="8"/>
  <c r="P64" i="8"/>
  <c r="N199" i="8"/>
  <c r="H253" i="8"/>
  <c r="J247" i="8"/>
  <c r="P250" i="8"/>
  <c r="AN240" i="8"/>
  <c r="AB64" i="8"/>
  <c r="AI176" i="8"/>
  <c r="I172" i="8"/>
  <c r="AY177" i="8"/>
  <c r="AX232" i="8"/>
  <c r="AU237" i="8"/>
  <c r="AP232" i="8"/>
  <c r="AS177" i="8"/>
  <c r="BA209" i="8"/>
  <c r="AD234" i="8"/>
  <c r="O70" i="8"/>
  <c r="AN230" i="8"/>
  <c r="AZ140" i="8"/>
  <c r="BA225" i="8"/>
  <c r="P199" i="8"/>
  <c r="AR257" i="8"/>
  <c r="U243" i="8"/>
  <c r="AJ252" i="8"/>
  <c r="AR246" i="8"/>
  <c r="L242" i="8"/>
  <c r="T245" i="8"/>
  <c r="Q248" i="8"/>
  <c r="AG173" i="8"/>
  <c r="AO197" i="8"/>
  <c r="M232" i="8"/>
  <c r="V221" i="8"/>
  <c r="V224" i="8"/>
  <c r="AV78" i="8"/>
  <c r="Q224" i="8"/>
  <c r="AC248" i="8"/>
  <c r="H165" i="8"/>
  <c r="AL163" i="8"/>
  <c r="AZ203" i="8"/>
  <c r="AJ176" i="8"/>
  <c r="G196" i="8"/>
  <c r="Z234" i="8"/>
  <c r="AH247" i="8"/>
  <c r="U158" i="8"/>
  <c r="AU161" i="8"/>
  <c r="AC210" i="8"/>
  <c r="AE234" i="8"/>
  <c r="AD254" i="8"/>
  <c r="AZ172" i="8"/>
  <c r="P164" i="8"/>
  <c r="AS214" i="8"/>
  <c r="BB69" i="8"/>
  <c r="Y224" i="8"/>
  <c r="L78" i="8"/>
  <c r="AA171" i="8"/>
  <c r="T257" i="8"/>
  <c r="Y157" i="8"/>
  <c r="AJ168" i="8"/>
  <c r="AR218" i="8"/>
  <c r="AF254" i="8"/>
  <c r="AP73" i="8"/>
  <c r="AK217" i="8"/>
  <c r="O259" i="8"/>
  <c r="J145" i="8"/>
  <c r="AT254" i="8"/>
  <c r="P170" i="8"/>
  <c r="G242" i="8"/>
  <c r="AL252" i="8"/>
  <c r="V241" i="8"/>
  <c r="S68" i="8"/>
  <c r="AD237" i="8"/>
  <c r="F222" i="8"/>
  <c r="AC229" i="8"/>
  <c r="AD208" i="8"/>
  <c r="M61" i="8"/>
  <c r="Q226" i="8"/>
  <c r="R227" i="8"/>
  <c r="AU225" i="8"/>
  <c r="X62" i="8"/>
  <c r="AX229" i="8"/>
  <c r="BC64" i="8"/>
  <c r="AE241" i="8"/>
  <c r="AT239" i="8"/>
  <c r="Z161" i="8"/>
  <c r="AV152" i="8"/>
  <c r="M218" i="8"/>
  <c r="AV206" i="8"/>
  <c r="AT227" i="8"/>
  <c r="AX246" i="8"/>
  <c r="AM253" i="8"/>
  <c r="F217" i="8"/>
  <c r="M62" i="8"/>
  <c r="AH257" i="8"/>
  <c r="AF205" i="8"/>
  <c r="L235" i="8"/>
  <c r="U233" i="8"/>
  <c r="Z169" i="8"/>
  <c r="M71" i="8"/>
  <c r="AI208" i="8"/>
  <c r="AI255" i="8"/>
  <c r="BC165" i="8"/>
  <c r="AE159" i="8"/>
  <c r="AG242" i="8"/>
  <c r="H78" i="8"/>
  <c r="AR160" i="8"/>
  <c r="S221" i="8"/>
  <c r="AM258" i="8"/>
  <c r="K250" i="8"/>
  <c r="AS240" i="8"/>
  <c r="AQ231" i="8"/>
  <c r="J232" i="8"/>
  <c r="AA72" i="8"/>
  <c r="AU62" i="8"/>
  <c r="AC206" i="8"/>
  <c r="G67" i="8"/>
  <c r="AX247" i="8"/>
  <c r="R214" i="8"/>
  <c r="BC249" i="8"/>
  <c r="AJ71" i="8"/>
  <c r="AD77" i="8"/>
  <c r="T211" i="8"/>
  <c r="G235" i="8"/>
  <c r="AB155" i="8"/>
  <c r="BA218" i="8"/>
  <c r="AM230" i="8"/>
  <c r="I227" i="8"/>
  <c r="AO257" i="8"/>
  <c r="H250" i="8"/>
  <c r="AA71" i="8"/>
  <c r="AB236" i="8"/>
  <c r="X76" i="8"/>
  <c r="V235" i="8"/>
  <c r="Z241" i="8"/>
  <c r="L254" i="8"/>
  <c r="BA224" i="8"/>
  <c r="AZ248" i="8"/>
  <c r="AF256" i="8"/>
  <c r="AM252" i="8"/>
  <c r="AY231" i="8"/>
  <c r="AQ253" i="8"/>
  <c r="T69" i="8"/>
  <c r="R235" i="8"/>
  <c r="AY172" i="8"/>
  <c r="AS68" i="8"/>
  <c r="Y243" i="8"/>
  <c r="N222" i="8"/>
  <c r="AV230" i="8"/>
  <c r="AR214" i="8"/>
  <c r="AO232" i="8"/>
  <c r="AF250" i="8"/>
  <c r="P210" i="8"/>
  <c r="AB248" i="8"/>
  <c r="AX205" i="8"/>
  <c r="G223" i="8"/>
  <c r="Q215" i="8"/>
  <c r="V257" i="8"/>
  <c r="AU249" i="8"/>
  <c r="BA61" i="8"/>
  <c r="S259" i="8"/>
  <c r="O255" i="8"/>
  <c r="AC253" i="8"/>
  <c r="AM174" i="8"/>
  <c r="AX259" i="8"/>
  <c r="V209" i="8"/>
  <c r="AV208" i="8"/>
  <c r="G259" i="8"/>
  <c r="O167" i="8"/>
  <c r="J206" i="8"/>
  <c r="AG245" i="8"/>
  <c r="Z240" i="8"/>
  <c r="J79" i="8"/>
  <c r="Q158" i="8"/>
  <c r="X244" i="8"/>
  <c r="L214" i="8"/>
  <c r="AB259" i="8"/>
  <c r="AQ259" i="8"/>
  <c r="L246" i="8"/>
  <c r="AM206" i="8"/>
  <c r="AD175" i="8"/>
  <c r="AI229" i="8"/>
  <c r="BB170" i="8"/>
  <c r="F155" i="8"/>
  <c r="J221" i="8"/>
  <c r="N175" i="8"/>
  <c r="AS62" i="8"/>
  <c r="I68" i="8"/>
  <c r="U197" i="8"/>
  <c r="AV71" i="8"/>
  <c r="P229" i="8"/>
  <c r="R157" i="8"/>
  <c r="AM63" i="8"/>
  <c r="AD255" i="8"/>
  <c r="AS238" i="8"/>
  <c r="BB64" i="8"/>
  <c r="AL222" i="8"/>
  <c r="O72" i="8"/>
  <c r="AR212" i="8"/>
  <c r="K69" i="8"/>
  <c r="AW257" i="8"/>
  <c r="Z247" i="8"/>
  <c r="AO243" i="8"/>
  <c r="P172" i="8"/>
  <c r="F241" i="8"/>
  <c r="AD72" i="8"/>
  <c r="L234" i="8"/>
  <c r="AT259" i="8"/>
  <c r="AN144" i="8"/>
  <c r="AW238" i="8"/>
  <c r="O67" i="8"/>
  <c r="AH224" i="8"/>
  <c r="AP249" i="8"/>
  <c r="V234" i="8"/>
  <c r="AY258" i="8"/>
  <c r="BC63" i="8"/>
  <c r="P218" i="8"/>
  <c r="AZ215" i="8"/>
  <c r="BC157" i="8"/>
  <c r="BA251" i="8"/>
  <c r="AT203" i="8"/>
  <c r="I226" i="8"/>
  <c r="X218" i="8"/>
  <c r="N239" i="8"/>
  <c r="AY252" i="8"/>
  <c r="AM245" i="8"/>
  <c r="U68" i="8"/>
  <c r="AJ229" i="8"/>
  <c r="AP205" i="8"/>
  <c r="T64" i="8"/>
  <c r="U236" i="8"/>
  <c r="R221" i="8"/>
  <c r="AV253" i="8"/>
  <c r="AJ239" i="8"/>
  <c r="T223" i="8"/>
  <c r="Y232" i="8"/>
  <c r="G249" i="8"/>
  <c r="AK199" i="8"/>
  <c r="AP217" i="8"/>
  <c r="AK244" i="8"/>
  <c r="AF161" i="8"/>
  <c r="AS242" i="8"/>
  <c r="P257" i="8"/>
  <c r="AV197" i="8"/>
  <c r="Q68" i="8"/>
  <c r="I243" i="8"/>
  <c r="AD230" i="8"/>
  <c r="H174" i="8"/>
  <c r="R66" i="8"/>
  <c r="AK70" i="8"/>
  <c r="AM223" i="8"/>
  <c r="AL254" i="8"/>
  <c r="AK224" i="8"/>
  <c r="K222" i="8"/>
  <c r="W252" i="8"/>
  <c r="AC234" i="8"/>
  <c r="AD207" i="8"/>
  <c r="AF247" i="8"/>
  <c r="T244" i="8"/>
  <c r="AV240" i="8"/>
  <c r="X229" i="8"/>
  <c r="AH62" i="8"/>
  <c r="AH248" i="8"/>
  <c r="AN256" i="8"/>
  <c r="BB258" i="8"/>
  <c r="R236" i="8"/>
  <c r="V238" i="8"/>
  <c r="AW246" i="8"/>
  <c r="G213" i="8"/>
  <c r="Z73" i="8"/>
  <c r="AN254" i="8"/>
  <c r="AB157" i="8"/>
  <c r="AT229" i="8"/>
  <c r="AS236" i="8"/>
  <c r="AL259" i="8"/>
  <c r="AT68" i="8"/>
  <c r="AF249" i="8"/>
  <c r="Z257" i="8"/>
  <c r="BC237" i="8"/>
  <c r="AU254" i="8"/>
  <c r="BB225" i="8"/>
  <c r="AU212" i="8"/>
  <c r="X224" i="8"/>
  <c r="AW240" i="8"/>
  <c r="AF74" i="8"/>
  <c r="L222" i="8"/>
  <c r="F75" i="8"/>
  <c r="H251" i="8"/>
  <c r="AY228" i="8"/>
  <c r="AA204" i="8"/>
  <c r="AE61" i="8"/>
  <c r="AI245" i="8"/>
  <c r="AP62" i="8"/>
  <c r="V166" i="8"/>
  <c r="AQ69" i="8"/>
  <c r="T232" i="8"/>
  <c r="AP243" i="8"/>
  <c r="AI67" i="8"/>
  <c r="T61" i="8"/>
  <c r="X232" i="8"/>
  <c r="X235" i="8"/>
  <c r="Q62" i="8"/>
  <c r="AQ214" i="8"/>
  <c r="AH245" i="8"/>
  <c r="Z233" i="8"/>
  <c r="AI226" i="8"/>
  <c r="X254" i="8"/>
  <c r="Z158" i="8"/>
  <c r="V72" i="8"/>
  <c r="BA64" i="8"/>
  <c r="AG238" i="8"/>
  <c r="AS234" i="8"/>
  <c r="Z209" i="8"/>
  <c r="AW226" i="8"/>
  <c r="AJ245" i="8"/>
  <c r="BA213" i="8"/>
  <c r="J62" i="8"/>
  <c r="G159" i="8"/>
  <c r="L256" i="8"/>
  <c r="F66" i="8"/>
  <c r="BB259" i="8"/>
  <c r="J213" i="8"/>
  <c r="AV238" i="8"/>
  <c r="AA233" i="8"/>
  <c r="AF225" i="8"/>
  <c r="BB215" i="8"/>
  <c r="P247" i="8"/>
  <c r="S257" i="8"/>
  <c r="O248" i="8"/>
  <c r="AU256" i="8"/>
  <c r="M177" i="8"/>
  <c r="AO247" i="8"/>
  <c r="P253" i="8"/>
  <c r="AN244" i="8"/>
  <c r="AE231" i="8"/>
  <c r="BA248" i="8"/>
  <c r="AX224" i="8"/>
  <c r="AE213" i="8"/>
  <c r="AZ170" i="8"/>
  <c r="S255" i="8"/>
  <c r="AA226" i="8"/>
  <c r="G239" i="8"/>
  <c r="AQ221" i="8"/>
  <c r="AZ255" i="8"/>
  <c r="AI169" i="8"/>
  <c r="AX245" i="8"/>
  <c r="AM234" i="8"/>
  <c r="AV62" i="8"/>
  <c r="Y213" i="8"/>
  <c r="AG240" i="8"/>
  <c r="T227" i="8"/>
  <c r="T67" i="8"/>
  <c r="AN226" i="8"/>
  <c r="AC241" i="8"/>
  <c r="AP247" i="8"/>
  <c r="J66" i="8"/>
  <c r="AT226" i="8"/>
  <c r="T240" i="8"/>
  <c r="U64" i="8"/>
  <c r="AM221" i="8"/>
  <c r="AL61" i="8"/>
  <c r="V73" i="8"/>
  <c r="AR222" i="8"/>
  <c r="AR248" i="8"/>
  <c r="AA238" i="8"/>
  <c r="AG243" i="8"/>
  <c r="BB239" i="8"/>
  <c r="AF240" i="8"/>
  <c r="U224" i="8"/>
  <c r="AH64" i="8"/>
  <c r="AS228" i="8"/>
  <c r="AL251" i="8"/>
  <c r="N253" i="8"/>
  <c r="R204" i="8"/>
  <c r="T204" i="8"/>
  <c r="J199" i="8"/>
  <c r="L61" i="8"/>
  <c r="G253" i="8"/>
  <c r="AQ222" i="8"/>
  <c r="BA237" i="8"/>
  <c r="AU259" i="8"/>
  <c r="AB255" i="8"/>
  <c r="G240" i="8"/>
  <c r="AC245" i="8"/>
  <c r="AA257" i="8"/>
  <c r="N254" i="8"/>
  <c r="H64" i="8"/>
  <c r="AM66" i="8"/>
  <c r="AI247" i="8"/>
  <c r="AP207" i="8"/>
  <c r="AV228" i="8"/>
  <c r="Y252" i="8"/>
  <c r="AU244" i="8"/>
  <c r="AB150" i="8"/>
  <c r="AP171" i="8"/>
  <c r="Z225" i="8"/>
  <c r="AF242" i="8"/>
  <c r="S254" i="8"/>
  <c r="L238" i="8"/>
  <c r="AL205" i="8"/>
  <c r="AV212" i="8"/>
  <c r="AO62" i="8"/>
  <c r="AJ234" i="8"/>
  <c r="AQ63" i="8"/>
  <c r="AH243" i="8"/>
  <c r="AK255" i="8"/>
  <c r="AU216" i="8"/>
  <c r="AR172" i="8"/>
  <c r="AS205" i="8"/>
  <c r="AM257" i="8"/>
  <c r="AV234" i="8"/>
  <c r="AM237" i="8"/>
  <c r="AP256" i="8"/>
  <c r="AO195" i="8"/>
  <c r="AV216" i="8"/>
  <c r="AT207" i="8"/>
  <c r="AI258" i="8"/>
  <c r="P242" i="8"/>
  <c r="N247" i="8"/>
  <c r="J158" i="8"/>
  <c r="AK221" i="8"/>
  <c r="X221" i="8"/>
  <c r="Q239" i="8"/>
  <c r="F127" i="8"/>
  <c r="F116" i="8"/>
  <c r="F100" i="8"/>
  <c r="F112" i="8"/>
  <c r="F92" i="8"/>
  <c r="F113" i="8"/>
  <c r="F101" i="8"/>
  <c r="F260" i="8"/>
  <c r="F111" i="8"/>
  <c r="F186" i="8"/>
  <c r="F110" i="8"/>
  <c r="F117" i="8"/>
  <c r="F189" i="8"/>
  <c r="F83" i="8"/>
  <c r="F85" i="8"/>
  <c r="F84" i="8"/>
  <c r="AC127" i="8"/>
  <c r="BC65" i="8"/>
  <c r="AN127" i="8"/>
  <c r="AY128" i="8"/>
  <c r="J123" i="8"/>
  <c r="AK128" i="8"/>
  <c r="M123" i="8"/>
  <c r="BB129" i="8"/>
  <c r="O127" i="8"/>
  <c r="AW127" i="8"/>
  <c r="H65" i="8"/>
  <c r="BB128" i="8"/>
  <c r="AY123" i="8"/>
  <c r="BC127" i="8"/>
  <c r="AW65" i="8"/>
  <c r="S128" i="8"/>
  <c r="AI129" i="8"/>
  <c r="AD129" i="8"/>
  <c r="X128" i="8"/>
  <c r="T123" i="8"/>
  <c r="AZ123" i="8"/>
  <c r="AM127" i="8"/>
  <c r="AA65" i="8"/>
  <c r="AR140" i="8"/>
  <c r="V216" i="8"/>
  <c r="F170" i="8"/>
  <c r="R154" i="8"/>
  <c r="AJ143" i="8"/>
  <c r="AK198" i="8"/>
  <c r="AP198" i="8"/>
  <c r="AL240" i="8"/>
  <c r="AM145" i="8"/>
  <c r="AC227" i="8"/>
  <c r="AA136" i="8"/>
  <c r="Q156" i="8"/>
  <c r="AH157" i="8"/>
  <c r="R162" i="8"/>
  <c r="Q161" i="8"/>
  <c r="AD130" i="8"/>
  <c r="R173" i="8"/>
  <c r="O199" i="8"/>
  <c r="I175" i="8"/>
  <c r="AE162" i="8"/>
  <c r="O172" i="8"/>
  <c r="BA232" i="8"/>
  <c r="AU236" i="8"/>
  <c r="S258" i="8"/>
  <c r="AW199" i="8"/>
  <c r="AE236" i="8"/>
  <c r="AE240" i="8"/>
  <c r="AE72" i="8"/>
  <c r="AS199" i="8"/>
  <c r="H212" i="8"/>
  <c r="Z238" i="8"/>
  <c r="AM236" i="8"/>
  <c r="AF209" i="8"/>
  <c r="H221" i="8"/>
  <c r="V174" i="8"/>
  <c r="AG160" i="8"/>
  <c r="AS258" i="8"/>
  <c r="R226" i="8"/>
  <c r="I69" i="8"/>
  <c r="Z214" i="8"/>
  <c r="J196" i="8"/>
  <c r="W250" i="8"/>
  <c r="AY238" i="8"/>
  <c r="AL73" i="8"/>
  <c r="AF66" i="8"/>
  <c r="AU228" i="8"/>
  <c r="BC174" i="8"/>
  <c r="AI204" i="8"/>
  <c r="AR174" i="8"/>
  <c r="H207" i="8"/>
  <c r="Y207" i="8"/>
  <c r="AK211" i="8"/>
  <c r="K224" i="8"/>
  <c r="AW247" i="8"/>
  <c r="F254" i="8"/>
  <c r="AU248" i="8"/>
  <c r="AA178" i="8"/>
  <c r="J254" i="8"/>
  <c r="R231" i="8"/>
  <c r="P63" i="8"/>
  <c r="AN178" i="8"/>
  <c r="AP66" i="8"/>
  <c r="AY216" i="8"/>
  <c r="AY226" i="8"/>
  <c r="AX203" i="8"/>
  <c r="AB174" i="8"/>
  <c r="U234" i="8"/>
  <c r="AZ259" i="8"/>
  <c r="W155" i="8"/>
  <c r="X250" i="8"/>
  <c r="BA240" i="8"/>
  <c r="I176" i="8"/>
  <c r="AW66" i="8"/>
  <c r="AM216" i="8"/>
  <c r="V237" i="8"/>
  <c r="AN236" i="8"/>
  <c r="AH227" i="8"/>
  <c r="G157" i="8"/>
  <c r="O227" i="8"/>
  <c r="AI206" i="8"/>
  <c r="AT200" i="8"/>
  <c r="AO223" i="8"/>
  <c r="BA173" i="8"/>
  <c r="AL214" i="8"/>
  <c r="K178" i="8"/>
  <c r="H248" i="8"/>
  <c r="L221" i="8"/>
  <c r="AU224" i="8"/>
  <c r="BA200" i="8"/>
  <c r="O230" i="8"/>
  <c r="AV196" i="8"/>
  <c r="AV172" i="8"/>
  <c r="AU159" i="8"/>
  <c r="AE251" i="8"/>
  <c r="L67" i="8"/>
  <c r="AW228" i="8"/>
  <c r="T249" i="8"/>
  <c r="J230" i="8"/>
  <c r="AJ235" i="8"/>
  <c r="J164" i="8"/>
  <c r="M214" i="8"/>
  <c r="AL210" i="8"/>
  <c r="AG214" i="8"/>
  <c r="AA210" i="8"/>
  <c r="H210" i="8"/>
  <c r="AX209" i="8"/>
  <c r="AE214" i="8"/>
  <c r="AO253" i="8"/>
  <c r="AB226" i="8"/>
  <c r="T259" i="8"/>
  <c r="N246" i="8"/>
  <c r="AG222" i="8"/>
  <c r="P209" i="8"/>
  <c r="S69" i="8"/>
  <c r="AA177" i="8"/>
  <c r="N172" i="8"/>
  <c r="AP218" i="8"/>
  <c r="N252" i="8"/>
  <c r="R239" i="8"/>
  <c r="Y258" i="8"/>
  <c r="L200" i="8"/>
  <c r="Q246" i="8"/>
  <c r="W233" i="8"/>
  <c r="J250" i="8"/>
  <c r="AK253" i="8"/>
  <c r="AO259" i="8"/>
  <c r="BC66" i="8"/>
  <c r="BC208" i="8"/>
  <c r="AC218" i="8"/>
  <c r="AO249" i="8"/>
  <c r="BC229" i="8"/>
  <c r="G250" i="8"/>
  <c r="Y228" i="8"/>
  <c r="AB232" i="8"/>
  <c r="AY165" i="8"/>
  <c r="AW160" i="8"/>
  <c r="S67" i="8"/>
  <c r="AV226" i="8"/>
  <c r="AC66" i="8"/>
  <c r="V177" i="8"/>
  <c r="BC252" i="8"/>
  <c r="AT215" i="8"/>
  <c r="M224" i="8"/>
  <c r="Q255" i="8"/>
  <c r="AM235" i="8"/>
  <c r="AM250" i="8"/>
  <c r="N256" i="8"/>
  <c r="AW223" i="8"/>
  <c r="H235" i="8"/>
  <c r="AF253" i="8"/>
  <c r="AK164" i="8"/>
  <c r="Y242" i="8"/>
  <c r="AS226" i="8"/>
  <c r="P205" i="8"/>
  <c r="BC251" i="8"/>
  <c r="AC166" i="8"/>
  <c r="AN151" i="8"/>
  <c r="G225" i="8"/>
  <c r="AA242" i="8"/>
  <c r="Z203" i="8"/>
  <c r="AG236" i="8"/>
  <c r="M258" i="8"/>
  <c r="AR251" i="8"/>
  <c r="K213" i="8"/>
  <c r="H152" i="8"/>
  <c r="AF243" i="8"/>
  <c r="I161" i="8"/>
  <c r="Y160" i="8"/>
  <c r="BC232" i="8"/>
  <c r="AR62" i="8"/>
  <c r="AB243" i="8"/>
  <c r="K206" i="8"/>
  <c r="X252" i="8"/>
  <c r="I150" i="8"/>
  <c r="I217" i="8"/>
  <c r="AI178" i="8"/>
  <c r="AW173" i="8"/>
  <c r="AL171" i="8"/>
  <c r="BA255" i="8"/>
  <c r="W229" i="8"/>
  <c r="AM200" i="8"/>
  <c r="AE161" i="8"/>
  <c r="AD236" i="8"/>
  <c r="W256" i="8"/>
  <c r="AN235" i="8"/>
  <c r="BB212" i="8"/>
  <c r="AY242" i="8"/>
  <c r="AN218" i="8"/>
  <c r="AL215" i="8"/>
  <c r="BB70" i="8"/>
  <c r="AO221" i="8"/>
  <c r="G214" i="8"/>
  <c r="J208" i="8"/>
  <c r="AG215" i="8"/>
  <c r="L223" i="8"/>
  <c r="K212" i="8"/>
  <c r="P62" i="8"/>
  <c r="S248" i="8"/>
  <c r="Q257" i="8"/>
  <c r="W200" i="8"/>
  <c r="AL160" i="8"/>
  <c r="S218" i="8"/>
  <c r="K215" i="8"/>
  <c r="AZ195" i="8"/>
  <c r="AN224" i="8"/>
  <c r="AS218" i="8"/>
  <c r="AT167" i="8"/>
  <c r="Z231" i="8"/>
  <c r="AP246" i="8"/>
  <c r="L251" i="8"/>
  <c r="BC241" i="8"/>
  <c r="AG231" i="8"/>
  <c r="K217" i="8"/>
  <c r="AU257" i="8"/>
  <c r="AW70" i="8"/>
  <c r="S239" i="8"/>
  <c r="AB213" i="8"/>
  <c r="U250" i="8"/>
  <c r="U230" i="8"/>
  <c r="AG230" i="8"/>
  <c r="AN210" i="8"/>
  <c r="AY208" i="8"/>
  <c r="K63" i="8"/>
  <c r="AE178" i="8"/>
  <c r="AA218" i="8"/>
  <c r="AJ214" i="8"/>
  <c r="Y244" i="8"/>
  <c r="AU246" i="8"/>
  <c r="AJ223" i="8"/>
  <c r="AQ212" i="8"/>
  <c r="AG237" i="8"/>
  <c r="V161" i="8"/>
  <c r="S161" i="8"/>
  <c r="AU239" i="8"/>
  <c r="X160" i="8"/>
  <c r="BC62" i="8"/>
  <c r="M231" i="8"/>
  <c r="AT233" i="8"/>
  <c r="O251" i="8"/>
  <c r="AT231" i="8"/>
  <c r="AT209" i="8"/>
  <c r="U178" i="8"/>
  <c r="AR216" i="8"/>
  <c r="J256" i="8"/>
  <c r="AY69" i="8"/>
  <c r="O253" i="8"/>
  <c r="AA258" i="8"/>
  <c r="AH251" i="8"/>
  <c r="BB245" i="8"/>
  <c r="AF175" i="8"/>
  <c r="AY176" i="8"/>
  <c r="I224" i="8"/>
  <c r="AF214" i="8"/>
  <c r="AP248" i="8"/>
  <c r="Z172" i="8"/>
  <c r="AC63" i="8"/>
  <c r="AJ228" i="8"/>
  <c r="Y214" i="8"/>
  <c r="BB172" i="8"/>
  <c r="AJ253" i="8"/>
  <c r="AZ243" i="8"/>
  <c r="H208" i="8"/>
  <c r="R165" i="8"/>
  <c r="AS259" i="8"/>
  <c r="L64" i="8"/>
  <c r="X242" i="8"/>
  <c r="M250" i="8"/>
  <c r="AD206" i="8"/>
  <c r="Q245" i="8"/>
  <c r="AM176" i="8"/>
  <c r="O126" i="8"/>
  <c r="AA252" i="8"/>
  <c r="AN214" i="8"/>
  <c r="BA258" i="8"/>
  <c r="Q207" i="8"/>
  <c r="AL207" i="8"/>
  <c r="AH226" i="8"/>
  <c r="BB158" i="8"/>
  <c r="H209" i="8"/>
  <c r="W240" i="8"/>
  <c r="AW209" i="8"/>
  <c r="X210" i="8"/>
  <c r="Q250" i="8"/>
  <c r="AO231" i="8"/>
  <c r="I255" i="8"/>
  <c r="AQ170" i="8"/>
  <c r="AH217" i="8"/>
  <c r="M203" i="8"/>
  <c r="AI198" i="8"/>
  <c r="BC227" i="8"/>
  <c r="AL63" i="8"/>
  <c r="BB204" i="8"/>
  <c r="O239" i="8"/>
  <c r="X200" i="8"/>
  <c r="AX237" i="8"/>
  <c r="AD239" i="8"/>
  <c r="J64" i="8"/>
  <c r="AF207" i="8"/>
  <c r="AB233" i="8"/>
  <c r="AJ204" i="8"/>
  <c r="AO70" i="8"/>
  <c r="AJ208" i="8"/>
  <c r="AK232" i="8"/>
  <c r="AD258" i="8"/>
  <c r="AW224" i="8"/>
  <c r="AL169" i="8"/>
  <c r="F204" i="8"/>
  <c r="I63" i="8"/>
  <c r="AL68" i="8"/>
  <c r="AO252" i="8"/>
  <c r="AQ223" i="8"/>
  <c r="Q169" i="8"/>
  <c r="T66" i="8"/>
  <c r="AH253" i="8"/>
  <c r="AU174" i="8"/>
  <c r="AV158" i="8"/>
  <c r="BA247" i="8"/>
  <c r="AB227" i="8"/>
  <c r="X168" i="8"/>
  <c r="V222" i="8"/>
  <c r="AX195" i="8"/>
  <c r="M225" i="8"/>
  <c r="F73" i="8"/>
  <c r="AJ247" i="8"/>
  <c r="J63" i="8"/>
  <c r="AZ210" i="8"/>
  <c r="AB214" i="8"/>
  <c r="AZ70" i="8"/>
  <c r="AI241" i="8"/>
  <c r="W223" i="8"/>
  <c r="AL200" i="8"/>
  <c r="AJ226" i="8"/>
  <c r="AA247" i="8"/>
  <c r="R253" i="8"/>
  <c r="G70" i="8"/>
  <c r="AL70" i="8"/>
  <c r="AZ214" i="8"/>
  <c r="AG70" i="8"/>
  <c r="O216" i="8"/>
  <c r="AB222" i="8"/>
  <c r="O61" i="8"/>
  <c r="Q256" i="8"/>
  <c r="BB213" i="8"/>
  <c r="P246" i="8"/>
  <c r="V250" i="8"/>
  <c r="Z66" i="8"/>
  <c r="P207" i="8"/>
  <c r="S230" i="8"/>
  <c r="H236" i="8"/>
  <c r="AU176" i="8"/>
  <c r="M249" i="8"/>
  <c r="AK258" i="8"/>
  <c r="AW234" i="8"/>
  <c r="AW169" i="8"/>
  <c r="I234" i="8"/>
  <c r="AX233" i="8"/>
  <c r="AH63" i="8"/>
  <c r="N197" i="8"/>
  <c r="Z215" i="8"/>
  <c r="Y69" i="8"/>
  <c r="BC217" i="8"/>
  <c r="AJ242" i="8"/>
  <c r="AD247" i="8"/>
  <c r="R233" i="8"/>
  <c r="W72" i="8"/>
  <c r="AH68" i="8"/>
  <c r="O233" i="8"/>
  <c r="AI200" i="8"/>
  <c r="AW232" i="8"/>
  <c r="Z210" i="8"/>
  <c r="F246" i="8"/>
  <c r="L244" i="8"/>
  <c r="AG234" i="8"/>
  <c r="X214" i="8"/>
  <c r="K210" i="8"/>
  <c r="AX61" i="8"/>
  <c r="BA229" i="8"/>
  <c r="AZ250" i="8"/>
  <c r="AZ64" i="8"/>
  <c r="AY212" i="8"/>
  <c r="H230" i="8"/>
  <c r="AA251" i="8"/>
  <c r="AJ250" i="8"/>
  <c r="AL247" i="8"/>
  <c r="AZ240" i="8"/>
  <c r="U62" i="8"/>
  <c r="M229" i="8"/>
  <c r="J68" i="8"/>
  <c r="AM198" i="8"/>
  <c r="U199" i="8"/>
  <c r="AS248" i="8"/>
  <c r="AR259" i="8"/>
  <c r="AA250" i="8"/>
  <c r="AA155" i="8"/>
  <c r="AO242" i="8"/>
  <c r="Z177" i="8"/>
  <c r="R249" i="8"/>
  <c r="AM233" i="8"/>
  <c r="AE254" i="8"/>
  <c r="V64" i="8"/>
  <c r="AC64" i="8"/>
  <c r="AA63" i="8"/>
  <c r="G231" i="8"/>
  <c r="AA214" i="8"/>
  <c r="H244" i="8"/>
  <c r="AD257" i="8"/>
  <c r="R67" i="8"/>
  <c r="AM256" i="8"/>
  <c r="Y211" i="8"/>
  <c r="U254" i="8"/>
  <c r="AU227" i="8"/>
  <c r="AH235" i="8"/>
  <c r="AR254" i="8"/>
  <c r="V244" i="8"/>
  <c r="Z70" i="8"/>
  <c r="V255" i="8"/>
  <c r="T252" i="8"/>
  <c r="AC214" i="8"/>
  <c r="Y68" i="8"/>
  <c r="AR233" i="8"/>
  <c r="K232" i="8"/>
  <c r="BA171" i="8"/>
  <c r="K70" i="8"/>
  <c r="AE229" i="8"/>
  <c r="S234" i="8"/>
  <c r="AP223" i="8"/>
  <c r="AY255" i="8"/>
  <c r="O235" i="8"/>
  <c r="V229" i="8"/>
  <c r="AT67" i="8"/>
  <c r="W206" i="8"/>
  <c r="AV244" i="8"/>
  <c r="AL245" i="8"/>
  <c r="BA253" i="8"/>
  <c r="BA230" i="8"/>
  <c r="T206" i="8"/>
  <c r="AB63" i="8"/>
  <c r="K152" i="8"/>
  <c r="AD165" i="8"/>
  <c r="P156" i="8"/>
  <c r="BA69" i="8"/>
  <c r="AE235" i="8"/>
  <c r="AB207" i="8"/>
  <c r="AJ248" i="8"/>
  <c r="AZ223" i="8"/>
  <c r="AV74" i="8"/>
  <c r="Y154" i="8"/>
  <c r="M64" i="8"/>
  <c r="F79" i="8"/>
  <c r="AF248" i="8"/>
  <c r="T63" i="8"/>
  <c r="AY229" i="8"/>
  <c r="AC217" i="8"/>
  <c r="AU223" i="8"/>
  <c r="G215" i="8"/>
  <c r="AM251" i="8"/>
  <c r="Q69" i="8"/>
  <c r="AS230" i="8"/>
  <c r="T216" i="8"/>
  <c r="AC216" i="8"/>
  <c r="AQ233" i="8"/>
  <c r="Q231" i="8"/>
  <c r="P232" i="8"/>
  <c r="AV211" i="8"/>
  <c r="AW62" i="8"/>
  <c r="G226" i="8"/>
  <c r="AD216" i="8"/>
  <c r="AH168" i="8"/>
  <c r="U175" i="8"/>
  <c r="P212" i="8"/>
  <c r="Q177" i="8"/>
  <c r="J223" i="8"/>
  <c r="AZ204" i="8"/>
  <c r="L68" i="8"/>
  <c r="AR230" i="8"/>
  <c r="G252" i="8"/>
  <c r="AL227" i="8"/>
  <c r="F251" i="8"/>
  <c r="Q243" i="8"/>
  <c r="AW256" i="8"/>
  <c r="AI256" i="8"/>
  <c r="V171" i="8"/>
  <c r="F258" i="8"/>
  <c r="AC70" i="8"/>
  <c r="AH71" i="8"/>
  <c r="AD238" i="8"/>
  <c r="J67" i="8"/>
  <c r="Q63" i="8"/>
  <c r="M248" i="8"/>
  <c r="L66" i="8"/>
  <c r="F249" i="8"/>
  <c r="AF237" i="8"/>
  <c r="BC215" i="8"/>
  <c r="AS70" i="8"/>
  <c r="AY63" i="8"/>
  <c r="AT206" i="8"/>
  <c r="X237" i="8"/>
  <c r="K226" i="8"/>
  <c r="AT156" i="8"/>
  <c r="AR258" i="8"/>
  <c r="Y67" i="8"/>
  <c r="P217" i="8"/>
  <c r="AB238" i="8"/>
  <c r="BB217" i="8"/>
  <c r="Q228" i="8"/>
  <c r="AR244" i="8"/>
  <c r="H237" i="8"/>
  <c r="X248" i="8"/>
  <c r="M246" i="8"/>
  <c r="Z61" i="8"/>
  <c r="Z255" i="8"/>
  <c r="P258" i="8"/>
  <c r="U213" i="8"/>
  <c r="H227" i="8"/>
  <c r="P214" i="8"/>
  <c r="AL253" i="8"/>
  <c r="V214" i="8"/>
  <c r="AE243" i="8"/>
  <c r="AB234" i="8"/>
  <c r="AO234" i="8"/>
  <c r="AB249" i="8"/>
  <c r="H232" i="8"/>
  <c r="F195" i="8"/>
  <c r="AC256" i="8"/>
  <c r="BA166" i="8"/>
  <c r="AO235" i="8"/>
  <c r="S72" i="8"/>
  <c r="AL243" i="8"/>
  <c r="AQ243" i="8"/>
  <c r="AZ200" i="8"/>
  <c r="BC223" i="8"/>
  <c r="AC250" i="8"/>
  <c r="BB169" i="8"/>
  <c r="V249" i="8"/>
  <c r="W64" i="8"/>
  <c r="J159" i="8"/>
  <c r="Q67" i="8"/>
  <c r="K234" i="8"/>
  <c r="I244" i="8"/>
  <c r="AT221" i="8"/>
  <c r="AO230" i="8"/>
  <c r="W227" i="8"/>
  <c r="AK173" i="8"/>
  <c r="Z68" i="8"/>
  <c r="L209" i="8"/>
  <c r="AF212" i="8"/>
  <c r="AB216" i="8"/>
  <c r="K251" i="8"/>
  <c r="AV214" i="8"/>
  <c r="F237" i="8"/>
  <c r="X209" i="8"/>
  <c r="AF233" i="8"/>
  <c r="AF234" i="8"/>
  <c r="AM155" i="8"/>
  <c r="AG246" i="8"/>
  <c r="AB253" i="8"/>
  <c r="K247" i="8"/>
  <c r="X238" i="8"/>
  <c r="N173" i="8"/>
  <c r="AN245" i="8"/>
  <c r="AZ236" i="8"/>
  <c r="I216" i="8"/>
  <c r="AB258" i="8"/>
  <c r="AP253" i="8"/>
  <c r="U217" i="8"/>
  <c r="X222" i="8"/>
  <c r="AG224" i="8"/>
  <c r="AL233" i="8"/>
  <c r="AV198" i="8"/>
  <c r="R255" i="8"/>
  <c r="AP236" i="8"/>
  <c r="Z223" i="8"/>
  <c r="AV215" i="8"/>
  <c r="V211" i="8"/>
  <c r="AI257" i="8"/>
  <c r="AF67" i="8"/>
  <c r="AQ172" i="8"/>
  <c r="P74" i="8"/>
  <c r="W247" i="8"/>
  <c r="O217" i="8"/>
  <c r="AK170" i="8"/>
  <c r="L236" i="8"/>
  <c r="S215" i="8"/>
  <c r="AC244" i="8"/>
  <c r="AA254" i="8"/>
  <c r="R155" i="8"/>
  <c r="R163" i="8"/>
  <c r="AP156" i="8"/>
  <c r="W237" i="8"/>
  <c r="AS255" i="8"/>
  <c r="G63" i="8"/>
  <c r="Y177" i="8"/>
  <c r="AK249" i="8"/>
  <c r="BA212" i="8"/>
  <c r="AF198" i="8"/>
  <c r="AN225" i="8"/>
  <c r="AI225" i="8"/>
  <c r="BA207" i="8"/>
  <c r="AE256" i="8"/>
  <c r="U235" i="8"/>
  <c r="O243" i="8"/>
  <c r="N77" i="8"/>
  <c r="S237" i="8"/>
  <c r="R230" i="8"/>
  <c r="G71" i="8"/>
  <c r="AH196" i="8"/>
  <c r="AG255" i="8"/>
  <c r="O215" i="8"/>
  <c r="W61" i="8"/>
  <c r="BB210" i="8"/>
  <c r="AA223" i="8"/>
  <c r="AK230" i="8"/>
  <c r="Z227" i="8"/>
  <c r="W216" i="8"/>
  <c r="BC198" i="8"/>
  <c r="AZ156" i="8"/>
  <c r="P76" i="8"/>
  <c r="AU243" i="8"/>
  <c r="M242" i="8"/>
  <c r="AM67" i="8"/>
  <c r="M244" i="8"/>
  <c r="W221" i="8"/>
  <c r="T78" i="8"/>
  <c r="AF206" i="8"/>
  <c r="I256" i="8"/>
  <c r="AZ71" i="8"/>
  <c r="F205" i="8"/>
  <c r="U248" i="8"/>
  <c r="K170" i="8"/>
  <c r="AE245" i="8"/>
  <c r="AJ76" i="8"/>
  <c r="AY243" i="8"/>
  <c r="BB199" i="8"/>
  <c r="H170" i="8"/>
  <c r="AN223" i="8"/>
  <c r="AV258" i="8"/>
  <c r="G61" i="8"/>
  <c r="BB222" i="8"/>
  <c r="N71" i="8"/>
  <c r="R247" i="8"/>
  <c r="AA231" i="8"/>
  <c r="AR225" i="8"/>
  <c r="J177" i="8"/>
  <c r="F128" i="8"/>
  <c r="F89" i="8"/>
  <c r="F90" i="8"/>
  <c r="F185" i="8"/>
  <c r="F115" i="8"/>
  <c r="F95" i="8"/>
  <c r="F118" i="8"/>
  <c r="F179" i="8"/>
  <c r="F180" i="8"/>
  <c r="F182" i="8"/>
  <c r="F107" i="8"/>
  <c r="F103" i="8"/>
  <c r="F192" i="8"/>
  <c r="F81" i="8"/>
  <c r="F82" i="8"/>
  <c r="F193" i="8"/>
  <c r="AU127" i="8"/>
  <c r="AK127" i="8"/>
  <c r="AE65" i="8"/>
  <c r="AP128" i="8"/>
  <c r="R129" i="8"/>
  <c r="BC128" i="8"/>
  <c r="AD123" i="8"/>
  <c r="T129" i="8"/>
  <c r="AT65" i="8"/>
  <c r="X127" i="8"/>
  <c r="AF65" i="8"/>
  <c r="V128" i="8"/>
  <c r="S129" i="8"/>
  <c r="Q127" i="8"/>
  <c r="AZ65" i="8"/>
  <c r="AQ123" i="8"/>
  <c r="AC129" i="8"/>
  <c r="AX127" i="8"/>
  <c r="AA128" i="8"/>
  <c r="G123" i="8"/>
  <c r="AS127" i="8"/>
  <c r="K127" i="8"/>
  <c r="AD65" i="8"/>
  <c r="AL164" i="8"/>
  <c r="S126" i="8"/>
  <c r="AE169" i="8"/>
  <c r="T209" i="8"/>
  <c r="AV122" i="8"/>
  <c r="P215" i="8"/>
  <c r="AE67" i="8"/>
  <c r="AB165" i="8"/>
  <c r="AC222" i="8"/>
  <c r="BA162" i="8"/>
  <c r="V206" i="8"/>
  <c r="AD211" i="8"/>
  <c r="AU69" i="8"/>
  <c r="AZ208" i="8"/>
  <c r="W251" i="8"/>
  <c r="J137" i="8"/>
  <c r="F164" i="8"/>
  <c r="AU66" i="8"/>
  <c r="AE255" i="8"/>
  <c r="AU170" i="8"/>
  <c r="AV76" i="8"/>
  <c r="BC228" i="8"/>
  <c r="AB154" i="8"/>
  <c r="AS225" i="8"/>
  <c r="AU198" i="8"/>
  <c r="Q66" i="8"/>
  <c r="R197" i="8"/>
  <c r="AZ165" i="8"/>
  <c r="R240" i="8"/>
  <c r="AI218" i="8"/>
  <c r="AB168" i="8"/>
  <c r="AA243" i="8"/>
  <c r="AY214" i="8"/>
  <c r="AO68" i="8"/>
  <c r="X67" i="8"/>
  <c r="X258" i="8"/>
  <c r="AM244" i="8"/>
  <c r="AH209" i="8"/>
  <c r="AW212" i="8"/>
  <c r="S204" i="8"/>
  <c r="W67" i="8"/>
  <c r="AR150" i="8"/>
  <c r="V176" i="8"/>
  <c r="O214" i="8"/>
  <c r="BB161" i="8"/>
  <c r="R195" i="8"/>
  <c r="AM241" i="8"/>
  <c r="AH206" i="8"/>
  <c r="BC235" i="8"/>
  <c r="W228" i="8"/>
  <c r="AL162" i="8"/>
  <c r="L248" i="8"/>
  <c r="AS229" i="8"/>
  <c r="Y233" i="8"/>
  <c r="X203" i="8"/>
  <c r="J228" i="8"/>
  <c r="T226" i="8"/>
  <c r="AC68" i="8"/>
  <c r="H200" i="8"/>
  <c r="Y249" i="8"/>
  <c r="AL136" i="8"/>
  <c r="L231" i="8"/>
  <c r="K256" i="8"/>
  <c r="AV159" i="8"/>
  <c r="AH231" i="8"/>
  <c r="R156" i="8"/>
  <c r="AR176" i="8"/>
  <c r="M223" i="8"/>
  <c r="S223" i="8"/>
  <c r="Y225" i="8"/>
  <c r="AX173" i="8"/>
  <c r="AG171" i="8"/>
  <c r="AD250" i="8"/>
  <c r="F213" i="8"/>
  <c r="N259" i="8"/>
  <c r="Y205" i="8"/>
  <c r="AO236" i="8"/>
  <c r="F252" i="8"/>
  <c r="AD231" i="8"/>
  <c r="M215" i="8"/>
  <c r="AH195" i="8"/>
  <c r="AW239" i="8"/>
  <c r="S238" i="8"/>
  <c r="U241" i="8"/>
  <c r="AK256" i="8"/>
  <c r="Z243" i="8"/>
  <c r="BB145" i="8"/>
  <c r="AU252" i="8"/>
  <c r="AS69" i="8"/>
  <c r="J205" i="8"/>
  <c r="AX62" i="8"/>
  <c r="AN64" i="8"/>
  <c r="AQ247" i="8"/>
  <c r="K238" i="8"/>
  <c r="BA226" i="8"/>
  <c r="I236" i="8"/>
  <c r="BA235" i="8"/>
  <c r="U259" i="8"/>
  <c r="AH162" i="8"/>
  <c r="M217" i="8"/>
  <c r="AP213" i="8"/>
  <c r="R229" i="8"/>
  <c r="AD213" i="8"/>
  <c r="K244" i="8"/>
  <c r="O257" i="8"/>
  <c r="AF78" i="8"/>
  <c r="F176" i="8"/>
  <c r="L69" i="8"/>
  <c r="L207" i="8"/>
  <c r="AP240" i="8"/>
  <c r="AP216" i="8"/>
  <c r="AX217" i="8"/>
  <c r="J239" i="8"/>
  <c r="P238" i="8"/>
  <c r="T258" i="8"/>
  <c r="W62" i="8"/>
  <c r="J70" i="8"/>
  <c r="AM254" i="8"/>
  <c r="AS257" i="8"/>
  <c r="P70" i="8"/>
  <c r="U61" i="8"/>
  <c r="AX240" i="8"/>
  <c r="AF258" i="8"/>
  <c r="V213" i="8"/>
  <c r="AD197" i="8"/>
  <c r="AI234" i="8"/>
  <c r="AI249" i="8"/>
  <c r="AD243" i="8"/>
  <c r="V223" i="8"/>
  <c r="AC228" i="8"/>
  <c r="T215" i="8"/>
  <c r="R72" i="8"/>
  <c r="V63" i="8"/>
  <c r="M253" i="8"/>
  <c r="BC239" i="8"/>
  <c r="J253" i="8"/>
  <c r="BB196" i="8"/>
  <c r="T234" i="8"/>
  <c r="BA236" i="8"/>
  <c r="AW250" i="8"/>
  <c r="AK222" i="8"/>
  <c r="M195" i="8"/>
  <c r="AP158" i="8"/>
  <c r="BC257" i="8"/>
  <c r="T217" i="8"/>
  <c r="L160" i="8"/>
  <c r="X161" i="8"/>
  <c r="AO215" i="8"/>
  <c r="AK62" i="8"/>
  <c r="F218" i="8"/>
  <c r="G204" i="8"/>
  <c r="P221" i="8"/>
  <c r="T74" i="8"/>
  <c r="AO256" i="8"/>
  <c r="AP221" i="8"/>
  <c r="S250" i="8"/>
  <c r="O173" i="8"/>
  <c r="AN203" i="8"/>
  <c r="AT73" i="8"/>
  <c r="Y226" i="8"/>
  <c r="AT247" i="8"/>
  <c r="AL242" i="8"/>
  <c r="F247" i="8"/>
  <c r="AD217" i="8"/>
  <c r="AT240" i="8"/>
  <c r="AQ258" i="8"/>
  <c r="Y235" i="8"/>
  <c r="AG62" i="8"/>
  <c r="H246" i="8"/>
  <c r="AU208" i="8"/>
  <c r="AL241" i="8"/>
  <c r="AE232" i="8"/>
  <c r="AE70" i="8"/>
  <c r="AT253" i="8"/>
  <c r="Z69" i="8"/>
  <c r="J167" i="8"/>
  <c r="S228" i="8"/>
  <c r="AY239" i="8"/>
  <c r="N69" i="8"/>
  <c r="Y230" i="8"/>
  <c r="AI222" i="8"/>
  <c r="AU247" i="8"/>
  <c r="AS212" i="8"/>
  <c r="AY253" i="8"/>
  <c r="AL239" i="8"/>
  <c r="AH77" i="8"/>
  <c r="AH228" i="8"/>
  <c r="AK240" i="8"/>
  <c r="AZ238" i="8"/>
  <c r="AE157" i="8"/>
  <c r="J156" i="8"/>
  <c r="AT243" i="8"/>
  <c r="AY254" i="8"/>
  <c r="AJ258" i="8"/>
  <c r="H224" i="8"/>
  <c r="AC205" i="8"/>
  <c r="AA68" i="8"/>
  <c r="V246" i="8"/>
  <c r="J251" i="8"/>
  <c r="AV225" i="8"/>
  <c r="K64" i="8"/>
  <c r="V225" i="8"/>
  <c r="K72" i="8"/>
  <c r="F211" i="8"/>
  <c r="AY245" i="8"/>
  <c r="AN74" i="8"/>
  <c r="AF76" i="8"/>
  <c r="V217" i="8"/>
  <c r="J231" i="8"/>
  <c r="U244" i="8"/>
  <c r="AY259" i="8"/>
  <c r="BB66" i="8"/>
  <c r="AR207" i="8"/>
  <c r="N233" i="8"/>
  <c r="AN221" i="8"/>
  <c r="AP227" i="8"/>
  <c r="AR215" i="8"/>
  <c r="R62" i="8"/>
  <c r="AH67" i="8"/>
  <c r="M222" i="8"/>
  <c r="X226" i="8"/>
  <c r="BA216" i="8"/>
  <c r="AE253" i="8"/>
  <c r="W259" i="8"/>
  <c r="V75" i="8"/>
  <c r="W196" i="8"/>
  <c r="V196" i="8"/>
  <c r="AJ243" i="8"/>
  <c r="AL67" i="8"/>
  <c r="AS244" i="8"/>
  <c r="AY249" i="8"/>
  <c r="F229" i="8"/>
  <c r="AS253" i="8"/>
  <c r="AR250" i="8"/>
  <c r="Y71" i="8"/>
  <c r="F123" i="8"/>
  <c r="F99" i="8"/>
  <c r="F94" i="8"/>
  <c r="F93" i="8"/>
  <c r="F91" i="8"/>
  <c r="F191" i="8"/>
  <c r="F105" i="8"/>
  <c r="F219" i="8"/>
  <c r="F80" i="8"/>
  <c r="I127" i="8"/>
  <c r="S123" i="8"/>
  <c r="AD128" i="8"/>
  <c r="L127" i="8"/>
  <c r="AF127" i="8"/>
  <c r="O123" i="8"/>
  <c r="AS65" i="8"/>
  <c r="BC123" i="8"/>
  <c r="AP65" i="8"/>
  <c r="AG127" i="8"/>
  <c r="Y65" i="8"/>
  <c r="AT128" i="8"/>
  <c r="AN129" i="8"/>
  <c r="BA128" i="8"/>
  <c r="AA123" i="8"/>
  <c r="AG129" i="8"/>
  <c r="BB65" i="8"/>
  <c r="BB127" i="8"/>
  <c r="AH65" i="8"/>
  <c r="J128" i="8"/>
  <c r="AA129" i="8"/>
  <c r="AE127" i="8"/>
  <c r="AQ65" i="8"/>
  <c r="AR128" i="8"/>
  <c r="Z129" i="8"/>
  <c r="AL128" i="8"/>
  <c r="AW129" i="8"/>
  <c r="AZ127" i="8"/>
  <c r="R127" i="8"/>
  <c r="AC65" i="8"/>
  <c r="AR123" i="8"/>
  <c r="T127" i="8"/>
  <c r="AQ128" i="8"/>
  <c r="Z128" i="8"/>
  <c r="AE129" i="8"/>
  <c r="G127" i="8"/>
  <c r="Z65" i="8"/>
  <c r="AK65" i="8"/>
  <c r="AH128" i="8"/>
  <c r="W129" i="8"/>
  <c r="AR127" i="8"/>
  <c r="AY127" i="8"/>
  <c r="AG65" i="8"/>
  <c r="R128" i="8"/>
  <c r="M129" i="8"/>
  <c r="AL65" i="8"/>
  <c r="AO123" i="8"/>
  <c r="O128" i="8"/>
  <c r="U123" i="8"/>
  <c r="AS114" i="8"/>
  <c r="AQ96" i="8"/>
  <c r="X88" i="8"/>
  <c r="AC93" i="8"/>
  <c r="N94" i="8"/>
  <c r="AU111" i="8"/>
  <c r="AH104" i="8"/>
  <c r="H118" i="8"/>
  <c r="H260" i="8"/>
  <c r="AY91" i="8"/>
  <c r="AE114" i="8"/>
  <c r="AR99" i="8"/>
  <c r="AF96" i="8"/>
  <c r="AX101" i="8"/>
  <c r="V119" i="8"/>
  <c r="AY92" i="8"/>
  <c r="N113" i="8"/>
  <c r="AJ108" i="8"/>
  <c r="BB95" i="8"/>
  <c r="AJ103" i="8"/>
  <c r="Q90" i="8"/>
  <c r="AG100" i="8"/>
  <c r="AV115" i="8"/>
  <c r="G98" i="8"/>
  <c r="AS112" i="8"/>
  <c r="G102" i="8"/>
  <c r="S110" i="8"/>
  <c r="AM89" i="8"/>
  <c r="K109" i="8"/>
  <c r="AK111" i="8"/>
  <c r="AV104" i="8"/>
  <c r="AQ93" i="8"/>
  <c r="M109" i="8"/>
  <c r="N111" i="8"/>
  <c r="AX104" i="8"/>
  <c r="AP118" i="8"/>
  <c r="P260" i="8"/>
  <c r="AW91" i="8"/>
  <c r="AA114" i="8"/>
  <c r="O107" i="8"/>
  <c r="AO96" i="8"/>
  <c r="J101" i="8"/>
  <c r="AK119" i="8"/>
  <c r="V92" i="8"/>
  <c r="AO113" i="8"/>
  <c r="AA108" i="8"/>
  <c r="AB95" i="8"/>
  <c r="AY103" i="8"/>
  <c r="AD90" i="8"/>
  <c r="Q105" i="8"/>
  <c r="AU115" i="8"/>
  <c r="AC98" i="8"/>
  <c r="I116" i="8"/>
  <c r="AM102" i="8"/>
  <c r="N110" i="8"/>
  <c r="W89" i="8"/>
  <c r="AQ92" i="8"/>
  <c r="AH108" i="8"/>
  <c r="AQ117" i="8"/>
  <c r="K95" i="8"/>
  <c r="M90" i="8"/>
  <c r="AD105" i="8"/>
  <c r="AV100" i="8"/>
  <c r="Z115" i="8"/>
  <c r="AV112" i="8"/>
  <c r="V116" i="8"/>
  <c r="W102" i="8"/>
  <c r="BC89" i="8"/>
  <c r="AO109" i="8"/>
  <c r="AJ118" i="8"/>
  <c r="AS260" i="8"/>
  <c r="U91" i="8"/>
  <c r="AC107" i="8"/>
  <c r="I119" i="8"/>
  <c r="AB93" i="8"/>
  <c r="AS109" i="8"/>
  <c r="BC111" i="8"/>
  <c r="AF104" i="8"/>
  <c r="I118" i="8"/>
  <c r="AW97" i="8"/>
  <c r="AR91" i="8"/>
  <c r="O114" i="8"/>
  <c r="AP99" i="8"/>
  <c r="M96" i="8"/>
  <c r="AH101" i="8"/>
  <c r="AS119" i="8"/>
  <c r="P88" i="8"/>
  <c r="Y113" i="8"/>
  <c r="AV108" i="8"/>
  <c r="AI117" i="8"/>
  <c r="AG103" i="8"/>
  <c r="X90" i="8"/>
  <c r="P105" i="8"/>
  <c r="J100" i="8"/>
  <c r="AW98" i="8"/>
  <c r="AP112" i="8"/>
  <c r="P102" i="8"/>
  <c r="AP110" i="8"/>
  <c r="AR89" i="8"/>
  <c r="V107" i="8"/>
  <c r="U119" i="8"/>
  <c r="AE93" i="8"/>
  <c r="AU109" i="8"/>
  <c r="AF111" i="8"/>
  <c r="O104" i="8"/>
  <c r="AE118" i="8"/>
  <c r="AG260" i="8"/>
  <c r="AM91" i="8"/>
  <c r="AZ114" i="8"/>
  <c r="AN99" i="8"/>
  <c r="X96" i="8"/>
  <c r="AA101" i="8"/>
  <c r="AC119" i="8"/>
  <c r="AH88" i="8"/>
  <c r="T113" i="8"/>
  <c r="I108" i="8"/>
  <c r="X95" i="8"/>
  <c r="J103" i="8"/>
  <c r="U90" i="8"/>
  <c r="K100" i="8"/>
  <c r="AP115" i="8"/>
  <c r="V112" i="8"/>
  <c r="Z116" i="8"/>
  <c r="J102" i="8"/>
  <c r="U89" i="8"/>
  <c r="J93" i="8"/>
  <c r="AW111" i="8"/>
  <c r="L104" i="8"/>
  <c r="AV93" i="8"/>
  <c r="U109" i="8"/>
  <c r="L94" i="8"/>
  <c r="AG111" i="8"/>
  <c r="AW118" i="8"/>
  <c r="H97" i="8"/>
  <c r="AD260" i="8"/>
  <c r="BA91" i="8"/>
  <c r="O99" i="8"/>
  <c r="AF107" i="8"/>
  <c r="R96" i="8"/>
  <c r="H119" i="8"/>
  <c r="AA88" i="8"/>
  <c r="Z92" i="8"/>
  <c r="X108" i="8"/>
  <c r="Q117" i="8"/>
  <c r="AL95" i="8"/>
  <c r="AE90" i="8"/>
  <c r="AU105" i="8"/>
  <c r="AO100" i="8"/>
  <c r="I98" i="8"/>
  <c r="AA112" i="8"/>
  <c r="M102" i="8"/>
  <c r="AZ110" i="8"/>
  <c r="X89" i="8"/>
  <c r="AA92" i="8"/>
  <c r="AR108" i="8"/>
  <c r="AC117" i="8"/>
  <c r="Y95" i="8"/>
  <c r="AZ90" i="8"/>
  <c r="AN105" i="8"/>
  <c r="AH100" i="8"/>
  <c r="AK115" i="8"/>
  <c r="U112" i="8"/>
  <c r="AM116" i="8"/>
  <c r="AB102" i="8"/>
  <c r="AI89" i="8"/>
  <c r="I93" i="8"/>
  <c r="AB118" i="8"/>
  <c r="BC260" i="8"/>
  <c r="O91" i="8"/>
  <c r="W99" i="8"/>
  <c r="S101" i="8"/>
  <c r="AK93" i="8"/>
  <c r="AH109" i="8"/>
  <c r="AJ94" i="8"/>
  <c r="AS104" i="8"/>
  <c r="AS118" i="8"/>
  <c r="AB97" i="8"/>
  <c r="AJ260" i="8"/>
  <c r="AV114" i="8"/>
  <c r="H99" i="8"/>
  <c r="AH107" i="8"/>
  <c r="BB96" i="8"/>
  <c r="AU119" i="8"/>
  <c r="N88" i="8"/>
  <c r="AB92" i="8"/>
  <c r="R113" i="8"/>
  <c r="AJ117" i="8"/>
  <c r="AZ95" i="8"/>
  <c r="Z103" i="8"/>
  <c r="AZ105" i="8"/>
  <c r="Z100" i="8"/>
  <c r="Y115" i="8"/>
  <c r="AR112" i="8"/>
  <c r="AP116" i="8"/>
  <c r="AZ102" i="8"/>
  <c r="M110" i="8"/>
  <c r="AR114" i="8"/>
  <c r="N107" i="8"/>
  <c r="AQ119" i="8"/>
  <c r="AA93" i="8"/>
  <c r="AG94" i="8"/>
  <c r="AA111" i="8"/>
  <c r="K104" i="8"/>
  <c r="L118" i="8"/>
  <c r="T260" i="8"/>
  <c r="H91" i="8"/>
  <c r="AC114" i="8"/>
  <c r="R107" i="8"/>
  <c r="AE96" i="8"/>
  <c r="AV119" i="8"/>
  <c r="R88" i="8"/>
  <c r="AE92" i="8"/>
  <c r="AQ108" i="8"/>
  <c r="J117" i="8"/>
  <c r="R95" i="8"/>
  <c r="O103" i="8"/>
  <c r="T105" i="8"/>
  <c r="AB100" i="8"/>
  <c r="AO115" i="8"/>
  <c r="AU112" i="8"/>
  <c r="W116" i="8"/>
  <c r="V102" i="8"/>
  <c r="BA89" i="8"/>
  <c r="O109" i="8"/>
  <c r="AQ94" i="8"/>
  <c r="Q104" i="8"/>
  <c r="AW101" i="8"/>
  <c r="H109" i="8"/>
  <c r="AC94" i="8"/>
  <c r="U111" i="8"/>
  <c r="AE104" i="8"/>
  <c r="BC97" i="8"/>
  <c r="AV260" i="8"/>
  <c r="AK91" i="8"/>
  <c r="N99" i="8"/>
  <c r="AS107" i="8"/>
  <c r="AP96" i="8"/>
  <c r="AR119" i="8"/>
  <c r="AP88" i="8"/>
  <c r="N92" i="8"/>
  <c r="AB108" i="8"/>
  <c r="AT117" i="8"/>
  <c r="I95" i="8"/>
  <c r="AR103" i="8"/>
  <c r="AA105" i="8"/>
  <c r="AC100" i="8"/>
  <c r="BC98" i="8"/>
  <c r="S112" i="8"/>
  <c r="AY116" i="8"/>
  <c r="V110" i="8"/>
  <c r="AZ89" i="8"/>
  <c r="R92" i="8"/>
  <c r="AI108" i="8"/>
  <c r="AD117" i="8"/>
  <c r="T103" i="8"/>
  <c r="K90" i="8"/>
  <c r="BB105" i="8"/>
  <c r="AR115" i="8"/>
  <c r="AB98" i="8"/>
  <c r="J112" i="8"/>
  <c r="R116" i="8"/>
  <c r="AU110" i="8"/>
  <c r="O89" i="8"/>
  <c r="BA109" i="8"/>
  <c r="AM97" i="8"/>
  <c r="N260" i="8"/>
  <c r="V91" i="8"/>
  <c r="BB107" i="8"/>
  <c r="X119" i="8"/>
  <c r="AW93" i="8"/>
  <c r="Z109" i="8"/>
  <c r="O94" i="8"/>
  <c r="Y104" i="8"/>
  <c r="AQ118" i="8"/>
  <c r="T97" i="8"/>
  <c r="AL91" i="8"/>
  <c r="H114" i="8"/>
  <c r="AD99" i="8"/>
  <c r="G107" i="8"/>
  <c r="U101" i="8"/>
  <c r="T119" i="8"/>
  <c r="T88" i="8"/>
  <c r="AQ113" i="8"/>
  <c r="P108" i="8"/>
  <c r="AZ117" i="8"/>
  <c r="AC95" i="8"/>
  <c r="AB90" i="8"/>
  <c r="AF105" i="8"/>
  <c r="V100" i="8"/>
  <c r="AT98" i="8"/>
  <c r="AK112" i="8"/>
  <c r="AQ116" i="8"/>
  <c r="AF110" i="8"/>
  <c r="AU89" i="8"/>
  <c r="Q99" i="8"/>
  <c r="G101" i="8"/>
  <c r="AS93" i="8"/>
  <c r="AA94" i="8"/>
  <c r="AO111" i="8"/>
  <c r="AG104" i="8"/>
  <c r="J118" i="8"/>
  <c r="BB260" i="8"/>
  <c r="K91" i="8"/>
  <c r="P99" i="8"/>
  <c r="AY107" i="8"/>
  <c r="BA101" i="8"/>
  <c r="AG119" i="8"/>
  <c r="H92" i="8"/>
  <c r="AZ113" i="8"/>
  <c r="AL108" i="8"/>
  <c r="AE117" i="8"/>
  <c r="AN103" i="8"/>
  <c r="W90" i="8"/>
  <c r="AR105" i="8"/>
  <c r="Q100" i="8"/>
  <c r="AI115" i="8"/>
  <c r="Y112" i="8"/>
  <c r="AG116" i="8"/>
  <c r="AY102" i="8"/>
  <c r="H89" i="8"/>
  <c r="BC93" i="8"/>
  <c r="M94" i="8"/>
  <c r="BA111" i="8"/>
  <c r="I107" i="8"/>
  <c r="AH93" i="8"/>
  <c r="AD94" i="8"/>
  <c r="BB111" i="8"/>
  <c r="AJ104" i="8"/>
  <c r="O97" i="8"/>
  <c r="X260" i="8"/>
  <c r="AV91" i="8"/>
  <c r="L99" i="8"/>
  <c r="AV107" i="8"/>
  <c r="X207" i="8"/>
  <c r="AE132" i="8"/>
  <c r="AR239" i="8"/>
  <c r="AC195" i="8"/>
  <c r="AT235" i="8"/>
  <c r="AP155" i="8"/>
  <c r="BB255" i="8"/>
  <c r="AT236" i="8"/>
  <c r="M255" i="8"/>
  <c r="AP166" i="8"/>
  <c r="X162" i="8"/>
  <c r="P169" i="8"/>
  <c r="Y165" i="8"/>
  <c r="F154" i="8"/>
  <c r="AE71" i="8"/>
  <c r="AP228" i="8"/>
  <c r="AY203" i="8"/>
  <c r="AF255" i="8"/>
  <c r="AG207" i="8"/>
  <c r="N255" i="8"/>
  <c r="S132" i="8"/>
  <c r="AQ235" i="8"/>
  <c r="BB75" i="8"/>
  <c r="BB211" i="8"/>
  <c r="AL135" i="8"/>
  <c r="AP241" i="8"/>
  <c r="W207" i="8"/>
  <c r="AN259" i="8"/>
  <c r="N231" i="8"/>
  <c r="H211" i="8"/>
  <c r="AH249" i="8"/>
  <c r="W217" i="8"/>
  <c r="F231" i="8"/>
  <c r="U253" i="8"/>
  <c r="P204" i="8"/>
  <c r="AZ242" i="8"/>
  <c r="AW175" i="8"/>
  <c r="BB77" i="8"/>
  <c r="I61" i="8"/>
  <c r="AG150" i="8"/>
  <c r="AZ234" i="8"/>
  <c r="AF174" i="8"/>
  <c r="AL158" i="8"/>
  <c r="L233" i="8"/>
  <c r="AO205" i="8"/>
  <c r="AT248" i="8"/>
  <c r="AA239" i="8"/>
  <c r="Y259" i="8"/>
  <c r="AP251" i="8"/>
  <c r="AP250" i="8"/>
  <c r="AN67" i="8"/>
  <c r="Q230" i="8"/>
  <c r="AE66" i="8"/>
  <c r="X78" i="8"/>
  <c r="AS233" i="8"/>
  <c r="AS67" i="8"/>
  <c r="F225" i="8"/>
  <c r="AX254" i="8"/>
  <c r="BA257" i="8"/>
  <c r="AT205" i="8"/>
  <c r="T120" i="8"/>
  <c r="AT197" i="8"/>
  <c r="AQ169" i="8"/>
  <c r="AC233" i="8"/>
  <c r="BA256" i="8"/>
  <c r="AV161" i="8"/>
  <c r="L168" i="8"/>
  <c r="H239" i="8"/>
  <c r="AJ78" i="8"/>
  <c r="J225" i="8"/>
  <c r="AI72" i="8"/>
  <c r="AN172" i="8"/>
  <c r="AT245" i="8"/>
  <c r="AZ154" i="8"/>
  <c r="AU233" i="8"/>
  <c r="AW213" i="8"/>
  <c r="P252" i="8"/>
  <c r="BB61" i="8"/>
  <c r="AK236" i="8"/>
  <c r="Q251" i="8"/>
  <c r="M226" i="8"/>
  <c r="Z72" i="8"/>
  <c r="N243" i="8"/>
  <c r="N241" i="8"/>
  <c r="AR78" i="8"/>
  <c r="AH176" i="8"/>
  <c r="V163" i="8"/>
  <c r="AK242" i="8"/>
  <c r="V203" i="8"/>
  <c r="Q229" i="8"/>
  <c r="G255" i="8"/>
  <c r="AB199" i="8"/>
  <c r="H234" i="8"/>
  <c r="AK229" i="8"/>
  <c r="Q232" i="8"/>
  <c r="AD229" i="8"/>
  <c r="M236" i="8"/>
  <c r="G72" i="8"/>
  <c r="AM61" i="8"/>
  <c r="AP212" i="8"/>
  <c r="M230" i="8"/>
  <c r="L74" i="8"/>
  <c r="R75" i="8"/>
  <c r="N248" i="8"/>
  <c r="AQ242" i="8"/>
  <c r="AT249" i="8"/>
  <c r="AY213" i="8"/>
  <c r="AF239" i="8"/>
  <c r="X154" i="8"/>
  <c r="AG61" i="8"/>
  <c r="AR256" i="8"/>
  <c r="H252" i="8"/>
  <c r="AH165" i="8"/>
  <c r="BA67" i="8"/>
  <c r="AV255" i="8"/>
  <c r="Q247" i="8"/>
  <c r="AL208" i="8"/>
  <c r="Y246" i="8"/>
  <c r="J215" i="8"/>
  <c r="AW63" i="8"/>
  <c r="V61" i="8"/>
  <c r="AB223" i="8"/>
  <c r="AV249" i="8"/>
  <c r="R73" i="8"/>
  <c r="M251" i="8"/>
  <c r="M240" i="8"/>
  <c r="T164" i="8"/>
  <c r="AE257" i="8"/>
  <c r="AF231" i="8"/>
  <c r="AU245" i="8"/>
  <c r="AA222" i="8"/>
  <c r="AU235" i="8"/>
  <c r="AL248" i="8"/>
  <c r="AG203" i="8"/>
  <c r="R243" i="8"/>
  <c r="T76" i="8"/>
  <c r="U245" i="8"/>
  <c r="AZ216" i="8"/>
  <c r="AJ254" i="8"/>
  <c r="AE221" i="8"/>
  <c r="AK68" i="8"/>
  <c r="AF69" i="8"/>
  <c r="AI213" i="8"/>
  <c r="AO244" i="8"/>
  <c r="Z200" i="8"/>
  <c r="P241" i="8"/>
  <c r="AU231" i="8"/>
  <c r="S66" i="8"/>
  <c r="AA229" i="8"/>
  <c r="AV217" i="8"/>
  <c r="AA241" i="8"/>
  <c r="AD240" i="8"/>
  <c r="V254" i="8"/>
  <c r="J227" i="8"/>
  <c r="R68" i="8"/>
  <c r="K245" i="8"/>
  <c r="Q223" i="8"/>
  <c r="N79" i="8"/>
  <c r="AX215" i="8"/>
  <c r="AL246" i="8"/>
  <c r="AJ64" i="8"/>
  <c r="AT75" i="8"/>
  <c r="AW71" i="8"/>
  <c r="AI223" i="8"/>
  <c r="AH75" i="8"/>
  <c r="AJ62" i="8"/>
  <c r="Z254" i="8"/>
  <c r="BB249" i="8"/>
  <c r="AH233" i="8"/>
  <c r="AD205" i="8"/>
  <c r="AO199" i="8"/>
  <c r="AB209" i="8"/>
  <c r="AX241" i="8"/>
  <c r="AJ158" i="8"/>
  <c r="K252" i="8"/>
  <c r="N155" i="8"/>
  <c r="T242" i="8"/>
  <c r="F227" i="8"/>
  <c r="N244" i="8"/>
  <c r="U226" i="8"/>
  <c r="S241" i="8"/>
  <c r="BB209" i="8"/>
  <c r="O252" i="8"/>
  <c r="AA66" i="8"/>
  <c r="O249" i="8"/>
  <c r="BC258" i="8"/>
  <c r="AC209" i="8"/>
  <c r="J259" i="8"/>
  <c r="T171" i="8"/>
  <c r="AZ237" i="8"/>
  <c r="AQ196" i="8"/>
  <c r="AQ155" i="8"/>
  <c r="I235" i="8"/>
  <c r="AG218" i="8"/>
  <c r="BC197" i="8"/>
  <c r="AT258" i="8"/>
  <c r="AI244" i="8"/>
  <c r="X241" i="8"/>
  <c r="Y70" i="8"/>
  <c r="AC254" i="8"/>
  <c r="T71" i="8"/>
  <c r="Z67" i="8"/>
  <c r="Q233" i="8"/>
  <c r="AF204" i="8"/>
  <c r="L240" i="8"/>
  <c r="AL199" i="8"/>
  <c r="AZ231" i="8"/>
  <c r="AW244" i="8"/>
  <c r="AU241" i="8"/>
  <c r="AH237" i="8"/>
  <c r="L257" i="8"/>
  <c r="AV66" i="8"/>
  <c r="R205" i="8"/>
  <c r="U251" i="8"/>
  <c r="AI62" i="8"/>
  <c r="AK175" i="8"/>
  <c r="AA235" i="8"/>
  <c r="AN232" i="8"/>
  <c r="F68" i="8"/>
  <c r="AT213" i="8"/>
  <c r="M143" i="8"/>
  <c r="AN209" i="8"/>
  <c r="BB247" i="8"/>
  <c r="AS217" i="8"/>
  <c r="AA224" i="8"/>
  <c r="R257" i="8"/>
  <c r="R258" i="8"/>
  <c r="AF68" i="8"/>
  <c r="R77" i="8"/>
  <c r="F72" i="8"/>
  <c r="AE249" i="8"/>
  <c r="I211" i="8"/>
  <c r="AA253" i="8"/>
  <c r="Z249" i="8"/>
  <c r="AB257" i="8"/>
  <c r="F129" i="8"/>
  <c r="F190" i="8"/>
  <c r="F97" i="8"/>
  <c r="F98" i="8"/>
  <c r="F108" i="8"/>
  <c r="F184" i="8"/>
  <c r="F202" i="8"/>
  <c r="F220" i="8"/>
  <c r="AO127" i="8"/>
  <c r="G65" i="8"/>
  <c r="AL129" i="8"/>
  <c r="Y123" i="8"/>
  <c r="AB65" i="8"/>
  <c r="K65" i="8"/>
  <c r="AJ129" i="8"/>
  <c r="AS128" i="8"/>
  <c r="X129" i="8"/>
  <c r="N128" i="8"/>
  <c r="L65" i="8"/>
  <c r="T65" i="8"/>
  <c r="AK123" i="8"/>
  <c r="BA129" i="8"/>
  <c r="I128" i="8"/>
  <c r="N123" i="8"/>
  <c r="P127" i="8"/>
  <c r="AU65" i="8"/>
  <c r="Y127" i="8"/>
  <c r="AG128" i="8"/>
  <c r="AJ123" i="8"/>
  <c r="H129" i="8"/>
  <c r="AB127" i="8"/>
  <c r="J65" i="8"/>
  <c r="K123" i="8"/>
  <c r="Y129" i="8"/>
  <c r="X123" i="8"/>
  <c r="AH129" i="8"/>
  <c r="AO65" i="8"/>
  <c r="AQ127" i="8"/>
  <c r="AN128" i="8"/>
  <c r="P123" i="8"/>
  <c r="W65" i="8"/>
  <c r="AE123" i="8"/>
  <c r="L123" i="8"/>
  <c r="J129" i="8"/>
  <c r="J127" i="8"/>
  <c r="H127" i="8"/>
  <c r="I65" i="8"/>
  <c r="AM123" i="8"/>
  <c r="AV129" i="8"/>
  <c r="R65" i="8"/>
  <c r="N127" i="8"/>
  <c r="AI65" i="8"/>
  <c r="V123" i="8"/>
  <c r="O129" i="8"/>
  <c r="Y128" i="8"/>
  <c r="AU129" i="8"/>
  <c r="AU128" i="8"/>
  <c r="AY129" i="8"/>
  <c r="AO99" i="8"/>
  <c r="BA96" i="8"/>
  <c r="AW88" i="8"/>
  <c r="AJ109" i="8"/>
  <c r="AF94" i="8"/>
  <c r="AP111" i="8"/>
  <c r="X118" i="8"/>
  <c r="AZ97" i="8"/>
  <c r="Y260" i="8"/>
  <c r="AB91" i="8"/>
  <c r="AI99" i="8"/>
  <c r="Z107" i="8"/>
  <c r="W96" i="8"/>
  <c r="BC101" i="8"/>
  <c r="BC88" i="8"/>
  <c r="AZ92" i="8"/>
  <c r="G113" i="8"/>
  <c r="AX117" i="8"/>
  <c r="AY95" i="8"/>
  <c r="AA103" i="8"/>
  <c r="AX105" i="8"/>
  <c r="AL100" i="8"/>
  <c r="S115" i="8"/>
  <c r="AM98" i="8"/>
  <c r="K116" i="8"/>
  <c r="X102" i="8"/>
  <c r="AI110" i="8"/>
  <c r="X93" i="8"/>
  <c r="AL94" i="8"/>
  <c r="AS111" i="8"/>
  <c r="AC97" i="8"/>
  <c r="AD93" i="8"/>
  <c r="AN94" i="8"/>
  <c r="P111" i="8"/>
  <c r="AK104" i="8"/>
  <c r="P97" i="8"/>
  <c r="I260" i="8"/>
  <c r="AF91" i="8"/>
  <c r="M99" i="8"/>
  <c r="AK107" i="8"/>
  <c r="AC96" i="8"/>
  <c r="AI119" i="8"/>
  <c r="AK88" i="8"/>
  <c r="L92" i="8"/>
  <c r="AD113" i="8"/>
  <c r="Y117" i="8"/>
  <c r="Q95" i="8"/>
  <c r="BC103" i="8"/>
  <c r="AU90" i="8"/>
  <c r="AE100" i="8"/>
  <c r="L115" i="8"/>
  <c r="O98" i="8"/>
  <c r="AB116" i="8"/>
  <c r="AH102" i="8"/>
  <c r="AM110" i="8"/>
  <c r="W92" i="8"/>
  <c r="AF113" i="8"/>
  <c r="T108" i="8"/>
  <c r="AS117" i="8"/>
  <c r="BB103" i="8"/>
  <c r="AC90" i="8"/>
  <c r="K105" i="8"/>
  <c r="AM100" i="8"/>
  <c r="AY98" i="8"/>
  <c r="BC112" i="8"/>
  <c r="AW116" i="8"/>
  <c r="AN110" i="8"/>
  <c r="AT89" i="8"/>
  <c r="J104" i="8"/>
  <c r="AI97" i="8"/>
  <c r="K260" i="8"/>
  <c r="BC114" i="8"/>
  <c r="AW96" i="8"/>
  <c r="AF119" i="8"/>
  <c r="AN93" i="8"/>
  <c r="U94" i="8"/>
  <c r="AN111" i="8"/>
  <c r="AI104" i="8"/>
  <c r="T118" i="8"/>
  <c r="AK260" i="8"/>
  <c r="Z91" i="8"/>
  <c r="BA114" i="8"/>
  <c r="AT107" i="8"/>
  <c r="J96" i="8"/>
  <c r="Y101" i="8"/>
  <c r="AE88" i="8"/>
  <c r="AS92" i="8"/>
  <c r="AC113" i="8"/>
  <c r="AS108" i="8"/>
  <c r="AQ95" i="8"/>
  <c r="AL103" i="8"/>
  <c r="AG90" i="8"/>
  <c r="BA105" i="8"/>
  <c r="AZ115" i="8"/>
  <c r="AD98" i="8"/>
  <c r="AM112" i="8"/>
  <c r="Y102" i="8"/>
  <c r="AL110" i="8"/>
  <c r="Z114" i="8"/>
  <c r="U96" i="8"/>
  <c r="AO88" i="8"/>
  <c r="AY93" i="8"/>
  <c r="BA94" i="8"/>
  <c r="R111" i="8"/>
  <c r="R104" i="8"/>
  <c r="AL97" i="8"/>
  <c r="Z260" i="8"/>
  <c r="BB91" i="8"/>
  <c r="AL114" i="8"/>
  <c r="W107" i="8"/>
  <c r="AZ96" i="8"/>
  <c r="AE101" i="8"/>
  <c r="G119" i="8"/>
  <c r="U92" i="8"/>
  <c r="AI113" i="8"/>
  <c r="AW117" i="8"/>
  <c r="V95" i="8"/>
  <c r="Q103" i="8"/>
  <c r="G105" i="8"/>
  <c r="AT100" i="8"/>
  <c r="AQ98" i="8"/>
  <c r="P112" i="8"/>
  <c r="AR116" i="8"/>
  <c r="AU102" i="8"/>
  <c r="K89" i="8"/>
  <c r="AI109" i="8"/>
  <c r="AE111" i="8"/>
  <c r="I104" i="8"/>
  <c r="W93" i="8"/>
  <c r="AE109" i="8"/>
  <c r="AB94" i="8"/>
  <c r="H104" i="8"/>
  <c r="Z118" i="8"/>
  <c r="AV97" i="8"/>
  <c r="U260" i="8"/>
  <c r="AK114" i="8"/>
  <c r="AH99" i="8"/>
  <c r="AL107" i="8"/>
  <c r="AJ101" i="8"/>
  <c r="BB119" i="8"/>
  <c r="Q92" i="8"/>
  <c r="AE113" i="8"/>
  <c r="AY108" i="8"/>
  <c r="AU117" i="8"/>
  <c r="AV103" i="8"/>
  <c r="AI90" i="8"/>
  <c r="AS105" i="8"/>
  <c r="AY115" i="8"/>
  <c r="K98" i="8"/>
  <c r="AA116" i="8"/>
  <c r="I102" i="8"/>
  <c r="BB110" i="8"/>
  <c r="AH89" i="8"/>
  <c r="AS113" i="8"/>
  <c r="AX108" i="8"/>
  <c r="I117" i="8"/>
  <c r="AD103" i="8"/>
  <c r="AQ90" i="8"/>
  <c r="W105" i="8"/>
  <c r="AJ115" i="8"/>
  <c r="X98" i="8"/>
  <c r="X112" i="8"/>
  <c r="AL116" i="8"/>
  <c r="AX110" i="8"/>
  <c r="L89" i="8"/>
  <c r="AP109" i="8"/>
  <c r="BA97" i="8"/>
  <c r="G260" i="8"/>
  <c r="Q91" i="8"/>
  <c r="AW107" i="8"/>
  <c r="AM119" i="8"/>
  <c r="AP93" i="8"/>
  <c r="AA109" i="8"/>
  <c r="J111" i="8"/>
  <c r="G104" i="8"/>
  <c r="AV118" i="8"/>
  <c r="AS97" i="8"/>
  <c r="AX91" i="8"/>
  <c r="AU114" i="8"/>
  <c r="AK99" i="8"/>
  <c r="AE107" i="8"/>
  <c r="H101" i="8"/>
  <c r="AN119" i="8"/>
  <c r="AS88" i="8"/>
  <c r="AK113" i="8"/>
  <c r="BB108" i="8"/>
  <c r="BA117" i="8"/>
  <c r="W95" i="8"/>
  <c r="AV90" i="8"/>
  <c r="Y105" i="8"/>
  <c r="BB100" i="8"/>
  <c r="AF98" i="8"/>
  <c r="T112" i="8"/>
  <c r="Q116" i="8"/>
  <c r="AR102" i="8"/>
  <c r="P89" i="8"/>
  <c r="J114" i="8"/>
  <c r="O96" i="8"/>
  <c r="O88" i="8"/>
  <c r="J109" i="8"/>
  <c r="X94" i="8"/>
  <c r="K111" i="8"/>
  <c r="AY104" i="8"/>
  <c r="AU97" i="8"/>
  <c r="AA260" i="8"/>
  <c r="P91" i="8"/>
  <c r="AJ99" i="8"/>
  <c r="H107" i="8"/>
  <c r="AK101" i="8"/>
  <c r="N119" i="8"/>
  <c r="AU88" i="8"/>
  <c r="AC92" i="8"/>
  <c r="AW108" i="8"/>
  <c r="G117" i="8"/>
  <c r="AV95" i="8"/>
  <c r="AR90" i="8"/>
  <c r="X105" i="8"/>
  <c r="AZ100" i="8"/>
  <c r="AX98" i="8"/>
  <c r="R112" i="8"/>
  <c r="H116" i="8"/>
  <c r="T110" i="8"/>
  <c r="AB89" i="8"/>
  <c r="AF109" i="8"/>
  <c r="AM111" i="8"/>
  <c r="S104" i="8"/>
  <c r="N93" i="8"/>
  <c r="AB109" i="8"/>
  <c r="AW94" i="8"/>
  <c r="AY111" i="8"/>
  <c r="AK118" i="8"/>
  <c r="J97" i="8"/>
  <c r="AP260" i="8"/>
  <c r="AH114" i="8"/>
  <c r="AY99" i="8"/>
  <c r="AJ107" i="8"/>
  <c r="AM101" i="8"/>
  <c r="AL119" i="8"/>
  <c r="AY88" i="8"/>
  <c r="W113" i="8"/>
  <c r="U108" i="8"/>
  <c r="M117" i="8"/>
  <c r="G95" i="8"/>
  <c r="J90" i="8"/>
  <c r="R105" i="8"/>
  <c r="J115" i="8"/>
  <c r="AO98" i="8"/>
  <c r="AE112" i="8"/>
  <c r="AI102" i="8"/>
  <c r="W110" i="8"/>
  <c r="Z89" i="8"/>
  <c r="J113" i="8"/>
  <c r="AC108" i="8"/>
  <c r="BB117" i="8"/>
  <c r="H103" i="8"/>
  <c r="AK90" i="8"/>
  <c r="AD100" i="8"/>
  <c r="AF115" i="8"/>
  <c r="M98" i="8"/>
  <c r="AZ116" i="8"/>
  <c r="AV102" i="8"/>
  <c r="P110" i="8"/>
  <c r="BB89" i="8"/>
  <c r="AB104" i="8"/>
  <c r="K97" i="8"/>
  <c r="S260" i="8"/>
  <c r="AE91" i="8"/>
  <c r="AG107" i="8"/>
  <c r="AT119" i="8"/>
  <c r="S93" i="8"/>
  <c r="AR109" i="8"/>
  <c r="O111" i="8"/>
  <c r="AA104" i="8"/>
  <c r="K118" i="8"/>
  <c r="J260" i="8"/>
  <c r="W91" i="8"/>
  <c r="AI114" i="8"/>
  <c r="BC107" i="8"/>
  <c r="BC96" i="8"/>
  <c r="O101" i="8"/>
  <c r="M119" i="8"/>
  <c r="AF92" i="8"/>
  <c r="AN113" i="8"/>
  <c r="AZ108" i="8"/>
  <c r="S117" i="8"/>
  <c r="AB103" i="8"/>
  <c r="BA90" i="8"/>
  <c r="AM105" i="8"/>
  <c r="AM115" i="8"/>
  <c r="Q98" i="8"/>
  <c r="Q112" i="8"/>
  <c r="S102" i="8"/>
  <c r="AQ110" i="8"/>
  <c r="AL89" i="8"/>
  <c r="J107" i="8"/>
  <c r="AW119" i="8"/>
  <c r="V109" i="8"/>
  <c r="AE94" i="8"/>
  <c r="L111" i="8"/>
  <c r="X104" i="8"/>
  <c r="Q97" i="8"/>
  <c r="AT260" i="8"/>
  <c r="AQ114" i="8"/>
  <c r="AF99" i="8"/>
  <c r="AN96" i="8"/>
  <c r="AY101" i="8"/>
  <c r="AT88" i="8"/>
  <c r="AU92" i="8"/>
  <c r="AM113" i="8"/>
  <c r="Z108" i="8"/>
  <c r="Z95" i="8"/>
  <c r="S103" i="8"/>
  <c r="AW90" i="8"/>
  <c r="Z105" i="8"/>
  <c r="O100" i="8"/>
  <c r="Y98" i="8"/>
  <c r="BB112" i="8"/>
  <c r="AC116" i="8"/>
  <c r="J110" i="8"/>
  <c r="AJ89" i="8"/>
  <c r="L109" i="8"/>
  <c r="Q94" i="8"/>
  <c r="AZ104" i="8"/>
  <c r="AI101" i="8"/>
  <c r="AY109" i="8"/>
  <c r="AP94" i="8"/>
  <c r="M111" i="8"/>
  <c r="AO118" i="8"/>
  <c r="AY97" i="8"/>
  <c r="AR260" i="8"/>
  <c r="V114" i="8"/>
  <c r="U99" i="8"/>
  <c r="U107" i="8"/>
  <c r="S96" i="8"/>
  <c r="AB119" i="8"/>
  <c r="AQ88" i="8"/>
  <c r="AT92" i="8"/>
  <c r="G108" i="8"/>
  <c r="AA117" i="8"/>
  <c r="AJ95" i="8"/>
  <c r="AM103" i="8"/>
  <c r="AT105" i="8"/>
  <c r="AY100" i="8"/>
  <c r="N115" i="8"/>
  <c r="AU98" i="8"/>
  <c r="L116" i="8"/>
  <c r="AJ102" i="8"/>
  <c r="AJ110" i="8"/>
  <c r="P109" i="8"/>
  <c r="Q113" i="8"/>
  <c r="AN108" i="8"/>
  <c r="AR117" i="8"/>
  <c r="AU103" i="8"/>
  <c r="AM90" i="8"/>
  <c r="AC105" i="8"/>
  <c r="BA115" i="8"/>
  <c r="AI98" i="8"/>
  <c r="W112" i="8"/>
  <c r="AO102" i="8"/>
  <c r="AO110" i="8"/>
  <c r="I89" i="8"/>
  <c r="P94" i="8"/>
  <c r="AF97" i="8"/>
  <c r="BA260" i="8"/>
  <c r="R91" i="8"/>
  <c r="AM107" i="8"/>
  <c r="AA119" i="8"/>
  <c r="T93" i="8"/>
  <c r="AK109" i="8"/>
  <c r="AU94" i="8"/>
  <c r="AO104" i="8"/>
  <c r="AC118" i="8"/>
  <c r="Y97" i="8"/>
  <c r="AU91" i="8"/>
  <c r="N114" i="8"/>
  <c r="Z99" i="8"/>
  <c r="AL96" i="8"/>
  <c r="AF101" i="8"/>
  <c r="Q119" i="8"/>
  <c r="AI88" i="8"/>
  <c r="AR113" i="8"/>
  <c r="O108" i="8"/>
  <c r="Z117" i="8"/>
  <c r="AT103" i="8"/>
  <c r="AN90" i="8"/>
  <c r="V105" i="8"/>
  <c r="X100" i="8"/>
  <c r="L98" i="8"/>
  <c r="Z112" i="8"/>
  <c r="BA116" i="8"/>
  <c r="AE211" i="8"/>
  <c r="AC152" i="8"/>
  <c r="AG252" i="8"/>
  <c r="F150" i="8"/>
  <c r="U195" i="8"/>
  <c r="T224" i="8"/>
  <c r="AM246" i="8"/>
  <c r="AD228" i="8"/>
  <c r="Y203" i="8"/>
  <c r="P249" i="8"/>
  <c r="N159" i="8"/>
  <c r="AI61" i="8"/>
  <c r="S216" i="8"/>
  <c r="AJ172" i="8"/>
  <c r="K161" i="8"/>
  <c r="AQ246" i="8"/>
  <c r="AZ245" i="8"/>
  <c r="F226" i="8"/>
  <c r="AW248" i="8"/>
  <c r="AL203" i="8"/>
  <c r="S157" i="8"/>
  <c r="AE223" i="8"/>
  <c r="AM217" i="8"/>
  <c r="AQ240" i="8"/>
  <c r="AE216" i="8"/>
  <c r="AE68" i="8"/>
  <c r="AN206" i="8"/>
  <c r="J240" i="8"/>
  <c r="AF148" i="8"/>
  <c r="X236" i="8"/>
  <c r="BA66" i="8"/>
  <c r="AW259" i="8"/>
  <c r="Y195" i="8"/>
  <c r="U256" i="8"/>
  <c r="AB78" i="8"/>
  <c r="J210" i="8"/>
  <c r="J234" i="8"/>
  <c r="AI235" i="8"/>
  <c r="N229" i="8"/>
  <c r="AH244" i="8"/>
  <c r="H243" i="8"/>
  <c r="X167" i="8"/>
  <c r="AV64" i="8"/>
  <c r="AX204" i="8"/>
  <c r="BC231" i="8"/>
  <c r="AB241" i="8"/>
  <c r="K240" i="8"/>
  <c r="AI224" i="8"/>
  <c r="AC177" i="8"/>
  <c r="AM239" i="8"/>
  <c r="AD178" i="8"/>
  <c r="AE210" i="8"/>
  <c r="AV236" i="8"/>
  <c r="AU217" i="8"/>
  <c r="AR71" i="8"/>
  <c r="AU253" i="8"/>
  <c r="AY247" i="8"/>
  <c r="AZ229" i="8"/>
  <c r="L161" i="8"/>
  <c r="AN162" i="8"/>
  <c r="M174" i="8"/>
  <c r="AV252" i="8"/>
  <c r="BC234" i="8"/>
  <c r="O71" i="8"/>
  <c r="P155" i="8"/>
  <c r="AF227" i="8"/>
  <c r="AN207" i="8"/>
  <c r="T213" i="8"/>
  <c r="L258" i="8"/>
  <c r="AU240" i="8"/>
  <c r="AI211" i="8"/>
  <c r="T170" i="8"/>
  <c r="K163" i="8"/>
  <c r="P236" i="8"/>
  <c r="AX75" i="8"/>
  <c r="AL213" i="8"/>
  <c r="AY159" i="8"/>
  <c r="F253" i="8"/>
  <c r="AC239" i="8"/>
  <c r="F64" i="8"/>
  <c r="T178" i="8"/>
  <c r="J248" i="8"/>
  <c r="W249" i="8"/>
  <c r="AA249" i="8"/>
  <c r="AT61" i="8"/>
  <c r="R259" i="8"/>
  <c r="AO233" i="8"/>
  <c r="AS250" i="8"/>
  <c r="F245" i="8"/>
  <c r="AO241" i="8"/>
  <c r="N75" i="8"/>
  <c r="I222" i="8"/>
  <c r="AX227" i="8"/>
  <c r="Y254" i="8"/>
  <c r="M254" i="8"/>
  <c r="AN248" i="8"/>
  <c r="AH66" i="8"/>
  <c r="Q64" i="8"/>
  <c r="R224" i="8"/>
  <c r="T247" i="8"/>
  <c r="I240" i="8"/>
  <c r="AN246" i="8"/>
  <c r="AK63" i="8"/>
  <c r="AS213" i="8"/>
  <c r="AA256" i="8"/>
  <c r="K218" i="8"/>
  <c r="AN76" i="8"/>
  <c r="K255" i="8"/>
  <c r="AA248" i="8"/>
  <c r="K229" i="8"/>
  <c r="K253" i="8"/>
  <c r="X211" i="8"/>
  <c r="K257" i="8"/>
  <c r="BA68" i="8"/>
  <c r="AG177" i="8"/>
  <c r="P228" i="8"/>
  <c r="AH61" i="8"/>
  <c r="AH252" i="8"/>
  <c r="AL257" i="8"/>
  <c r="AU210" i="8"/>
  <c r="AP224" i="8"/>
  <c r="H204" i="8"/>
  <c r="AG212" i="8"/>
  <c r="AR76" i="8"/>
  <c r="AQ229" i="8"/>
  <c r="O69" i="8"/>
  <c r="M234" i="8"/>
  <c r="AL258" i="8"/>
  <c r="AN252" i="8"/>
  <c r="R222" i="8"/>
  <c r="AX243" i="8"/>
  <c r="O63" i="8"/>
  <c r="S174" i="8"/>
  <c r="AR243" i="8"/>
  <c r="BA211" i="8"/>
  <c r="Z239" i="8"/>
  <c r="BB63" i="8"/>
  <c r="AY67" i="8"/>
  <c r="AF163" i="8"/>
  <c r="X216" i="8"/>
  <c r="BB227" i="8"/>
  <c r="BC226" i="8"/>
  <c r="AM69" i="8"/>
  <c r="Q218" i="8"/>
  <c r="V195" i="8"/>
  <c r="AK64" i="8"/>
  <c r="U249" i="8"/>
  <c r="Y162" i="8"/>
  <c r="AT250" i="8"/>
  <c r="AJ70" i="8"/>
  <c r="AC246" i="8"/>
  <c r="S214" i="8"/>
  <c r="N257" i="8"/>
  <c r="AL211" i="8"/>
  <c r="V239" i="8"/>
  <c r="AX213" i="8"/>
  <c r="H63" i="8"/>
  <c r="L243" i="8"/>
  <c r="Z251" i="8"/>
  <c r="BB257" i="8"/>
  <c r="AQ255" i="8"/>
  <c r="K243" i="8"/>
  <c r="J241" i="8"/>
  <c r="AF216" i="8"/>
  <c r="L228" i="8"/>
  <c r="U66" i="8"/>
  <c r="W254" i="8"/>
  <c r="Q70" i="8"/>
  <c r="AN234" i="8"/>
  <c r="AT241" i="8"/>
  <c r="BB237" i="8"/>
  <c r="Q222" i="8"/>
  <c r="W63" i="8"/>
  <c r="H226" i="8"/>
  <c r="R254" i="8"/>
  <c r="I203" i="8"/>
  <c r="AJ212" i="8"/>
  <c r="AN63" i="8"/>
  <c r="I225" i="8"/>
  <c r="M252" i="8"/>
  <c r="AQ216" i="8"/>
  <c r="I228" i="8"/>
  <c r="AH203" i="8"/>
  <c r="AJ236" i="8"/>
  <c r="AM163" i="8"/>
  <c r="AM227" i="8"/>
  <c r="U240" i="8"/>
  <c r="AE237" i="8"/>
  <c r="AO224" i="8"/>
  <c r="O246" i="8"/>
  <c r="I241" i="8"/>
  <c r="AF241" i="8"/>
  <c r="AL62" i="8"/>
  <c r="BC247" i="8"/>
  <c r="AW216" i="8"/>
  <c r="N62" i="8"/>
  <c r="AV221" i="8"/>
  <c r="V68" i="8"/>
  <c r="AC259" i="8"/>
  <c r="BC213" i="8"/>
  <c r="AK214" i="8"/>
  <c r="O258" i="8"/>
  <c r="T235" i="8"/>
  <c r="K231" i="8"/>
  <c r="G258" i="8"/>
  <c r="AN195" i="8"/>
  <c r="AI251" i="8"/>
  <c r="AP61" i="8"/>
  <c r="AK238" i="8"/>
  <c r="Q240" i="8"/>
  <c r="AQ218" i="8"/>
  <c r="AH232" i="8"/>
  <c r="AT214" i="8"/>
  <c r="BC218" i="8"/>
  <c r="Z253" i="8"/>
  <c r="AQ256" i="8"/>
  <c r="AD248" i="8"/>
  <c r="AR166" i="8"/>
  <c r="K68" i="8"/>
  <c r="AF236" i="8"/>
  <c r="T231" i="8"/>
  <c r="Y238" i="8"/>
  <c r="AF257" i="8"/>
  <c r="G228" i="8"/>
  <c r="N61" i="8"/>
  <c r="S176" i="8"/>
  <c r="AQ206" i="8"/>
  <c r="AV204" i="8"/>
  <c r="AD242" i="8"/>
  <c r="AY221" i="8"/>
  <c r="AP75" i="8"/>
  <c r="AW258" i="8"/>
  <c r="S229" i="8"/>
  <c r="AT237" i="8"/>
  <c r="W71" i="8"/>
  <c r="F65" i="8"/>
  <c r="F119" i="8"/>
  <c r="F96" i="8"/>
  <c r="F104" i="8"/>
  <c r="F88" i="8"/>
  <c r="F109" i="8"/>
  <c r="F87" i="8"/>
  <c r="F86" i="8"/>
  <c r="U127" i="8"/>
  <c r="AV128" i="8"/>
  <c r="AK129" i="8"/>
  <c r="I129" i="8"/>
  <c r="Q65" i="8"/>
  <c r="AF128" i="8"/>
  <c r="AF129" i="8"/>
  <c r="AC128" i="8"/>
  <c r="AP123" i="8"/>
  <c r="AL123" i="8"/>
  <c r="AM65" i="8"/>
  <c r="T128" i="8"/>
  <c r="AX123" i="8"/>
  <c r="V129" i="8"/>
  <c r="U128" i="8"/>
  <c r="N129" i="8"/>
  <c r="BA127" i="8"/>
  <c r="AV65" i="8"/>
  <c r="AY65" i="8"/>
  <c r="AO128" i="8"/>
  <c r="BA123" i="8"/>
  <c r="AT129" i="8"/>
  <c r="AJ65" i="8"/>
  <c r="AJ128" i="8"/>
  <c r="AC123" i="8"/>
  <c r="P128" i="8"/>
  <c r="I123" i="8"/>
  <c r="Q129" i="8"/>
  <c r="AN65" i="8"/>
  <c r="S65" i="8"/>
  <c r="AX128" i="8"/>
  <c r="AM129" i="8"/>
  <c r="AX65" i="8"/>
  <c r="AP129" i="8"/>
  <c r="AG123" i="8"/>
  <c r="AZ129" i="8"/>
  <c r="O65" i="8"/>
  <c r="AT127" i="8"/>
  <c r="AB128" i="8"/>
  <c r="AB123" i="8"/>
  <c r="L129" i="8"/>
  <c r="S127" i="8"/>
  <c r="X65" i="8"/>
  <c r="H128" i="8"/>
  <c r="AU123" i="8"/>
  <c r="P129" i="8"/>
  <c r="AW128" i="8"/>
  <c r="AO129" i="8"/>
  <c r="AT123" i="8"/>
  <c r="AQ129" i="8"/>
  <c r="BC99" i="8"/>
  <c r="BB101" i="8"/>
  <c r="AR93" i="8"/>
  <c r="BB109" i="8"/>
  <c r="AV94" i="8"/>
  <c r="W104" i="8"/>
  <c r="AA118" i="8"/>
  <c r="AP97" i="8"/>
  <c r="AY260" i="8"/>
  <c r="T114" i="8"/>
  <c r="AZ99" i="8"/>
  <c r="AN107" i="8"/>
  <c r="AS96" i="8"/>
  <c r="AE119" i="8"/>
  <c r="W88" i="8"/>
  <c r="AP92" i="8"/>
  <c r="M108" i="8"/>
  <c r="X117" i="8"/>
  <c r="AW95" i="8"/>
  <c r="AP90" i="8"/>
  <c r="AQ105" i="8"/>
  <c r="R100" i="8"/>
  <c r="R98" i="8"/>
  <c r="AD112" i="8"/>
  <c r="T116" i="8"/>
  <c r="AE102" i="8"/>
  <c r="AW89" i="8"/>
  <c r="AJ93" i="8"/>
  <c r="W94" i="8"/>
  <c r="AT111" i="8"/>
  <c r="Z96" i="8"/>
  <c r="Z93" i="8"/>
  <c r="Y94" i="8"/>
  <c r="S111" i="8"/>
  <c r="AM118" i="8"/>
  <c r="AH97" i="8"/>
  <c r="O260" i="8"/>
  <c r="R114" i="8"/>
  <c r="S99" i="8"/>
  <c r="AI107" i="8"/>
  <c r="L101" i="8"/>
  <c r="J119" i="8"/>
  <c r="Z88" i="8"/>
  <c r="AX92" i="8"/>
  <c r="V108" i="8"/>
  <c r="AK117" i="8"/>
  <c r="T95" i="8"/>
  <c r="BB90" i="8"/>
  <c r="AE105" i="8"/>
  <c r="AW100" i="8"/>
  <c r="AB115" i="8"/>
  <c r="AW112" i="8"/>
  <c r="P116" i="8"/>
  <c r="BB102" i="8"/>
  <c r="AA89" i="8"/>
  <c r="S92" i="8"/>
  <c r="AT113" i="8"/>
  <c r="AO108" i="8"/>
  <c r="AG95" i="8"/>
  <c r="AK103" i="8"/>
  <c r="Z90" i="8"/>
  <c r="N105" i="8"/>
  <c r="AL115" i="8"/>
  <c r="AH98" i="8"/>
  <c r="AJ112" i="8"/>
  <c r="AA102" i="8"/>
  <c r="AV110" i="8"/>
  <c r="J89" i="8"/>
  <c r="AR118" i="8"/>
  <c r="W97" i="8"/>
  <c r="AT91" i="8"/>
  <c r="S114" i="8"/>
  <c r="P96" i="8"/>
  <c r="AL88" i="8"/>
  <c r="AT109" i="8"/>
  <c r="H94" i="8"/>
  <c r="T111" i="8"/>
  <c r="BC104" i="8"/>
  <c r="R97" i="8"/>
  <c r="AI260" i="8"/>
  <c r="X91" i="8"/>
  <c r="BB99" i="8"/>
  <c r="L107" i="8"/>
  <c r="AV96" i="8"/>
  <c r="L119" i="8"/>
  <c r="K88" i="8"/>
  <c r="T92" i="8"/>
  <c r="Z113" i="8"/>
  <c r="N117" i="8"/>
  <c r="AM95" i="8"/>
  <c r="AZ103" i="8"/>
  <c r="AY105" i="8"/>
  <c r="M100" i="8"/>
  <c r="X115" i="8"/>
  <c r="AN112" i="8"/>
  <c r="AE116" i="8"/>
  <c r="AS102" i="8"/>
  <c r="AQ89" i="8"/>
  <c r="AB99" i="8"/>
  <c r="AZ101" i="8"/>
  <c r="AU93" i="8"/>
  <c r="Y109" i="8"/>
  <c r="J94" i="8"/>
  <c r="G111" i="8"/>
  <c r="AZ118" i="8"/>
  <c r="L97" i="8"/>
  <c r="AF260" i="8"/>
  <c r="AG91" i="8"/>
  <c r="I99" i="8"/>
  <c r="K107" i="8"/>
  <c r="G96" i="8"/>
  <c r="P101" i="8"/>
  <c r="M88" i="8"/>
  <c r="AN92" i="8"/>
  <c r="AF108" i="8"/>
  <c r="AG117" i="8"/>
  <c r="AD95" i="8"/>
  <c r="P90" i="8"/>
  <c r="AP105" i="8"/>
  <c r="AX115" i="8"/>
  <c r="AN98" i="8"/>
  <c r="AC112" i="8"/>
  <c r="AN116" i="8"/>
  <c r="AC110" i="8"/>
  <c r="AP89" i="8"/>
  <c r="AM109" i="8"/>
  <c r="AL111" i="8"/>
  <c r="G99" i="8"/>
  <c r="O93" i="8"/>
  <c r="AC109" i="8"/>
  <c r="Q111" i="8"/>
  <c r="U104" i="8"/>
  <c r="AU118" i="8"/>
  <c r="R260" i="8"/>
  <c r="Y91" i="8"/>
  <c r="Q114" i="8"/>
  <c r="AL99" i="8"/>
  <c r="AB96" i="8"/>
  <c r="X101" i="8"/>
  <c r="AG88" i="8"/>
  <c r="AV92" i="8"/>
  <c r="P113" i="8"/>
  <c r="AU108" i="8"/>
  <c r="O95" i="8"/>
  <c r="AF103" i="8"/>
  <c r="H90" i="8"/>
  <c r="W100" i="8"/>
  <c r="R115" i="8"/>
  <c r="AB112" i="8"/>
  <c r="U116" i="8"/>
  <c r="AL102" i="8"/>
  <c r="AH110" i="8"/>
  <c r="AW92" i="8"/>
  <c r="AP113" i="8"/>
  <c r="H108" i="8"/>
  <c r="AS95" i="8"/>
  <c r="AO103" i="8"/>
  <c r="V90" i="8"/>
  <c r="BA100" i="8"/>
  <c r="K115" i="8"/>
  <c r="W98" i="8"/>
  <c r="M112" i="8"/>
  <c r="K102" i="8"/>
  <c r="Z110" i="8"/>
  <c r="AC89" i="8"/>
  <c r="BA118" i="8"/>
  <c r="N97" i="8"/>
  <c r="W260" i="8"/>
  <c r="AF114" i="8"/>
  <c r="H96" i="8"/>
  <c r="V88" i="8"/>
  <c r="K93" i="8"/>
  <c r="BC94" i="8"/>
  <c r="AQ111" i="8"/>
  <c r="AM104" i="8"/>
  <c r="X97" i="8"/>
  <c r="AM260" i="8"/>
  <c r="S91" i="8"/>
  <c r="AY114" i="8"/>
  <c r="AE99" i="8"/>
  <c r="AH96" i="8"/>
  <c r="AQ101" i="8"/>
  <c r="AO119" i="8"/>
  <c r="AL92" i="8"/>
  <c r="AG113" i="8"/>
  <c r="AD108" i="8"/>
  <c r="AF117" i="8"/>
  <c r="I103" i="8"/>
  <c r="AA90" i="8"/>
  <c r="M105" i="8"/>
  <c r="AG115" i="8"/>
  <c r="AZ98" i="8"/>
  <c r="G112" i="8"/>
  <c r="O102" i="8"/>
  <c r="AW110" i="8"/>
  <c r="AF89" i="8"/>
  <c r="AU99" i="8"/>
  <c r="N101" i="8"/>
  <c r="AM93" i="8"/>
  <c r="AX109" i="8"/>
  <c r="AS94" i="8"/>
  <c r="AB111" i="8"/>
  <c r="V118" i="8"/>
  <c r="AJ97" i="8"/>
  <c r="AO260" i="8"/>
  <c r="X114" i="8"/>
  <c r="BA99" i="8"/>
  <c r="T96" i="8"/>
  <c r="AV101" i="8"/>
  <c r="BA119" i="8"/>
  <c r="BA88" i="8"/>
  <c r="AL113" i="8"/>
  <c r="AT108" i="8"/>
  <c r="AX95" i="8"/>
  <c r="N103" i="8"/>
  <c r="R90" i="8"/>
  <c r="AL105" i="8"/>
  <c r="I115" i="8"/>
  <c r="AP98" i="8"/>
  <c r="AT112" i="8"/>
  <c r="AF102" i="8"/>
  <c r="L110" i="8"/>
  <c r="AY89" i="8"/>
  <c r="AK94" i="8"/>
  <c r="Z111" i="8"/>
  <c r="AD104" i="8"/>
  <c r="Y93" i="8"/>
  <c r="W109" i="8"/>
  <c r="AR94" i="8"/>
  <c r="AT104" i="8"/>
  <c r="Y118" i="8"/>
  <c r="AA97" i="8"/>
  <c r="L91" i="8"/>
  <c r="K114" i="8"/>
  <c r="J99" i="8"/>
  <c r="AQ107" i="8"/>
  <c r="I101" i="8"/>
  <c r="AP119" i="8"/>
  <c r="AD92" i="8"/>
  <c r="AH113" i="8"/>
  <c r="Q108" i="8"/>
  <c r="H117" i="8"/>
  <c r="BA103" i="8"/>
  <c r="AO90" i="8"/>
  <c r="T100" i="8"/>
  <c r="M115" i="8"/>
  <c r="BB98" i="8"/>
  <c r="AJ116" i="8"/>
  <c r="H102" i="8"/>
  <c r="AR110" i="8"/>
  <c r="BA92" i="8"/>
  <c r="K113" i="8"/>
  <c r="R108" i="8"/>
  <c r="AK95" i="8"/>
  <c r="AH103" i="8"/>
  <c r="BC105" i="8"/>
  <c r="AU100" i="8"/>
  <c r="Q115" i="8"/>
  <c r="AG112" i="8"/>
  <c r="AI116" i="8"/>
  <c r="AG102" i="8"/>
  <c r="AS110" i="8"/>
  <c r="R93" i="8"/>
  <c r="BB118" i="8"/>
  <c r="BB97" i="8"/>
  <c r="AJ91" i="8"/>
  <c r="BB114" i="8"/>
  <c r="AX96" i="8"/>
  <c r="AC88" i="8"/>
  <c r="AX93" i="8"/>
  <c r="AM94" i="8"/>
  <c r="AD111" i="8"/>
  <c r="BA104" i="8"/>
  <c r="AG97" i="8"/>
  <c r="L260" i="8"/>
  <c r="AO91" i="8"/>
  <c r="AM99" i="8"/>
  <c r="BA107" i="8"/>
  <c r="I96" i="8"/>
  <c r="M101" i="8"/>
  <c r="J88" i="8"/>
  <c r="P92" i="8"/>
  <c r="M113" i="8"/>
  <c r="AV117" i="8"/>
  <c r="AP95" i="8"/>
  <c r="AS103" i="8"/>
  <c r="AX90" i="8"/>
  <c r="AQ100" i="8"/>
  <c r="AA115" i="8"/>
  <c r="AA98" i="8"/>
  <c r="S116" i="8"/>
  <c r="U102" i="8"/>
  <c r="Q110" i="8"/>
  <c r="AG114" i="8"/>
  <c r="AK96" i="8"/>
  <c r="Z119" i="8"/>
  <c r="R109" i="8"/>
  <c r="AX94" i="8"/>
  <c r="V111" i="8"/>
  <c r="AN118" i="8"/>
  <c r="AT97" i="8"/>
  <c r="AA91" i="8"/>
  <c r="AT114" i="8"/>
  <c r="AX107" i="8"/>
  <c r="N96" i="8"/>
  <c r="AB101" i="8"/>
  <c r="AD88" i="8"/>
  <c r="M92" i="8"/>
  <c r="AJ113" i="8"/>
  <c r="AY117" i="8"/>
  <c r="J95" i="8"/>
  <c r="AP103" i="8"/>
  <c r="G90" i="8"/>
  <c r="AF100" i="8"/>
  <c r="P115" i="8"/>
  <c r="AL98" i="8"/>
  <c r="AL112" i="8"/>
  <c r="Q102" i="8"/>
  <c r="O110" i="8"/>
  <c r="AO89" i="8"/>
  <c r="AD109" i="8"/>
  <c r="AX111" i="8"/>
  <c r="AL104" i="8"/>
  <c r="G93" i="8"/>
  <c r="AN109" i="8"/>
  <c r="K94" i="8"/>
  <c r="M104" i="8"/>
  <c r="U118" i="8"/>
  <c r="AN97" i="8"/>
  <c r="AC91" i="8"/>
  <c r="L114" i="8"/>
  <c r="T99" i="8"/>
  <c r="AU96" i="8"/>
  <c r="AD101" i="8"/>
  <c r="O119" i="8"/>
  <c r="AJ88" i="8"/>
  <c r="S113" i="8"/>
  <c r="N108" i="8"/>
  <c r="R117" i="8"/>
  <c r="AT95" i="8"/>
  <c r="AH90" i="8"/>
  <c r="L105" i="8"/>
  <c r="BC100" i="8"/>
  <c r="U115" i="8"/>
  <c r="BA112" i="8"/>
  <c r="AK116" i="8"/>
  <c r="BC102" i="8"/>
  <c r="V89" i="8"/>
  <c r="X92" i="8"/>
  <c r="V113" i="8"/>
  <c r="W108" i="8"/>
  <c r="M95" i="8"/>
  <c r="U103" i="8"/>
  <c r="AY90" i="8"/>
  <c r="AS100" i="8"/>
  <c r="BB115" i="8"/>
  <c r="P98" i="8"/>
  <c r="AX116" i="8"/>
  <c r="AD102" i="8"/>
  <c r="AB110" i="8"/>
  <c r="M89" i="8"/>
  <c r="AY118" i="8"/>
  <c r="AE97" i="8"/>
  <c r="AQ260" i="8"/>
  <c r="Y114" i="8"/>
  <c r="Y107" i="8"/>
  <c r="P119" i="8"/>
  <c r="AI93" i="8"/>
  <c r="AL109" i="8"/>
  <c r="AC111" i="8"/>
  <c r="P104" i="8"/>
  <c r="AF118" i="8"/>
  <c r="AE260" i="8"/>
  <c r="J91" i="8"/>
  <c r="G114" i="8"/>
  <c r="AU107" i="8"/>
  <c r="AJ96" i="8"/>
  <c r="AT101" i="8"/>
  <c r="AX119" i="8"/>
  <c r="BB92" i="8"/>
  <c r="O113" i="8"/>
  <c r="AE108" i="8"/>
  <c r="AI95" i="8"/>
  <c r="Y103" i="8"/>
  <c r="AS90" i="8"/>
  <c r="AO105" i="8"/>
  <c r="V115" i="8"/>
  <c r="S98" i="8"/>
  <c r="AI112" i="8"/>
  <c r="T173" i="8"/>
  <c r="X169" i="8"/>
  <c r="AS215" i="8"/>
  <c r="Q171" i="8"/>
  <c r="U173" i="8"/>
  <c r="AC171" i="8"/>
  <c r="R244" i="8"/>
  <c r="X212" i="8"/>
  <c r="AI233" i="8"/>
  <c r="AT255" i="8"/>
  <c r="AB74" i="8"/>
  <c r="AD245" i="8"/>
  <c r="AS211" i="8"/>
  <c r="AG216" i="8"/>
  <c r="AA172" i="8"/>
  <c r="BC236" i="8"/>
  <c r="U215" i="8"/>
  <c r="I233" i="8"/>
  <c r="AV195" i="8"/>
  <c r="AX251" i="8"/>
  <c r="L230" i="8"/>
  <c r="S167" i="8"/>
  <c r="T70" i="8"/>
  <c r="BC222" i="8"/>
  <c r="Y231" i="8"/>
  <c r="Z226" i="8"/>
  <c r="V259" i="8"/>
  <c r="Q166" i="8"/>
  <c r="AJ61" i="8"/>
  <c r="BA197" i="8"/>
  <c r="AK216" i="8"/>
  <c r="Y222" i="8"/>
  <c r="AZ196" i="8"/>
  <c r="AG199" i="8"/>
  <c r="AU221" i="8"/>
  <c r="F212" i="8"/>
  <c r="N237" i="8"/>
  <c r="R216" i="8"/>
  <c r="AA217" i="8"/>
  <c r="AM231" i="8"/>
  <c r="AV69" i="8"/>
  <c r="AO240" i="8"/>
  <c r="AF230" i="8"/>
  <c r="W255" i="8"/>
  <c r="T197" i="8"/>
  <c r="W234" i="8"/>
  <c r="W225" i="8"/>
  <c r="AC247" i="8"/>
  <c r="O247" i="8"/>
  <c r="W69" i="8"/>
  <c r="Q234" i="8"/>
  <c r="AF226" i="8"/>
  <c r="G218" i="8"/>
  <c r="W253" i="8"/>
  <c r="H238" i="8"/>
  <c r="Z207" i="8"/>
  <c r="BA252" i="8"/>
  <c r="AV68" i="8"/>
  <c r="AZ198" i="8"/>
  <c r="F183" i="8"/>
  <c r="F187" i="8"/>
  <c r="H123" i="8"/>
  <c r="AW123" i="8"/>
  <c r="AR129" i="8"/>
  <c r="U129" i="8"/>
  <c r="M127" i="8"/>
  <c r="Z127" i="8"/>
  <c r="AE128" i="8"/>
  <c r="N65" i="8"/>
  <c r="AI128" i="8"/>
  <c r="P65" i="8"/>
  <c r="AD127" i="8"/>
  <c r="G129" i="8"/>
  <c r="AS129" i="8"/>
  <c r="I109" i="8"/>
  <c r="I97" i="8"/>
  <c r="P107" i="8"/>
  <c r="AX113" i="8"/>
  <c r="I90" i="8"/>
  <c r="AQ112" i="8"/>
  <c r="AV109" i="8"/>
  <c r="X109" i="8"/>
  <c r="S97" i="8"/>
  <c r="Q96" i="8"/>
  <c r="AB113" i="8"/>
  <c r="BC90" i="8"/>
  <c r="K112" i="8"/>
  <c r="AG92" i="8"/>
  <c r="AI103" i="8"/>
  <c r="AK98" i="8"/>
  <c r="BB93" i="8"/>
  <c r="AX99" i="8"/>
  <c r="I94" i="8"/>
  <c r="AW260" i="8"/>
  <c r="AP101" i="8"/>
  <c r="BA108" i="8"/>
  <c r="O105" i="8"/>
  <c r="AD116" i="8"/>
  <c r="AS101" i="8"/>
  <c r="AN104" i="8"/>
  <c r="AW114" i="8"/>
  <c r="Y119" i="8"/>
  <c r="BC117" i="8"/>
  <c r="AN115" i="8"/>
  <c r="AA110" i="8"/>
  <c r="AR96" i="8"/>
  <c r="Z104" i="8"/>
  <c r="I114" i="8"/>
  <c r="AR88" i="8"/>
  <c r="BC95" i="8"/>
  <c r="J98" i="8"/>
  <c r="S89" i="8"/>
  <c r="S95" i="8"/>
  <c r="AC115" i="8"/>
  <c r="AY110" i="8"/>
  <c r="AZ91" i="8"/>
  <c r="AQ109" i="8"/>
  <c r="Z97" i="8"/>
  <c r="T107" i="8"/>
  <c r="AM92" i="8"/>
  <c r="AW103" i="8"/>
  <c r="AV98" i="8"/>
  <c r="AX89" i="8"/>
  <c r="G109" i="8"/>
  <c r="AK97" i="8"/>
  <c r="AM96" i="8"/>
  <c r="AY113" i="8"/>
  <c r="N90" i="8"/>
  <c r="BB116" i="8"/>
  <c r="AT94" i="8"/>
  <c r="BB94" i="8"/>
  <c r="M260" i="8"/>
  <c r="AG96" i="8"/>
  <c r="X113" i="8"/>
  <c r="AG105" i="8"/>
  <c r="AV116" i="8"/>
  <c r="AA113" i="8"/>
  <c r="U105" i="8"/>
  <c r="AO116" i="8"/>
  <c r="S118" i="8"/>
  <c r="W101" i="8"/>
  <c r="X111" i="8"/>
  <c r="AP114" i="8"/>
  <c r="R119" i="8"/>
  <c r="T117" i="8"/>
  <c r="AK100" i="8"/>
  <c r="AT102" i="8"/>
  <c r="BA93" i="8"/>
  <c r="G118" i="8"/>
  <c r="AD107" i="8"/>
  <c r="BC113" i="8"/>
  <c r="L90" i="8"/>
  <c r="T98" i="8"/>
  <c r="N89" i="8"/>
  <c r="AL93" i="8"/>
  <c r="AG118" i="8"/>
  <c r="AO107" i="8"/>
  <c r="AU101" i="8"/>
  <c r="AH92" i="8"/>
  <c r="AB117" i="8"/>
  <c r="X103" i="8"/>
  <c r="AX100" i="8"/>
  <c r="N98" i="8"/>
  <c r="AQ102" i="8"/>
  <c r="AV89" i="8"/>
  <c r="L108" i="8"/>
  <c r="AA95" i="8"/>
  <c r="AJ105" i="8"/>
  <c r="V98" i="8"/>
  <c r="Y116" i="8"/>
  <c r="AS89" i="8"/>
  <c r="AI118" i="8"/>
  <c r="I91" i="8"/>
  <c r="R101" i="8"/>
  <c r="AW109" i="8"/>
  <c r="AR111" i="8"/>
  <c r="G97" i="8"/>
  <c r="AB114" i="8"/>
  <c r="AB107" i="8"/>
  <c r="BC119" i="8"/>
  <c r="J92" i="8"/>
  <c r="W117" i="8"/>
  <c r="L103" i="8"/>
  <c r="AN100" i="8"/>
  <c r="Z98" i="8"/>
  <c r="AC102" i="8"/>
  <c r="AD110" i="8"/>
  <c r="R89" i="8"/>
  <c r="AM80" i="8"/>
  <c r="AA220" i="8"/>
  <c r="BB81" i="8"/>
  <c r="V87" i="8"/>
  <c r="AD85" i="8"/>
  <c r="AW84" i="8"/>
  <c r="AL82" i="8"/>
  <c r="P83" i="8"/>
  <c r="H219" i="8"/>
  <c r="BC202" i="8"/>
  <c r="AG80" i="8"/>
  <c r="AR81" i="8"/>
  <c r="AK87" i="8"/>
  <c r="O86" i="8"/>
  <c r="G84" i="8"/>
  <c r="P82" i="8"/>
  <c r="L201" i="8"/>
  <c r="W219" i="8"/>
  <c r="AD202" i="8"/>
  <c r="AK220" i="8"/>
  <c r="K81" i="8"/>
  <c r="BB87" i="8"/>
  <c r="W86" i="8"/>
  <c r="AD84" i="8"/>
  <c r="K82" i="8"/>
  <c r="AB201" i="8"/>
  <c r="S219" i="8"/>
  <c r="P202" i="8"/>
  <c r="AG202" i="8"/>
  <c r="AN80" i="8"/>
  <c r="AC81" i="8"/>
  <c r="R87" i="8"/>
  <c r="AG86" i="8"/>
  <c r="R84" i="8"/>
  <c r="AQ82" i="8"/>
  <c r="BB201" i="8"/>
  <c r="AS219" i="8"/>
  <c r="AY202" i="8"/>
  <c r="AL80" i="8"/>
  <c r="Q81" i="8"/>
  <c r="AL87" i="8"/>
  <c r="I86" i="8"/>
  <c r="AE84" i="8"/>
  <c r="L82" i="8"/>
  <c r="AH201" i="8"/>
  <c r="AK219" i="8"/>
  <c r="AH202" i="8"/>
  <c r="AT80" i="8"/>
  <c r="I220" i="8"/>
  <c r="L87" i="8"/>
  <c r="AE86" i="8"/>
  <c r="Q84" i="8"/>
  <c r="AR82" i="8"/>
  <c r="T201" i="8"/>
  <c r="AW219" i="8"/>
  <c r="AK202" i="8"/>
  <c r="AF80" i="8"/>
  <c r="T220" i="8"/>
  <c r="AX87" i="8"/>
  <c r="AK86" i="8"/>
  <c r="P85" i="8"/>
  <c r="AG84" i="8"/>
  <c r="AY82" i="8"/>
  <c r="AC83" i="8"/>
  <c r="Q219" i="8"/>
  <c r="U202" i="8"/>
  <c r="AY220" i="8"/>
  <c r="AC87" i="8"/>
  <c r="U85" i="8"/>
  <c r="BC201" i="8"/>
  <c r="N219" i="8"/>
  <c r="AV220" i="8"/>
  <c r="BC87" i="8"/>
  <c r="AW85" i="8"/>
  <c r="P84" i="8"/>
  <c r="AN201" i="8"/>
  <c r="AD83" i="8"/>
  <c r="AP219" i="8"/>
  <c r="AS220" i="8"/>
  <c r="AP81" i="8"/>
  <c r="H87" i="8"/>
  <c r="AQ85" i="8"/>
  <c r="AL84" i="8"/>
  <c r="AC82" i="8"/>
  <c r="H83" i="8"/>
  <c r="AQ219" i="8"/>
  <c r="AK80" i="8"/>
  <c r="J81" i="8"/>
  <c r="AB87" i="8"/>
  <c r="AC86" i="8"/>
  <c r="V201" i="8"/>
  <c r="V202" i="8"/>
  <c r="N80" i="8"/>
  <c r="P220" i="8"/>
  <c r="U87" i="8"/>
  <c r="AP86" i="8"/>
  <c r="AB85" i="8"/>
  <c r="AR84" i="8"/>
  <c r="AO201" i="8"/>
  <c r="R83" i="8"/>
  <c r="AZ202" i="8"/>
  <c r="G80" i="8"/>
  <c r="AU220" i="8"/>
  <c r="AM87" i="8"/>
  <c r="AY86" i="8"/>
  <c r="V85" i="8"/>
  <c r="AM84" i="8"/>
  <c r="AU201" i="8"/>
  <c r="AM83" i="8"/>
  <c r="K219" i="8"/>
  <c r="AI80" i="8"/>
  <c r="AH220" i="8"/>
  <c r="AT81" i="8"/>
  <c r="AR86" i="8"/>
  <c r="BA85" i="8"/>
  <c r="X82" i="8"/>
  <c r="BA201" i="8"/>
  <c r="N83" i="8"/>
  <c r="AR219" i="8"/>
  <c r="W80" i="8"/>
  <c r="AM220" i="8"/>
  <c r="AJ81" i="8"/>
  <c r="BA87" i="8"/>
  <c r="AO85" i="8"/>
  <c r="AH84" i="8"/>
  <c r="M82" i="8"/>
  <c r="AG201" i="8"/>
  <c r="AB219" i="8"/>
  <c r="I202" i="8"/>
  <c r="J80" i="8"/>
  <c r="N220" i="8"/>
  <c r="AT87" i="8"/>
  <c r="J86" i="8"/>
  <c r="BA84" i="8"/>
  <c r="AP82" i="8"/>
  <c r="W201" i="8"/>
  <c r="AO219" i="8"/>
  <c r="AZ220" i="8"/>
  <c r="BA86" i="8"/>
  <c r="T82" i="8"/>
  <c r="T83" i="8"/>
  <c r="Z80" i="8"/>
  <c r="AS87" i="8"/>
  <c r="AL202" i="8"/>
  <c r="AY84" i="8"/>
  <c r="Y82" i="8"/>
  <c r="M219" i="8"/>
  <c r="AV184" i="8"/>
  <c r="N188" i="8"/>
  <c r="AF191" i="8"/>
  <c r="AM179" i="8"/>
  <c r="AM183" i="8"/>
  <c r="AN190" i="8"/>
  <c r="R181" i="8"/>
  <c r="S184" i="8"/>
  <c r="AU189" i="8"/>
  <c r="AA182" i="8"/>
  <c r="AK188" i="8"/>
  <c r="N180" i="8"/>
  <c r="O186" i="8"/>
  <c r="I191" i="8"/>
  <c r="I192" i="8"/>
  <c r="M183" i="8"/>
  <c r="H190" i="8"/>
  <c r="S185" i="8"/>
  <c r="AI189" i="8"/>
  <c r="AC187" i="8"/>
  <c r="P180" i="8"/>
  <c r="AQ191" i="8"/>
  <c r="AA185" i="8"/>
  <c r="K184" i="8"/>
  <c r="P182" i="8"/>
  <c r="AE187" i="8"/>
  <c r="AZ188" i="8"/>
  <c r="AU180" i="8"/>
  <c r="M186" i="8"/>
  <c r="Q179" i="8"/>
  <c r="AF192" i="8"/>
  <c r="X190" i="8"/>
  <c r="AM181" i="8"/>
  <c r="BC185" i="8"/>
  <c r="AG184" i="8"/>
  <c r="AU182" i="8"/>
  <c r="BB187" i="8"/>
  <c r="AV188" i="8"/>
  <c r="AF180" i="8"/>
  <c r="K191" i="8"/>
  <c r="AB179" i="8"/>
  <c r="R192" i="8"/>
  <c r="I183" i="8"/>
  <c r="AT179" i="8"/>
  <c r="AN191" i="8"/>
  <c r="H185" i="8"/>
  <c r="I182" i="8"/>
  <c r="X191" i="8"/>
  <c r="AI192" i="8"/>
  <c r="AI190" i="8"/>
  <c r="R188" i="8"/>
  <c r="V191" i="8"/>
  <c r="AD179" i="8"/>
  <c r="AL187" i="8"/>
  <c r="AH180" i="8"/>
  <c r="AH186" i="8"/>
  <c r="V179" i="8"/>
  <c r="O183" i="8"/>
  <c r="AC185" i="8"/>
  <c r="T182" i="8"/>
  <c r="M192" i="8"/>
  <c r="AO190" i="8"/>
  <c r="AN184" i="8"/>
  <c r="Z188" i="8"/>
  <c r="AR191" i="8"/>
  <c r="T192" i="8"/>
  <c r="AY183" i="8"/>
  <c r="AQ190" i="8"/>
  <c r="AT185" i="8"/>
  <c r="J184" i="8"/>
  <c r="AH189" i="8"/>
  <c r="AC182" i="8"/>
  <c r="AB188" i="8"/>
  <c r="U180" i="8"/>
  <c r="G186" i="8"/>
  <c r="H179" i="8"/>
  <c r="AS192" i="8"/>
  <c r="AX190" i="8"/>
  <c r="AR181" i="8"/>
  <c r="P189" i="8"/>
  <c r="U182" i="8"/>
  <c r="Q186" i="8"/>
  <c r="AV185" i="8"/>
  <c r="AB182" i="8"/>
  <c r="AX188" i="8"/>
  <c r="Y180" i="8"/>
  <c r="AO191" i="8"/>
  <c r="P179" i="8"/>
  <c r="AP192" i="8"/>
  <c r="G190" i="8"/>
  <c r="AA181" i="8"/>
  <c r="AK185" i="8"/>
  <c r="Q184" i="8"/>
  <c r="AL182" i="8"/>
  <c r="P187" i="8"/>
  <c r="AW180" i="8"/>
  <c r="AT186" i="8"/>
  <c r="AT192" i="8"/>
  <c r="G181" i="8"/>
  <c r="U179" i="8"/>
  <c r="Z183" i="8"/>
  <c r="AF181" i="8"/>
  <c r="AE185" i="8"/>
  <c r="AU184" i="8"/>
  <c r="H182" i="8"/>
  <c r="AN187" i="8"/>
  <c r="AE180" i="8"/>
  <c r="AU191" i="8"/>
  <c r="AQ183" i="8"/>
  <c r="AG185" i="8"/>
  <c r="M182" i="8"/>
  <c r="Z186" i="8"/>
  <c r="AN185" i="8"/>
  <c r="AU192" i="8"/>
  <c r="AX181" i="8"/>
  <c r="AK184" i="8"/>
  <c r="L187" i="8"/>
  <c r="W180" i="8"/>
  <c r="AA192" i="8"/>
  <c r="O181" i="8"/>
  <c r="AK182" i="8"/>
  <c r="O180" i="8"/>
  <c r="T179" i="8"/>
  <c r="AM192" i="8"/>
  <c r="AC190" i="8"/>
  <c r="AN181" i="8"/>
  <c r="P185" i="8"/>
  <c r="I189" i="8"/>
  <c r="AD182" i="8"/>
  <c r="H187" i="8"/>
  <c r="AN180" i="8"/>
  <c r="AF186" i="8"/>
  <c r="AI191" i="8"/>
  <c r="Z179" i="8"/>
  <c r="N183" i="8"/>
  <c r="AJ190" i="8"/>
  <c r="AH184" i="8"/>
  <c r="Y182" i="8"/>
  <c r="AP188" i="8"/>
  <c r="Y186" i="8"/>
  <c r="Q181" i="8"/>
  <c r="AW185" i="8"/>
  <c r="N184" i="8"/>
  <c r="AF182" i="8"/>
  <c r="AO187" i="8"/>
  <c r="AA180" i="8"/>
  <c r="K186" i="8"/>
  <c r="AV191" i="8"/>
  <c r="H192" i="8"/>
  <c r="U183" i="8"/>
  <c r="AA190" i="8"/>
  <c r="N185" i="8"/>
  <c r="AX184" i="8"/>
  <c r="AB189" i="8"/>
  <c r="AR182" i="8"/>
  <c r="BB188" i="8"/>
  <c r="AZ180" i="8"/>
  <c r="BB191" i="8"/>
  <c r="G179" i="8"/>
  <c r="AB192" i="8"/>
  <c r="AN183" i="8"/>
  <c r="L185" i="8"/>
  <c r="L180" i="8"/>
  <c r="S192" i="8"/>
  <c r="T184" i="8"/>
  <c r="AJ180" i="8"/>
  <c r="AZ181" i="8"/>
  <c r="BA189" i="8"/>
  <c r="J182" i="8"/>
  <c r="AG189" i="8"/>
  <c r="R186" i="8"/>
  <c r="AO193" i="8"/>
  <c r="AX193" i="8"/>
  <c r="S193" i="8"/>
  <c r="G194" i="8"/>
  <c r="U194" i="8"/>
  <c r="X193" i="8"/>
  <c r="AZ194" i="8"/>
  <c r="AM194" i="8"/>
  <c r="AM193" i="8"/>
  <c r="J194" i="8"/>
  <c r="AD193" i="8"/>
  <c r="BB193" i="8"/>
  <c r="AR193" i="8"/>
  <c r="AL194" i="8"/>
  <c r="U193" i="8"/>
  <c r="Q193" i="8"/>
  <c r="P194" i="8"/>
  <c r="AK194" i="8"/>
  <c r="AQ194" i="8"/>
  <c r="V194" i="8"/>
  <c r="BA193" i="8"/>
  <c r="AQ193" i="8"/>
  <c r="R194" i="8"/>
  <c r="AR194" i="8"/>
  <c r="AT194" i="8"/>
  <c r="J185" i="8"/>
  <c r="AS183" i="8"/>
  <c r="AI184" i="8"/>
  <c r="AV187" i="8"/>
  <c r="AO180" i="8"/>
  <c r="AO179" i="8"/>
  <c r="AG183" i="8"/>
  <c r="AK189" i="8"/>
  <c r="M191" i="8"/>
  <c r="AO184" i="8"/>
  <c r="AA187" i="8"/>
  <c r="Q180" i="8"/>
  <c r="AE179" i="8"/>
  <c r="AN192" i="8"/>
  <c r="AK181" i="8"/>
  <c r="L189" i="8"/>
  <c r="AI187" i="8"/>
  <c r="J186" i="8"/>
  <c r="AL179" i="8"/>
  <c r="AV183" i="8"/>
  <c r="AB187" i="8"/>
  <c r="AP190" i="8"/>
  <c r="AX182" i="8"/>
  <c r="AQ184" i="8"/>
  <c r="J187" i="8"/>
  <c r="AT191" i="8"/>
  <c r="AV194" i="8"/>
  <c r="AI194" i="8"/>
  <c r="AL193" i="8"/>
  <c r="I193" i="8"/>
  <c r="AY194" i="8"/>
  <c r="K193" i="8"/>
  <c r="AK193" i="8"/>
  <c r="AD194" i="8"/>
  <c r="M193" i="8"/>
  <c r="AJ193" i="8"/>
  <c r="L193" i="8"/>
  <c r="AH193" i="8"/>
  <c r="K148" i="8"/>
  <c r="Q211" i="8"/>
  <c r="AM167" i="8"/>
  <c r="AW207" i="8"/>
  <c r="AS246" i="8"/>
  <c r="AJ156" i="8"/>
  <c r="AB256" i="8"/>
  <c r="AT77" i="8"/>
  <c r="X66" i="8"/>
  <c r="AQ225" i="8"/>
  <c r="AW233" i="8"/>
  <c r="AL238" i="8"/>
  <c r="AR171" i="8"/>
  <c r="AO250" i="8"/>
  <c r="AF259" i="8"/>
  <c r="AN71" i="8"/>
  <c r="AA259" i="8"/>
  <c r="F230" i="8"/>
  <c r="S233" i="8"/>
  <c r="AZ74" i="8"/>
  <c r="AG169" i="8"/>
  <c r="AZ253" i="8"/>
  <c r="AJ74" i="8"/>
  <c r="AA227" i="8"/>
  <c r="AB244" i="8"/>
  <c r="AC249" i="8"/>
  <c r="T239" i="8"/>
  <c r="P244" i="8"/>
  <c r="L250" i="8"/>
  <c r="AH223" i="8"/>
  <c r="P198" i="8"/>
  <c r="K249" i="8"/>
  <c r="AZ256" i="8"/>
  <c r="AQ70" i="8"/>
  <c r="AS216" i="8"/>
  <c r="X249" i="8"/>
  <c r="Z222" i="8"/>
  <c r="W232" i="8"/>
  <c r="J197" i="8"/>
  <c r="M209" i="8"/>
  <c r="AD223" i="8"/>
  <c r="AW197" i="8"/>
  <c r="W243" i="8"/>
  <c r="S222" i="8"/>
  <c r="F255" i="8"/>
  <c r="AD227" i="8"/>
  <c r="AL217" i="8"/>
  <c r="AZ63" i="8"/>
  <c r="AE217" i="8"/>
  <c r="L165" i="8"/>
  <c r="F238" i="8"/>
  <c r="G216" i="8"/>
  <c r="R245" i="8"/>
  <c r="BC233" i="8"/>
  <c r="Q258" i="8"/>
  <c r="AN222" i="8"/>
  <c r="V243" i="8"/>
  <c r="J77" i="8"/>
  <c r="AV250" i="8"/>
  <c r="F181" i="8"/>
  <c r="F201" i="8"/>
  <c r="G128" i="8"/>
  <c r="AP127" i="8"/>
  <c r="W127" i="8"/>
  <c r="AI123" i="8"/>
  <c r="AR65" i="8"/>
  <c r="M65" i="8"/>
  <c r="BB123" i="8"/>
  <c r="M128" i="8"/>
  <c r="AF123" i="8"/>
  <c r="Q128" i="8"/>
  <c r="V65" i="8"/>
  <c r="Z123" i="8"/>
  <c r="S107" i="8"/>
  <c r="AJ111" i="8"/>
  <c r="AN91" i="8"/>
  <c r="V101" i="8"/>
  <c r="K108" i="8"/>
  <c r="AV105" i="8"/>
  <c r="AF116" i="8"/>
  <c r="T94" i="8"/>
  <c r="G94" i="8"/>
  <c r="AS91" i="8"/>
  <c r="T101" i="8"/>
  <c r="AK108" i="8"/>
  <c r="J105" i="8"/>
  <c r="G116" i="8"/>
  <c r="U113" i="8"/>
  <c r="AB105" i="8"/>
  <c r="AT116" i="8"/>
  <c r="AH118" i="8"/>
  <c r="AN101" i="8"/>
  <c r="AP104" i="8"/>
  <c r="AM114" i="8"/>
  <c r="K119" i="8"/>
  <c r="U117" i="8"/>
  <c r="S100" i="8"/>
  <c r="Y110" i="8"/>
  <c r="V93" i="8"/>
  <c r="AL118" i="8"/>
  <c r="AG99" i="8"/>
  <c r="AV88" i="8"/>
  <c r="P103" i="8"/>
  <c r="H98" i="8"/>
  <c r="P93" i="8"/>
  <c r="AG93" i="8"/>
  <c r="M97" i="8"/>
  <c r="AR107" i="8"/>
  <c r="I92" i="8"/>
  <c r="R103" i="8"/>
  <c r="H112" i="8"/>
  <c r="O92" i="8"/>
  <c r="AX103" i="8"/>
  <c r="U98" i="8"/>
  <c r="H93" i="8"/>
  <c r="AX114" i="8"/>
  <c r="AI94" i="8"/>
  <c r="AN260" i="8"/>
  <c r="K96" i="8"/>
  <c r="I113" i="8"/>
  <c r="O90" i="8"/>
  <c r="AH116" i="8"/>
  <c r="Q107" i="8"/>
  <c r="R94" i="8"/>
  <c r="AI91" i="8"/>
  <c r="K101" i="8"/>
  <c r="P117" i="8"/>
  <c r="AA100" i="8"/>
  <c r="L102" i="8"/>
  <c r="Y111" i="8"/>
  <c r="H111" i="8"/>
  <c r="AP91" i="8"/>
  <c r="AR101" i="8"/>
  <c r="J108" i="8"/>
  <c r="AJ100" i="8"/>
  <c r="AX102" i="8"/>
  <c r="O117" i="8"/>
  <c r="G100" i="8"/>
  <c r="BA102" i="8"/>
  <c r="AU260" i="8"/>
  <c r="AF88" i="8"/>
  <c r="M118" i="8"/>
  <c r="Y99" i="8"/>
  <c r="AB88" i="8"/>
  <c r="AN95" i="8"/>
  <c r="AH115" i="8"/>
  <c r="Q89" i="8"/>
  <c r="BC109" i="8"/>
  <c r="AD97" i="8"/>
  <c r="AI96" i="8"/>
  <c r="S108" i="8"/>
  <c r="H105" i="8"/>
  <c r="M116" i="8"/>
  <c r="AH94" i="8"/>
  <c r="AZ109" i="8"/>
  <c r="V260" i="8"/>
  <c r="V96" i="8"/>
  <c r="AZ119" i="8"/>
  <c r="H113" i="8"/>
  <c r="AH95" i="8"/>
  <c r="S90" i="8"/>
  <c r="O115" i="8"/>
  <c r="AH112" i="8"/>
  <c r="AK110" i="8"/>
  <c r="K92" i="8"/>
  <c r="AM117" i="8"/>
  <c r="M103" i="8"/>
  <c r="Y100" i="8"/>
  <c r="AX112" i="8"/>
  <c r="T102" i="8"/>
  <c r="AF93" i="8"/>
  <c r="AO97" i="8"/>
  <c r="M114" i="8"/>
  <c r="G88" i="8"/>
  <c r="AY94" i="8"/>
  <c r="BB104" i="8"/>
  <c r="AZ260" i="8"/>
  <c r="AT99" i="8"/>
  <c r="AD96" i="8"/>
  <c r="H88" i="8"/>
  <c r="BB113" i="8"/>
  <c r="AE95" i="8"/>
  <c r="T90" i="8"/>
  <c r="H115" i="8"/>
  <c r="I112" i="8"/>
  <c r="R102" i="8"/>
  <c r="AE110" i="8"/>
  <c r="BB202" i="8"/>
  <c r="R80" i="8"/>
  <c r="AO220" i="8"/>
  <c r="AH87" i="8"/>
  <c r="AZ86" i="8"/>
  <c r="AJ85" i="8"/>
  <c r="AU84" i="8"/>
  <c r="AS201" i="8"/>
  <c r="AI83" i="8"/>
  <c r="Y219" i="8"/>
  <c r="K202" i="8"/>
  <c r="J220" i="8"/>
  <c r="N81" i="8"/>
  <c r="W87" i="8"/>
  <c r="AV85" i="8"/>
  <c r="AK84" i="8"/>
  <c r="AJ82" i="8"/>
  <c r="U83" i="8"/>
  <c r="AZ219" i="8"/>
  <c r="AY80" i="8"/>
  <c r="AC220" i="8"/>
  <c r="AI81" i="8"/>
  <c r="AF86" i="8"/>
  <c r="AH85" i="8"/>
  <c r="O84" i="8"/>
  <c r="AD82" i="8"/>
  <c r="AF83" i="8"/>
  <c r="L219" i="8"/>
  <c r="R202" i="8"/>
  <c r="J202" i="8"/>
  <c r="S220" i="8"/>
  <c r="L81" i="8"/>
  <c r="Q87" i="8"/>
  <c r="K85" i="8"/>
  <c r="AZ84" i="8"/>
  <c r="H82" i="8"/>
  <c r="K83" i="8"/>
  <c r="AU219" i="8"/>
  <c r="BB80" i="8"/>
  <c r="G220" i="8"/>
  <c r="AM81" i="8"/>
  <c r="AF87" i="8"/>
  <c r="O85" i="8"/>
  <c r="BB84" i="8"/>
  <c r="N82" i="8"/>
  <c r="AO83" i="8"/>
  <c r="U219" i="8"/>
  <c r="M202" i="8"/>
  <c r="L80" i="8"/>
  <c r="AO81" i="8"/>
  <c r="J87" i="8"/>
  <c r="AY85" i="8"/>
  <c r="Y84" i="8"/>
  <c r="AR201" i="8"/>
  <c r="AP83" i="8"/>
  <c r="AG219" i="8"/>
  <c r="AT202" i="8"/>
  <c r="AE80" i="8"/>
  <c r="I81" i="8"/>
  <c r="AW87" i="8"/>
  <c r="AL86" i="8"/>
  <c r="AG85" i="8"/>
  <c r="AC84" i="8"/>
  <c r="AI201" i="8"/>
  <c r="AX83" i="8"/>
  <c r="R219" i="8"/>
  <c r="AP202" i="8"/>
  <c r="BA81" i="8"/>
  <c r="G86" i="8"/>
  <c r="AF84" i="8"/>
  <c r="AX201" i="8"/>
  <c r="AR202" i="8"/>
  <c r="AL81" i="8"/>
  <c r="S86" i="8"/>
  <c r="U84" i="8"/>
  <c r="AW82" i="8"/>
  <c r="O201" i="8"/>
  <c r="AY83" i="8"/>
  <c r="AC202" i="8"/>
  <c r="AR220" i="8"/>
  <c r="AE81" i="8"/>
  <c r="N86" i="8"/>
  <c r="Z85" i="8"/>
  <c r="AI84" i="8"/>
  <c r="Z201" i="8"/>
  <c r="S83" i="8"/>
  <c r="AE219" i="8"/>
  <c r="L220" i="8"/>
  <c r="O81" i="8"/>
  <c r="AE87" i="8"/>
  <c r="AD86" i="8"/>
  <c r="AK83" i="8"/>
  <c r="X202" i="8"/>
  <c r="S80" i="8"/>
  <c r="U81" i="8"/>
  <c r="AA87" i="8"/>
  <c r="AT86" i="8"/>
  <c r="Y85" i="8"/>
  <c r="AA82" i="8"/>
  <c r="Y201" i="8"/>
  <c r="AX219" i="8"/>
  <c r="Q202" i="8"/>
  <c r="Y80" i="8"/>
  <c r="AY81" i="8"/>
  <c r="AG87" i="8"/>
  <c r="T86" i="8"/>
  <c r="L85" i="8"/>
  <c r="AX82" i="8"/>
  <c r="J201" i="8"/>
  <c r="L83" i="8"/>
  <c r="BA202" i="8"/>
  <c r="AB80" i="8"/>
  <c r="M220" i="8"/>
  <c r="Z87" i="8"/>
  <c r="R86" i="8"/>
  <c r="K84" i="8"/>
  <c r="AN82" i="8"/>
  <c r="R201" i="8"/>
  <c r="V219" i="8"/>
  <c r="AV202" i="8"/>
  <c r="AQ80" i="8"/>
  <c r="AT220" i="8"/>
  <c r="AF81" i="8"/>
  <c r="AX86" i="8"/>
  <c r="AE85" i="8"/>
  <c r="AO84" i="8"/>
  <c r="AF201" i="8"/>
  <c r="BB83" i="8"/>
  <c r="P219" i="8"/>
  <c r="AU202" i="8"/>
  <c r="V220" i="8"/>
  <c r="AB81" i="8"/>
  <c r="AD87" i="8"/>
  <c r="AU85" i="8"/>
  <c r="I84" i="8"/>
  <c r="W82" i="8"/>
  <c r="AU83" i="8"/>
  <c r="AM219" i="8"/>
  <c r="BB220" i="8"/>
  <c r="BB86" i="8"/>
  <c r="J82" i="8"/>
  <c r="AY219" i="8"/>
  <c r="AP220" i="8"/>
  <c r="S87" i="8"/>
  <c r="AZ85" i="8"/>
  <c r="AV84" i="8"/>
  <c r="AV201" i="8"/>
  <c r="AS181" i="8"/>
  <c r="AP184" i="8"/>
  <c r="H180" i="8"/>
  <c r="AR179" i="8"/>
  <c r="AG192" i="8"/>
  <c r="AT183" i="8"/>
  <c r="T190" i="8"/>
  <c r="Q185" i="8"/>
  <c r="L184" i="8"/>
  <c r="AZ189" i="8"/>
  <c r="S187" i="8"/>
  <c r="J188" i="8"/>
  <c r="X180" i="8"/>
  <c r="AW186" i="8"/>
  <c r="AG179" i="8"/>
  <c r="Q192" i="8"/>
  <c r="AJ183" i="8"/>
  <c r="AQ181" i="8"/>
  <c r="AR184" i="8"/>
  <c r="BC182" i="8"/>
  <c r="AD187" i="8"/>
  <c r="H186" i="8"/>
  <c r="AT181" i="8"/>
  <c r="Z185" i="8"/>
  <c r="AE189" i="8"/>
  <c r="V182" i="8"/>
  <c r="X187" i="8"/>
  <c r="U188" i="8"/>
  <c r="AY186" i="8"/>
  <c r="AM191" i="8"/>
  <c r="AH179" i="8"/>
  <c r="L183" i="8"/>
  <c r="BC190" i="8"/>
  <c r="V181" i="8"/>
  <c r="V185" i="8"/>
  <c r="N189" i="8"/>
  <c r="AQ182" i="8"/>
  <c r="W187" i="8"/>
  <c r="AH188" i="8"/>
  <c r="AI186" i="8"/>
  <c r="AE191" i="8"/>
  <c r="N179" i="8"/>
  <c r="AW192" i="8"/>
  <c r="Z190" i="8"/>
  <c r="AQ187" i="8"/>
  <c r="AM190" i="8"/>
  <c r="AZ184" i="8"/>
  <c r="V189" i="8"/>
  <c r="BA191" i="8"/>
  <c r="T183" i="8"/>
  <c r="BA181" i="8"/>
  <c r="AY180" i="8"/>
  <c r="R179" i="8"/>
  <c r="X192" i="8"/>
  <c r="AR188" i="8"/>
  <c r="BC180" i="8"/>
  <c r="AS191" i="8"/>
  <c r="AZ179" i="8"/>
  <c r="AZ190" i="8"/>
  <c r="O185" i="8"/>
  <c r="AH182" i="8"/>
  <c r="AY192" i="8"/>
  <c r="J181" i="8"/>
  <c r="AD189" i="8"/>
  <c r="AV180" i="8"/>
  <c r="BC179" i="8"/>
  <c r="U192" i="8"/>
  <c r="X183" i="8"/>
  <c r="AD181" i="8"/>
  <c r="AB185" i="8"/>
  <c r="AE184" i="8"/>
  <c r="AE182" i="8"/>
  <c r="I187" i="8"/>
  <c r="BA188" i="8"/>
  <c r="G180" i="8"/>
  <c r="AH191" i="8"/>
  <c r="BB179" i="8"/>
  <c r="BA183" i="8"/>
  <c r="K190" i="8"/>
  <c r="X185" i="8"/>
  <c r="AL189" i="8"/>
  <c r="AO182" i="8"/>
  <c r="P191" i="8"/>
  <c r="U184" i="8"/>
  <c r="L182" i="8"/>
  <c r="AO188" i="8"/>
  <c r="AX186" i="8"/>
  <c r="AB191" i="8"/>
  <c r="W179" i="8"/>
  <c r="K183" i="8"/>
  <c r="AW190" i="8"/>
  <c r="S181" i="8"/>
  <c r="AU185" i="8"/>
  <c r="AT189" i="8"/>
  <c r="BB182" i="8"/>
  <c r="BC188" i="8"/>
  <c r="AP180" i="8"/>
  <c r="AX191" i="8"/>
  <c r="AI183" i="8"/>
  <c r="AF184" i="8"/>
  <c r="AV192" i="8"/>
  <c r="AT190" i="8"/>
  <c r="P181" i="8"/>
  <c r="BB185" i="8"/>
  <c r="BB184" i="8"/>
  <c r="Z182" i="8"/>
  <c r="AE188" i="8"/>
  <c r="BB180" i="8"/>
  <c r="AF179" i="8"/>
  <c r="AE183" i="8"/>
  <c r="W184" i="8"/>
  <c r="AJ187" i="8"/>
  <c r="AP191" i="8"/>
  <c r="G184" i="8"/>
  <c r="BA192" i="8"/>
  <c r="AG181" i="8"/>
  <c r="AW189" i="8"/>
  <c r="AW188" i="8"/>
  <c r="AN186" i="8"/>
  <c r="AD183" i="8"/>
  <c r="AD185" i="8"/>
  <c r="AU187" i="8"/>
  <c r="AE186" i="8"/>
  <c r="AY179" i="8"/>
  <c r="J192" i="8"/>
  <c r="BB190" i="8"/>
  <c r="AI181" i="8"/>
  <c r="R184" i="8"/>
  <c r="Y189" i="8"/>
  <c r="Q182" i="8"/>
  <c r="H188" i="8"/>
  <c r="V180" i="8"/>
  <c r="AL186" i="8"/>
  <c r="S179" i="8"/>
  <c r="K192" i="8"/>
  <c r="Y183" i="8"/>
  <c r="AV181" i="8"/>
  <c r="K189" i="8"/>
  <c r="AJ182" i="8"/>
  <c r="AT188" i="8"/>
  <c r="AW191" i="8"/>
  <c r="Y181" i="8"/>
  <c r="T185" i="8"/>
  <c r="H189" i="8"/>
  <c r="N182" i="8"/>
  <c r="S188" i="8"/>
  <c r="AX180" i="8"/>
  <c r="AC186" i="8"/>
  <c r="AS179" i="8"/>
  <c r="O192" i="8"/>
  <c r="W183" i="8"/>
  <c r="AO181" i="8"/>
  <c r="AL185" i="8"/>
  <c r="AL184" i="8"/>
  <c r="X189" i="8"/>
  <c r="R187" i="8"/>
  <c r="K188" i="8"/>
  <c r="T180" i="8"/>
  <c r="H191" i="8"/>
  <c r="AW179" i="8"/>
  <c r="AX192" i="8"/>
  <c r="AD190" i="8"/>
  <c r="AP189" i="8"/>
  <c r="AK186" i="8"/>
  <c r="S183" i="8"/>
  <c r="T189" i="8"/>
  <c r="AU186" i="8"/>
  <c r="Y185" i="8"/>
  <c r="AR189" i="8"/>
  <c r="K187" i="8"/>
  <c r="BA187" i="8"/>
  <c r="G191" i="8"/>
  <c r="J193" i="8"/>
  <c r="Y193" i="8"/>
  <c r="G193" i="8"/>
  <c r="AH194" i="8"/>
  <c r="BA194" i="8"/>
  <c r="AZ193" i="8"/>
  <c r="AG193" i="8"/>
  <c r="M194" i="8"/>
  <c r="AG194" i="8"/>
  <c r="AF194" i="8"/>
  <c r="O193" i="8"/>
  <c r="BB194" i="8"/>
  <c r="Z193" i="8"/>
  <c r="AW194" i="8"/>
  <c r="AE193" i="8"/>
  <c r="AO194" i="8"/>
  <c r="AC193" i="8"/>
  <c r="AA193" i="8"/>
  <c r="BC193" i="8"/>
  <c r="AU194" i="8"/>
  <c r="X194" i="8"/>
  <c r="AB194" i="8"/>
  <c r="AT193" i="8"/>
  <c r="H194" i="8"/>
  <c r="AC183" i="8"/>
  <c r="Y188" i="8"/>
  <c r="AB186" i="8"/>
  <c r="AK179" i="8"/>
  <c r="O190" i="8"/>
  <c r="W185" i="8"/>
  <c r="BC189" i="8"/>
  <c r="AM188" i="8"/>
  <c r="O191" i="8"/>
  <c r="BC192" i="8"/>
  <c r="M181" i="8"/>
  <c r="AT182" i="8"/>
  <c r="AM180" i="8"/>
  <c r="I185" i="8"/>
  <c r="R189" i="8"/>
  <c r="AI188" i="8"/>
  <c r="AG191" i="8"/>
  <c r="W190" i="8"/>
  <c r="AS185" i="8"/>
  <c r="AV182" i="8"/>
  <c r="AA188" i="8"/>
  <c r="AJ191" i="8"/>
  <c r="Q190" i="8"/>
  <c r="N186" i="8"/>
  <c r="W191" i="8"/>
  <c r="AN182" i="8"/>
  <c r="T188" i="8"/>
  <c r="V193" i="8"/>
  <c r="S194" i="8"/>
  <c r="AX194" i="8"/>
  <c r="AB193" i="8"/>
  <c r="K194" i="8"/>
  <c r="N194" i="8"/>
  <c r="L194" i="8"/>
  <c r="AY193" i="8"/>
  <c r="Z194" i="8"/>
  <c r="AE194" i="8"/>
  <c r="BC194" i="8"/>
  <c r="AP194" i="8"/>
  <c r="AH154" i="8"/>
  <c r="F62" i="8"/>
  <c r="AL250" i="8"/>
  <c r="AX63" i="8"/>
  <c r="AW195" i="8"/>
  <c r="T246" i="8"/>
  <c r="AW252" i="8"/>
  <c r="I238" i="8"/>
  <c r="G244" i="8"/>
  <c r="AB251" i="8"/>
  <c r="J195" i="8"/>
  <c r="AW217" i="8"/>
  <c r="P68" i="8"/>
  <c r="Z63" i="8"/>
  <c r="Z252" i="8"/>
  <c r="AF228" i="8"/>
  <c r="AS249" i="8"/>
  <c r="AQ156" i="8"/>
  <c r="AS61" i="8"/>
  <c r="BC221" i="8"/>
  <c r="AP226" i="8"/>
  <c r="AZ252" i="8"/>
  <c r="L208" i="8"/>
  <c r="AN227" i="8"/>
  <c r="AY223" i="8"/>
  <c r="K237" i="8"/>
  <c r="AJ259" i="8"/>
  <c r="AZ230" i="8"/>
  <c r="H216" i="8"/>
  <c r="AM247" i="8"/>
  <c r="AD61" i="8"/>
  <c r="AL212" i="8"/>
  <c r="AX242" i="8"/>
  <c r="AA225" i="8"/>
  <c r="AP225" i="8"/>
  <c r="AA67" i="8"/>
  <c r="H213" i="8"/>
  <c r="AB210" i="8"/>
  <c r="BC253" i="8"/>
  <c r="AA221" i="8"/>
  <c r="J258" i="8"/>
  <c r="AS254" i="8"/>
  <c r="S217" i="8"/>
  <c r="L174" i="8"/>
  <c r="AI254" i="8"/>
  <c r="AP77" i="8"/>
  <c r="J200" i="8"/>
  <c r="BB241" i="8"/>
  <c r="V251" i="8"/>
  <c r="O66" i="8"/>
  <c r="BC67" i="8"/>
  <c r="BB243" i="8"/>
  <c r="I158" i="8"/>
  <c r="R251" i="8"/>
  <c r="AA62" i="8"/>
  <c r="T62" i="8"/>
  <c r="I230" i="8"/>
  <c r="Y64" i="8"/>
  <c r="F102" i="8"/>
  <c r="F114" i="8"/>
  <c r="AV127" i="8"/>
  <c r="AI127" i="8"/>
  <c r="V127" i="8"/>
  <c r="AS123" i="8"/>
  <c r="AJ127" i="8"/>
  <c r="AN123" i="8"/>
  <c r="W123" i="8"/>
  <c r="U65" i="8"/>
  <c r="K129" i="8"/>
  <c r="BA65" i="8"/>
  <c r="AH127" i="8"/>
  <c r="AH123" i="8"/>
  <c r="R123" i="8"/>
  <c r="AO93" i="8"/>
  <c r="W118" i="8"/>
  <c r="R99" i="8"/>
  <c r="S88" i="8"/>
  <c r="AC103" i="8"/>
  <c r="AE98" i="8"/>
  <c r="G89" i="8"/>
  <c r="Y88" i="8"/>
  <c r="N118" i="8"/>
  <c r="AC99" i="8"/>
  <c r="U88" i="8"/>
  <c r="V103" i="8"/>
  <c r="AR98" i="8"/>
  <c r="AN89" i="8"/>
  <c r="L95" i="8"/>
  <c r="AE115" i="8"/>
  <c r="M91" i="8"/>
  <c r="AG109" i="8"/>
  <c r="AR97" i="8"/>
  <c r="AZ107" i="8"/>
  <c r="AO92" i="8"/>
  <c r="AF90" i="8"/>
  <c r="AF112" i="8"/>
  <c r="AW99" i="8"/>
  <c r="AO94" i="8"/>
  <c r="AH260" i="8"/>
  <c r="Q101" i="8"/>
  <c r="AP108" i="8"/>
  <c r="I100" i="8"/>
  <c r="AK102" i="8"/>
  <c r="N104" i="8"/>
  <c r="AV111" i="8"/>
  <c r="BC91" i="8"/>
  <c r="W119" i="8"/>
  <c r="AO117" i="8"/>
  <c r="AR100" i="8"/>
  <c r="AG110" i="8"/>
  <c r="AH117" i="8"/>
  <c r="AI100" i="8"/>
  <c r="AW102" i="8"/>
  <c r="V97" i="8"/>
  <c r="AN88" i="8"/>
  <c r="AD118" i="8"/>
  <c r="U114" i="8"/>
  <c r="AR95" i="8"/>
  <c r="AT115" i="8"/>
  <c r="R110" i="8"/>
  <c r="Q93" i="8"/>
  <c r="Q118" i="8"/>
  <c r="AQ99" i="8"/>
  <c r="K103" i="8"/>
  <c r="U93" i="8"/>
  <c r="R118" i="8"/>
  <c r="G92" i="8"/>
  <c r="AZ112" i="8"/>
  <c r="AJ90" i="8"/>
  <c r="AZ93" i="8"/>
  <c r="V94" i="8"/>
  <c r="L96" i="8"/>
  <c r="AH105" i="8"/>
  <c r="AA96" i="8"/>
  <c r="K99" i="8"/>
  <c r="N95" i="8"/>
  <c r="K110" i="8"/>
  <c r="V104" i="8"/>
  <c r="AC101" i="8"/>
  <c r="BC108" i="8"/>
  <c r="AI105" i="8"/>
  <c r="AU116" i="8"/>
  <c r="AW113" i="8"/>
  <c r="AK105" i="8"/>
  <c r="O116" i="8"/>
  <c r="BC118" i="8"/>
  <c r="AT96" i="8"/>
  <c r="AH111" i="8"/>
  <c r="N91" i="8"/>
  <c r="Z101" i="8"/>
  <c r="AP117" i="8"/>
  <c r="N100" i="8"/>
  <c r="N116" i="8"/>
  <c r="T89" i="8"/>
  <c r="AG220" i="8"/>
  <c r="AJ87" i="8"/>
  <c r="AB84" i="8"/>
  <c r="AY201" i="8"/>
  <c r="AF202" i="8"/>
  <c r="H220" i="8"/>
  <c r="AW86" i="8"/>
  <c r="V82" i="8"/>
  <c r="AJ83" i="8"/>
  <c r="AP80" i="8"/>
  <c r="AU87" i="8"/>
  <c r="X85" i="8"/>
  <c r="AP201" i="8"/>
  <c r="AN202" i="8"/>
  <c r="O80" i="8"/>
  <c r="T87" i="8"/>
  <c r="S85" i="8"/>
  <c r="M201" i="8"/>
  <c r="G202" i="8"/>
  <c r="AI220" i="8"/>
  <c r="AB86" i="8"/>
  <c r="AU82" i="8"/>
  <c r="AG83" i="8"/>
  <c r="AU80" i="8"/>
  <c r="AR87" i="8"/>
  <c r="AM85" i="8"/>
  <c r="AC201" i="8"/>
  <c r="AQ202" i="8"/>
  <c r="AD220" i="8"/>
  <c r="M86" i="8"/>
  <c r="W84" i="8"/>
  <c r="AA201" i="8"/>
  <c r="AV83" i="8"/>
  <c r="Y87" i="8"/>
  <c r="AO82" i="8"/>
  <c r="K80" i="8"/>
  <c r="AP85" i="8"/>
  <c r="I82" i="8"/>
  <c r="AD219" i="8"/>
  <c r="AK81" i="8"/>
  <c r="AQ86" i="8"/>
  <c r="AV82" i="8"/>
  <c r="AF219" i="8"/>
  <c r="AL220" i="8"/>
  <c r="U86" i="8"/>
  <c r="X219" i="8"/>
  <c r="R220" i="8"/>
  <c r="Q86" i="8"/>
  <c r="AN84" i="8"/>
  <c r="AH83" i="8"/>
  <c r="X80" i="8"/>
  <c r="Y81" i="8"/>
  <c r="BB85" i="8"/>
  <c r="AS82" i="8"/>
  <c r="AT219" i="8"/>
  <c r="Y220" i="8"/>
  <c r="AN86" i="8"/>
  <c r="V84" i="8"/>
  <c r="AR83" i="8"/>
  <c r="N202" i="8"/>
  <c r="P81" i="8"/>
  <c r="AH86" i="8"/>
  <c r="R82" i="8"/>
  <c r="AW83" i="8"/>
  <c r="AW80" i="8"/>
  <c r="AS81" i="8"/>
  <c r="N85" i="8"/>
  <c r="AE201" i="8"/>
  <c r="H80" i="8"/>
  <c r="Z84" i="8"/>
  <c r="H202" i="8"/>
  <c r="O202" i="8"/>
  <c r="BC82" i="8"/>
  <c r="AI185" i="8"/>
  <c r="X186" i="8"/>
  <c r="AH192" i="8"/>
  <c r="AE181" i="8"/>
  <c r="G189" i="8"/>
  <c r="AX187" i="8"/>
  <c r="AZ186" i="8"/>
  <c r="AJ179" i="8"/>
  <c r="AV190" i="8"/>
  <c r="AX189" i="8"/>
  <c r="AC180" i="8"/>
  <c r="M185" i="8"/>
  <c r="M189" i="8"/>
  <c r="AD188" i="8"/>
  <c r="AG186" i="8"/>
  <c r="L192" i="8"/>
  <c r="AG190" i="8"/>
  <c r="G185" i="8"/>
  <c r="AS189" i="8"/>
  <c r="G187" i="8"/>
  <c r="AU188" i="8"/>
  <c r="Z180" i="8"/>
  <c r="I186" i="8"/>
  <c r="K179" i="8"/>
  <c r="Y192" i="8"/>
  <c r="H183" i="8"/>
  <c r="P190" i="8"/>
  <c r="AK180" i="8"/>
  <c r="AY185" i="8"/>
  <c r="AC189" i="8"/>
  <c r="AP186" i="8"/>
  <c r="M179" i="8"/>
  <c r="BA190" i="8"/>
  <c r="Z187" i="8"/>
  <c r="Q191" i="8"/>
  <c r="W192" i="8"/>
  <c r="Y190" i="8"/>
  <c r="AI180" i="8"/>
  <c r="AR186" i="8"/>
  <c r="BC191" i="8"/>
  <c r="V192" i="8"/>
  <c r="W181" i="8"/>
  <c r="J189" i="8"/>
  <c r="AU179" i="8"/>
  <c r="S190" i="8"/>
  <c r="AZ185" i="8"/>
  <c r="V187" i="8"/>
  <c r="P186" i="8"/>
  <c r="J179" i="8"/>
  <c r="P183" i="8"/>
  <c r="R190" i="8"/>
  <c r="T181" i="8"/>
  <c r="AB184" i="8"/>
  <c r="AF189" i="8"/>
  <c r="BA182" i="8"/>
  <c r="AZ187" i="8"/>
  <c r="AB180" i="8"/>
  <c r="L186" i="8"/>
  <c r="AY191" i="8"/>
  <c r="AZ192" i="8"/>
  <c r="Q183" i="8"/>
  <c r="AU181" i="8"/>
  <c r="AA184" i="8"/>
  <c r="AM182" i="8"/>
  <c r="AG180" i="8"/>
  <c r="AP181" i="8"/>
  <c r="AV189" i="8"/>
  <c r="Q187" i="8"/>
  <c r="AS180" i="8"/>
  <c r="AJ186" i="8"/>
  <c r="X179" i="8"/>
  <c r="AA183" i="8"/>
  <c r="AJ181" i="8"/>
  <c r="R185" i="8"/>
  <c r="X184" i="8"/>
  <c r="AZ182" i="8"/>
  <c r="AF187" i="8"/>
  <c r="AS188" i="8"/>
  <c r="AQ186" i="8"/>
  <c r="AJ192" i="8"/>
  <c r="I190" i="8"/>
  <c r="AL188" i="8"/>
  <c r="G183" i="8"/>
  <c r="AL190" i="8"/>
  <c r="AM184" i="8"/>
  <c r="AY189" i="8"/>
  <c r="O188" i="8"/>
  <c r="Z192" i="8"/>
  <c r="AG182" i="8"/>
  <c r="AJ185" i="8"/>
  <c r="AR190" i="8"/>
  <c r="U187" i="8"/>
  <c r="BA179" i="8"/>
  <c r="P184" i="8"/>
  <c r="AZ191" i="8"/>
  <c r="AX183" i="8"/>
  <c r="BA185" i="8"/>
  <c r="W182" i="8"/>
  <c r="M188" i="8"/>
  <c r="AA191" i="8"/>
  <c r="AC192" i="8"/>
  <c r="AO185" i="8"/>
  <c r="AM187" i="8"/>
  <c r="H181" i="8"/>
  <c r="AY184" i="8"/>
  <c r="AT187" i="8"/>
  <c r="BA186" i="8"/>
  <c r="O179" i="8"/>
  <c r="N190" i="8"/>
  <c r="AS184" i="8"/>
  <c r="AP182" i="8"/>
  <c r="I180" i="8"/>
  <c r="Z191" i="8"/>
  <c r="AW183" i="8"/>
  <c r="AN188" i="8"/>
  <c r="U185" i="8"/>
  <c r="AY181" i="8"/>
  <c r="X182" i="8"/>
  <c r="K180" i="8"/>
  <c r="AS194" i="8"/>
  <c r="I194" i="8"/>
  <c r="AU193" i="8"/>
  <c r="R193" i="8"/>
  <c r="T194" i="8"/>
  <c r="AC194" i="8"/>
  <c r="AJ194" i="8"/>
  <c r="AV193" i="8"/>
  <c r="W194" i="8"/>
  <c r="AN193" i="8"/>
  <c r="AI193" i="8"/>
  <c r="N193" i="8"/>
  <c r="AH175" i="8"/>
  <c r="AO63" i="8"/>
  <c r="AC231" i="8"/>
  <c r="Y173" i="8"/>
  <c r="AT223" i="8"/>
  <c r="AN154" i="8"/>
  <c r="S200" i="8"/>
  <c r="L216" i="8"/>
  <c r="BB223" i="8"/>
  <c r="BA168" i="8"/>
  <c r="F236" i="8"/>
  <c r="S64" i="8"/>
  <c r="AT178" i="8"/>
  <c r="AD259" i="8"/>
  <c r="AP257" i="8"/>
  <c r="BB216" i="8"/>
  <c r="AV247" i="8"/>
  <c r="U221" i="8"/>
  <c r="Z259" i="8"/>
  <c r="AS235" i="8"/>
  <c r="G69" i="8"/>
  <c r="AY210" i="8"/>
  <c r="AK234" i="8"/>
  <c r="AI238" i="8"/>
  <c r="H258" i="8"/>
  <c r="AY215" i="8"/>
  <c r="BA246" i="8"/>
  <c r="H242" i="8"/>
  <c r="BC255" i="8"/>
  <c r="AO251" i="8"/>
  <c r="AS252" i="8"/>
  <c r="AR235" i="8"/>
  <c r="M245" i="8"/>
  <c r="S235" i="8"/>
  <c r="AY237" i="8"/>
  <c r="I246" i="8"/>
  <c r="T222" i="8"/>
  <c r="AX239" i="8"/>
  <c r="J244" i="8"/>
  <c r="AU230" i="8"/>
  <c r="AF155" i="8"/>
  <c r="AR228" i="8"/>
  <c r="H240" i="8"/>
  <c r="M212" i="8"/>
  <c r="AA61" i="8"/>
  <c r="AH72" i="8"/>
  <c r="AT62" i="8"/>
  <c r="AP252" i="8"/>
  <c r="I257" i="8"/>
  <c r="X245" i="8"/>
  <c r="AK245" i="8"/>
  <c r="N250" i="8"/>
  <c r="AQ64" i="8"/>
  <c r="AN173" i="8"/>
  <c r="AO203" i="8"/>
  <c r="BB234" i="8"/>
  <c r="AI242" i="8"/>
  <c r="Y66" i="8"/>
  <c r="X206" i="8"/>
  <c r="F188" i="8"/>
  <c r="F194" i="8"/>
  <c r="AA127" i="8"/>
  <c r="Q123" i="8"/>
  <c r="W128" i="8"/>
  <c r="AX129" i="8"/>
  <c r="AZ128" i="8"/>
  <c r="AM128" i="8"/>
  <c r="AL127" i="8"/>
  <c r="AB129" i="8"/>
  <c r="BC129" i="8"/>
  <c r="AV123" i="8"/>
  <c r="K128" i="8"/>
  <c r="L128" i="8"/>
  <c r="AY119" i="8"/>
  <c r="AQ104" i="8"/>
  <c r="AN114" i="8"/>
  <c r="S119" i="8"/>
  <c r="V117" i="8"/>
  <c r="AD115" i="8"/>
  <c r="I110" i="8"/>
  <c r="T104" i="8"/>
  <c r="AC104" i="8"/>
  <c r="W114" i="8"/>
  <c r="AJ119" i="8"/>
  <c r="AN117" i="8"/>
  <c r="U100" i="8"/>
  <c r="H110" i="8"/>
  <c r="AL117" i="8"/>
  <c r="AP100" i="8"/>
  <c r="AN102" i="8"/>
  <c r="AC260" i="8"/>
  <c r="M93" i="8"/>
  <c r="P118" i="8"/>
  <c r="AS99" i="8"/>
  <c r="AZ88" i="8"/>
  <c r="AO95" i="8"/>
  <c r="AW115" i="8"/>
  <c r="AD89" i="8"/>
  <c r="Q109" i="8"/>
  <c r="AX97" i="8"/>
  <c r="M107" i="8"/>
  <c r="L113" i="8"/>
  <c r="AL90" i="8"/>
  <c r="N112" i="8"/>
  <c r="Z94" i="8"/>
  <c r="S94" i="8"/>
  <c r="AL260" i="8"/>
  <c r="Y96" i="8"/>
  <c r="AU113" i="8"/>
  <c r="I105" i="8"/>
  <c r="J116" i="8"/>
  <c r="AV113" i="8"/>
  <c r="S105" i="8"/>
  <c r="X116" i="8"/>
  <c r="AT118" i="8"/>
  <c r="AG101" i="8"/>
  <c r="W111" i="8"/>
  <c r="AH91" i="8"/>
  <c r="AL101" i="8"/>
  <c r="AG108" i="8"/>
  <c r="P100" i="8"/>
  <c r="AP102" i="8"/>
  <c r="AH119" i="8"/>
  <c r="AR104" i="8"/>
  <c r="AO114" i="8"/>
  <c r="AX88" i="8"/>
  <c r="P95" i="8"/>
  <c r="AQ115" i="8"/>
  <c r="U110" i="8"/>
  <c r="AA107" i="8"/>
  <c r="AW104" i="8"/>
  <c r="P114" i="8"/>
  <c r="AM88" i="8"/>
  <c r="AF95" i="8"/>
  <c r="W115" i="8"/>
  <c r="AK89" i="8"/>
  <c r="U95" i="8"/>
  <c r="BA98" i="8"/>
  <c r="AE89" i="8"/>
  <c r="AQ91" i="8"/>
  <c r="S109" i="8"/>
  <c r="U97" i="8"/>
  <c r="X107" i="8"/>
  <c r="Y92" i="8"/>
  <c r="G103" i="8"/>
  <c r="AO112" i="8"/>
  <c r="AD114" i="8"/>
  <c r="AI111" i="8"/>
  <c r="G91" i="8"/>
  <c r="AD119" i="8"/>
  <c r="L117" i="8"/>
  <c r="L100" i="8"/>
  <c r="Z102" i="8"/>
  <c r="I111" i="8"/>
  <c r="AZ111" i="8"/>
  <c r="T91" i="8"/>
  <c r="AY96" i="8"/>
  <c r="BB88" i="8"/>
  <c r="BA113" i="8"/>
  <c r="AU95" i="8"/>
  <c r="AT90" i="8"/>
  <c r="BC115" i="8"/>
  <c r="AY112" i="8"/>
  <c r="G110" i="8"/>
  <c r="AK92" i="8"/>
  <c r="K117" i="8"/>
  <c r="Y90" i="8"/>
  <c r="H100" i="8"/>
  <c r="O112" i="8"/>
  <c r="BA110" i="8"/>
  <c r="N109" i="8"/>
  <c r="AX260" i="8"/>
  <c r="V99" i="8"/>
  <c r="L93" i="8"/>
  <c r="AZ94" i="8"/>
  <c r="O118" i="8"/>
  <c r="AB260" i="8"/>
  <c r="AV99" i="8"/>
  <c r="AO101" i="8"/>
  <c r="I88" i="8"/>
  <c r="Y108" i="8"/>
  <c r="H95" i="8"/>
  <c r="AW105" i="8"/>
  <c r="AS115" i="8"/>
  <c r="BC116" i="8"/>
  <c r="N102" i="8"/>
  <c r="Y89" i="8"/>
  <c r="Z202" i="8"/>
  <c r="BC80" i="8"/>
  <c r="X81" i="8"/>
  <c r="X87" i="8"/>
  <c r="K86" i="8"/>
  <c r="Q85" i="8"/>
  <c r="AT82" i="8"/>
  <c r="I201" i="8"/>
  <c r="Z83" i="8"/>
  <c r="AI219" i="8"/>
  <c r="I80" i="8"/>
  <c r="W220" i="8"/>
  <c r="AZ81" i="8"/>
  <c r="AS86" i="8"/>
  <c r="AT85" i="8"/>
  <c r="AP84" i="8"/>
  <c r="AZ201" i="8"/>
  <c r="AZ83" i="8"/>
  <c r="AH219" i="8"/>
  <c r="AV80" i="8"/>
  <c r="BC220" i="8"/>
  <c r="O87" i="8"/>
  <c r="AI86" i="8"/>
  <c r="T85" i="8"/>
  <c r="AX84" i="8"/>
  <c r="AL201" i="8"/>
  <c r="AQ83" i="8"/>
  <c r="BC219" i="8"/>
  <c r="AJ202" i="8"/>
  <c r="BA80" i="8"/>
  <c r="AQ220" i="8"/>
  <c r="AA81" i="8"/>
  <c r="BC86" i="8"/>
  <c r="AC85" i="8"/>
  <c r="AA84" i="8"/>
  <c r="G201" i="8"/>
  <c r="G83" i="8"/>
  <c r="AA202" i="8"/>
  <c r="P80" i="8"/>
  <c r="X220" i="8"/>
  <c r="W81" i="8"/>
  <c r="AO86" i="8"/>
  <c r="AF85" i="8"/>
  <c r="AT84" i="8"/>
  <c r="AK201" i="8"/>
  <c r="V83" i="8"/>
  <c r="AN219" i="8"/>
  <c r="AS80" i="8"/>
  <c r="Z220" i="8"/>
  <c r="V81" i="8"/>
  <c r="P86" i="8"/>
  <c r="AN85" i="8"/>
  <c r="AF82" i="8"/>
  <c r="AD201" i="8"/>
  <c r="AA83" i="8"/>
  <c r="G219" i="8"/>
  <c r="AJ80" i="8"/>
  <c r="AN220" i="8"/>
  <c r="AU81" i="8"/>
  <c r="I87" i="8"/>
  <c r="H86" i="8"/>
  <c r="N84" i="8"/>
  <c r="AH82" i="8"/>
  <c r="AT201" i="8"/>
  <c r="O83" i="8"/>
  <c r="J84" i="8"/>
  <c r="Q80" i="8"/>
  <c r="AX81" i="8"/>
  <c r="AI85" i="8"/>
  <c r="AS84" i="8"/>
  <c r="Q83" i="8"/>
  <c r="AX80" i="8"/>
  <c r="AV81" i="8"/>
  <c r="AA86" i="8"/>
  <c r="H84" i="8"/>
  <c r="AZ82" i="8"/>
  <c r="N201" i="8"/>
  <c r="BB219" i="8"/>
  <c r="AH80" i="8"/>
  <c r="O220" i="8"/>
  <c r="AP87" i="8"/>
  <c r="AM86" i="8"/>
  <c r="W85" i="8"/>
  <c r="AM82" i="8"/>
  <c r="H201" i="8"/>
  <c r="AL83" i="8"/>
  <c r="Z219" i="8"/>
  <c r="Q220" i="8"/>
  <c r="AD81" i="8"/>
  <c r="AQ87" i="8"/>
  <c r="S84" i="8"/>
  <c r="I219" i="8"/>
  <c r="AX202" i="8"/>
  <c r="AC80" i="8"/>
  <c r="R81" i="8"/>
  <c r="K87" i="8"/>
  <c r="AK85" i="8"/>
  <c r="AQ84" i="8"/>
  <c r="AK82" i="8"/>
  <c r="AB83" i="8"/>
  <c r="AV219" i="8"/>
  <c r="Y202" i="8"/>
  <c r="BA220" i="8"/>
  <c r="AW81" i="8"/>
  <c r="AV87" i="8"/>
  <c r="X86" i="8"/>
  <c r="T84" i="8"/>
  <c r="BA82" i="8"/>
  <c r="U201" i="8"/>
  <c r="O219" i="8"/>
  <c r="W202" i="8"/>
  <c r="T80" i="8"/>
  <c r="G81" i="8"/>
  <c r="P87" i="8"/>
  <c r="M85" i="8"/>
  <c r="BC84" i="8"/>
  <c r="Z82" i="8"/>
  <c r="M83" i="8"/>
  <c r="AJ219" i="8"/>
  <c r="AW202" i="8"/>
  <c r="AZ80" i="8"/>
  <c r="AB220" i="8"/>
  <c r="G87" i="8"/>
  <c r="AU86" i="8"/>
  <c r="I85" i="8"/>
  <c r="O82" i="8"/>
  <c r="X201" i="8"/>
  <c r="AN83" i="8"/>
  <c r="J219" i="8"/>
  <c r="AR80" i="8"/>
  <c r="K220" i="8"/>
  <c r="AQ81" i="8"/>
  <c r="M87" i="8"/>
  <c r="AA85" i="8"/>
  <c r="AI82" i="8"/>
  <c r="P201" i="8"/>
  <c r="BA83" i="8"/>
  <c r="AS202" i="8"/>
  <c r="AH81" i="8"/>
  <c r="AX85" i="8"/>
  <c r="Q201" i="8"/>
  <c r="T202" i="8"/>
  <c r="AW220" i="8"/>
  <c r="AJ86" i="8"/>
  <c r="BC85" i="8"/>
  <c r="AB82" i="8"/>
  <c r="W83" i="8"/>
  <c r="N181" i="8"/>
  <c r="AW187" i="8"/>
  <c r="AT180" i="8"/>
  <c r="AN179" i="8"/>
  <c r="AL192" i="8"/>
  <c r="AP183" i="8"/>
  <c r="K181" i="8"/>
  <c r="K185" i="8"/>
  <c r="BA184" i="8"/>
  <c r="AY182" i="8"/>
  <c r="AP187" i="8"/>
  <c r="G188" i="8"/>
  <c r="U186" i="8"/>
  <c r="AK191" i="8"/>
  <c r="Y179" i="8"/>
  <c r="N192" i="8"/>
  <c r="AY190" i="8"/>
  <c r="AL181" i="8"/>
  <c r="AJ189" i="8"/>
  <c r="AS182" i="8"/>
  <c r="I188" i="8"/>
  <c r="S186" i="8"/>
  <c r="I181" i="8"/>
  <c r="AT184" i="8"/>
  <c r="BB189" i="8"/>
  <c r="AW182" i="8"/>
  <c r="AC188" i="8"/>
  <c r="J180" i="8"/>
  <c r="AV186" i="8"/>
  <c r="AD191" i="8"/>
  <c r="P192" i="8"/>
  <c r="AO183" i="8"/>
  <c r="AB190" i="8"/>
  <c r="BB181" i="8"/>
  <c r="AC184" i="8"/>
  <c r="AQ189" i="8"/>
  <c r="AI182" i="8"/>
  <c r="N187" i="8"/>
  <c r="AR180" i="8"/>
  <c r="T186" i="8"/>
  <c r="U191" i="8"/>
  <c r="G192" i="8"/>
  <c r="AU183" i="8"/>
  <c r="AK190" i="8"/>
  <c r="AJ188" i="8"/>
  <c r="X181" i="8"/>
  <c r="U189" i="8"/>
  <c r="AQ180" i="8"/>
  <c r="I179" i="8"/>
  <c r="J183" i="8"/>
  <c r="Y184" i="8"/>
  <c r="AS186" i="8"/>
  <c r="AC179" i="8"/>
  <c r="R183" i="8"/>
  <c r="L188" i="8"/>
  <c r="AD186" i="8"/>
  <c r="J191" i="8"/>
  <c r="AR192" i="8"/>
  <c r="AU190" i="8"/>
  <c r="AD184" i="8"/>
  <c r="AO186" i="8"/>
  <c r="AZ183" i="8"/>
  <c r="AQ185" i="8"/>
  <c r="AK187" i="8"/>
  <c r="S180" i="8"/>
  <c r="AX179" i="8"/>
  <c r="AK192" i="8"/>
  <c r="BB183" i="8"/>
  <c r="AC181" i="8"/>
  <c r="AR185" i="8"/>
  <c r="W189" i="8"/>
  <c r="K182" i="8"/>
  <c r="AH187" i="8"/>
  <c r="W188" i="8"/>
  <c r="BB186" i="8"/>
  <c r="T191" i="8"/>
  <c r="AO192" i="8"/>
  <c r="AL183" i="8"/>
  <c r="J190" i="8"/>
  <c r="AJ184" i="8"/>
  <c r="AO189" i="8"/>
  <c r="X188" i="8"/>
  <c r="AB181" i="8"/>
  <c r="M184" i="8"/>
  <c r="AG187" i="8"/>
  <c r="P188" i="8"/>
  <c r="BC186" i="8"/>
  <c r="N191" i="8"/>
  <c r="BB192" i="8"/>
  <c r="AR183" i="8"/>
  <c r="U190" i="8"/>
  <c r="AF185" i="8"/>
  <c r="I184" i="8"/>
  <c r="AM189" i="8"/>
  <c r="AS187" i="8"/>
  <c r="AY188" i="8"/>
  <c r="AD180" i="8"/>
  <c r="AP179" i="8"/>
  <c r="AH190" i="8"/>
  <c r="M187" i="8"/>
  <c r="BC183" i="8"/>
  <c r="AE190" i="8"/>
  <c r="AH181" i="8"/>
  <c r="AM185" i="8"/>
  <c r="Q189" i="8"/>
  <c r="G182" i="8"/>
  <c r="AQ188" i="8"/>
  <c r="W186" i="8"/>
  <c r="AI179" i="8"/>
  <c r="V190" i="8"/>
  <c r="AA189" i="8"/>
  <c r="AG188" i="8"/>
  <c r="Z181" i="8"/>
  <c r="Z189" i="8"/>
  <c r="AB183" i="8"/>
  <c r="AX185" i="8"/>
  <c r="R182" i="8"/>
  <c r="AF188" i="8"/>
  <c r="AC191" i="8"/>
  <c r="BC110" i="8"/>
  <c r="Q88" i="8"/>
  <c r="BC92" i="8"/>
  <c r="AJ98" i="8"/>
  <c r="AT93" i="8"/>
  <c r="AA99" i="8"/>
  <c r="W103" i="8"/>
  <c r="AI92" i="8"/>
  <c r="L112" i="8"/>
  <c r="X99" i="8"/>
  <c r="Q260" i="8"/>
  <c r="AM108" i="8"/>
  <c r="AS116" i="8"/>
  <c r="AU104" i="8"/>
  <c r="L88" i="8"/>
  <c r="G115" i="8"/>
  <c r="AX118" i="8"/>
  <c r="AJ114" i="8"/>
  <c r="AJ92" i="8"/>
  <c r="AQ103" i="8"/>
  <c r="AG98" i="8"/>
  <c r="AG89" i="8"/>
  <c r="BA95" i="8"/>
  <c r="T115" i="8"/>
  <c r="AT110" i="8"/>
  <c r="AD91" i="8"/>
  <c r="T109" i="8"/>
  <c r="AQ97" i="8"/>
  <c r="AP107" i="8"/>
  <c r="AR92" i="8"/>
  <c r="AE103" i="8"/>
  <c r="AS98" i="8"/>
  <c r="X110" i="8"/>
  <c r="L202" i="8"/>
  <c r="Z81" i="8"/>
  <c r="Y86" i="8"/>
  <c r="Q82" i="8"/>
  <c r="I83" i="8"/>
  <c r="M80" i="8"/>
  <c r="AZ87" i="8"/>
  <c r="AR85" i="8"/>
  <c r="AW201" i="8"/>
  <c r="AE202" i="8"/>
  <c r="AN81" i="8"/>
  <c r="V86" i="8"/>
  <c r="S82" i="8"/>
  <c r="AE83" i="8"/>
  <c r="AM202" i="8"/>
  <c r="U220" i="8"/>
  <c r="L86" i="8"/>
  <c r="AE82" i="8"/>
  <c r="Y83" i="8"/>
  <c r="AD80" i="8"/>
  <c r="N87" i="8"/>
  <c r="G85" i="8"/>
  <c r="AJ201" i="8"/>
  <c r="AI202" i="8"/>
  <c r="AJ220" i="8"/>
  <c r="AV86" i="8"/>
  <c r="BB82" i="8"/>
  <c r="AS83" i="8"/>
  <c r="AA80" i="8"/>
  <c r="T81" i="8"/>
  <c r="AS85" i="8"/>
  <c r="AG82" i="8"/>
  <c r="AA219" i="8"/>
  <c r="AO80" i="8"/>
  <c r="R85" i="8"/>
  <c r="BA219" i="8"/>
  <c r="AG81" i="8"/>
  <c r="X84" i="8"/>
  <c r="AT83" i="8"/>
  <c r="V80" i="8"/>
  <c r="AN87" i="8"/>
  <c r="L84" i="8"/>
  <c r="S201" i="8"/>
  <c r="U80" i="8"/>
  <c r="S81" i="8"/>
  <c r="AQ201" i="8"/>
  <c r="AB202" i="8"/>
  <c r="BC81" i="8"/>
  <c r="J85" i="8"/>
  <c r="G82" i="8"/>
  <c r="AL219" i="8"/>
  <c r="AX220" i="8"/>
  <c r="AY87" i="8"/>
  <c r="M84" i="8"/>
  <c r="BC83" i="8"/>
  <c r="S202" i="8"/>
  <c r="H81" i="8"/>
  <c r="H85" i="8"/>
  <c r="K201" i="8"/>
  <c r="T219" i="8"/>
  <c r="AE220" i="8"/>
  <c r="AI87" i="8"/>
  <c r="AJ84" i="8"/>
  <c r="AM201" i="8"/>
  <c r="AO202" i="8"/>
  <c r="AF220" i="8"/>
  <c r="Z86" i="8"/>
  <c r="U82" i="8"/>
  <c r="AC219" i="8"/>
  <c r="AO87" i="8"/>
  <c r="J83" i="8"/>
  <c r="M81" i="8"/>
  <c r="AL85" i="8"/>
  <c r="X83" i="8"/>
  <c r="BC187" i="8"/>
  <c r="AA179" i="8"/>
  <c r="AS190" i="8"/>
  <c r="V184" i="8"/>
  <c r="O182" i="8"/>
  <c r="R180" i="8"/>
  <c r="L191" i="8"/>
  <c r="AF183" i="8"/>
  <c r="AP185" i="8"/>
  <c r="S182" i="8"/>
  <c r="S191" i="8"/>
  <c r="H184" i="8"/>
  <c r="AR187" i="8"/>
  <c r="M180" i="8"/>
  <c r="L179" i="8"/>
  <c r="AK183" i="8"/>
  <c r="Z184" i="8"/>
  <c r="AQ192" i="8"/>
  <c r="L181" i="8"/>
  <c r="Y187" i="8"/>
  <c r="R191" i="8"/>
  <c r="U181" i="8"/>
  <c r="AL180" i="8"/>
  <c r="AV179" i="8"/>
  <c r="AW184" i="8"/>
  <c r="BA180" i="8"/>
  <c r="L190" i="8"/>
  <c r="V188" i="8"/>
  <c r="AD192" i="8"/>
  <c r="BC181" i="8"/>
  <c r="BC184" i="8"/>
  <c r="T187" i="8"/>
  <c r="AA186" i="8"/>
  <c r="AQ179" i="8"/>
  <c r="AF190" i="8"/>
  <c r="O189" i="8"/>
  <c r="V186" i="8"/>
  <c r="AH185" i="8"/>
  <c r="S189" i="8"/>
  <c r="Q188" i="8"/>
  <c r="Y191" i="8"/>
  <c r="V183" i="8"/>
  <c r="AW181" i="8"/>
  <c r="AN189" i="8"/>
  <c r="AY187" i="8"/>
  <c r="AM186" i="8"/>
  <c r="AE192" i="8"/>
  <c r="M190" i="8"/>
  <c r="AL191" i="8"/>
  <c r="O187" i="8"/>
  <c r="O184" i="8"/>
  <c r="AH183" i="8"/>
  <c r="AF193" i="8"/>
  <c r="AP193" i="8"/>
  <c r="P193" i="8"/>
  <c r="AN194" i="8"/>
  <c r="AS193" i="8"/>
  <c r="AW193" i="8"/>
  <c r="H193" i="8"/>
  <c r="O194" i="8"/>
  <c r="T193" i="8"/>
  <c r="AA194" i="8"/>
  <c r="Y194" i="8"/>
  <c r="W193" i="8"/>
  <c r="Q194" i="8"/>
  <c r="AU1247" i="37"/>
  <c r="AU1244" i="37"/>
  <c r="AU1240" i="37"/>
  <c r="AU1236" i="37"/>
  <c r="AU1238" i="37"/>
  <c r="AU1243" i="37"/>
  <c r="AU1248" i="37"/>
  <c r="AU1237" i="37"/>
  <c r="AU1235" i="37"/>
  <c r="AU1246" i="37"/>
  <c r="AU1245" i="37"/>
  <c r="AU1239" i="37"/>
  <c r="M1178" i="37"/>
  <c r="G1178" i="37"/>
  <c r="P1178" i="37"/>
  <c r="O1178" i="37"/>
  <c r="H1178" i="37"/>
  <c r="I1178" i="37"/>
  <c r="O371" i="37"/>
  <c r="O374" i="37" s="1"/>
  <c r="K371" i="37"/>
  <c r="K374" i="37" s="1"/>
  <c r="K1178" i="37"/>
  <c r="J1178" i="37"/>
  <c r="P371" i="37"/>
  <c r="P375" i="37" s="1"/>
  <c r="H371" i="37"/>
  <c r="H375" i="37" s="1"/>
  <c r="N1178" i="37"/>
  <c r="N371" i="37"/>
  <c r="N383" i="37" s="1"/>
  <c r="M371" i="37"/>
  <c r="M375" i="37" s="1"/>
  <c r="G371" i="37"/>
  <c r="G375" i="37" s="1"/>
  <c r="I376" i="37"/>
  <c r="L371" i="37"/>
  <c r="L375" i="37" s="1"/>
  <c r="J371" i="37"/>
  <c r="J375" i="37" s="1"/>
  <c r="I374" i="37"/>
  <c r="H335" i="37"/>
  <c r="H333" i="37"/>
  <c r="I335" i="37"/>
  <c r="O335" i="37"/>
  <c r="P335" i="37"/>
  <c r="P334" i="37"/>
  <c r="N335" i="37"/>
  <c r="I333" i="37"/>
  <c r="M334" i="37"/>
  <c r="L335" i="37"/>
  <c r="K334" i="37"/>
  <c r="J335" i="37"/>
  <c r="G335" i="37"/>
  <c r="K333" i="37"/>
  <c r="O333" i="37"/>
  <c r="N334" i="37"/>
  <c r="I334" i="37"/>
  <c r="J334" i="37"/>
  <c r="M333" i="37"/>
  <c r="G333" i="37"/>
  <c r="O334" i="37"/>
  <c r="L334" i="37"/>
  <c r="H334" i="37"/>
  <c r="G334" i="37"/>
  <c r="N333" i="37"/>
  <c r="J333" i="37"/>
  <c r="M335" i="37"/>
  <c r="L333" i="37"/>
  <c r="P333" i="37"/>
  <c r="N470" i="37"/>
  <c r="J470" i="37"/>
  <c r="O470" i="37"/>
  <c r="M470" i="37"/>
  <c r="G470" i="37"/>
  <c r="K470" i="37"/>
  <c r="P470" i="37"/>
  <c r="L470" i="37"/>
  <c r="I470" i="37"/>
  <c r="H376" i="37" l="1"/>
  <c r="F278" i="8" a="1"/>
  <c r="F278" i="8" s="1"/>
  <c r="F360" i="8" a="1"/>
  <c r="F360" i="8" s="1"/>
  <c r="F341" i="8" a="1"/>
  <c r="F341" i="8" s="1"/>
  <c r="F345" i="8" a="1"/>
  <c r="F345" i="8" s="1"/>
  <c r="F337" i="8" a="1"/>
  <c r="F337" i="8" s="1"/>
  <c r="J376" i="37"/>
  <c r="F393" i="8" a="1"/>
  <c r="F393" i="8" s="1"/>
  <c r="F292" i="8" a="1"/>
  <c r="F292" i="8" s="1"/>
  <c r="F408" i="8" a="1"/>
  <c r="F408" i="8" s="1"/>
  <c r="F286" i="8" a="1"/>
  <c r="F286" i="8" s="1"/>
  <c r="F417" i="8" a="1"/>
  <c r="F417" i="8" s="1"/>
  <c r="F324" i="8" a="1"/>
  <c r="F324" i="8" s="1"/>
  <c r="F457" i="8" a="1"/>
  <c r="F457" i="8" s="1"/>
  <c r="F298" i="8" a="1"/>
  <c r="F298" i="8" s="1"/>
  <c r="F333" i="8" a="1"/>
  <c r="F333" i="8" s="1"/>
  <c r="F272" i="8" a="1"/>
  <c r="F272" i="8" s="1"/>
  <c r="F361" i="8" a="1"/>
  <c r="F361" i="8" s="1"/>
  <c r="F375" i="8" a="1"/>
  <c r="F375" i="8" s="1"/>
  <c r="F369" i="8" a="1"/>
  <c r="F369" i="8" s="1"/>
  <c r="F267" i="8" a="1"/>
  <c r="F267" i="8" s="1"/>
  <c r="F362" i="8" a="1"/>
  <c r="F362" i="8" s="1"/>
  <c r="F409" i="8" a="1"/>
  <c r="F409" i="8" s="1"/>
  <c r="F368" i="8" a="1"/>
  <c r="F368" i="8" s="1"/>
  <c r="F446" i="8" a="1"/>
  <c r="F446" i="8" s="1"/>
  <c r="F366" i="8" a="1"/>
  <c r="F366" i="8" s="1"/>
  <c r="F364" i="8" a="1"/>
  <c r="F364" i="8" s="1"/>
  <c r="F427" i="8" a="1"/>
  <c r="F427" i="8" s="1"/>
  <c r="F327" i="8" a="1"/>
  <c r="F327" i="8" s="1"/>
  <c r="F357" i="8" a="1"/>
  <c r="F357" i="8" s="1"/>
  <c r="F355" i="8" a="1"/>
  <c r="F355" i="8" s="1"/>
  <c r="F336" i="8" a="1"/>
  <c r="F336" i="8" s="1"/>
  <c r="F349" i="8" a="1"/>
  <c r="F349" i="8" s="1"/>
  <c r="F363" i="8" a="1"/>
  <c r="F363" i="8" s="1"/>
  <c r="F379" i="8" a="1"/>
  <c r="F379" i="8" s="1"/>
  <c r="F330" i="8" a="1"/>
  <c r="F330" i="8" s="1"/>
  <c r="F331" i="8" a="1"/>
  <c r="F331" i="8" s="1"/>
  <c r="F348" i="8" a="1"/>
  <c r="F348" i="8" s="1"/>
  <c r="F400" i="8" a="1"/>
  <c r="F400" i="8" s="1"/>
  <c r="F308" i="8" a="1"/>
  <c r="F308" i="8" s="1"/>
  <c r="F435" i="8" a="1"/>
  <c r="F435" i="8" s="1"/>
  <c r="F313" i="8" a="1"/>
  <c r="F313" i="8" s="1"/>
  <c r="F443" i="8" a="1"/>
  <c r="F443" i="8" s="1"/>
  <c r="F317" i="8" a="1"/>
  <c r="F317" i="8" s="1"/>
  <c r="F268" i="8" a="1"/>
  <c r="F268" i="8" s="1"/>
  <c r="F444" i="8" a="1"/>
  <c r="F444" i="8" s="1"/>
  <c r="F389" i="8" a="1"/>
  <c r="F389" i="8" s="1"/>
  <c r="F302" i="8" a="1"/>
  <c r="F302" i="8" s="1"/>
  <c r="F459" i="8" a="1"/>
  <c r="F459" i="8" s="1"/>
  <c r="F390" i="8" a="1"/>
  <c r="F390" i="8" s="1"/>
  <c r="F431" i="8" a="1"/>
  <c r="F431" i="8" s="1"/>
  <c r="F437" i="8" a="1"/>
  <c r="F437" i="8" s="1"/>
  <c r="F425" i="8" a="1"/>
  <c r="F425" i="8" s="1"/>
  <c r="F299" i="8" a="1"/>
  <c r="F299" i="8" s="1"/>
  <c r="F453" i="8" a="1"/>
  <c r="F453" i="8" s="1"/>
  <c r="F382" i="8" a="1"/>
  <c r="F382" i="8" s="1"/>
  <c r="F287" i="8" a="1"/>
  <c r="F287" i="8" s="1"/>
  <c r="F388" i="8" a="1"/>
  <c r="F388" i="8" s="1"/>
  <c r="F301" i="8" a="1"/>
  <c r="F301" i="8" s="1"/>
  <c r="F295" i="8" a="1"/>
  <c r="F295" i="8" s="1"/>
  <c r="F285" i="8" a="1"/>
  <c r="F285" i="8" s="1"/>
  <c r="F290" i="8" a="1"/>
  <c r="F290" i="8" s="1"/>
  <c r="F323" i="8" a="1"/>
  <c r="F323" i="8" s="1"/>
  <c r="F466" i="8" a="1"/>
  <c r="F466" i="8" s="1"/>
  <c r="F318" i="8" a="1"/>
  <c r="F318" i="8" s="1"/>
  <c r="F281" i="8" a="1"/>
  <c r="F281" i="8" s="1"/>
  <c r="F448" i="8" a="1"/>
  <c r="F448" i="8" s="1"/>
  <c r="F359" i="8" a="1"/>
  <c r="F359" i="8" s="1"/>
  <c r="F403" i="8" a="1"/>
  <c r="F403" i="8" s="1"/>
  <c r="F402" i="8" a="1"/>
  <c r="F402" i="8" s="1"/>
  <c r="F377" i="8" a="1"/>
  <c r="F377" i="8" s="1"/>
  <c r="F416" i="8" a="1"/>
  <c r="F416" i="8" s="1"/>
  <c r="F380" i="8" a="1"/>
  <c r="F380" i="8" s="1"/>
  <c r="F378" i="8" a="1"/>
  <c r="F378" i="8" s="1"/>
  <c r="F415" i="8" a="1"/>
  <c r="F415" i="8" s="1"/>
  <c r="F439" i="8" a="1"/>
  <c r="F439" i="8" s="1"/>
  <c r="F344" i="8" a="1"/>
  <c r="F344" i="8" s="1"/>
  <c r="F421" i="8" a="1"/>
  <c r="F421" i="8" s="1"/>
  <c r="F404" i="8" a="1"/>
  <c r="F404" i="8" s="1"/>
  <c r="F381" i="8" a="1"/>
  <c r="F381" i="8" s="1"/>
  <c r="F430" i="8" a="1"/>
  <c r="F430" i="8" s="1"/>
  <c r="F367" i="8" a="1"/>
  <c r="F367" i="8" s="1"/>
  <c r="F373" i="8" a="1"/>
  <c r="F373" i="8" s="1"/>
  <c r="F340" i="8" a="1"/>
  <c r="F340" i="8" s="1"/>
  <c r="F358" i="8" a="1"/>
  <c r="F358" i="8" s="1"/>
  <c r="F350" i="8" a="1"/>
  <c r="F350" i="8" s="1"/>
  <c r="F371" i="8" a="1"/>
  <c r="F371" i="8" s="1"/>
  <c r="F354" i="8" a="1"/>
  <c r="F354" i="8" s="1"/>
  <c r="F338" i="8" a="1"/>
  <c r="F338" i="8" s="1"/>
  <c r="F346" i="8" a="1"/>
  <c r="F346" i="8" s="1"/>
  <c r="F276" i="8" a="1"/>
  <c r="F276" i="8" s="1"/>
  <c r="F328" i="8" a="1"/>
  <c r="F328" i="8" s="1"/>
  <c r="F273" i="8" a="1"/>
  <c r="F273" i="8" s="1"/>
  <c r="F280" i="8" a="1"/>
  <c r="F280" i="8" s="1"/>
  <c r="F387" i="8" a="1"/>
  <c r="F387" i="8" s="1"/>
  <c r="F303" i="8" a="1"/>
  <c r="F303" i="8" s="1"/>
  <c r="F433" i="8" a="1"/>
  <c r="F433" i="8" s="1"/>
  <c r="F329" i="8" a="1"/>
  <c r="F329" i="8" s="1"/>
  <c r="F288" i="8" a="1"/>
  <c r="F288" i="8" s="1"/>
  <c r="F296" i="8" a="1"/>
  <c r="F296" i="8" s="1"/>
  <c r="F395" i="8" a="1"/>
  <c r="F395" i="8" s="1"/>
  <c r="F394" i="8" a="1"/>
  <c r="F394" i="8" s="1"/>
  <c r="F418" i="8" a="1"/>
  <c r="F418" i="8" s="1"/>
  <c r="F293" i="8" a="1"/>
  <c r="F293" i="8" s="1"/>
  <c r="F432" i="8" a="1"/>
  <c r="F432" i="8" s="1"/>
  <c r="F396" i="8" a="1"/>
  <c r="F396" i="8" s="1"/>
  <c r="F442" i="8" a="1"/>
  <c r="F442" i="8" s="1"/>
  <c r="F436" i="8" a="1"/>
  <c r="F436" i="8" s="1"/>
  <c r="F315" i="8" a="1"/>
  <c r="F315" i="8" s="1"/>
  <c r="F325" i="8" a="1"/>
  <c r="F325" i="8" s="1"/>
  <c r="F451" i="8" a="1"/>
  <c r="F451" i="8" s="1"/>
  <c r="F314" i="8" a="1"/>
  <c r="F314" i="8" s="1"/>
  <c r="F335" i="8" a="1"/>
  <c r="F335" i="8" s="1"/>
  <c r="F311" i="8" a="1"/>
  <c r="F311" i="8" s="1"/>
  <c r="F300" i="8" a="1"/>
  <c r="F300" i="8" s="1"/>
  <c r="F424" i="8" a="1"/>
  <c r="F424" i="8" s="1"/>
  <c r="F458" i="8" a="1"/>
  <c r="F458" i="8" s="1"/>
  <c r="F419" i="8" a="1"/>
  <c r="F419" i="8" s="1"/>
  <c r="F398" i="8" a="1"/>
  <c r="F398" i="8" s="1"/>
  <c r="F386" i="8" a="1"/>
  <c r="F386" i="8" s="1"/>
  <c r="F321" i="8" a="1"/>
  <c r="F321" i="8" s="1"/>
  <c r="F334" i="8" a="1"/>
  <c r="F334" i="8" s="1"/>
  <c r="F291" i="8" a="1"/>
  <c r="F291" i="8" s="1"/>
  <c r="F316" i="8" a="1"/>
  <c r="F316" i="8" s="1"/>
  <c r="F307" i="8" a="1"/>
  <c r="F307" i="8" s="1"/>
  <c r="F306" i="8" a="1"/>
  <c r="F306" i="8" s="1"/>
  <c r="F428" i="8" a="1"/>
  <c r="F428" i="8" s="1"/>
  <c r="F462" i="8" a="1"/>
  <c r="F462" i="8" s="1"/>
  <c r="F445" i="8" a="1"/>
  <c r="F445" i="8" s="1"/>
  <c r="F283" i="8" a="1"/>
  <c r="F283" i="8" s="1"/>
  <c r="F351" i="8" a="1"/>
  <c r="F351" i="8" s="1"/>
  <c r="F454" i="8" a="1"/>
  <c r="F454" i="8" s="1"/>
  <c r="F463" i="8" a="1"/>
  <c r="F463" i="8" s="1"/>
  <c r="F269" i="8" a="1"/>
  <c r="F269" i="8" s="1"/>
  <c r="F372" i="8" a="1"/>
  <c r="F372" i="8" s="1"/>
  <c r="F405" i="8" a="1"/>
  <c r="F405" i="8" s="1"/>
  <c r="F412" i="8" a="1"/>
  <c r="F412" i="8" s="1"/>
  <c r="F450" i="8" a="1"/>
  <c r="F450" i="8" s="1"/>
  <c r="F449" i="8" a="1"/>
  <c r="F449" i="8" s="1"/>
  <c r="F440" i="8" a="1"/>
  <c r="F440" i="8" s="1"/>
  <c r="F343" i="8" a="1"/>
  <c r="F343" i="8" s="1"/>
  <c r="F384" i="8" a="1"/>
  <c r="F384" i="8" s="1"/>
  <c r="F406" i="8" a="1"/>
  <c r="F406" i="8" s="1"/>
  <c r="F339" i="8" a="1"/>
  <c r="F339" i="8" s="1"/>
  <c r="F332" i="8" a="1"/>
  <c r="F332" i="8" s="1"/>
  <c r="F347" i="8" a="1"/>
  <c r="F347" i="8" s="1"/>
  <c r="F326" i="8" a="1"/>
  <c r="F326" i="8" s="1"/>
  <c r="F284" i="8" a="1"/>
  <c r="F284" i="8" s="1"/>
  <c r="F275" i="8" a="1"/>
  <c r="F275" i="8" s="1"/>
  <c r="F312" i="8" a="1"/>
  <c r="F312" i="8" s="1"/>
  <c r="F282" i="8" a="1"/>
  <c r="F282" i="8" s="1"/>
  <c r="F277" i="8" a="1"/>
  <c r="F277" i="8" s="1"/>
  <c r="F310" i="8" a="1"/>
  <c r="F310" i="8" s="1"/>
  <c r="F297" i="8" a="1"/>
  <c r="F297" i="8" s="1"/>
  <c r="F320" i="8" a="1"/>
  <c r="F320" i="8" s="1"/>
  <c r="F407" i="8" a="1"/>
  <c r="F407" i="8" s="1"/>
  <c r="F461" i="8" a="1"/>
  <c r="F461" i="8" s="1"/>
  <c r="F294" i="8" a="1"/>
  <c r="F294" i="8" s="1"/>
  <c r="F271" i="8" a="1"/>
  <c r="F271" i="8" s="1"/>
  <c r="F270" i="8" a="1"/>
  <c r="F270" i="8" s="1"/>
  <c r="F356" i="8" a="1"/>
  <c r="F356" i="8" s="1"/>
  <c r="F426" i="8" a="1"/>
  <c r="F426" i="8" s="1"/>
  <c r="F304" i="8" a="1"/>
  <c r="F304" i="8" s="1"/>
  <c r="F274" i="8" a="1"/>
  <c r="F274" i="8" s="1"/>
  <c r="F397" i="8" a="1"/>
  <c r="F397" i="8" s="1"/>
  <c r="F305" i="8" a="1"/>
  <c r="F305" i="8" s="1"/>
  <c r="F370" i="8" a="1"/>
  <c r="F370" i="8" s="1"/>
  <c r="F399" i="8" a="1"/>
  <c r="F399" i="8" s="1"/>
  <c r="F309" i="8" a="1"/>
  <c r="F309" i="8" s="1"/>
  <c r="F385" i="8" a="1"/>
  <c r="F385" i="8" s="1"/>
  <c r="F391" i="8" a="1"/>
  <c r="F391" i="8" s="1"/>
  <c r="F411" i="8" a="1"/>
  <c r="F411" i="8" s="1"/>
  <c r="F401" i="8" a="1"/>
  <c r="F401" i="8" s="1"/>
  <c r="F455" i="8" a="1"/>
  <c r="F455" i="8" s="1"/>
  <c r="F464" i="8" a="1"/>
  <c r="F464" i="8" s="1"/>
  <c r="F452" i="8" a="1"/>
  <c r="F452" i="8" s="1"/>
  <c r="F279" i="8" a="1"/>
  <c r="F279" i="8" s="1"/>
  <c r="F410" i="8" a="1"/>
  <c r="F410" i="8" s="1"/>
  <c r="F460" i="8" a="1"/>
  <c r="F460" i="8" s="1"/>
  <c r="F376" i="8" a="1"/>
  <c r="F376" i="8" s="1"/>
  <c r="F289" i="8" a="1"/>
  <c r="F289" i="8" s="1"/>
  <c r="F392" i="8" a="1"/>
  <c r="F392" i="8" s="1"/>
  <c r="F319" i="8" a="1"/>
  <c r="F319" i="8" s="1"/>
  <c r="F322" i="8" a="1"/>
  <c r="F322" i="8" s="1"/>
  <c r="F447" i="8" a="1"/>
  <c r="F447" i="8" s="1"/>
  <c r="F423" i="8" a="1"/>
  <c r="F423" i="8" s="1"/>
  <c r="F383" i="8" a="1"/>
  <c r="F383" i="8" s="1"/>
  <c r="F441" i="8" a="1"/>
  <c r="F441" i="8" s="1"/>
  <c r="F420" i="8" a="1"/>
  <c r="F420" i="8" s="1"/>
  <c r="F456" i="8" a="1"/>
  <c r="F456" i="8" s="1"/>
  <c r="F413" i="8" a="1"/>
  <c r="F413" i="8" s="1"/>
  <c r="F422" i="8" a="1"/>
  <c r="F422" i="8" s="1"/>
  <c r="F434" i="8" a="1"/>
  <c r="F434" i="8" s="1"/>
  <c r="F465" i="8" a="1"/>
  <c r="F465" i="8" s="1"/>
  <c r="F414" i="8" a="1"/>
  <c r="F414" i="8" s="1"/>
  <c r="F374" i="8" a="1"/>
  <c r="F374" i="8" s="1"/>
  <c r="F429" i="8" a="1"/>
  <c r="F429" i="8" s="1"/>
  <c r="F353" i="8" a="1"/>
  <c r="F353" i="8" s="1"/>
  <c r="F365" i="8" a="1"/>
  <c r="F365" i="8" s="1"/>
  <c r="F342" i="8" a="1"/>
  <c r="F342" i="8" s="1"/>
  <c r="F438" i="8" a="1"/>
  <c r="F438" i="8" s="1"/>
  <c r="F352" i="8" a="1"/>
  <c r="F352" i="8" s="1"/>
  <c r="E182" i="39" a="1"/>
  <c r="E184" i="39" s="1"/>
  <c r="E188" i="39" a="1"/>
  <c r="P376" i="37"/>
  <c r="K375" i="37"/>
  <c r="P383" i="37"/>
  <c r="P374" i="37"/>
  <c r="M383" i="37"/>
  <c r="G374" i="37"/>
  <c r="G376" i="37"/>
  <c r="O383" i="37"/>
  <c r="O376" i="37"/>
  <c r="K376" i="37"/>
  <c r="H374" i="37"/>
  <c r="M376" i="37"/>
  <c r="M374" i="37"/>
  <c r="O375" i="37"/>
  <c r="P332" i="37"/>
  <c r="G1182" i="37"/>
  <c r="E179" i="39" s="1"/>
  <c r="J374" i="37"/>
  <c r="L376" i="37"/>
  <c r="N375" i="37"/>
  <c r="N374" i="37"/>
  <c r="L383" i="37"/>
  <c r="N376" i="37"/>
  <c r="L374" i="37"/>
  <c r="L332" i="37"/>
  <c r="I377" i="37"/>
  <c r="I383" i="37" s="1"/>
  <c r="I386" i="37" s="1"/>
  <c r="J332" i="37"/>
  <c r="K332" i="37"/>
  <c r="I332" i="37"/>
  <c r="G332" i="37"/>
  <c r="H332" i="37"/>
  <c r="M332" i="37"/>
  <c r="N332" i="37"/>
  <c r="O332" i="37"/>
  <c r="H377" i="37" l="1"/>
  <c r="H383" i="37" s="1"/>
  <c r="H392" i="37" s="1"/>
  <c r="S418" i="8"/>
  <c r="R418" i="8"/>
  <c r="R429" i="8"/>
  <c r="S429" i="8"/>
  <c r="R403" i="8"/>
  <c r="S403" i="8"/>
  <c r="R268" i="8"/>
  <c r="S268" i="8"/>
  <c r="R267" i="8"/>
  <c r="S267" i="8"/>
  <c r="R269" i="8"/>
  <c r="S269" i="8"/>
  <c r="S414" i="8"/>
  <c r="R414" i="8"/>
  <c r="R288" i="8"/>
  <c r="S288" i="8"/>
  <c r="S415" i="8"/>
  <c r="R415" i="8"/>
  <c r="R431" i="8"/>
  <c r="S431" i="8"/>
  <c r="R422" i="8"/>
  <c r="S422" i="8"/>
  <c r="R271" i="8"/>
  <c r="S271" i="8"/>
  <c r="R434" i="8"/>
  <c r="S434" i="8"/>
  <c r="R432" i="8"/>
  <c r="S432" i="8"/>
  <c r="R433" i="8"/>
  <c r="S433" i="8"/>
  <c r="S430" i="8"/>
  <c r="R430" i="8"/>
  <c r="R287" i="8"/>
  <c r="S287" i="8"/>
  <c r="R435" i="8"/>
  <c r="S435" i="8"/>
  <c r="R272" i="8"/>
  <c r="S272" i="8"/>
  <c r="J377" i="37"/>
  <c r="J383" i="37" s="1"/>
  <c r="J386" i="37" s="1"/>
  <c r="E182" i="39"/>
  <c r="E186" i="39"/>
  <c r="E187" i="39"/>
  <c r="E183" i="39"/>
  <c r="E185" i="39"/>
  <c r="E188" i="39"/>
  <c r="E192" i="39"/>
  <c r="E189" i="39"/>
  <c r="E193" i="39"/>
  <c r="E190" i="39"/>
  <c r="E191" i="39"/>
  <c r="K377" i="37"/>
  <c r="K383" i="37" s="1"/>
  <c r="K392" i="37" s="1"/>
  <c r="P377" i="37"/>
  <c r="G377" i="37"/>
  <c r="G383" i="37" s="1"/>
  <c r="G386" i="37" s="1"/>
  <c r="M377" i="37"/>
  <c r="O377" i="37"/>
  <c r="L377" i="37"/>
  <c r="N377" i="37"/>
  <c r="I392" i="37"/>
  <c r="I389" i="37"/>
  <c r="G338" i="37" a="1"/>
  <c r="J338" i="37" s="1"/>
  <c r="H389" i="37" l="1"/>
  <c r="H386" i="37"/>
  <c r="J392" i="37"/>
  <c r="J389" i="37"/>
  <c r="K386" i="37"/>
  <c r="G395" i="37" s="1" a="1"/>
  <c r="K389" i="37"/>
  <c r="G389" i="37"/>
  <c r="G392" i="37"/>
  <c r="I404" i="37"/>
  <c r="I338" i="37"/>
  <c r="H338" i="37"/>
  <c r="G338" i="37"/>
  <c r="L338" i="37"/>
  <c r="M338" i="37"/>
  <c r="K338" i="37"/>
  <c r="P338" i="37"/>
  <c r="N338" i="37"/>
  <c r="O338" i="37"/>
  <c r="H404" i="37" l="1"/>
  <c r="J404" i="37"/>
  <c r="G401" i="37" a="1"/>
  <c r="G401" i="37" s="1"/>
  <c r="G398" i="37" a="1"/>
  <c r="K398" i="37" s="1"/>
  <c r="K404" i="37"/>
  <c r="G340" i="37" a="1"/>
  <c r="G404" i="37"/>
  <c r="O395" i="37"/>
  <c r="K395" i="37"/>
  <c r="M395" i="37"/>
  <c r="L395" i="37"/>
  <c r="H395" i="37"/>
  <c r="I395" i="37"/>
  <c r="G395" i="37"/>
  <c r="J395" i="37"/>
  <c r="P395" i="37"/>
  <c r="N395" i="37"/>
  <c r="O401" i="37" l="1"/>
  <c r="P401" i="37"/>
  <c r="M401" i="37"/>
  <c r="H401" i="37"/>
  <c r="I401" i="37"/>
  <c r="N401" i="37"/>
  <c r="K401" i="37"/>
  <c r="J401" i="37"/>
  <c r="L401" i="37"/>
  <c r="G442" i="37" a="1"/>
  <c r="L442" i="37" s="1"/>
  <c r="G398" i="37"/>
  <c r="H398" i="37"/>
  <c r="O398" i="37"/>
  <c r="L398" i="37"/>
  <c r="M398" i="37"/>
  <c r="P398" i="37"/>
  <c r="I398" i="37"/>
  <c r="J398" i="37"/>
  <c r="N398" i="37"/>
  <c r="G340" i="37"/>
  <c r="K340" i="37"/>
  <c r="O340" i="37"/>
  <c r="H340" i="37"/>
  <c r="L340" i="37"/>
  <c r="P340" i="37"/>
  <c r="J340" i="37"/>
  <c r="N340" i="37"/>
  <c r="I340" i="37"/>
  <c r="M340" i="37"/>
  <c r="G553" i="37" a="1"/>
  <c r="O553" i="37" s="1"/>
  <c r="G485" i="37" a="1"/>
  <c r="G499" i="37" a="1"/>
  <c r="G492" i="37" a="1"/>
  <c r="G521" i="37" l="1" a="1"/>
  <c r="P524" i="37" s="1"/>
  <c r="G528" i="37" a="1"/>
  <c r="P530" i="37" s="1"/>
  <c r="G535" i="37" a="1"/>
  <c r="I535" i="37" s="1"/>
  <c r="N442" i="37"/>
  <c r="M442" i="37"/>
  <c r="O442" i="37"/>
  <c r="P442" i="37"/>
  <c r="G442" i="37"/>
  <c r="I442" i="37"/>
  <c r="K442" i="37"/>
  <c r="J442" i="37"/>
  <c r="H442" i="37"/>
  <c r="G510" i="37" a="1"/>
  <c r="O514" i="37" s="1"/>
  <c r="G503" i="37" a="1"/>
  <c r="H503" i="37" s="1"/>
  <c r="G407" i="37" a="1"/>
  <c r="P407" i="37" s="1"/>
  <c r="G517" i="37" a="1"/>
  <c r="H517" i="37" s="1"/>
  <c r="Q340" i="37"/>
  <c r="G339" i="37" a="1"/>
  <c r="H553" i="37"/>
  <c r="N553" i="37"/>
  <c r="L553" i="37"/>
  <c r="G553" i="37"/>
  <c r="P553" i="37"/>
  <c r="J553" i="37"/>
  <c r="I553" i="37"/>
  <c r="M553" i="37"/>
  <c r="K553" i="37"/>
  <c r="K499" i="37"/>
  <c r="J499" i="37"/>
  <c r="I499" i="37"/>
  <c r="H499" i="37"/>
  <c r="G499" i="37"/>
  <c r="L499" i="37"/>
  <c r="O499" i="37"/>
  <c r="N499" i="37"/>
  <c r="P499" i="37"/>
  <c r="M499" i="37"/>
  <c r="N485" i="37"/>
  <c r="P488" i="37"/>
  <c r="H488" i="37"/>
  <c r="K486" i="37"/>
  <c r="N490" i="37"/>
  <c r="K487" i="37"/>
  <c r="I485" i="37"/>
  <c r="J490" i="37"/>
  <c r="P487" i="37"/>
  <c r="M486" i="37"/>
  <c r="I489" i="37"/>
  <c r="O489" i="37"/>
  <c r="L490" i="37"/>
  <c r="M490" i="37"/>
  <c r="J487" i="37"/>
  <c r="M488" i="37"/>
  <c r="H490" i="37"/>
  <c r="P486" i="37"/>
  <c r="I488" i="37"/>
  <c r="P485" i="37"/>
  <c r="I487" i="37"/>
  <c r="L485" i="37"/>
  <c r="M489" i="37"/>
  <c r="J489" i="37"/>
  <c r="G490" i="37"/>
  <c r="L489" i="37"/>
  <c r="P490" i="37"/>
  <c r="H487" i="37"/>
  <c r="N489" i="37"/>
  <c r="P489" i="37"/>
  <c r="K489" i="37"/>
  <c r="O487" i="37"/>
  <c r="M487" i="37"/>
  <c r="M485" i="37"/>
  <c r="O488" i="37"/>
  <c r="K485" i="37"/>
  <c r="H485" i="37"/>
  <c r="G485" i="37"/>
  <c r="K488" i="37"/>
  <c r="O490" i="37"/>
  <c r="J488" i="37"/>
  <c r="O486" i="37"/>
  <c r="G486" i="37"/>
  <c r="I490" i="37"/>
  <c r="G488" i="37"/>
  <c r="G487" i="37"/>
  <c r="N487" i="37"/>
  <c r="G489" i="37"/>
  <c r="J485" i="37"/>
  <c r="N486" i="37"/>
  <c r="L488" i="37"/>
  <c r="L487" i="37"/>
  <c r="J486" i="37"/>
  <c r="H486" i="37"/>
  <c r="H489" i="37"/>
  <c r="N488" i="37"/>
  <c r="O485" i="37"/>
  <c r="K490" i="37"/>
  <c r="I486" i="37"/>
  <c r="L486" i="37"/>
  <c r="M494" i="37"/>
  <c r="N492" i="37"/>
  <c r="O497" i="37"/>
  <c r="H497" i="37"/>
  <c r="N494" i="37"/>
  <c r="N495" i="37"/>
  <c r="J495" i="37"/>
  <c r="P494" i="37"/>
  <c r="H492" i="37"/>
  <c r="I497" i="37"/>
  <c r="M495" i="37"/>
  <c r="N493" i="37"/>
  <c r="M497" i="37"/>
  <c r="H493" i="37"/>
  <c r="P496" i="37"/>
  <c r="O492" i="37"/>
  <c r="L494" i="37"/>
  <c r="O495" i="37"/>
  <c r="M496" i="37"/>
  <c r="J492" i="37"/>
  <c r="G494" i="37"/>
  <c r="J496" i="37"/>
  <c r="I493" i="37"/>
  <c r="M492" i="37"/>
  <c r="K494" i="37"/>
  <c r="I496" i="37"/>
  <c r="P495" i="37"/>
  <c r="L496" i="37"/>
  <c r="G497" i="37"/>
  <c r="H496" i="37"/>
  <c r="H495" i="37"/>
  <c r="K493" i="37"/>
  <c r="I492" i="37"/>
  <c r="L497" i="37"/>
  <c r="O496" i="37"/>
  <c r="J497" i="37"/>
  <c r="K492" i="37"/>
  <c r="I495" i="37"/>
  <c r="J494" i="37"/>
  <c r="O494" i="37"/>
  <c r="N496" i="37"/>
  <c r="P493" i="37"/>
  <c r="O493" i="37"/>
  <c r="L492" i="37"/>
  <c r="N497" i="37"/>
  <c r="K496" i="37"/>
  <c r="M493" i="37"/>
  <c r="P492" i="37"/>
  <c r="G493" i="37"/>
  <c r="G496" i="37"/>
  <c r="L495" i="37"/>
  <c r="P497" i="37"/>
  <c r="J493" i="37"/>
  <c r="H494" i="37"/>
  <c r="G492" i="37"/>
  <c r="K495" i="37"/>
  <c r="I494" i="37"/>
  <c r="L493" i="37"/>
  <c r="G495" i="37"/>
  <c r="K497" i="37"/>
  <c r="P521" i="37" l="1"/>
  <c r="P522" i="37"/>
  <c r="K521" i="37"/>
  <c r="L525" i="37"/>
  <c r="H523" i="37"/>
  <c r="I524" i="37"/>
  <c r="N523" i="37"/>
  <c r="J524" i="37"/>
  <c r="H524" i="37"/>
  <c r="O522" i="37"/>
  <c r="G523" i="37"/>
  <c r="N526" i="37"/>
  <c r="J523" i="37"/>
  <c r="G522" i="37"/>
  <c r="M524" i="37"/>
  <c r="L523" i="37"/>
  <c r="L526" i="37"/>
  <c r="H526" i="37"/>
  <c r="I526" i="37"/>
  <c r="G526" i="37"/>
  <c r="P523" i="37"/>
  <c r="I523" i="37"/>
  <c r="K523" i="37"/>
  <c r="L524" i="37"/>
  <c r="I521" i="37"/>
  <c r="I522" i="37"/>
  <c r="I525" i="37"/>
  <c r="M525" i="37"/>
  <c r="J521" i="37"/>
  <c r="K526" i="37"/>
  <c r="J526" i="37"/>
  <c r="K522" i="37"/>
  <c r="O524" i="37"/>
  <c r="L521" i="37"/>
  <c r="L522" i="37"/>
  <c r="M522" i="37"/>
  <c r="P526" i="37"/>
  <c r="N521" i="37"/>
  <c r="G525" i="37"/>
  <c r="M523" i="37"/>
  <c r="G521" i="37"/>
  <c r="K524" i="37"/>
  <c r="O526" i="37"/>
  <c r="M526" i="37"/>
  <c r="O525" i="37"/>
  <c r="O523" i="37"/>
  <c r="N525" i="37"/>
  <c r="O521" i="37"/>
  <c r="N522" i="37"/>
  <c r="H521" i="37"/>
  <c r="M521" i="37"/>
  <c r="J525" i="37"/>
  <c r="H525" i="37"/>
  <c r="H522" i="37"/>
  <c r="P525" i="37"/>
  <c r="J522" i="37"/>
  <c r="G524" i="37"/>
  <c r="K525" i="37"/>
  <c r="N524" i="37"/>
  <c r="M535" i="37"/>
  <c r="P535" i="37"/>
  <c r="K529" i="37"/>
  <c r="G529" i="37"/>
  <c r="I528" i="37"/>
  <c r="H528" i="37"/>
  <c r="M528" i="37"/>
  <c r="N528" i="37"/>
  <c r="M532" i="37"/>
  <c r="N529" i="37"/>
  <c r="L531" i="37"/>
  <c r="O531" i="37"/>
  <c r="K528" i="37"/>
  <c r="G531" i="37"/>
  <c r="O528" i="37"/>
  <c r="O529" i="37"/>
  <c r="M533" i="37"/>
  <c r="L528" i="37"/>
  <c r="N532" i="37"/>
  <c r="N530" i="37"/>
  <c r="N531" i="37"/>
  <c r="O532" i="37"/>
  <c r="P529" i="37"/>
  <c r="P528" i="37"/>
  <c r="H529" i="37"/>
  <c r="P531" i="37"/>
  <c r="M530" i="37"/>
  <c r="J532" i="37"/>
  <c r="K532" i="37"/>
  <c r="J528" i="37"/>
  <c r="I532" i="37"/>
  <c r="L529" i="37"/>
  <c r="M529" i="37"/>
  <c r="L533" i="37"/>
  <c r="P533" i="37"/>
  <c r="G530" i="37"/>
  <c r="M531" i="37"/>
  <c r="J533" i="37"/>
  <c r="O533" i="37"/>
  <c r="I533" i="37"/>
  <c r="L530" i="37"/>
  <c r="H532" i="37"/>
  <c r="J529" i="37"/>
  <c r="P532" i="37"/>
  <c r="N533" i="37"/>
  <c r="I529" i="37"/>
  <c r="K531" i="37"/>
  <c r="O530" i="37"/>
  <c r="L532" i="37"/>
  <c r="I531" i="37"/>
  <c r="H533" i="37"/>
  <c r="G528" i="37"/>
  <c r="G532" i="37"/>
  <c r="J531" i="37"/>
  <c r="I530" i="37"/>
  <c r="H531" i="37"/>
  <c r="K533" i="37"/>
  <c r="G533" i="37"/>
  <c r="H530" i="37"/>
  <c r="J530" i="37"/>
  <c r="K530" i="37"/>
  <c r="N535" i="37"/>
  <c r="K535" i="37"/>
  <c r="O535" i="37"/>
  <c r="J535" i="37"/>
  <c r="H535" i="37"/>
  <c r="L535" i="37"/>
  <c r="G535" i="37"/>
  <c r="G474" i="37" a="1"/>
  <c r="P474" i="37" s="1"/>
  <c r="M407" i="37"/>
  <c r="J407" i="37"/>
  <c r="P510" i="37"/>
  <c r="G511" i="37"/>
  <c r="O511" i="37"/>
  <c r="K510" i="37"/>
  <c r="J515" i="37"/>
  <c r="L510" i="37"/>
  <c r="G510" i="37"/>
  <c r="G514" i="37"/>
  <c r="M511" i="37"/>
  <c r="I513" i="37"/>
  <c r="M513" i="37"/>
  <c r="J511" i="37"/>
  <c r="I512" i="37"/>
  <c r="I511" i="37"/>
  <c r="H513" i="37"/>
  <c r="J510" i="37"/>
  <c r="N510" i="37"/>
  <c r="J514" i="37"/>
  <c r="O512" i="37"/>
  <c r="J513" i="37"/>
  <c r="N511" i="37"/>
  <c r="G512" i="37"/>
  <c r="K512" i="37"/>
  <c r="L512" i="37"/>
  <c r="K511" i="37"/>
  <c r="K513" i="37"/>
  <c r="M512" i="37"/>
  <c r="K515" i="37"/>
  <c r="I510" i="37"/>
  <c r="N513" i="37"/>
  <c r="M514" i="37"/>
  <c r="H512" i="37"/>
  <c r="L513" i="37"/>
  <c r="P512" i="37"/>
  <c r="N515" i="37"/>
  <c r="H514" i="37"/>
  <c r="H511" i="37"/>
  <c r="L511" i="37"/>
  <c r="M515" i="37"/>
  <c r="P514" i="37"/>
  <c r="I515" i="37"/>
  <c r="M510" i="37"/>
  <c r="P511" i="37"/>
  <c r="P515" i="37"/>
  <c r="O513" i="37"/>
  <c r="G513" i="37"/>
  <c r="G515" i="37"/>
  <c r="O510" i="37"/>
  <c r="H510" i="37"/>
  <c r="N512" i="37"/>
  <c r="H515" i="37"/>
  <c r="K514" i="37"/>
  <c r="P513" i="37"/>
  <c r="O515" i="37"/>
  <c r="L515" i="37"/>
  <c r="J512" i="37"/>
  <c r="L514" i="37"/>
  <c r="I514" i="37"/>
  <c r="N514" i="37"/>
  <c r="G505" i="37"/>
  <c r="L503" i="37"/>
  <c r="M505" i="37"/>
  <c r="O505" i="37"/>
  <c r="O507" i="37"/>
  <c r="J505" i="37"/>
  <c r="I505" i="37"/>
  <c r="O506" i="37"/>
  <c r="P506" i="37"/>
  <c r="I506" i="37"/>
  <c r="M506" i="37"/>
  <c r="G507" i="37"/>
  <c r="J503" i="37"/>
  <c r="G508" i="37"/>
  <c r="K505" i="37"/>
  <c r="L508" i="37"/>
  <c r="M503" i="37"/>
  <c r="L504" i="37"/>
  <c r="O503" i="37"/>
  <c r="J507" i="37"/>
  <c r="O504" i="37"/>
  <c r="H505" i="37"/>
  <c r="N508" i="37"/>
  <c r="H506" i="37"/>
  <c r="K504" i="37"/>
  <c r="P507" i="37"/>
  <c r="L506" i="37"/>
  <c r="N503" i="37"/>
  <c r="P505" i="37"/>
  <c r="K503" i="37"/>
  <c r="N507" i="37"/>
  <c r="K508" i="37"/>
  <c r="P504" i="37"/>
  <c r="H508" i="37"/>
  <c r="G506" i="37"/>
  <c r="J506" i="37"/>
  <c r="L505" i="37"/>
  <c r="G503" i="37"/>
  <c r="P508" i="37"/>
  <c r="M507" i="37"/>
  <c r="I507" i="37"/>
  <c r="M508" i="37"/>
  <c r="I504" i="37"/>
  <c r="J508" i="37"/>
  <c r="N504" i="37"/>
  <c r="N505" i="37"/>
  <c r="N506" i="37"/>
  <c r="K507" i="37"/>
  <c r="G504" i="37"/>
  <c r="I503" i="37"/>
  <c r="I508" i="37"/>
  <c r="H507" i="37"/>
  <c r="K506" i="37"/>
  <c r="P503" i="37"/>
  <c r="M504" i="37"/>
  <c r="L507" i="37"/>
  <c r="H504" i="37"/>
  <c r="J504" i="37"/>
  <c r="O508" i="37"/>
  <c r="O407" i="37"/>
  <c r="N407" i="37"/>
  <c r="L407" i="37"/>
  <c r="I407" i="37"/>
  <c r="K407" i="37"/>
  <c r="O517" i="37"/>
  <c r="G407" i="37"/>
  <c r="H407" i="37"/>
  <c r="N517" i="37"/>
  <c r="J517" i="37"/>
  <c r="L517" i="37"/>
  <c r="M517" i="37"/>
  <c r="P517" i="37"/>
  <c r="G517" i="37"/>
  <c r="K517" i="37"/>
  <c r="I517" i="37"/>
  <c r="H339" i="37"/>
  <c r="L339" i="37"/>
  <c r="P339" i="37"/>
  <c r="I339" i="37"/>
  <c r="M339" i="37"/>
  <c r="G339" i="37"/>
  <c r="K339" i="37"/>
  <c r="O339" i="37"/>
  <c r="J339" i="37"/>
  <c r="N339" i="37"/>
  <c r="G410" i="37" l="1" a="1"/>
  <c r="K410" i="37" s="1"/>
  <c r="M474" i="37"/>
  <c r="G474" i="37"/>
  <c r="I474" i="37"/>
  <c r="K474" i="37"/>
  <c r="L474" i="37"/>
  <c r="J474" i="37"/>
  <c r="O474" i="37"/>
  <c r="H474" i="37"/>
  <c r="N474" i="37"/>
  <c r="G572" i="37"/>
  <c r="E56" i="39" s="1"/>
  <c r="Q339" i="37"/>
  <c r="E36" i="39" l="1" a="1"/>
  <c r="E37" i="39" s="1"/>
  <c r="P410" i="37"/>
  <c r="I410" i="37"/>
  <c r="L410" i="37"/>
  <c r="O410" i="37"/>
  <c r="J410" i="37"/>
  <c r="N410" i="37"/>
  <c r="H410" i="37"/>
  <c r="G410" i="37"/>
  <c r="M410" i="37"/>
  <c r="G539" i="37" a="1"/>
  <c r="K541" i="37" s="1"/>
  <c r="G546" i="37" a="1"/>
  <c r="O546" i="37" s="1"/>
  <c r="E36" i="39" l="1"/>
  <c r="G413" i="37" a="1"/>
  <c r="M413" i="37" s="1"/>
  <c r="G581" i="37" a="1"/>
  <c r="L581" i="37" s="1"/>
  <c r="J541" i="37"/>
  <c r="M540" i="37"/>
  <c r="L539" i="37"/>
  <c r="G540" i="37"/>
  <c r="M542" i="37"/>
  <c r="G539" i="37"/>
  <c r="N543" i="37"/>
  <c r="P544" i="37"/>
  <c r="G541" i="37"/>
  <c r="M543" i="37"/>
  <c r="H544" i="37"/>
  <c r="L541" i="37"/>
  <c r="J543" i="37"/>
  <c r="N541" i="37"/>
  <c r="P541" i="37"/>
  <c r="O541" i="37"/>
  <c r="N539" i="37"/>
  <c r="M539" i="37"/>
  <c r="O539" i="37"/>
  <c r="L540" i="37"/>
  <c r="I544" i="37"/>
  <c r="L543" i="37"/>
  <c r="K543" i="37"/>
  <c r="N544" i="37"/>
  <c r="K540" i="37"/>
  <c r="K539" i="37"/>
  <c r="J540" i="37"/>
  <c r="G542" i="37"/>
  <c r="O544" i="37"/>
  <c r="I541" i="37"/>
  <c r="H543" i="37"/>
  <c r="N540" i="37"/>
  <c r="M541" i="37"/>
  <c r="O540" i="37"/>
  <c r="P539" i="37"/>
  <c r="P543" i="37"/>
  <c r="G543" i="37"/>
  <c r="O542" i="37"/>
  <c r="J544" i="37"/>
  <c r="K542" i="37"/>
  <c r="O543" i="37"/>
  <c r="K544" i="37"/>
  <c r="H542" i="37"/>
  <c r="I543" i="37"/>
  <c r="J539" i="37"/>
  <c r="L544" i="37"/>
  <c r="I539" i="37"/>
  <c r="H540" i="37"/>
  <c r="I542" i="37"/>
  <c r="I540" i="37"/>
  <c r="J542" i="37"/>
  <c r="P542" i="37"/>
  <c r="L542" i="37"/>
  <c r="M544" i="37"/>
  <c r="H541" i="37"/>
  <c r="G544" i="37"/>
  <c r="P540" i="37"/>
  <c r="N542" i="37"/>
  <c r="H539" i="37"/>
  <c r="L551" i="37"/>
  <c r="H550" i="37"/>
  <c r="P551" i="37"/>
  <c r="P550" i="37"/>
  <c r="N547" i="37"/>
  <c r="M547" i="37"/>
  <c r="N546" i="37"/>
  <c r="O548" i="37"/>
  <c r="I551" i="37"/>
  <c r="P547" i="37"/>
  <c r="G547" i="37"/>
  <c r="K550" i="37"/>
  <c r="O549" i="37"/>
  <c r="J548" i="37"/>
  <c r="J550" i="37"/>
  <c r="K551" i="37"/>
  <c r="P548" i="37"/>
  <c r="P549" i="37"/>
  <c r="J547" i="37"/>
  <c r="N551" i="37"/>
  <c r="H551" i="37"/>
  <c r="J551" i="37"/>
  <c r="O547" i="37"/>
  <c r="K547" i="37"/>
  <c r="O551" i="37"/>
  <c r="K549" i="37"/>
  <c r="J546" i="37"/>
  <c r="N548" i="37"/>
  <c r="G549" i="37"/>
  <c r="G551" i="37"/>
  <c r="M546" i="37"/>
  <c r="N550" i="37"/>
  <c r="I549" i="37"/>
  <c r="K548" i="37"/>
  <c r="L549" i="37"/>
  <c r="G550" i="37"/>
  <c r="O550" i="37"/>
  <c r="M550" i="37"/>
  <c r="H547" i="37"/>
  <c r="G546" i="37"/>
  <c r="L550" i="37"/>
  <c r="J549" i="37"/>
  <c r="P546" i="37"/>
  <c r="G548" i="37"/>
  <c r="N549" i="37"/>
  <c r="I547" i="37"/>
  <c r="K546" i="37"/>
  <c r="H546" i="37"/>
  <c r="L548" i="37"/>
  <c r="L547" i="37"/>
  <c r="H548" i="37"/>
  <c r="H549" i="37"/>
  <c r="L546" i="37"/>
  <c r="M551" i="37"/>
  <c r="M548" i="37"/>
  <c r="I548" i="37"/>
  <c r="I546" i="37"/>
  <c r="I550" i="37"/>
  <c r="M549" i="37"/>
  <c r="H581" i="37" l="1"/>
  <c r="K581" i="37"/>
  <c r="G413" i="37"/>
  <c r="P413" i="37"/>
  <c r="J413" i="37"/>
  <c r="K413" i="37"/>
  <c r="I413" i="37"/>
  <c r="N413" i="37"/>
  <c r="O413" i="37"/>
  <c r="L413" i="37"/>
  <c r="H413" i="37"/>
  <c r="O581" i="37"/>
  <c r="G581" i="37"/>
  <c r="M581" i="37"/>
  <c r="N581" i="37"/>
  <c r="P581" i="37"/>
  <c r="I581" i="37"/>
  <c r="J581" i="37"/>
  <c r="G558" i="37"/>
  <c r="G567" i="37"/>
  <c r="G560" i="37"/>
  <c r="G568" i="37"/>
  <c r="G569" i="37"/>
  <c r="G561" i="37"/>
  <c r="G563" i="37"/>
  <c r="G559" i="37"/>
  <c r="G562" i="37"/>
  <c r="G570" i="37"/>
  <c r="G565" i="37"/>
  <c r="G566" i="37"/>
  <c r="G415" i="37" l="1" a="1"/>
  <c r="G418" i="37" a="1"/>
  <c r="O418" i="37" s="1"/>
  <c r="G583" i="37" a="1"/>
  <c r="O583" i="37" s="1"/>
  <c r="E44" i="39" a="1"/>
  <c r="E48" i="39" s="1"/>
  <c r="E50" i="39" a="1"/>
  <c r="E51" i="39" s="1"/>
  <c r="P415" i="37" l="1"/>
  <c r="I415" i="37"/>
  <c r="O415" i="37"/>
  <c r="L415" i="37"/>
  <c r="J415" i="37"/>
  <c r="H415" i="37"/>
  <c r="M415" i="37"/>
  <c r="G415" i="37"/>
  <c r="N415" i="37"/>
  <c r="K415" i="37"/>
  <c r="L418" i="37"/>
  <c r="K418" i="37"/>
  <c r="M418" i="37"/>
  <c r="N418" i="37"/>
  <c r="I418" i="37"/>
  <c r="G418" i="37"/>
  <c r="P418" i="37"/>
  <c r="H418" i="37"/>
  <c r="J418" i="37"/>
  <c r="M583" i="37"/>
  <c r="G583" i="37"/>
  <c r="I583" i="37"/>
  <c r="H583" i="37"/>
  <c r="L583" i="37"/>
  <c r="P583" i="37"/>
  <c r="N583" i="37"/>
  <c r="K583" i="37"/>
  <c r="J583" i="37"/>
  <c r="E49" i="39"/>
  <c r="E45" i="39"/>
  <c r="E44" i="39"/>
  <c r="E46" i="39"/>
  <c r="E47" i="39"/>
  <c r="E55" i="39"/>
  <c r="E50" i="39"/>
  <c r="E54" i="39"/>
  <c r="E53" i="39"/>
  <c r="E52" i="39"/>
  <c r="G420" i="37" l="1" a="1"/>
  <c r="Q415" i="37"/>
  <c r="G414" i="37" a="1"/>
  <c r="L414" i="37" s="1"/>
  <c r="G585" i="37" a="1"/>
  <c r="J585" i="37" s="1"/>
  <c r="J414" i="37" l="1"/>
  <c r="K414" i="37"/>
  <c r="N414" i="37"/>
  <c r="O414" i="37"/>
  <c r="I414" i="37"/>
  <c r="M414" i="37"/>
  <c r="G414" i="37"/>
  <c r="P414" i="37"/>
  <c r="H414" i="37"/>
  <c r="P420" i="37"/>
  <c r="J420" i="37"/>
  <c r="O420" i="37"/>
  <c r="L420" i="37"/>
  <c r="N420" i="37"/>
  <c r="I420" i="37"/>
  <c r="H420" i="37"/>
  <c r="G420" i="37"/>
  <c r="M420" i="37"/>
  <c r="K420" i="37"/>
  <c r="I585" i="37"/>
  <c r="O585" i="37"/>
  <c r="M585" i="37"/>
  <c r="L585" i="37"/>
  <c r="G585" i="37"/>
  <c r="K585" i="37"/>
  <c r="N585" i="37"/>
  <c r="H585" i="37"/>
  <c r="P585" i="37"/>
  <c r="Q414" i="37" l="1"/>
  <c r="E40" i="39" s="1" a="1"/>
  <c r="E40" i="39" s="1"/>
  <c r="G419" i="37" a="1"/>
  <c r="K419" i="37" s="1"/>
  <c r="Q420" i="37"/>
  <c r="G594" i="37" a="1"/>
  <c r="K594" i="37" s="1"/>
  <c r="G620" i="37" a="1"/>
  <c r="J620" i="37" s="1"/>
  <c r="E41" i="39" l="1"/>
  <c r="J419" i="37"/>
  <c r="H419" i="37"/>
  <c r="G419" i="37"/>
  <c r="M419" i="37"/>
  <c r="O419" i="37"/>
  <c r="P419" i="37"/>
  <c r="I419" i="37"/>
  <c r="L419" i="37"/>
  <c r="N419" i="37"/>
  <c r="J594" i="37"/>
  <c r="P594" i="37"/>
  <c r="M594" i="37"/>
  <c r="G594" i="37"/>
  <c r="I594" i="37"/>
  <c r="L594" i="37"/>
  <c r="O594" i="37"/>
  <c r="N594" i="37"/>
  <c r="H594" i="37"/>
  <c r="G620" i="37"/>
  <c r="N620" i="37"/>
  <c r="K620" i="37"/>
  <c r="O620" i="37"/>
  <c r="L620" i="37"/>
  <c r="H620" i="37"/>
  <c r="P620" i="37"/>
  <c r="M620" i="37"/>
  <c r="I620" i="37"/>
  <c r="Q419" i="37" l="1"/>
  <c r="E42" i="39" s="1" a="1"/>
  <c r="E42" i="39" s="1"/>
  <c r="G596" i="37" a="1"/>
  <c r="O596" i="37" s="1"/>
  <c r="G642" i="37"/>
  <c r="E69" i="39" s="1"/>
  <c r="G622" i="37" a="1"/>
  <c r="I622" i="37" s="1"/>
  <c r="E43" i="39" l="1"/>
  <c r="G596" i="37"/>
  <c r="P596" i="37"/>
  <c r="K596" i="37"/>
  <c r="L596" i="37"/>
  <c r="H596" i="37"/>
  <c r="N596" i="37"/>
  <c r="J596" i="37"/>
  <c r="I596" i="37"/>
  <c r="M596" i="37"/>
  <c r="N622" i="37"/>
  <c r="H622" i="37"/>
  <c r="M622" i="37"/>
  <c r="L622" i="37"/>
  <c r="G622" i="37"/>
  <c r="O622" i="37"/>
  <c r="P622" i="37"/>
  <c r="J622" i="37"/>
  <c r="K622" i="37"/>
  <c r="G606" i="37" l="1" a="1"/>
  <c r="I606" i="37" s="1"/>
  <c r="G631" i="37" a="1"/>
  <c r="O631" i="37" s="1"/>
  <c r="O606" i="37" l="1"/>
  <c r="N606" i="37"/>
  <c r="L606" i="37"/>
  <c r="P606" i="37"/>
  <c r="H606" i="37"/>
  <c r="M606" i="37"/>
  <c r="G606" i="37"/>
  <c r="J606" i="37"/>
  <c r="K606" i="37"/>
  <c r="N631" i="37"/>
  <c r="G631" i="37"/>
  <c r="L631" i="37"/>
  <c r="K631" i="37"/>
  <c r="J631" i="37"/>
  <c r="M631" i="37"/>
  <c r="I631" i="37"/>
  <c r="H631" i="37"/>
  <c r="P631" i="37"/>
  <c r="G614" i="37" l="1"/>
  <c r="G615" i="37"/>
  <c r="G610" i="37"/>
  <c r="G611" i="37"/>
  <c r="G612" i="37"/>
  <c r="G613" i="37"/>
  <c r="G638" i="37"/>
  <c r="G637" i="37"/>
  <c r="G636" i="37"/>
  <c r="G635" i="37"/>
  <c r="G639" i="37"/>
  <c r="G634" i="37"/>
  <c r="E57" i="39" l="1" a="1"/>
  <c r="E60" i="39" s="1"/>
  <c r="E63" i="39" a="1"/>
  <c r="E67" i="39" s="1"/>
  <c r="E57" i="39" l="1"/>
  <c r="E61" i="39"/>
  <c r="E58" i="39"/>
  <c r="E62" i="39"/>
  <c r="E59" i="39"/>
  <c r="E63" i="39"/>
  <c r="E64" i="39"/>
  <c r="E65" i="39"/>
  <c r="E66" i="39"/>
  <c r="E68" i="39"/>
  <c r="Q16" i="38" l="1"/>
  <c r="P174" i="38" l="1"/>
  <c r="Q23" i="38"/>
  <c r="I23" i="38"/>
  <c r="I19" i="38"/>
  <c r="I21" i="38"/>
  <c r="I18" i="38"/>
  <c r="I9" i="38"/>
  <c r="I14" i="38"/>
  <c r="I13" i="38"/>
  <c r="I17" i="38"/>
  <c r="I20" i="38"/>
  <c r="I12" i="38"/>
  <c r="I10" i="38"/>
  <c r="I15" i="38"/>
  <c r="I16" i="38"/>
  <c r="I11" i="38"/>
  <c r="Q11" i="38"/>
  <c r="Q21" i="38"/>
  <c r="Q20" i="38"/>
  <c r="P203" i="38" s="1"/>
  <c r="Q8" i="38"/>
  <c r="Q13" i="38"/>
  <c r="Q9" i="38"/>
  <c r="Q14" i="38"/>
  <c r="Q17" i="38"/>
  <c r="I8" i="38"/>
  <c r="Q22" i="38"/>
  <c r="P168" i="38" s="1"/>
  <c r="I26" i="38"/>
  <c r="Q19" i="38"/>
  <c r="Q18" i="38"/>
  <c r="P169" i="38"/>
  <c r="P177" i="38"/>
  <c r="Q25" i="38"/>
  <c r="I25" i="38"/>
  <c r="I24" i="38"/>
  <c r="P173" i="38"/>
  <c r="P175" i="38"/>
  <c r="P170" i="38"/>
  <c r="Q10" i="38"/>
  <c r="Q12" i="38"/>
  <c r="I22" i="38"/>
  <c r="Q26" i="38"/>
  <c r="Q24" i="38"/>
  <c r="P185" i="38"/>
  <c r="P176" i="38"/>
  <c r="Q15" i="38"/>
  <c r="I64" i="38" l="1"/>
  <c r="I63" i="38"/>
  <c r="P64" i="38"/>
  <c r="P63" i="38"/>
  <c r="P231" i="38"/>
  <c r="P194" i="38"/>
  <c r="P172" i="38"/>
  <c r="P179" i="38"/>
  <c r="P178" i="38"/>
  <c r="P180" i="38"/>
  <c r="P200" i="38"/>
  <c r="P196" i="38"/>
  <c r="P199" i="38"/>
  <c r="P171" i="38"/>
  <c r="P181" i="38"/>
  <c r="P197" i="38"/>
  <c r="P186" i="38"/>
  <c r="P183" i="38"/>
  <c r="P182" i="38"/>
  <c r="P36" i="38"/>
  <c r="P62" i="38"/>
  <c r="P52" i="38"/>
  <c r="P32" i="38"/>
  <c r="P33" i="38"/>
  <c r="P61" i="38"/>
  <c r="P34" i="38"/>
  <c r="P53" i="38"/>
  <c r="P37" i="38"/>
  <c r="I142" i="38"/>
  <c r="I69" i="38"/>
  <c r="I156" i="38"/>
  <c r="I153" i="38"/>
  <c r="I87" i="38"/>
  <c r="I151" i="38"/>
  <c r="I134" i="38"/>
  <c r="I145" i="38"/>
  <c r="I130" i="38"/>
  <c r="I71" i="38"/>
  <c r="I131" i="38"/>
  <c r="I137" i="38"/>
  <c r="I144" i="38"/>
  <c r="I140" i="38"/>
  <c r="I154" i="38"/>
  <c r="I86" i="38"/>
  <c r="I135" i="38"/>
  <c r="I84" i="38"/>
  <c r="I148" i="38"/>
  <c r="I141" i="38"/>
  <c r="I74" i="38"/>
  <c r="I143" i="38"/>
  <c r="I85" i="38"/>
  <c r="I133" i="38"/>
  <c r="I155" i="38"/>
  <c r="I138" i="38"/>
  <c r="I152" i="38"/>
  <c r="I149" i="38"/>
  <c r="I83" i="38"/>
  <c r="I132" i="38"/>
  <c r="I146" i="38"/>
  <c r="I73" i="38"/>
  <c r="I129" i="38"/>
  <c r="I136" i="38"/>
  <c r="I128" i="38"/>
  <c r="I72" i="38"/>
  <c r="I70" i="38"/>
  <c r="I150" i="38"/>
  <c r="I127" i="38"/>
  <c r="I139" i="38"/>
  <c r="I82" i="38"/>
  <c r="I147" i="38"/>
  <c r="I166" i="38"/>
  <c r="I76" i="38"/>
  <c r="I79" i="38"/>
  <c r="I78" i="38"/>
  <c r="I80" i="38"/>
  <c r="I75" i="38"/>
  <c r="I77" i="38"/>
  <c r="I122" i="38"/>
  <c r="I162" i="38"/>
  <c r="I163" i="38"/>
  <c r="I113" i="38"/>
  <c r="I91" i="38"/>
  <c r="I115" i="38"/>
  <c r="I107" i="38"/>
  <c r="I160" i="38"/>
  <c r="I89" i="38"/>
  <c r="I114" i="38"/>
  <c r="I121" i="38"/>
  <c r="I104" i="38"/>
  <c r="I119" i="38"/>
  <c r="I118" i="38"/>
  <c r="I125" i="38"/>
  <c r="I124" i="38"/>
  <c r="I112" i="38"/>
  <c r="I164" i="38"/>
  <c r="I92" i="38"/>
  <c r="I105" i="38"/>
  <c r="I161" i="38"/>
  <c r="I111" i="38"/>
  <c r="I110" i="38"/>
  <c r="I117" i="38"/>
  <c r="I116" i="38"/>
  <c r="I159" i="38"/>
  <c r="I157" i="38"/>
  <c r="I93" i="38"/>
  <c r="I123" i="38"/>
  <c r="I106" i="38"/>
  <c r="I120" i="38"/>
  <c r="I90" i="38"/>
  <c r="I103" i="38"/>
  <c r="I158" i="38"/>
  <c r="I109" i="38"/>
  <c r="I108" i="38"/>
  <c r="I88" i="38"/>
  <c r="I126" i="38"/>
  <c r="P100" i="38"/>
  <c r="P97" i="38"/>
  <c r="P102" i="38"/>
  <c r="P99" i="38"/>
  <c r="P98" i="38"/>
  <c r="P101" i="38"/>
  <c r="P80" i="38"/>
  <c r="P79" i="38"/>
  <c r="P75" i="38"/>
  <c r="P77" i="38"/>
  <c r="P166" i="38"/>
  <c r="P76" i="38"/>
  <c r="P78" i="38"/>
  <c r="P117" i="38"/>
  <c r="P93" i="38"/>
  <c r="P113" i="38"/>
  <c r="P125" i="38"/>
  <c r="P163" i="38"/>
  <c r="P88" i="38"/>
  <c r="P160" i="38"/>
  <c r="P110" i="38"/>
  <c r="P107" i="38"/>
  <c r="P159" i="38"/>
  <c r="P124" i="38"/>
  <c r="P158" i="38"/>
  <c r="P108" i="38"/>
  <c r="P162" i="38"/>
  <c r="P109" i="38"/>
  <c r="P122" i="38"/>
  <c r="P119" i="38"/>
  <c r="P91" i="38"/>
  <c r="P92" i="38"/>
  <c r="P157" i="38"/>
  <c r="P120" i="38"/>
  <c r="P105" i="38"/>
  <c r="P116" i="38"/>
  <c r="P161" i="38"/>
  <c r="P164" i="38"/>
  <c r="P114" i="38"/>
  <c r="P111" i="38"/>
  <c r="P126" i="38"/>
  <c r="P123" i="38"/>
  <c r="P90" i="38"/>
  <c r="P112" i="38"/>
  <c r="P118" i="38"/>
  <c r="P103" i="38"/>
  <c r="P104" i="38"/>
  <c r="P89" i="38"/>
  <c r="P115" i="38"/>
  <c r="P121" i="38"/>
  <c r="P106" i="38"/>
  <c r="P210" i="38"/>
  <c r="P208" i="38"/>
  <c r="P207" i="38"/>
  <c r="P225" i="38"/>
  <c r="P220" i="38"/>
  <c r="P217" i="38"/>
  <c r="P228" i="38"/>
  <c r="P230" i="38"/>
  <c r="P201" i="38"/>
  <c r="P223" i="38"/>
  <c r="P218" i="38"/>
  <c r="P209" i="38"/>
  <c r="P215" i="38"/>
  <c r="P206" i="38"/>
  <c r="P213" i="38"/>
  <c r="P184" i="38"/>
  <c r="P216" i="38"/>
  <c r="P211" i="38"/>
  <c r="P202" i="38"/>
  <c r="P204" i="38"/>
  <c r="P226" i="38"/>
  <c r="P229" i="38"/>
  <c r="P214" i="38"/>
  <c r="P221" i="38"/>
  <c r="P205" i="38"/>
  <c r="P227" i="38"/>
  <c r="P224" i="38"/>
  <c r="P212" i="38"/>
  <c r="P219" i="38"/>
  <c r="P222" i="38"/>
  <c r="I173" i="38"/>
  <c r="I177" i="38"/>
  <c r="I169" i="38"/>
  <c r="I176" i="38"/>
  <c r="I185" i="38"/>
  <c r="I168" i="38"/>
  <c r="I175" i="38"/>
  <c r="I170" i="38"/>
  <c r="I174" i="38"/>
  <c r="I213" i="38"/>
  <c r="I206" i="38"/>
  <c r="I212" i="38"/>
  <c r="I203" i="38"/>
  <c r="I205" i="38"/>
  <c r="I208" i="38"/>
  <c r="I210" i="38"/>
  <c r="I184" i="38"/>
  <c r="I204" i="38"/>
  <c r="I230" i="38"/>
  <c r="I201" i="38"/>
  <c r="I223" i="38"/>
  <c r="I229" i="38"/>
  <c r="I224" i="38"/>
  <c r="I226" i="38"/>
  <c r="I202" i="38"/>
  <c r="I228" i="38"/>
  <c r="I219" i="38"/>
  <c r="I221" i="38"/>
  <c r="I215" i="38"/>
  <c r="I218" i="38"/>
  <c r="I209" i="38"/>
  <c r="I211" i="38"/>
  <c r="I214" i="38"/>
  <c r="I227" i="38"/>
  <c r="I220" i="38"/>
  <c r="I216" i="38"/>
  <c r="I217" i="38"/>
  <c r="I207" i="38"/>
  <c r="I222" i="38"/>
  <c r="I225" i="38"/>
  <c r="I56" i="38"/>
  <c r="I47" i="38"/>
  <c r="I38" i="38"/>
  <c r="I55" i="38"/>
  <c r="I40" i="38"/>
  <c r="I50" i="38"/>
  <c r="I43" i="38"/>
  <c r="I35" i="38"/>
  <c r="I41" i="38"/>
  <c r="I44" i="38"/>
  <c r="I57" i="38"/>
  <c r="I42" i="38"/>
  <c r="I60" i="38"/>
  <c r="I39" i="38"/>
  <c r="I45" i="38"/>
  <c r="I46" i="38"/>
  <c r="I51" i="38"/>
  <c r="I54" i="38"/>
  <c r="I49" i="38"/>
  <c r="I48" i="38"/>
  <c r="I58" i="38"/>
  <c r="I59" i="38"/>
  <c r="P66" i="38"/>
  <c r="P167" i="38"/>
  <c r="P96" i="38"/>
  <c r="P68" i="38"/>
  <c r="P95" i="38"/>
  <c r="P65" i="38"/>
  <c r="P67" i="38"/>
  <c r="P55" i="38"/>
  <c r="P38" i="38"/>
  <c r="P35" i="38"/>
  <c r="P45" i="38"/>
  <c r="P51" i="38"/>
  <c r="P58" i="38"/>
  <c r="P57" i="38"/>
  <c r="P42" i="38"/>
  <c r="P50" i="38"/>
  <c r="P48" i="38"/>
  <c r="P59" i="38"/>
  <c r="P60" i="38"/>
  <c r="P43" i="38"/>
  <c r="P49" i="38"/>
  <c r="P39" i="38"/>
  <c r="P40" i="38"/>
  <c r="P41" i="38"/>
  <c r="P54" i="38"/>
  <c r="P56" i="38"/>
  <c r="P44" i="38"/>
  <c r="P47" i="38"/>
  <c r="P46" i="38"/>
  <c r="I97" i="38"/>
  <c r="I99" i="38"/>
  <c r="I101" i="38"/>
  <c r="I98" i="38"/>
  <c r="I102" i="38"/>
  <c r="I100" i="38"/>
  <c r="I186" i="38"/>
  <c r="I179" i="38"/>
  <c r="I199" i="38"/>
  <c r="I172" i="38"/>
  <c r="I171" i="38"/>
  <c r="I180" i="38"/>
  <c r="I178" i="38"/>
  <c r="I183" i="38"/>
  <c r="I182" i="38"/>
  <c r="I196" i="38"/>
  <c r="I194" i="38"/>
  <c r="I200" i="38"/>
  <c r="I197" i="38"/>
  <c r="I181" i="38"/>
  <c r="I190" i="38"/>
  <c r="I187" i="38"/>
  <c r="I189" i="38"/>
  <c r="I198" i="38"/>
  <c r="I191" i="38"/>
  <c r="I193" i="38"/>
  <c r="I192" i="38"/>
  <c r="I195" i="38"/>
  <c r="I188" i="38"/>
  <c r="P198" i="38"/>
  <c r="P187" i="38"/>
  <c r="P191" i="38"/>
  <c r="P193" i="38"/>
  <c r="P189" i="38"/>
  <c r="P195" i="38"/>
  <c r="P188" i="38"/>
  <c r="P190" i="38"/>
  <c r="P192" i="38"/>
  <c r="I32" i="38"/>
  <c r="I36" i="38"/>
  <c r="I34" i="38"/>
  <c r="I52" i="38"/>
  <c r="I62" i="38"/>
  <c r="I61" i="38"/>
  <c r="I33" i="38"/>
  <c r="I53" i="38"/>
  <c r="I37" i="38"/>
  <c r="P81" i="38"/>
  <c r="P94" i="38"/>
  <c r="P165" i="38"/>
  <c r="P72" i="38"/>
  <c r="P130" i="38"/>
  <c r="P87" i="38"/>
  <c r="P83" i="38"/>
  <c r="P128" i="38"/>
  <c r="P140" i="38"/>
  <c r="P69" i="38"/>
  <c r="P145" i="38"/>
  <c r="P84" i="38"/>
  <c r="P146" i="38"/>
  <c r="P70" i="38"/>
  <c r="P136" i="38"/>
  <c r="P144" i="38"/>
  <c r="P153" i="38"/>
  <c r="P132" i="38"/>
  <c r="P156" i="38"/>
  <c r="P133" i="38"/>
  <c r="P151" i="38"/>
  <c r="P141" i="38"/>
  <c r="P82" i="38"/>
  <c r="P147" i="38"/>
  <c r="P137" i="38"/>
  <c r="P73" i="38"/>
  <c r="P155" i="38"/>
  <c r="P86" i="38"/>
  <c r="P74" i="38"/>
  <c r="P154" i="38"/>
  <c r="P143" i="38"/>
  <c r="P127" i="38"/>
  <c r="P139" i="38"/>
  <c r="P150" i="38"/>
  <c r="P135" i="38"/>
  <c r="P85" i="38"/>
  <c r="P129" i="38"/>
  <c r="P138" i="38"/>
  <c r="P148" i="38"/>
  <c r="P152" i="38"/>
  <c r="P142" i="38"/>
  <c r="P71" i="38"/>
  <c r="P134" i="38"/>
  <c r="P131" i="38"/>
  <c r="P149" i="38"/>
  <c r="I68" i="38"/>
  <c r="I65" i="38"/>
  <c r="I95" i="38"/>
  <c r="I96" i="38"/>
  <c r="I167" i="38"/>
  <c r="I67" i="38"/>
  <c r="I66" i="38"/>
  <c r="I81" i="38"/>
  <c r="I94" i="38"/>
  <c r="I165" i="38"/>
  <c r="I231" i="38"/>
  <c r="J32" i="38" l="1" a="1"/>
  <c r="Q9" i="40" a="1"/>
  <c r="Q170" i="40" s="1"/>
  <c r="J34" i="38" l="1"/>
  <c r="Q34" i="38" s="1"/>
  <c r="J38" i="38"/>
  <c r="Q38" i="38" s="1"/>
  <c r="J42" i="38"/>
  <c r="Q42" i="38" s="1"/>
  <c r="J46" i="38"/>
  <c r="Q46" i="38" s="1"/>
  <c r="J50" i="38"/>
  <c r="Q50" i="38" s="1"/>
  <c r="J54" i="38"/>
  <c r="Q54" i="38" s="1"/>
  <c r="J58" i="38"/>
  <c r="Q58" i="38" s="1"/>
  <c r="J62" i="38"/>
  <c r="Q62" i="38" s="1"/>
  <c r="J66" i="38"/>
  <c r="Q66" i="38" s="1"/>
  <c r="J70" i="38"/>
  <c r="Q70" i="38" s="1"/>
  <c r="J74" i="38"/>
  <c r="Q74" i="38" s="1"/>
  <c r="J78" i="38"/>
  <c r="Q78" i="38" s="1"/>
  <c r="J82" i="38"/>
  <c r="Q82" i="38" s="1"/>
  <c r="J86" i="38"/>
  <c r="Q86" i="38" s="1"/>
  <c r="J90" i="38"/>
  <c r="Q90" i="38" s="1"/>
  <c r="J94" i="38"/>
  <c r="Q94" i="38" s="1"/>
  <c r="J98" i="38"/>
  <c r="Q98" i="38" s="1"/>
  <c r="J102" i="38"/>
  <c r="Q102" i="38" s="1"/>
  <c r="J106" i="38"/>
  <c r="Q106" i="38" s="1"/>
  <c r="J110" i="38"/>
  <c r="Q110" i="38" s="1"/>
  <c r="J114" i="38"/>
  <c r="Q114" i="38" s="1"/>
  <c r="J118" i="38"/>
  <c r="Q118" i="38" s="1"/>
  <c r="J122" i="38"/>
  <c r="Q122" i="38" s="1"/>
  <c r="J126" i="38"/>
  <c r="Q126" i="38" s="1"/>
  <c r="J130" i="38"/>
  <c r="Q130" i="38" s="1"/>
  <c r="J134" i="38"/>
  <c r="Q134" i="38" s="1"/>
  <c r="J138" i="38"/>
  <c r="Q138" i="38" s="1"/>
  <c r="J142" i="38"/>
  <c r="Q142" i="38" s="1"/>
  <c r="J146" i="38"/>
  <c r="Q146" i="38" s="1"/>
  <c r="J150" i="38"/>
  <c r="Q150" i="38" s="1"/>
  <c r="J154" i="38"/>
  <c r="Q154" i="38" s="1"/>
  <c r="J158" i="38"/>
  <c r="Q158" i="38" s="1"/>
  <c r="J162" i="38"/>
  <c r="Q162" i="38" s="1"/>
  <c r="J166" i="38"/>
  <c r="Q166" i="38" s="1"/>
  <c r="J170" i="38"/>
  <c r="Q170" i="38" s="1"/>
  <c r="J174" i="38"/>
  <c r="Q174" i="38" s="1"/>
  <c r="J178" i="38"/>
  <c r="Q178" i="38" s="1"/>
  <c r="J182" i="38"/>
  <c r="Q182" i="38" s="1"/>
  <c r="J186" i="38"/>
  <c r="Q186" i="38" s="1"/>
  <c r="J190" i="38"/>
  <c r="Q190" i="38" s="1"/>
  <c r="J194" i="38"/>
  <c r="Q194" i="38" s="1"/>
  <c r="J198" i="38"/>
  <c r="Q198" i="38" s="1"/>
  <c r="J202" i="38"/>
  <c r="Q202" i="38" s="1"/>
  <c r="J35" i="38"/>
  <c r="Q35" i="38" s="1"/>
  <c r="J40" i="38"/>
  <c r="Q40" i="38" s="1"/>
  <c r="J45" i="38"/>
  <c r="Q45" i="38" s="1"/>
  <c r="J51" i="38"/>
  <c r="Q51" i="38" s="1"/>
  <c r="J56" i="38"/>
  <c r="Q56" i="38" s="1"/>
  <c r="J61" i="38"/>
  <c r="Q61" i="38" s="1"/>
  <c r="J67" i="38"/>
  <c r="Q67" i="38" s="1"/>
  <c r="J72" i="38"/>
  <c r="Q72" i="38" s="1"/>
  <c r="J77" i="38"/>
  <c r="Q77" i="38" s="1"/>
  <c r="J83" i="38"/>
  <c r="Q83" i="38" s="1"/>
  <c r="J88" i="38"/>
  <c r="Q88" i="38" s="1"/>
  <c r="J93" i="38"/>
  <c r="Q93" i="38" s="1"/>
  <c r="J99" i="38"/>
  <c r="Q99" i="38" s="1"/>
  <c r="J104" i="38"/>
  <c r="Q104" i="38" s="1"/>
  <c r="J109" i="38"/>
  <c r="Q109" i="38" s="1"/>
  <c r="J115" i="38"/>
  <c r="Q115" i="38" s="1"/>
  <c r="J120" i="38"/>
  <c r="Q120" i="38" s="1"/>
  <c r="J125" i="38"/>
  <c r="Q125" i="38" s="1"/>
  <c r="J131" i="38"/>
  <c r="Q131" i="38" s="1"/>
  <c r="J136" i="38"/>
  <c r="Q136" i="38" s="1"/>
  <c r="J141" i="38"/>
  <c r="Q141" i="38" s="1"/>
  <c r="J147" i="38"/>
  <c r="Q147" i="38" s="1"/>
  <c r="J152" i="38"/>
  <c r="Q152" i="38" s="1"/>
  <c r="J157" i="38"/>
  <c r="Q157" i="38" s="1"/>
  <c r="J163" i="38"/>
  <c r="Q163" i="38" s="1"/>
  <c r="J168" i="38"/>
  <c r="Q168" i="38" s="1"/>
  <c r="J173" i="38"/>
  <c r="Q173" i="38" s="1"/>
  <c r="J179" i="38"/>
  <c r="Q179" i="38" s="1"/>
  <c r="J184" i="38"/>
  <c r="Q184" i="38" s="1"/>
  <c r="J189" i="38"/>
  <c r="Q189" i="38" s="1"/>
  <c r="J195" i="38"/>
  <c r="Q195" i="38" s="1"/>
  <c r="J200" i="38"/>
  <c r="Q200" i="38" s="1"/>
  <c r="J205" i="38"/>
  <c r="Q205" i="38" s="1"/>
  <c r="J209" i="38"/>
  <c r="Q209" i="38" s="1"/>
  <c r="J213" i="38"/>
  <c r="Q213" i="38" s="1"/>
  <c r="J217" i="38"/>
  <c r="Q217" i="38" s="1"/>
  <c r="J221" i="38"/>
  <c r="Q221" i="38" s="1"/>
  <c r="J225" i="38"/>
  <c r="Q225" i="38" s="1"/>
  <c r="J229" i="38"/>
  <c r="Q229" i="38" s="1"/>
  <c r="J210" i="38"/>
  <c r="Q210" i="38" s="1"/>
  <c r="J218" i="38"/>
  <c r="Q218" i="38" s="1"/>
  <c r="J222" i="38"/>
  <c r="Q222" i="38" s="1"/>
  <c r="J230" i="38"/>
  <c r="Q230" i="38" s="1"/>
  <c r="J32" i="38"/>
  <c r="Q32" i="38" s="1"/>
  <c r="J43" i="38"/>
  <c r="Q43" i="38" s="1"/>
  <c r="J48" i="38"/>
  <c r="Q48" i="38" s="1"/>
  <c r="J59" i="38"/>
  <c r="Q59" i="38" s="1"/>
  <c r="J69" i="38"/>
  <c r="Q69" i="38" s="1"/>
  <c r="J80" i="38"/>
  <c r="Q80" i="38" s="1"/>
  <c r="J91" i="38"/>
  <c r="Q91" i="38" s="1"/>
  <c r="J96" i="38"/>
  <c r="Q96" i="38" s="1"/>
  <c r="J107" i="38"/>
  <c r="Q107" i="38" s="1"/>
  <c r="J117" i="38"/>
  <c r="Q117" i="38" s="1"/>
  <c r="J128" i="38"/>
  <c r="Q128" i="38" s="1"/>
  <c r="J139" i="38"/>
  <c r="Q139" i="38" s="1"/>
  <c r="J149" i="38"/>
  <c r="Q149" i="38" s="1"/>
  <c r="J160" i="38"/>
  <c r="Q160" i="38" s="1"/>
  <c r="J171" i="38"/>
  <c r="Q171" i="38" s="1"/>
  <c r="J181" i="38"/>
  <c r="Q181" i="38" s="1"/>
  <c r="J192" i="38"/>
  <c r="Q192" i="38" s="1"/>
  <c r="J203" i="38"/>
  <c r="Q203" i="38" s="1"/>
  <c r="J207" i="38"/>
  <c r="Q207" i="38" s="1"/>
  <c r="J215" i="38"/>
  <c r="Q215" i="38" s="1"/>
  <c r="J223" i="38"/>
  <c r="Q223" i="38" s="1"/>
  <c r="J231" i="38"/>
  <c r="Q231" i="38" s="1"/>
  <c r="J39" i="38"/>
  <c r="Q39" i="38" s="1"/>
  <c r="J49" i="38"/>
  <c r="Q49" i="38" s="1"/>
  <c r="J60" i="38"/>
  <c r="Q60" i="38" s="1"/>
  <c r="J65" i="38"/>
  <c r="Q65" i="38" s="1"/>
  <c r="J76" i="38"/>
  <c r="Q76" i="38" s="1"/>
  <c r="J87" i="38"/>
  <c r="Q87" i="38" s="1"/>
  <c r="J97" i="38"/>
  <c r="Q97" i="38" s="1"/>
  <c r="J108" i="38"/>
  <c r="Q108" i="38" s="1"/>
  <c r="J119" i="38"/>
  <c r="Q119" i="38" s="1"/>
  <c r="J129" i="38"/>
  <c r="Q129" i="38" s="1"/>
  <c r="J140" i="38"/>
  <c r="Q140" i="38" s="1"/>
  <c r="J151" i="38"/>
  <c r="Q151" i="38" s="1"/>
  <c r="J161" i="38"/>
  <c r="Q161" i="38" s="1"/>
  <c r="J172" i="38"/>
  <c r="Q172" i="38" s="1"/>
  <c r="J183" i="38"/>
  <c r="Q183" i="38" s="1"/>
  <c r="J193" i="38"/>
  <c r="Q193" i="38" s="1"/>
  <c r="J199" i="38"/>
  <c r="Q199" i="38" s="1"/>
  <c r="J208" i="38"/>
  <c r="Q208" i="38" s="1"/>
  <c r="J216" i="38"/>
  <c r="Q216" i="38" s="1"/>
  <c r="J224" i="38"/>
  <c r="Q224" i="38" s="1"/>
  <c r="J36" i="38"/>
  <c r="Q36" i="38" s="1"/>
  <c r="J41" i="38"/>
  <c r="Q41" i="38" s="1"/>
  <c r="J47" i="38"/>
  <c r="Q47" i="38" s="1"/>
  <c r="J52" i="38"/>
  <c r="Q52" i="38" s="1"/>
  <c r="J57" i="38"/>
  <c r="Q57" i="38" s="1"/>
  <c r="J63" i="38"/>
  <c r="Q63" i="38" s="1"/>
  <c r="J68" i="38"/>
  <c r="Q68" i="38" s="1"/>
  <c r="J73" i="38"/>
  <c r="Q73" i="38" s="1"/>
  <c r="J79" i="38"/>
  <c r="Q79" i="38" s="1"/>
  <c r="J84" i="38"/>
  <c r="Q84" i="38" s="1"/>
  <c r="J89" i="38"/>
  <c r="Q89" i="38" s="1"/>
  <c r="J95" i="38"/>
  <c r="Q95" i="38" s="1"/>
  <c r="J100" i="38"/>
  <c r="Q100" i="38" s="1"/>
  <c r="J105" i="38"/>
  <c r="Q105" i="38" s="1"/>
  <c r="J111" i="38"/>
  <c r="Q111" i="38" s="1"/>
  <c r="J116" i="38"/>
  <c r="Q116" i="38" s="1"/>
  <c r="J121" i="38"/>
  <c r="Q121" i="38" s="1"/>
  <c r="J127" i="38"/>
  <c r="Q127" i="38" s="1"/>
  <c r="J132" i="38"/>
  <c r="Q132" i="38" s="1"/>
  <c r="J137" i="38"/>
  <c r="Q137" i="38" s="1"/>
  <c r="J143" i="38"/>
  <c r="Q143" i="38" s="1"/>
  <c r="J148" i="38"/>
  <c r="Q148" i="38" s="1"/>
  <c r="J153" i="38"/>
  <c r="Q153" i="38" s="1"/>
  <c r="J159" i="38"/>
  <c r="Q159" i="38" s="1"/>
  <c r="J164" i="38"/>
  <c r="Q164" i="38" s="1"/>
  <c r="J169" i="38"/>
  <c r="Q169" i="38" s="1"/>
  <c r="J175" i="38"/>
  <c r="Q175" i="38" s="1"/>
  <c r="J180" i="38"/>
  <c r="Q180" i="38" s="1"/>
  <c r="J185" i="38"/>
  <c r="Q185" i="38" s="1"/>
  <c r="J191" i="38"/>
  <c r="Q191" i="38" s="1"/>
  <c r="J196" i="38"/>
  <c r="Q196" i="38" s="1"/>
  <c r="J201" i="38"/>
  <c r="Q201" i="38" s="1"/>
  <c r="J206" i="38"/>
  <c r="Q206" i="38" s="1"/>
  <c r="J214" i="38"/>
  <c r="Q214" i="38" s="1"/>
  <c r="J226" i="38"/>
  <c r="Q226" i="38" s="1"/>
  <c r="J37" i="38"/>
  <c r="Q37" i="38" s="1"/>
  <c r="J53" i="38"/>
  <c r="Q53" i="38" s="1"/>
  <c r="J64" i="38"/>
  <c r="Q64" i="38" s="1"/>
  <c r="J75" i="38"/>
  <c r="Q75" i="38" s="1"/>
  <c r="J85" i="38"/>
  <c r="Q85" i="38" s="1"/>
  <c r="J101" i="38"/>
  <c r="Q101" i="38" s="1"/>
  <c r="J112" i="38"/>
  <c r="Q112" i="38" s="1"/>
  <c r="J123" i="38"/>
  <c r="Q123" i="38" s="1"/>
  <c r="J133" i="38"/>
  <c r="Q133" i="38" s="1"/>
  <c r="J144" i="38"/>
  <c r="Q144" i="38" s="1"/>
  <c r="J155" i="38"/>
  <c r="Q155" i="38" s="1"/>
  <c r="J165" i="38"/>
  <c r="Q165" i="38" s="1"/>
  <c r="J176" i="38"/>
  <c r="Q176" i="38" s="1"/>
  <c r="J187" i="38"/>
  <c r="Q187" i="38" s="1"/>
  <c r="J197" i="38"/>
  <c r="Q197" i="38" s="1"/>
  <c r="J211" i="38"/>
  <c r="Q211" i="38" s="1"/>
  <c r="J219" i="38"/>
  <c r="Q219" i="38" s="1"/>
  <c r="J227" i="38"/>
  <c r="Q227" i="38" s="1"/>
  <c r="J33" i="38"/>
  <c r="Q33" i="38" s="1"/>
  <c r="J44" i="38"/>
  <c r="Q44" i="38" s="1"/>
  <c r="J55" i="38"/>
  <c r="Q55" i="38" s="1"/>
  <c r="J71" i="38"/>
  <c r="Q71" i="38" s="1"/>
  <c r="J81" i="38"/>
  <c r="Q81" i="38" s="1"/>
  <c r="J92" i="38"/>
  <c r="Q92" i="38" s="1"/>
  <c r="J103" i="38"/>
  <c r="Q103" i="38" s="1"/>
  <c r="J113" i="38"/>
  <c r="Q113" i="38" s="1"/>
  <c r="J124" i="38"/>
  <c r="Q124" i="38" s="1"/>
  <c r="J135" i="38"/>
  <c r="Q135" i="38" s="1"/>
  <c r="J145" i="38"/>
  <c r="Q145" i="38" s="1"/>
  <c r="J156" i="38"/>
  <c r="Q156" i="38" s="1"/>
  <c r="J167" i="38"/>
  <c r="Q167" i="38" s="1"/>
  <c r="J177" i="38"/>
  <c r="Q177" i="38" s="1"/>
  <c r="J188" i="38"/>
  <c r="Q188" i="38" s="1"/>
  <c r="J204" i="38"/>
  <c r="Q204" i="38" s="1"/>
  <c r="J212" i="38"/>
  <c r="Q212" i="38" s="1"/>
  <c r="J220" i="38"/>
  <c r="Q220" i="38" s="1"/>
  <c r="J228" i="38"/>
  <c r="Q228" i="38" s="1"/>
  <c r="Q88" i="40"/>
  <c r="Q200" i="40"/>
  <c r="Q41" i="40"/>
  <c r="Q30" i="40"/>
  <c r="Q137" i="40"/>
  <c r="Q187" i="40"/>
  <c r="Q74" i="40"/>
  <c r="Q112" i="40"/>
  <c r="Q85" i="40"/>
  <c r="Q150" i="40"/>
  <c r="Q177" i="40"/>
  <c r="Q105" i="40"/>
  <c r="Q154" i="40"/>
  <c r="Q157" i="40"/>
  <c r="Q52" i="40"/>
  <c r="Q70" i="40"/>
  <c r="Q181" i="40"/>
  <c r="Q164" i="40"/>
  <c r="Q127" i="40"/>
  <c r="Q152" i="40"/>
  <c r="Q12" i="40"/>
  <c r="Q46" i="40"/>
  <c r="Q125" i="40"/>
  <c r="Q96" i="40"/>
  <c r="Q31" i="40"/>
  <c r="Q107" i="40"/>
  <c r="Q92" i="40"/>
  <c r="Q18" i="40"/>
  <c r="Q110" i="40"/>
  <c r="Q102" i="40"/>
  <c r="Q183" i="40"/>
  <c r="Q76" i="40"/>
  <c r="Q117" i="40"/>
  <c r="Q103" i="40"/>
  <c r="Q206" i="40"/>
  <c r="Q160" i="40"/>
  <c r="Q48" i="40"/>
  <c r="Q89" i="40"/>
  <c r="Q199" i="40"/>
  <c r="Q11" i="40"/>
  <c r="Q61" i="40"/>
  <c r="Q182" i="40"/>
  <c r="Q64" i="40"/>
  <c r="Q100" i="40"/>
  <c r="Q189" i="40"/>
  <c r="Q148" i="40"/>
  <c r="Q106" i="40"/>
  <c r="Q83" i="40"/>
  <c r="Q202" i="40"/>
  <c r="Q175" i="40"/>
  <c r="Q128" i="40"/>
  <c r="Q86" i="40"/>
  <c r="Q197" i="40"/>
  <c r="Q63" i="40"/>
  <c r="Q91" i="40"/>
  <c r="Q23" i="40"/>
  <c r="Q168" i="40"/>
  <c r="Q49" i="40"/>
  <c r="Q138" i="40"/>
  <c r="Q195" i="40"/>
  <c r="Q167" i="40"/>
  <c r="Q109" i="40"/>
  <c r="Q111" i="40"/>
  <c r="Q53" i="40"/>
  <c r="Q93" i="40"/>
  <c r="Q134" i="40"/>
  <c r="Q69" i="40"/>
  <c r="Q151" i="40"/>
  <c r="Q205" i="40"/>
  <c r="Q201" i="40"/>
  <c r="Q180" i="40"/>
  <c r="Q196" i="40"/>
  <c r="Q35" i="40"/>
  <c r="Q174" i="40"/>
  <c r="Q171" i="40"/>
  <c r="Q172" i="40"/>
  <c r="Q10" i="40"/>
  <c r="Q50" i="40"/>
  <c r="Q122" i="40"/>
  <c r="Q118" i="40"/>
  <c r="Q82" i="40"/>
  <c r="Q139" i="40"/>
  <c r="Q84" i="40"/>
  <c r="Q194" i="40"/>
  <c r="Q185" i="40"/>
  <c r="Q190" i="40"/>
  <c r="Q24" i="40"/>
  <c r="Q77" i="40"/>
  <c r="Q163" i="40"/>
  <c r="Q169" i="40"/>
  <c r="Q71" i="40"/>
  <c r="Q62" i="40"/>
  <c r="Q51" i="40"/>
  <c r="Q47" i="40"/>
  <c r="Q123" i="40"/>
  <c r="Q55" i="40"/>
  <c r="Q99" i="40"/>
  <c r="Q97" i="40"/>
  <c r="Q98" i="40"/>
  <c r="Q140" i="40"/>
  <c r="Q178" i="40"/>
  <c r="Q192" i="40"/>
  <c r="Q184" i="40"/>
  <c r="Q33" i="40"/>
  <c r="Q149" i="40"/>
  <c r="Q13" i="40"/>
  <c r="Q42" i="40"/>
  <c r="Q120" i="40"/>
  <c r="Q116" i="40"/>
  <c r="Q59" i="40"/>
  <c r="Q132" i="40"/>
  <c r="Q143" i="40"/>
  <c r="Q94" i="40"/>
  <c r="Q135" i="40"/>
  <c r="Q87" i="40"/>
  <c r="Q146" i="40"/>
  <c r="Q193" i="40"/>
  <c r="Q22" i="40"/>
  <c r="Q27" i="40"/>
  <c r="Q34" i="40"/>
  <c r="Q158" i="40"/>
  <c r="Q113" i="40"/>
  <c r="Q179" i="40"/>
  <c r="Q108" i="40"/>
  <c r="Q75" i="40"/>
  <c r="Q19" i="40"/>
  <c r="Q188" i="40"/>
  <c r="Q115" i="40"/>
  <c r="Q28" i="40"/>
  <c r="Q15" i="40"/>
  <c r="Q68" i="40"/>
  <c r="Q208" i="40"/>
  <c r="Q153" i="40"/>
  <c r="Q130" i="40"/>
  <c r="Q67" i="40"/>
  <c r="Q126" i="40"/>
  <c r="Q176" i="40"/>
  <c r="Q26" i="40"/>
  <c r="Q43" i="40"/>
  <c r="Q173" i="40"/>
  <c r="Q38" i="40"/>
  <c r="Q131" i="40"/>
  <c r="Q73" i="40"/>
  <c r="Q161" i="40"/>
  <c r="Q121" i="40"/>
  <c r="Q37" i="40"/>
  <c r="Q142" i="40"/>
  <c r="Q45" i="40"/>
  <c r="Q166" i="40"/>
  <c r="Q119" i="40"/>
  <c r="Q21" i="40"/>
  <c r="Q186" i="40"/>
  <c r="Q147" i="40"/>
  <c r="Q57" i="40"/>
  <c r="Q78" i="40"/>
  <c r="Q65" i="40"/>
  <c r="Q124" i="40"/>
  <c r="Q203" i="40"/>
  <c r="Q79" i="40"/>
  <c r="Q114" i="40"/>
  <c r="Q162" i="40"/>
  <c r="Q66" i="40"/>
  <c r="Q32" i="40"/>
  <c r="Q101" i="40"/>
  <c r="Q58" i="40"/>
  <c r="Q16" i="40"/>
  <c r="Q129" i="40"/>
  <c r="Q159" i="40"/>
  <c r="Q36" i="40"/>
  <c r="Q56" i="40"/>
  <c r="Q29" i="40"/>
  <c r="Q80" i="40"/>
  <c r="Q20" i="40"/>
  <c r="Q165" i="40"/>
  <c r="Q156" i="40"/>
  <c r="Q191" i="40"/>
  <c r="Q133" i="40"/>
  <c r="Q25" i="40"/>
  <c r="Q141" i="40"/>
  <c r="Q155" i="40"/>
  <c r="Q17" i="40"/>
  <c r="Q136" i="40"/>
  <c r="Q90" i="40"/>
  <c r="Q72" i="40"/>
  <c r="Q145" i="40"/>
  <c r="Q81" i="40"/>
  <c r="Q104" i="40"/>
  <c r="Q14" i="40"/>
  <c r="Q95" i="40"/>
  <c r="Q44" i="40"/>
  <c r="Q40" i="40"/>
  <c r="Q60" i="40"/>
  <c r="Q204" i="40"/>
  <c r="Q198" i="40"/>
  <c r="Q207" i="40"/>
  <c r="Q54" i="40"/>
  <c r="Q39" i="40"/>
  <c r="Q9" i="40"/>
  <c r="Q144" i="40"/>
  <c r="K7" i="39" l="1" a="1"/>
  <c r="G7" i="39" a="1"/>
  <c r="G89" i="39" s="1"/>
  <c r="H89" i="39" s="1"/>
  <c r="R9" i="40" a="1"/>
  <c r="R60" i="40" s="1"/>
  <c r="K12" i="39" l="1"/>
  <c r="L12" i="39" s="1"/>
  <c r="K133" i="39"/>
  <c r="L133" i="39" s="1"/>
  <c r="K13" i="39"/>
  <c r="L13" i="39" s="1"/>
  <c r="K201" i="39"/>
  <c r="L201" i="39" s="1"/>
  <c r="K38" i="39"/>
  <c r="L38" i="39" s="1"/>
  <c r="K48" i="39"/>
  <c r="L48" i="39" s="1"/>
  <c r="K190" i="39"/>
  <c r="L190" i="39" s="1"/>
  <c r="K74" i="39"/>
  <c r="L74" i="39" s="1"/>
  <c r="K179" i="39"/>
  <c r="L179" i="39" s="1"/>
  <c r="K127" i="39"/>
  <c r="L127" i="39" s="1"/>
  <c r="K15" i="39"/>
  <c r="L15" i="39" s="1"/>
  <c r="K64" i="39"/>
  <c r="L64" i="39" s="1"/>
  <c r="K90" i="39"/>
  <c r="L90" i="39" s="1"/>
  <c r="K163" i="39"/>
  <c r="L163" i="39" s="1"/>
  <c r="K148" i="39"/>
  <c r="L148" i="39" s="1"/>
  <c r="K24" i="39"/>
  <c r="L24" i="39" s="1"/>
  <c r="K33" i="39"/>
  <c r="L33" i="39" s="1"/>
  <c r="K18" i="39"/>
  <c r="L18" i="39" s="1"/>
  <c r="K152" i="39"/>
  <c r="L152" i="39" s="1"/>
  <c r="K198" i="39"/>
  <c r="L198" i="39" s="1"/>
  <c r="K75" i="39"/>
  <c r="L75" i="39" s="1"/>
  <c r="K27" i="39"/>
  <c r="L27" i="39" s="1"/>
  <c r="K97" i="39"/>
  <c r="L97" i="39" s="1"/>
  <c r="K136" i="39"/>
  <c r="L136" i="39" s="1"/>
  <c r="K68" i="39"/>
  <c r="L68" i="39" s="1"/>
  <c r="K203" i="39"/>
  <c r="L203" i="39" s="1"/>
  <c r="K84" i="39"/>
  <c r="L84" i="39" s="1"/>
  <c r="K51" i="39"/>
  <c r="L51" i="39" s="1"/>
  <c r="K187" i="39"/>
  <c r="L187" i="39" s="1"/>
  <c r="K112" i="39"/>
  <c r="L112" i="39" s="1"/>
  <c r="K135" i="39"/>
  <c r="L135" i="39" s="1"/>
  <c r="K14" i="39"/>
  <c r="L14" i="39" s="1"/>
  <c r="K118" i="39"/>
  <c r="L118" i="39" s="1"/>
  <c r="K153" i="39"/>
  <c r="L153" i="39" s="1"/>
  <c r="K7" i="39"/>
  <c r="L7" i="39" s="1"/>
  <c r="K109" i="39"/>
  <c r="L109" i="39" s="1"/>
  <c r="K184" i="39"/>
  <c r="L184" i="39" s="1"/>
  <c r="K143" i="39"/>
  <c r="L143" i="39" s="1"/>
  <c r="K125" i="39"/>
  <c r="L125" i="39" s="1"/>
  <c r="K108" i="39"/>
  <c r="L108" i="39" s="1"/>
  <c r="K9" i="39"/>
  <c r="L9" i="39" s="1"/>
  <c r="K150" i="39"/>
  <c r="L150" i="39" s="1"/>
  <c r="K192" i="39"/>
  <c r="L192" i="39" s="1"/>
  <c r="K204" i="39"/>
  <c r="L204" i="39" s="1"/>
  <c r="K130" i="39"/>
  <c r="L130" i="39" s="1"/>
  <c r="K162" i="39"/>
  <c r="L162" i="39" s="1"/>
  <c r="K200" i="39"/>
  <c r="L200" i="39" s="1"/>
  <c r="K56" i="39"/>
  <c r="L56" i="39" s="1"/>
  <c r="K174" i="39"/>
  <c r="L174" i="39" s="1"/>
  <c r="K69" i="39"/>
  <c r="L69" i="39" s="1"/>
  <c r="K30" i="39"/>
  <c r="L30" i="39" s="1"/>
  <c r="K54" i="39"/>
  <c r="L54" i="39" s="1"/>
  <c r="K8" i="39"/>
  <c r="L8" i="39" s="1"/>
  <c r="K194" i="39"/>
  <c r="L194" i="39" s="1"/>
  <c r="K87" i="39"/>
  <c r="L87" i="39" s="1"/>
  <c r="K34" i="39"/>
  <c r="L34" i="39" s="1"/>
  <c r="K160" i="39"/>
  <c r="L160" i="39" s="1"/>
  <c r="K113" i="39"/>
  <c r="L113" i="39" s="1"/>
  <c r="K43" i="39"/>
  <c r="L43" i="39" s="1"/>
  <c r="K62" i="39"/>
  <c r="L62" i="39" s="1"/>
  <c r="K183" i="39"/>
  <c r="L183" i="39" s="1"/>
  <c r="K99" i="39"/>
  <c r="L99" i="39" s="1"/>
  <c r="K104" i="39"/>
  <c r="L104" i="39" s="1"/>
  <c r="K158" i="39"/>
  <c r="L158" i="39" s="1"/>
  <c r="K206" i="39"/>
  <c r="L206" i="39" s="1"/>
  <c r="K167" i="39"/>
  <c r="L167" i="39" s="1"/>
  <c r="K186" i="39"/>
  <c r="L186" i="39" s="1"/>
  <c r="K149" i="39"/>
  <c r="L149" i="39" s="1"/>
  <c r="K45" i="39"/>
  <c r="L45" i="39" s="1"/>
  <c r="K23" i="39"/>
  <c r="L23" i="39" s="1"/>
  <c r="K82" i="39"/>
  <c r="L82" i="39" s="1"/>
  <c r="K40" i="39"/>
  <c r="L40" i="39" s="1"/>
  <c r="K116" i="39"/>
  <c r="L116" i="39" s="1"/>
  <c r="K176" i="39"/>
  <c r="L176" i="39" s="1"/>
  <c r="K61" i="39"/>
  <c r="L61" i="39" s="1"/>
  <c r="K140" i="39"/>
  <c r="K60" i="39"/>
  <c r="L60" i="39" s="1"/>
  <c r="K197" i="39"/>
  <c r="L197" i="39" s="1"/>
  <c r="K49" i="39"/>
  <c r="L49" i="39" s="1"/>
  <c r="K73" i="39"/>
  <c r="L73" i="39" s="1"/>
  <c r="K119" i="39"/>
  <c r="L119" i="39" s="1"/>
  <c r="K193" i="39"/>
  <c r="L193" i="39" s="1"/>
  <c r="K175" i="39"/>
  <c r="L175" i="39" s="1"/>
  <c r="K93" i="39"/>
  <c r="L93" i="39" s="1"/>
  <c r="K172" i="39"/>
  <c r="L172" i="39" s="1"/>
  <c r="K81" i="39"/>
  <c r="L81" i="39" s="1"/>
  <c r="K58" i="39"/>
  <c r="L58" i="39" s="1"/>
  <c r="K189" i="39"/>
  <c r="L189" i="39" s="1"/>
  <c r="K77" i="39"/>
  <c r="L77" i="39" s="1"/>
  <c r="K11" i="39"/>
  <c r="L11" i="39" s="1"/>
  <c r="K94" i="39"/>
  <c r="L94" i="39" s="1"/>
  <c r="K181" i="39"/>
  <c r="L181" i="39" s="1"/>
  <c r="K72" i="39"/>
  <c r="L72" i="39" s="1"/>
  <c r="K50" i="39"/>
  <c r="L50" i="39" s="1"/>
  <c r="K132" i="39"/>
  <c r="L132" i="39" s="1"/>
  <c r="K21" i="39"/>
  <c r="L21" i="39" s="1"/>
  <c r="K131" i="39"/>
  <c r="L131" i="39" s="1"/>
  <c r="K17" i="39"/>
  <c r="L17" i="39" s="1"/>
  <c r="K205" i="39"/>
  <c r="L205" i="39" s="1"/>
  <c r="K32" i="39"/>
  <c r="L32" i="39" s="1"/>
  <c r="K86" i="39"/>
  <c r="L86" i="39" s="1"/>
  <c r="K67" i="39"/>
  <c r="L67" i="39" s="1"/>
  <c r="K139" i="39"/>
  <c r="L139" i="39" s="1"/>
  <c r="K16" i="39"/>
  <c r="L16" i="39" s="1"/>
  <c r="K122" i="39"/>
  <c r="L122" i="39" s="1"/>
  <c r="K121" i="39"/>
  <c r="L121" i="39" s="1"/>
  <c r="K156" i="39"/>
  <c r="L156" i="39" s="1"/>
  <c r="K88" i="39"/>
  <c r="L88" i="39" s="1"/>
  <c r="K26" i="39"/>
  <c r="L26" i="39" s="1"/>
  <c r="K111" i="39"/>
  <c r="L111" i="39" s="1"/>
  <c r="K103" i="39"/>
  <c r="L103" i="39" s="1"/>
  <c r="K147" i="39"/>
  <c r="L147" i="39" s="1"/>
  <c r="K126" i="39"/>
  <c r="L126" i="39" s="1"/>
  <c r="K146" i="39"/>
  <c r="L146" i="39" s="1"/>
  <c r="K144" i="39"/>
  <c r="L144" i="39" s="1"/>
  <c r="K66" i="39"/>
  <c r="L66" i="39" s="1"/>
  <c r="K202" i="39"/>
  <c r="L202" i="39" s="1"/>
  <c r="K31" i="39"/>
  <c r="L31" i="39" s="1"/>
  <c r="K35" i="39"/>
  <c r="L35" i="39" s="1"/>
  <c r="K157" i="39"/>
  <c r="L157" i="39" s="1"/>
  <c r="K29" i="39"/>
  <c r="L29" i="39" s="1"/>
  <c r="K141" i="39"/>
  <c r="L141" i="39" s="1"/>
  <c r="K161" i="39"/>
  <c r="L161" i="39" s="1"/>
  <c r="K155" i="39"/>
  <c r="L155" i="39" s="1"/>
  <c r="K173" i="39"/>
  <c r="L173" i="39" s="1"/>
  <c r="K59" i="39"/>
  <c r="L59" i="39" s="1"/>
  <c r="K110" i="39"/>
  <c r="L110" i="39" s="1"/>
  <c r="K37" i="39"/>
  <c r="L37" i="39" s="1"/>
  <c r="K166" i="39"/>
  <c r="L166" i="39" s="1"/>
  <c r="K71" i="39"/>
  <c r="L71" i="39" s="1"/>
  <c r="K28" i="39"/>
  <c r="L28" i="39" s="1"/>
  <c r="K36" i="39"/>
  <c r="L36" i="39" s="1"/>
  <c r="K102" i="39"/>
  <c r="L102" i="39" s="1"/>
  <c r="K180" i="39"/>
  <c r="L180" i="39" s="1"/>
  <c r="K196" i="39"/>
  <c r="L196" i="39" s="1"/>
  <c r="K177" i="39"/>
  <c r="L177" i="39" s="1"/>
  <c r="K63" i="39"/>
  <c r="L63" i="39" s="1"/>
  <c r="K79" i="39"/>
  <c r="L79" i="39" s="1"/>
  <c r="K138" i="39"/>
  <c r="L138" i="39" s="1"/>
  <c r="K191" i="39"/>
  <c r="L191" i="39" s="1"/>
  <c r="K80" i="39"/>
  <c r="L80" i="39" s="1"/>
  <c r="K170" i="39"/>
  <c r="L170" i="39" s="1"/>
  <c r="K168" i="39"/>
  <c r="L168" i="39" s="1"/>
  <c r="K129" i="39"/>
  <c r="L129" i="39" s="1"/>
  <c r="K98" i="39"/>
  <c r="L98" i="39" s="1"/>
  <c r="K70" i="39"/>
  <c r="L70" i="39" s="1"/>
  <c r="K115" i="39"/>
  <c r="L115" i="39" s="1"/>
  <c r="K169" i="39"/>
  <c r="L169" i="39" s="1"/>
  <c r="K78" i="39"/>
  <c r="L78" i="39" s="1"/>
  <c r="K10" i="39"/>
  <c r="L10" i="39" s="1"/>
  <c r="K85" i="39"/>
  <c r="L85" i="39" s="1"/>
  <c r="K55" i="39"/>
  <c r="L55" i="39" s="1"/>
  <c r="K44" i="39"/>
  <c r="L44" i="39" s="1"/>
  <c r="K92" i="39"/>
  <c r="L92" i="39" s="1"/>
  <c r="K159" i="39"/>
  <c r="L159" i="39" s="1"/>
  <c r="K39" i="39"/>
  <c r="L39" i="39" s="1"/>
  <c r="K120" i="39"/>
  <c r="L120" i="39" s="1"/>
  <c r="K91" i="39"/>
  <c r="L91" i="39" s="1"/>
  <c r="K165" i="39"/>
  <c r="L165" i="39" s="1"/>
  <c r="K199" i="39"/>
  <c r="L199" i="39" s="1"/>
  <c r="K76" i="39"/>
  <c r="L76" i="39" s="1"/>
  <c r="K95" i="39"/>
  <c r="L95" i="39" s="1"/>
  <c r="K53" i="39"/>
  <c r="L53" i="39" s="1"/>
  <c r="K123" i="39"/>
  <c r="L123" i="39" s="1"/>
  <c r="K114" i="39"/>
  <c r="L114" i="39" s="1"/>
  <c r="K105" i="39"/>
  <c r="L105" i="39" s="1"/>
  <c r="K164" i="39"/>
  <c r="L164" i="39" s="1"/>
  <c r="K107" i="39"/>
  <c r="L107" i="39" s="1"/>
  <c r="K89" i="39"/>
  <c r="L89" i="39" s="1"/>
  <c r="K25" i="39"/>
  <c r="L25" i="39" s="1"/>
  <c r="K41" i="39"/>
  <c r="L41" i="39" s="1"/>
  <c r="K106" i="39"/>
  <c r="L106" i="39" s="1"/>
  <c r="K57" i="39"/>
  <c r="L57" i="39" s="1"/>
  <c r="K42" i="39"/>
  <c r="L42" i="39" s="1"/>
  <c r="K19" i="39"/>
  <c r="L19" i="39" s="1"/>
  <c r="K47" i="39"/>
  <c r="L47" i="39" s="1"/>
  <c r="K137" i="39"/>
  <c r="L137" i="39" s="1"/>
  <c r="K117" i="39"/>
  <c r="L117" i="39" s="1"/>
  <c r="K182" i="39"/>
  <c r="L182" i="39" s="1"/>
  <c r="K124" i="39"/>
  <c r="L124" i="39" s="1"/>
  <c r="K145" i="39"/>
  <c r="L145" i="39" s="1"/>
  <c r="K96" i="39"/>
  <c r="L96" i="39" s="1"/>
  <c r="K83" i="39"/>
  <c r="L83" i="39" s="1"/>
  <c r="K134" i="39"/>
  <c r="L134" i="39" s="1"/>
  <c r="K20" i="39"/>
  <c r="L20" i="39" s="1"/>
  <c r="K171" i="39"/>
  <c r="L171" i="39" s="1"/>
  <c r="K195" i="39"/>
  <c r="L195" i="39" s="1"/>
  <c r="K151" i="39"/>
  <c r="L151" i="39" s="1"/>
  <c r="K128" i="39"/>
  <c r="L128" i="39" s="1"/>
  <c r="K65" i="39"/>
  <c r="L65" i="39" s="1"/>
  <c r="K101" i="39"/>
  <c r="L101" i="39" s="1"/>
  <c r="K185" i="39"/>
  <c r="L185" i="39" s="1"/>
  <c r="K188" i="39"/>
  <c r="L188" i="39" s="1"/>
  <c r="K142" i="39"/>
  <c r="L142" i="39" s="1"/>
  <c r="K178" i="39"/>
  <c r="L178" i="39" s="1"/>
  <c r="K52" i="39"/>
  <c r="L52" i="39" s="1"/>
  <c r="K46" i="39"/>
  <c r="L46" i="39" s="1"/>
  <c r="K22" i="39"/>
  <c r="L22" i="39" s="1"/>
  <c r="K100" i="39"/>
  <c r="L100" i="39" s="1"/>
  <c r="K154" i="39"/>
  <c r="L154" i="39" s="1"/>
  <c r="G52" i="39"/>
  <c r="H52" i="39" s="1"/>
  <c r="G172" i="39"/>
  <c r="H172" i="39" s="1"/>
  <c r="G196" i="39"/>
  <c r="H196" i="39" s="1"/>
  <c r="G95" i="39"/>
  <c r="H95" i="39" s="1"/>
  <c r="G51" i="39"/>
  <c r="H51" i="39" s="1"/>
  <c r="G37" i="39"/>
  <c r="H37" i="39" s="1"/>
  <c r="G68" i="39"/>
  <c r="H68" i="39" s="1"/>
  <c r="G47" i="39"/>
  <c r="H47" i="39" s="1"/>
  <c r="G27" i="39"/>
  <c r="H27" i="39" s="1"/>
  <c r="G206" i="39"/>
  <c r="H206" i="39" s="1"/>
  <c r="G66" i="39"/>
  <c r="H66" i="39" s="1"/>
  <c r="G137" i="39"/>
  <c r="H137" i="39" s="1"/>
  <c r="G185" i="39"/>
  <c r="H185" i="39" s="1"/>
  <c r="G131" i="39"/>
  <c r="H131" i="39" s="1"/>
  <c r="G28" i="39"/>
  <c r="H28" i="39" s="1"/>
  <c r="G105" i="39"/>
  <c r="H105" i="39" s="1"/>
  <c r="G58" i="39"/>
  <c r="H58" i="39" s="1"/>
  <c r="G59" i="39"/>
  <c r="H59" i="39" s="1"/>
  <c r="G36" i="39"/>
  <c r="H36" i="39" s="1"/>
  <c r="G191" i="39"/>
  <c r="H191" i="39" s="1"/>
  <c r="G73" i="39"/>
  <c r="H73" i="39" s="1"/>
  <c r="G151" i="39"/>
  <c r="H151" i="39" s="1"/>
  <c r="G126" i="39"/>
  <c r="H126" i="39" s="1"/>
  <c r="G34" i="39"/>
  <c r="H34" i="39" s="1"/>
  <c r="G103" i="39"/>
  <c r="H103" i="39" s="1"/>
  <c r="G13" i="39"/>
  <c r="H13" i="39" s="1"/>
  <c r="G45" i="39"/>
  <c r="H45" i="39" s="1"/>
  <c r="G60" i="39"/>
  <c r="H60" i="39" s="1"/>
  <c r="G86" i="39"/>
  <c r="H86" i="39" s="1"/>
  <c r="G146" i="39"/>
  <c r="H146" i="39" s="1"/>
  <c r="G46" i="39"/>
  <c r="H46" i="39" s="1"/>
  <c r="G75" i="39"/>
  <c r="H75" i="39" s="1"/>
  <c r="G72" i="39"/>
  <c r="H72" i="39" s="1"/>
  <c r="G41" i="39"/>
  <c r="H41" i="39" s="1"/>
  <c r="G26" i="39"/>
  <c r="H26" i="39" s="1"/>
  <c r="G20" i="39"/>
  <c r="H20" i="39" s="1"/>
  <c r="G18" i="39"/>
  <c r="H18" i="39" s="1"/>
  <c r="G32" i="39"/>
  <c r="H32" i="39" s="1"/>
  <c r="G19" i="39"/>
  <c r="H19" i="39" s="1"/>
  <c r="G181" i="39"/>
  <c r="H181" i="39" s="1"/>
  <c r="G174" i="39"/>
  <c r="H174" i="39" s="1"/>
  <c r="G163" i="39"/>
  <c r="H163" i="39" s="1"/>
  <c r="G147" i="39"/>
  <c r="H147" i="39" s="1"/>
  <c r="G132" i="39"/>
  <c r="H132" i="39" s="1"/>
  <c r="G193" i="39"/>
  <c r="H193" i="39" s="1"/>
  <c r="G201" i="39"/>
  <c r="H201" i="39" s="1"/>
  <c r="G176" i="39"/>
  <c r="H176" i="39" s="1"/>
  <c r="G177" i="39"/>
  <c r="H177" i="39" s="1"/>
  <c r="G161" i="39"/>
  <c r="H161" i="39" s="1"/>
  <c r="G205" i="39"/>
  <c r="H205" i="39" s="1"/>
  <c r="G159" i="39"/>
  <c r="H159" i="39" s="1"/>
  <c r="G186" i="39"/>
  <c r="H186" i="39" s="1"/>
  <c r="G165" i="39"/>
  <c r="H165" i="39" s="1"/>
  <c r="G156" i="39"/>
  <c r="H156" i="39" s="1"/>
  <c r="G134" i="39"/>
  <c r="H134" i="39" s="1"/>
  <c r="G93" i="39"/>
  <c r="H93" i="39" s="1"/>
  <c r="G96" i="39"/>
  <c r="H96" i="39" s="1"/>
  <c r="G135" i="39"/>
  <c r="H135" i="39" s="1"/>
  <c r="G194" i="39"/>
  <c r="H194" i="39" s="1"/>
  <c r="G61" i="39"/>
  <c r="H61" i="39" s="1"/>
  <c r="G82" i="39"/>
  <c r="H82" i="39" s="1"/>
  <c r="G57" i="39"/>
  <c r="H57" i="39" s="1"/>
  <c r="G199" i="39"/>
  <c r="H199" i="39" s="1"/>
  <c r="G49" i="39"/>
  <c r="H49" i="39" s="1"/>
  <c r="G169" i="39"/>
  <c r="H169" i="39" s="1"/>
  <c r="G94" i="39"/>
  <c r="H94" i="39" s="1"/>
  <c r="G155" i="39"/>
  <c r="H155" i="39" s="1"/>
  <c r="G25" i="39"/>
  <c r="H25" i="39" s="1"/>
  <c r="G173" i="39"/>
  <c r="H173" i="39" s="1"/>
  <c r="G122" i="39"/>
  <c r="H122" i="39" s="1"/>
  <c r="G107" i="39"/>
  <c r="H107" i="39" s="1"/>
  <c r="G29" i="39"/>
  <c r="H29" i="39" s="1"/>
  <c r="G112" i="39"/>
  <c r="H112" i="39" s="1"/>
  <c r="G22" i="39"/>
  <c r="H22" i="39" s="1"/>
  <c r="G179" i="39"/>
  <c r="H179" i="39" s="1"/>
  <c r="G138" i="39"/>
  <c r="H138" i="39" s="1"/>
  <c r="G160" i="39"/>
  <c r="H160" i="39" s="1"/>
  <c r="G64" i="39"/>
  <c r="H64" i="39" s="1"/>
  <c r="G121" i="39"/>
  <c r="H121" i="39" s="1"/>
  <c r="G204" i="39"/>
  <c r="H204" i="39" s="1"/>
  <c r="G195" i="39"/>
  <c r="H195" i="39" s="1"/>
  <c r="G198" i="39"/>
  <c r="H198" i="39" s="1"/>
  <c r="G80" i="39"/>
  <c r="H80" i="39" s="1"/>
  <c r="G97" i="39"/>
  <c r="H97" i="39" s="1"/>
  <c r="G133" i="39"/>
  <c r="H133" i="39" s="1"/>
  <c r="G120" i="39"/>
  <c r="H120" i="39" s="1"/>
  <c r="G62" i="39"/>
  <c r="H62" i="39" s="1"/>
  <c r="G17" i="39"/>
  <c r="H17" i="39" s="1"/>
  <c r="G85" i="39"/>
  <c r="H85" i="39" s="1"/>
  <c r="G109" i="39"/>
  <c r="H109" i="39" s="1"/>
  <c r="G12" i="39"/>
  <c r="H12" i="39" s="1"/>
  <c r="G124" i="39"/>
  <c r="H124" i="39" s="1"/>
  <c r="G171" i="39"/>
  <c r="H171" i="39" s="1"/>
  <c r="G166" i="39"/>
  <c r="H166" i="39" s="1"/>
  <c r="G15" i="39"/>
  <c r="H15" i="39" s="1"/>
  <c r="G125" i="39"/>
  <c r="H125" i="39" s="1"/>
  <c r="G192" i="39"/>
  <c r="H192" i="39" s="1"/>
  <c r="G183" i="39"/>
  <c r="H183" i="39" s="1"/>
  <c r="G157" i="39"/>
  <c r="H157" i="39" s="1"/>
  <c r="G127" i="39"/>
  <c r="H127" i="39" s="1"/>
  <c r="G101" i="39"/>
  <c r="H101" i="39" s="1"/>
  <c r="G144" i="39"/>
  <c r="H144" i="39" s="1"/>
  <c r="G10" i="39"/>
  <c r="H10" i="39" s="1"/>
  <c r="G14" i="39"/>
  <c r="H14" i="39" s="1"/>
  <c r="G91" i="39"/>
  <c r="H91" i="39" s="1"/>
  <c r="G48" i="39"/>
  <c r="H48" i="39" s="1"/>
  <c r="G63" i="39"/>
  <c r="H63" i="39" s="1"/>
  <c r="G170" i="39"/>
  <c r="H170" i="39" s="1"/>
  <c r="G56" i="39"/>
  <c r="H56" i="39" s="1"/>
  <c r="G115" i="39"/>
  <c r="H115" i="39" s="1"/>
  <c r="G65" i="39"/>
  <c r="H65" i="39" s="1"/>
  <c r="G154" i="39"/>
  <c r="H154" i="39" s="1"/>
  <c r="G175" i="39"/>
  <c r="H175" i="39" s="1"/>
  <c r="G128" i="39"/>
  <c r="H128" i="39" s="1"/>
  <c r="G149" i="39"/>
  <c r="H149" i="39" s="1"/>
  <c r="G116" i="39"/>
  <c r="H116" i="39" s="1"/>
  <c r="G129" i="39"/>
  <c r="H129" i="39" s="1"/>
  <c r="G202" i="39"/>
  <c r="H202" i="39" s="1"/>
  <c r="G79" i="39"/>
  <c r="H79" i="39" s="1"/>
  <c r="G87" i="39"/>
  <c r="H87" i="39" s="1"/>
  <c r="G54" i="39"/>
  <c r="H54" i="39" s="1"/>
  <c r="G76" i="39"/>
  <c r="H76" i="39" s="1"/>
  <c r="G113" i="39"/>
  <c r="H113" i="39" s="1"/>
  <c r="G8" i="39"/>
  <c r="H8" i="39" s="1"/>
  <c r="G180" i="39"/>
  <c r="H180" i="39" s="1"/>
  <c r="G150" i="39"/>
  <c r="H150" i="39" s="1"/>
  <c r="G152" i="39"/>
  <c r="H152" i="39" s="1"/>
  <c r="G117" i="39"/>
  <c r="H117" i="39" s="1"/>
  <c r="G114" i="39"/>
  <c r="H114" i="39" s="1"/>
  <c r="G145" i="39"/>
  <c r="H145" i="39" s="1"/>
  <c r="G142" i="39"/>
  <c r="H142" i="39" s="1"/>
  <c r="G100" i="39"/>
  <c r="H100" i="39" s="1"/>
  <c r="G136" i="39"/>
  <c r="H136" i="39" s="1"/>
  <c r="G111" i="39"/>
  <c r="H111" i="39" s="1"/>
  <c r="G143" i="39"/>
  <c r="H143" i="39" s="1"/>
  <c r="G108" i="39"/>
  <c r="H108" i="39" s="1"/>
  <c r="G123" i="39"/>
  <c r="H123" i="39" s="1"/>
  <c r="G139" i="39"/>
  <c r="H139" i="39" s="1"/>
  <c r="G69" i="39"/>
  <c r="H69" i="39" s="1"/>
  <c r="G38" i="39"/>
  <c r="H38" i="39" s="1"/>
  <c r="G77" i="39"/>
  <c r="H77" i="39" s="1"/>
  <c r="G42" i="39"/>
  <c r="H42" i="39" s="1"/>
  <c r="G130" i="39"/>
  <c r="H130" i="39" s="1"/>
  <c r="G30" i="39"/>
  <c r="H30" i="39" s="1"/>
  <c r="G188" i="39"/>
  <c r="H188" i="39" s="1"/>
  <c r="G164" i="39"/>
  <c r="H164" i="39" s="1"/>
  <c r="G200" i="39"/>
  <c r="H200" i="39" s="1"/>
  <c r="G90" i="39"/>
  <c r="H90" i="39" s="1"/>
  <c r="G33" i="39"/>
  <c r="H33" i="39" s="1"/>
  <c r="G67" i="39"/>
  <c r="H67" i="39" s="1"/>
  <c r="G187" i="39"/>
  <c r="H187" i="39" s="1"/>
  <c r="G83" i="39"/>
  <c r="H83" i="39" s="1"/>
  <c r="G44" i="39"/>
  <c r="H44" i="39" s="1"/>
  <c r="G24" i="39"/>
  <c r="H24" i="39" s="1"/>
  <c r="G190" i="39"/>
  <c r="H190" i="39" s="1"/>
  <c r="G178" i="39"/>
  <c r="H178" i="39" s="1"/>
  <c r="G162" i="39"/>
  <c r="H162" i="39" s="1"/>
  <c r="G189" i="39"/>
  <c r="H189" i="39" s="1"/>
  <c r="G168" i="39"/>
  <c r="H168" i="39" s="1"/>
  <c r="G84" i="39"/>
  <c r="H84" i="39" s="1"/>
  <c r="G148" i="39"/>
  <c r="H148" i="39" s="1"/>
  <c r="G118" i="39"/>
  <c r="H118" i="39" s="1"/>
  <c r="G71" i="39"/>
  <c r="H71" i="39" s="1"/>
  <c r="G70" i="39"/>
  <c r="H70" i="39" s="1"/>
  <c r="G31" i="39"/>
  <c r="H31" i="39" s="1"/>
  <c r="G9" i="39"/>
  <c r="H9" i="39" s="1"/>
  <c r="G7" i="39"/>
  <c r="H7" i="39" s="1"/>
  <c r="G140" i="39"/>
  <c r="G78" i="39"/>
  <c r="H78" i="39" s="1"/>
  <c r="G43" i="39"/>
  <c r="H43" i="39" s="1"/>
  <c r="G39" i="39"/>
  <c r="H39" i="39" s="1"/>
  <c r="G184" i="39"/>
  <c r="H184" i="39" s="1"/>
  <c r="G158" i="39"/>
  <c r="H158" i="39" s="1"/>
  <c r="G167" i="39"/>
  <c r="H167" i="39" s="1"/>
  <c r="G92" i="39"/>
  <c r="H92" i="39" s="1"/>
  <c r="G102" i="39"/>
  <c r="H102" i="39" s="1"/>
  <c r="G106" i="39"/>
  <c r="H106" i="39" s="1"/>
  <c r="G153" i="39"/>
  <c r="H153" i="39" s="1"/>
  <c r="G16" i="39"/>
  <c r="H16" i="39" s="1"/>
  <c r="G11" i="39"/>
  <c r="H11" i="39" s="1"/>
  <c r="G74" i="39"/>
  <c r="H74" i="39" s="1"/>
  <c r="G53" i="39"/>
  <c r="H53" i="39" s="1"/>
  <c r="G88" i="39"/>
  <c r="H88" i="39" s="1"/>
  <c r="G203" i="39"/>
  <c r="H203" i="39" s="1"/>
  <c r="G98" i="39"/>
  <c r="H98" i="39" s="1"/>
  <c r="G50" i="39"/>
  <c r="H50" i="39" s="1"/>
  <c r="G21" i="39"/>
  <c r="H21" i="39" s="1"/>
  <c r="G141" i="39"/>
  <c r="H141" i="39" s="1"/>
  <c r="G182" i="39"/>
  <c r="H182" i="39" s="1"/>
  <c r="G197" i="39"/>
  <c r="H197" i="39" s="1"/>
  <c r="G40" i="39"/>
  <c r="H40" i="39" s="1"/>
  <c r="G110" i="39"/>
  <c r="H110" i="39" s="1"/>
  <c r="G119" i="39"/>
  <c r="H119" i="39" s="1"/>
  <c r="G104" i="39"/>
  <c r="H104" i="39" s="1"/>
  <c r="G23" i="39"/>
  <c r="H23" i="39" s="1"/>
  <c r="G55" i="39"/>
  <c r="H55" i="39" s="1"/>
  <c r="G35" i="39"/>
  <c r="H35" i="39" s="1"/>
  <c r="G99" i="39"/>
  <c r="H99" i="39" s="1"/>
  <c r="G81" i="39"/>
  <c r="H81" i="39" s="1"/>
  <c r="R51" i="40"/>
  <c r="R20" i="40"/>
  <c r="R97" i="40"/>
  <c r="R68" i="40"/>
  <c r="R35" i="40"/>
  <c r="R149" i="40"/>
  <c r="R121" i="40"/>
  <c r="R95" i="40"/>
  <c r="R50" i="40"/>
  <c r="R59" i="40"/>
  <c r="R66" i="40"/>
  <c r="R84" i="40"/>
  <c r="R21" i="40"/>
  <c r="R134" i="40"/>
  <c r="R135" i="40"/>
  <c r="R28" i="40"/>
  <c r="R119" i="40"/>
  <c r="R69" i="40"/>
  <c r="R10" i="40"/>
  <c r="R116" i="40"/>
  <c r="R124" i="40"/>
  <c r="R204" i="40"/>
  <c r="R139" i="40"/>
  <c r="R16" i="40"/>
  <c r="R98" i="40"/>
  <c r="R156" i="40"/>
  <c r="R163" i="40"/>
  <c r="R158" i="40"/>
  <c r="R36" i="40"/>
  <c r="R109" i="40"/>
  <c r="R47" i="40"/>
  <c r="R131" i="40"/>
  <c r="R136" i="40"/>
  <c r="R87" i="40"/>
  <c r="R40" i="40"/>
  <c r="R180" i="40"/>
  <c r="R184" i="40"/>
  <c r="R67" i="40"/>
  <c r="R93" i="40"/>
  <c r="R82" i="40"/>
  <c r="R99" i="40"/>
  <c r="R94" i="40"/>
  <c r="R176" i="40"/>
  <c r="R162" i="40"/>
  <c r="R133" i="40"/>
  <c r="R39" i="40"/>
  <c r="R201" i="40"/>
  <c r="R190" i="40"/>
  <c r="R192" i="40"/>
  <c r="R22" i="40"/>
  <c r="R57" i="40"/>
  <c r="R56" i="40"/>
  <c r="R198" i="40"/>
  <c r="R171" i="40"/>
  <c r="R71" i="40"/>
  <c r="R42" i="40"/>
  <c r="R179" i="40"/>
  <c r="R43" i="40"/>
  <c r="R129" i="40"/>
  <c r="R90" i="40"/>
  <c r="R62" i="40"/>
  <c r="R81" i="40"/>
  <c r="R24" i="40"/>
  <c r="R27" i="40"/>
  <c r="R79" i="40"/>
  <c r="R141" i="40"/>
  <c r="R207" i="40"/>
  <c r="R205" i="40"/>
  <c r="R185" i="40"/>
  <c r="R178" i="40"/>
  <c r="R193" i="40"/>
  <c r="R38" i="40"/>
  <c r="R58" i="40"/>
  <c r="R17" i="40"/>
  <c r="R144" i="40"/>
  <c r="R174" i="40"/>
  <c r="R169" i="40"/>
  <c r="R13" i="40"/>
  <c r="R19" i="40"/>
  <c r="R203" i="40"/>
  <c r="R25" i="40"/>
  <c r="R111" i="40"/>
  <c r="R122" i="40"/>
  <c r="R123" i="40"/>
  <c r="R132" i="40"/>
  <c r="R188" i="40"/>
  <c r="R73" i="40"/>
  <c r="R29" i="40"/>
  <c r="R104" i="40"/>
  <c r="R120" i="40"/>
  <c r="R108" i="40"/>
  <c r="R172" i="40"/>
  <c r="R114" i="40"/>
  <c r="R153" i="40"/>
  <c r="R166" i="40"/>
  <c r="R142" i="40"/>
  <c r="R151" i="40"/>
  <c r="R194" i="40"/>
  <c r="R140" i="40"/>
  <c r="R146" i="40"/>
  <c r="R186" i="40"/>
  <c r="R14" i="40"/>
  <c r="R196" i="40"/>
  <c r="R77" i="40"/>
  <c r="R33" i="40"/>
  <c r="R34" i="40"/>
  <c r="R65" i="40"/>
  <c r="R54" i="40"/>
  <c r="R44" i="40"/>
  <c r="R72" i="40"/>
  <c r="R155" i="40"/>
  <c r="R113" i="40"/>
  <c r="R75" i="40"/>
  <c r="R115" i="40"/>
  <c r="R15" i="40"/>
  <c r="R130" i="40"/>
  <c r="R126" i="40"/>
  <c r="R26" i="40"/>
  <c r="R173" i="40"/>
  <c r="R161" i="40"/>
  <c r="R37" i="40"/>
  <c r="R45" i="40"/>
  <c r="R147" i="40"/>
  <c r="R78" i="40"/>
  <c r="R145" i="40"/>
  <c r="R101" i="40"/>
  <c r="R80" i="40"/>
  <c r="R32" i="40"/>
  <c r="R191" i="40"/>
  <c r="R165" i="40"/>
  <c r="R170" i="40"/>
  <c r="R88" i="40"/>
  <c r="R200" i="40"/>
  <c r="R41" i="40"/>
  <c r="R30" i="40"/>
  <c r="R137" i="40"/>
  <c r="R187" i="40"/>
  <c r="R74" i="40"/>
  <c r="R112" i="40"/>
  <c r="R85" i="40"/>
  <c r="R150" i="40"/>
  <c r="R177" i="40"/>
  <c r="R107" i="40"/>
  <c r="R91" i="40"/>
  <c r="R182" i="40"/>
  <c r="R157" i="40"/>
  <c r="R110" i="40"/>
  <c r="R102" i="40"/>
  <c r="R183" i="40"/>
  <c r="R76" i="40"/>
  <c r="R117" i="40"/>
  <c r="R103" i="40"/>
  <c r="R206" i="40"/>
  <c r="R160" i="40"/>
  <c r="R48" i="40"/>
  <c r="R89" i="40"/>
  <c r="R199" i="40"/>
  <c r="R168" i="40"/>
  <c r="R49" i="40"/>
  <c r="R138" i="40"/>
  <c r="R195" i="40"/>
  <c r="R167" i="40"/>
  <c r="R64" i="40"/>
  <c r="R100" i="40"/>
  <c r="R189" i="40"/>
  <c r="R148" i="40"/>
  <c r="R106" i="40"/>
  <c r="R83" i="40"/>
  <c r="R202" i="40"/>
  <c r="R175" i="40"/>
  <c r="R128" i="40"/>
  <c r="R86" i="40"/>
  <c r="R197" i="40"/>
  <c r="R11" i="40"/>
  <c r="R105" i="40"/>
  <c r="R92" i="40"/>
  <c r="R23" i="40"/>
  <c r="R52" i="40"/>
  <c r="R70" i="40"/>
  <c r="R181" i="40"/>
  <c r="R164" i="40"/>
  <c r="R127" i="40"/>
  <c r="R152" i="40"/>
  <c r="R12" i="40"/>
  <c r="R46" i="40"/>
  <c r="R125" i="40"/>
  <c r="R96" i="40"/>
  <c r="R31" i="40"/>
  <c r="R63" i="40"/>
  <c r="R61" i="40"/>
  <c r="R154" i="40"/>
  <c r="R18" i="40"/>
  <c r="R53" i="40"/>
  <c r="R118" i="40"/>
  <c r="R55" i="40"/>
  <c r="R143" i="40"/>
  <c r="R208" i="40"/>
  <c r="R159" i="40"/>
  <c r="R9" i="40"/>
  <c r="G719" i="35" l="1"/>
  <c r="G716" i="35" s="1"/>
  <c r="G1035" i="37" l="1" a="1"/>
  <c r="G1035" i="37" s="1"/>
  <c r="G1037" i="37" l="1"/>
  <c r="G1036" i="37"/>
  <c r="G1038" i="37" l="1"/>
  <c r="E140" i="39" s="1"/>
  <c r="L140" i="39" s="1"/>
  <c r="L209" i="39" s="1"/>
  <c r="H140" i="39" l="1"/>
  <c r="L9" i="40" l="1" a="1"/>
  <c r="H209" i="39"/>
  <c r="S9" i="40" a="1"/>
  <c r="O9" i="40" a="1"/>
  <c r="K9" i="40" a="1"/>
  <c r="O142" i="40" l="1"/>
  <c r="O10" i="40"/>
  <c r="O14" i="40"/>
  <c r="O18" i="40"/>
  <c r="O22" i="40"/>
  <c r="O26" i="40"/>
  <c r="O30" i="40"/>
  <c r="O34" i="40"/>
  <c r="O38" i="40"/>
  <c r="O42" i="40"/>
  <c r="O46" i="40"/>
  <c r="O50" i="40"/>
  <c r="O54" i="40"/>
  <c r="O58" i="40"/>
  <c r="O62" i="40"/>
  <c r="O66" i="40"/>
  <c r="O70" i="40"/>
  <c r="O74" i="40"/>
  <c r="O78" i="40"/>
  <c r="O82" i="40"/>
  <c r="O86" i="40"/>
  <c r="O90" i="40"/>
  <c r="O11" i="40"/>
  <c r="O15" i="40"/>
  <c r="O19" i="40"/>
  <c r="O23" i="40"/>
  <c r="O27" i="40"/>
  <c r="O31" i="40"/>
  <c r="O35" i="40"/>
  <c r="O39" i="40"/>
  <c r="O43" i="40"/>
  <c r="O47" i="40"/>
  <c r="O51" i="40"/>
  <c r="O55" i="40"/>
  <c r="O59" i="40"/>
  <c r="O63" i="40"/>
  <c r="O67" i="40"/>
  <c r="O71" i="40"/>
  <c r="O75" i="40"/>
  <c r="O79" i="40"/>
  <c r="O83" i="40"/>
  <c r="O87" i="40"/>
  <c r="O91" i="40"/>
  <c r="O120" i="40"/>
  <c r="O12" i="40"/>
  <c r="O16" i="40"/>
  <c r="O20" i="40"/>
  <c r="O24" i="40"/>
  <c r="O28" i="40"/>
  <c r="O32" i="40"/>
  <c r="O36" i="40"/>
  <c r="O40" i="40"/>
  <c r="O44" i="40"/>
  <c r="O48" i="40"/>
  <c r="O52" i="40"/>
  <c r="O56" i="40"/>
  <c r="O60" i="40"/>
  <c r="O64" i="40"/>
  <c r="O68" i="40"/>
  <c r="O72" i="40"/>
  <c r="O76" i="40"/>
  <c r="O80" i="40"/>
  <c r="O84" i="40"/>
  <c r="O9" i="40"/>
  <c r="O13" i="40"/>
  <c r="O17" i="40"/>
  <c r="O21" i="40"/>
  <c r="O25" i="40"/>
  <c r="O29" i="40"/>
  <c r="O33" i="40"/>
  <c r="O37" i="40"/>
  <c r="O41" i="40"/>
  <c r="O45" i="40"/>
  <c r="O49" i="40"/>
  <c r="O53" i="40"/>
  <c r="O57" i="40"/>
  <c r="O61" i="40"/>
  <c r="O65" i="40"/>
  <c r="O69" i="40"/>
  <c r="O73" i="40"/>
  <c r="O77" i="40"/>
  <c r="O81" i="40"/>
  <c r="O85" i="40"/>
  <c r="O89" i="40"/>
  <c r="O94" i="40"/>
  <c r="O98" i="40"/>
  <c r="O102" i="40"/>
  <c r="O106" i="40"/>
  <c r="O110" i="40"/>
  <c r="O114" i="40"/>
  <c r="O118" i="40"/>
  <c r="O123" i="40"/>
  <c r="O127" i="40"/>
  <c r="O131" i="40"/>
  <c r="O135" i="40"/>
  <c r="O144" i="40"/>
  <c r="O148" i="40"/>
  <c r="O152" i="40"/>
  <c r="O156" i="40"/>
  <c r="O160" i="40"/>
  <c r="O164" i="40"/>
  <c r="O168" i="40"/>
  <c r="O172" i="40"/>
  <c r="O176" i="40"/>
  <c r="O180" i="40"/>
  <c r="O184" i="40"/>
  <c r="O188" i="40"/>
  <c r="O192" i="40"/>
  <c r="O196" i="40"/>
  <c r="O200" i="40"/>
  <c r="O204" i="40"/>
  <c r="O208" i="40"/>
  <c r="E208" i="40" s="1"/>
  <c r="O141" i="40"/>
  <c r="O88" i="40"/>
  <c r="O95" i="40"/>
  <c r="O99" i="40"/>
  <c r="O103" i="40"/>
  <c r="O107" i="40"/>
  <c r="O111" i="40"/>
  <c r="O115" i="40"/>
  <c r="O119" i="40"/>
  <c r="O124" i="40"/>
  <c r="O128" i="40"/>
  <c r="O132" i="40"/>
  <c r="O136" i="40"/>
  <c r="O145" i="40"/>
  <c r="O149" i="40"/>
  <c r="O153" i="40"/>
  <c r="O157" i="40"/>
  <c r="O161" i="40"/>
  <c r="O165" i="40"/>
  <c r="O169" i="40"/>
  <c r="O173" i="40"/>
  <c r="O177" i="40"/>
  <c r="O181" i="40"/>
  <c r="O185" i="40"/>
  <c r="O189" i="40"/>
  <c r="O193" i="40"/>
  <c r="O197" i="40"/>
  <c r="O201" i="40"/>
  <c r="O205" i="40"/>
  <c r="O138" i="40"/>
  <c r="O139" i="40"/>
  <c r="O183" i="40"/>
  <c r="O195" i="40"/>
  <c r="O207" i="40"/>
  <c r="O92" i="40"/>
  <c r="O96" i="40"/>
  <c r="O100" i="40"/>
  <c r="O104" i="40"/>
  <c r="O108" i="40"/>
  <c r="O112" i="40"/>
  <c r="O116" i="40"/>
  <c r="O121" i="40"/>
  <c r="O125" i="40"/>
  <c r="O129" i="40"/>
  <c r="O133" i="40"/>
  <c r="O137" i="40"/>
  <c r="O146" i="40"/>
  <c r="O150" i="40"/>
  <c r="O154" i="40"/>
  <c r="O158" i="40"/>
  <c r="O162" i="40"/>
  <c r="O166" i="40"/>
  <c r="O170" i="40"/>
  <c r="O174" i="40"/>
  <c r="O178" i="40"/>
  <c r="O182" i="40"/>
  <c r="O186" i="40"/>
  <c r="O190" i="40"/>
  <c r="O194" i="40"/>
  <c r="O198" i="40"/>
  <c r="O202" i="40"/>
  <c r="O206" i="40"/>
  <c r="O191" i="40"/>
  <c r="O203" i="40"/>
  <c r="O93" i="40"/>
  <c r="O97" i="40"/>
  <c r="O101" i="40"/>
  <c r="O105" i="40"/>
  <c r="O109" i="40"/>
  <c r="O113" i="40"/>
  <c r="O117" i="40"/>
  <c r="O122" i="40"/>
  <c r="O126" i="40"/>
  <c r="O130" i="40"/>
  <c r="O134" i="40"/>
  <c r="O143" i="40"/>
  <c r="O147" i="40"/>
  <c r="O151" i="40"/>
  <c r="O155" i="40"/>
  <c r="O159" i="40"/>
  <c r="E159" i="40" s="1"/>
  <c r="O163" i="40"/>
  <c r="O167" i="40"/>
  <c r="O171" i="40"/>
  <c r="O175" i="40"/>
  <c r="O179" i="40"/>
  <c r="O187" i="40"/>
  <c r="O199" i="40"/>
  <c r="O140" i="40"/>
  <c r="E140" i="40" s="1"/>
  <c r="S142" i="40"/>
  <c r="S208" i="40"/>
  <c r="S59" i="40"/>
  <c r="S179" i="40"/>
  <c r="S129" i="40"/>
  <c r="S85" i="40"/>
  <c r="S162" i="40"/>
  <c r="S130" i="40"/>
  <c r="S58" i="40"/>
  <c r="S118" i="40"/>
  <c r="S108" i="40"/>
  <c r="S26" i="40"/>
  <c r="S63" i="40"/>
  <c r="S9" i="40"/>
  <c r="S25" i="40"/>
  <c r="S137" i="40"/>
  <c r="S186" i="40"/>
  <c r="S35" i="40"/>
  <c r="S51" i="40"/>
  <c r="S146" i="40"/>
  <c r="S136" i="40"/>
  <c r="S101" i="40"/>
  <c r="S17" i="40"/>
  <c r="S119" i="40"/>
  <c r="S192" i="40"/>
  <c r="S131" i="40"/>
  <c r="S31" i="40"/>
  <c r="S20" i="40"/>
  <c r="S148" i="40"/>
  <c r="S182" i="40"/>
  <c r="S57" i="40"/>
  <c r="S32" i="40"/>
  <c r="S21" i="40"/>
  <c r="S116" i="40"/>
  <c r="S189" i="40"/>
  <c r="S66" i="40"/>
  <c r="S93" i="40"/>
  <c r="S109" i="40"/>
  <c r="S190" i="40"/>
  <c r="S161" i="40"/>
  <c r="S105" i="40"/>
  <c r="S205" i="40"/>
  <c r="S110" i="40"/>
  <c r="S204" i="40"/>
  <c r="S43" i="40"/>
  <c r="S68" i="40"/>
  <c r="S128" i="40"/>
  <c r="S39" i="40"/>
  <c r="S42" i="40"/>
  <c r="S155" i="40"/>
  <c r="S125" i="40"/>
  <c r="S132" i="40"/>
  <c r="S197" i="40"/>
  <c r="S160" i="40"/>
  <c r="S111" i="40"/>
  <c r="S115" i="40"/>
  <c r="S10" i="40"/>
  <c r="S48" i="40"/>
  <c r="S153" i="40"/>
  <c r="S117" i="40"/>
  <c r="S195" i="40"/>
  <c r="S98" i="40"/>
  <c r="S97" i="40"/>
  <c r="S139" i="40"/>
  <c r="S18" i="40"/>
  <c r="S123" i="40"/>
  <c r="S11" i="40"/>
  <c r="S77" i="40"/>
  <c r="S13" i="40"/>
  <c r="S27" i="40"/>
  <c r="S55" i="40"/>
  <c r="S23" i="40"/>
  <c r="S114" i="40"/>
  <c r="S19" i="40"/>
  <c r="S124" i="40"/>
  <c r="S157" i="40"/>
  <c r="S201" i="40"/>
  <c r="S41" i="40"/>
  <c r="S40" i="40"/>
  <c r="S198" i="40"/>
  <c r="S49" i="40"/>
  <c r="S147" i="40"/>
  <c r="S176" i="40"/>
  <c r="S71" i="40"/>
  <c r="S183" i="40"/>
  <c r="S167" i="40"/>
  <c r="S84" i="40"/>
  <c r="S96" i="40"/>
  <c r="S112" i="40"/>
  <c r="S165" i="40"/>
  <c r="S104" i="40"/>
  <c r="S133" i="40"/>
  <c r="S82" i="40"/>
  <c r="S44" i="40"/>
  <c r="S194" i="40"/>
  <c r="S103" i="40"/>
  <c r="S193" i="40"/>
  <c r="S14" i="40"/>
  <c r="S33" i="40"/>
  <c r="S70" i="40"/>
  <c r="S78" i="40"/>
  <c r="S187" i="40"/>
  <c r="S144" i="40"/>
  <c r="S29" i="40"/>
  <c r="S158" i="40"/>
  <c r="S180" i="40"/>
  <c r="S102" i="40"/>
  <c r="S106" i="40"/>
  <c r="S94" i="40"/>
  <c r="S61" i="40"/>
  <c r="S12" i="40"/>
  <c r="S121" i="40"/>
  <c r="S65" i="40"/>
  <c r="S173" i="40"/>
  <c r="S28" i="40"/>
  <c r="S152" i="40"/>
  <c r="S175" i="40"/>
  <c r="S73" i="40"/>
  <c r="S91" i="40"/>
  <c r="S150" i="40"/>
  <c r="S56" i="40"/>
  <c r="S60" i="40"/>
  <c r="S22" i="40"/>
  <c r="S207" i="40"/>
  <c r="S127" i="40"/>
  <c r="S138" i="40"/>
  <c r="S159" i="40"/>
  <c r="S107" i="40"/>
  <c r="S135" i="40"/>
  <c r="S87" i="40"/>
  <c r="S53" i="40"/>
  <c r="S79" i="40"/>
  <c r="S172" i="40"/>
  <c r="S89" i="40"/>
  <c r="S126" i="40"/>
  <c r="S134" i="40"/>
  <c r="S203" i="40"/>
  <c r="S113" i="40"/>
  <c r="S76" i="40"/>
  <c r="S206" i="40"/>
  <c r="S170" i="40"/>
  <c r="S164" i="40"/>
  <c r="S191" i="40"/>
  <c r="S50" i="40"/>
  <c r="S196" i="40"/>
  <c r="S177" i="40"/>
  <c r="S75" i="40"/>
  <c r="S143" i="40"/>
  <c r="S178" i="40"/>
  <c r="S45" i="40"/>
  <c r="S141" i="40"/>
  <c r="S100" i="40"/>
  <c r="S46" i="40"/>
  <c r="S30" i="40"/>
  <c r="S199" i="40"/>
  <c r="S185" i="40"/>
  <c r="S24" i="40"/>
  <c r="S163" i="40"/>
  <c r="S122" i="40"/>
  <c r="S171" i="40"/>
  <c r="S184" i="40"/>
  <c r="S37" i="40"/>
  <c r="S174" i="40"/>
  <c r="S34" i="40"/>
  <c r="S95" i="40"/>
  <c r="S86" i="40"/>
  <c r="S188" i="40"/>
  <c r="S92" i="40"/>
  <c r="S168" i="40"/>
  <c r="S90" i="40"/>
  <c r="S15" i="40"/>
  <c r="S64" i="40"/>
  <c r="S54" i="40"/>
  <c r="S16" i="40"/>
  <c r="S67" i="40"/>
  <c r="S181" i="40"/>
  <c r="S72" i="40"/>
  <c r="S140" i="40"/>
  <c r="S166" i="40"/>
  <c r="S36" i="40"/>
  <c r="S154" i="40"/>
  <c r="S99" i="40"/>
  <c r="S156" i="40"/>
  <c r="S80" i="40"/>
  <c r="S202" i="40"/>
  <c r="S83" i="40"/>
  <c r="S74" i="40"/>
  <c r="S38" i="40"/>
  <c r="S88" i="40"/>
  <c r="S69" i="40"/>
  <c r="S62" i="40"/>
  <c r="S200" i="40"/>
  <c r="S151" i="40"/>
  <c r="S52" i="40"/>
  <c r="S149" i="40"/>
  <c r="S169" i="40"/>
  <c r="S47" i="40"/>
  <c r="S81" i="40"/>
  <c r="S145" i="40"/>
  <c r="S120" i="40"/>
  <c r="K142" i="40"/>
  <c r="K110" i="40"/>
  <c r="K99" i="40"/>
  <c r="K34" i="40"/>
  <c r="K42" i="40"/>
  <c r="K170" i="40"/>
  <c r="K153" i="40"/>
  <c r="K154" i="40"/>
  <c r="K174" i="40"/>
  <c r="K28" i="40"/>
  <c r="K90" i="40"/>
  <c r="K84" i="40"/>
  <c r="K85" i="40"/>
  <c r="K65" i="40"/>
  <c r="K131" i="40"/>
  <c r="K111" i="40"/>
  <c r="K134" i="40"/>
  <c r="K80" i="40"/>
  <c r="K88" i="40"/>
  <c r="K112" i="40"/>
  <c r="K164" i="40"/>
  <c r="K146" i="40"/>
  <c r="K199" i="40"/>
  <c r="K205" i="40"/>
  <c r="K11" i="40"/>
  <c r="K168" i="40"/>
  <c r="K104" i="40"/>
  <c r="K67" i="40"/>
  <c r="K68" i="40"/>
  <c r="K105" i="40"/>
  <c r="K158" i="40"/>
  <c r="K38" i="40"/>
  <c r="K86" i="40"/>
  <c r="K186" i="40"/>
  <c r="K181" i="40"/>
  <c r="K96" i="40"/>
  <c r="K198" i="40"/>
  <c r="K192" i="40"/>
  <c r="K201" i="40"/>
  <c r="K56" i="40"/>
  <c r="K207" i="40"/>
  <c r="K78" i="40"/>
  <c r="K121" i="40"/>
  <c r="K161" i="40"/>
  <c r="K61" i="40"/>
  <c r="K62" i="40"/>
  <c r="K35" i="40"/>
  <c r="K119" i="40"/>
  <c r="K72" i="40"/>
  <c r="K91" i="40"/>
  <c r="K12" i="40"/>
  <c r="K163" i="40"/>
  <c r="K95" i="40"/>
  <c r="K41" i="40"/>
  <c r="K147" i="40"/>
  <c r="K51" i="40"/>
  <c r="K151" i="40"/>
  <c r="K140" i="40"/>
  <c r="K127" i="40"/>
  <c r="K29" i="40"/>
  <c r="K113" i="40"/>
  <c r="K139" i="40"/>
  <c r="K184" i="40"/>
  <c r="K94" i="40"/>
  <c r="K116" i="40"/>
  <c r="K23" i="40"/>
  <c r="K18" i="40"/>
  <c r="K106" i="40"/>
  <c r="K132" i="40"/>
  <c r="K16" i="40"/>
  <c r="K203" i="40"/>
  <c r="K54" i="40"/>
  <c r="K55" i="40"/>
  <c r="K171" i="40"/>
  <c r="K109" i="40"/>
  <c r="K169" i="40"/>
  <c r="K194" i="40"/>
  <c r="K136" i="40"/>
  <c r="K135" i="40"/>
  <c r="K157" i="40"/>
  <c r="K156" i="40"/>
  <c r="K25" i="40"/>
  <c r="K188" i="40"/>
  <c r="K58" i="40"/>
  <c r="K126" i="40"/>
  <c r="K100" i="40"/>
  <c r="K21" i="40"/>
  <c r="K150" i="40"/>
  <c r="K145" i="40"/>
  <c r="K180" i="40"/>
  <c r="K46" i="40"/>
  <c r="K144" i="40"/>
  <c r="K182" i="40"/>
  <c r="K187" i="40"/>
  <c r="K70" i="40"/>
  <c r="K204" i="40"/>
  <c r="K98" i="40"/>
  <c r="K128" i="40"/>
  <c r="K19" i="40"/>
  <c r="K15" i="40"/>
  <c r="K44" i="40"/>
  <c r="K71" i="40"/>
  <c r="K143" i="40"/>
  <c r="K22" i="40"/>
  <c r="K155" i="40"/>
  <c r="K50" i="40"/>
  <c r="K87" i="40"/>
  <c r="K24" i="40"/>
  <c r="K76" i="40"/>
  <c r="K118" i="40"/>
  <c r="K75" i="40"/>
  <c r="K92" i="40"/>
  <c r="K138" i="40"/>
  <c r="K208" i="40"/>
  <c r="K40" i="40"/>
  <c r="K172" i="40"/>
  <c r="K64" i="40"/>
  <c r="K197" i="40"/>
  <c r="K101" i="40"/>
  <c r="K162" i="40"/>
  <c r="K159" i="40"/>
  <c r="K48" i="40"/>
  <c r="K13" i="40"/>
  <c r="K176" i="40"/>
  <c r="K167" i="40"/>
  <c r="K130" i="40"/>
  <c r="K33" i="40"/>
  <c r="K179" i="40"/>
  <c r="K82" i="40"/>
  <c r="K124" i="40"/>
  <c r="K59" i="40"/>
  <c r="K120" i="40"/>
  <c r="K49" i="40"/>
  <c r="K89" i="40"/>
  <c r="K178" i="40"/>
  <c r="K73" i="40"/>
  <c r="K97" i="40"/>
  <c r="K122" i="40"/>
  <c r="K189" i="40"/>
  <c r="K69" i="40"/>
  <c r="K31" i="40"/>
  <c r="K148" i="40"/>
  <c r="K20" i="40"/>
  <c r="K149" i="40"/>
  <c r="K117" i="40"/>
  <c r="K206" i="40"/>
  <c r="K57" i="40"/>
  <c r="K81" i="40"/>
  <c r="K47" i="40"/>
  <c r="K191" i="40"/>
  <c r="K195" i="40"/>
  <c r="K137" i="40"/>
  <c r="K160" i="40"/>
  <c r="K190" i="40"/>
  <c r="K165" i="40"/>
  <c r="K202" i="40"/>
  <c r="K63" i="40"/>
  <c r="K9" i="40"/>
  <c r="K10" i="40"/>
  <c r="K166" i="40"/>
  <c r="K152" i="40"/>
  <c r="K185" i="40"/>
  <c r="K141" i="40"/>
  <c r="K53" i="40"/>
  <c r="K77" i="40"/>
  <c r="K125" i="40"/>
  <c r="K123" i="40"/>
  <c r="K39" i="40"/>
  <c r="K173" i="40"/>
  <c r="K183" i="40"/>
  <c r="K107" i="40"/>
  <c r="K177" i="40"/>
  <c r="K129" i="40"/>
  <c r="K52" i="40"/>
  <c r="K45" i="40"/>
  <c r="K175" i="40"/>
  <c r="K37" i="40"/>
  <c r="K102" i="40"/>
  <c r="K43" i="40"/>
  <c r="K74" i="40"/>
  <c r="K200" i="40"/>
  <c r="K17" i="40"/>
  <c r="K26" i="40"/>
  <c r="K83" i="40"/>
  <c r="K108" i="40"/>
  <c r="K114" i="40"/>
  <c r="K133" i="40"/>
  <c r="K103" i="40"/>
  <c r="K36" i="40"/>
  <c r="K27" i="40"/>
  <c r="K93" i="40"/>
  <c r="K30" i="40"/>
  <c r="K193" i="40"/>
  <c r="K196" i="40"/>
  <c r="K32" i="40"/>
  <c r="K14" i="40"/>
  <c r="K79" i="40"/>
  <c r="K115" i="40"/>
  <c r="K66" i="40"/>
  <c r="K60" i="40"/>
  <c r="L66" i="40"/>
  <c r="L197" i="40"/>
  <c r="L40" i="40"/>
  <c r="L100" i="40"/>
  <c r="L189" i="40"/>
  <c r="L73" i="40"/>
  <c r="L52" i="40"/>
  <c r="L61" i="40"/>
  <c r="L38" i="40"/>
  <c r="L159" i="40"/>
  <c r="L177" i="40"/>
  <c r="L111" i="40"/>
  <c r="L128" i="40"/>
  <c r="L71" i="40"/>
  <c r="L137" i="40"/>
  <c r="L108" i="40"/>
  <c r="L78" i="40"/>
  <c r="L194" i="40"/>
  <c r="L183" i="40"/>
  <c r="L115" i="40"/>
  <c r="L155" i="40"/>
  <c r="L95" i="40"/>
  <c r="L116" i="40"/>
  <c r="L96" i="40"/>
  <c r="L154" i="40"/>
  <c r="L102" i="40"/>
  <c r="L196" i="40"/>
  <c r="L138" i="40"/>
  <c r="L57" i="40"/>
  <c r="L9" i="40"/>
  <c r="L67" i="40"/>
  <c r="L32" i="40"/>
  <c r="L16" i="40"/>
  <c r="L156" i="40"/>
  <c r="L123" i="40"/>
  <c r="L161" i="40"/>
  <c r="L21" i="40"/>
  <c r="L132" i="40"/>
  <c r="L130" i="40"/>
  <c r="L141" i="40"/>
  <c r="L188" i="40"/>
  <c r="L153" i="40"/>
  <c r="L25" i="40"/>
  <c r="L33" i="40"/>
  <c r="L11" i="40"/>
  <c r="L60" i="40"/>
  <c r="L10" i="40"/>
  <c r="L19" i="40"/>
  <c r="L146" i="40"/>
  <c r="L26" i="40"/>
  <c r="L87" i="40"/>
  <c r="L77" i="40"/>
  <c r="L176" i="40"/>
  <c r="L205" i="40"/>
  <c r="L106" i="40"/>
  <c r="L145" i="40"/>
  <c r="L170" i="40"/>
  <c r="L119" i="40"/>
  <c r="L42" i="40"/>
  <c r="L114" i="40"/>
  <c r="L162" i="40"/>
  <c r="L190" i="40"/>
  <c r="L163" i="40"/>
  <c r="L28" i="40"/>
  <c r="L117" i="40"/>
  <c r="L157" i="40"/>
  <c r="L59" i="40"/>
  <c r="L139" i="40"/>
  <c r="L51" i="40"/>
  <c r="L58" i="40"/>
  <c r="L120" i="40"/>
  <c r="L118" i="40"/>
  <c r="L178" i="40"/>
  <c r="L53" i="40"/>
  <c r="L173" i="40"/>
  <c r="L107" i="40"/>
  <c r="L98" i="40"/>
  <c r="L74" i="40"/>
  <c r="L43" i="40"/>
  <c r="L93" i="40"/>
  <c r="L147" i="40"/>
  <c r="L23" i="40"/>
  <c r="L151" i="40"/>
  <c r="L206" i="40"/>
  <c r="L150" i="40"/>
  <c r="L39" i="40"/>
  <c r="L70" i="40"/>
  <c r="L22" i="40"/>
  <c r="L62" i="40"/>
  <c r="L47" i="40"/>
  <c r="L149" i="40"/>
  <c r="L44" i="40"/>
  <c r="L113" i="40"/>
  <c r="L152" i="40"/>
  <c r="L83" i="40"/>
  <c r="L65" i="40"/>
  <c r="L13" i="40"/>
  <c r="L200" i="40"/>
  <c r="L203" i="40"/>
  <c r="L167" i="40"/>
  <c r="L126" i="40"/>
  <c r="L181" i="40"/>
  <c r="L164" i="40"/>
  <c r="L140" i="40"/>
  <c r="L63" i="40"/>
  <c r="L192" i="40"/>
  <c r="L101" i="40"/>
  <c r="L18" i="40"/>
  <c r="L82" i="40"/>
  <c r="L31" i="40"/>
  <c r="L110" i="40"/>
  <c r="L121" i="40"/>
  <c r="L142" i="40"/>
  <c r="L17" i="40"/>
  <c r="L168" i="40"/>
  <c r="L201" i="40"/>
  <c r="L80" i="40"/>
  <c r="L185" i="40"/>
  <c r="L97" i="40"/>
  <c r="L187" i="40"/>
  <c r="L193" i="40"/>
  <c r="L29" i="40"/>
  <c r="L90" i="40"/>
  <c r="L35" i="40"/>
  <c r="L50" i="40"/>
  <c r="L165" i="40"/>
  <c r="L208" i="40"/>
  <c r="L68" i="40"/>
  <c r="L84" i="40"/>
  <c r="L88" i="40"/>
  <c r="L129" i="40"/>
  <c r="L99" i="40"/>
  <c r="L202" i="40"/>
  <c r="L148" i="40"/>
  <c r="L112" i="40"/>
  <c r="L182" i="40"/>
  <c r="L94" i="40"/>
  <c r="L34" i="40"/>
  <c r="L174" i="40"/>
  <c r="L36" i="40"/>
  <c r="L172" i="40"/>
  <c r="L85" i="40"/>
  <c r="L158" i="40"/>
  <c r="L144" i="40"/>
  <c r="L109" i="40"/>
  <c r="L122" i="40"/>
  <c r="L160" i="40"/>
  <c r="L46" i="40"/>
  <c r="L91" i="40"/>
  <c r="L184" i="40"/>
  <c r="L195" i="40"/>
  <c r="L127" i="40"/>
  <c r="L14" i="40"/>
  <c r="L134" i="40"/>
  <c r="L105" i="40"/>
  <c r="L41" i="40"/>
  <c r="L30" i="40"/>
  <c r="L136" i="40"/>
  <c r="L45" i="40"/>
  <c r="L49" i="40"/>
  <c r="L76" i="40"/>
  <c r="L135" i="40"/>
  <c r="L79" i="40"/>
  <c r="L204" i="40"/>
  <c r="L171" i="40"/>
  <c r="L131" i="40"/>
  <c r="L81" i="40"/>
  <c r="L56" i="40"/>
  <c r="L24" i="40"/>
  <c r="L143" i="40"/>
  <c r="L199" i="40"/>
  <c r="L48" i="40"/>
  <c r="L125" i="40"/>
  <c r="L27" i="40"/>
  <c r="L179" i="40"/>
  <c r="L69" i="40"/>
  <c r="L175" i="40"/>
  <c r="L20" i="40"/>
  <c r="L75" i="40"/>
  <c r="L64" i="40"/>
  <c r="L15" i="40"/>
  <c r="L191" i="40"/>
  <c r="L37" i="40"/>
  <c r="L133" i="40"/>
  <c r="L55" i="40"/>
  <c r="L92" i="40"/>
  <c r="L103" i="40"/>
  <c r="L104" i="40"/>
  <c r="L54" i="40"/>
  <c r="L166" i="40"/>
  <c r="L198" i="40"/>
  <c r="L180" i="40"/>
  <c r="L72" i="40"/>
  <c r="L86" i="40"/>
  <c r="L124" i="40"/>
  <c r="L207" i="40"/>
  <c r="L89" i="40"/>
  <c r="L186" i="40"/>
  <c r="L169" i="40"/>
  <c r="L12" i="40"/>
  <c r="E105" i="40" l="1"/>
  <c r="E182" i="40"/>
  <c r="E175" i="40"/>
  <c r="E99" i="40"/>
  <c r="E160" i="40"/>
  <c r="E122" i="40"/>
  <c r="E203" i="40"/>
  <c r="E166" i="40"/>
  <c r="E129" i="40"/>
  <c r="E112" i="40"/>
  <c r="E183" i="40"/>
  <c r="E123" i="40"/>
  <c r="E89" i="40"/>
  <c r="E73" i="40"/>
  <c r="E41" i="40"/>
  <c r="E9" i="40"/>
  <c r="E201" i="40"/>
  <c r="E153" i="40"/>
  <c r="E192" i="40"/>
  <c r="E176" i="40"/>
  <c r="E144" i="40"/>
  <c r="E57" i="40"/>
  <c r="E25" i="40"/>
  <c r="E72" i="40"/>
  <c r="E56" i="40"/>
  <c r="E40" i="40"/>
  <c r="E63" i="40"/>
  <c r="E24" i="40"/>
  <c r="E47" i="40"/>
  <c r="E31" i="40"/>
  <c r="E82" i="40"/>
  <c r="E18" i="40"/>
  <c r="E15" i="40"/>
  <c r="E198" i="40"/>
  <c r="E185" i="40"/>
  <c r="E115" i="40"/>
  <c r="E106" i="40"/>
  <c r="E120" i="40"/>
  <c r="E79" i="40"/>
  <c r="E66" i="40"/>
  <c r="E50" i="40"/>
  <c r="E199" i="40"/>
  <c r="E171" i="40"/>
  <c r="E155" i="40"/>
  <c r="E134" i="40"/>
  <c r="E117" i="40"/>
  <c r="E101" i="40"/>
  <c r="E191" i="40"/>
  <c r="E194" i="40"/>
  <c r="E178" i="40"/>
  <c r="E162" i="40"/>
  <c r="E146" i="40"/>
  <c r="E125" i="40"/>
  <c r="E108" i="40"/>
  <c r="E92" i="40"/>
  <c r="E139" i="40"/>
  <c r="E197" i="40"/>
  <c r="E181" i="40"/>
  <c r="E165" i="40"/>
  <c r="E149" i="40"/>
  <c r="E128" i="40"/>
  <c r="E111" i="40"/>
  <c r="E95" i="40"/>
  <c r="E204" i="40"/>
  <c r="E188" i="40"/>
  <c r="E172" i="40"/>
  <c r="E156" i="40"/>
  <c r="E135" i="40"/>
  <c r="E118" i="40"/>
  <c r="E102" i="40"/>
  <c r="E85" i="40"/>
  <c r="E69" i="40"/>
  <c r="E53" i="40"/>
  <c r="E37" i="40"/>
  <c r="E21" i="40"/>
  <c r="E84" i="40"/>
  <c r="E68" i="40"/>
  <c r="E52" i="40"/>
  <c r="E36" i="40"/>
  <c r="E20" i="40"/>
  <c r="E91" i="40"/>
  <c r="E75" i="40"/>
  <c r="E59" i="40"/>
  <c r="E43" i="40"/>
  <c r="E27" i="40"/>
  <c r="E11" i="40"/>
  <c r="E78" i="40"/>
  <c r="E62" i="40"/>
  <c r="E46" i="40"/>
  <c r="E30" i="40"/>
  <c r="E14" i="40"/>
  <c r="E143" i="40"/>
  <c r="E150" i="40"/>
  <c r="E187" i="40"/>
  <c r="E167" i="40"/>
  <c r="E151" i="40"/>
  <c r="E130" i="40"/>
  <c r="E113" i="40"/>
  <c r="E97" i="40"/>
  <c r="E206" i="40"/>
  <c r="E190" i="40"/>
  <c r="E174" i="40"/>
  <c r="E158" i="40"/>
  <c r="E137" i="40"/>
  <c r="E121" i="40"/>
  <c r="E104" i="40"/>
  <c r="E207" i="40"/>
  <c r="E138" i="40"/>
  <c r="E193" i="40"/>
  <c r="E177" i="40"/>
  <c r="E161" i="40"/>
  <c r="E145" i="40"/>
  <c r="E124" i="40"/>
  <c r="E107" i="40"/>
  <c r="E88" i="40"/>
  <c r="E200" i="40"/>
  <c r="E184" i="40"/>
  <c r="E168" i="40"/>
  <c r="E152" i="40"/>
  <c r="E131" i="40"/>
  <c r="E114" i="40"/>
  <c r="E98" i="40"/>
  <c r="E81" i="40"/>
  <c r="E65" i="40"/>
  <c r="E49" i="40"/>
  <c r="E33" i="40"/>
  <c r="E17" i="40"/>
  <c r="E80" i="40"/>
  <c r="E64" i="40"/>
  <c r="E48" i="40"/>
  <c r="E32" i="40"/>
  <c r="E16" i="40"/>
  <c r="E87" i="40"/>
  <c r="E71" i="40"/>
  <c r="E55" i="40"/>
  <c r="E39" i="40"/>
  <c r="E23" i="40"/>
  <c r="E90" i="40"/>
  <c r="E74" i="40"/>
  <c r="E58" i="40"/>
  <c r="E42" i="40"/>
  <c r="E26" i="40"/>
  <c r="E10" i="40"/>
  <c r="E96" i="40"/>
  <c r="E169" i="40"/>
  <c r="E132" i="40"/>
  <c r="E34" i="40"/>
  <c r="E179" i="40"/>
  <c r="E163" i="40"/>
  <c r="E147" i="40"/>
  <c r="E126" i="40"/>
  <c r="E109" i="40"/>
  <c r="E93" i="40"/>
  <c r="E202" i="40"/>
  <c r="E186" i="40"/>
  <c r="E170" i="40"/>
  <c r="E154" i="40"/>
  <c r="E133" i="40"/>
  <c r="E116" i="40"/>
  <c r="E100" i="40"/>
  <c r="E195" i="40"/>
  <c r="E205" i="40"/>
  <c r="E189" i="40"/>
  <c r="E173" i="40"/>
  <c r="E157" i="40"/>
  <c r="E136" i="40"/>
  <c r="E119" i="40"/>
  <c r="E103" i="40"/>
  <c r="E141" i="40"/>
  <c r="E196" i="40"/>
  <c r="E180" i="40"/>
  <c r="E164" i="40"/>
  <c r="E148" i="40"/>
  <c r="E127" i="40"/>
  <c r="E110" i="40"/>
  <c r="E94" i="40"/>
  <c r="E77" i="40"/>
  <c r="E61" i="40"/>
  <c r="E45" i="40"/>
  <c r="E29" i="40"/>
  <c r="E13" i="40"/>
  <c r="E76" i="40"/>
  <c r="E60" i="40"/>
  <c r="E44" i="40"/>
  <c r="E28" i="40"/>
  <c r="E12" i="40"/>
  <c r="E83" i="40"/>
  <c r="E67" i="40"/>
  <c r="E51" i="40"/>
  <c r="E35" i="40"/>
  <c r="E19" i="40"/>
  <c r="E86" i="40"/>
  <c r="E70" i="40"/>
  <c r="E54" i="40"/>
  <c r="E38" i="40"/>
  <c r="E22" i="40"/>
  <c r="E142" i="40"/>
  <c r="M9" i="40" a="1"/>
  <c r="I7" i="39" l="1" a="1"/>
  <c r="I140" i="39" s="1"/>
  <c r="N140" i="39" s="1"/>
  <c r="M142" i="40"/>
  <c r="M145" i="40"/>
  <c r="M55" i="40"/>
  <c r="M151" i="40"/>
  <c r="M121" i="40"/>
  <c r="M104" i="40"/>
  <c r="M90" i="40"/>
  <c r="M14" i="40"/>
  <c r="M74" i="40"/>
  <c r="M53" i="40"/>
  <c r="M15" i="40"/>
  <c r="M58" i="40"/>
  <c r="M106" i="40"/>
  <c r="M163" i="40"/>
  <c r="M192" i="40"/>
  <c r="M146" i="40"/>
  <c r="M170" i="40"/>
  <c r="M93" i="40"/>
  <c r="M45" i="40"/>
  <c r="M10" i="40"/>
  <c r="M149" i="40"/>
  <c r="M179" i="40"/>
  <c r="M92" i="40"/>
  <c r="M70" i="40"/>
  <c r="M135" i="40"/>
  <c r="M184" i="40"/>
  <c r="M61" i="40"/>
  <c r="M68" i="40"/>
  <c r="M85" i="40"/>
  <c r="M196" i="40"/>
  <c r="M102" i="40"/>
  <c r="M185" i="40"/>
  <c r="M128" i="40"/>
  <c r="M25" i="40"/>
  <c r="M23" i="40"/>
  <c r="M119" i="40"/>
  <c r="M38" i="40"/>
  <c r="M111" i="40"/>
  <c r="M129" i="40"/>
  <c r="M208" i="40"/>
  <c r="M178" i="40"/>
  <c r="M118" i="40"/>
  <c r="M59" i="40"/>
  <c r="M50" i="40"/>
  <c r="M33" i="40"/>
  <c r="M47" i="40"/>
  <c r="M71" i="40"/>
  <c r="M13" i="40"/>
  <c r="M117" i="40"/>
  <c r="M79" i="40"/>
  <c r="M98" i="40"/>
  <c r="M156" i="40"/>
  <c r="M116" i="40"/>
  <c r="M12" i="40"/>
  <c r="M181" i="40"/>
  <c r="M88" i="40"/>
  <c r="M99" i="40"/>
  <c r="M103" i="40"/>
  <c r="M177" i="40"/>
  <c r="M63" i="40"/>
  <c r="M144" i="40"/>
  <c r="M169" i="40"/>
  <c r="M29" i="40"/>
  <c r="M62" i="40"/>
  <c r="M105" i="40"/>
  <c r="M65" i="40"/>
  <c r="M66" i="40"/>
  <c r="M26" i="40"/>
  <c r="M123" i="40"/>
  <c r="M137" i="40"/>
  <c r="M73" i="40"/>
  <c r="M162" i="40"/>
  <c r="M22" i="40"/>
  <c r="M21" i="40"/>
  <c r="M203" i="40"/>
  <c r="M147" i="40"/>
  <c r="M198" i="40"/>
  <c r="M164" i="40"/>
  <c r="M42" i="40"/>
  <c r="M114" i="40"/>
  <c r="M183" i="40"/>
  <c r="M165" i="40"/>
  <c r="M180" i="40"/>
  <c r="M171" i="40"/>
  <c r="M140" i="40"/>
  <c r="M56" i="40"/>
  <c r="M205" i="40"/>
  <c r="M154" i="40"/>
  <c r="M143" i="40"/>
  <c r="M167" i="40"/>
  <c r="M206" i="40"/>
  <c r="M159" i="40"/>
  <c r="M148" i="40"/>
  <c r="M64" i="40"/>
  <c r="M122" i="40"/>
  <c r="M37" i="40"/>
  <c r="M138" i="40"/>
  <c r="M89" i="40"/>
  <c r="M77" i="40"/>
  <c r="M173" i="40"/>
  <c r="M182" i="40"/>
  <c r="M194" i="40"/>
  <c r="M113" i="40"/>
  <c r="M126" i="40"/>
  <c r="M201" i="40"/>
  <c r="M153" i="40"/>
  <c r="M175" i="40"/>
  <c r="M204" i="40"/>
  <c r="M94" i="40"/>
  <c r="M186" i="40"/>
  <c r="M110" i="40"/>
  <c r="M107" i="40"/>
  <c r="M69" i="40"/>
  <c r="M24" i="40"/>
  <c r="M109" i="40"/>
  <c r="M207" i="40"/>
  <c r="M174" i="40"/>
  <c r="M52" i="40"/>
  <c r="M187" i="40"/>
  <c r="M139" i="40"/>
  <c r="M67" i="40"/>
  <c r="M36" i="40"/>
  <c r="M31" i="40"/>
  <c r="M97" i="40"/>
  <c r="M49" i="40"/>
  <c r="M87" i="40"/>
  <c r="M191" i="40"/>
  <c r="M132" i="40"/>
  <c r="M158" i="40"/>
  <c r="M60" i="40"/>
  <c r="M39" i="40"/>
  <c r="M150" i="40"/>
  <c r="M51" i="40"/>
  <c r="M168" i="40"/>
  <c r="M32" i="40"/>
  <c r="M141" i="40"/>
  <c r="M120" i="40"/>
  <c r="M19" i="40"/>
  <c r="M18" i="40"/>
  <c r="M86" i="40"/>
  <c r="M115" i="40"/>
  <c r="M125" i="40"/>
  <c r="M100" i="40"/>
  <c r="M41" i="40"/>
  <c r="M112" i="40"/>
  <c r="M76" i="40"/>
  <c r="M155" i="40"/>
  <c r="M57" i="40"/>
  <c r="M20" i="40"/>
  <c r="M197" i="40"/>
  <c r="M200" i="40"/>
  <c r="M95" i="40"/>
  <c r="M199" i="40"/>
  <c r="M30" i="40"/>
  <c r="M166" i="40"/>
  <c r="M157" i="40"/>
  <c r="M91" i="40"/>
  <c r="M80" i="40"/>
  <c r="M133" i="40"/>
  <c r="M202" i="40"/>
  <c r="M176" i="40"/>
  <c r="M46" i="40"/>
  <c r="M127" i="40"/>
  <c r="M11" i="40"/>
  <c r="M27" i="40"/>
  <c r="M9" i="40"/>
  <c r="M136" i="40"/>
  <c r="M161" i="40"/>
  <c r="M84" i="40"/>
  <c r="M101" i="40"/>
  <c r="M40" i="40"/>
  <c r="M75" i="40"/>
  <c r="M152" i="40"/>
  <c r="M82" i="40"/>
  <c r="M190" i="40"/>
  <c r="M44" i="40"/>
  <c r="M35" i="40"/>
  <c r="M131" i="40"/>
  <c r="M83" i="40"/>
  <c r="M160" i="40"/>
  <c r="M54" i="40"/>
  <c r="M78" i="40"/>
  <c r="M28" i="40"/>
  <c r="M43" i="40"/>
  <c r="M81" i="40"/>
  <c r="M172" i="40"/>
  <c r="M188" i="40"/>
  <c r="M72" i="40"/>
  <c r="M134" i="40"/>
  <c r="M17" i="40"/>
  <c r="M195" i="40"/>
  <c r="M16" i="40"/>
  <c r="M96" i="40"/>
  <c r="M34" i="40"/>
  <c r="M124" i="40"/>
  <c r="M130" i="40"/>
  <c r="M48" i="40"/>
  <c r="M193" i="40"/>
  <c r="M189" i="40"/>
  <c r="M108" i="40"/>
  <c r="I15" i="39" l="1"/>
  <c r="N15" i="39" s="1"/>
  <c r="I31" i="39"/>
  <c r="N31" i="39" s="1"/>
  <c r="I58" i="39"/>
  <c r="N58" i="39" s="1"/>
  <c r="I41" i="39"/>
  <c r="N41" i="39" s="1"/>
  <c r="I42" i="39"/>
  <c r="N42" i="39" s="1"/>
  <c r="I40" i="39"/>
  <c r="N40" i="39" s="1"/>
  <c r="I11" i="39"/>
  <c r="N11" i="39" s="1"/>
  <c r="I9" i="39"/>
  <c r="N9" i="39" s="1"/>
  <c r="I79" i="39"/>
  <c r="N79" i="39" s="1"/>
  <c r="I72" i="39"/>
  <c r="N72" i="39" s="1"/>
  <c r="I24" i="39"/>
  <c r="N24" i="39" s="1"/>
  <c r="I132" i="39"/>
  <c r="N132" i="39" s="1"/>
  <c r="I114" i="39"/>
  <c r="N114" i="39" s="1"/>
  <c r="I29" i="39"/>
  <c r="N29" i="39" s="1"/>
  <c r="I52" i="39"/>
  <c r="N52" i="39" s="1"/>
  <c r="I66" i="39"/>
  <c r="N66" i="39" s="1"/>
  <c r="I47" i="39"/>
  <c r="N47" i="39" s="1"/>
  <c r="I34" i="39"/>
  <c r="N34" i="39" s="1"/>
  <c r="I8" i="39"/>
  <c r="N8" i="39" s="1"/>
  <c r="I44" i="39"/>
  <c r="N44" i="39" s="1"/>
  <c r="I48" i="39"/>
  <c r="N48" i="39" s="1"/>
  <c r="I69" i="39"/>
  <c r="N69" i="39" s="1"/>
  <c r="I94" i="39"/>
  <c r="N94" i="39" s="1"/>
  <c r="I17" i="39"/>
  <c r="N17" i="39" s="1"/>
  <c r="I23" i="39"/>
  <c r="N23" i="39" s="1"/>
  <c r="I64" i="39"/>
  <c r="N64" i="39" s="1"/>
  <c r="I128" i="39"/>
  <c r="N128" i="39" s="1"/>
  <c r="I62" i="39"/>
  <c r="N62" i="39" s="1"/>
  <c r="I163" i="39"/>
  <c r="N163" i="39" s="1"/>
  <c r="I50" i="39"/>
  <c r="N50" i="39" s="1"/>
  <c r="I71" i="39"/>
  <c r="N71" i="39" s="1"/>
  <c r="I10" i="39"/>
  <c r="N10" i="39" s="1"/>
  <c r="I137" i="39"/>
  <c r="N137" i="39" s="1"/>
  <c r="I126" i="39"/>
  <c r="N126" i="39" s="1"/>
  <c r="I117" i="39"/>
  <c r="N117" i="39" s="1"/>
  <c r="I107" i="39"/>
  <c r="N107" i="39" s="1"/>
  <c r="I26" i="39"/>
  <c r="N26" i="39" s="1"/>
  <c r="I63" i="39"/>
  <c r="N63" i="39" s="1"/>
  <c r="I43" i="39"/>
  <c r="N43" i="39" s="1"/>
  <c r="I61" i="39"/>
  <c r="N61" i="39" s="1"/>
  <c r="I65" i="39"/>
  <c r="N65" i="39" s="1"/>
  <c r="I57" i="39"/>
  <c r="N57" i="39" s="1"/>
  <c r="I190" i="39"/>
  <c r="N190" i="39" s="1"/>
  <c r="I131" i="39"/>
  <c r="N131" i="39" s="1"/>
  <c r="I198" i="39"/>
  <c r="N198" i="39" s="1"/>
  <c r="I164" i="39"/>
  <c r="N164" i="39" s="1"/>
  <c r="I191" i="39"/>
  <c r="N191" i="39" s="1"/>
  <c r="I20" i="39"/>
  <c r="N20" i="39" s="1"/>
  <c r="I28" i="39"/>
  <c r="N28" i="39" s="1"/>
  <c r="I53" i="39"/>
  <c r="N53" i="39" s="1"/>
  <c r="I172" i="39"/>
  <c r="N172" i="39" s="1"/>
  <c r="I100" i="39"/>
  <c r="N100" i="39" s="1"/>
  <c r="I197" i="39"/>
  <c r="N197" i="39" s="1"/>
  <c r="I78" i="39"/>
  <c r="N78" i="39" s="1"/>
  <c r="I92" i="39"/>
  <c r="N92" i="39" s="1"/>
  <c r="I161" i="39"/>
  <c r="N161" i="39" s="1"/>
  <c r="I90" i="39"/>
  <c r="N90" i="39" s="1"/>
  <c r="I21" i="39"/>
  <c r="N21" i="39" s="1"/>
  <c r="I183" i="39"/>
  <c r="N183" i="39" s="1"/>
  <c r="I60" i="39"/>
  <c r="N60" i="39" s="1"/>
  <c r="I95" i="39"/>
  <c r="N95" i="39" s="1"/>
  <c r="I55" i="39"/>
  <c r="N55" i="39" s="1"/>
  <c r="I35" i="39"/>
  <c r="N35" i="39" s="1"/>
  <c r="I16" i="39"/>
  <c r="N16" i="39" s="1"/>
  <c r="I77" i="39"/>
  <c r="N77" i="39" s="1"/>
  <c r="I7" i="39"/>
  <c r="N7" i="39" s="1"/>
  <c r="I51" i="39"/>
  <c r="N51" i="39" s="1"/>
  <c r="I86" i="39"/>
  <c r="N86" i="39" s="1"/>
  <c r="I56" i="39"/>
  <c r="N56" i="39" s="1"/>
  <c r="I154" i="39"/>
  <c r="N154" i="39" s="1"/>
  <c r="I177" i="39"/>
  <c r="N177" i="39" s="1"/>
  <c r="I68" i="39"/>
  <c r="N68" i="39" s="1"/>
  <c r="I158" i="39"/>
  <c r="N158" i="39" s="1"/>
  <c r="I110" i="39"/>
  <c r="N110" i="39" s="1"/>
  <c r="I70" i="39"/>
  <c r="N70" i="39" s="1"/>
  <c r="I37" i="39"/>
  <c r="N37" i="39" s="1"/>
  <c r="I75" i="39"/>
  <c r="N75" i="39" s="1"/>
  <c r="I36" i="39"/>
  <c r="N36" i="39" s="1"/>
  <c r="I32" i="39"/>
  <c r="N32" i="39" s="1"/>
  <c r="I175" i="39"/>
  <c r="N175" i="39" s="1"/>
  <c r="I49" i="39"/>
  <c r="N49" i="39" s="1"/>
  <c r="I168" i="39"/>
  <c r="N168" i="39" s="1"/>
  <c r="I18" i="39"/>
  <c r="N18" i="39" s="1"/>
  <c r="I27" i="39"/>
  <c r="N27" i="39" s="1"/>
  <c r="I13" i="39"/>
  <c r="N13" i="39" s="1"/>
  <c r="I196" i="39"/>
  <c r="N196" i="39" s="1"/>
  <c r="I199" i="39"/>
  <c r="N199" i="39" s="1"/>
  <c r="I76" i="39"/>
  <c r="N76" i="39" s="1"/>
  <c r="I38" i="39"/>
  <c r="N38" i="39" s="1"/>
  <c r="I193" i="39"/>
  <c r="N193" i="39" s="1"/>
  <c r="I152" i="39"/>
  <c r="N152" i="39" s="1"/>
  <c r="I204" i="39"/>
  <c r="N204" i="39" s="1"/>
  <c r="I188" i="39"/>
  <c r="N188" i="39" s="1"/>
  <c r="I127" i="39"/>
  <c r="N127" i="39" s="1"/>
  <c r="I119" i="39"/>
  <c r="N119" i="39" s="1"/>
  <c r="I108" i="39"/>
  <c r="N108" i="39" s="1"/>
  <c r="I102" i="39"/>
  <c r="N102" i="39" s="1"/>
  <c r="I165" i="39"/>
  <c r="N165" i="39" s="1"/>
  <c r="I99" i="39"/>
  <c r="N99" i="39" s="1"/>
  <c r="I160" i="39"/>
  <c r="N160" i="39" s="1"/>
  <c r="I113" i="39"/>
  <c r="N113" i="39" s="1"/>
  <c r="I182" i="39"/>
  <c r="N182" i="39" s="1"/>
  <c r="I187" i="39"/>
  <c r="N187" i="39" s="1"/>
  <c r="I125" i="39"/>
  <c r="N125" i="39" s="1"/>
  <c r="I81" i="39"/>
  <c r="N81" i="39" s="1"/>
  <c r="I200" i="39"/>
  <c r="N200" i="39" s="1"/>
  <c r="I87" i="39"/>
  <c r="N87" i="39" s="1"/>
  <c r="I73" i="39"/>
  <c r="N73" i="39" s="1"/>
  <c r="I144" i="39"/>
  <c r="N144" i="39" s="1"/>
  <c r="I104" i="39"/>
  <c r="N104" i="39" s="1"/>
  <c r="I186" i="39"/>
  <c r="N186" i="39" s="1"/>
  <c r="I118" i="39"/>
  <c r="N118" i="39" s="1"/>
  <c r="I106" i="39"/>
  <c r="N106" i="39" s="1"/>
  <c r="I80" i="39"/>
  <c r="N80" i="39" s="1"/>
  <c r="I123" i="39"/>
  <c r="N123" i="39" s="1"/>
  <c r="I98" i="39"/>
  <c r="N98" i="39" s="1"/>
  <c r="I88" i="39"/>
  <c r="N88" i="39" s="1"/>
  <c r="I46" i="39"/>
  <c r="N46" i="39" s="1"/>
  <c r="I166" i="39"/>
  <c r="N166" i="39" s="1"/>
  <c r="I124" i="39"/>
  <c r="N124" i="39" s="1"/>
  <c r="I121" i="39"/>
  <c r="N121" i="39" s="1"/>
  <c r="I194" i="39"/>
  <c r="N194" i="39" s="1"/>
  <c r="I12" i="39"/>
  <c r="N12" i="39" s="1"/>
  <c r="I96" i="39"/>
  <c r="N96" i="39" s="1"/>
  <c r="I150" i="39"/>
  <c r="N150" i="39" s="1"/>
  <c r="I153" i="39"/>
  <c r="N153" i="39" s="1"/>
  <c r="I14" i="39"/>
  <c r="N14" i="39" s="1"/>
  <c r="I178" i="39"/>
  <c r="N178" i="39" s="1"/>
  <c r="I151" i="39"/>
  <c r="N151" i="39" s="1"/>
  <c r="I157" i="39"/>
  <c r="N157" i="39" s="1"/>
  <c r="I203" i="39"/>
  <c r="N203" i="39" s="1"/>
  <c r="I136" i="39"/>
  <c r="N136" i="39" s="1"/>
  <c r="I174" i="39"/>
  <c r="N174" i="39" s="1"/>
  <c r="I146" i="39"/>
  <c r="N146" i="39" s="1"/>
  <c r="I138" i="39"/>
  <c r="N138" i="39" s="1"/>
  <c r="I116" i="39"/>
  <c r="N116" i="39" s="1"/>
  <c r="I111" i="39"/>
  <c r="N111" i="39" s="1"/>
  <c r="I173" i="39"/>
  <c r="N173" i="39" s="1"/>
  <c r="I195" i="39"/>
  <c r="N195" i="39" s="1"/>
  <c r="I162" i="39"/>
  <c r="N162" i="39" s="1"/>
  <c r="I171" i="39"/>
  <c r="N171" i="39" s="1"/>
  <c r="I82" i="39"/>
  <c r="N82" i="39" s="1"/>
  <c r="I167" i="39"/>
  <c r="N167" i="39" s="1"/>
  <c r="I170" i="39"/>
  <c r="N170" i="39" s="1"/>
  <c r="I179" i="39"/>
  <c r="N179" i="39" s="1"/>
  <c r="I133" i="39"/>
  <c r="N133" i="39" s="1"/>
  <c r="I159" i="39"/>
  <c r="N159" i="39" s="1"/>
  <c r="I54" i="39"/>
  <c r="N54" i="39" s="1"/>
  <c r="I97" i="39"/>
  <c r="N97" i="39" s="1"/>
  <c r="I59" i="39"/>
  <c r="N59" i="39" s="1"/>
  <c r="I169" i="39"/>
  <c r="N169" i="39" s="1"/>
  <c r="I109" i="39"/>
  <c r="N109" i="39" s="1"/>
  <c r="I103" i="39"/>
  <c r="N103" i="39" s="1"/>
  <c r="I192" i="39"/>
  <c r="N192" i="39" s="1"/>
  <c r="I89" i="39"/>
  <c r="N89" i="39" s="1"/>
  <c r="I83" i="39"/>
  <c r="N83" i="39" s="1"/>
  <c r="I22" i="39"/>
  <c r="N22" i="39" s="1"/>
  <c r="I202" i="39"/>
  <c r="N202" i="39" s="1"/>
  <c r="I143" i="39"/>
  <c r="N143" i="39" s="1"/>
  <c r="I134" i="39"/>
  <c r="N134" i="39" s="1"/>
  <c r="I206" i="39"/>
  <c r="N206" i="39" s="1"/>
  <c r="I145" i="39"/>
  <c r="N145" i="39" s="1"/>
  <c r="I129" i="39"/>
  <c r="N129" i="39" s="1"/>
  <c r="I155" i="39"/>
  <c r="N155" i="39" s="1"/>
  <c r="I149" i="39"/>
  <c r="N149" i="39" s="1"/>
  <c r="I205" i="39"/>
  <c r="N205" i="39" s="1"/>
  <c r="I148" i="39"/>
  <c r="N148" i="39" s="1"/>
  <c r="I101" i="39"/>
  <c r="N101" i="39" s="1"/>
  <c r="I120" i="39"/>
  <c r="N120" i="39" s="1"/>
  <c r="I105" i="39"/>
  <c r="N105" i="39" s="1"/>
  <c r="I139" i="39"/>
  <c r="N139" i="39" s="1"/>
  <c r="I189" i="39"/>
  <c r="N189" i="39" s="1"/>
  <c r="I185" i="39"/>
  <c r="N185" i="39" s="1"/>
  <c r="I180" i="39"/>
  <c r="N180" i="39" s="1"/>
  <c r="I85" i="39"/>
  <c r="N85" i="39" s="1"/>
  <c r="I184" i="39"/>
  <c r="N184" i="39" s="1"/>
  <c r="I93" i="39"/>
  <c r="N93" i="39" s="1"/>
  <c r="I156" i="39"/>
  <c r="N156" i="39" s="1"/>
  <c r="I67" i="39"/>
  <c r="N67" i="39" s="1"/>
  <c r="I84" i="39"/>
  <c r="N84" i="39" s="1"/>
  <c r="I142" i="39"/>
  <c r="N142" i="39" s="1"/>
  <c r="I112" i="39"/>
  <c r="N112" i="39" s="1"/>
  <c r="I130" i="39"/>
  <c r="N130" i="39" s="1"/>
  <c r="I91" i="39"/>
  <c r="N91" i="39" s="1"/>
  <c r="I201" i="39"/>
  <c r="N201" i="39" s="1"/>
  <c r="I147" i="39"/>
  <c r="N147" i="39" s="1"/>
  <c r="I141" i="39"/>
  <c r="N141" i="39" s="1"/>
  <c r="I181" i="39"/>
  <c r="N181" i="39" s="1"/>
  <c r="I122" i="39"/>
  <c r="N122" i="39" s="1"/>
  <c r="I115" i="39"/>
  <c r="N115" i="39" s="1"/>
  <c r="I30" i="39"/>
  <c r="N30" i="39" s="1"/>
  <c r="I33" i="39"/>
  <c r="N33" i="39" s="1"/>
  <c r="I74" i="39"/>
  <c r="N74" i="39" s="1"/>
  <c r="I176" i="39"/>
  <c r="N176" i="39" s="1"/>
  <c r="I45" i="39"/>
  <c r="N45" i="39" s="1"/>
  <c r="I39" i="39"/>
  <c r="N39" i="39" s="1"/>
  <c r="I135" i="39"/>
  <c r="N135" i="39" s="1"/>
  <c r="I25" i="39"/>
  <c r="N25" i="39" s="1"/>
  <c r="I19" i="39"/>
  <c r="N19" i="39" s="1"/>
  <c r="I209" i="39" l="1"/>
  <c r="H267" i="8" a="1"/>
  <c r="M14" i="6"/>
  <c r="K14" i="6"/>
  <c r="G14" i="6" s="1"/>
  <c r="L14" i="6"/>
  <c r="N209" i="39"/>
  <c r="H267" i="8" l="1"/>
  <c r="H310" i="8"/>
  <c r="H294" i="8"/>
  <c r="H314" i="8"/>
  <c r="H418" i="8"/>
  <c r="H346" i="8"/>
  <c r="H343" i="8"/>
  <c r="H432" i="8"/>
  <c r="H353" i="8"/>
  <c r="H327" i="8"/>
  <c r="H366" i="8"/>
  <c r="H273" i="8"/>
  <c r="H391" i="8"/>
  <c r="H324" i="8"/>
  <c r="H330" i="8"/>
  <c r="H431" i="8"/>
  <c r="H384" i="8"/>
  <c r="H356" i="8"/>
  <c r="H430" i="8"/>
  <c r="H442" i="8"/>
  <c r="H462" i="8"/>
  <c r="H288" i="8"/>
  <c r="H453" i="8"/>
  <c r="H357" i="8"/>
  <c r="H349" i="8"/>
  <c r="H387" i="8"/>
  <c r="H283" i="8"/>
  <c r="H463" i="8"/>
  <c r="H276" i="8"/>
  <c r="H438" i="8"/>
  <c r="H455" i="8"/>
  <c r="H300" i="8"/>
  <c r="H449" i="8"/>
  <c r="H407" i="8"/>
  <c r="H284" i="8"/>
  <c r="H433" i="8"/>
  <c r="H386" i="8"/>
  <c r="H359" i="8"/>
  <c r="H412" i="8"/>
  <c r="H305" i="8"/>
  <c r="H279" i="8"/>
  <c r="H465" i="8"/>
  <c r="H417" i="8"/>
  <c r="H421" i="8"/>
  <c r="H325" i="8"/>
  <c r="H441" i="8"/>
  <c r="H345" i="8"/>
  <c r="H271" i="8"/>
  <c r="H301" i="8"/>
  <c r="H466" i="8"/>
  <c r="H450" i="8"/>
  <c r="H367" i="8"/>
  <c r="H424" i="8"/>
  <c r="H374" i="8"/>
  <c r="H274" i="8"/>
  <c r="H298" i="8"/>
  <c r="H326" i="8"/>
  <c r="H331" i="8"/>
  <c r="H316" i="8"/>
  <c r="H437" i="8"/>
  <c r="H341" i="8"/>
  <c r="H347" i="8"/>
  <c r="H420" i="8"/>
  <c r="H340" i="8"/>
  <c r="H456" i="8"/>
  <c r="H281" i="8"/>
  <c r="H286" i="8"/>
  <c r="H396" i="8"/>
  <c r="H280" i="8"/>
  <c r="H381" i="8"/>
  <c r="H410" i="8"/>
  <c r="H304" i="8"/>
  <c r="H447" i="8"/>
  <c r="H405" i="8"/>
  <c r="H372" i="8"/>
  <c r="H394" i="8"/>
  <c r="H319" i="8"/>
  <c r="H448" i="8"/>
  <c r="H277" i="8"/>
  <c r="H379" i="8"/>
  <c r="H312" i="8"/>
  <c r="H439" i="8"/>
  <c r="H443" i="8"/>
  <c r="H320" i="8"/>
  <c r="H368" i="8"/>
  <c r="H390" i="8"/>
  <c r="H401" i="8"/>
  <c r="H398" i="8"/>
  <c r="H373" i="8"/>
  <c r="H380" i="8"/>
  <c r="H404" i="8"/>
  <c r="H293" i="8"/>
  <c r="H299" i="8"/>
  <c r="H389" i="8"/>
  <c r="H411" i="8"/>
  <c r="H457" i="8"/>
  <c r="H361" i="8"/>
  <c r="H287" i="8"/>
  <c r="H382" i="8"/>
  <c r="H307" i="8"/>
  <c r="H321" i="8"/>
  <c r="H295" i="8"/>
  <c r="H308" i="8"/>
  <c r="H451" i="8"/>
  <c r="H334" i="8"/>
  <c r="H323" i="8"/>
  <c r="H444" i="8"/>
  <c r="H278" i="8"/>
  <c r="H306" i="8"/>
  <c r="H342" i="8"/>
  <c r="H464" i="8"/>
  <c r="H429" i="8"/>
  <c r="H377" i="8"/>
  <c r="H303" i="8"/>
  <c r="H416" i="8"/>
  <c r="H297" i="8"/>
  <c r="H302" i="8"/>
  <c r="H317" i="8"/>
  <c r="H322" i="8"/>
  <c r="H362" i="8"/>
  <c r="H332" i="8"/>
  <c r="H364" i="8"/>
  <c r="H454" i="8"/>
  <c r="H413" i="8"/>
  <c r="H358" i="8"/>
  <c r="H296" i="8"/>
  <c r="H402" i="8"/>
  <c r="H446" i="8"/>
  <c r="H355" i="8"/>
  <c r="H369" i="8"/>
  <c r="H313" i="8"/>
  <c r="H318" i="8"/>
  <c r="H269" i="8"/>
  <c r="H406" i="8"/>
  <c r="H354" i="8"/>
  <c r="H292" i="8"/>
  <c r="H422" i="8"/>
  <c r="H434" i="8"/>
  <c r="H351" i="8"/>
  <c r="H393" i="8"/>
  <c r="H376" i="8"/>
  <c r="H335" i="8"/>
  <c r="H425" i="8"/>
  <c r="H329" i="8"/>
  <c r="H415" i="8"/>
  <c r="H375" i="8"/>
  <c r="H270" i="8"/>
  <c r="H400" i="8"/>
  <c r="H282" i="8"/>
  <c r="H290" i="8"/>
  <c r="H378" i="8"/>
  <c r="H459" i="8"/>
  <c r="H452" i="8"/>
  <c r="H339" i="8"/>
  <c r="H460" i="8"/>
  <c r="H333" i="8"/>
  <c r="H338" i="8"/>
  <c r="H383" i="8"/>
  <c r="H311" i="8"/>
  <c r="H350" i="8"/>
  <c r="H352" i="8"/>
  <c r="H414" i="8"/>
  <c r="H426" i="8"/>
  <c r="H272" i="8"/>
  <c r="H289" i="8"/>
  <c r="H348" i="8"/>
  <c r="H385" i="8"/>
  <c r="H423" i="8"/>
  <c r="H268" i="8"/>
  <c r="H397" i="8"/>
  <c r="H363" i="8"/>
  <c r="H275" i="8"/>
  <c r="H408" i="8"/>
  <c r="H399" i="8"/>
  <c r="H427" i="8"/>
  <c r="H328" i="8"/>
  <c r="H458" i="8"/>
  <c r="H435" i="8"/>
  <c r="H388" i="8"/>
  <c r="H461" i="8"/>
  <c r="H419" i="8"/>
  <c r="H371" i="8"/>
  <c r="H445" i="8"/>
  <c r="H365" i="8"/>
  <c r="H291" i="8"/>
  <c r="H436" i="8"/>
  <c r="H285" i="8"/>
  <c r="H409" i="8"/>
  <c r="H360" i="8"/>
  <c r="H392" i="8"/>
  <c r="H370" i="8"/>
  <c r="H337" i="8"/>
  <c r="H440" i="8"/>
  <c r="H309" i="8"/>
  <c r="H428" i="8"/>
  <c r="H344" i="8"/>
  <c r="H336" i="8"/>
  <c r="H395" i="8"/>
  <c r="H403" i="8"/>
  <c r="H315" i="8"/>
  <c r="H467" i="8" l="1"/>
  <c r="J267" i="8" a="1"/>
  <c r="N267" i="8" a="1"/>
  <c r="N355" i="8" l="1"/>
  <c r="N290" i="8"/>
  <c r="N433" i="8"/>
  <c r="N337" i="8"/>
  <c r="N285" i="8"/>
  <c r="N336" i="8"/>
  <c r="N342" i="8"/>
  <c r="N406" i="8"/>
  <c r="N357" i="8"/>
  <c r="N281" i="8"/>
  <c r="N332" i="8"/>
  <c r="N326" i="8"/>
  <c r="N322" i="8"/>
  <c r="N343" i="8"/>
  <c r="N348" i="8"/>
  <c r="N449" i="8"/>
  <c r="N378" i="8"/>
  <c r="N286" i="8"/>
  <c r="N418" i="8"/>
  <c r="N461" i="8"/>
  <c r="N429" i="8"/>
  <c r="N462" i="8"/>
  <c r="N385" i="8"/>
  <c r="N347" i="8"/>
  <c r="N419" i="8"/>
  <c r="N346" i="8"/>
  <c r="N450" i="8"/>
  <c r="N323" i="8"/>
  <c r="N334" i="8"/>
  <c r="N366" i="8"/>
  <c r="N447" i="8"/>
  <c r="N277" i="8"/>
  <c r="N288" i="8"/>
  <c r="N430" i="8"/>
  <c r="N424" i="8"/>
  <c r="N293" i="8"/>
  <c r="N344" i="8"/>
  <c r="N463" i="8"/>
  <c r="N315" i="8"/>
  <c r="N451" i="8"/>
  <c r="N440" i="8"/>
  <c r="N306" i="8"/>
  <c r="N376" i="8"/>
  <c r="N304" i="8"/>
  <c r="N319" i="8"/>
  <c r="N287" i="8"/>
  <c r="N456" i="8"/>
  <c r="N280" i="8"/>
  <c r="N282" i="8"/>
  <c r="N361" i="8"/>
  <c r="N420" i="8"/>
  <c r="N302" i="8"/>
  <c r="N394" i="8"/>
  <c r="N296" i="8"/>
  <c r="N318" i="8"/>
  <c r="N339" i="8"/>
  <c r="N360" i="8"/>
  <c r="N466" i="8"/>
  <c r="N273" i="8"/>
  <c r="N442" i="8"/>
  <c r="N410" i="8"/>
  <c r="N373" i="8"/>
  <c r="N386" i="8"/>
  <c r="N327" i="8"/>
  <c r="N423" i="8"/>
  <c r="N307" i="8"/>
  <c r="N443" i="8"/>
  <c r="N389" i="8"/>
  <c r="N437" i="8"/>
  <c r="N435" i="8"/>
  <c r="N363" i="8"/>
  <c r="N457" i="8"/>
  <c r="N454" i="8"/>
  <c r="N313" i="8"/>
  <c r="N371" i="8"/>
  <c r="N292" i="8"/>
  <c r="N278" i="8"/>
  <c r="N310" i="8"/>
  <c r="N438" i="8"/>
  <c r="N444" i="8"/>
  <c r="N427" i="8"/>
  <c r="N321" i="8"/>
  <c r="N377" i="8"/>
  <c r="N314" i="8"/>
  <c r="N291" i="8"/>
  <c r="N324" i="8"/>
  <c r="N400" i="8"/>
  <c r="N383" i="8"/>
  <c r="N309" i="8"/>
  <c r="N271" i="8"/>
  <c r="N452" i="8"/>
  <c r="N431" i="8"/>
  <c r="N381" i="8"/>
  <c r="N333" i="8"/>
  <c r="N298" i="8"/>
  <c r="N305" i="8"/>
  <c r="N312" i="8"/>
  <c r="N269" i="8"/>
  <c r="N398" i="8"/>
  <c r="N270" i="8"/>
  <c r="N465" i="8"/>
  <c r="N352" i="8"/>
  <c r="N407" i="8"/>
  <c r="N374" i="8"/>
  <c r="N351" i="8"/>
  <c r="N396" i="8"/>
  <c r="N434" i="8"/>
  <c r="N300" i="8"/>
  <c r="N412" i="8"/>
  <c r="N353" i="8"/>
  <c r="N414" i="8"/>
  <c r="N399" i="8"/>
  <c r="N415" i="8"/>
  <c r="N401" i="8"/>
  <c r="N404" i="8"/>
  <c r="N275" i="8"/>
  <c r="N358" i="8"/>
  <c r="N289" i="8"/>
  <c r="N345" i="8"/>
  <c r="N362" i="8"/>
  <c r="N349" i="8"/>
  <c r="N397" i="8"/>
  <c r="N268" i="8"/>
  <c r="N369" i="8"/>
  <c r="N328" i="8"/>
  <c r="N330" i="8"/>
  <c r="N439" i="8"/>
  <c r="N325" i="8"/>
  <c r="N331" i="8"/>
  <c r="N364" i="8"/>
  <c r="N448" i="8"/>
  <c r="N267" i="8"/>
  <c r="N338" i="8"/>
  <c r="N432" i="8"/>
  <c r="N411" i="8"/>
  <c r="N283" i="8"/>
  <c r="N387" i="8"/>
  <c r="N413" i="8"/>
  <c r="N436" i="8"/>
  <c r="N408" i="8"/>
  <c r="N393" i="8"/>
  <c r="N303" i="8"/>
  <c r="N375" i="8"/>
  <c r="N403" i="8"/>
  <c r="N379" i="8"/>
  <c r="N460" i="8"/>
  <c r="N320" i="8"/>
  <c r="N458" i="8"/>
  <c r="N392" i="8"/>
  <c r="N445" i="8"/>
  <c r="N279" i="8"/>
  <c r="N297" i="8"/>
  <c r="N370" i="8"/>
  <c r="N317" i="8"/>
  <c r="N356" i="8"/>
  <c r="N417" i="8"/>
  <c r="N359" i="8"/>
  <c r="N299" i="8"/>
  <c r="N341" i="8"/>
  <c r="N272" i="8"/>
  <c r="N428" i="8"/>
  <c r="N372" i="8"/>
  <c r="N384" i="8"/>
  <c r="N455" i="8"/>
  <c r="N422" i="8"/>
  <c r="N367" i="8"/>
  <c r="N382" i="8"/>
  <c r="N316" i="8"/>
  <c r="N365" i="8"/>
  <c r="N284" i="8"/>
  <c r="N276" i="8"/>
  <c r="N368" i="8"/>
  <c r="N453" i="8"/>
  <c r="N390" i="8"/>
  <c r="N340" i="8"/>
  <c r="N311" i="8"/>
  <c r="N441" i="8"/>
  <c r="N446" i="8"/>
  <c r="N416" i="8"/>
  <c r="N380" i="8"/>
  <c r="N388" i="8"/>
  <c r="N294" i="8"/>
  <c r="N425" i="8"/>
  <c r="N308" i="8"/>
  <c r="N402" i="8"/>
  <c r="N354" i="8"/>
  <c r="N350" i="8"/>
  <c r="N391" i="8"/>
  <c r="N459" i="8"/>
  <c r="N409" i="8"/>
  <c r="N274" i="8"/>
  <c r="N329" i="8"/>
  <c r="N426" i="8"/>
  <c r="N405" i="8"/>
  <c r="N395" i="8"/>
  <c r="N301" i="8"/>
  <c r="N295" i="8"/>
  <c r="N464" i="8"/>
  <c r="N335" i="8"/>
  <c r="N421" i="8"/>
  <c r="J297" i="8"/>
  <c r="J314" i="8"/>
  <c r="J356" i="8"/>
  <c r="J283" i="8"/>
  <c r="J277" i="8"/>
  <c r="J452" i="8"/>
  <c r="J348" i="8"/>
  <c r="J445" i="8"/>
  <c r="J269" i="8"/>
  <c r="J303" i="8"/>
  <c r="J351" i="8"/>
  <c r="J382" i="8"/>
  <c r="J270" i="8"/>
  <c r="J332" i="8"/>
  <c r="J373" i="8"/>
  <c r="J350" i="8"/>
  <c r="J316" i="8"/>
  <c r="J352" i="8"/>
  <c r="J375" i="8"/>
  <c r="J431" i="8"/>
  <c r="J290" i="8"/>
  <c r="J272" i="8"/>
  <c r="J330" i="8"/>
  <c r="J325" i="8"/>
  <c r="J449" i="8"/>
  <c r="J383" i="8"/>
  <c r="J394" i="8"/>
  <c r="J267" i="8"/>
  <c r="J294" i="8"/>
  <c r="J357" i="8"/>
  <c r="J358" i="8"/>
  <c r="J391" i="8"/>
  <c r="J393" i="8"/>
  <c r="J299" i="8"/>
  <c r="J301" i="8"/>
  <c r="J354" i="8"/>
  <c r="J419" i="8"/>
  <c r="J296" i="8"/>
  <c r="J343" i="8"/>
  <c r="J278" i="8"/>
  <c r="J309" i="8"/>
  <c r="J336" i="8"/>
  <c r="J458" i="8"/>
  <c r="J457" i="8"/>
  <c r="J329" i="8"/>
  <c r="J398" i="8"/>
  <c r="J389" i="8"/>
  <c r="J427" i="8"/>
  <c r="J399" i="8"/>
  <c r="J293" i="8"/>
  <c r="J313" i="8"/>
  <c r="J318" i="8"/>
  <c r="J405" i="8"/>
  <c r="J412" i="8"/>
  <c r="J370" i="8"/>
  <c r="J423" i="8"/>
  <c r="J462" i="8"/>
  <c r="J397" i="8"/>
  <c r="J298" i="8"/>
  <c r="J388" i="8"/>
  <c r="J271" i="8"/>
  <c r="J369" i="8"/>
  <c r="J322" i="8"/>
  <c r="J295" i="8"/>
  <c r="J317" i="8"/>
  <c r="J384" i="8"/>
  <c r="J289" i="8"/>
  <c r="J320" i="8"/>
  <c r="J268" i="8"/>
  <c r="J400" i="8"/>
  <c r="J408" i="8"/>
  <c r="J465" i="8"/>
  <c r="J432" i="8"/>
  <c r="J433" i="8"/>
  <c r="J321" i="8"/>
  <c r="J454" i="8"/>
  <c r="J434" i="8"/>
  <c r="J340" i="8"/>
  <c r="J361" i="8"/>
  <c r="J435" i="8"/>
  <c r="J327" i="8"/>
  <c r="J368" i="8"/>
  <c r="J386" i="8"/>
  <c r="J310" i="8"/>
  <c r="J459" i="8"/>
  <c r="J291" i="8"/>
  <c r="J345" i="8"/>
  <c r="J401" i="8"/>
  <c r="J461" i="8"/>
  <c r="J338" i="8"/>
  <c r="J413" i="8"/>
  <c r="J363" i="8"/>
  <c r="J323" i="8"/>
  <c r="J416" i="8"/>
  <c r="J426" i="8"/>
  <c r="J367" i="8"/>
  <c r="J464" i="8"/>
  <c r="J411" i="8"/>
  <c r="J311" i="8"/>
  <c r="J285" i="8"/>
  <c r="J324" i="8"/>
  <c r="J280" i="8"/>
  <c r="J443" i="8"/>
  <c r="J306" i="8"/>
  <c r="J333" i="8"/>
  <c r="J362" i="8"/>
  <c r="J450" i="8"/>
  <c r="J453" i="8"/>
  <c r="J446" i="8"/>
  <c r="J424" i="8"/>
  <c r="J421" i="8"/>
  <c r="J302" i="8"/>
  <c r="J425" i="8"/>
  <c r="J286" i="8"/>
  <c r="J438" i="8"/>
  <c r="J365" i="8"/>
  <c r="J456" i="8"/>
  <c r="J439" i="8"/>
  <c r="J415" i="8"/>
  <c r="J420" i="8"/>
  <c r="J273" i="8"/>
  <c r="J455" i="8"/>
  <c r="J466" i="8"/>
  <c r="J292" i="8"/>
  <c r="J444" i="8"/>
  <c r="J344" i="8"/>
  <c r="J331" i="8"/>
  <c r="J355" i="8"/>
  <c r="J392" i="8"/>
  <c r="J377" i="8"/>
  <c r="J334" i="8"/>
  <c r="J359" i="8"/>
  <c r="J371" i="8"/>
  <c r="J396" i="8"/>
  <c r="J406" i="8"/>
  <c r="J379" i="8"/>
  <c r="J275" i="8"/>
  <c r="J353" i="8"/>
  <c r="J281" i="8"/>
  <c r="J436" i="8"/>
  <c r="J417" i="8"/>
  <c r="J300" i="8"/>
  <c r="J347" i="8"/>
  <c r="J337" i="8"/>
  <c r="J395" i="8"/>
  <c r="J422" i="8"/>
  <c r="J328" i="8"/>
  <c r="J380" i="8"/>
  <c r="J460" i="8"/>
  <c r="J448" i="8"/>
  <c r="J372" i="8"/>
  <c r="J390" i="8"/>
  <c r="J404" i="8"/>
  <c r="J335" i="8"/>
  <c r="J288" i="8"/>
  <c r="J282" i="8"/>
  <c r="J308" i="8"/>
  <c r="J442" i="8"/>
  <c r="J346" i="8"/>
  <c r="J463" i="8"/>
  <c r="J315" i="8"/>
  <c r="J360" i="8"/>
  <c r="J319" i="8"/>
  <c r="J312" i="8"/>
  <c r="J387" i="8"/>
  <c r="J437" i="8"/>
  <c r="J276" i="8"/>
  <c r="J307" i="8"/>
  <c r="J447" i="8"/>
  <c r="J407" i="8"/>
  <c r="J304" i="8"/>
  <c r="J451" i="8"/>
  <c r="J410" i="8"/>
  <c r="J374" i="8"/>
  <c r="J349" i="8"/>
  <c r="J366" i="8"/>
  <c r="J403" i="8"/>
  <c r="J287" i="8"/>
  <c r="J402" i="8"/>
  <c r="J414" i="8"/>
  <c r="J279" i="8"/>
  <c r="J385" i="8"/>
  <c r="J440" i="8"/>
  <c r="J429" i="8"/>
  <c r="J418" i="8"/>
  <c r="J378" i="8"/>
  <c r="J428" i="8"/>
  <c r="J339" i="8"/>
  <c r="J381" i="8"/>
  <c r="J409" i="8"/>
  <c r="J274" i="8"/>
  <c r="J441" i="8"/>
  <c r="J326" i="8"/>
  <c r="J376" i="8"/>
  <c r="J430" i="8"/>
  <c r="J342" i="8"/>
  <c r="J284" i="8"/>
  <c r="J341" i="8"/>
  <c r="J305" i="8"/>
  <c r="J364" i="8"/>
  <c r="N467" i="8" l="1"/>
  <c r="T267" i="8" a="1"/>
  <c r="T282" i="8" s="1"/>
  <c r="J467" i="8"/>
  <c r="M267" i="8" s="1" a="1"/>
  <c r="M466" i="8" l="1"/>
  <c r="M402" i="8"/>
  <c r="M433" i="8"/>
  <c r="M369" i="8"/>
  <c r="M305" i="8"/>
  <c r="M440" i="8"/>
  <c r="M376" i="8"/>
  <c r="M312" i="8"/>
  <c r="M447" i="8"/>
  <c r="M383" i="8"/>
  <c r="M319" i="8"/>
  <c r="M284" i="8"/>
  <c r="M323" i="8"/>
  <c r="M406" i="8"/>
  <c r="M342" i="8"/>
  <c r="M278" i="8"/>
  <c r="M413" i="8"/>
  <c r="M349" i="8"/>
  <c r="M285" i="8"/>
  <c r="M420" i="8"/>
  <c r="M356" i="8"/>
  <c r="M268" i="8"/>
  <c r="M363" i="8"/>
  <c r="M274" i="8"/>
  <c r="M330" i="8"/>
  <c r="M386" i="8"/>
  <c r="M353" i="8"/>
  <c r="M424" i="8"/>
  <c r="M296" i="8"/>
  <c r="M367" i="8"/>
  <c r="M451" i="8"/>
  <c r="M390" i="8"/>
  <c r="M461" i="8"/>
  <c r="M333" i="8"/>
  <c r="M404" i="8"/>
  <c r="M443" i="8"/>
  <c r="M370" i="8"/>
  <c r="M442" i="8"/>
  <c r="M409" i="8"/>
  <c r="M281" i="8"/>
  <c r="M352" i="8"/>
  <c r="M423" i="8"/>
  <c r="M295" i="8"/>
  <c r="M446" i="8"/>
  <c r="M318" i="8"/>
  <c r="M389" i="8"/>
  <c r="M460" i="8"/>
  <c r="M332" i="8"/>
  <c r="M331" i="8"/>
  <c r="M291" i="8"/>
  <c r="M300" i="8"/>
  <c r="M458" i="8"/>
  <c r="M394" i="8"/>
  <c r="M425" i="8"/>
  <c r="M361" i="8"/>
  <c r="M297" i="8"/>
  <c r="M432" i="8"/>
  <c r="M368" i="8"/>
  <c r="M304" i="8"/>
  <c r="M439" i="8"/>
  <c r="M375" i="8"/>
  <c r="M311" i="8"/>
  <c r="M276" i="8"/>
  <c r="M462" i="8"/>
  <c r="M398" i="8"/>
  <c r="M334" i="8"/>
  <c r="M270" i="8"/>
  <c r="M405" i="8"/>
  <c r="M341" i="8"/>
  <c r="M277" i="8"/>
  <c r="M412" i="8"/>
  <c r="M348" i="8"/>
  <c r="M459" i="8"/>
  <c r="M355" i="8"/>
  <c r="M306" i="8"/>
  <c r="M290" i="8"/>
  <c r="M450" i="8"/>
  <c r="M417" i="8"/>
  <c r="M289" i="8"/>
  <c r="M360" i="8"/>
  <c r="M431" i="8"/>
  <c r="M303" i="8"/>
  <c r="M454" i="8"/>
  <c r="M326" i="8"/>
  <c r="M397" i="8"/>
  <c r="M269" i="8"/>
  <c r="M340" i="8"/>
  <c r="M339" i="8"/>
  <c r="M338" i="8"/>
  <c r="M378" i="8"/>
  <c r="M345" i="8"/>
  <c r="M416" i="8"/>
  <c r="M288" i="8"/>
  <c r="M359" i="8"/>
  <c r="M419" i="8"/>
  <c r="M382" i="8"/>
  <c r="M453" i="8"/>
  <c r="M325" i="8"/>
  <c r="M396" i="8"/>
  <c r="M435" i="8"/>
  <c r="M275" i="8"/>
  <c r="M391" i="8"/>
  <c r="M434" i="8"/>
  <c r="M465" i="8"/>
  <c r="M401" i="8"/>
  <c r="M337" i="8"/>
  <c r="M273" i="8"/>
  <c r="M408" i="8"/>
  <c r="M344" i="8"/>
  <c r="M280" i="8"/>
  <c r="M415" i="8"/>
  <c r="M351" i="8"/>
  <c r="M287" i="8"/>
  <c r="M403" i="8"/>
  <c r="M438" i="8"/>
  <c r="M374" i="8"/>
  <c r="M310" i="8"/>
  <c r="M445" i="8"/>
  <c r="M381" i="8"/>
  <c r="M317" i="8"/>
  <c r="M452" i="8"/>
  <c r="M388" i="8"/>
  <c r="M324" i="8"/>
  <c r="M427" i="8"/>
  <c r="M315" i="8"/>
  <c r="M314" i="8"/>
  <c r="M346" i="8"/>
  <c r="M426" i="8"/>
  <c r="M457" i="8"/>
  <c r="M393" i="8"/>
  <c r="M329" i="8"/>
  <c r="M464" i="8"/>
  <c r="M400" i="8"/>
  <c r="M336" i="8"/>
  <c r="M272" i="8"/>
  <c r="M407" i="8"/>
  <c r="M343" i="8"/>
  <c r="M279" i="8"/>
  <c r="M387" i="8"/>
  <c r="M430" i="8"/>
  <c r="M366" i="8"/>
  <c r="M302" i="8"/>
  <c r="M437" i="8"/>
  <c r="M373" i="8"/>
  <c r="M309" i="8"/>
  <c r="M444" i="8"/>
  <c r="M380" i="8"/>
  <c r="M316" i="8"/>
  <c r="M411" i="8"/>
  <c r="M307" i="8"/>
  <c r="M282" i="8"/>
  <c r="M267" i="8"/>
  <c r="M418" i="8"/>
  <c r="M449" i="8"/>
  <c r="M385" i="8"/>
  <c r="M321" i="8"/>
  <c r="M456" i="8"/>
  <c r="M392" i="8"/>
  <c r="M328" i="8"/>
  <c r="M463" i="8"/>
  <c r="M399" i="8"/>
  <c r="M335" i="8"/>
  <c r="M271" i="8"/>
  <c r="M371" i="8"/>
  <c r="M422" i="8"/>
  <c r="M358" i="8"/>
  <c r="M294" i="8"/>
  <c r="M429" i="8"/>
  <c r="M365" i="8"/>
  <c r="M301" i="8"/>
  <c r="M436" i="8"/>
  <c r="M372" i="8"/>
  <c r="M308" i="8"/>
  <c r="M395" i="8"/>
  <c r="M299" i="8"/>
  <c r="M322" i="8"/>
  <c r="M298" i="8"/>
  <c r="M410" i="8"/>
  <c r="M441" i="8"/>
  <c r="M377" i="8"/>
  <c r="M313" i="8"/>
  <c r="M448" i="8"/>
  <c r="M384" i="8"/>
  <c r="M320" i="8"/>
  <c r="M455" i="8"/>
  <c r="M327" i="8"/>
  <c r="M347" i="8"/>
  <c r="M357" i="8"/>
  <c r="M354" i="8"/>
  <c r="M293" i="8"/>
  <c r="M428" i="8"/>
  <c r="M364" i="8"/>
  <c r="M414" i="8"/>
  <c r="M350" i="8"/>
  <c r="M379" i="8"/>
  <c r="M286" i="8"/>
  <c r="M362" i="8"/>
  <c r="M283" i="8"/>
  <c r="M292" i="8"/>
  <c r="M421" i="8"/>
  <c r="L267" i="8" a="1"/>
  <c r="K267" i="8" a="1"/>
  <c r="T337" i="8"/>
  <c r="T278" i="8"/>
  <c r="T369" i="8"/>
  <c r="T340" i="8"/>
  <c r="T281" i="8"/>
  <c r="T459" i="8"/>
  <c r="T415" i="8"/>
  <c r="T308" i="8"/>
  <c r="T410" i="8"/>
  <c r="T315" i="8"/>
  <c r="T458" i="8"/>
  <c r="T283" i="8"/>
  <c r="T456" i="8"/>
  <c r="T319" i="8"/>
  <c r="T330" i="8"/>
  <c r="T431" i="8"/>
  <c r="T355" i="8"/>
  <c r="T412" i="8"/>
  <c r="T289" i="8"/>
  <c r="T442" i="8"/>
  <c r="T405" i="8"/>
  <c r="T462" i="8"/>
  <c r="T460" i="8"/>
  <c r="T434" i="8"/>
  <c r="T274" i="8"/>
  <c r="T316" i="8"/>
  <c r="T347" i="8"/>
  <c r="T371" i="8"/>
  <c r="T302" i="8"/>
  <c r="T437" i="8"/>
  <c r="T451" i="8"/>
  <c r="T403" i="8"/>
  <c r="T401" i="8"/>
  <c r="T273" i="8"/>
  <c r="T379" i="8"/>
  <c r="T291" i="8"/>
  <c r="T368" i="8"/>
  <c r="T426" i="8"/>
  <c r="T367" i="8"/>
  <c r="T423" i="8"/>
  <c r="T429" i="8"/>
  <c r="T372" i="8"/>
  <c r="T277" i="8"/>
  <c r="T396" i="8"/>
  <c r="T399" i="8"/>
  <c r="T421" i="8"/>
  <c r="T272" i="8"/>
  <c r="T443" i="8"/>
  <c r="T312" i="8"/>
  <c r="T279" i="8"/>
  <c r="T465" i="8"/>
  <c r="T364" i="8"/>
  <c r="T390" i="8"/>
  <c r="T288" i="8"/>
  <c r="T374" i="8"/>
  <c r="T446" i="8"/>
  <c r="T416" i="8"/>
  <c r="T417" i="8"/>
  <c r="T339" i="8"/>
  <c r="T284" i="8"/>
  <c r="T398" i="8"/>
  <c r="T432" i="8"/>
  <c r="T307" i="8"/>
  <c r="T406" i="8"/>
  <c r="T318" i="8"/>
  <c r="T348" i="8"/>
  <c r="T268" i="8"/>
  <c r="T436" i="8"/>
  <c r="T338" i="8"/>
  <c r="T334" i="8"/>
  <c r="T285" i="8"/>
  <c r="T383" i="8"/>
  <c r="T441" i="8"/>
  <c r="T395" i="8"/>
  <c r="T270" i="8"/>
  <c r="T392" i="8"/>
  <c r="T377" i="8"/>
  <c r="T349" i="8"/>
  <c r="T352" i="8"/>
  <c r="T407" i="8"/>
  <c r="T354" i="8"/>
  <c r="T419" i="8"/>
  <c r="T450" i="8"/>
  <c r="T440" i="8"/>
  <c r="T454" i="8"/>
  <c r="T439" i="8"/>
  <c r="T267" i="8"/>
  <c r="T293" i="8"/>
  <c r="T314" i="8"/>
  <c r="T438" i="8"/>
  <c r="T295" i="8"/>
  <c r="T358" i="8"/>
  <c r="T381" i="8"/>
  <c r="T414" i="8"/>
  <c r="T341" i="8"/>
  <c r="T455" i="8"/>
  <c r="T386" i="8"/>
  <c r="T290" i="8"/>
  <c r="T385" i="8"/>
  <c r="T452" i="8"/>
  <c r="T328" i="8"/>
  <c r="T343" i="8"/>
  <c r="T380" i="8"/>
  <c r="T402" i="8"/>
  <c r="T301" i="8"/>
  <c r="T445" i="8"/>
  <c r="T362" i="8"/>
  <c r="T294" i="8"/>
  <c r="T313" i="8"/>
  <c r="T448" i="8"/>
  <c r="T463" i="8"/>
  <c r="T413" i="8"/>
  <c r="T335" i="8"/>
  <c r="T361" i="8"/>
  <c r="T310" i="8"/>
  <c r="T444" i="8"/>
  <c r="T353" i="8"/>
  <c r="T344" i="8"/>
  <c r="T346" i="8"/>
  <c r="T311" i="8"/>
  <c r="T271" i="8"/>
  <c r="T276" i="8"/>
  <c r="T357" i="8"/>
  <c r="T378" i="8"/>
  <c r="T292" i="8"/>
  <c r="T342" i="8"/>
  <c r="T387" i="8"/>
  <c r="T326" i="8"/>
  <c r="T317" i="8"/>
  <c r="T449" i="8"/>
  <c r="T321" i="8"/>
  <c r="T360" i="8"/>
  <c r="T306" i="8"/>
  <c r="T388" i="8"/>
  <c r="T422" i="8"/>
  <c r="T400" i="8"/>
  <c r="T375" i="8"/>
  <c r="T370" i="8"/>
  <c r="T305" i="8"/>
  <c r="T466" i="8"/>
  <c r="T333" i="8"/>
  <c r="T332" i="8"/>
  <c r="T430" i="8"/>
  <c r="T420" i="8"/>
  <c r="T351" i="8"/>
  <c r="T356" i="8"/>
  <c r="T322" i="8"/>
  <c r="T457" i="8"/>
  <c r="T389" i="8"/>
  <c r="T336" i="8"/>
  <c r="T329" i="8"/>
  <c r="T393" i="8"/>
  <c r="T433" i="8"/>
  <c r="T397" i="8"/>
  <c r="T345" i="8"/>
  <c r="T327" i="8"/>
  <c r="T269" i="8"/>
  <c r="T373" i="8"/>
  <c r="T453" i="8"/>
  <c r="T461" i="8"/>
  <c r="T363" i="8"/>
  <c r="T435" i="8"/>
  <c r="T303" i="8"/>
  <c r="T376" i="8"/>
  <c r="T366" i="8"/>
  <c r="T409" i="8"/>
  <c r="T391" i="8"/>
  <c r="T323" i="8"/>
  <c r="T324" i="8"/>
  <c r="T296" i="8"/>
  <c r="T424" i="8"/>
  <c r="T447" i="8"/>
  <c r="T298" i="8"/>
  <c r="T309" i="8"/>
  <c r="T325" i="8"/>
  <c r="T425" i="8"/>
  <c r="T359" i="8"/>
  <c r="T411" i="8"/>
  <c r="T320" i="8"/>
  <c r="T464" i="8"/>
  <c r="T287" i="8"/>
  <c r="T350" i="8"/>
  <c r="T428" i="8"/>
  <c r="T275" i="8"/>
  <c r="T331" i="8"/>
  <c r="T300" i="8"/>
  <c r="T365" i="8"/>
  <c r="T297" i="8"/>
  <c r="T299" i="8"/>
  <c r="T382" i="8"/>
  <c r="T286" i="8"/>
  <c r="T427" i="8"/>
  <c r="T404" i="8"/>
  <c r="T304" i="8"/>
  <c r="T408" i="8"/>
  <c r="T384" i="8"/>
  <c r="T394" i="8"/>
  <c r="T418" i="8"/>
  <c r="T280" i="8"/>
  <c r="G685" i="8" l="1" a="1"/>
  <c r="G685" i="8" s="1"/>
  <c r="L685" i="8" a="1"/>
  <c r="L685" i="8" s="1"/>
  <c r="U685" i="8" a="1"/>
  <c r="U685" i="8" s="1"/>
  <c r="AD685" i="8" a="1"/>
  <c r="AD685" i="8" s="1"/>
  <c r="AM685" i="8" a="1"/>
  <c r="AM685" i="8" s="1"/>
  <c r="AR685" i="8" a="1"/>
  <c r="AR685" i="8" s="1"/>
  <c r="AE685" i="8" a="1"/>
  <c r="AE685" i="8" s="1"/>
  <c r="AS685" i="8" a="1"/>
  <c r="AS685" i="8" s="1"/>
  <c r="I685" i="8" a="1"/>
  <c r="I685" i="8" s="1"/>
  <c r="AA685" i="8" a="1"/>
  <c r="AA685" i="8" s="1"/>
  <c r="AO685" i="8" a="1"/>
  <c r="AO685" i="8" s="1"/>
  <c r="F685" i="8" a="1"/>
  <c r="F685" i="8" s="1"/>
  <c r="AU685" i="8" a="1"/>
  <c r="AU685" i="8" s="1"/>
  <c r="H685" i="8" a="1"/>
  <c r="H685" i="8" s="1"/>
  <c r="Q685" i="8" a="1"/>
  <c r="Q685" i="8" s="1"/>
  <c r="Z685" i="8" a="1"/>
  <c r="Z685" i="8" s="1"/>
  <c r="AI685" i="8" a="1"/>
  <c r="AI685" i="8" s="1"/>
  <c r="AN685" i="8" a="1"/>
  <c r="AN685" i="8" s="1"/>
  <c r="AW685" i="8" a="1"/>
  <c r="AW685" i="8" s="1"/>
  <c r="BB685" i="8" a="1"/>
  <c r="BB685" i="8" s="1"/>
  <c r="M685" i="8" a="1"/>
  <c r="M685" i="8" s="1"/>
  <c r="V685" i="8" a="1"/>
  <c r="V685" i="8" s="1"/>
  <c r="AJ685" i="8" a="1"/>
  <c r="AJ685" i="8" s="1"/>
  <c r="BC685" i="8" a="1"/>
  <c r="BC685" i="8" s="1"/>
  <c r="R685" i="8" a="1"/>
  <c r="R685" i="8" s="1"/>
  <c r="AF685" i="8" a="1"/>
  <c r="AF685" i="8" s="1"/>
  <c r="AX685" i="8" a="1"/>
  <c r="AX685" i="8" s="1"/>
  <c r="AL685" i="8" a="1"/>
  <c r="AL685" i="8" s="1"/>
  <c r="N685" i="8" a="1"/>
  <c r="N685" i="8" s="1"/>
  <c r="W685" i="8" a="1"/>
  <c r="W685" i="8" s="1"/>
  <c r="AB685" i="8" a="1"/>
  <c r="AB685" i="8" s="1"/>
  <c r="AK685" i="8" a="1"/>
  <c r="AK685" i="8" s="1"/>
  <c r="AT685" i="8" a="1"/>
  <c r="AT685" i="8" s="1"/>
  <c r="AY685" i="8" a="1"/>
  <c r="AY685" i="8" s="1"/>
  <c r="J685" i="8" a="1"/>
  <c r="J685" i="8" s="1"/>
  <c r="S685" i="8" a="1"/>
  <c r="S685" i="8" s="1"/>
  <c r="X685" i="8" a="1"/>
  <c r="X685" i="8" s="1"/>
  <c r="AG685" i="8" a="1"/>
  <c r="AG685" i="8" s="1"/>
  <c r="AP685" i="8" a="1"/>
  <c r="AP685" i="8" s="1"/>
  <c r="AZ685" i="8" a="1"/>
  <c r="AZ685" i="8" s="1"/>
  <c r="O685" i="8" a="1"/>
  <c r="O685" i="8" s="1"/>
  <c r="T685" i="8" a="1"/>
  <c r="T685" i="8" s="1"/>
  <c r="AC685" i="8" a="1"/>
  <c r="AC685" i="8" s="1"/>
  <c r="K685" i="8" a="1"/>
  <c r="K685" i="8" s="1"/>
  <c r="P685" i="8" a="1"/>
  <c r="P685" i="8" s="1"/>
  <c r="Y685" i="8" a="1"/>
  <c r="Y685" i="8" s="1"/>
  <c r="AH685" i="8" a="1"/>
  <c r="AH685" i="8" s="1"/>
  <c r="AQ685" i="8" a="1"/>
  <c r="AQ685" i="8" s="1"/>
  <c r="AV685" i="8" a="1"/>
  <c r="AV685" i="8" s="1"/>
  <c r="BA685" i="8" a="1"/>
  <c r="BA685" i="8" s="1"/>
  <c r="K466" i="8"/>
  <c r="K411" i="8"/>
  <c r="K332" i="8"/>
  <c r="K412" i="8"/>
  <c r="K285" i="8"/>
  <c r="K349" i="8"/>
  <c r="K413" i="8"/>
  <c r="K278" i="8"/>
  <c r="K342" i="8"/>
  <c r="K406" i="8"/>
  <c r="K283" i="8"/>
  <c r="K268" i="8"/>
  <c r="K287" i="8"/>
  <c r="K351" i="8"/>
  <c r="K415" i="8"/>
  <c r="K280" i="8"/>
  <c r="K344" i="8"/>
  <c r="K408" i="8"/>
  <c r="K275" i="8"/>
  <c r="K273" i="8"/>
  <c r="K337" i="8"/>
  <c r="K401" i="8"/>
  <c r="K465" i="8"/>
  <c r="K322" i="8"/>
  <c r="K386" i="8"/>
  <c r="K450" i="8"/>
  <c r="K427" i="8"/>
  <c r="K340" i="8"/>
  <c r="K420" i="8"/>
  <c r="K293" i="8"/>
  <c r="K357" i="8"/>
  <c r="K421" i="8"/>
  <c r="K286" i="8"/>
  <c r="K350" i="8"/>
  <c r="K414" i="8"/>
  <c r="K307" i="8"/>
  <c r="K459" i="8"/>
  <c r="K388" i="8"/>
  <c r="K277" i="8"/>
  <c r="K373" i="8"/>
  <c r="K453" i="8"/>
  <c r="K334" i="8"/>
  <c r="K430" i="8"/>
  <c r="K395" i="8"/>
  <c r="K271" i="8"/>
  <c r="K343" i="8"/>
  <c r="K423" i="8"/>
  <c r="K296" i="8"/>
  <c r="K368" i="8"/>
  <c r="K440" i="8"/>
  <c r="K403" i="8"/>
  <c r="K321" i="8"/>
  <c r="K393" i="8"/>
  <c r="K267" i="8"/>
  <c r="K338" i="8"/>
  <c r="K410" i="8"/>
  <c r="K276" i="8"/>
  <c r="K396" i="8"/>
  <c r="K301" i="8"/>
  <c r="K381" i="8"/>
  <c r="K461" i="8"/>
  <c r="K358" i="8"/>
  <c r="K438" i="8"/>
  <c r="K419" i="8"/>
  <c r="K279" i="8"/>
  <c r="K359" i="8"/>
  <c r="K431" i="8"/>
  <c r="K304" i="8"/>
  <c r="K376" i="8"/>
  <c r="K448" i="8"/>
  <c r="K451" i="8"/>
  <c r="K329" i="8"/>
  <c r="K409" i="8"/>
  <c r="K274" i="8"/>
  <c r="K346" i="8"/>
  <c r="K418" i="8"/>
  <c r="K363" i="8"/>
  <c r="K380" i="8"/>
  <c r="K317" i="8"/>
  <c r="K429" i="8"/>
  <c r="K326" i="8"/>
  <c r="K454" i="8"/>
  <c r="K316" i="8"/>
  <c r="K335" i="8"/>
  <c r="K447" i="8"/>
  <c r="K336" i="8"/>
  <c r="K432" i="8"/>
  <c r="K281" i="8"/>
  <c r="K369" i="8"/>
  <c r="K457" i="8"/>
  <c r="K362" i="8"/>
  <c r="K458" i="8"/>
  <c r="K387" i="8"/>
  <c r="K404" i="8"/>
  <c r="K325" i="8"/>
  <c r="K437" i="8"/>
  <c r="K366" i="8"/>
  <c r="K462" i="8"/>
  <c r="K348" i="8"/>
  <c r="K367" i="8"/>
  <c r="K455" i="8"/>
  <c r="K352" i="8"/>
  <c r="K456" i="8"/>
  <c r="K289" i="8"/>
  <c r="K377" i="8"/>
  <c r="K282" i="8"/>
  <c r="K370" i="8"/>
  <c r="K435" i="8"/>
  <c r="K428" i="8"/>
  <c r="K333" i="8"/>
  <c r="K445" i="8"/>
  <c r="K374" i="8"/>
  <c r="K331" i="8"/>
  <c r="K452" i="8"/>
  <c r="K375" i="8"/>
  <c r="K463" i="8"/>
  <c r="K360" i="8"/>
  <c r="K464" i="8"/>
  <c r="K297" i="8"/>
  <c r="K385" i="8"/>
  <c r="K290" i="8"/>
  <c r="K378" i="8"/>
  <c r="K292" i="8"/>
  <c r="K436" i="8"/>
  <c r="K341" i="8"/>
  <c r="K270" i="8"/>
  <c r="K382" i="8"/>
  <c r="K355" i="8"/>
  <c r="K295" i="8"/>
  <c r="K383" i="8"/>
  <c r="K272" i="8"/>
  <c r="K384" i="8"/>
  <c r="K299" i="8"/>
  <c r="K305" i="8"/>
  <c r="K417" i="8"/>
  <c r="K298" i="8"/>
  <c r="K394" i="8"/>
  <c r="K308" i="8"/>
  <c r="K444" i="8"/>
  <c r="K365" i="8"/>
  <c r="K294" i="8"/>
  <c r="K390" i="8"/>
  <c r="K379" i="8"/>
  <c r="K303" i="8"/>
  <c r="K391" i="8"/>
  <c r="K288" i="8"/>
  <c r="K392" i="8"/>
  <c r="K323" i="8"/>
  <c r="K313" i="8"/>
  <c r="K425" i="8"/>
  <c r="K306" i="8"/>
  <c r="K402" i="8"/>
  <c r="K291" i="8"/>
  <c r="K324" i="8"/>
  <c r="K460" i="8"/>
  <c r="K389" i="8"/>
  <c r="K302" i="8"/>
  <c r="K398" i="8"/>
  <c r="K443" i="8"/>
  <c r="K311" i="8"/>
  <c r="K399" i="8"/>
  <c r="K312" i="8"/>
  <c r="K400" i="8"/>
  <c r="K347" i="8"/>
  <c r="K345" i="8"/>
  <c r="K433" i="8"/>
  <c r="K314" i="8"/>
  <c r="K356" i="8"/>
  <c r="K422" i="8"/>
  <c r="K320" i="8"/>
  <c r="K441" i="8"/>
  <c r="K364" i="8"/>
  <c r="K446" i="8"/>
  <c r="K328" i="8"/>
  <c r="K449" i="8"/>
  <c r="K269" i="8"/>
  <c r="K284" i="8"/>
  <c r="K416" i="8"/>
  <c r="K330" i="8"/>
  <c r="K309" i="8"/>
  <c r="K300" i="8"/>
  <c r="K424" i="8"/>
  <c r="K354" i="8"/>
  <c r="K397" i="8"/>
  <c r="K319" i="8"/>
  <c r="K371" i="8"/>
  <c r="K426" i="8"/>
  <c r="K405" i="8"/>
  <c r="K327" i="8"/>
  <c r="K372" i="8"/>
  <c r="K434" i="8"/>
  <c r="K315" i="8"/>
  <c r="K310" i="8"/>
  <c r="K407" i="8"/>
  <c r="K353" i="8"/>
  <c r="K442" i="8"/>
  <c r="K339" i="8"/>
  <c r="K318" i="8"/>
  <c r="K439" i="8"/>
  <c r="K361" i="8"/>
  <c r="L426" i="8"/>
  <c r="S426" i="8" s="1"/>
  <c r="L362" i="8"/>
  <c r="S362" i="8" s="1"/>
  <c r="L298" i="8"/>
  <c r="S298" i="8" s="1"/>
  <c r="L380" i="8"/>
  <c r="S380" i="8" s="1"/>
  <c r="L433" i="8"/>
  <c r="L369" i="8"/>
  <c r="S369" i="8" s="1"/>
  <c r="L305" i="8"/>
  <c r="S305" i="8" s="1"/>
  <c r="L440" i="8"/>
  <c r="S440" i="8" s="1"/>
  <c r="L376" i="8"/>
  <c r="S376" i="8" s="1"/>
  <c r="L312" i="8"/>
  <c r="S312" i="8" s="1"/>
  <c r="L447" i="8"/>
  <c r="S447" i="8" s="1"/>
  <c r="L383" i="8"/>
  <c r="S383" i="8" s="1"/>
  <c r="L319" i="8"/>
  <c r="S319" i="8" s="1"/>
  <c r="L309" i="8"/>
  <c r="S309" i="8" s="1"/>
  <c r="L340" i="8"/>
  <c r="S340" i="8" s="1"/>
  <c r="L406" i="8"/>
  <c r="S406" i="8" s="1"/>
  <c r="L342" i="8"/>
  <c r="S342" i="8" s="1"/>
  <c r="L278" i="8"/>
  <c r="S278" i="8" s="1"/>
  <c r="L397" i="8"/>
  <c r="S397" i="8" s="1"/>
  <c r="L333" i="8"/>
  <c r="S333" i="8" s="1"/>
  <c r="L420" i="8"/>
  <c r="S420" i="8" s="1"/>
  <c r="L268" i="8"/>
  <c r="L435" i="8"/>
  <c r="L276" i="8"/>
  <c r="S276" i="8" s="1"/>
  <c r="L331" i="8"/>
  <c r="S331" i="8" s="1"/>
  <c r="L418" i="8"/>
  <c r="L354" i="8"/>
  <c r="S354" i="8" s="1"/>
  <c r="L290" i="8"/>
  <c r="S290" i="8" s="1"/>
  <c r="L356" i="8"/>
  <c r="S356" i="8" s="1"/>
  <c r="L425" i="8"/>
  <c r="S425" i="8" s="1"/>
  <c r="L361" i="8"/>
  <c r="S361" i="8" s="1"/>
  <c r="L297" i="8"/>
  <c r="S297" i="8" s="1"/>
  <c r="L432" i="8"/>
  <c r="L368" i="8"/>
  <c r="S368" i="8" s="1"/>
  <c r="L304" i="8"/>
  <c r="S304" i="8" s="1"/>
  <c r="L439" i="8"/>
  <c r="S439" i="8" s="1"/>
  <c r="L375" i="8"/>
  <c r="S375" i="8" s="1"/>
  <c r="L311" i="8"/>
  <c r="S311" i="8" s="1"/>
  <c r="L269" i="8"/>
  <c r="L462" i="8"/>
  <c r="S462" i="8" s="1"/>
  <c r="L398" i="8"/>
  <c r="S398" i="8" s="1"/>
  <c r="L334" i="8"/>
  <c r="S334" i="8" s="1"/>
  <c r="L270" i="8"/>
  <c r="S270" i="8" s="1"/>
  <c r="L389" i="8"/>
  <c r="S389" i="8" s="1"/>
  <c r="L325" i="8"/>
  <c r="S325" i="8" s="1"/>
  <c r="L396" i="8"/>
  <c r="S396" i="8" s="1"/>
  <c r="L300" i="8"/>
  <c r="S300" i="8" s="1"/>
  <c r="L284" i="8"/>
  <c r="S284" i="8" s="1"/>
  <c r="L315" i="8"/>
  <c r="S315" i="8" s="1"/>
  <c r="L395" i="8"/>
  <c r="S395" i="8" s="1"/>
  <c r="L434" i="8"/>
  <c r="L338" i="8"/>
  <c r="S338" i="8" s="1"/>
  <c r="L413" i="8"/>
  <c r="S413" i="8" s="1"/>
  <c r="L441" i="8"/>
  <c r="S441" i="8" s="1"/>
  <c r="L345" i="8"/>
  <c r="S345" i="8" s="1"/>
  <c r="L464" i="8"/>
  <c r="S464" i="8" s="1"/>
  <c r="L384" i="8"/>
  <c r="S384" i="8" s="1"/>
  <c r="L288" i="8"/>
  <c r="L407" i="8"/>
  <c r="S407" i="8" s="1"/>
  <c r="L327" i="8"/>
  <c r="S327" i="8" s="1"/>
  <c r="L436" i="8"/>
  <c r="S436" i="8" s="1"/>
  <c r="L430" i="8"/>
  <c r="L350" i="8"/>
  <c r="S350" i="8" s="1"/>
  <c r="L453" i="8"/>
  <c r="S453" i="8" s="1"/>
  <c r="L357" i="8"/>
  <c r="S357" i="8" s="1"/>
  <c r="L444" i="8"/>
  <c r="S444" i="8" s="1"/>
  <c r="L419" i="8"/>
  <c r="S419" i="8" s="1"/>
  <c r="L339" i="8"/>
  <c r="S339" i="8" s="1"/>
  <c r="L291" i="8"/>
  <c r="S291" i="8" s="1"/>
  <c r="L410" i="8"/>
  <c r="S410" i="8" s="1"/>
  <c r="L330" i="8"/>
  <c r="S330" i="8" s="1"/>
  <c r="L452" i="8"/>
  <c r="S452" i="8" s="1"/>
  <c r="L417" i="8"/>
  <c r="S417" i="8" s="1"/>
  <c r="L337" i="8"/>
  <c r="S337" i="8" s="1"/>
  <c r="L456" i="8"/>
  <c r="S456" i="8" s="1"/>
  <c r="L360" i="8"/>
  <c r="S360" i="8" s="1"/>
  <c r="L280" i="8"/>
  <c r="S280" i="8" s="1"/>
  <c r="L399" i="8"/>
  <c r="S399" i="8" s="1"/>
  <c r="L303" i="8"/>
  <c r="S303" i="8" s="1"/>
  <c r="L428" i="8"/>
  <c r="S428" i="8" s="1"/>
  <c r="L422" i="8"/>
  <c r="L326" i="8"/>
  <c r="S326" i="8" s="1"/>
  <c r="L445" i="8"/>
  <c r="S445" i="8" s="1"/>
  <c r="L349" i="8"/>
  <c r="S349" i="8" s="1"/>
  <c r="L372" i="8"/>
  <c r="S372" i="8" s="1"/>
  <c r="L292" i="8"/>
  <c r="S292" i="8" s="1"/>
  <c r="L307" i="8"/>
  <c r="S307" i="8" s="1"/>
  <c r="L459" i="8"/>
  <c r="S459" i="8" s="1"/>
  <c r="L402" i="8"/>
  <c r="S402" i="8" s="1"/>
  <c r="L322" i="8"/>
  <c r="S322" i="8" s="1"/>
  <c r="L412" i="8"/>
  <c r="S412" i="8" s="1"/>
  <c r="L409" i="8"/>
  <c r="S409" i="8" s="1"/>
  <c r="L329" i="8"/>
  <c r="S329" i="8" s="1"/>
  <c r="L448" i="8"/>
  <c r="S448" i="8" s="1"/>
  <c r="L352" i="8"/>
  <c r="S352" i="8" s="1"/>
  <c r="L394" i="8"/>
  <c r="S394" i="8" s="1"/>
  <c r="L274" i="8"/>
  <c r="S274" i="8" s="1"/>
  <c r="L393" i="8"/>
  <c r="S393" i="8" s="1"/>
  <c r="L273" i="8"/>
  <c r="S273" i="8" s="1"/>
  <c r="L328" i="8"/>
  <c r="S328" i="8" s="1"/>
  <c r="L415" i="8"/>
  <c r="L287" i="8"/>
  <c r="L454" i="8"/>
  <c r="S454" i="8" s="1"/>
  <c r="L358" i="8"/>
  <c r="S358" i="8" s="1"/>
  <c r="L429" i="8"/>
  <c r="L293" i="8"/>
  <c r="S293" i="8" s="1"/>
  <c r="L355" i="8"/>
  <c r="S355" i="8" s="1"/>
  <c r="L371" i="8"/>
  <c r="S371" i="8" s="1"/>
  <c r="L386" i="8"/>
  <c r="S386" i="8" s="1"/>
  <c r="L267" i="8"/>
  <c r="L385" i="8"/>
  <c r="S385" i="8" s="1"/>
  <c r="L424" i="8"/>
  <c r="S424" i="8" s="1"/>
  <c r="L320" i="8"/>
  <c r="S320" i="8" s="1"/>
  <c r="L391" i="8"/>
  <c r="S391" i="8" s="1"/>
  <c r="L279" i="8"/>
  <c r="S279" i="8" s="1"/>
  <c r="L446" i="8"/>
  <c r="S446" i="8" s="1"/>
  <c r="L318" i="8"/>
  <c r="S318" i="8" s="1"/>
  <c r="L405" i="8"/>
  <c r="S405" i="8" s="1"/>
  <c r="L285" i="8"/>
  <c r="S285" i="8" s="1"/>
  <c r="L403" i="8"/>
  <c r="L283" i="8"/>
  <c r="S283" i="8" s="1"/>
  <c r="L378" i="8"/>
  <c r="S378" i="8" s="1"/>
  <c r="L332" i="8"/>
  <c r="S332" i="8" s="1"/>
  <c r="L377" i="8"/>
  <c r="S377" i="8" s="1"/>
  <c r="L416" i="8"/>
  <c r="S416" i="8" s="1"/>
  <c r="L296" i="8"/>
  <c r="S296" i="8" s="1"/>
  <c r="L367" i="8"/>
  <c r="S367" i="8" s="1"/>
  <c r="L271" i="8"/>
  <c r="L438" i="8"/>
  <c r="S438" i="8" s="1"/>
  <c r="L310" i="8"/>
  <c r="S310" i="8" s="1"/>
  <c r="L381" i="8"/>
  <c r="S381" i="8" s="1"/>
  <c r="L277" i="8"/>
  <c r="S277" i="8" s="1"/>
  <c r="L275" i="8"/>
  <c r="S275" i="8" s="1"/>
  <c r="L316" i="8"/>
  <c r="S316" i="8" s="1"/>
  <c r="L370" i="8"/>
  <c r="S370" i="8" s="1"/>
  <c r="L308" i="8"/>
  <c r="S308" i="8" s="1"/>
  <c r="L353" i="8"/>
  <c r="S353" i="8" s="1"/>
  <c r="L408" i="8"/>
  <c r="S408" i="8" s="1"/>
  <c r="L272" i="8"/>
  <c r="L359" i="8"/>
  <c r="S359" i="8" s="1"/>
  <c r="L421" i="8"/>
  <c r="S421" i="8" s="1"/>
  <c r="L414" i="8"/>
  <c r="L302" i="8"/>
  <c r="S302" i="8" s="1"/>
  <c r="L373" i="8"/>
  <c r="S373" i="8" s="1"/>
  <c r="L348" i="8"/>
  <c r="S348" i="8" s="1"/>
  <c r="L363" i="8"/>
  <c r="S363" i="8" s="1"/>
  <c r="L379" i="8"/>
  <c r="S379" i="8" s="1"/>
  <c r="L466" i="8"/>
  <c r="S466" i="8" s="1"/>
  <c r="L346" i="8"/>
  <c r="S346" i="8" s="1"/>
  <c r="L465" i="8"/>
  <c r="S465" i="8" s="1"/>
  <c r="L321" i="8"/>
  <c r="S321" i="8" s="1"/>
  <c r="L400" i="8"/>
  <c r="S400" i="8" s="1"/>
  <c r="L463" i="8"/>
  <c r="S463" i="8" s="1"/>
  <c r="L351" i="8"/>
  <c r="S351" i="8" s="1"/>
  <c r="L460" i="8"/>
  <c r="S460" i="8" s="1"/>
  <c r="L390" i="8"/>
  <c r="S390" i="8" s="1"/>
  <c r="L294" i="8"/>
  <c r="S294" i="8" s="1"/>
  <c r="L365" i="8"/>
  <c r="S365" i="8" s="1"/>
  <c r="L324" i="8"/>
  <c r="S324" i="8" s="1"/>
  <c r="L323" i="8"/>
  <c r="S323" i="8" s="1"/>
  <c r="L443" i="8"/>
  <c r="S443" i="8" s="1"/>
  <c r="L458" i="8"/>
  <c r="S458" i="8" s="1"/>
  <c r="L314" i="8"/>
  <c r="S314" i="8" s="1"/>
  <c r="L457" i="8"/>
  <c r="S457" i="8" s="1"/>
  <c r="L313" i="8"/>
  <c r="S313" i="8" s="1"/>
  <c r="L392" i="8"/>
  <c r="S392" i="8" s="1"/>
  <c r="L455" i="8"/>
  <c r="S455" i="8" s="1"/>
  <c r="L343" i="8"/>
  <c r="S343" i="8" s="1"/>
  <c r="L404" i="8"/>
  <c r="S404" i="8" s="1"/>
  <c r="L382" i="8"/>
  <c r="S382" i="8" s="1"/>
  <c r="L286" i="8"/>
  <c r="S286" i="8" s="1"/>
  <c r="L341" i="8"/>
  <c r="S341" i="8" s="1"/>
  <c r="L299" i="8"/>
  <c r="S299" i="8" s="1"/>
  <c r="L387" i="8"/>
  <c r="S387" i="8" s="1"/>
  <c r="L449" i="8"/>
  <c r="S449" i="8" s="1"/>
  <c r="L335" i="8"/>
  <c r="S335" i="8" s="1"/>
  <c r="L317" i="8"/>
  <c r="S317" i="8" s="1"/>
  <c r="L401" i="8"/>
  <c r="S401" i="8" s="1"/>
  <c r="L295" i="8"/>
  <c r="S295" i="8" s="1"/>
  <c r="L301" i="8"/>
  <c r="S301" i="8" s="1"/>
  <c r="L289" i="8"/>
  <c r="S289" i="8" s="1"/>
  <c r="L388" i="8"/>
  <c r="S388" i="8" s="1"/>
  <c r="L347" i="8"/>
  <c r="S347" i="8" s="1"/>
  <c r="L281" i="8"/>
  <c r="S281" i="8" s="1"/>
  <c r="L364" i="8"/>
  <c r="S364" i="8" s="1"/>
  <c r="L411" i="8"/>
  <c r="S411" i="8" s="1"/>
  <c r="L450" i="8"/>
  <c r="S450" i="8" s="1"/>
  <c r="L344" i="8"/>
  <c r="S344" i="8" s="1"/>
  <c r="L374" i="8"/>
  <c r="S374" i="8" s="1"/>
  <c r="L451" i="8"/>
  <c r="S451" i="8" s="1"/>
  <c r="L442" i="8"/>
  <c r="S442" i="8" s="1"/>
  <c r="L336" i="8"/>
  <c r="S336" i="8" s="1"/>
  <c r="L366" i="8"/>
  <c r="S366" i="8" s="1"/>
  <c r="L427" i="8"/>
  <c r="S427" i="8" s="1"/>
  <c r="L306" i="8"/>
  <c r="S306" i="8" s="1"/>
  <c r="L431" i="8"/>
  <c r="L461" i="8"/>
  <c r="S461" i="8" s="1"/>
  <c r="L282" i="8"/>
  <c r="S282" i="8" s="1"/>
  <c r="L423" i="8"/>
  <c r="S423" i="8" s="1"/>
  <c r="L437" i="8"/>
  <c r="S437" i="8" s="1"/>
  <c r="L467" i="8" l="1"/>
  <c r="R318" i="8"/>
  <c r="R372" i="8"/>
  <c r="R424" i="8"/>
  <c r="R328" i="8"/>
  <c r="R398" i="8"/>
  <c r="R425" i="8"/>
  <c r="R390" i="8"/>
  <c r="R305" i="8"/>
  <c r="R270" i="8"/>
  <c r="R464" i="8"/>
  <c r="R333" i="8"/>
  <c r="R352" i="8"/>
  <c r="R404" i="8"/>
  <c r="R336" i="8"/>
  <c r="R380" i="8"/>
  <c r="R448" i="8"/>
  <c r="R358" i="8"/>
  <c r="K467" i="8"/>
  <c r="R343" i="8"/>
  <c r="R388" i="8"/>
  <c r="R293" i="8"/>
  <c r="R401" i="8"/>
  <c r="R351" i="8"/>
  <c r="R349" i="8"/>
  <c r="R442" i="8"/>
  <c r="R405" i="8"/>
  <c r="R309" i="8"/>
  <c r="R364" i="8"/>
  <c r="R347" i="8"/>
  <c r="R389" i="8"/>
  <c r="R323" i="8"/>
  <c r="R365" i="8"/>
  <c r="R384" i="8"/>
  <c r="R436" i="8"/>
  <c r="R463" i="8"/>
  <c r="R367" i="8"/>
  <c r="R458" i="8"/>
  <c r="R335" i="8"/>
  <c r="R304" i="8"/>
  <c r="R381" i="8"/>
  <c r="R321" i="8"/>
  <c r="R395" i="8"/>
  <c r="R307" i="8"/>
  <c r="R340" i="8"/>
  <c r="R273" i="8"/>
  <c r="R412" i="8"/>
  <c r="R353" i="8"/>
  <c r="R426" i="8"/>
  <c r="R330" i="8"/>
  <c r="R441" i="8"/>
  <c r="R400" i="8"/>
  <c r="R460" i="8"/>
  <c r="R392" i="8"/>
  <c r="R444" i="8"/>
  <c r="R292" i="8"/>
  <c r="R375" i="8"/>
  <c r="R370" i="8"/>
  <c r="R348" i="8"/>
  <c r="R362" i="8"/>
  <c r="R316" i="8"/>
  <c r="R346" i="8"/>
  <c r="R301" i="8"/>
  <c r="R427" i="8"/>
  <c r="R275" i="8"/>
  <c r="R283" i="8"/>
  <c r="R332" i="8"/>
  <c r="R339" i="8"/>
  <c r="R327" i="8"/>
  <c r="R300" i="8"/>
  <c r="R446" i="8"/>
  <c r="R345" i="8"/>
  <c r="R302" i="8"/>
  <c r="R313" i="8"/>
  <c r="R294" i="8"/>
  <c r="R299" i="8"/>
  <c r="R341" i="8"/>
  <c r="R360" i="8"/>
  <c r="R428" i="8"/>
  <c r="R455" i="8"/>
  <c r="R387" i="8"/>
  <c r="R447" i="8"/>
  <c r="R363" i="8"/>
  <c r="R376" i="8"/>
  <c r="R461" i="8"/>
  <c r="R459" i="8"/>
  <c r="R420" i="8"/>
  <c r="R337" i="8"/>
  <c r="R285" i="8"/>
  <c r="R310" i="8"/>
  <c r="R319" i="8"/>
  <c r="R284" i="8"/>
  <c r="R399" i="8"/>
  <c r="R291" i="8"/>
  <c r="R391" i="8"/>
  <c r="R394" i="8"/>
  <c r="R295" i="8"/>
  <c r="R290" i="8"/>
  <c r="R331" i="8"/>
  <c r="R377" i="8"/>
  <c r="R366" i="8"/>
  <c r="R369" i="8"/>
  <c r="R326" i="8"/>
  <c r="R409" i="8"/>
  <c r="R279" i="8"/>
  <c r="R276" i="8"/>
  <c r="R368" i="8"/>
  <c r="R453" i="8"/>
  <c r="R286" i="8"/>
  <c r="R386" i="8"/>
  <c r="R344" i="8"/>
  <c r="R342" i="8"/>
  <c r="R466" i="8"/>
  <c r="R393" i="8"/>
  <c r="R361" i="8"/>
  <c r="R315" i="8"/>
  <c r="R397" i="8"/>
  <c r="R356" i="8"/>
  <c r="R311" i="8"/>
  <c r="R402" i="8"/>
  <c r="R303" i="8"/>
  <c r="R298" i="8"/>
  <c r="R355" i="8"/>
  <c r="R385" i="8"/>
  <c r="R374" i="8"/>
  <c r="R289" i="8"/>
  <c r="R437" i="8"/>
  <c r="R281" i="8"/>
  <c r="R329" i="8"/>
  <c r="R419" i="8"/>
  <c r="R410" i="8"/>
  <c r="R296" i="8"/>
  <c r="R373" i="8"/>
  <c r="R421" i="8"/>
  <c r="R322" i="8"/>
  <c r="R280" i="8"/>
  <c r="R278" i="8"/>
  <c r="R407" i="8"/>
  <c r="R371" i="8"/>
  <c r="R416" i="8"/>
  <c r="R320" i="8"/>
  <c r="R312" i="8"/>
  <c r="R324" i="8"/>
  <c r="R308" i="8"/>
  <c r="R383" i="8"/>
  <c r="R378" i="8"/>
  <c r="R452" i="8"/>
  <c r="R282" i="8"/>
  <c r="R462" i="8"/>
  <c r="R457" i="8"/>
  <c r="R454" i="8"/>
  <c r="R274" i="8"/>
  <c r="R359" i="8"/>
  <c r="R396" i="8"/>
  <c r="R440" i="8"/>
  <c r="R334" i="8"/>
  <c r="R350" i="8"/>
  <c r="R450" i="8"/>
  <c r="R408" i="8"/>
  <c r="R406" i="8"/>
  <c r="R411" i="8"/>
  <c r="R439" i="8"/>
  <c r="R354" i="8"/>
  <c r="R449" i="8"/>
  <c r="R314" i="8"/>
  <c r="R443" i="8"/>
  <c r="R306" i="8"/>
  <c r="R379" i="8"/>
  <c r="R417" i="8"/>
  <c r="R382" i="8"/>
  <c r="R297" i="8"/>
  <c r="R445" i="8"/>
  <c r="R456" i="8"/>
  <c r="R325" i="8"/>
  <c r="R317" i="8"/>
  <c r="R451" i="8"/>
  <c r="R438" i="8"/>
  <c r="R338" i="8"/>
  <c r="R423" i="8"/>
  <c r="R277" i="8"/>
  <c r="R357" i="8"/>
  <c r="R465" i="8"/>
  <c r="R413" i="8"/>
  <c r="I683" i="8" a="1"/>
  <c r="I683" i="8" s="1"/>
  <c r="H683" i="8" a="1"/>
  <c r="H683" i="8" s="1"/>
  <c r="V19" i="9"/>
  <c r="S683" i="8" a="1"/>
  <c r="S683" i="8" s="1"/>
  <c r="V683" i="8" a="1"/>
  <c r="V683" i="8" s="1"/>
  <c r="AJ683" i="8" a="1"/>
  <c r="AJ683" i="8" s="1"/>
  <c r="AU683" i="8" a="1"/>
  <c r="AU683" i="8" s="1"/>
  <c r="AF683" i="8" a="1"/>
  <c r="AF683" i="8" s="1"/>
  <c r="AW683" i="8" a="1"/>
  <c r="AW683" i="8" s="1"/>
  <c r="AA683" i="8" a="1"/>
  <c r="AA683" i="8" s="1"/>
  <c r="AL683" i="8" a="1"/>
  <c r="AL683" i="8" s="1"/>
  <c r="AR683" i="8" a="1"/>
  <c r="AR683" i="8" s="1"/>
  <c r="R683" i="8" a="1"/>
  <c r="R683" i="8" s="1"/>
  <c r="AN683" i="8" a="1"/>
  <c r="AN683" i="8" s="1"/>
  <c r="N683" i="8" a="1"/>
  <c r="N683" i="8" s="1"/>
  <c r="BC683" i="8" a="1"/>
  <c r="BC683" i="8" s="1"/>
  <c r="AM683" i="8" a="1"/>
  <c r="AM683" i="8" s="1"/>
  <c r="U683" i="8" a="1"/>
  <c r="U683" i="8" s="1"/>
  <c r="AP683" i="8" a="1"/>
  <c r="AP683" i="8" s="1"/>
  <c r="T683" i="8" a="1"/>
  <c r="T683" i="8" s="1"/>
  <c r="AT683" i="8" a="1"/>
  <c r="AT683" i="8" s="1"/>
  <c r="AG683" i="8" a="1"/>
  <c r="AG683" i="8" s="1"/>
  <c r="AB683" i="8" a="1"/>
  <c r="AB683" i="8" s="1"/>
  <c r="X683" i="8" a="1"/>
  <c r="X683" i="8" s="1"/>
  <c r="AI683" i="8" a="1"/>
  <c r="AI683" i="8" s="1"/>
  <c r="BB683" i="8" a="1"/>
  <c r="BB683" i="8" s="1"/>
  <c r="AZ683" i="8" a="1"/>
  <c r="AZ683" i="8" s="1"/>
  <c r="AX683" i="8" a="1"/>
  <c r="AX683" i="8" s="1"/>
  <c r="AV683" i="8" a="1"/>
  <c r="AV683" i="8" s="1"/>
  <c r="Z683" i="8" a="1"/>
  <c r="Z683" i="8" s="1"/>
  <c r="AQ683" i="8" a="1"/>
  <c r="AQ683" i="8" s="1"/>
  <c r="AE683" i="8" a="1"/>
  <c r="AE683" i="8" s="1"/>
  <c r="AC683" i="8" a="1"/>
  <c r="AC683" i="8" s="1"/>
  <c r="O683" i="8" a="1"/>
  <c r="O683" i="8" s="1"/>
  <c r="M683" i="8" a="1"/>
  <c r="M683" i="8" s="1"/>
  <c r="F683" i="8" a="1"/>
  <c r="F683" i="8" s="1"/>
  <c r="AY683" i="8" a="1"/>
  <c r="AY683" i="8" s="1"/>
  <c r="AS683" i="8" a="1"/>
  <c r="AS683" i="8" s="1"/>
  <c r="Q683" i="8" a="1"/>
  <c r="Q683" i="8" s="1"/>
  <c r="AH683" i="8" a="1"/>
  <c r="AH683" i="8" s="1"/>
  <c r="AD683" i="8" a="1"/>
  <c r="AD683" i="8" s="1"/>
  <c r="Y683" i="8" a="1"/>
  <c r="Y683" i="8" s="1"/>
  <c r="AK683" i="8" a="1"/>
  <c r="AK683" i="8" s="1"/>
  <c r="P683" i="8" a="1"/>
  <c r="P683" i="8" s="1"/>
  <c r="BA683" i="8" a="1"/>
  <c r="BA683" i="8" s="1"/>
  <c r="W683" i="8" a="1"/>
  <c r="W683" i="8" s="1"/>
  <c r="AO683" i="8" a="1"/>
  <c r="AO683" i="8" s="1"/>
  <c r="L683" i="8" a="1"/>
  <c r="L683" i="8" s="1"/>
  <c r="J683" i="8" a="1"/>
  <c r="J683" i="8" s="1"/>
  <c r="K683" i="8" a="1"/>
  <c r="K683" i="8" s="1"/>
  <c r="G683" i="8" a="1"/>
  <c r="G683" i="8" s="1"/>
  <c r="E683" i="8" l="1"/>
  <c r="F684" i="8" a="1"/>
  <c r="F684" i="8" s="1"/>
  <c r="AI684" i="8" a="1"/>
  <c r="AI684" i="8" s="1"/>
  <c r="U684" i="8" a="1"/>
  <c r="U684" i="8" s="1"/>
  <c r="V18" i="9" s="1"/>
  <c r="J684" i="8" a="1"/>
  <c r="J684" i="8" s="1"/>
  <c r="G18" i="9" s="1"/>
  <c r="Q267" i="8" a="1"/>
  <c r="Q277" i="8" s="1"/>
  <c r="W684" i="8" a="1"/>
  <c r="W684" i="8" s="1"/>
  <c r="X18" i="9" s="1"/>
  <c r="AH684" i="8" a="1"/>
  <c r="AH684" i="8" s="1"/>
  <c r="O267" i="8" a="1"/>
  <c r="O282" i="8" s="1"/>
  <c r="P684" i="8" a="1"/>
  <c r="P684" i="8" s="1"/>
  <c r="U18" i="9" s="1"/>
  <c r="AJ684" i="8" a="1"/>
  <c r="AJ684" i="8" s="1"/>
  <c r="H684" i="8" a="1"/>
  <c r="H684" i="8" s="1"/>
  <c r="Q18" i="9" s="1"/>
  <c r="Q684" i="8" a="1"/>
  <c r="Q684" i="8" s="1"/>
  <c r="J18" i="9" s="1"/>
  <c r="S684" i="8" a="1"/>
  <c r="S684" i="8" s="1"/>
  <c r="L18" i="9" s="1"/>
  <c r="AU684" i="8" a="1"/>
  <c r="AU684" i="8" s="1"/>
  <c r="AR684" i="8" a="1"/>
  <c r="AR684" i="8" s="1"/>
  <c r="AZ684" i="8" a="1"/>
  <c r="AZ684" i="8" s="1"/>
  <c r="V684" i="8" a="1"/>
  <c r="V684" i="8" s="1"/>
  <c r="W18" i="9" s="1"/>
  <c r="BB684" i="8" a="1"/>
  <c r="BB684" i="8" s="1"/>
  <c r="AK684" i="8" a="1"/>
  <c r="AK684" i="8" s="1"/>
  <c r="AB684" i="8" a="1"/>
  <c r="AB684" i="8" s="1"/>
  <c r="AT684" i="8" a="1"/>
  <c r="AT684" i="8" s="1"/>
  <c r="BA684" i="8" a="1"/>
  <c r="BA684" i="8" s="1"/>
  <c r="O684" i="8" a="1"/>
  <c r="O684" i="8" s="1"/>
  <c r="T18" i="9" s="1"/>
  <c r="Y684" i="8" a="1"/>
  <c r="Y684" i="8" s="1"/>
  <c r="N18" i="9" s="1"/>
  <c r="M467" i="8"/>
  <c r="AF684" i="8" a="1"/>
  <c r="AF684" i="8" s="1"/>
  <c r="BC684" i="8" a="1"/>
  <c r="BC684" i="8" s="1"/>
  <c r="AQ684" i="8" a="1"/>
  <c r="AQ684" i="8" s="1"/>
  <c r="AC684" i="8" a="1"/>
  <c r="AC684" i="8" s="1"/>
  <c r="AP684" i="8" a="1"/>
  <c r="AP684" i="8" s="1"/>
  <c r="AS684" i="8" a="1"/>
  <c r="AS684" i="8" s="1"/>
  <c r="AX684" i="8" a="1"/>
  <c r="AX684" i="8" s="1"/>
  <c r="R684" i="8" a="1"/>
  <c r="R684" i="8" s="1"/>
  <c r="K18" i="9" s="1"/>
  <c r="AG684" i="8" a="1"/>
  <c r="AG684" i="8" s="1"/>
  <c r="AN684" i="8" a="1"/>
  <c r="AN684" i="8" s="1"/>
  <c r="AL684" i="8" a="1"/>
  <c r="AL684" i="8" s="1"/>
  <c r="T684" i="8" a="1"/>
  <c r="T684" i="8" s="1"/>
  <c r="AE684" i="8" a="1"/>
  <c r="AE684" i="8" s="1"/>
  <c r="Z684" i="8" a="1"/>
  <c r="Z684" i="8" s="1"/>
  <c r="O18" i="9" s="1"/>
  <c r="K684" i="8" a="1"/>
  <c r="K684" i="8" s="1"/>
  <c r="H18" i="9" s="1"/>
  <c r="I684" i="8" a="1"/>
  <c r="I684" i="8" s="1"/>
  <c r="R18" i="9" s="1"/>
  <c r="AA684" i="8" a="1"/>
  <c r="AA684" i="8" s="1"/>
  <c r="G684" i="8" a="1"/>
  <c r="G684" i="8" s="1"/>
  <c r="P18" i="9" s="1"/>
  <c r="AW684" i="8" a="1"/>
  <c r="AW684" i="8" s="1"/>
  <c r="AM684" i="8" a="1"/>
  <c r="AM684" i="8" s="1"/>
  <c r="AV684" i="8" a="1"/>
  <c r="AV684" i="8" s="1"/>
  <c r="L684" i="8" a="1"/>
  <c r="L684" i="8" s="1"/>
  <c r="I18" i="9" s="1"/>
  <c r="M684" i="8" a="1"/>
  <c r="M684" i="8" s="1"/>
  <c r="AD684" i="8" a="1"/>
  <c r="AD684" i="8" s="1"/>
  <c r="AY684" i="8" a="1"/>
  <c r="AY684" i="8" s="1"/>
  <c r="AO684" i="8" a="1"/>
  <c r="AO684" i="8" s="1"/>
  <c r="X684" i="8" a="1"/>
  <c r="X684" i="8" s="1"/>
  <c r="M18" i="9" s="1"/>
  <c r="N684" i="8" a="1"/>
  <c r="N684" i="8" s="1"/>
  <c r="S18" i="9" s="1"/>
  <c r="U19" i="9"/>
  <c r="O19" i="9"/>
  <c r="L19" i="9"/>
  <c r="R19" i="9"/>
  <c r="N19" i="9"/>
  <c r="G19" i="9"/>
  <c r="W19" i="9"/>
  <c r="M19" i="9"/>
  <c r="S19" i="9"/>
  <c r="Q19" i="9"/>
  <c r="X19" i="9"/>
  <c r="T19" i="9"/>
  <c r="K19" i="9"/>
  <c r="J19" i="9"/>
  <c r="H19" i="9"/>
  <c r="I19" i="9"/>
  <c r="P19" i="9"/>
  <c r="E684" i="8" l="1"/>
  <c r="T17" i="9"/>
  <c r="N17" i="9"/>
  <c r="H17" i="9"/>
  <c r="R17" i="9"/>
  <c r="U17" i="9"/>
  <c r="K17" i="9"/>
  <c r="O17" i="9"/>
  <c r="W17" i="9"/>
  <c r="X17" i="9"/>
  <c r="P17" i="9"/>
  <c r="M17" i="9"/>
  <c r="S17" i="9"/>
  <c r="Q17" i="9"/>
  <c r="I17" i="9"/>
  <c r="J17" i="9"/>
  <c r="V17" i="9"/>
  <c r="L17" i="9"/>
  <c r="G17" i="9"/>
  <c r="O383" i="8"/>
  <c r="O303" i="8"/>
  <c r="O388" i="8"/>
  <c r="O449" i="8"/>
  <c r="O456" i="8"/>
  <c r="O386" i="8"/>
  <c r="O308" i="8"/>
  <c r="O341" i="8"/>
  <c r="O281" i="8"/>
  <c r="O312" i="8"/>
  <c r="O285" i="8"/>
  <c r="O395" i="8"/>
  <c r="O418" i="8"/>
  <c r="O268" i="8"/>
  <c r="O404" i="8"/>
  <c r="O278" i="8"/>
  <c r="O385" i="8"/>
  <c r="O346" i="8"/>
  <c r="O287" i="8"/>
  <c r="O419" i="8"/>
  <c r="O331" i="8"/>
  <c r="O379" i="8"/>
  <c r="O435" i="8"/>
  <c r="O326" i="8"/>
  <c r="O387" i="8"/>
  <c r="O350" i="8"/>
  <c r="O382" i="8"/>
  <c r="O425" i="8"/>
  <c r="O412" i="8"/>
  <c r="O272" i="8"/>
  <c r="O438" i="8"/>
  <c r="O291" i="8"/>
  <c r="O437" i="8"/>
  <c r="O410" i="8"/>
  <c r="O436" i="8"/>
  <c r="O406" i="8"/>
  <c r="O415" i="8"/>
  <c r="O378" i="8"/>
  <c r="O315" i="8"/>
  <c r="O348" i="8"/>
  <c r="O349" i="8"/>
  <c r="O455" i="8"/>
  <c r="O271" i="8"/>
  <c r="O301" i="8"/>
  <c r="O270" i="8"/>
  <c r="O284" i="8"/>
  <c r="O356" i="8"/>
  <c r="O318" i="8"/>
  <c r="O289" i="8"/>
  <c r="O428" i="8"/>
  <c r="O426" i="8"/>
  <c r="O401" i="8"/>
  <c r="O463" i="8"/>
  <c r="O462" i="8"/>
  <c r="O335" i="8"/>
  <c r="O444" i="8"/>
  <c r="O363" i="8"/>
  <c r="O384" i="8"/>
  <c r="O304" i="8"/>
  <c r="O314" i="8"/>
  <c r="O275" i="8"/>
  <c r="O442" i="8"/>
  <c r="O298" i="8"/>
  <c r="O329" i="8"/>
  <c r="O394" i="8"/>
  <c r="O276" i="8"/>
  <c r="O459" i="8"/>
  <c r="O360" i="8"/>
  <c r="O393" i="8"/>
  <c r="O334" i="8"/>
  <c r="O292" i="8"/>
  <c r="O430" i="8"/>
  <c r="O324" i="8"/>
  <c r="O358" i="8"/>
  <c r="O321" i="8"/>
  <c r="O466" i="8"/>
  <c r="O407" i="8"/>
  <c r="O392" i="8"/>
  <c r="O400" i="8"/>
  <c r="O405" i="8"/>
  <c r="O283" i="8"/>
  <c r="O269" i="8"/>
  <c r="O365" i="8"/>
  <c r="O439" i="8"/>
  <c r="O389" i="8"/>
  <c r="O451" i="8"/>
  <c r="O465" i="8"/>
  <c r="O391" i="8"/>
  <c r="O343" i="8"/>
  <c r="O460" i="8"/>
  <c r="O351" i="8"/>
  <c r="O332" i="8"/>
  <c r="O448" i="8"/>
  <c r="O307" i="8"/>
  <c r="O359" i="8"/>
  <c r="O464" i="8"/>
  <c r="O316" i="8"/>
  <c r="O373" i="8"/>
  <c r="Q298" i="8"/>
  <c r="Q416" i="8"/>
  <c r="Q366" i="8"/>
  <c r="Q455" i="8"/>
  <c r="Q429" i="8"/>
  <c r="Q303" i="8"/>
  <c r="Q339" i="8"/>
  <c r="Q280" i="8"/>
  <c r="Q411" i="8"/>
  <c r="Q364" i="8"/>
  <c r="Q359" i="8"/>
  <c r="Q304" i="8"/>
  <c r="Q293" i="8"/>
  <c r="Q370" i="8"/>
  <c r="Q318" i="8"/>
  <c r="Q334" i="8"/>
  <c r="Q459" i="8"/>
  <c r="Q394" i="8"/>
  <c r="Q439" i="8"/>
  <c r="Q391" i="8"/>
  <c r="Q313" i="8"/>
  <c r="Q447" i="8"/>
  <c r="Q374" i="8"/>
  <c r="Q399" i="8"/>
  <c r="Q301" i="8"/>
  <c r="Q354" i="8"/>
  <c r="Q291" i="8"/>
  <c r="Q317" i="8"/>
  <c r="Q368" i="8"/>
  <c r="Q379" i="8"/>
  <c r="Q347" i="8"/>
  <c r="Q440" i="8"/>
  <c r="Q380" i="8"/>
  <c r="Q401" i="8"/>
  <c r="Q311" i="8"/>
  <c r="Q434" i="8"/>
  <c r="Q332" i="8"/>
  <c r="Q408" i="8"/>
  <c r="Q390" i="8"/>
  <c r="Q360" i="8"/>
  <c r="Q412" i="8"/>
  <c r="Q454" i="8"/>
  <c r="Q279" i="8"/>
  <c r="Q406" i="8"/>
  <c r="Q381" i="8"/>
  <c r="Q276" i="8"/>
  <c r="Q299" i="8"/>
  <c r="Q297" i="8"/>
  <c r="Q422" i="8"/>
  <c r="Q269" i="8"/>
  <c r="Q397" i="8"/>
  <c r="Q403" i="8"/>
  <c r="Q463" i="8"/>
  <c r="Q343" i="8"/>
  <c r="Q413" i="8"/>
  <c r="Q338" i="8"/>
  <c r="Q278" i="8"/>
  <c r="Q273" i="8"/>
  <c r="Q307" i="8"/>
  <c r="Q433" i="8"/>
  <c r="Q324" i="8"/>
  <c r="Q421" i="8"/>
  <c r="Q365" i="8"/>
  <c r="Q410" i="8"/>
  <c r="Q387" i="8"/>
  <c r="Q320" i="8"/>
  <c r="Q388" i="8"/>
  <c r="Q362" i="8"/>
  <c r="Q400" i="8"/>
  <c r="Q456" i="8"/>
  <c r="Q336" i="8"/>
  <c r="Q329" i="8"/>
  <c r="Q392" i="8"/>
  <c r="Q302" i="8"/>
  <c r="Q319" i="8"/>
  <c r="Q418" i="8"/>
  <c r="Q393" i="8"/>
  <c r="Q395" i="8"/>
  <c r="Q398" i="8"/>
  <c r="Q407" i="8"/>
  <c r="Q457" i="8"/>
  <c r="Q337" i="8"/>
  <c r="Q292" i="8"/>
  <c r="Q330" i="8"/>
  <c r="Q309" i="8"/>
  <c r="Q296" i="8"/>
  <c r="Q335" i="8"/>
  <c r="Q386" i="8"/>
  <c r="Q321" i="8"/>
  <c r="Q270" i="8"/>
  <c r="Q405" i="8"/>
  <c r="Q363" i="8"/>
  <c r="Q431" i="8"/>
  <c r="Q327" i="8"/>
  <c r="Q351" i="8"/>
  <c r="Q378" i="8"/>
  <c r="Q281" i="8"/>
  <c r="Q448" i="8"/>
  <c r="Q373" i="8"/>
  <c r="Q417" i="8"/>
  <c r="Q426" i="8"/>
  <c r="Q331" i="8"/>
  <c r="Q435" i="8"/>
  <c r="Q272" i="8"/>
  <c r="Q382" i="8"/>
  <c r="Q323" i="8"/>
  <c r="Q287" i="8"/>
  <c r="Q305" i="8"/>
  <c r="Q361" i="8"/>
  <c r="Q357" i="8"/>
  <c r="Q449" i="8"/>
  <c r="Q268" i="8"/>
  <c r="Q289" i="8"/>
  <c r="Q409" i="8"/>
  <c r="Q371" i="8"/>
  <c r="Q349" i="8"/>
  <c r="Q283" i="8"/>
  <c r="Q284" i="8"/>
  <c r="Q286" i="8"/>
  <c r="Q367" i="8"/>
  <c r="Q428" i="8"/>
  <c r="Q438" i="8"/>
  <c r="Q300" i="8"/>
  <c r="Q369" i="8"/>
  <c r="Q295" i="8"/>
  <c r="Q348" i="8"/>
  <c r="Q461" i="8"/>
  <c r="Q341" i="8"/>
  <c r="Q420" i="8"/>
  <c r="Q358" i="8"/>
  <c r="Q437" i="8"/>
  <c r="Q430" i="8"/>
  <c r="Q310" i="8"/>
  <c r="Q441" i="8"/>
  <c r="Q425" i="8"/>
  <c r="Q353" i="8"/>
  <c r="Q465" i="8"/>
  <c r="Q346" i="8"/>
  <c r="Q404" i="8"/>
  <c r="Q350" i="8"/>
  <c r="Q402" i="8"/>
  <c r="Q282" i="8"/>
  <c r="Q453" i="8"/>
  <c r="Q316" i="8"/>
  <c r="Q326" i="8"/>
  <c r="Q315" i="8"/>
  <c r="Q308" i="8"/>
  <c r="Q385" i="8"/>
  <c r="Q446" i="8"/>
  <c r="Q372" i="8"/>
  <c r="Q445" i="8"/>
  <c r="Q415" i="8"/>
  <c r="Q419" i="8"/>
  <c r="Q342" i="8"/>
  <c r="Q352" i="8"/>
  <c r="Q466" i="8"/>
  <c r="Q294" i="8"/>
  <c r="Q427" i="8"/>
  <c r="Q396" i="8"/>
  <c r="Q345" i="8"/>
  <c r="Q275" i="8"/>
  <c r="Q377" i="8"/>
  <c r="Q442" i="8"/>
  <c r="Q306" i="8"/>
  <c r="Q423" i="8"/>
  <c r="Q274" i="8"/>
  <c r="Q267" i="8"/>
  <c r="Q376" i="8"/>
  <c r="Q452" i="8"/>
  <c r="Q424" i="8"/>
  <c r="Q432" i="8"/>
  <c r="Q290" i="8"/>
  <c r="Q340" i="8"/>
  <c r="Q322" i="8"/>
  <c r="Q344" i="8"/>
  <c r="Q328" i="8"/>
  <c r="Q414" i="8"/>
  <c r="Q464" i="8"/>
  <c r="Q444" i="8"/>
  <c r="Q384" i="8"/>
  <c r="Q271" i="8"/>
  <c r="Q333" i="8"/>
  <c r="Q356" i="8"/>
  <c r="Q312" i="8"/>
  <c r="Q436" i="8"/>
  <c r="Q355" i="8"/>
  <c r="Q389" i="8"/>
  <c r="Q288" i="8"/>
  <c r="Q314" i="8"/>
  <c r="Q462" i="8"/>
  <c r="Q460" i="8"/>
  <c r="Q383" i="8"/>
  <c r="Q458" i="8"/>
  <c r="Q443" i="8"/>
  <c r="Q285" i="8"/>
  <c r="Q450" i="8"/>
  <c r="Q325" i="8"/>
  <c r="Q375" i="8"/>
  <c r="Q451" i="8"/>
  <c r="O355" i="8"/>
  <c r="O409" i="8"/>
  <c r="O413" i="8"/>
  <c r="O422" i="8"/>
  <c r="O458" i="8"/>
  <c r="O367" i="8"/>
  <c r="O362" i="8"/>
  <c r="O453" i="8"/>
  <c r="O322" i="8"/>
  <c r="O353" i="8"/>
  <c r="O337" i="8"/>
  <c r="O370" i="8"/>
  <c r="O371" i="8"/>
  <c r="O417" i="8"/>
  <c r="O323" i="8"/>
  <c r="O333" i="8"/>
  <c r="O319" i="8"/>
  <c r="O372" i="8"/>
  <c r="O369" i="8"/>
  <c r="O345" i="8"/>
  <c r="O280" i="8"/>
  <c r="O317" i="8"/>
  <c r="O310" i="8"/>
  <c r="O267" i="8"/>
  <c r="O273" i="8"/>
  <c r="O420" i="8"/>
  <c r="O416" i="8"/>
  <c r="O286" i="8"/>
  <c r="O423" i="8"/>
  <c r="O429" i="8"/>
  <c r="O354" i="8"/>
  <c r="O402" i="8"/>
  <c r="O361" i="8"/>
  <c r="O454" i="8"/>
  <c r="O399" i="8"/>
  <c r="O403" i="8"/>
  <c r="O357" i="8"/>
  <c r="O330" i="8"/>
  <c r="O305" i="8"/>
  <c r="O342" i="8"/>
  <c r="O299" i="8"/>
  <c r="O432" i="8"/>
  <c r="O302" i="8"/>
  <c r="O294" i="8"/>
  <c r="O427" i="8"/>
  <c r="O306" i="8"/>
  <c r="O325" i="8"/>
  <c r="O434" i="8"/>
  <c r="O290" i="8"/>
  <c r="O396" i="8"/>
  <c r="O352" i="8"/>
  <c r="O327" i="8"/>
  <c r="O374" i="8"/>
  <c r="O295" i="8"/>
  <c r="O340" i="8"/>
  <c r="O441" i="8"/>
  <c r="O390" i="8"/>
  <c r="O433" i="8"/>
  <c r="O375" i="8"/>
  <c r="O398" i="8"/>
  <c r="O344" i="8"/>
  <c r="O277" i="8"/>
  <c r="O313" i="8"/>
  <c r="O446" i="8"/>
  <c r="O445" i="8"/>
  <c r="O338" i="8"/>
  <c r="O320" i="8"/>
  <c r="O328" i="8"/>
  <c r="O421" i="8"/>
  <c r="O347" i="8"/>
  <c r="O381" i="8"/>
  <c r="O380" i="8"/>
  <c r="O450" i="8"/>
  <c r="O279" i="8"/>
  <c r="O293" i="8"/>
  <c r="O452" i="8"/>
  <c r="O336" i="8"/>
  <c r="O411" i="8"/>
  <c r="O414" i="8"/>
  <c r="O376" i="8"/>
  <c r="O440" i="8"/>
  <c r="O424" i="8"/>
  <c r="O366" i="8"/>
  <c r="O408" i="8"/>
  <c r="O274" i="8"/>
  <c r="O461" i="8"/>
  <c r="O288" i="8"/>
  <c r="O368" i="8"/>
  <c r="O309" i="8"/>
  <c r="O296" i="8"/>
  <c r="O300" i="8"/>
  <c r="O364" i="8"/>
  <c r="O377" i="8"/>
  <c r="O297" i="8"/>
  <c r="O311" i="8"/>
  <c r="O457" i="8"/>
  <c r="O339" i="8"/>
  <c r="O431" i="8"/>
  <c r="O443" i="8"/>
  <c r="O447" i="8"/>
  <c r="O397" i="8"/>
  <c r="F18" i="9"/>
  <c r="E685" i="8"/>
  <c r="F19" i="9"/>
  <c r="F17" i="9" l="1"/>
  <c r="U267" i="8" a="1"/>
  <c r="U413" i="8" s="1"/>
  <c r="O467" i="8"/>
  <c r="U365" i="8" l="1"/>
  <c r="U314" i="8"/>
  <c r="U436" i="8"/>
  <c r="U382" i="8"/>
  <c r="U388" i="8"/>
  <c r="U464" i="8"/>
  <c r="U401" i="8"/>
  <c r="U439" i="8"/>
  <c r="U363" i="8"/>
  <c r="U416" i="8"/>
  <c r="U324" i="8"/>
  <c r="U385" i="8"/>
  <c r="U415" i="8"/>
  <c r="U282" i="8"/>
  <c r="U332" i="8"/>
  <c r="U396" i="8"/>
  <c r="U341" i="8"/>
  <c r="U446" i="8"/>
  <c r="U347" i="8"/>
  <c r="U408" i="8"/>
  <c r="U375" i="8"/>
  <c r="U329" i="8"/>
  <c r="U407" i="8"/>
  <c r="U317" i="8"/>
  <c r="U344" i="8"/>
  <c r="U406" i="8"/>
  <c r="U270" i="8"/>
  <c r="U369" i="8"/>
  <c r="U438" i="8"/>
  <c r="U444" i="8"/>
  <c r="U327" i="8"/>
  <c r="U393" i="8"/>
  <c r="U432" i="8"/>
  <c r="U273" i="8"/>
  <c r="U424" i="8"/>
  <c r="U456" i="8"/>
  <c r="U373" i="8"/>
  <c r="U426" i="8"/>
  <c r="U440" i="8"/>
  <c r="U399" i="8"/>
  <c r="U366" i="8"/>
  <c r="U430" i="8"/>
  <c r="U414" i="8"/>
  <c r="U462" i="8"/>
  <c r="U395" i="8"/>
  <c r="U381" i="8"/>
  <c r="U312" i="8"/>
  <c r="U269" i="8"/>
  <c r="U443" i="8"/>
  <c r="U334" i="8"/>
  <c r="U338" i="8"/>
  <c r="U280" i="8"/>
  <c r="U458" i="8"/>
  <c r="U316" i="8"/>
  <c r="U322" i="8"/>
  <c r="U391" i="8"/>
  <c r="U277" i="8"/>
  <c r="U384" i="8"/>
  <c r="U429" i="8"/>
  <c r="U320" i="8"/>
  <c r="U423" i="8"/>
  <c r="U376" i="8"/>
  <c r="U303" i="8"/>
  <c r="U387" i="8"/>
  <c r="U460" i="8"/>
  <c r="U368" i="8"/>
  <c r="U321" i="8"/>
  <c r="U452" i="8"/>
  <c r="U441" i="8"/>
  <c r="U367" i="8"/>
  <c r="U278" i="8"/>
  <c r="U315" i="8"/>
  <c r="U337" i="8"/>
  <c r="U362" i="8"/>
  <c r="U296" i="8"/>
  <c r="U287" i="8"/>
  <c r="U402" i="8"/>
  <c r="U378" i="8"/>
  <c r="U434" i="8"/>
  <c r="U389" i="8"/>
  <c r="U360" i="8"/>
  <c r="U318" i="8"/>
  <c r="U371" i="8"/>
  <c r="U437" i="8"/>
  <c r="U405" i="8"/>
  <c r="U310" i="8"/>
  <c r="U418" i="8"/>
  <c r="U422" i="8"/>
  <c r="U447" i="8"/>
  <c r="U403" i="8"/>
  <c r="U275" i="8"/>
  <c r="U451" i="8"/>
  <c r="U289" i="8"/>
  <c r="U377" i="8"/>
  <c r="U370" i="8"/>
  <c r="U323" i="8"/>
  <c r="U412" i="8"/>
  <c r="U417" i="8"/>
  <c r="U359" i="8"/>
  <c r="U319" i="8"/>
  <c r="U350" i="8"/>
  <c r="U420" i="8"/>
  <c r="U325" i="8"/>
  <c r="U354" i="8"/>
  <c r="U459" i="8"/>
  <c r="U411" i="8"/>
  <c r="U351" i="8"/>
  <c r="U298" i="8"/>
  <c r="U267" i="8"/>
  <c r="U448" i="8"/>
  <c r="U431" i="8"/>
  <c r="U427" i="8"/>
  <c r="U404" i="8"/>
  <c r="U331" i="8"/>
  <c r="U311" i="8"/>
  <c r="U274" i="8"/>
  <c r="U433" i="8"/>
  <c r="U442" i="8"/>
  <c r="U435" i="8"/>
  <c r="U428" i="8"/>
  <c r="U272" i="8"/>
  <c r="U285" i="8"/>
  <c r="U335" i="8"/>
  <c r="U345" i="8"/>
  <c r="U307" i="8"/>
  <c r="U291" i="8"/>
  <c r="U313" i="8"/>
  <c r="U386" i="8"/>
  <c r="U457" i="8"/>
  <c r="U463" i="8"/>
  <c r="U397" i="8"/>
  <c r="U383" i="8"/>
  <c r="U290" i="8"/>
  <c r="U292" i="8"/>
  <c r="U379" i="8"/>
  <c r="U453" i="8"/>
  <c r="U328" i="8"/>
  <c r="U276" i="8"/>
  <c r="U356" i="8"/>
  <c r="U309" i="8"/>
  <c r="U465" i="8"/>
  <c r="U372" i="8"/>
  <c r="U333" i="8"/>
  <c r="U374" i="8"/>
  <c r="U450" i="8"/>
  <c r="U454" i="8"/>
  <c r="U297" i="8"/>
  <c r="U461" i="8"/>
  <c r="U398" i="8"/>
  <c r="U358" i="8"/>
  <c r="U284" i="8"/>
  <c r="U302" i="8"/>
  <c r="U281" i="8"/>
  <c r="U352" i="8"/>
  <c r="U293" i="8"/>
  <c r="U348" i="8"/>
  <c r="U466" i="8"/>
  <c r="U305" i="8"/>
  <c r="U299" i="8"/>
  <c r="U343" i="8"/>
  <c r="U349" i="8"/>
  <c r="U400" i="8"/>
  <c r="U346" i="8"/>
  <c r="U336" i="8"/>
  <c r="U353" i="8"/>
  <c r="U410" i="8"/>
  <c r="U268" i="8"/>
  <c r="U271" i="8"/>
  <c r="U286" i="8"/>
  <c r="U392" i="8"/>
  <c r="U394" i="8"/>
  <c r="U445" i="8"/>
  <c r="U364" i="8"/>
  <c r="U304" i="8"/>
  <c r="U357" i="8"/>
  <c r="U295" i="8"/>
  <c r="U288" i="8"/>
  <c r="U419" i="8"/>
  <c r="U340" i="8"/>
  <c r="U390" i="8"/>
  <c r="U306" i="8"/>
  <c r="U326" i="8"/>
  <c r="U361" i="8"/>
  <c r="U342" i="8"/>
  <c r="U421" i="8"/>
  <c r="U300" i="8"/>
  <c r="U339" i="8"/>
  <c r="U355" i="8"/>
  <c r="U283" i="8"/>
  <c r="U425" i="8"/>
  <c r="U308" i="8"/>
  <c r="U455" i="8"/>
  <c r="U380" i="8"/>
  <c r="U449" i="8"/>
  <c r="U301" i="8"/>
  <c r="U409" i="8"/>
  <c r="U279" i="8"/>
  <c r="U330" i="8"/>
  <c r="U294" i="8"/>
  <c r="F479" i="8" l="1" a="1"/>
  <c r="AP557" i="8" s="1"/>
  <c r="AS544" i="8" l="1"/>
  <c r="AI651" i="8"/>
  <c r="BC534" i="8"/>
  <c r="W544" i="8"/>
  <c r="AD554" i="8"/>
  <c r="AT525" i="8"/>
  <c r="AF557" i="8"/>
  <c r="Y539" i="8"/>
  <c r="AX511" i="8"/>
  <c r="N557" i="8"/>
  <c r="H560" i="8"/>
  <c r="AB524" i="8"/>
  <c r="J581" i="8"/>
  <c r="BA657" i="8"/>
  <c r="T663" i="8"/>
  <c r="Y481" i="8"/>
  <c r="S525" i="8"/>
  <c r="M620" i="8"/>
  <c r="AR524" i="8"/>
  <c r="N569" i="8"/>
  <c r="R507" i="8"/>
  <c r="R567" i="8"/>
  <c r="AW544" i="8"/>
  <c r="AG492" i="8"/>
  <c r="AE534" i="8"/>
  <c r="AG539" i="8"/>
  <c r="AF539" i="8"/>
  <c r="T673" i="8"/>
  <c r="AH524" i="8"/>
  <c r="AW573" i="8"/>
  <c r="S581" i="8"/>
  <c r="Z594" i="8"/>
  <c r="O532" i="8"/>
  <c r="AJ544" i="8"/>
  <c r="BB539" i="8"/>
  <c r="S524" i="8"/>
  <c r="Q525" i="8"/>
  <c r="L569" i="8"/>
  <c r="AM657" i="8"/>
  <c r="AE620" i="8"/>
  <c r="W581" i="8"/>
  <c r="AZ663" i="8"/>
  <c r="H657" i="8"/>
  <c r="AB649" i="8"/>
  <c r="M544" i="8"/>
  <c r="AM539" i="8"/>
  <c r="AS524" i="8"/>
  <c r="AF525" i="8"/>
  <c r="AV569" i="8"/>
  <c r="K510" i="8"/>
  <c r="U620" i="8"/>
  <c r="BA581" i="8"/>
  <c r="Q663" i="8"/>
  <c r="AD657" i="8"/>
  <c r="AL649" i="8"/>
  <c r="AV613" i="8"/>
  <c r="R544" i="8"/>
  <c r="AZ539" i="8"/>
  <c r="AT524" i="8"/>
  <c r="AP525" i="8"/>
  <c r="BB569" i="8"/>
  <c r="AV640" i="8"/>
  <c r="AS620" i="8"/>
  <c r="AP581" i="8"/>
  <c r="I663" i="8"/>
  <c r="N602" i="8"/>
  <c r="BC651" i="8"/>
  <c r="AM544" i="8"/>
  <c r="F539" i="8"/>
  <c r="AY524" i="8"/>
  <c r="AO515" i="8"/>
  <c r="X591" i="8"/>
  <c r="AS520" i="8"/>
  <c r="X586" i="8"/>
  <c r="AN594" i="8"/>
  <c r="AM581" i="8"/>
  <c r="AX531" i="8"/>
  <c r="AR602" i="8"/>
  <c r="T668" i="8"/>
  <c r="AD640" i="8"/>
  <c r="P613" i="8"/>
  <c r="AD544" i="8"/>
  <c r="AV544" i="8"/>
  <c r="AW539" i="8"/>
  <c r="Q539" i="8"/>
  <c r="AH539" i="8"/>
  <c r="AN539" i="8"/>
  <c r="AE524" i="8"/>
  <c r="J524" i="8"/>
  <c r="BA534" i="8"/>
  <c r="AI534" i="8"/>
  <c r="R515" i="8"/>
  <c r="G525" i="8"/>
  <c r="Q591" i="8"/>
  <c r="O569" i="8"/>
  <c r="AS573" i="8"/>
  <c r="AG520" i="8"/>
  <c r="U668" i="8"/>
  <c r="H586" i="8"/>
  <c r="X499" i="8"/>
  <c r="AD620" i="8"/>
  <c r="AF674" i="8"/>
  <c r="BC514" i="8"/>
  <c r="J597" i="8"/>
  <c r="AC581" i="8"/>
  <c r="I674" i="8"/>
  <c r="I499" i="8"/>
  <c r="AH531" i="8"/>
  <c r="K595" i="8"/>
  <c r="T560" i="8"/>
  <c r="AS602" i="8"/>
  <c r="BA597" i="8"/>
  <c r="H668" i="8"/>
  <c r="AA621" i="8"/>
  <c r="AE529" i="8"/>
  <c r="P598" i="8"/>
  <c r="AY603" i="8"/>
  <c r="BA544" i="8"/>
  <c r="BC539" i="8"/>
  <c r="U524" i="8"/>
  <c r="L534" i="8"/>
  <c r="AE525" i="8"/>
  <c r="AZ573" i="8"/>
  <c r="P567" i="8"/>
  <c r="AW639" i="8"/>
  <c r="AD674" i="8"/>
  <c r="BB557" i="8"/>
  <c r="N599" i="8"/>
  <c r="AC527" i="8"/>
  <c r="F544" i="8"/>
  <c r="N539" i="8"/>
  <c r="AK524" i="8"/>
  <c r="AH534" i="8"/>
  <c r="Y511" i="8"/>
  <c r="P667" i="8"/>
  <c r="AC481" i="8"/>
  <c r="R486" i="8"/>
  <c r="AF664" i="8"/>
  <c r="AB673" i="8"/>
  <c r="H594" i="8"/>
  <c r="X483" i="8"/>
  <c r="Z544" i="8"/>
  <c r="AO539" i="8"/>
  <c r="AU524" i="8"/>
  <c r="AU534" i="8"/>
  <c r="AJ525" i="8"/>
  <c r="AF520" i="8"/>
  <c r="W499" i="8"/>
  <c r="V521" i="8"/>
  <c r="AY674" i="8"/>
  <c r="AT595" i="8"/>
  <c r="G665" i="8"/>
  <c r="AY521" i="8"/>
  <c r="U544" i="8"/>
  <c r="BA539" i="8"/>
  <c r="Z524" i="8"/>
  <c r="AW534" i="8"/>
  <c r="S569" i="8"/>
  <c r="AH514" i="8"/>
  <c r="I664" i="8"/>
  <c r="BB674" i="8"/>
  <c r="O595" i="8"/>
  <c r="W597" i="8"/>
  <c r="AG529" i="8"/>
  <c r="W613" i="8"/>
  <c r="N544" i="8"/>
  <c r="AB544" i="8"/>
  <c r="AB539" i="8"/>
  <c r="AA539" i="8"/>
  <c r="L539" i="8"/>
  <c r="X539" i="8"/>
  <c r="V524" i="8"/>
  <c r="AI524" i="8"/>
  <c r="AK534" i="8"/>
  <c r="AN534" i="8"/>
  <c r="AW515" i="8"/>
  <c r="AN525" i="8"/>
  <c r="AG591" i="8"/>
  <c r="M569" i="8"/>
  <c r="J573" i="8"/>
  <c r="AD506" i="8"/>
  <c r="AE665" i="8"/>
  <c r="AQ586" i="8"/>
  <c r="F507" i="8"/>
  <c r="AV620" i="8"/>
  <c r="AX521" i="8"/>
  <c r="P499" i="8"/>
  <c r="AB597" i="8"/>
  <c r="M581" i="8"/>
  <c r="AI674" i="8"/>
  <c r="AJ663" i="8"/>
  <c r="AG510" i="8"/>
  <c r="X595" i="8"/>
  <c r="AI560" i="8"/>
  <c r="M602" i="8"/>
  <c r="AA499" i="8"/>
  <c r="BC668" i="8"/>
  <c r="AH621" i="8"/>
  <c r="H529" i="8"/>
  <c r="AE598" i="8"/>
  <c r="AW664" i="8"/>
  <c r="BC544" i="8"/>
  <c r="V539" i="8"/>
  <c r="Y524" i="8"/>
  <c r="G534" i="8"/>
  <c r="AU511" i="8"/>
  <c r="AB608" i="8"/>
  <c r="AE483" i="8"/>
  <c r="Y483" i="8"/>
  <c r="AL664" i="8"/>
  <c r="AI673" i="8"/>
  <c r="AO594" i="8"/>
  <c r="BA514" i="8"/>
  <c r="H544" i="8"/>
  <c r="AP539" i="8"/>
  <c r="BA524" i="8"/>
  <c r="AM534" i="8"/>
  <c r="BC525" i="8"/>
  <c r="AV573" i="8"/>
  <c r="Y510" i="8"/>
  <c r="AG521" i="8"/>
  <c r="Z674" i="8"/>
  <c r="T557" i="8"/>
  <c r="AS560" i="8"/>
  <c r="J527" i="8"/>
  <c r="BB544" i="8"/>
  <c r="AX539" i="8"/>
  <c r="G524" i="8"/>
  <c r="S534" i="8"/>
  <c r="AY511" i="8"/>
  <c r="AP599" i="8"/>
  <c r="AU620" i="8"/>
  <c r="P486" i="8"/>
  <c r="AS664" i="8"/>
  <c r="AY673" i="8"/>
  <c r="Q594" i="8"/>
  <c r="AB527" i="8"/>
  <c r="BC613" i="8"/>
  <c r="AA619" i="8"/>
  <c r="AV539" i="8"/>
  <c r="AP524" i="8"/>
  <c r="X525" i="8"/>
  <c r="X573" i="8"/>
  <c r="AZ651" i="8"/>
  <c r="AX620" i="8"/>
  <c r="AP597" i="8"/>
  <c r="H499" i="8"/>
  <c r="AF560" i="8"/>
  <c r="AY548" i="8"/>
  <c r="AE544" i="8"/>
  <c r="AC544" i="8"/>
  <c r="AQ544" i="8"/>
  <c r="AQ539" i="8"/>
  <c r="AK539" i="8"/>
  <c r="AD539" i="8"/>
  <c r="L524" i="8"/>
  <c r="BB524" i="8"/>
  <c r="AD524" i="8"/>
  <c r="AD534" i="8"/>
  <c r="AL534" i="8"/>
  <c r="AY515" i="8"/>
  <c r="AO525" i="8"/>
  <c r="W591" i="8"/>
  <c r="AZ569" i="8"/>
  <c r="AG573" i="8"/>
  <c r="G506" i="8"/>
  <c r="AB595" i="8"/>
  <c r="P664" i="8"/>
  <c r="I481" i="8"/>
  <c r="AZ620" i="8"/>
  <c r="AG535" i="8"/>
  <c r="AN507" i="8"/>
  <c r="AK597" i="8"/>
  <c r="AN581" i="8"/>
  <c r="W674" i="8"/>
  <c r="R663" i="8"/>
  <c r="AT510" i="8"/>
  <c r="R595" i="8"/>
  <c r="V560" i="8"/>
  <c r="AA567" i="8"/>
  <c r="AX514" i="8"/>
  <c r="W668" i="8"/>
  <c r="J621" i="8"/>
  <c r="O529" i="8"/>
  <c r="AR554" i="8"/>
  <c r="AD515" i="8"/>
  <c r="AY591" i="8"/>
  <c r="AD573" i="8"/>
  <c r="T640" i="8"/>
  <c r="O514" i="8"/>
  <c r="AK620" i="8"/>
  <c r="AC507" i="8"/>
  <c r="AA581" i="8"/>
  <c r="R674" i="8"/>
  <c r="O663" i="8"/>
  <c r="S595" i="8"/>
  <c r="BC560" i="8"/>
  <c r="BB663" i="8"/>
  <c r="AT532" i="8"/>
  <c r="AM651" i="8"/>
  <c r="AC667" i="8"/>
  <c r="AF544" i="8"/>
  <c r="K544" i="8"/>
  <c r="AL544" i="8"/>
  <c r="V544" i="8"/>
  <c r="AN544" i="8"/>
  <c r="G539" i="8"/>
  <c r="I539" i="8"/>
  <c r="T539" i="8"/>
  <c r="R539" i="8"/>
  <c r="AS539" i="8"/>
  <c r="K524" i="8"/>
  <c r="F524" i="8"/>
  <c r="T524" i="8"/>
  <c r="AL524" i="8"/>
  <c r="AQ534" i="8"/>
  <c r="AP534" i="8"/>
  <c r="AY534" i="8"/>
  <c r="AQ515" i="8"/>
  <c r="AB515" i="8"/>
  <c r="AI525" i="8"/>
  <c r="AA525" i="8"/>
  <c r="AV525" i="8"/>
  <c r="J496" i="8"/>
  <c r="AI511" i="8"/>
  <c r="BA569" i="8"/>
  <c r="AX569" i="8"/>
  <c r="AC573" i="8"/>
  <c r="AZ520" i="8"/>
  <c r="J506" i="8"/>
  <c r="AU555" i="8"/>
  <c r="BB567" i="8"/>
  <c r="F557" i="8"/>
  <c r="AT640" i="8"/>
  <c r="AH510" i="8"/>
  <c r="AJ492" i="8"/>
  <c r="AB620" i="8"/>
  <c r="AY620" i="8"/>
  <c r="R667" i="8"/>
  <c r="R657" i="8"/>
  <c r="AR597" i="8"/>
  <c r="AL514" i="8"/>
  <c r="AY492" i="8"/>
  <c r="AG597" i="8"/>
  <c r="O581" i="8"/>
  <c r="AW581" i="8"/>
  <c r="AM674" i="8"/>
  <c r="AB674" i="8"/>
  <c r="AR664" i="8"/>
  <c r="U663" i="8"/>
  <c r="I531" i="8"/>
  <c r="AK510" i="8"/>
  <c r="AR595" i="8"/>
  <c r="AE673" i="8"/>
  <c r="N673" i="8"/>
  <c r="J560" i="8"/>
  <c r="AB602" i="8"/>
  <c r="AE567" i="8"/>
  <c r="AP640" i="8"/>
  <c r="O481" i="8"/>
  <c r="BA668" i="8"/>
  <c r="AA532" i="8"/>
  <c r="F521" i="8"/>
  <c r="AF649" i="8"/>
  <c r="AV651" i="8"/>
  <c r="W611" i="8"/>
  <c r="AW601" i="8"/>
  <c r="AW649" i="8"/>
  <c r="J525" i="8"/>
  <c r="AC525" i="8"/>
  <c r="V569" i="8"/>
  <c r="BC520" i="8"/>
  <c r="AR651" i="8"/>
  <c r="AI664" i="8"/>
  <c r="BC620" i="8"/>
  <c r="AQ535" i="8"/>
  <c r="AK481" i="8"/>
  <c r="V581" i="8"/>
  <c r="V664" i="8"/>
  <c r="AU510" i="8"/>
  <c r="W673" i="8"/>
  <c r="M567" i="8"/>
  <c r="R594" i="8"/>
  <c r="R621" i="8"/>
  <c r="Q527" i="8"/>
  <c r="O534" i="8"/>
  <c r="J544" i="8"/>
  <c r="AZ544" i="8"/>
  <c r="AH544" i="8"/>
  <c r="X544" i="8"/>
  <c r="AZ619" i="8"/>
  <c r="M539" i="8"/>
  <c r="K539" i="8"/>
  <c r="J539" i="8"/>
  <c r="AR539" i="8"/>
  <c r="AJ539" i="8"/>
  <c r="BC524" i="8"/>
  <c r="I524" i="8"/>
  <c r="AX524" i="8"/>
  <c r="W524" i="8"/>
  <c r="AR534" i="8"/>
  <c r="AO534" i="8"/>
  <c r="W534" i="8"/>
  <c r="S515" i="8"/>
  <c r="Q515" i="8"/>
  <c r="U525" i="8"/>
  <c r="AZ525" i="8"/>
  <c r="AU525" i="8"/>
  <c r="Q496" i="8"/>
  <c r="AB511" i="8"/>
  <c r="K569" i="8"/>
  <c r="BA573" i="8"/>
  <c r="AU573" i="8"/>
  <c r="AL520" i="8"/>
  <c r="AQ506" i="8"/>
  <c r="AB599" i="8"/>
  <c r="BA531" i="8"/>
  <c r="AL557" i="8"/>
  <c r="AL483" i="8"/>
  <c r="AD486" i="8"/>
  <c r="F499" i="8"/>
  <c r="AT620" i="8"/>
  <c r="AN620" i="8"/>
  <c r="AB651" i="8"/>
  <c r="AP657" i="8"/>
  <c r="R664" i="8"/>
  <c r="AC486" i="8"/>
  <c r="AE481" i="8"/>
  <c r="Z597" i="8"/>
  <c r="Q581" i="8"/>
  <c r="P581" i="8"/>
  <c r="AW674" i="8"/>
  <c r="K674" i="8"/>
  <c r="AE664" i="8"/>
  <c r="W663" i="8"/>
  <c r="R531" i="8"/>
  <c r="X557" i="8"/>
  <c r="AN595" i="8"/>
  <c r="AD673" i="8"/>
  <c r="AG673" i="8"/>
  <c r="AH560" i="8"/>
  <c r="T602" i="8"/>
  <c r="H567" i="8"/>
  <c r="AC557" i="8"/>
  <c r="X492" i="8"/>
  <c r="AY668" i="8"/>
  <c r="AE532" i="8"/>
  <c r="AQ548" i="8"/>
  <c r="AP639" i="8"/>
  <c r="L651" i="8"/>
  <c r="R603" i="8"/>
  <c r="S535" i="8"/>
  <c r="AP590" i="8"/>
  <c r="AA534" i="8"/>
  <c r="T525" i="8"/>
  <c r="W511" i="8"/>
  <c r="AK569" i="8"/>
  <c r="AU506" i="8"/>
  <c r="AX674" i="8"/>
  <c r="W514" i="8"/>
  <c r="J620" i="8"/>
  <c r="L597" i="8"/>
  <c r="X597" i="8"/>
  <c r="AK674" i="8"/>
  <c r="Y531" i="8"/>
  <c r="AI595" i="8"/>
  <c r="AO602" i="8"/>
  <c r="Y486" i="8"/>
  <c r="AH521" i="8"/>
  <c r="AV611" i="8"/>
  <c r="AZ613" i="8"/>
  <c r="L544" i="8"/>
  <c r="AR544" i="8"/>
  <c r="AU544" i="8"/>
  <c r="AX544" i="8"/>
  <c r="T619" i="8"/>
  <c r="S539" i="8"/>
  <c r="H539" i="8"/>
  <c r="W539" i="8"/>
  <c r="AT539" i="8"/>
  <c r="AL539" i="8"/>
  <c r="AA524" i="8"/>
  <c r="AM524" i="8"/>
  <c r="AW524" i="8"/>
  <c r="N524" i="8"/>
  <c r="Q534" i="8"/>
  <c r="Y534" i="8"/>
  <c r="K534" i="8"/>
  <c r="BC515" i="8"/>
  <c r="BA525" i="8"/>
  <c r="AL525" i="8"/>
  <c r="AK525" i="8"/>
  <c r="P525" i="8"/>
  <c r="P511" i="8"/>
  <c r="AO569" i="8"/>
  <c r="G569" i="8"/>
  <c r="AL573" i="8"/>
  <c r="AF573" i="8"/>
  <c r="W520" i="8"/>
  <c r="P651" i="8"/>
  <c r="H601" i="8"/>
  <c r="H531" i="8"/>
  <c r="AB557" i="8"/>
  <c r="H507" i="8"/>
  <c r="L507" i="8"/>
  <c r="H483" i="8"/>
  <c r="AR620" i="8"/>
  <c r="K620" i="8"/>
  <c r="AN605" i="8"/>
  <c r="K557" i="8"/>
  <c r="AO640" i="8"/>
  <c r="AP486" i="8"/>
  <c r="U597" i="8"/>
  <c r="AM597" i="8"/>
  <c r="K581" i="8"/>
  <c r="AO581" i="8"/>
  <c r="AL674" i="8"/>
  <c r="BA674" i="8"/>
  <c r="AP664" i="8"/>
  <c r="AR663" i="8"/>
  <c r="F531" i="8"/>
  <c r="AT557" i="8"/>
  <c r="AQ595" i="8"/>
  <c r="AS673" i="8"/>
  <c r="AT560" i="8"/>
  <c r="Z560" i="8"/>
  <c r="AC602" i="8"/>
  <c r="AC567" i="8"/>
  <c r="AG664" i="8"/>
  <c r="AA594" i="8"/>
  <c r="AU668" i="8"/>
  <c r="AO532" i="8"/>
  <c r="AW548" i="8"/>
  <c r="AV557" i="8"/>
  <c r="AP608" i="8"/>
  <c r="Z603" i="8"/>
  <c r="AB640" i="8"/>
  <c r="AV590" i="8"/>
  <c r="AO524" i="8"/>
  <c r="T534" i="8"/>
  <c r="V534" i="8"/>
  <c r="J534" i="8"/>
  <c r="P534" i="8"/>
  <c r="AZ534" i="8"/>
  <c r="G515" i="8"/>
  <c r="M525" i="8"/>
  <c r="Z525" i="8"/>
  <c r="O525" i="8"/>
  <c r="AW525" i="8"/>
  <c r="Y525" i="8"/>
  <c r="AF591" i="8"/>
  <c r="M591" i="8"/>
  <c r="I511" i="8"/>
  <c r="T511" i="8"/>
  <c r="AM569" i="8"/>
  <c r="AE569" i="8"/>
  <c r="AG569" i="8"/>
  <c r="AX573" i="8"/>
  <c r="O573" i="8"/>
  <c r="AV520" i="8"/>
  <c r="AT520" i="8"/>
  <c r="P594" i="8"/>
  <c r="I665" i="8"/>
  <c r="P674" i="8"/>
  <c r="AP535" i="8"/>
  <c r="AY639" i="8"/>
  <c r="AC521" i="8"/>
  <c r="K597" i="8"/>
  <c r="AP514" i="8"/>
  <c r="AB507" i="8"/>
  <c r="AK492" i="8"/>
  <c r="AF483" i="8"/>
  <c r="S620" i="8"/>
  <c r="R620" i="8"/>
  <c r="AL620" i="8"/>
  <c r="AD595" i="8"/>
  <c r="Z601" i="8"/>
  <c r="AB510" i="8"/>
  <c r="W664" i="8"/>
  <c r="AB657" i="8"/>
  <c r="S486" i="8"/>
  <c r="G499" i="8"/>
  <c r="AL597" i="8"/>
  <c r="AI597" i="8"/>
  <c r="U581" i="8"/>
  <c r="G581" i="8"/>
  <c r="AY581" i="8"/>
  <c r="AK581" i="8"/>
  <c r="G674" i="8"/>
  <c r="H674" i="8"/>
  <c r="AU492" i="8"/>
  <c r="O664" i="8"/>
  <c r="K499" i="8"/>
  <c r="AC663" i="8"/>
  <c r="AE531" i="8"/>
  <c r="AQ531" i="8"/>
  <c r="Q557" i="8"/>
  <c r="AA557" i="8"/>
  <c r="AS595" i="8"/>
  <c r="I595" i="8"/>
  <c r="X673" i="8"/>
  <c r="O673" i="8"/>
  <c r="U560" i="8"/>
  <c r="AY657" i="8"/>
  <c r="V602" i="8"/>
  <c r="AA602" i="8"/>
  <c r="W567" i="8"/>
  <c r="AM649" i="8"/>
  <c r="AI499" i="8"/>
  <c r="AG481" i="8"/>
  <c r="AS594" i="8"/>
  <c r="AC668" i="8"/>
  <c r="AI532" i="8"/>
  <c r="AD649" i="8"/>
  <c r="AN548" i="8"/>
  <c r="AD601" i="8"/>
  <c r="AY507" i="8"/>
  <c r="AJ608" i="8"/>
  <c r="AT605" i="8"/>
  <c r="G599" i="8"/>
  <c r="G601" i="8"/>
  <c r="Q665" i="8"/>
  <c r="H522" i="8"/>
  <c r="AQ524" i="8"/>
  <c r="R534" i="8"/>
  <c r="N534" i="8"/>
  <c r="Z534" i="8"/>
  <c r="AJ534" i="8"/>
  <c r="K515" i="8"/>
  <c r="AF515" i="8"/>
  <c r="AM525" i="8"/>
  <c r="AH525" i="8"/>
  <c r="H525" i="8"/>
  <c r="K525" i="8"/>
  <c r="AX525" i="8"/>
  <c r="K591" i="8"/>
  <c r="AC591" i="8"/>
  <c r="AM511" i="8"/>
  <c r="W569" i="8"/>
  <c r="AF569" i="8"/>
  <c r="T569" i="8"/>
  <c r="P569" i="8"/>
  <c r="AK573" i="8"/>
  <c r="Z573" i="8"/>
  <c r="AQ520" i="8"/>
  <c r="BB520" i="8"/>
  <c r="AR599" i="8"/>
  <c r="AH649" i="8"/>
  <c r="AW673" i="8"/>
  <c r="Y535" i="8"/>
  <c r="AA639" i="8"/>
  <c r="AK521" i="8"/>
  <c r="AW597" i="8"/>
  <c r="AV514" i="8"/>
  <c r="Y507" i="8"/>
  <c r="Y492" i="8"/>
  <c r="AR486" i="8"/>
  <c r="G620" i="8"/>
  <c r="AQ620" i="8"/>
  <c r="P620" i="8"/>
  <c r="H603" i="8"/>
  <c r="AD663" i="8"/>
  <c r="F639" i="8"/>
  <c r="AO664" i="8"/>
  <c r="O597" i="8"/>
  <c r="X514" i="8"/>
  <c r="AX486" i="8"/>
  <c r="AU597" i="8"/>
  <c r="AF597" i="8"/>
  <c r="AQ581" i="8"/>
  <c r="I581" i="8"/>
  <c r="BB581" i="8"/>
  <c r="AZ581" i="8"/>
  <c r="L674" i="8"/>
  <c r="AG674" i="8"/>
  <c r="R492" i="8"/>
  <c r="AV664" i="8"/>
  <c r="AD499" i="8"/>
  <c r="H663" i="8"/>
  <c r="AP531" i="8"/>
  <c r="V531" i="8"/>
  <c r="AX557" i="8"/>
  <c r="AN557" i="8"/>
  <c r="Q595" i="8"/>
  <c r="BA595" i="8"/>
  <c r="G673" i="8"/>
  <c r="J673" i="8"/>
  <c r="AD560" i="8"/>
  <c r="P657" i="8"/>
  <c r="R602" i="8"/>
  <c r="AU602" i="8"/>
  <c r="Q567" i="8"/>
  <c r="AM663" i="8"/>
  <c r="I492" i="8"/>
  <c r="Q481" i="8"/>
  <c r="BC594" i="8"/>
  <c r="AM668" i="8"/>
  <c r="AN532" i="8"/>
  <c r="AJ649" i="8"/>
  <c r="O548" i="8"/>
  <c r="H667" i="8"/>
  <c r="AK483" i="8"/>
  <c r="AF608" i="8"/>
  <c r="AG605" i="8"/>
  <c r="O599" i="8"/>
  <c r="AE535" i="8"/>
  <c r="AW555" i="8"/>
  <c r="T622" i="8"/>
  <c r="I534" i="8"/>
  <c r="AT534" i="8"/>
  <c r="AV534" i="8"/>
  <c r="H534" i="8"/>
  <c r="U534" i="8"/>
  <c r="AA515" i="8"/>
  <c r="AX515" i="8"/>
  <c r="AB525" i="8"/>
  <c r="BB525" i="8"/>
  <c r="W525" i="8"/>
  <c r="AR525" i="8"/>
  <c r="AS525" i="8"/>
  <c r="AS591" i="8"/>
  <c r="G496" i="8"/>
  <c r="AE511" i="8"/>
  <c r="AI569" i="8"/>
  <c r="AC569" i="8"/>
  <c r="I569" i="8"/>
  <c r="H569" i="8"/>
  <c r="AH573" i="8"/>
  <c r="Y573" i="8"/>
  <c r="AR520" i="8"/>
  <c r="T506" i="8"/>
  <c r="K649" i="8"/>
  <c r="AV674" i="8"/>
  <c r="G668" i="8"/>
  <c r="AX483" i="8"/>
  <c r="AJ486" i="8"/>
  <c r="AD521" i="8"/>
  <c r="BB597" i="8"/>
  <c r="AX507" i="8"/>
  <c r="BA492" i="8"/>
  <c r="AE510" i="8"/>
  <c r="AO483" i="8"/>
  <c r="AC620" i="8"/>
  <c r="AP620" i="8"/>
  <c r="BA620" i="8"/>
  <c r="AU608" i="8"/>
  <c r="AH673" i="8"/>
  <c r="AB486" i="8"/>
  <c r="AU664" i="8"/>
  <c r="AY499" i="8"/>
  <c r="U507" i="8"/>
  <c r="BA499" i="8"/>
  <c r="AT597" i="8"/>
  <c r="N597" i="8"/>
  <c r="AH581" i="8"/>
  <c r="AS581" i="8"/>
  <c r="AU581" i="8"/>
  <c r="AE581" i="8"/>
  <c r="AN674" i="8"/>
  <c r="AH674" i="8"/>
  <c r="AI492" i="8"/>
  <c r="AA664" i="8"/>
  <c r="AR499" i="8"/>
  <c r="AN663" i="8"/>
  <c r="BB531" i="8"/>
  <c r="AA531" i="8"/>
  <c r="J557" i="8"/>
  <c r="V557" i="8"/>
  <c r="Z595" i="8"/>
  <c r="R673" i="8"/>
  <c r="AJ673" i="8"/>
  <c r="AY560" i="8"/>
  <c r="P560" i="8"/>
  <c r="X657" i="8"/>
  <c r="P602" i="8"/>
  <c r="W602" i="8"/>
  <c r="AT567" i="8"/>
  <c r="L663" i="8"/>
  <c r="AQ486" i="8"/>
  <c r="AB594" i="8"/>
  <c r="O594" i="8"/>
  <c r="BB668" i="8"/>
  <c r="AY532" i="8"/>
  <c r="X486" i="8"/>
  <c r="V548" i="8"/>
  <c r="AJ674" i="8"/>
  <c r="AM481" i="8"/>
  <c r="AX608" i="8"/>
  <c r="H611" i="8"/>
  <c r="AQ527" i="8"/>
  <c r="G535" i="8"/>
  <c r="AG554" i="8"/>
  <c r="J622" i="8"/>
  <c r="AZ510" i="8"/>
  <c r="AZ499" i="8"/>
  <c r="H486" i="8"/>
  <c r="AH620" i="8"/>
  <c r="T620" i="8"/>
  <c r="H620" i="8"/>
  <c r="Q620" i="8"/>
  <c r="AM620" i="8"/>
  <c r="F620" i="8"/>
  <c r="F673" i="8"/>
  <c r="BB599" i="8"/>
  <c r="AH483" i="8"/>
  <c r="AE640" i="8"/>
  <c r="BB521" i="8"/>
  <c r="T597" i="8"/>
  <c r="X507" i="8"/>
  <c r="AJ481" i="8"/>
  <c r="AI483" i="8"/>
  <c r="AD507" i="8"/>
  <c r="AW492" i="8"/>
  <c r="AQ597" i="8"/>
  <c r="Y597" i="8"/>
  <c r="AD597" i="8"/>
  <c r="F581" i="8"/>
  <c r="AB581" i="8"/>
  <c r="AI581" i="8"/>
  <c r="AT581" i="8"/>
  <c r="AR581" i="8"/>
  <c r="AL581" i="8"/>
  <c r="S674" i="8"/>
  <c r="U674" i="8"/>
  <c r="BC674" i="8"/>
  <c r="Y674" i="8"/>
  <c r="N492" i="8"/>
  <c r="T664" i="8"/>
  <c r="AC664" i="8"/>
  <c r="AV499" i="8"/>
  <c r="X663" i="8"/>
  <c r="AO663" i="8"/>
  <c r="L531" i="8"/>
  <c r="AY531" i="8"/>
  <c r="AZ531" i="8"/>
  <c r="M557" i="8"/>
  <c r="I557" i="8"/>
  <c r="AA595" i="8"/>
  <c r="P595" i="8"/>
  <c r="AZ595" i="8"/>
  <c r="U595" i="8"/>
  <c r="I673" i="8"/>
  <c r="AX673" i="8"/>
  <c r="AL673" i="8"/>
  <c r="AW560" i="8"/>
  <c r="BA560" i="8"/>
  <c r="R560" i="8"/>
  <c r="AX657" i="8"/>
  <c r="BC602" i="8"/>
  <c r="AT602" i="8"/>
  <c r="O567" i="8"/>
  <c r="AW567" i="8"/>
  <c r="N611" i="8"/>
  <c r="AC531" i="8"/>
  <c r="AQ657" i="8"/>
  <c r="O486" i="8"/>
  <c r="AI594" i="8"/>
  <c r="AT594" i="8"/>
  <c r="AX668" i="8"/>
  <c r="Z668" i="8"/>
  <c r="AN668" i="8"/>
  <c r="AW532" i="8"/>
  <c r="AE649" i="8"/>
  <c r="AR521" i="8"/>
  <c r="Z548" i="8"/>
  <c r="AG621" i="8"/>
  <c r="F603" i="8"/>
  <c r="Z514" i="8"/>
  <c r="Y651" i="8"/>
  <c r="AS608" i="8"/>
  <c r="AQ605" i="8"/>
  <c r="V611" i="8"/>
  <c r="Q599" i="8"/>
  <c r="AY601" i="8"/>
  <c r="AH566" i="8"/>
  <c r="J586" i="8"/>
  <c r="AW656" i="8"/>
  <c r="X542" i="8"/>
  <c r="AY483" i="8"/>
  <c r="AC499" i="8"/>
  <c r="J486" i="8"/>
  <c r="AG620" i="8"/>
  <c r="AA620" i="8"/>
  <c r="AI620" i="8"/>
  <c r="AF620" i="8"/>
  <c r="V620" i="8"/>
  <c r="AO620" i="8"/>
  <c r="AQ663" i="8"/>
  <c r="AK663" i="8"/>
  <c r="AL531" i="8"/>
  <c r="BB640" i="8"/>
  <c r="Q586" i="8"/>
  <c r="R483" i="8"/>
  <c r="AB554" i="8"/>
  <c r="AZ481" i="8"/>
  <c r="BA507" i="8"/>
  <c r="AF492" i="8"/>
  <c r="AQ492" i="8"/>
  <c r="I597" i="8"/>
  <c r="S597" i="8"/>
  <c r="AO597" i="8"/>
  <c r="AG581" i="8"/>
  <c r="BC581" i="8"/>
  <c r="L581" i="8"/>
  <c r="Z581" i="8"/>
  <c r="AJ581" i="8"/>
  <c r="AV581" i="8"/>
  <c r="J674" i="8"/>
  <c r="N674" i="8"/>
  <c r="AZ674" i="8"/>
  <c r="V674" i="8"/>
  <c r="AT664" i="8"/>
  <c r="AK664" i="8"/>
  <c r="U664" i="8"/>
  <c r="AF499" i="8"/>
  <c r="AX663" i="8"/>
  <c r="BC663" i="8"/>
  <c r="AN531" i="8"/>
  <c r="Z531" i="8"/>
  <c r="M531" i="8"/>
  <c r="P557" i="8"/>
  <c r="AH557" i="8"/>
  <c r="AJ595" i="8"/>
  <c r="V595" i="8"/>
  <c r="AH595" i="8"/>
  <c r="AC595" i="8"/>
  <c r="L673" i="8"/>
  <c r="AR673" i="8"/>
  <c r="AP673" i="8"/>
  <c r="Q560" i="8"/>
  <c r="G560" i="8"/>
  <c r="Y657" i="8"/>
  <c r="BC657" i="8"/>
  <c r="AX602" i="8"/>
  <c r="BA602" i="8"/>
  <c r="AK567" i="8"/>
  <c r="AD567" i="8"/>
  <c r="AY634" i="8"/>
  <c r="AV657" i="8"/>
  <c r="AO507" i="8"/>
  <c r="AV510" i="8"/>
  <c r="AF594" i="8"/>
  <c r="U594" i="8"/>
  <c r="I668" i="8"/>
  <c r="AD668" i="8"/>
  <c r="AF668" i="8"/>
  <c r="AV532" i="8"/>
  <c r="Q649" i="8"/>
  <c r="AT521" i="8"/>
  <c r="AZ548" i="8"/>
  <c r="AS621" i="8"/>
  <c r="AG531" i="8"/>
  <c r="G507" i="8"/>
  <c r="AA651" i="8"/>
  <c r="AR608" i="8"/>
  <c r="BA605" i="8"/>
  <c r="T603" i="8"/>
  <c r="Y599" i="8"/>
  <c r="K601" i="8"/>
  <c r="O566" i="8"/>
  <c r="Y514" i="8"/>
  <c r="AL588" i="8"/>
  <c r="AL579" i="8"/>
  <c r="BC483" i="8"/>
  <c r="AM499" i="8"/>
  <c r="BC481" i="8"/>
  <c r="Z620" i="8"/>
  <c r="W620" i="8"/>
  <c r="N620" i="8"/>
  <c r="AJ620" i="8"/>
  <c r="AW620" i="8"/>
  <c r="I620" i="8"/>
  <c r="AF651" i="8"/>
  <c r="BB634" i="8"/>
  <c r="K531" i="8"/>
  <c r="AZ557" i="8"/>
  <c r="Z586" i="8"/>
  <c r="AI510" i="8"/>
  <c r="AV567" i="8"/>
  <c r="I510" i="8"/>
  <c r="P510" i="8"/>
  <c r="AS483" i="8"/>
  <c r="AB481" i="8"/>
  <c r="AV597" i="8"/>
  <c r="P597" i="8"/>
  <c r="V597" i="8"/>
  <c r="AF581" i="8"/>
  <c r="AD581" i="8"/>
  <c r="H581" i="8"/>
  <c r="X581" i="8"/>
  <c r="N581" i="8"/>
  <c r="T581" i="8"/>
  <c r="Q674" i="8"/>
  <c r="AE674" i="8"/>
  <c r="AU674" i="8"/>
  <c r="AP674" i="8"/>
  <c r="AJ664" i="8"/>
  <c r="Q664" i="8"/>
  <c r="F664" i="8"/>
  <c r="N663" i="8"/>
  <c r="AU663" i="8"/>
  <c r="AL663" i="8"/>
  <c r="BC531" i="8"/>
  <c r="AR531" i="8"/>
  <c r="AS510" i="8"/>
  <c r="AS557" i="8"/>
  <c r="BA557" i="8"/>
  <c r="G595" i="8"/>
  <c r="AX595" i="8"/>
  <c r="AF595" i="8"/>
  <c r="Y595" i="8"/>
  <c r="AK673" i="8"/>
  <c r="M673" i="8"/>
  <c r="K673" i="8"/>
  <c r="M560" i="8"/>
  <c r="I560" i="8"/>
  <c r="AW657" i="8"/>
  <c r="Q657" i="8"/>
  <c r="G602" i="8"/>
  <c r="AH602" i="8"/>
  <c r="AN567" i="8"/>
  <c r="K567" i="8"/>
  <c r="AW651" i="8"/>
  <c r="AG640" i="8"/>
  <c r="G486" i="8"/>
  <c r="AN514" i="8"/>
  <c r="Y594" i="8"/>
  <c r="T594" i="8"/>
  <c r="Y668" i="8"/>
  <c r="M668" i="8"/>
  <c r="AJ668" i="8"/>
  <c r="V532" i="8"/>
  <c r="AR649" i="8"/>
  <c r="R521" i="8"/>
  <c r="AH548" i="8"/>
  <c r="AO621" i="8"/>
  <c r="X510" i="8"/>
  <c r="W510" i="8"/>
  <c r="S651" i="8"/>
  <c r="U608" i="8"/>
  <c r="H605" i="8"/>
  <c r="BC603" i="8"/>
  <c r="Z599" i="8"/>
  <c r="AT601" i="8"/>
  <c r="AF640" i="8"/>
  <c r="AI514" i="8"/>
  <c r="V590" i="8"/>
  <c r="AZ579" i="8"/>
  <c r="O674" i="8"/>
  <c r="F674" i="8"/>
  <c r="AR492" i="8"/>
  <c r="AN664" i="8"/>
  <c r="AY664" i="8"/>
  <c r="H664" i="8"/>
  <c r="AG499" i="8"/>
  <c r="Y663" i="8"/>
  <c r="AF663" i="8"/>
  <c r="AV663" i="8"/>
  <c r="P663" i="8"/>
  <c r="M663" i="8"/>
  <c r="J531" i="8"/>
  <c r="AW531" i="8"/>
  <c r="AF531" i="8"/>
  <c r="AJ510" i="8"/>
  <c r="BB510" i="8"/>
  <c r="AD557" i="8"/>
  <c r="U557" i="8"/>
  <c r="R557" i="8"/>
  <c r="T595" i="8"/>
  <c r="L595" i="8"/>
  <c r="M595" i="8"/>
  <c r="AP595" i="8"/>
  <c r="J595" i="8"/>
  <c r="Z673" i="8"/>
  <c r="Y673" i="8"/>
  <c r="BC673" i="8"/>
  <c r="P673" i="8"/>
  <c r="AC673" i="8"/>
  <c r="AL560" i="8"/>
  <c r="AB560" i="8"/>
  <c r="AK560" i="8"/>
  <c r="AU560" i="8"/>
  <c r="AR560" i="8"/>
  <c r="T657" i="8"/>
  <c r="AO657" i="8"/>
  <c r="F602" i="8"/>
  <c r="AZ602" i="8"/>
  <c r="AE602" i="8"/>
  <c r="AP567" i="8"/>
  <c r="S567" i="8"/>
  <c r="X567" i="8"/>
  <c r="AJ567" i="8"/>
  <c r="AN603" i="8"/>
  <c r="O535" i="8"/>
  <c r="Y557" i="8"/>
  <c r="Z554" i="8"/>
  <c r="AZ486" i="8"/>
  <c r="F486" i="8"/>
  <c r="F594" i="8"/>
  <c r="L594" i="8"/>
  <c r="AW594" i="8"/>
  <c r="AZ594" i="8"/>
  <c r="AK668" i="8"/>
  <c r="AE668" i="8"/>
  <c r="O668" i="8"/>
  <c r="T532" i="8"/>
  <c r="AD532" i="8"/>
  <c r="N532" i="8"/>
  <c r="AV649" i="8"/>
  <c r="AF521" i="8"/>
  <c r="L548" i="8"/>
  <c r="AR548" i="8"/>
  <c r="BB621" i="8"/>
  <c r="BA621" i="8"/>
  <c r="V634" i="8"/>
  <c r="AX597" i="8"/>
  <c r="Z507" i="8"/>
  <c r="H651" i="8"/>
  <c r="BC608" i="8"/>
  <c r="O608" i="8"/>
  <c r="N529" i="8"/>
  <c r="AO605" i="8"/>
  <c r="K611" i="8"/>
  <c r="AI603" i="8"/>
  <c r="H599" i="8"/>
  <c r="I527" i="8"/>
  <c r="AS634" i="8"/>
  <c r="H566" i="8"/>
  <c r="AD665" i="8"/>
  <c r="U555" i="8"/>
  <c r="AP656" i="8"/>
  <c r="AX660" i="8"/>
  <c r="AY504" i="8"/>
  <c r="AC674" i="8"/>
  <c r="AQ674" i="8"/>
  <c r="BB492" i="8"/>
  <c r="J664" i="8"/>
  <c r="AB664" i="8"/>
  <c r="BC664" i="8"/>
  <c r="M499" i="8"/>
  <c r="K663" i="8"/>
  <c r="S663" i="8"/>
  <c r="AB663" i="8"/>
  <c r="Z663" i="8"/>
  <c r="AI663" i="8"/>
  <c r="O531" i="8"/>
  <c r="AV531" i="8"/>
  <c r="S531" i="8"/>
  <c r="Z510" i="8"/>
  <c r="AL510" i="8"/>
  <c r="AM557" i="8"/>
  <c r="AR557" i="8"/>
  <c r="AO557" i="8"/>
  <c r="AW595" i="8"/>
  <c r="N595" i="8"/>
  <c r="BC595" i="8"/>
  <c r="AV595" i="8"/>
  <c r="AE595" i="8"/>
  <c r="S673" i="8"/>
  <c r="BA673" i="8"/>
  <c r="V673" i="8"/>
  <c r="H673" i="8"/>
  <c r="AQ673" i="8"/>
  <c r="AO560" i="8"/>
  <c r="AP560" i="8"/>
  <c r="AE560" i="8"/>
  <c r="N560" i="8"/>
  <c r="L560" i="8"/>
  <c r="V657" i="8"/>
  <c r="AK657" i="8"/>
  <c r="AK602" i="8"/>
  <c r="AY602" i="8"/>
  <c r="U602" i="8"/>
  <c r="AH567" i="8"/>
  <c r="AF567" i="8"/>
  <c r="G567" i="8"/>
  <c r="AC560" i="8"/>
  <c r="X634" i="8"/>
  <c r="AY535" i="8"/>
  <c r="T521" i="8"/>
  <c r="AV554" i="8"/>
  <c r="BA481" i="8"/>
  <c r="T499" i="8"/>
  <c r="AE594" i="8"/>
  <c r="AK594" i="8"/>
  <c r="AM594" i="8"/>
  <c r="AU594" i="8"/>
  <c r="AS668" i="8"/>
  <c r="P668" i="8"/>
  <c r="F668" i="8"/>
  <c r="BB532" i="8"/>
  <c r="AJ532" i="8"/>
  <c r="J532" i="8"/>
  <c r="I649" i="8"/>
  <c r="X521" i="8"/>
  <c r="AT548" i="8"/>
  <c r="F548" i="8"/>
  <c r="T621" i="8"/>
  <c r="M621" i="8"/>
  <c r="X668" i="8"/>
  <c r="AE597" i="8"/>
  <c r="O507" i="8"/>
  <c r="O651" i="8"/>
  <c r="S608" i="8"/>
  <c r="AZ608" i="8"/>
  <c r="R529" i="8"/>
  <c r="Q605" i="8"/>
  <c r="AT611" i="8"/>
  <c r="AX603" i="8"/>
  <c r="BA599" i="8"/>
  <c r="AM527" i="8"/>
  <c r="H634" i="8"/>
  <c r="AT566" i="8"/>
  <c r="AO665" i="8"/>
  <c r="AK555" i="8"/>
  <c r="AY593" i="8"/>
  <c r="AN584" i="8"/>
  <c r="T516" i="8"/>
  <c r="X674" i="8"/>
  <c r="AO674" i="8"/>
  <c r="Y664" i="8"/>
  <c r="AD664" i="8"/>
  <c r="X664" i="8"/>
  <c r="AX664" i="8"/>
  <c r="L499" i="8"/>
  <c r="G663" i="8"/>
  <c r="AT663" i="8"/>
  <c r="AY663" i="8"/>
  <c r="BA663" i="8"/>
  <c r="AH663" i="8"/>
  <c r="T531" i="8"/>
  <c r="AI531" i="8"/>
  <c r="AJ531" i="8"/>
  <c r="AP510" i="8"/>
  <c r="Q510" i="8"/>
  <c r="G557" i="8"/>
  <c r="AQ557" i="8"/>
  <c r="W557" i="8"/>
  <c r="W595" i="8"/>
  <c r="F595" i="8"/>
  <c r="AO595" i="8"/>
  <c r="AG595" i="8"/>
  <c r="AK595" i="8"/>
  <c r="AV673" i="8"/>
  <c r="AZ673" i="8"/>
  <c r="AF673" i="8"/>
  <c r="AO673" i="8"/>
  <c r="AT673" i="8"/>
  <c r="AJ560" i="8"/>
  <c r="BB560" i="8"/>
  <c r="AM560" i="8"/>
  <c r="S560" i="8"/>
  <c r="AV560" i="8"/>
  <c r="AU657" i="8"/>
  <c r="AN602" i="8"/>
  <c r="S602" i="8"/>
  <c r="AL602" i="8"/>
  <c r="AW602" i="8"/>
  <c r="AL567" i="8"/>
  <c r="AB567" i="8"/>
  <c r="U567" i="8"/>
  <c r="F611" i="8"/>
  <c r="Q603" i="8"/>
  <c r="AU531" i="8"/>
  <c r="G586" i="8"/>
  <c r="T514" i="8"/>
  <c r="I507" i="8"/>
  <c r="U499" i="8"/>
  <c r="V594" i="8"/>
  <c r="AL594" i="8"/>
  <c r="S594" i="8"/>
  <c r="AQ594" i="8"/>
  <c r="S668" i="8"/>
  <c r="R668" i="8"/>
  <c r="AA668" i="8"/>
  <c r="H532" i="8"/>
  <c r="AS532" i="8"/>
  <c r="AK532" i="8"/>
  <c r="W649" i="8"/>
  <c r="AO521" i="8"/>
  <c r="P548" i="8"/>
  <c r="AE548" i="8"/>
  <c r="N621" i="8"/>
  <c r="L605" i="8"/>
  <c r="AT531" i="8"/>
  <c r="F483" i="8"/>
  <c r="AF510" i="8"/>
  <c r="AU651" i="8"/>
  <c r="AA608" i="8"/>
  <c r="P608" i="8"/>
  <c r="W529" i="8"/>
  <c r="AY605" i="8"/>
  <c r="K481" i="8"/>
  <c r="Y603" i="8"/>
  <c r="AJ527" i="8"/>
  <c r="BC601" i="8"/>
  <c r="AQ634" i="8"/>
  <c r="AM639" i="8"/>
  <c r="F665" i="8"/>
  <c r="U554" i="8"/>
  <c r="Q593" i="8"/>
  <c r="AE584" i="8"/>
  <c r="AF541" i="8"/>
  <c r="AQ560" i="8"/>
  <c r="O560" i="8"/>
  <c r="W560" i="8"/>
  <c r="AA657" i="8"/>
  <c r="K657" i="8"/>
  <c r="G657" i="8"/>
  <c r="AF657" i="8"/>
  <c r="X602" i="8"/>
  <c r="J602" i="8"/>
  <c r="AJ602" i="8"/>
  <c r="AG602" i="8"/>
  <c r="AP602" i="8"/>
  <c r="O602" i="8"/>
  <c r="AS567" i="8"/>
  <c r="BA567" i="8"/>
  <c r="N567" i="8"/>
  <c r="Z567" i="8"/>
  <c r="V567" i="8"/>
  <c r="AX667" i="8"/>
  <c r="X594" i="8"/>
  <c r="AK651" i="8"/>
  <c r="Y639" i="8"/>
  <c r="O521" i="8"/>
  <c r="BB664" i="8"/>
  <c r="AR514" i="8"/>
  <c r="AM510" i="8"/>
  <c r="AQ499" i="8"/>
  <c r="AE499" i="8"/>
  <c r="BB594" i="8"/>
  <c r="AJ594" i="8"/>
  <c r="AG594" i="8"/>
  <c r="BA594" i="8"/>
  <c r="AC594" i="8"/>
  <c r="I594" i="8"/>
  <c r="L668" i="8"/>
  <c r="AO668" i="8"/>
  <c r="V668" i="8"/>
  <c r="N668" i="8"/>
  <c r="AG668" i="8"/>
  <c r="AF532" i="8"/>
  <c r="I532" i="8"/>
  <c r="F532" i="8"/>
  <c r="AC532" i="8"/>
  <c r="AP532" i="8"/>
  <c r="AY649" i="8"/>
  <c r="V649" i="8"/>
  <c r="AE521" i="8"/>
  <c r="BC548" i="8"/>
  <c r="AI548" i="8"/>
  <c r="N548" i="8"/>
  <c r="AP548" i="8"/>
  <c r="X621" i="8"/>
  <c r="AV621" i="8"/>
  <c r="I651" i="8"/>
  <c r="BC649" i="8"/>
  <c r="AW557" i="8"/>
  <c r="AW514" i="8"/>
  <c r="T483" i="8"/>
  <c r="AH492" i="8"/>
  <c r="AD651" i="8"/>
  <c r="AT651" i="8"/>
  <c r="T608" i="8"/>
  <c r="G608" i="8"/>
  <c r="AP529" i="8"/>
  <c r="T529" i="8"/>
  <c r="AB605" i="8"/>
  <c r="R611" i="8"/>
  <c r="AL481" i="8"/>
  <c r="AJ603" i="8"/>
  <c r="AY599" i="8"/>
  <c r="AG599" i="8"/>
  <c r="AE527" i="8"/>
  <c r="AX601" i="8"/>
  <c r="BC634" i="8"/>
  <c r="AU535" i="8"/>
  <c r="AT639" i="8"/>
  <c r="AQ598" i="8"/>
  <c r="O586" i="8"/>
  <c r="Q555" i="8"/>
  <c r="AU621" i="8"/>
  <c r="AP588" i="8"/>
  <c r="AE660" i="8"/>
  <c r="BA542" i="8"/>
  <c r="AZ541" i="8"/>
  <c r="AA560" i="8"/>
  <c r="F560" i="8"/>
  <c r="AX560" i="8"/>
  <c r="AZ560" i="8"/>
  <c r="AN657" i="8"/>
  <c r="M657" i="8"/>
  <c r="AR657" i="8"/>
  <c r="AH657" i="8"/>
  <c r="I602" i="8"/>
  <c r="AI602" i="8"/>
  <c r="Y602" i="8"/>
  <c r="BB602" i="8"/>
  <c r="Q602" i="8"/>
  <c r="K602" i="8"/>
  <c r="Y567" i="8"/>
  <c r="AQ567" i="8"/>
  <c r="AY567" i="8"/>
  <c r="AG567" i="8"/>
  <c r="I567" i="8"/>
  <c r="K555" i="8"/>
  <c r="AI667" i="8"/>
  <c r="X620" i="8"/>
  <c r="W639" i="8"/>
  <c r="K521" i="8"/>
  <c r="J483" i="8"/>
  <c r="L514" i="8"/>
  <c r="AK499" i="8"/>
  <c r="AH499" i="8"/>
  <c r="BB507" i="8"/>
  <c r="AV594" i="8"/>
  <c r="J594" i="8"/>
  <c r="AP594" i="8"/>
  <c r="AX594" i="8"/>
  <c r="M594" i="8"/>
  <c r="W594" i="8"/>
  <c r="AR668" i="8"/>
  <c r="AZ668" i="8"/>
  <c r="K668" i="8"/>
  <c r="AQ668" i="8"/>
  <c r="AI668" i="8"/>
  <c r="AQ532" i="8"/>
  <c r="BA532" i="8"/>
  <c r="U532" i="8"/>
  <c r="W532" i="8"/>
  <c r="AI649" i="8"/>
  <c r="AX649" i="8"/>
  <c r="T649" i="8"/>
  <c r="AM521" i="8"/>
  <c r="I548" i="8"/>
  <c r="BB548" i="8"/>
  <c r="W548" i="8"/>
  <c r="AE621" i="8"/>
  <c r="AI621" i="8"/>
  <c r="O621" i="8"/>
  <c r="AA673" i="8"/>
  <c r="R605" i="8"/>
  <c r="AN521" i="8"/>
  <c r="AI521" i="8"/>
  <c r="S492" i="8"/>
  <c r="AL651" i="8"/>
  <c r="M651" i="8"/>
  <c r="R651" i="8"/>
  <c r="AG608" i="8"/>
  <c r="W608" i="8"/>
  <c r="AH529" i="8"/>
  <c r="AQ529" i="8"/>
  <c r="J605" i="8"/>
  <c r="I611" i="8"/>
  <c r="J481" i="8"/>
  <c r="AM603" i="8"/>
  <c r="AA599" i="8"/>
  <c r="R527" i="8"/>
  <c r="AA527" i="8"/>
  <c r="U601" i="8"/>
  <c r="R634" i="8"/>
  <c r="AY566" i="8"/>
  <c r="P639" i="8"/>
  <c r="AS598" i="8"/>
  <c r="AV586" i="8"/>
  <c r="AB555" i="8"/>
  <c r="P503" i="8"/>
  <c r="AC588" i="8"/>
  <c r="N660" i="8"/>
  <c r="J542" i="8"/>
  <c r="AV637" i="8"/>
  <c r="K560" i="8"/>
  <c r="Y560" i="8"/>
  <c r="AN560" i="8"/>
  <c r="X560" i="8"/>
  <c r="J657" i="8"/>
  <c r="AC657" i="8"/>
  <c r="N657" i="8"/>
  <c r="AD602" i="8"/>
  <c r="Z602" i="8"/>
  <c r="L602" i="8"/>
  <c r="AV602" i="8"/>
  <c r="H602" i="8"/>
  <c r="AQ602" i="8"/>
  <c r="AM602" i="8"/>
  <c r="AM567" i="8"/>
  <c r="AO567" i="8"/>
  <c r="AI567" i="8"/>
  <c r="BC567" i="8"/>
  <c r="AB548" i="8"/>
  <c r="Z481" i="8"/>
  <c r="V663" i="8"/>
  <c r="Y620" i="8"/>
  <c r="AG486" i="8"/>
  <c r="AF586" i="8"/>
  <c r="X639" i="8"/>
  <c r="AB514" i="8"/>
  <c r="S499" i="8"/>
  <c r="AV486" i="8"/>
  <c r="O492" i="8"/>
  <c r="AR594" i="8"/>
  <c r="K594" i="8"/>
  <c r="AH594" i="8"/>
  <c r="AD594" i="8"/>
  <c r="AY594" i="8"/>
  <c r="G594" i="8"/>
  <c r="Q668" i="8"/>
  <c r="AT668" i="8"/>
  <c r="J668" i="8"/>
  <c r="AP668" i="8"/>
  <c r="AH668" i="8"/>
  <c r="L532" i="8"/>
  <c r="M532" i="8"/>
  <c r="AH532" i="8"/>
  <c r="BC532" i="8"/>
  <c r="AZ649" i="8"/>
  <c r="AN649" i="8"/>
  <c r="R649" i="8"/>
  <c r="G521" i="8"/>
  <c r="AS548" i="8"/>
  <c r="Q548" i="8"/>
  <c r="M548" i="8"/>
  <c r="AJ621" i="8"/>
  <c r="AQ621" i="8"/>
  <c r="K621" i="8"/>
  <c r="Y634" i="8"/>
  <c r="AD535" i="8"/>
  <c r="AP586" i="8"/>
  <c r="V510" i="8"/>
  <c r="Q492" i="8"/>
  <c r="BA651" i="8"/>
  <c r="AG651" i="8"/>
  <c r="AS651" i="8"/>
  <c r="Z608" i="8"/>
  <c r="N608" i="8"/>
  <c r="G529" i="8"/>
  <c r="K529" i="8"/>
  <c r="X605" i="8"/>
  <c r="L611" i="8"/>
  <c r="AT481" i="8"/>
  <c r="AD603" i="8"/>
  <c r="M599" i="8"/>
  <c r="AG527" i="8"/>
  <c r="S527" i="8"/>
  <c r="BB601" i="8"/>
  <c r="O634" i="8"/>
  <c r="U566" i="8"/>
  <c r="M640" i="8"/>
  <c r="AX598" i="8"/>
  <c r="AB586" i="8"/>
  <c r="G483" i="8"/>
  <c r="AO656" i="8"/>
  <c r="N588" i="8"/>
  <c r="V654" i="8"/>
  <c r="I494" i="8"/>
  <c r="I621" i="8"/>
  <c r="AU532" i="8"/>
  <c r="AR532" i="8"/>
  <c r="K532" i="8"/>
  <c r="AM532" i="8"/>
  <c r="Z649" i="8"/>
  <c r="AQ649" i="8"/>
  <c r="F649" i="8"/>
  <c r="AK649" i="8"/>
  <c r="Q521" i="8"/>
  <c r="H521" i="8"/>
  <c r="L521" i="8"/>
  <c r="AM548" i="8"/>
  <c r="AD548" i="8"/>
  <c r="AA548" i="8"/>
  <c r="T548" i="8"/>
  <c r="J548" i="8"/>
  <c r="AX548" i="8"/>
  <c r="Q621" i="8"/>
  <c r="AZ621" i="8"/>
  <c r="AM621" i="8"/>
  <c r="G621" i="8"/>
  <c r="AN621" i="8"/>
  <c r="P621" i="8"/>
  <c r="AS663" i="8"/>
  <c r="AJ667" i="8"/>
  <c r="S621" i="8"/>
  <c r="AL657" i="8"/>
  <c r="AI557" i="8"/>
  <c r="F597" i="8"/>
  <c r="AQ507" i="8"/>
  <c r="N507" i="8"/>
  <c r="N499" i="8"/>
  <c r="AG483" i="8"/>
  <c r="AR483" i="8"/>
  <c r="AE651" i="8"/>
  <c r="V651" i="8"/>
  <c r="AP651" i="8"/>
  <c r="AX651" i="8"/>
  <c r="AL608" i="8"/>
  <c r="V608" i="8"/>
  <c r="AY608" i="8"/>
  <c r="AK608" i="8"/>
  <c r="AT608" i="8"/>
  <c r="AX529" i="8"/>
  <c r="Z529" i="8"/>
  <c r="X529" i="8"/>
  <c r="AX605" i="8"/>
  <c r="AH605" i="8"/>
  <c r="AV605" i="8"/>
  <c r="AX611" i="8"/>
  <c r="AJ611" i="8"/>
  <c r="AD481" i="8"/>
  <c r="AZ603" i="8"/>
  <c r="N603" i="8"/>
  <c r="AC603" i="8"/>
  <c r="AV599" i="8"/>
  <c r="V599" i="8"/>
  <c r="AX527" i="8"/>
  <c r="AI527" i="8"/>
  <c r="AU527" i="8"/>
  <c r="BC527" i="8"/>
  <c r="AS601" i="8"/>
  <c r="AF601" i="8"/>
  <c r="AP634" i="8"/>
  <c r="K634" i="8"/>
  <c r="Z535" i="8"/>
  <c r="M566" i="8"/>
  <c r="K639" i="8"/>
  <c r="AA640" i="8"/>
  <c r="AD598" i="8"/>
  <c r="O665" i="8"/>
  <c r="P586" i="8"/>
  <c r="AA555" i="8"/>
  <c r="AY555" i="8"/>
  <c r="AA554" i="8"/>
  <c r="AS584" i="8"/>
  <c r="T656" i="8"/>
  <c r="AR588" i="8"/>
  <c r="AN590" i="8"/>
  <c r="AY660" i="8"/>
  <c r="AH584" i="8"/>
  <c r="S542" i="8"/>
  <c r="AB632" i="8"/>
  <c r="H517" i="8"/>
  <c r="X532" i="8"/>
  <c r="Q532" i="8"/>
  <c r="G532" i="8"/>
  <c r="AB532" i="8"/>
  <c r="S649" i="8"/>
  <c r="U649" i="8"/>
  <c r="L649" i="8"/>
  <c r="P649" i="8"/>
  <c r="AC649" i="8"/>
  <c r="AQ521" i="8"/>
  <c r="J521" i="8"/>
  <c r="AP521" i="8"/>
  <c r="K548" i="8"/>
  <c r="AK548" i="8"/>
  <c r="AU548" i="8"/>
  <c r="AJ548" i="8"/>
  <c r="S548" i="8"/>
  <c r="R548" i="8"/>
  <c r="AW621" i="8"/>
  <c r="L621" i="8"/>
  <c r="AT621" i="8"/>
  <c r="AY621" i="8"/>
  <c r="AR621" i="8"/>
  <c r="L603" i="8"/>
  <c r="T665" i="8"/>
  <c r="AJ634" i="8"/>
  <c r="BC535" i="8"/>
  <c r="AJ639" i="8"/>
  <c r="L586" i="8"/>
  <c r="X554" i="8"/>
  <c r="AQ481" i="8"/>
  <c r="Q499" i="8"/>
  <c r="W483" i="8"/>
  <c r="H492" i="8"/>
  <c r="W651" i="8"/>
  <c r="AH651" i="8"/>
  <c r="AN651" i="8"/>
  <c r="G651" i="8"/>
  <c r="AC651" i="8"/>
  <c r="AD608" i="8"/>
  <c r="K608" i="8"/>
  <c r="H608" i="8"/>
  <c r="AI608" i="8"/>
  <c r="BB529" i="8"/>
  <c r="AA529" i="8"/>
  <c r="AV529" i="8"/>
  <c r="AM605" i="8"/>
  <c r="S605" i="8"/>
  <c r="O605" i="8"/>
  <c r="AL611" i="8"/>
  <c r="AG611" i="8"/>
  <c r="AR611" i="8"/>
  <c r="R481" i="8"/>
  <c r="J603" i="8"/>
  <c r="X603" i="8"/>
  <c r="J599" i="8"/>
  <c r="L599" i="8"/>
  <c r="AX599" i="8"/>
  <c r="AN527" i="8"/>
  <c r="AT527" i="8"/>
  <c r="AW527" i="8"/>
  <c r="AV601" i="8"/>
  <c r="AJ601" i="8"/>
  <c r="N601" i="8"/>
  <c r="AL634" i="8"/>
  <c r="AZ535" i="8"/>
  <c r="AM566" i="8"/>
  <c r="AP566" i="8"/>
  <c r="I640" i="8"/>
  <c r="N598" i="8"/>
  <c r="AO598" i="8"/>
  <c r="U665" i="8"/>
  <c r="AD586" i="8"/>
  <c r="AH555" i="8"/>
  <c r="AJ483" i="8"/>
  <c r="S667" i="8"/>
  <c r="G656" i="8"/>
  <c r="J593" i="8"/>
  <c r="AS588" i="8"/>
  <c r="M522" i="8"/>
  <c r="AG654" i="8"/>
  <c r="AK622" i="8"/>
  <c r="AK494" i="8"/>
  <c r="AG516" i="8"/>
  <c r="R613" i="8"/>
  <c r="R532" i="8"/>
  <c r="Z532" i="8"/>
  <c r="P532" i="8"/>
  <c r="Y532" i="8"/>
  <c r="H649" i="8"/>
  <c r="AT649" i="8"/>
  <c r="J649" i="8"/>
  <c r="AA649" i="8"/>
  <c r="AG649" i="8"/>
  <c r="M521" i="8"/>
  <c r="I521" i="8"/>
  <c r="P521" i="8"/>
  <c r="Y548" i="8"/>
  <c r="AG548" i="8"/>
  <c r="AC548" i="8"/>
  <c r="AF548" i="8"/>
  <c r="AO548" i="8"/>
  <c r="U548" i="8"/>
  <c r="AP621" i="8"/>
  <c r="W621" i="8"/>
  <c r="BC621" i="8"/>
  <c r="AL621" i="8"/>
  <c r="U621" i="8"/>
  <c r="AL595" i="8"/>
  <c r="T667" i="8"/>
  <c r="AY665" i="8"/>
  <c r="BA483" i="8"/>
  <c r="AJ640" i="8"/>
  <c r="AA586" i="8"/>
  <c r="AR567" i="8"/>
  <c r="AJ514" i="8"/>
  <c r="O499" i="8"/>
  <c r="AO481" i="8"/>
  <c r="AP492" i="8"/>
  <c r="J651" i="8"/>
  <c r="AJ651" i="8"/>
  <c r="U651" i="8"/>
  <c r="N651" i="8"/>
  <c r="I608" i="8"/>
  <c r="X608" i="8"/>
  <c r="AQ608" i="8"/>
  <c r="L608" i="8"/>
  <c r="R608" i="8"/>
  <c r="V529" i="8"/>
  <c r="AY529" i="8"/>
  <c r="AO529" i="8"/>
  <c r="AE605" i="8"/>
  <c r="AC605" i="8"/>
  <c r="AL605" i="8"/>
  <c r="AD611" i="8"/>
  <c r="AP611" i="8"/>
  <c r="T611" i="8"/>
  <c r="H481" i="8"/>
  <c r="AR603" i="8"/>
  <c r="AV603" i="8"/>
  <c r="T599" i="8"/>
  <c r="AK599" i="8"/>
  <c r="AO599" i="8"/>
  <c r="AL527" i="8"/>
  <c r="P527" i="8"/>
  <c r="AR527" i="8"/>
  <c r="R601" i="8"/>
  <c r="L601" i="8"/>
  <c r="AO601" i="8"/>
  <c r="AC634" i="8"/>
  <c r="Q535" i="8"/>
  <c r="AU566" i="8"/>
  <c r="AF566" i="8"/>
  <c r="P640" i="8"/>
  <c r="AI598" i="8"/>
  <c r="I598" i="8"/>
  <c r="M665" i="8"/>
  <c r="W586" i="8"/>
  <c r="AI555" i="8"/>
  <c r="AR507" i="8"/>
  <c r="V667" i="8"/>
  <c r="AZ656" i="8"/>
  <c r="X593" i="8"/>
  <c r="S588" i="8"/>
  <c r="AR522" i="8"/>
  <c r="AM503" i="8"/>
  <c r="V538" i="8"/>
  <c r="W638" i="8"/>
  <c r="J516" i="8"/>
  <c r="AI652" i="8"/>
  <c r="AZ532" i="8"/>
  <c r="AX532" i="8"/>
  <c r="S532" i="8"/>
  <c r="AL532" i="8"/>
  <c r="AS649" i="8"/>
  <c r="M649" i="8"/>
  <c r="X649" i="8"/>
  <c r="AO649" i="8"/>
  <c r="AF486" i="8"/>
  <c r="AU521" i="8"/>
  <c r="AL521" i="8"/>
  <c r="AV521" i="8"/>
  <c r="AV548" i="8"/>
  <c r="BA548" i="8"/>
  <c r="H548" i="8"/>
  <c r="AL548" i="8"/>
  <c r="G548" i="8"/>
  <c r="X548" i="8"/>
  <c r="AB621" i="8"/>
  <c r="AX621" i="8"/>
  <c r="H621" i="8"/>
  <c r="AC621" i="8"/>
  <c r="Y621" i="8"/>
  <c r="R640" i="8"/>
  <c r="AT598" i="8"/>
  <c r="Q673" i="8"/>
  <c r="AB531" i="8"/>
  <c r="AL640" i="8"/>
  <c r="L664" i="8"/>
  <c r="R514" i="8"/>
  <c r="U510" i="8"/>
  <c r="AE507" i="8"/>
  <c r="BB514" i="8"/>
  <c r="L486" i="8"/>
  <c r="Z651" i="8"/>
  <c r="Q651" i="8"/>
  <c r="AO651" i="8"/>
  <c r="BB651" i="8"/>
  <c r="AO608" i="8"/>
  <c r="BB608" i="8"/>
  <c r="AM608" i="8"/>
  <c r="F608" i="8"/>
  <c r="BA608" i="8"/>
  <c r="AL529" i="8"/>
  <c r="AI529" i="8"/>
  <c r="AZ529" i="8"/>
  <c r="AU605" i="8"/>
  <c r="Y605" i="8"/>
  <c r="U605" i="8"/>
  <c r="AI611" i="8"/>
  <c r="AN611" i="8"/>
  <c r="J611" i="8"/>
  <c r="AI481" i="8"/>
  <c r="AB603" i="8"/>
  <c r="AS603" i="8"/>
  <c r="AT599" i="8"/>
  <c r="AZ599" i="8"/>
  <c r="BC599" i="8"/>
  <c r="Y527" i="8"/>
  <c r="W527" i="8"/>
  <c r="AD527" i="8"/>
  <c r="BA601" i="8"/>
  <c r="AR601" i="8"/>
  <c r="T601" i="8"/>
  <c r="AA634" i="8"/>
  <c r="AR535" i="8"/>
  <c r="AE566" i="8"/>
  <c r="AX639" i="8"/>
  <c r="J640" i="8"/>
  <c r="AC598" i="8"/>
  <c r="AU598" i="8"/>
  <c r="L665" i="8"/>
  <c r="AG514" i="8"/>
  <c r="T555" i="8"/>
  <c r="K507" i="8"/>
  <c r="AH667" i="8"/>
  <c r="AC656" i="8"/>
  <c r="BB593" i="8"/>
  <c r="U590" i="8"/>
  <c r="AN522" i="8"/>
  <c r="AA503" i="8"/>
  <c r="AK538" i="8"/>
  <c r="P528" i="8"/>
  <c r="AU570" i="8"/>
  <c r="AR647" i="8"/>
  <c r="AV608" i="8"/>
  <c r="AC608" i="8"/>
  <c r="AT529" i="8"/>
  <c r="AM529" i="8"/>
  <c r="AR529" i="8"/>
  <c r="AJ529" i="8"/>
  <c r="S529" i="8"/>
  <c r="Y529" i="8"/>
  <c r="AS605" i="8"/>
  <c r="G605" i="8"/>
  <c r="AD605" i="8"/>
  <c r="AJ605" i="8"/>
  <c r="K605" i="8"/>
  <c r="I605" i="8"/>
  <c r="Q611" i="8"/>
  <c r="Y611" i="8"/>
  <c r="AW611" i="8"/>
  <c r="AF611" i="8"/>
  <c r="AA611" i="8"/>
  <c r="N481" i="8"/>
  <c r="AH481" i="8"/>
  <c r="AU603" i="8"/>
  <c r="AP603" i="8"/>
  <c r="AQ603" i="8"/>
  <c r="AE603" i="8"/>
  <c r="AG603" i="8"/>
  <c r="AQ599" i="8"/>
  <c r="AC599" i="8"/>
  <c r="I599" i="8"/>
  <c r="AW599" i="8"/>
  <c r="U599" i="8"/>
  <c r="AI599" i="8"/>
  <c r="AP527" i="8"/>
  <c r="N527" i="8"/>
  <c r="BB527" i="8"/>
  <c r="AV527" i="8"/>
  <c r="K527" i="8"/>
  <c r="AY527" i="8"/>
  <c r="O601" i="8"/>
  <c r="P601" i="8"/>
  <c r="AM601" i="8"/>
  <c r="Y601" i="8"/>
  <c r="Q601" i="8"/>
  <c r="T634" i="8"/>
  <c r="AE634" i="8"/>
  <c r="AM634" i="8"/>
  <c r="P535" i="8"/>
  <c r="N535" i="8"/>
  <c r="T566" i="8"/>
  <c r="AW566" i="8"/>
  <c r="J566" i="8"/>
  <c r="G639" i="8"/>
  <c r="AI640" i="8"/>
  <c r="AK640" i="8"/>
  <c r="V598" i="8"/>
  <c r="H598" i="8"/>
  <c r="AM598" i="8"/>
  <c r="AL665" i="8"/>
  <c r="J665" i="8"/>
  <c r="BA586" i="8"/>
  <c r="K586" i="8"/>
  <c r="AK514" i="8"/>
  <c r="AO555" i="8"/>
  <c r="X555" i="8"/>
  <c r="BB483" i="8"/>
  <c r="AI554" i="8"/>
  <c r="M667" i="8"/>
  <c r="AY676" i="8"/>
  <c r="S656" i="8"/>
  <c r="X656" i="8"/>
  <c r="AN593" i="8"/>
  <c r="AE588" i="8"/>
  <c r="K588" i="8"/>
  <c r="AF590" i="8"/>
  <c r="AJ522" i="8"/>
  <c r="F660" i="8"/>
  <c r="AE654" i="8"/>
  <c r="BB584" i="8"/>
  <c r="AI622" i="8"/>
  <c r="Y542" i="8"/>
  <c r="AH638" i="8"/>
  <c r="BA579" i="8"/>
  <c r="T503" i="8"/>
  <c r="AO589" i="8"/>
  <c r="AX619" i="8"/>
  <c r="M608" i="8"/>
  <c r="AW608" i="8"/>
  <c r="AD529" i="8"/>
  <c r="AB529" i="8"/>
  <c r="L529" i="8"/>
  <c r="F529" i="8"/>
  <c r="AK529" i="8"/>
  <c r="I529" i="8"/>
  <c r="AW605" i="8"/>
  <c r="F605" i="8"/>
  <c r="BB605" i="8"/>
  <c r="AI605" i="8"/>
  <c r="N605" i="8"/>
  <c r="M611" i="8"/>
  <c r="O611" i="8"/>
  <c r="P611" i="8"/>
  <c r="BA611" i="8"/>
  <c r="AC611" i="8"/>
  <c r="AK611" i="8"/>
  <c r="AP481" i="8"/>
  <c r="G481" i="8"/>
  <c r="O603" i="8"/>
  <c r="V603" i="8"/>
  <c r="K603" i="8"/>
  <c r="AA603" i="8"/>
  <c r="BA603" i="8"/>
  <c r="AF599" i="8"/>
  <c r="P599" i="8"/>
  <c r="AE599" i="8"/>
  <c r="F599" i="8"/>
  <c r="AU599" i="8"/>
  <c r="AO527" i="8"/>
  <c r="AZ527" i="8"/>
  <c r="AS527" i="8"/>
  <c r="BA527" i="8"/>
  <c r="U527" i="8"/>
  <c r="V527" i="8"/>
  <c r="F601" i="8"/>
  <c r="J601" i="8"/>
  <c r="AB601" i="8"/>
  <c r="AP601" i="8"/>
  <c r="S601" i="8"/>
  <c r="AE601" i="8"/>
  <c r="Q634" i="8"/>
  <c r="AB634" i="8"/>
  <c r="X535" i="8"/>
  <c r="AL535" i="8"/>
  <c r="AG566" i="8"/>
  <c r="AL566" i="8"/>
  <c r="AX566" i="8"/>
  <c r="AN639" i="8"/>
  <c r="Q639" i="8"/>
  <c r="AC640" i="8"/>
  <c r="AZ640" i="8"/>
  <c r="AB598" i="8"/>
  <c r="AG598" i="8"/>
  <c r="O598" i="8"/>
  <c r="AQ665" i="8"/>
  <c r="R665" i="8"/>
  <c r="Y586" i="8"/>
  <c r="AS514" i="8"/>
  <c r="BC555" i="8"/>
  <c r="Y555" i="8"/>
  <c r="AL555" i="8"/>
  <c r="P507" i="8"/>
  <c r="H554" i="8"/>
  <c r="AM667" i="8"/>
  <c r="R516" i="8"/>
  <c r="AM656" i="8"/>
  <c r="AB593" i="8"/>
  <c r="AE593" i="8"/>
  <c r="Q588" i="8"/>
  <c r="AT590" i="8"/>
  <c r="M590" i="8"/>
  <c r="J522" i="8"/>
  <c r="AA660" i="8"/>
  <c r="AG503" i="8"/>
  <c r="S622" i="8"/>
  <c r="AR538" i="8"/>
  <c r="Z542" i="8"/>
  <c r="L528" i="8"/>
  <c r="AP504" i="8"/>
  <c r="I570" i="8"/>
  <c r="Q637" i="8"/>
  <c r="AC647" i="8"/>
  <c r="AN608" i="8"/>
  <c r="J608" i="8"/>
  <c r="AC529" i="8"/>
  <c r="BC529" i="8"/>
  <c r="U529" i="8"/>
  <c r="AU529" i="8"/>
  <c r="J529" i="8"/>
  <c r="AF529" i="8"/>
  <c r="AF605" i="8"/>
  <c r="AP605" i="8"/>
  <c r="P605" i="8"/>
  <c r="M605" i="8"/>
  <c r="W605" i="8"/>
  <c r="AZ611" i="8"/>
  <c r="AU611" i="8"/>
  <c r="AS611" i="8"/>
  <c r="G611" i="8"/>
  <c r="Z611" i="8"/>
  <c r="BC611" i="8"/>
  <c r="M481" i="8"/>
  <c r="AT603" i="8"/>
  <c r="I603" i="8"/>
  <c r="AH603" i="8"/>
  <c r="G603" i="8"/>
  <c r="AK603" i="8"/>
  <c r="U603" i="8"/>
  <c r="S599" i="8"/>
  <c r="AS599" i="8"/>
  <c r="AD599" i="8"/>
  <c r="X599" i="8"/>
  <c r="AM599" i="8"/>
  <c r="Z527" i="8"/>
  <c r="AK527" i="8"/>
  <c r="AF527" i="8"/>
  <c r="M527" i="8"/>
  <c r="H527" i="8"/>
  <c r="T527" i="8"/>
  <c r="W601" i="8"/>
  <c r="X601" i="8"/>
  <c r="AI601" i="8"/>
  <c r="AU601" i="8"/>
  <c r="AN601" i="8"/>
  <c r="M601" i="8"/>
  <c r="AZ634" i="8"/>
  <c r="Z634" i="8"/>
  <c r="AH535" i="8"/>
  <c r="M535" i="8"/>
  <c r="BB566" i="8"/>
  <c r="S566" i="8"/>
  <c r="N566" i="8"/>
  <c r="N639" i="8"/>
  <c r="AK639" i="8"/>
  <c r="F640" i="8"/>
  <c r="X598" i="8"/>
  <c r="U598" i="8"/>
  <c r="J598" i="8"/>
  <c r="AF665" i="8"/>
  <c r="X665" i="8"/>
  <c r="N665" i="8"/>
  <c r="AG586" i="8"/>
  <c r="P514" i="8"/>
  <c r="M555" i="8"/>
  <c r="AC555" i="8"/>
  <c r="AP555" i="8"/>
  <c r="V554" i="8"/>
  <c r="P554" i="8"/>
  <c r="AG667" i="8"/>
  <c r="M494" i="8"/>
  <c r="Q656" i="8"/>
  <c r="AQ593" i="8"/>
  <c r="AO593" i="8"/>
  <c r="AW588" i="8"/>
  <c r="AZ590" i="8"/>
  <c r="N590" i="8"/>
  <c r="AA522" i="8"/>
  <c r="AK654" i="8"/>
  <c r="S503" i="8"/>
  <c r="AH622" i="8"/>
  <c r="AQ538" i="8"/>
  <c r="AL542" i="8"/>
  <c r="AU528" i="8"/>
  <c r="Z504" i="8"/>
  <c r="G570" i="8"/>
  <c r="AR510" i="8"/>
  <c r="AI573" i="8"/>
  <c r="Y608" i="8"/>
  <c r="Q608" i="8"/>
  <c r="Q529" i="8"/>
  <c r="P529" i="8"/>
  <c r="AN529" i="8"/>
  <c r="M529" i="8"/>
  <c r="BA529" i="8"/>
  <c r="AW529" i="8"/>
  <c r="Z605" i="8"/>
  <c r="AR605" i="8"/>
  <c r="V605" i="8"/>
  <c r="T605" i="8"/>
  <c r="AZ605" i="8"/>
  <c r="U611" i="8"/>
  <c r="AQ611" i="8"/>
  <c r="AY611" i="8"/>
  <c r="AB611" i="8"/>
  <c r="AE611" i="8"/>
  <c r="X611" i="8"/>
  <c r="V481" i="8"/>
  <c r="AF603" i="8"/>
  <c r="AL603" i="8"/>
  <c r="S603" i="8"/>
  <c r="AW603" i="8"/>
  <c r="AO603" i="8"/>
  <c r="AN599" i="8"/>
  <c r="AL599" i="8"/>
  <c r="AJ599" i="8"/>
  <c r="AH599" i="8"/>
  <c r="K599" i="8"/>
  <c r="W599" i="8"/>
  <c r="O527" i="8"/>
  <c r="AH527" i="8"/>
  <c r="X527" i="8"/>
  <c r="G527" i="8"/>
  <c r="F527" i="8"/>
  <c r="L527" i="8"/>
  <c r="AA601" i="8"/>
  <c r="AL601" i="8"/>
  <c r="AQ601" i="8"/>
  <c r="V601" i="8"/>
  <c r="AK601" i="8"/>
  <c r="AG601" i="8"/>
  <c r="AT634" i="8"/>
  <c r="AG634" i="8"/>
  <c r="AS535" i="8"/>
  <c r="AK535" i="8"/>
  <c r="Q566" i="8"/>
  <c r="P566" i="8"/>
  <c r="AN566" i="8"/>
  <c r="T639" i="8"/>
  <c r="U639" i="8"/>
  <c r="AH640" i="8"/>
  <c r="K598" i="8"/>
  <c r="M598" i="8"/>
  <c r="AR598" i="8"/>
  <c r="AN665" i="8"/>
  <c r="AT665" i="8"/>
  <c r="Y665" i="8"/>
  <c r="AX586" i="8"/>
  <c r="AZ514" i="8"/>
  <c r="BA555" i="8"/>
  <c r="J555" i="8"/>
  <c r="AV555" i="8"/>
  <c r="BC554" i="8"/>
  <c r="X667" i="8"/>
  <c r="AO667" i="8"/>
  <c r="AR622" i="8"/>
  <c r="AB656" i="8"/>
  <c r="AU593" i="8"/>
  <c r="O593" i="8"/>
  <c r="M588" i="8"/>
  <c r="R590" i="8"/>
  <c r="G590" i="8"/>
  <c r="O522" i="8"/>
  <c r="AW654" i="8"/>
  <c r="AJ584" i="8"/>
  <c r="AE622" i="8"/>
  <c r="AC538" i="8"/>
  <c r="O503" i="8"/>
  <c r="AF528" i="8"/>
  <c r="BB504" i="8"/>
  <c r="R638" i="8"/>
  <c r="AX492" i="8"/>
  <c r="BA643" i="8"/>
  <c r="I601" i="8"/>
  <c r="J634" i="8"/>
  <c r="AK634" i="8"/>
  <c r="AU634" i="8"/>
  <c r="W634" i="8"/>
  <c r="AD634" i="8"/>
  <c r="K535" i="8"/>
  <c r="AF535" i="8"/>
  <c r="W535" i="8"/>
  <c r="V535" i="8"/>
  <c r="X566" i="8"/>
  <c r="BC566" i="8"/>
  <c r="AS566" i="8"/>
  <c r="AD566" i="8"/>
  <c r="AJ566" i="8"/>
  <c r="F566" i="8"/>
  <c r="AD639" i="8"/>
  <c r="BB639" i="8"/>
  <c r="AV639" i="8"/>
  <c r="S640" i="8"/>
  <c r="K640" i="8"/>
  <c r="BA640" i="8"/>
  <c r="W640" i="8"/>
  <c r="G598" i="8"/>
  <c r="T598" i="8"/>
  <c r="AZ598" i="8"/>
  <c r="Y598" i="8"/>
  <c r="Q598" i="8"/>
  <c r="AA665" i="8"/>
  <c r="AM665" i="8"/>
  <c r="BA665" i="8"/>
  <c r="AX665" i="8"/>
  <c r="AU665" i="8"/>
  <c r="S586" i="8"/>
  <c r="V586" i="8"/>
  <c r="AW586" i="8"/>
  <c r="AF514" i="8"/>
  <c r="I514" i="8"/>
  <c r="BB555" i="8"/>
  <c r="AS555" i="8"/>
  <c r="H555" i="8"/>
  <c r="AR555" i="8"/>
  <c r="L555" i="8"/>
  <c r="N483" i="8"/>
  <c r="BB554" i="8"/>
  <c r="K554" i="8"/>
  <c r="L554" i="8"/>
  <c r="U667" i="8"/>
  <c r="AL667" i="8"/>
  <c r="H590" i="8"/>
  <c r="AR504" i="8"/>
  <c r="Z656" i="8"/>
  <c r="AY656" i="8"/>
  <c r="U656" i="8"/>
  <c r="W593" i="8"/>
  <c r="AM593" i="8"/>
  <c r="AL593" i="8"/>
  <c r="X588" i="8"/>
  <c r="O588" i="8"/>
  <c r="Y588" i="8"/>
  <c r="P590" i="8"/>
  <c r="BB590" i="8"/>
  <c r="AR590" i="8"/>
  <c r="V522" i="8"/>
  <c r="AY522" i="8"/>
  <c r="AZ660" i="8"/>
  <c r="AH660" i="8"/>
  <c r="AC654" i="8"/>
  <c r="V503" i="8"/>
  <c r="AF584" i="8"/>
  <c r="O622" i="8"/>
  <c r="AY622" i="8"/>
  <c r="AW538" i="8"/>
  <c r="M542" i="8"/>
  <c r="AZ542" i="8"/>
  <c r="AC638" i="8"/>
  <c r="K528" i="8"/>
  <c r="U579" i="8"/>
  <c r="AV504" i="8"/>
  <c r="AR589" i="8"/>
  <c r="AW570" i="8"/>
  <c r="AS589" i="8"/>
  <c r="AH586" i="8"/>
  <c r="AA613" i="8"/>
  <c r="AM545" i="8"/>
  <c r="AC601" i="8"/>
  <c r="S634" i="8"/>
  <c r="BA634" i="8"/>
  <c r="F634" i="8"/>
  <c r="AV634" i="8"/>
  <c r="AI634" i="8"/>
  <c r="AO535" i="8"/>
  <c r="F535" i="8"/>
  <c r="R535" i="8"/>
  <c r="AX535" i="8"/>
  <c r="I566" i="8"/>
  <c r="AO566" i="8"/>
  <c r="Z566" i="8"/>
  <c r="AA566" i="8"/>
  <c r="AR566" i="8"/>
  <c r="M639" i="8"/>
  <c r="S639" i="8"/>
  <c r="AL639" i="8"/>
  <c r="R639" i="8"/>
  <c r="AU640" i="8"/>
  <c r="O640" i="8"/>
  <c r="AM640" i="8"/>
  <c r="AV598" i="8"/>
  <c r="AH598" i="8"/>
  <c r="L598" i="8"/>
  <c r="AP598" i="8"/>
  <c r="AA598" i="8"/>
  <c r="AY598" i="8"/>
  <c r="BB665" i="8"/>
  <c r="H665" i="8"/>
  <c r="AW665" i="8"/>
  <c r="AZ665" i="8"/>
  <c r="BB586" i="8"/>
  <c r="R586" i="8"/>
  <c r="M586" i="8"/>
  <c r="I586" i="8"/>
  <c r="AE514" i="8"/>
  <c r="AJ555" i="8"/>
  <c r="AF555" i="8"/>
  <c r="AG555" i="8"/>
  <c r="AD555" i="8"/>
  <c r="Z555" i="8"/>
  <c r="AX555" i="8"/>
  <c r="AV507" i="8"/>
  <c r="AS554" i="8"/>
  <c r="AN554" i="8"/>
  <c r="G667" i="8"/>
  <c r="AY667" i="8"/>
  <c r="AK667" i="8"/>
  <c r="AQ579" i="8"/>
  <c r="S538" i="8"/>
  <c r="F656" i="8"/>
  <c r="H656" i="8"/>
  <c r="AH656" i="8"/>
  <c r="AD593" i="8"/>
  <c r="N593" i="8"/>
  <c r="AT593" i="8"/>
  <c r="AD588" i="8"/>
  <c r="AU588" i="8"/>
  <c r="AI588" i="8"/>
  <c r="BA590" i="8"/>
  <c r="X590" i="8"/>
  <c r="O590" i="8"/>
  <c r="S522" i="8"/>
  <c r="AS522" i="8"/>
  <c r="AT660" i="8"/>
  <c r="AX654" i="8"/>
  <c r="J503" i="8"/>
  <c r="AV584" i="8"/>
  <c r="AM584" i="8"/>
  <c r="AA622" i="8"/>
  <c r="I538" i="8"/>
  <c r="AF538" i="8"/>
  <c r="F542" i="8"/>
  <c r="AW504" i="8"/>
  <c r="AU638" i="8"/>
  <c r="M528" i="8"/>
  <c r="Z632" i="8"/>
  <c r="AD504" i="8"/>
  <c r="AL503" i="8"/>
  <c r="AN654" i="8"/>
  <c r="AW517" i="8"/>
  <c r="AU507" i="8"/>
  <c r="AF652" i="8"/>
  <c r="Q647" i="8"/>
  <c r="U634" i="8"/>
  <c r="N634" i="8"/>
  <c r="AR634" i="8"/>
  <c r="AH634" i="8"/>
  <c r="AW634" i="8"/>
  <c r="I535" i="8"/>
  <c r="AV535" i="8"/>
  <c r="AM535" i="8"/>
  <c r="AB535" i="8"/>
  <c r="U535" i="8"/>
  <c r="Y566" i="8"/>
  <c r="K566" i="8"/>
  <c r="AZ566" i="8"/>
  <c r="G566" i="8"/>
  <c r="AB566" i="8"/>
  <c r="BC639" i="8"/>
  <c r="I639" i="8"/>
  <c r="AG639" i="8"/>
  <c r="Z639" i="8"/>
  <c r="AN640" i="8"/>
  <c r="V640" i="8"/>
  <c r="Q640" i="8"/>
  <c r="F598" i="8"/>
  <c r="AK598" i="8"/>
  <c r="AL598" i="8"/>
  <c r="Z598" i="8"/>
  <c r="BC598" i="8"/>
  <c r="W598" i="8"/>
  <c r="AG665" i="8"/>
  <c r="V665" i="8"/>
  <c r="Z665" i="8"/>
  <c r="S665" i="8"/>
  <c r="AJ586" i="8"/>
  <c r="F586" i="8"/>
  <c r="U586" i="8"/>
  <c r="J514" i="8"/>
  <c r="AC514" i="8"/>
  <c r="AN555" i="8"/>
  <c r="W555" i="8"/>
  <c r="N555" i="8"/>
  <c r="O555" i="8"/>
  <c r="AQ555" i="8"/>
  <c r="F555" i="8"/>
  <c r="J507" i="8"/>
  <c r="AK554" i="8"/>
  <c r="BA554" i="8"/>
  <c r="O667" i="8"/>
  <c r="BC667" i="8"/>
  <c r="W667" i="8"/>
  <c r="X517" i="8"/>
  <c r="V494" i="8"/>
  <c r="W656" i="8"/>
  <c r="AK656" i="8"/>
  <c r="AE656" i="8"/>
  <c r="AJ593" i="8"/>
  <c r="T593" i="8"/>
  <c r="AK593" i="8"/>
  <c r="L588" i="8"/>
  <c r="I588" i="8"/>
  <c r="G588" i="8"/>
  <c r="AU590" i="8"/>
  <c r="AM590" i="8"/>
  <c r="BC590" i="8"/>
  <c r="BB522" i="8"/>
  <c r="AH522" i="8"/>
  <c r="BA660" i="8"/>
  <c r="T654" i="8"/>
  <c r="L503" i="8"/>
  <c r="AL584" i="8"/>
  <c r="H584" i="8"/>
  <c r="H622" i="8"/>
  <c r="AU538" i="8"/>
  <c r="R538" i="8"/>
  <c r="AX542" i="8"/>
  <c r="T517" i="8"/>
  <c r="AE638" i="8"/>
  <c r="AA528" i="8"/>
  <c r="AT632" i="8"/>
  <c r="W516" i="8"/>
  <c r="AC676" i="8"/>
  <c r="AU494" i="8"/>
  <c r="AY517" i="8"/>
  <c r="V656" i="8"/>
  <c r="AG490" i="8"/>
  <c r="S557" i="8"/>
  <c r="AX634" i="8"/>
  <c r="AF634" i="8"/>
  <c r="M634" i="8"/>
  <c r="AN634" i="8"/>
  <c r="L634" i="8"/>
  <c r="AI535" i="8"/>
  <c r="AC535" i="8"/>
  <c r="BA535" i="8"/>
  <c r="AA535" i="8"/>
  <c r="BA566" i="8"/>
  <c r="AC566" i="8"/>
  <c r="AV566" i="8"/>
  <c r="W566" i="8"/>
  <c r="V566" i="8"/>
  <c r="L566" i="8"/>
  <c r="O639" i="8"/>
  <c r="H639" i="8"/>
  <c r="V639" i="8"/>
  <c r="AS639" i="8"/>
  <c r="AW640" i="8"/>
  <c r="AR640" i="8"/>
  <c r="L640" i="8"/>
  <c r="BB598" i="8"/>
  <c r="AW598" i="8"/>
  <c r="R598" i="8"/>
  <c r="AN598" i="8"/>
  <c r="AJ598" i="8"/>
  <c r="S598" i="8"/>
  <c r="P665" i="8"/>
  <c r="AC665" i="8"/>
  <c r="AH665" i="8"/>
  <c r="BC665" i="8"/>
  <c r="AK586" i="8"/>
  <c r="AS586" i="8"/>
  <c r="AN586" i="8"/>
  <c r="G514" i="8"/>
  <c r="F514" i="8"/>
  <c r="S555" i="8"/>
  <c r="G555" i="8"/>
  <c r="I555" i="8"/>
  <c r="AE555" i="8"/>
  <c r="V555" i="8"/>
  <c r="P555" i="8"/>
  <c r="AI507" i="8"/>
  <c r="Q554" i="8"/>
  <c r="AO554" i="8"/>
  <c r="AA667" i="8"/>
  <c r="AE667" i="8"/>
  <c r="F621" i="8"/>
  <c r="AO504" i="8"/>
  <c r="J656" i="8"/>
  <c r="BA656" i="8"/>
  <c r="Y656" i="8"/>
  <c r="R593" i="8"/>
  <c r="U593" i="8"/>
  <c r="K593" i="8"/>
  <c r="AG593" i="8"/>
  <c r="AG588" i="8"/>
  <c r="U588" i="8"/>
  <c r="AQ588" i="8"/>
  <c r="AL590" i="8"/>
  <c r="F590" i="8"/>
  <c r="AY590" i="8"/>
  <c r="AD522" i="8"/>
  <c r="AC522" i="8"/>
  <c r="AP660" i="8"/>
  <c r="AU654" i="8"/>
  <c r="U503" i="8"/>
  <c r="BA584" i="8"/>
  <c r="X584" i="8"/>
  <c r="AU622" i="8"/>
  <c r="AB538" i="8"/>
  <c r="AP542" i="8"/>
  <c r="AT542" i="8"/>
  <c r="AP494" i="8"/>
  <c r="AO638" i="8"/>
  <c r="AT579" i="8"/>
  <c r="AH632" i="8"/>
  <c r="AS516" i="8"/>
  <c r="AS676" i="8"/>
  <c r="F541" i="8"/>
  <c r="J637" i="8"/>
  <c r="K486" i="8"/>
  <c r="V630" i="8"/>
  <c r="AZ550" i="8"/>
  <c r="AT555" i="8"/>
  <c r="AP483" i="8"/>
  <c r="AT507" i="8"/>
  <c r="O554" i="8"/>
  <c r="AT554" i="8"/>
  <c r="I554" i="8"/>
  <c r="N554" i="8"/>
  <c r="Y554" i="8"/>
  <c r="K667" i="8"/>
  <c r="J667" i="8"/>
  <c r="N667" i="8"/>
  <c r="AF667" i="8"/>
  <c r="BB667" i="8"/>
  <c r="BA538" i="8"/>
  <c r="I632" i="8"/>
  <c r="W503" i="8"/>
  <c r="AE516" i="8"/>
  <c r="BB656" i="8"/>
  <c r="AT656" i="8"/>
  <c r="BC656" i="8"/>
  <c r="L656" i="8"/>
  <c r="AI656" i="8"/>
  <c r="AA656" i="8"/>
  <c r="Z593" i="8"/>
  <c r="F593" i="8"/>
  <c r="H593" i="8"/>
  <c r="M593" i="8"/>
  <c r="AS593" i="8"/>
  <c r="AA593" i="8"/>
  <c r="W588" i="8"/>
  <c r="P588" i="8"/>
  <c r="BA588" i="8"/>
  <c r="R588" i="8"/>
  <c r="AN588" i="8"/>
  <c r="BC588" i="8"/>
  <c r="AE590" i="8"/>
  <c r="I590" i="8"/>
  <c r="AS590" i="8"/>
  <c r="AO590" i="8"/>
  <c r="AK590" i="8"/>
  <c r="J590" i="8"/>
  <c r="G522" i="8"/>
  <c r="AO522" i="8"/>
  <c r="AE522" i="8"/>
  <c r="BA522" i="8"/>
  <c r="U660" i="8"/>
  <c r="J660" i="8"/>
  <c r="M660" i="8"/>
  <c r="Z654" i="8"/>
  <c r="I654" i="8"/>
  <c r="AK503" i="8"/>
  <c r="F503" i="8"/>
  <c r="J584" i="8"/>
  <c r="Z584" i="8"/>
  <c r="P584" i="8"/>
  <c r="R622" i="8"/>
  <c r="AP622" i="8"/>
  <c r="AF622" i="8"/>
  <c r="BB538" i="8"/>
  <c r="AT538" i="8"/>
  <c r="AX538" i="8"/>
  <c r="AD542" i="8"/>
  <c r="AB542" i="8"/>
  <c r="AQ542" i="8"/>
  <c r="T676" i="8"/>
  <c r="AJ494" i="8"/>
  <c r="AQ638" i="8"/>
  <c r="AH528" i="8"/>
  <c r="AM528" i="8"/>
  <c r="M579" i="8"/>
  <c r="L632" i="8"/>
  <c r="I504" i="8"/>
  <c r="AC516" i="8"/>
  <c r="AO516" i="8"/>
  <c r="H676" i="8"/>
  <c r="AK570" i="8"/>
  <c r="Q504" i="8"/>
  <c r="AR541" i="8"/>
  <c r="AM517" i="8"/>
  <c r="AS637" i="8"/>
  <c r="H595" i="8"/>
  <c r="BB613" i="8"/>
  <c r="AS534" i="8"/>
  <c r="AN591" i="8"/>
  <c r="AL487" i="8"/>
  <c r="R555" i="8"/>
  <c r="AD483" i="8"/>
  <c r="AP507" i="8"/>
  <c r="G554" i="8"/>
  <c r="AC554" i="8"/>
  <c r="AE554" i="8"/>
  <c r="AW554" i="8"/>
  <c r="J554" i="8"/>
  <c r="BA667" i="8"/>
  <c r="AV667" i="8"/>
  <c r="AR667" i="8"/>
  <c r="AW667" i="8"/>
  <c r="AD621" i="8"/>
  <c r="BC589" i="8"/>
  <c r="AB504" i="8"/>
  <c r="N494" i="8"/>
  <c r="R656" i="8"/>
  <c r="O656" i="8"/>
  <c r="K656" i="8"/>
  <c r="AN656" i="8"/>
  <c r="AX656" i="8"/>
  <c r="AD656" i="8"/>
  <c r="AV593" i="8"/>
  <c r="I593" i="8"/>
  <c r="AI593" i="8"/>
  <c r="AP593" i="8"/>
  <c r="AW593" i="8"/>
  <c r="Y593" i="8"/>
  <c r="T588" i="8"/>
  <c r="AH588" i="8"/>
  <c r="AJ588" i="8"/>
  <c r="AZ588" i="8"/>
  <c r="AV588" i="8"/>
  <c r="F588" i="8"/>
  <c r="AM588" i="8"/>
  <c r="Z590" i="8"/>
  <c r="AW590" i="8"/>
  <c r="T590" i="8"/>
  <c r="AB590" i="8"/>
  <c r="K590" i="8"/>
  <c r="W590" i="8"/>
  <c r="N522" i="8"/>
  <c r="L522" i="8"/>
  <c r="R522" i="8"/>
  <c r="W522" i="8"/>
  <c r="BC660" i="8"/>
  <c r="AL660" i="8"/>
  <c r="AR654" i="8"/>
  <c r="BA654" i="8"/>
  <c r="U654" i="8"/>
  <c r="BB503" i="8"/>
  <c r="AI503" i="8"/>
  <c r="AY584" i="8"/>
  <c r="AT584" i="8"/>
  <c r="G584" i="8"/>
  <c r="U622" i="8"/>
  <c r="AC622" i="8"/>
  <c r="P622" i="8"/>
  <c r="P538" i="8"/>
  <c r="AG538" i="8"/>
  <c r="I542" i="8"/>
  <c r="O542" i="8"/>
  <c r="AM542" i="8"/>
  <c r="AJ638" i="8"/>
  <c r="P494" i="8"/>
  <c r="G638" i="8"/>
  <c r="I638" i="8"/>
  <c r="R528" i="8"/>
  <c r="AV579" i="8"/>
  <c r="AK579" i="8"/>
  <c r="U632" i="8"/>
  <c r="AS504" i="8"/>
  <c r="AN516" i="8"/>
  <c r="AQ516" i="8"/>
  <c r="V676" i="8"/>
  <c r="H570" i="8"/>
  <c r="AH541" i="8"/>
  <c r="K589" i="8"/>
  <c r="Z637" i="8"/>
  <c r="T486" i="8"/>
  <c r="AT486" i="8"/>
  <c r="I619" i="8"/>
  <c r="S630" i="8"/>
  <c r="W573" i="8"/>
  <c r="AE550" i="8"/>
  <c r="AZ555" i="8"/>
  <c r="K483" i="8"/>
  <c r="AF507" i="8"/>
  <c r="T554" i="8"/>
  <c r="M554" i="8"/>
  <c r="AM554" i="8"/>
  <c r="AJ554" i="8"/>
  <c r="AB667" i="8"/>
  <c r="L667" i="8"/>
  <c r="AZ667" i="8"/>
  <c r="F667" i="8"/>
  <c r="AN667" i="8"/>
  <c r="F663" i="8"/>
  <c r="G654" i="8"/>
  <c r="AJ517" i="8"/>
  <c r="AZ504" i="8"/>
  <c r="AJ656" i="8"/>
  <c r="AF656" i="8"/>
  <c r="AV656" i="8"/>
  <c r="AU656" i="8"/>
  <c r="AG656" i="8"/>
  <c r="AL656" i="8"/>
  <c r="AX593" i="8"/>
  <c r="BC593" i="8"/>
  <c r="L593" i="8"/>
  <c r="G593" i="8"/>
  <c r="V593" i="8"/>
  <c r="AZ593" i="8"/>
  <c r="AA588" i="8"/>
  <c r="AF588" i="8"/>
  <c r="BB588" i="8"/>
  <c r="AT588" i="8"/>
  <c r="V588" i="8"/>
  <c r="AO588" i="8"/>
  <c r="AI590" i="8"/>
  <c r="AX590" i="8"/>
  <c r="Y590" i="8"/>
  <c r="AC590" i="8"/>
  <c r="L590" i="8"/>
  <c r="AD590" i="8"/>
  <c r="S590" i="8"/>
  <c r="Y522" i="8"/>
  <c r="AT522" i="8"/>
  <c r="AI522" i="8"/>
  <c r="W660" i="8"/>
  <c r="AJ660" i="8"/>
  <c r="P660" i="8"/>
  <c r="AD654" i="8"/>
  <c r="AV654" i="8"/>
  <c r="AJ654" i="8"/>
  <c r="AT503" i="8"/>
  <c r="Z503" i="8"/>
  <c r="AX584" i="8"/>
  <c r="W584" i="8"/>
  <c r="AM622" i="8"/>
  <c r="AX622" i="8"/>
  <c r="AW622" i="8"/>
  <c r="T538" i="8"/>
  <c r="W538" i="8"/>
  <c r="AS538" i="8"/>
  <c r="AF542" i="8"/>
  <c r="AK542" i="8"/>
  <c r="R542" i="8"/>
  <c r="AB579" i="8"/>
  <c r="X494" i="8"/>
  <c r="AL638" i="8"/>
  <c r="AI638" i="8"/>
  <c r="AB528" i="8"/>
  <c r="F579" i="8"/>
  <c r="AY632" i="8"/>
  <c r="AO632" i="8"/>
  <c r="Y504" i="8"/>
  <c r="AK516" i="8"/>
  <c r="AT494" i="8"/>
  <c r="AZ676" i="8"/>
  <c r="Z570" i="8"/>
  <c r="P541" i="8"/>
  <c r="H589" i="8"/>
  <c r="H637" i="8"/>
  <c r="P481" i="8"/>
  <c r="AQ664" i="8"/>
  <c r="O539" i="8"/>
  <c r="BB582" i="8"/>
  <c r="AW520" i="8"/>
  <c r="R583" i="8"/>
  <c r="AQ483" i="8"/>
  <c r="AH507" i="8"/>
  <c r="AA507" i="8"/>
  <c r="S554" i="8"/>
  <c r="AY554" i="8"/>
  <c r="W554" i="8"/>
  <c r="AP554" i="8"/>
  <c r="AT667" i="8"/>
  <c r="Y667" i="8"/>
  <c r="AU667" i="8"/>
  <c r="Q667" i="8"/>
  <c r="Z667" i="8"/>
  <c r="AL668" i="8"/>
  <c r="AJ503" i="8"/>
  <c r="H504" i="8"/>
  <c r="S593" i="8"/>
  <c r="N656" i="8"/>
  <c r="P656" i="8"/>
  <c r="AQ656" i="8"/>
  <c r="I656" i="8"/>
  <c r="AS656" i="8"/>
  <c r="M656" i="8"/>
  <c r="P593" i="8"/>
  <c r="AR593" i="8"/>
  <c r="BA593" i="8"/>
  <c r="AF593" i="8"/>
  <c r="AH593" i="8"/>
  <c r="AC593" i="8"/>
  <c r="AK588" i="8"/>
  <c r="J588" i="8"/>
  <c r="Z588" i="8"/>
  <c r="H588" i="8"/>
  <c r="AB588" i="8"/>
  <c r="AY588" i="8"/>
  <c r="AH590" i="8"/>
  <c r="AJ590" i="8"/>
  <c r="AQ590" i="8"/>
  <c r="Q590" i="8"/>
  <c r="AG590" i="8"/>
  <c r="AA590" i="8"/>
  <c r="AK522" i="8"/>
  <c r="T522" i="8"/>
  <c r="AL522" i="8"/>
  <c r="F522" i="8"/>
  <c r="Z660" i="8"/>
  <c r="Q660" i="8"/>
  <c r="Y660" i="8"/>
  <c r="X654" i="8"/>
  <c r="N654" i="8"/>
  <c r="AL654" i="8"/>
  <c r="Y503" i="8"/>
  <c r="AB503" i="8"/>
  <c r="U584" i="8"/>
  <c r="R584" i="8"/>
  <c r="N622" i="8"/>
  <c r="AO622" i="8"/>
  <c r="W622" i="8"/>
  <c r="AP538" i="8"/>
  <c r="AD538" i="8"/>
  <c r="O538" i="8"/>
  <c r="G542" i="8"/>
  <c r="BC542" i="8"/>
  <c r="W542" i="8"/>
  <c r="K632" i="8"/>
  <c r="AH494" i="8"/>
  <c r="X638" i="8"/>
  <c r="AN528" i="8"/>
  <c r="I528" i="8"/>
  <c r="AW579" i="8"/>
  <c r="G632" i="8"/>
  <c r="AS632" i="8"/>
  <c r="P504" i="8"/>
  <c r="H516" i="8"/>
  <c r="AO517" i="8"/>
  <c r="AO676" i="8"/>
  <c r="AG660" i="8"/>
  <c r="AC541" i="8"/>
  <c r="I589" i="8"/>
  <c r="S637" i="8"/>
  <c r="G531" i="8"/>
  <c r="F510" i="8"/>
  <c r="Y652" i="8"/>
  <c r="N537" i="8"/>
  <c r="I634" i="8"/>
  <c r="AQ568" i="8"/>
  <c r="AX522" i="8"/>
  <c r="AQ522" i="8"/>
  <c r="U522" i="8"/>
  <c r="AO660" i="8"/>
  <c r="T660" i="8"/>
  <c r="AQ660" i="8"/>
  <c r="AU660" i="8"/>
  <c r="AS660" i="8"/>
  <c r="O660" i="8"/>
  <c r="AA654" i="8"/>
  <c r="Q654" i="8"/>
  <c r="AT654" i="8"/>
  <c r="W654" i="8"/>
  <c r="AI654" i="8"/>
  <c r="K503" i="8"/>
  <c r="I503" i="8"/>
  <c r="R503" i="8"/>
  <c r="AH503" i="8"/>
  <c r="Q584" i="8"/>
  <c r="V584" i="8"/>
  <c r="M584" i="8"/>
  <c r="AU584" i="8"/>
  <c r="AO584" i="8"/>
  <c r="AK584" i="8"/>
  <c r="AL622" i="8"/>
  <c r="AD622" i="8"/>
  <c r="F622" i="8"/>
  <c r="AB622" i="8"/>
  <c r="AJ622" i="8"/>
  <c r="AA538" i="8"/>
  <c r="K538" i="8"/>
  <c r="Z538" i="8"/>
  <c r="U538" i="8"/>
  <c r="Y538" i="8"/>
  <c r="BC538" i="8"/>
  <c r="V542" i="8"/>
  <c r="AY542" i="8"/>
  <c r="AG542" i="8"/>
  <c r="Q542" i="8"/>
  <c r="P542" i="8"/>
  <c r="AN542" i="8"/>
  <c r="Q589" i="8"/>
  <c r="J570" i="8"/>
  <c r="S494" i="8"/>
  <c r="T494" i="8"/>
  <c r="Q638" i="8"/>
  <c r="AK638" i="8"/>
  <c r="AY638" i="8"/>
  <c r="T528" i="8"/>
  <c r="AY528" i="8"/>
  <c r="AZ528" i="8"/>
  <c r="AH579" i="8"/>
  <c r="I579" i="8"/>
  <c r="F632" i="8"/>
  <c r="AE632" i="8"/>
  <c r="AZ632" i="8"/>
  <c r="AA504" i="8"/>
  <c r="W504" i="8"/>
  <c r="N504" i="8"/>
  <c r="U516" i="8"/>
  <c r="Y516" i="8"/>
  <c r="AS654" i="8"/>
  <c r="AC494" i="8"/>
  <c r="AL676" i="8"/>
  <c r="AB570" i="8"/>
  <c r="AR570" i="8"/>
  <c r="AW632" i="8"/>
  <c r="AK541" i="8"/>
  <c r="U541" i="8"/>
  <c r="AA589" i="8"/>
  <c r="AT517" i="8"/>
  <c r="AJ637" i="8"/>
  <c r="U637" i="8"/>
  <c r="V507" i="8"/>
  <c r="N649" i="8"/>
  <c r="AV668" i="8"/>
  <c r="AR613" i="8"/>
  <c r="AP619" i="8"/>
  <c r="AN524" i="8"/>
  <c r="G630" i="8"/>
  <c r="G647" i="8"/>
  <c r="AT573" i="8"/>
  <c r="AS641" i="8"/>
  <c r="AE533" i="8"/>
  <c r="I522" i="8"/>
  <c r="AV522" i="8"/>
  <c r="AP522" i="8"/>
  <c r="BC522" i="8"/>
  <c r="S660" i="8"/>
  <c r="K660" i="8"/>
  <c r="L660" i="8"/>
  <c r="R660" i="8"/>
  <c r="AR660" i="8"/>
  <c r="AF660" i="8"/>
  <c r="K654" i="8"/>
  <c r="BC654" i="8"/>
  <c r="BB654" i="8"/>
  <c r="AB654" i="8"/>
  <c r="AH654" i="8"/>
  <c r="AN503" i="8"/>
  <c r="AD503" i="8"/>
  <c r="AQ503" i="8"/>
  <c r="AP503" i="8"/>
  <c r="AQ584" i="8"/>
  <c r="AC584" i="8"/>
  <c r="AW584" i="8"/>
  <c r="AA584" i="8"/>
  <c r="L584" i="8"/>
  <c r="V622" i="8"/>
  <c r="Z622" i="8"/>
  <c r="K622" i="8"/>
  <c r="AG622" i="8"/>
  <c r="AN622" i="8"/>
  <c r="AS622" i="8"/>
  <c r="F538" i="8"/>
  <c r="AZ538" i="8"/>
  <c r="AJ538" i="8"/>
  <c r="AO538" i="8"/>
  <c r="AV538" i="8"/>
  <c r="M538" i="8"/>
  <c r="AR542" i="8"/>
  <c r="AU542" i="8"/>
  <c r="AV542" i="8"/>
  <c r="AH542" i="8"/>
  <c r="AI542" i="8"/>
  <c r="AE542" i="8"/>
  <c r="AQ517" i="8"/>
  <c r="BB516" i="8"/>
  <c r="Y494" i="8"/>
  <c r="P638" i="8"/>
  <c r="AZ638" i="8"/>
  <c r="AA638" i="8"/>
  <c r="BC528" i="8"/>
  <c r="AR528" i="8"/>
  <c r="N528" i="8"/>
  <c r="J579" i="8"/>
  <c r="AA579" i="8"/>
  <c r="AR579" i="8"/>
  <c r="N632" i="8"/>
  <c r="AR632" i="8"/>
  <c r="T632" i="8"/>
  <c r="BA504" i="8"/>
  <c r="U504" i="8"/>
  <c r="AL516" i="8"/>
  <c r="X516" i="8"/>
  <c r="H538" i="8"/>
  <c r="AR503" i="8"/>
  <c r="AJ676" i="8"/>
  <c r="M676" i="8"/>
  <c r="F570" i="8"/>
  <c r="H654" i="8"/>
  <c r="AX494" i="8"/>
  <c r="BB541" i="8"/>
  <c r="AE589" i="8"/>
  <c r="AP589" i="8"/>
  <c r="AX517" i="8"/>
  <c r="G637" i="8"/>
  <c r="AJ597" i="8"/>
  <c r="U531" i="8"/>
  <c r="AR656" i="8"/>
  <c r="O510" i="8"/>
  <c r="K613" i="8"/>
  <c r="T652" i="8"/>
  <c r="H646" i="8"/>
  <c r="BB537" i="8"/>
  <c r="AU545" i="8"/>
  <c r="P634" i="8"/>
  <c r="BC521" i="8"/>
  <c r="AY568" i="8"/>
  <c r="AZ522" i="8"/>
  <c r="X522" i="8"/>
  <c r="Z522" i="8"/>
  <c r="K522" i="8"/>
  <c r="AK660" i="8"/>
  <c r="G660" i="8"/>
  <c r="AC660" i="8"/>
  <c r="AV660" i="8"/>
  <c r="AI660" i="8"/>
  <c r="R654" i="8"/>
  <c r="AY654" i="8"/>
  <c r="S654" i="8"/>
  <c r="AM654" i="8"/>
  <c r="L654" i="8"/>
  <c r="AO654" i="8"/>
  <c r="AO503" i="8"/>
  <c r="BA503" i="8"/>
  <c r="AU503" i="8"/>
  <c r="X503" i="8"/>
  <c r="S584" i="8"/>
  <c r="AR584" i="8"/>
  <c r="F584" i="8"/>
  <c r="I584" i="8"/>
  <c r="K584" i="8"/>
  <c r="M622" i="8"/>
  <c r="L622" i="8"/>
  <c r="BA622" i="8"/>
  <c r="BC622" i="8"/>
  <c r="Q622" i="8"/>
  <c r="AZ622" i="8"/>
  <c r="AH538" i="8"/>
  <c r="X538" i="8"/>
  <c r="J538" i="8"/>
  <c r="Q538" i="8"/>
  <c r="AI538" i="8"/>
  <c r="L538" i="8"/>
  <c r="AS542" i="8"/>
  <c r="K542" i="8"/>
  <c r="AO542" i="8"/>
  <c r="AA542" i="8"/>
  <c r="N542" i="8"/>
  <c r="T542" i="8"/>
  <c r="AR517" i="8"/>
  <c r="O494" i="8"/>
  <c r="AR494" i="8"/>
  <c r="O638" i="8"/>
  <c r="V638" i="8"/>
  <c r="U638" i="8"/>
  <c r="AX528" i="8"/>
  <c r="AI528" i="8"/>
  <c r="Z528" i="8"/>
  <c r="V579" i="8"/>
  <c r="O579" i="8"/>
  <c r="N579" i="8"/>
  <c r="AX632" i="8"/>
  <c r="AQ632" i="8"/>
  <c r="AN632" i="8"/>
  <c r="R504" i="8"/>
  <c r="G504" i="8"/>
  <c r="F516" i="8"/>
  <c r="G516" i="8"/>
  <c r="K517" i="8"/>
  <c r="AS503" i="8"/>
  <c r="AT676" i="8"/>
  <c r="AM676" i="8"/>
  <c r="AP570" i="8"/>
  <c r="T579" i="8"/>
  <c r="K504" i="8"/>
  <c r="AM541" i="8"/>
  <c r="AZ589" i="8"/>
  <c r="J589" i="8"/>
  <c r="BB517" i="8"/>
  <c r="AI637" i="8"/>
  <c r="M510" i="8"/>
  <c r="N516" i="8"/>
  <c r="AF621" i="8"/>
  <c r="U486" i="8"/>
  <c r="I544" i="8"/>
  <c r="AZ652" i="8"/>
  <c r="V646" i="8"/>
  <c r="AP537" i="8"/>
  <c r="K545" i="8"/>
  <c r="AV665" i="8"/>
  <c r="AX536" i="8"/>
  <c r="M552" i="8"/>
  <c r="P522" i="8"/>
  <c r="AF522" i="8"/>
  <c r="AU522" i="8"/>
  <c r="AM522" i="8"/>
  <c r="AM660" i="8"/>
  <c r="AW660" i="8"/>
  <c r="BB660" i="8"/>
  <c r="AB660" i="8"/>
  <c r="AD660" i="8"/>
  <c r="AZ654" i="8"/>
  <c r="Y654" i="8"/>
  <c r="P654" i="8"/>
  <c r="O654" i="8"/>
  <c r="AQ654" i="8"/>
  <c r="G503" i="8"/>
  <c r="AE503" i="8"/>
  <c r="AV503" i="8"/>
  <c r="H503" i="8"/>
  <c r="T584" i="8"/>
  <c r="AZ584" i="8"/>
  <c r="N584" i="8"/>
  <c r="Y584" i="8"/>
  <c r="AG584" i="8"/>
  <c r="O584" i="8"/>
  <c r="Y622" i="8"/>
  <c r="AT622" i="8"/>
  <c r="BB622" i="8"/>
  <c r="I622" i="8"/>
  <c r="X622" i="8"/>
  <c r="AQ622" i="8"/>
  <c r="AE538" i="8"/>
  <c r="AL538" i="8"/>
  <c r="N538" i="8"/>
  <c r="AY538" i="8"/>
  <c r="G538" i="8"/>
  <c r="BB542" i="8"/>
  <c r="AC542" i="8"/>
  <c r="U542" i="8"/>
  <c r="AW542" i="8"/>
  <c r="AJ542" i="8"/>
  <c r="L542" i="8"/>
  <c r="H542" i="8"/>
  <c r="AQ504" i="8"/>
  <c r="L494" i="8"/>
  <c r="AL494" i="8"/>
  <c r="BA638" i="8"/>
  <c r="Z638" i="8"/>
  <c r="AX638" i="8"/>
  <c r="V528" i="8"/>
  <c r="AS528" i="8"/>
  <c r="BA528" i="8"/>
  <c r="G579" i="8"/>
  <c r="Q579" i="8"/>
  <c r="BB579" i="8"/>
  <c r="AI632" i="8"/>
  <c r="P632" i="8"/>
  <c r="AJ632" i="8"/>
  <c r="AH504" i="8"/>
  <c r="AU504" i="8"/>
  <c r="P516" i="8"/>
  <c r="I516" i="8"/>
  <c r="BA517" i="8"/>
  <c r="BC494" i="8"/>
  <c r="AA676" i="8"/>
  <c r="AH676" i="8"/>
  <c r="BC570" i="8"/>
  <c r="L517" i="8"/>
  <c r="AE541" i="8"/>
  <c r="W541" i="8"/>
  <c r="BA589" i="8"/>
  <c r="Z517" i="8"/>
  <c r="S517" i="8"/>
  <c r="BC637" i="8"/>
  <c r="M492" i="8"/>
  <c r="AL586" i="8"/>
  <c r="AB499" i="8"/>
  <c r="AK557" i="8"/>
  <c r="S619" i="8"/>
  <c r="AO652" i="8"/>
  <c r="AZ646" i="8"/>
  <c r="Z643" i="8"/>
  <c r="P480" i="8"/>
  <c r="AV622" i="8"/>
  <c r="AJ559" i="8"/>
  <c r="AU490" i="8"/>
  <c r="Y517" i="8"/>
  <c r="AG504" i="8"/>
  <c r="AS494" i="8"/>
  <c r="AQ494" i="8"/>
  <c r="AI494" i="8"/>
  <c r="AM638" i="8"/>
  <c r="T638" i="8"/>
  <c r="H638" i="8"/>
  <c r="L638" i="8"/>
  <c r="K638" i="8"/>
  <c r="AF638" i="8"/>
  <c r="AP528" i="8"/>
  <c r="X528" i="8"/>
  <c r="AG528" i="8"/>
  <c r="Q528" i="8"/>
  <c r="G528" i="8"/>
  <c r="AL528" i="8"/>
  <c r="AS579" i="8"/>
  <c r="H579" i="8"/>
  <c r="AE579" i="8"/>
  <c r="AI579" i="8"/>
  <c r="AN579" i="8"/>
  <c r="AK632" i="8"/>
  <c r="BC632" i="8"/>
  <c r="H632" i="8"/>
  <c r="V632" i="8"/>
  <c r="AU632" i="8"/>
  <c r="R632" i="8"/>
  <c r="AK504" i="8"/>
  <c r="S504" i="8"/>
  <c r="AI504" i="8"/>
  <c r="V504" i="8"/>
  <c r="AL504" i="8"/>
  <c r="BC516" i="8"/>
  <c r="BA516" i="8"/>
  <c r="AY516" i="8"/>
  <c r="AB516" i="8"/>
  <c r="AW522" i="8"/>
  <c r="AY579" i="8"/>
  <c r="K516" i="8"/>
  <c r="M503" i="8"/>
  <c r="W676" i="8"/>
  <c r="R676" i="8"/>
  <c r="Q676" i="8"/>
  <c r="K570" i="8"/>
  <c r="T570" i="8"/>
  <c r="Y570" i="8"/>
  <c r="AP584" i="8"/>
  <c r="AO579" i="8"/>
  <c r="AV632" i="8"/>
  <c r="AI541" i="8"/>
  <c r="AN541" i="8"/>
  <c r="I541" i="8"/>
  <c r="BB589" i="8"/>
  <c r="U589" i="8"/>
  <c r="L589" i="8"/>
  <c r="I517" i="8"/>
  <c r="AU517" i="8"/>
  <c r="AH637" i="8"/>
  <c r="P637" i="8"/>
  <c r="T637" i="8"/>
  <c r="AW510" i="8"/>
  <c r="G510" i="8"/>
  <c r="AO531" i="8"/>
  <c r="L620" i="8"/>
  <c r="X520" i="8"/>
  <c r="R581" i="8"/>
  <c r="T510" i="8"/>
  <c r="AE613" i="8"/>
  <c r="P544" i="8"/>
  <c r="AO619" i="8"/>
  <c r="AH652" i="8"/>
  <c r="X524" i="8"/>
  <c r="AV646" i="8"/>
  <c r="N630" i="8"/>
  <c r="AN537" i="8"/>
  <c r="I647" i="8"/>
  <c r="AO545" i="8"/>
  <c r="S573" i="8"/>
  <c r="AI639" i="8"/>
  <c r="AJ480" i="8"/>
  <c r="BA536" i="8"/>
  <c r="AK641" i="8"/>
  <c r="AE558" i="8"/>
  <c r="X589" i="8"/>
  <c r="AV494" i="8"/>
  <c r="AW494" i="8"/>
  <c r="AO494" i="8"/>
  <c r="Q494" i="8"/>
  <c r="AT638" i="8"/>
  <c r="AB638" i="8"/>
  <c r="Y638" i="8"/>
  <c r="AG638" i="8"/>
  <c r="F638" i="8"/>
  <c r="BC638" i="8"/>
  <c r="H528" i="8"/>
  <c r="S528" i="8"/>
  <c r="AC528" i="8"/>
  <c r="AD528" i="8"/>
  <c r="W528" i="8"/>
  <c r="F528" i="8"/>
  <c r="W579" i="8"/>
  <c r="L579" i="8"/>
  <c r="AX579" i="8"/>
  <c r="K579" i="8"/>
  <c r="AD579" i="8"/>
  <c r="AM632" i="8"/>
  <c r="M632" i="8"/>
  <c r="O632" i="8"/>
  <c r="S632" i="8"/>
  <c r="AG632" i="8"/>
  <c r="Y632" i="8"/>
  <c r="X504" i="8"/>
  <c r="AT504" i="8"/>
  <c r="AF504" i="8"/>
  <c r="AX504" i="8"/>
  <c r="Z516" i="8"/>
  <c r="AF516" i="8"/>
  <c r="AU516" i="8"/>
  <c r="AT516" i="8"/>
  <c r="AR516" i="8"/>
  <c r="V516" i="8"/>
  <c r="AH517" i="8"/>
  <c r="AN660" i="8"/>
  <c r="J676" i="8"/>
  <c r="AG676" i="8"/>
  <c r="BB676" i="8"/>
  <c r="K676" i="8"/>
  <c r="AG570" i="8"/>
  <c r="AE570" i="8"/>
  <c r="BB570" i="8"/>
  <c r="AS517" i="8"/>
  <c r="AE494" i="8"/>
  <c r="O541" i="8"/>
  <c r="Y541" i="8"/>
  <c r="AT541" i="8"/>
  <c r="AT589" i="8"/>
  <c r="AX589" i="8"/>
  <c r="AB589" i="8"/>
  <c r="R517" i="8"/>
  <c r="G517" i="8"/>
  <c r="V517" i="8"/>
  <c r="R637" i="8"/>
  <c r="AY637" i="8"/>
  <c r="AK637" i="8"/>
  <c r="AC510" i="8"/>
  <c r="AA597" i="8"/>
  <c r="AF639" i="8"/>
  <c r="W657" i="8"/>
  <c r="U481" i="8"/>
  <c r="S664" i="8"/>
  <c r="Z521" i="8"/>
  <c r="AC613" i="8"/>
  <c r="AY619" i="8"/>
  <c r="AC539" i="8"/>
  <c r="BB652" i="8"/>
  <c r="F534" i="8"/>
  <c r="AH646" i="8"/>
  <c r="H582" i="8"/>
  <c r="AY643" i="8"/>
  <c r="J591" i="8"/>
  <c r="T480" i="8"/>
  <c r="AZ506" i="8"/>
  <c r="G622" i="8"/>
  <c r="I486" i="8"/>
  <c r="AA559" i="8"/>
  <c r="AK583" i="8"/>
  <c r="M490" i="8"/>
  <c r="BB494" i="8"/>
  <c r="Y579" i="8"/>
  <c r="F494" i="8"/>
  <c r="G494" i="8"/>
  <c r="AM494" i="8"/>
  <c r="H494" i="8"/>
  <c r="BB638" i="8"/>
  <c r="AP638" i="8"/>
  <c r="AV638" i="8"/>
  <c r="AR638" i="8"/>
  <c r="AD638" i="8"/>
  <c r="S638" i="8"/>
  <c r="AT528" i="8"/>
  <c r="AJ528" i="8"/>
  <c r="BB528" i="8"/>
  <c r="O528" i="8"/>
  <c r="AK528" i="8"/>
  <c r="AQ528" i="8"/>
  <c r="X579" i="8"/>
  <c r="AP579" i="8"/>
  <c r="S579" i="8"/>
  <c r="AJ579" i="8"/>
  <c r="Z579" i="8"/>
  <c r="AC632" i="8"/>
  <c r="W632" i="8"/>
  <c r="BA632" i="8"/>
  <c r="AP632" i="8"/>
  <c r="AL632" i="8"/>
  <c r="T504" i="8"/>
  <c r="AM504" i="8"/>
  <c r="O504" i="8"/>
  <c r="J504" i="8"/>
  <c r="BC504" i="8"/>
  <c r="AM516" i="8"/>
  <c r="AP516" i="8"/>
  <c r="AA516" i="8"/>
  <c r="AD516" i="8"/>
  <c r="AH516" i="8"/>
  <c r="AW503" i="8"/>
  <c r="AC503" i="8"/>
  <c r="AM579" i="8"/>
  <c r="AP676" i="8"/>
  <c r="AB676" i="8"/>
  <c r="AQ676" i="8"/>
  <c r="Y676" i="8"/>
  <c r="Q570" i="8"/>
  <c r="AC570" i="8"/>
  <c r="AA570" i="8"/>
  <c r="AF503" i="8"/>
  <c r="AB494" i="8"/>
  <c r="AS541" i="8"/>
  <c r="Q541" i="8"/>
  <c r="AJ541" i="8"/>
  <c r="O589" i="8"/>
  <c r="AV589" i="8"/>
  <c r="AW589" i="8"/>
  <c r="AD517" i="8"/>
  <c r="BC517" i="8"/>
  <c r="AA637" i="8"/>
  <c r="AZ637" i="8"/>
  <c r="AU637" i="8"/>
  <c r="AZ639" i="8"/>
  <c r="AV481" i="8"/>
  <c r="AZ597" i="8"/>
  <c r="AT514" i="8"/>
  <c r="I657" i="8"/>
  <c r="AB492" i="8"/>
  <c r="AH664" i="8"/>
  <c r="AS521" i="8"/>
  <c r="Q613" i="8"/>
  <c r="Z619" i="8"/>
  <c r="AU539" i="8"/>
  <c r="W652" i="8"/>
  <c r="T515" i="8"/>
  <c r="P646" i="8"/>
  <c r="AB582" i="8"/>
  <c r="AU643" i="8"/>
  <c r="P591" i="8"/>
  <c r="L480" i="8"/>
  <c r="AM506" i="8"/>
  <c r="AF619" i="8"/>
  <c r="AG482" i="8"/>
  <c r="W636" i="8"/>
  <c r="BA563" i="8"/>
  <c r="I509" i="8"/>
  <c r="AB517" i="8"/>
  <c r="Q517" i="8"/>
  <c r="AN494" i="8"/>
  <c r="AF494" i="8"/>
  <c r="AY494" i="8"/>
  <c r="K494" i="8"/>
  <c r="J638" i="8"/>
  <c r="M638" i="8"/>
  <c r="AN638" i="8"/>
  <c r="N638" i="8"/>
  <c r="AS638" i="8"/>
  <c r="AE528" i="8"/>
  <c r="AV528" i="8"/>
  <c r="AO528" i="8"/>
  <c r="AW528" i="8"/>
  <c r="Y528" i="8"/>
  <c r="U528" i="8"/>
  <c r="J528" i="8"/>
  <c r="AG579" i="8"/>
  <c r="AU579" i="8"/>
  <c r="R579" i="8"/>
  <c r="P579" i="8"/>
  <c r="BC579" i="8"/>
  <c r="BB632" i="8"/>
  <c r="AD632" i="8"/>
  <c r="AF632" i="8"/>
  <c r="J632" i="8"/>
  <c r="X632" i="8"/>
  <c r="AJ504" i="8"/>
  <c r="M504" i="8"/>
  <c r="L504" i="8"/>
  <c r="F504" i="8"/>
  <c r="AC504" i="8"/>
  <c r="S516" i="8"/>
  <c r="AV516" i="8"/>
  <c r="O516" i="8"/>
  <c r="AZ516" i="8"/>
  <c r="AB522" i="8"/>
  <c r="AY503" i="8"/>
  <c r="Q503" i="8"/>
  <c r="AA517" i="8"/>
  <c r="AU676" i="8"/>
  <c r="X676" i="8"/>
  <c r="S676" i="8"/>
  <c r="AW676" i="8"/>
  <c r="N570" i="8"/>
  <c r="AI570" i="8"/>
  <c r="AF570" i="8"/>
  <c r="AG494" i="8"/>
  <c r="AJ516" i="8"/>
  <c r="AQ541" i="8"/>
  <c r="K541" i="8"/>
  <c r="T541" i="8"/>
  <c r="G589" i="8"/>
  <c r="M589" i="8"/>
  <c r="AQ589" i="8"/>
  <c r="AF517" i="8"/>
  <c r="AI517" i="8"/>
  <c r="AQ637" i="8"/>
  <c r="AM637" i="8"/>
  <c r="AT637" i="8"/>
  <c r="AS640" i="8"/>
  <c r="AL507" i="8"/>
  <c r="AS597" i="8"/>
  <c r="R499" i="8"/>
  <c r="Z657" i="8"/>
  <c r="H510" i="8"/>
  <c r="AW499" i="8"/>
  <c r="AZ521" i="8"/>
  <c r="J613" i="8"/>
  <c r="G619" i="8"/>
  <c r="AY652" i="8"/>
  <c r="M652" i="8"/>
  <c r="U515" i="8"/>
  <c r="AU646" i="8"/>
  <c r="BA582" i="8"/>
  <c r="F643" i="8"/>
  <c r="AR591" i="8"/>
  <c r="AP569" i="8"/>
  <c r="AO514" i="8"/>
  <c r="AA646" i="8"/>
  <c r="S648" i="8"/>
  <c r="AR626" i="8"/>
  <c r="AW523" i="8"/>
  <c r="R520" i="8"/>
  <c r="O676" i="8"/>
  <c r="AX676" i="8"/>
  <c r="BC676" i="8"/>
  <c r="AV676" i="8"/>
  <c r="P676" i="8"/>
  <c r="AM570" i="8"/>
  <c r="L570" i="8"/>
  <c r="AQ570" i="8"/>
  <c r="P570" i="8"/>
  <c r="AJ570" i="8"/>
  <c r="AD570" i="8"/>
  <c r="J654" i="8"/>
  <c r="BA494" i="8"/>
  <c r="AB584" i="8"/>
  <c r="AX503" i="8"/>
  <c r="AI584" i="8"/>
  <c r="AO541" i="8"/>
  <c r="AW541" i="8"/>
  <c r="AP541" i="8"/>
  <c r="AU541" i="8"/>
  <c r="M541" i="8"/>
  <c r="R541" i="8"/>
  <c r="AM589" i="8"/>
  <c r="W589" i="8"/>
  <c r="AJ589" i="8"/>
  <c r="AF589" i="8"/>
  <c r="AC589" i="8"/>
  <c r="Y589" i="8"/>
  <c r="P517" i="8"/>
  <c r="AN517" i="8"/>
  <c r="AL517" i="8"/>
  <c r="U517" i="8"/>
  <c r="AF637" i="8"/>
  <c r="O637" i="8"/>
  <c r="W637" i="8"/>
  <c r="AL637" i="8"/>
  <c r="AC637" i="8"/>
  <c r="M637" i="8"/>
  <c r="W531" i="8"/>
  <c r="AZ567" i="8"/>
  <c r="AW507" i="8"/>
  <c r="AO510" i="8"/>
  <c r="Q597" i="8"/>
  <c r="AM531" i="8"/>
  <c r="S514" i="8"/>
  <c r="BB620" i="8"/>
  <c r="AT657" i="8"/>
  <c r="AN538" i="8"/>
  <c r="AE486" i="8"/>
  <c r="AX581" i="8"/>
  <c r="G664" i="8"/>
  <c r="AA510" i="8"/>
  <c r="N521" i="8"/>
  <c r="AO613" i="8"/>
  <c r="Y613" i="8"/>
  <c r="AI544" i="8"/>
  <c r="AL619" i="8"/>
  <c r="AG619" i="8"/>
  <c r="P539" i="8"/>
  <c r="L652" i="8"/>
  <c r="V652" i="8"/>
  <c r="AZ524" i="8"/>
  <c r="X534" i="8"/>
  <c r="BB646" i="8"/>
  <c r="AB646" i="8"/>
  <c r="F630" i="8"/>
  <c r="AG582" i="8"/>
  <c r="U537" i="8"/>
  <c r="AR643" i="8"/>
  <c r="AY647" i="8"/>
  <c r="Z591" i="8"/>
  <c r="V545" i="8"/>
  <c r="AF480" i="8"/>
  <c r="BC573" i="8"/>
  <c r="U506" i="8"/>
  <c r="R566" i="8"/>
  <c r="AO544" i="8"/>
  <c r="AB591" i="8"/>
  <c r="K487" i="8"/>
  <c r="AV609" i="8"/>
  <c r="AN482" i="8"/>
  <c r="Y641" i="8"/>
  <c r="J571" i="8"/>
  <c r="AZ509" i="8"/>
  <c r="AQ496" i="8"/>
  <c r="U676" i="8"/>
  <c r="AR676" i="8"/>
  <c r="L676" i="8"/>
  <c r="AD676" i="8"/>
  <c r="G676" i="8"/>
  <c r="AO570" i="8"/>
  <c r="AN570" i="8"/>
  <c r="AH570" i="8"/>
  <c r="BA570" i="8"/>
  <c r="AL570" i="8"/>
  <c r="S570" i="8"/>
  <c r="X660" i="8"/>
  <c r="AN504" i="8"/>
  <c r="Q516" i="8"/>
  <c r="W494" i="8"/>
  <c r="L516" i="8"/>
  <c r="AL541" i="8"/>
  <c r="S541" i="8"/>
  <c r="BC541" i="8"/>
  <c r="G541" i="8"/>
  <c r="AG541" i="8"/>
  <c r="AD541" i="8"/>
  <c r="R589" i="8"/>
  <c r="V589" i="8"/>
  <c r="AK589" i="8"/>
  <c r="S589" i="8"/>
  <c r="F589" i="8"/>
  <c r="T589" i="8"/>
  <c r="AV517" i="8"/>
  <c r="AK517" i="8"/>
  <c r="AZ517" i="8"/>
  <c r="W517" i="8"/>
  <c r="Y637" i="8"/>
  <c r="X637" i="8"/>
  <c r="AG637" i="8"/>
  <c r="AE637" i="8"/>
  <c r="AD637" i="8"/>
  <c r="AO637" i="8"/>
  <c r="AJ557" i="8"/>
  <c r="AY514" i="8"/>
  <c r="J499" i="8"/>
  <c r="T492" i="8"/>
  <c r="AY597" i="8"/>
  <c r="AJ665" i="8"/>
  <c r="V492" i="8"/>
  <c r="G649" i="8"/>
  <c r="U657" i="8"/>
  <c r="AD531" i="8"/>
  <c r="J492" i="8"/>
  <c r="AS674" i="8"/>
  <c r="AN499" i="8"/>
  <c r="AY486" i="8"/>
  <c r="BB673" i="8"/>
  <c r="AK613" i="8"/>
  <c r="F613" i="8"/>
  <c r="AT544" i="8"/>
  <c r="F619" i="8"/>
  <c r="M619" i="8"/>
  <c r="AJ652" i="8"/>
  <c r="Q652" i="8"/>
  <c r="AQ652" i="8"/>
  <c r="P524" i="8"/>
  <c r="F515" i="8"/>
  <c r="AD646" i="8"/>
  <c r="Z646" i="8"/>
  <c r="W630" i="8"/>
  <c r="AC582" i="8"/>
  <c r="AX537" i="8"/>
  <c r="AF643" i="8"/>
  <c r="R647" i="8"/>
  <c r="R591" i="8"/>
  <c r="AP545" i="8"/>
  <c r="J569" i="8"/>
  <c r="AN573" i="8"/>
  <c r="AG522" i="8"/>
  <c r="AP665" i="8"/>
  <c r="AI646" i="8"/>
  <c r="AZ641" i="8"/>
  <c r="BA648" i="8"/>
  <c r="AF536" i="8"/>
  <c r="AD626" i="8"/>
  <c r="AH533" i="8"/>
  <c r="AC523" i="8"/>
  <c r="AV551" i="8"/>
  <c r="AT480" i="8"/>
  <c r="I676" i="8"/>
  <c r="AK676" i="8"/>
  <c r="N676" i="8"/>
  <c r="BA676" i="8"/>
  <c r="AT570" i="8"/>
  <c r="AZ570" i="8"/>
  <c r="AV570" i="8"/>
  <c r="U570" i="8"/>
  <c r="M570" i="8"/>
  <c r="AS570" i="8"/>
  <c r="V570" i="8"/>
  <c r="M654" i="8"/>
  <c r="U494" i="8"/>
  <c r="AI516" i="8"/>
  <c r="AX516" i="8"/>
  <c r="AD494" i="8"/>
  <c r="AA541" i="8"/>
  <c r="H541" i="8"/>
  <c r="AX541" i="8"/>
  <c r="V541" i="8"/>
  <c r="N541" i="8"/>
  <c r="AB541" i="8"/>
  <c r="AY589" i="8"/>
  <c r="AH589" i="8"/>
  <c r="AI589" i="8"/>
  <c r="Z589" i="8"/>
  <c r="AG589" i="8"/>
  <c r="AU589" i="8"/>
  <c r="M517" i="8"/>
  <c r="AG517" i="8"/>
  <c r="AP517" i="8"/>
  <c r="N517" i="8"/>
  <c r="AN637" i="8"/>
  <c r="BB637" i="8"/>
  <c r="BA637" i="8"/>
  <c r="V637" i="8"/>
  <c r="AW637" i="8"/>
  <c r="I637" i="8"/>
  <c r="F654" i="8"/>
  <c r="AN492" i="8"/>
  <c r="K492" i="8"/>
  <c r="W481" i="8"/>
  <c r="H597" i="8"/>
  <c r="AS665" i="8"/>
  <c r="AU499" i="8"/>
  <c r="BB649" i="8"/>
  <c r="F567" i="8"/>
  <c r="AY557" i="8"/>
  <c r="V514" i="8"/>
  <c r="AT674" i="8"/>
  <c r="AA663" i="8"/>
  <c r="BC557" i="8"/>
  <c r="U673" i="8"/>
  <c r="BA613" i="8"/>
  <c r="AL613" i="8"/>
  <c r="T544" i="8"/>
  <c r="K619" i="8"/>
  <c r="AI619" i="8"/>
  <c r="P652" i="8"/>
  <c r="AP652" i="8"/>
  <c r="AX652" i="8"/>
  <c r="R524" i="8"/>
  <c r="W515" i="8"/>
  <c r="AW646" i="8"/>
  <c r="P630" i="8"/>
  <c r="AU630" i="8"/>
  <c r="AU582" i="8"/>
  <c r="AM537" i="8"/>
  <c r="AG643" i="8"/>
  <c r="BB647" i="8"/>
  <c r="F591" i="8"/>
  <c r="R545" i="8"/>
  <c r="AJ569" i="8"/>
  <c r="AD520" i="8"/>
  <c r="AK507" i="8"/>
  <c r="AM586" i="8"/>
  <c r="AT630" i="8"/>
  <c r="AY571" i="8"/>
  <c r="O648" i="8"/>
  <c r="K536" i="8"/>
  <c r="Q626" i="8"/>
  <c r="H508" i="8"/>
  <c r="AU547" i="8"/>
  <c r="AF513" i="8"/>
  <c r="AS526" i="8"/>
  <c r="F676" i="8"/>
  <c r="AN676" i="8"/>
  <c r="AI676" i="8"/>
  <c r="AE676" i="8"/>
  <c r="R570" i="8"/>
  <c r="X570" i="8"/>
  <c r="AX570" i="8"/>
  <c r="O570" i="8"/>
  <c r="AY570" i="8"/>
  <c r="W570" i="8"/>
  <c r="AP654" i="8"/>
  <c r="AW516" i="8"/>
  <c r="R494" i="8"/>
  <c r="J494" i="8"/>
  <c r="BC503" i="8"/>
  <c r="AY541" i="8"/>
  <c r="L541" i="8"/>
  <c r="Z541" i="8"/>
  <c r="AV541" i="8"/>
  <c r="X541" i="8"/>
  <c r="J541" i="8"/>
  <c r="BA541" i="8"/>
  <c r="P589" i="8"/>
  <c r="AN589" i="8"/>
  <c r="AL589" i="8"/>
  <c r="N589" i="8"/>
  <c r="AD589" i="8"/>
  <c r="F517" i="8"/>
  <c r="AE517" i="8"/>
  <c r="J517" i="8"/>
  <c r="O517" i="8"/>
  <c r="AC517" i="8"/>
  <c r="AR637" i="8"/>
  <c r="F637" i="8"/>
  <c r="AB637" i="8"/>
  <c r="N637" i="8"/>
  <c r="L637" i="8"/>
  <c r="AX637" i="8"/>
  <c r="U521" i="8"/>
  <c r="AX499" i="8"/>
  <c r="AC492" i="8"/>
  <c r="AL499" i="8"/>
  <c r="AC597" i="8"/>
  <c r="V660" i="8"/>
  <c r="N503" i="8"/>
  <c r="AY595" i="8"/>
  <c r="AX567" i="8"/>
  <c r="AW521" i="8"/>
  <c r="S483" i="8"/>
  <c r="T674" i="8"/>
  <c r="AE663" i="8"/>
  <c r="L557" i="8"/>
  <c r="AN673" i="8"/>
  <c r="G613" i="8"/>
  <c r="AU613" i="8"/>
  <c r="G544" i="8"/>
  <c r="AJ619" i="8"/>
  <c r="AE619" i="8"/>
  <c r="S652" i="8"/>
  <c r="U652" i="8"/>
  <c r="AV652" i="8"/>
  <c r="AF524" i="8"/>
  <c r="M515" i="8"/>
  <c r="R646" i="8"/>
  <c r="AS630" i="8"/>
  <c r="BC582" i="8"/>
  <c r="AE582" i="8"/>
  <c r="K643" i="8"/>
  <c r="AJ647" i="8"/>
  <c r="AG525" i="8"/>
  <c r="V591" i="8"/>
  <c r="AA511" i="8"/>
  <c r="X569" i="8"/>
  <c r="T520" i="8"/>
  <c r="BC605" i="8"/>
  <c r="O483" i="8"/>
  <c r="P582" i="8"/>
  <c r="AN536" i="8"/>
  <c r="AH648" i="8"/>
  <c r="AF559" i="8"/>
  <c r="G626" i="8"/>
  <c r="H583" i="8"/>
  <c r="O609" i="8"/>
  <c r="AU606" i="8"/>
  <c r="P618" i="8"/>
  <c r="M597" i="8"/>
  <c r="AK531" i="8"/>
  <c r="AF676" i="8"/>
  <c r="AQ510" i="8"/>
  <c r="AA483" i="8"/>
  <c r="U492" i="8"/>
  <c r="AP649" i="8"/>
  <c r="AS657" i="8"/>
  <c r="F657" i="8"/>
  <c r="AM538" i="8"/>
  <c r="N640" i="8"/>
  <c r="BB486" i="8"/>
  <c r="AY481" i="8"/>
  <c r="P483" i="8"/>
  <c r="AA674" i="8"/>
  <c r="AM664" i="8"/>
  <c r="J663" i="8"/>
  <c r="AD510" i="8"/>
  <c r="AU557" i="8"/>
  <c r="S521" i="8"/>
  <c r="AU673" i="8"/>
  <c r="AW613" i="8"/>
  <c r="O613" i="8"/>
  <c r="T613" i="8"/>
  <c r="AH613" i="8"/>
  <c r="AI613" i="8"/>
  <c r="O544" i="8"/>
  <c r="H619" i="8"/>
  <c r="AR619" i="8"/>
  <c r="BB619" i="8"/>
  <c r="J619" i="8"/>
  <c r="U539" i="8"/>
  <c r="Z652" i="8"/>
  <c r="AM652" i="8"/>
  <c r="AS652" i="8"/>
  <c r="I652" i="8"/>
  <c r="BC652" i="8"/>
  <c r="K652" i="8"/>
  <c r="AV524" i="8"/>
  <c r="AB534" i="8"/>
  <c r="AM515" i="8"/>
  <c r="AS646" i="8"/>
  <c r="M646" i="8"/>
  <c r="AR646" i="8"/>
  <c r="AE646" i="8"/>
  <c r="J630" i="8"/>
  <c r="X630" i="8"/>
  <c r="AX582" i="8"/>
  <c r="J582" i="8"/>
  <c r="AZ537" i="8"/>
  <c r="R537" i="8"/>
  <c r="W643" i="8"/>
  <c r="R643" i="8"/>
  <c r="AO647" i="8"/>
  <c r="BA647" i="8"/>
  <c r="Y591" i="8"/>
  <c r="S591" i="8"/>
  <c r="AC545" i="8"/>
  <c r="Y545" i="8"/>
  <c r="H480" i="8"/>
  <c r="AR569" i="8"/>
  <c r="V573" i="8"/>
  <c r="BB573" i="8"/>
  <c r="BA506" i="8"/>
  <c r="AF481" i="8"/>
  <c r="AN535" i="8"/>
  <c r="AR665" i="8"/>
  <c r="AP637" i="8"/>
  <c r="AM630" i="8"/>
  <c r="BC647" i="8"/>
  <c r="X482" i="8"/>
  <c r="Z508" i="8"/>
  <c r="M648" i="8"/>
  <c r="BB657" i="8"/>
  <c r="BB536" i="8"/>
  <c r="R559" i="8"/>
  <c r="AE626" i="8"/>
  <c r="AL550" i="8"/>
  <c r="J533" i="8"/>
  <c r="AT487" i="8"/>
  <c r="U523" i="8"/>
  <c r="Q568" i="8"/>
  <c r="G551" i="8"/>
  <c r="R513" i="8"/>
  <c r="X496" i="8"/>
  <c r="AS531" i="8"/>
  <c r="BC584" i="8"/>
  <c r="Z640" i="8"/>
  <c r="K514" i="8"/>
  <c r="Z492" i="8"/>
  <c r="AU649" i="8"/>
  <c r="BB595" i="8"/>
  <c r="O657" i="8"/>
  <c r="AU567" i="8"/>
  <c r="AY651" i="8"/>
  <c r="K664" i="8"/>
  <c r="AU481" i="8"/>
  <c r="AW483" i="8"/>
  <c r="Y581" i="8"/>
  <c r="AA492" i="8"/>
  <c r="AZ664" i="8"/>
  <c r="AP663" i="8"/>
  <c r="BC510" i="8"/>
  <c r="O557" i="8"/>
  <c r="BA521" i="8"/>
  <c r="AK621" i="8"/>
  <c r="AP613" i="8"/>
  <c r="M613" i="8"/>
  <c r="L613" i="8"/>
  <c r="AJ613" i="8"/>
  <c r="AA544" i="8"/>
  <c r="AK544" i="8"/>
  <c r="Q619" i="8"/>
  <c r="BC619" i="8"/>
  <c r="O619" i="8"/>
  <c r="AD619" i="8"/>
  <c r="Z539" i="8"/>
  <c r="AR652" i="8"/>
  <c r="AA652" i="8"/>
  <c r="AK652" i="8"/>
  <c r="J652" i="8"/>
  <c r="BA652" i="8"/>
  <c r="O524" i="8"/>
  <c r="M534" i="8"/>
  <c r="AN515" i="8"/>
  <c r="Z490" i="8"/>
  <c r="AF646" i="8"/>
  <c r="AT646" i="8"/>
  <c r="F646" i="8"/>
  <c r="AP630" i="8"/>
  <c r="Z630" i="8"/>
  <c r="Z582" i="8"/>
  <c r="AF582" i="8"/>
  <c r="AN582" i="8"/>
  <c r="AC537" i="8"/>
  <c r="AW643" i="8"/>
  <c r="AC643" i="8"/>
  <c r="AQ647" i="8"/>
  <c r="T647" i="8"/>
  <c r="AD525" i="8"/>
  <c r="H591" i="8"/>
  <c r="G591" i="8"/>
  <c r="AF545" i="8"/>
  <c r="AW511" i="8"/>
  <c r="AL569" i="8"/>
  <c r="AN569" i="8"/>
  <c r="K573" i="8"/>
  <c r="I520" i="8"/>
  <c r="AT506" i="8"/>
  <c r="AK605" i="8"/>
  <c r="AH639" i="8"/>
  <c r="AG507" i="8"/>
  <c r="N619" i="8"/>
  <c r="R582" i="8"/>
  <c r="AZ480" i="8"/>
  <c r="S536" i="8"/>
  <c r="I487" i="8"/>
  <c r="AY648" i="8"/>
  <c r="AI509" i="8"/>
  <c r="AP559" i="8"/>
  <c r="AU636" i="8"/>
  <c r="V550" i="8"/>
  <c r="I641" i="8"/>
  <c r="U583" i="8"/>
  <c r="AW563" i="8"/>
  <c r="G609" i="8"/>
  <c r="O558" i="8"/>
  <c r="BC533" i="8"/>
  <c r="AW490" i="8"/>
  <c r="AJ513" i="8"/>
  <c r="X531" i="8"/>
  <c r="AD584" i="8"/>
  <c r="AG557" i="8"/>
  <c r="AY510" i="8"/>
  <c r="AS507" i="8"/>
  <c r="BA649" i="8"/>
  <c r="AU595" i="8"/>
  <c r="AJ657" i="8"/>
  <c r="J567" i="8"/>
  <c r="AI566" i="8"/>
  <c r="AN597" i="8"/>
  <c r="R510" i="8"/>
  <c r="BC492" i="8"/>
  <c r="AB668" i="8"/>
  <c r="P492" i="8"/>
  <c r="AP499" i="8"/>
  <c r="AW663" i="8"/>
  <c r="N510" i="8"/>
  <c r="AE557" i="8"/>
  <c r="AA521" i="8"/>
  <c r="V621" i="8"/>
  <c r="AF613" i="8"/>
  <c r="H613" i="8"/>
  <c r="I613" i="8"/>
  <c r="AD613" i="8"/>
  <c r="AP544" i="8"/>
  <c r="Y544" i="8"/>
  <c r="AU619" i="8"/>
  <c r="P619" i="8"/>
  <c r="AW619" i="8"/>
  <c r="L619" i="8"/>
  <c r="AY539" i="8"/>
  <c r="AE652" i="8"/>
  <c r="AG652" i="8"/>
  <c r="O652" i="8"/>
  <c r="AU652" i="8"/>
  <c r="AN652" i="8"/>
  <c r="Q524" i="8"/>
  <c r="AF534" i="8"/>
  <c r="AT515" i="8"/>
  <c r="AZ490" i="8"/>
  <c r="S646" i="8"/>
  <c r="Q646" i="8"/>
  <c r="AO646" i="8"/>
  <c r="AQ630" i="8"/>
  <c r="Q630" i="8"/>
  <c r="N582" i="8"/>
  <c r="AM582" i="8"/>
  <c r="S582" i="8"/>
  <c r="AT537" i="8"/>
  <c r="AH643" i="8"/>
  <c r="U643" i="8"/>
  <c r="AZ647" i="8"/>
  <c r="H647" i="8"/>
  <c r="I525" i="8"/>
  <c r="AE591" i="8"/>
  <c r="AX591" i="8"/>
  <c r="AR545" i="8"/>
  <c r="G511" i="8"/>
  <c r="Q569" i="8"/>
  <c r="U569" i="8"/>
  <c r="L573" i="8"/>
  <c r="Q520" i="8"/>
  <c r="G634" i="8"/>
  <c r="AH611" i="8"/>
  <c r="L639" i="8"/>
  <c r="AX554" i="8"/>
  <c r="AE539" i="8"/>
  <c r="F582" i="8"/>
  <c r="AA569" i="8"/>
  <c r="AO586" i="8"/>
  <c r="J509" i="8"/>
  <c r="AU648" i="8"/>
  <c r="P509" i="8"/>
  <c r="AU559" i="8"/>
  <c r="AQ636" i="8"/>
  <c r="AP550" i="8"/>
  <c r="L641" i="8"/>
  <c r="AY583" i="8"/>
  <c r="O563" i="8"/>
  <c r="R609" i="8"/>
  <c r="AT558" i="8"/>
  <c r="K482" i="8"/>
  <c r="AL545" i="8"/>
  <c r="P546" i="8"/>
  <c r="N531" i="8"/>
  <c r="M516" i="8"/>
  <c r="AB521" i="8"/>
  <c r="G492" i="8"/>
  <c r="AN510" i="8"/>
  <c r="O649" i="8"/>
  <c r="AM595" i="8"/>
  <c r="AG657" i="8"/>
  <c r="Z494" i="8"/>
  <c r="M674" i="8"/>
  <c r="AM514" i="8"/>
  <c r="M507" i="8"/>
  <c r="AL486" i="8"/>
  <c r="AW668" i="8"/>
  <c r="AS492" i="8"/>
  <c r="Z499" i="8"/>
  <c r="BA510" i="8"/>
  <c r="N486" i="8"/>
  <c r="H557" i="8"/>
  <c r="AJ521" i="8"/>
  <c r="Z621" i="8"/>
  <c r="AY613" i="8"/>
  <c r="N613" i="8"/>
  <c r="AM613" i="8"/>
  <c r="AB613" i="8"/>
  <c r="AG544" i="8"/>
  <c r="S544" i="8"/>
  <c r="AS619" i="8"/>
  <c r="BA619" i="8"/>
  <c r="AT619" i="8"/>
  <c r="AM619" i="8"/>
  <c r="AW652" i="8"/>
  <c r="AB652" i="8"/>
  <c r="X652" i="8"/>
  <c r="N652" i="8"/>
  <c r="AT652" i="8"/>
  <c r="G652" i="8"/>
  <c r="AJ524" i="8"/>
  <c r="AX534" i="8"/>
  <c r="AP515" i="8"/>
  <c r="U490" i="8"/>
  <c r="AX646" i="8"/>
  <c r="BA646" i="8"/>
  <c r="J646" i="8"/>
  <c r="AV630" i="8"/>
  <c r="BC630" i="8"/>
  <c r="AZ582" i="8"/>
  <c r="AR582" i="8"/>
  <c r="W537" i="8"/>
  <c r="Y537" i="8"/>
  <c r="AO643" i="8"/>
  <c r="P643" i="8"/>
  <c r="M647" i="8"/>
  <c r="AD647" i="8"/>
  <c r="L525" i="8"/>
  <c r="AH591" i="8"/>
  <c r="AL591" i="8"/>
  <c r="S545" i="8"/>
  <c r="O511" i="8"/>
  <c r="AW569" i="8"/>
  <c r="AT569" i="8"/>
  <c r="AM573" i="8"/>
  <c r="K520" i="8"/>
  <c r="AO639" i="8"/>
  <c r="F481" i="8"/>
  <c r="G640" i="8"/>
  <c r="AS667" i="8"/>
  <c r="AC534" i="8"/>
  <c r="M537" i="8"/>
  <c r="H573" i="8"/>
  <c r="W521" i="8"/>
  <c r="AF487" i="8"/>
  <c r="Y499" i="8"/>
  <c r="H505" i="8"/>
  <c r="AB559" i="8"/>
  <c r="AM636" i="8"/>
  <c r="AS550" i="8"/>
  <c r="V533" i="8"/>
  <c r="AA583" i="8"/>
  <c r="AR563" i="8"/>
  <c r="I609" i="8"/>
  <c r="AI606" i="8"/>
  <c r="AQ487" i="8"/>
  <c r="AE480" i="8"/>
  <c r="AG670" i="8"/>
  <c r="Y646" i="8"/>
  <c r="AC646" i="8"/>
  <c r="AJ646" i="8"/>
  <c r="O630" i="8"/>
  <c r="L630" i="8"/>
  <c r="AB630" i="8"/>
  <c r="M630" i="8"/>
  <c r="Y630" i="8"/>
  <c r="T582" i="8"/>
  <c r="AJ582" i="8"/>
  <c r="AW582" i="8"/>
  <c r="AO582" i="8"/>
  <c r="AU537" i="8"/>
  <c r="O537" i="8"/>
  <c r="AW537" i="8"/>
  <c r="X537" i="8"/>
  <c r="G643" i="8"/>
  <c r="T643" i="8"/>
  <c r="X643" i="8"/>
  <c r="AB643" i="8"/>
  <c r="AG647" i="8"/>
  <c r="K647" i="8"/>
  <c r="AF647" i="8"/>
  <c r="S647" i="8"/>
  <c r="N525" i="8"/>
  <c r="AI591" i="8"/>
  <c r="AQ591" i="8"/>
  <c r="AD591" i="8"/>
  <c r="N591" i="8"/>
  <c r="BA545" i="8"/>
  <c r="H545" i="8"/>
  <c r="P545" i="8"/>
  <c r="AP511" i="8"/>
  <c r="N480" i="8"/>
  <c r="AY569" i="8"/>
  <c r="AQ569" i="8"/>
  <c r="F569" i="8"/>
  <c r="G573" i="8"/>
  <c r="U573" i="8"/>
  <c r="P573" i="8"/>
  <c r="AU520" i="8"/>
  <c r="K506" i="8"/>
  <c r="AJ535" i="8"/>
  <c r="AQ514" i="8"/>
  <c r="AM611" i="8"/>
  <c r="J535" i="8"/>
  <c r="Y640" i="8"/>
  <c r="N586" i="8"/>
  <c r="AF554" i="8"/>
  <c r="AG613" i="8"/>
  <c r="AI539" i="8"/>
  <c r="AK630" i="8"/>
  <c r="BC537" i="8"/>
  <c r="AA647" i="8"/>
  <c r="AO573" i="8"/>
  <c r="N648" i="8"/>
  <c r="AK509" i="8"/>
  <c r="AJ507" i="8"/>
  <c r="AT492" i="8"/>
  <c r="AB648" i="8"/>
  <c r="AC648" i="8"/>
  <c r="AQ609" i="8"/>
  <c r="W508" i="8"/>
  <c r="AL536" i="8"/>
  <c r="AD559" i="8"/>
  <c r="N559" i="8"/>
  <c r="R636" i="8"/>
  <c r="AT626" i="8"/>
  <c r="AG550" i="8"/>
  <c r="AQ641" i="8"/>
  <c r="J641" i="8"/>
  <c r="F533" i="8"/>
  <c r="AQ583" i="8"/>
  <c r="M487" i="8"/>
  <c r="AC563" i="8"/>
  <c r="AA547" i="8"/>
  <c r="AI609" i="8"/>
  <c r="G568" i="8"/>
  <c r="X558" i="8"/>
  <c r="AS551" i="8"/>
  <c r="BA487" i="8"/>
  <c r="AY545" i="8"/>
  <c r="AD509" i="8"/>
  <c r="AW545" i="8"/>
  <c r="M530" i="8"/>
  <c r="N646" i="8"/>
  <c r="G646" i="8"/>
  <c r="I646" i="8"/>
  <c r="AL630" i="8"/>
  <c r="AA630" i="8"/>
  <c r="AC630" i="8"/>
  <c r="R630" i="8"/>
  <c r="AN630" i="8"/>
  <c r="L582" i="8"/>
  <c r="AA582" i="8"/>
  <c r="X582" i="8"/>
  <c r="U582" i="8"/>
  <c r="AO537" i="8"/>
  <c r="T537" i="8"/>
  <c r="F537" i="8"/>
  <c r="AN643" i="8"/>
  <c r="AL643" i="8"/>
  <c r="AT643" i="8"/>
  <c r="BB643" i="8"/>
  <c r="Q643" i="8"/>
  <c r="AW647" i="8"/>
  <c r="U647" i="8"/>
  <c r="AV647" i="8"/>
  <c r="F647" i="8"/>
  <c r="AQ525" i="8"/>
  <c r="U591" i="8"/>
  <c r="AM591" i="8"/>
  <c r="L591" i="8"/>
  <c r="AO591" i="8"/>
  <c r="X545" i="8"/>
  <c r="AE545" i="8"/>
  <c r="Q545" i="8"/>
  <c r="BB511" i="8"/>
  <c r="AU480" i="8"/>
  <c r="R569" i="8"/>
  <c r="AU569" i="8"/>
  <c r="Z569" i="8"/>
  <c r="AB573" i="8"/>
  <c r="N573" i="8"/>
  <c r="V520" i="8"/>
  <c r="P520" i="8"/>
  <c r="AI506" i="8"/>
  <c r="X640" i="8"/>
  <c r="AD492" i="8"/>
  <c r="AX481" i="8"/>
  <c r="AQ566" i="8"/>
  <c r="AY640" i="8"/>
  <c r="AR586" i="8"/>
  <c r="AP667" i="8"/>
  <c r="AY544" i="8"/>
  <c r="AG534" i="8"/>
  <c r="AJ630" i="8"/>
  <c r="L537" i="8"/>
  <c r="AT591" i="8"/>
  <c r="BC513" i="8"/>
  <c r="K606" i="8"/>
  <c r="J510" i="8"/>
  <c r="AH486" i="8"/>
  <c r="AV483" i="8"/>
  <c r="G648" i="8"/>
  <c r="AJ499" i="8"/>
  <c r="V636" i="8"/>
  <c r="AC508" i="8"/>
  <c r="AS536" i="8"/>
  <c r="T559" i="8"/>
  <c r="AV482" i="8"/>
  <c r="AD636" i="8"/>
  <c r="V626" i="8"/>
  <c r="AR550" i="8"/>
  <c r="AE641" i="8"/>
  <c r="AA533" i="8"/>
  <c r="AE508" i="8"/>
  <c r="AF583" i="8"/>
  <c r="H571" i="8"/>
  <c r="F563" i="8"/>
  <c r="AY547" i="8"/>
  <c r="AT609" i="8"/>
  <c r="Q509" i="8"/>
  <c r="AL606" i="8"/>
  <c r="AP513" i="8"/>
  <c r="AN513" i="8"/>
  <c r="J480" i="8"/>
  <c r="AA643" i="8"/>
  <c r="H618" i="8"/>
  <c r="AB600" i="8"/>
  <c r="O646" i="8"/>
  <c r="AN646" i="8"/>
  <c r="AP646" i="8"/>
  <c r="AW630" i="8"/>
  <c r="AF630" i="8"/>
  <c r="AZ630" i="8"/>
  <c r="AG630" i="8"/>
  <c r="BB630" i="8"/>
  <c r="W582" i="8"/>
  <c r="V582" i="8"/>
  <c r="AI582" i="8"/>
  <c r="AT582" i="8"/>
  <c r="AH537" i="8"/>
  <c r="AQ537" i="8"/>
  <c r="H537" i="8"/>
  <c r="S643" i="8"/>
  <c r="AD643" i="8"/>
  <c r="AV643" i="8"/>
  <c r="Y643" i="8"/>
  <c r="I643" i="8"/>
  <c r="AB647" i="8"/>
  <c r="AM647" i="8"/>
  <c r="AU647" i="8"/>
  <c r="O647" i="8"/>
  <c r="AZ591" i="8"/>
  <c r="BA591" i="8"/>
  <c r="AJ591" i="8"/>
  <c r="BB591" i="8"/>
  <c r="BC591" i="8"/>
  <c r="Z545" i="8"/>
  <c r="AK545" i="8"/>
  <c r="AS545" i="8"/>
  <c r="AO511" i="8"/>
  <c r="U480" i="8"/>
  <c r="AS569" i="8"/>
  <c r="AH569" i="8"/>
  <c r="AB569" i="8"/>
  <c r="R573" i="8"/>
  <c r="I573" i="8"/>
  <c r="AO520" i="8"/>
  <c r="AN520" i="8"/>
  <c r="AH506" i="8"/>
  <c r="T586" i="8"/>
  <c r="Z486" i="8"/>
  <c r="M603" i="8"/>
  <c r="AR639" i="8"/>
  <c r="AF598" i="8"/>
  <c r="AZ586" i="8"/>
  <c r="AQ667" i="8"/>
  <c r="AK619" i="8"/>
  <c r="AK646" i="8"/>
  <c r="AE630" i="8"/>
  <c r="K537" i="8"/>
  <c r="T591" i="8"/>
  <c r="AU550" i="8"/>
  <c r="AP523" i="8"/>
  <c r="AX513" i="8"/>
  <c r="AU483" i="8"/>
  <c r="AW482" i="8"/>
  <c r="AL648" i="8"/>
  <c r="Q531" i="8"/>
  <c r="N571" i="8"/>
  <c r="AV536" i="8"/>
  <c r="M559" i="8"/>
  <c r="AQ559" i="8"/>
  <c r="AE482" i="8"/>
  <c r="AT636" i="8"/>
  <c r="AQ626" i="8"/>
  <c r="BA550" i="8"/>
  <c r="K641" i="8"/>
  <c r="AN533" i="8"/>
  <c r="AI508" i="8"/>
  <c r="T583" i="8"/>
  <c r="AS571" i="8"/>
  <c r="L523" i="8"/>
  <c r="AK547" i="8"/>
  <c r="AO568" i="8"/>
  <c r="W505" i="8"/>
  <c r="AK606" i="8"/>
  <c r="O513" i="8"/>
  <c r="AB552" i="8"/>
  <c r="J647" i="8"/>
  <c r="AK520" i="8"/>
  <c r="M574" i="8"/>
  <c r="AE585" i="8"/>
  <c r="X646" i="8"/>
  <c r="AL646" i="8"/>
  <c r="AQ646" i="8"/>
  <c r="H630" i="8"/>
  <c r="AO630" i="8"/>
  <c r="U630" i="8"/>
  <c r="AX630" i="8"/>
  <c r="AY630" i="8"/>
  <c r="M582" i="8"/>
  <c r="AS582" i="8"/>
  <c r="AK582" i="8"/>
  <c r="AV582" i="8"/>
  <c r="AD537" i="8"/>
  <c r="AL537" i="8"/>
  <c r="J537" i="8"/>
  <c r="AM643" i="8"/>
  <c r="H643" i="8"/>
  <c r="AJ643" i="8"/>
  <c r="J643" i="8"/>
  <c r="AN647" i="8"/>
  <c r="Z647" i="8"/>
  <c r="AX647" i="8"/>
  <c r="W647" i="8"/>
  <c r="V525" i="8"/>
  <c r="AP591" i="8"/>
  <c r="I591" i="8"/>
  <c r="AA591" i="8"/>
  <c r="AK591" i="8"/>
  <c r="W545" i="8"/>
  <c r="AI545" i="8"/>
  <c r="AQ545" i="8"/>
  <c r="J545" i="8"/>
  <c r="F480" i="8"/>
  <c r="AN480" i="8"/>
  <c r="BC569" i="8"/>
  <c r="AD569" i="8"/>
  <c r="Q573" i="8"/>
  <c r="AP573" i="8"/>
  <c r="F573" i="8"/>
  <c r="AX520" i="8"/>
  <c r="M520" i="8"/>
  <c r="N506" i="8"/>
  <c r="G597" i="8"/>
  <c r="F651" i="8"/>
  <c r="W603" i="8"/>
  <c r="AB639" i="8"/>
  <c r="BA598" i="8"/>
  <c r="N514" i="8"/>
  <c r="AA494" i="8"/>
  <c r="V619" i="8"/>
  <c r="W646" i="8"/>
  <c r="BA630" i="8"/>
  <c r="AA537" i="8"/>
  <c r="AV591" i="8"/>
  <c r="AG558" i="8"/>
  <c r="Z547" i="8"/>
  <c r="AB505" i="8"/>
  <c r="AO486" i="8"/>
  <c r="Z648" i="8"/>
  <c r="W648" i="8"/>
  <c r="L510" i="8"/>
  <c r="V606" i="8"/>
  <c r="AA536" i="8"/>
  <c r="AM559" i="8"/>
  <c r="AI559" i="8"/>
  <c r="BB636" i="8"/>
  <c r="M636" i="8"/>
  <c r="Z626" i="8"/>
  <c r="AK550" i="8"/>
  <c r="BB641" i="8"/>
  <c r="T533" i="8"/>
  <c r="F508" i="8"/>
  <c r="L583" i="8"/>
  <c r="X571" i="8"/>
  <c r="AK523" i="8"/>
  <c r="AZ547" i="8"/>
  <c r="AS568" i="8"/>
  <c r="AC505" i="8"/>
  <c r="W552" i="8"/>
  <c r="BA513" i="8"/>
  <c r="AW648" i="8"/>
  <c r="Q537" i="8"/>
  <c r="AT490" i="8"/>
  <c r="AD615" i="8"/>
  <c r="X670" i="8"/>
  <c r="AI657" i="8"/>
  <c r="AZ483" i="8"/>
  <c r="BC486" i="8"/>
  <c r="AA605" i="8"/>
  <c r="P603" i="8"/>
  <c r="H535" i="8"/>
  <c r="AK566" i="8"/>
  <c r="AC639" i="8"/>
  <c r="AQ640" i="8"/>
  <c r="AI665" i="8"/>
  <c r="AT586" i="8"/>
  <c r="AZ507" i="8"/>
  <c r="I667" i="8"/>
  <c r="K637" i="8"/>
  <c r="Q544" i="8"/>
  <c r="W619" i="8"/>
  <c r="BC646" i="8"/>
  <c r="T646" i="8"/>
  <c r="K630" i="8"/>
  <c r="Y582" i="8"/>
  <c r="I537" i="8"/>
  <c r="AL647" i="8"/>
  <c r="O591" i="8"/>
  <c r="Y569" i="8"/>
  <c r="L568" i="8"/>
  <c r="K563" i="8"/>
  <c r="BA523" i="8"/>
  <c r="AC536" i="8"/>
  <c r="AF509" i="8"/>
  <c r="BC482" i="8"/>
  <c r="R487" i="8"/>
  <c r="Y482" i="8"/>
  <c r="H487" i="8"/>
  <c r="AD648" i="8"/>
  <c r="Q648" i="8"/>
  <c r="AN648" i="8"/>
  <c r="P531" i="8"/>
  <c r="AZ657" i="8"/>
  <c r="H641" i="8"/>
  <c r="AZ552" i="8"/>
  <c r="AQ536" i="8"/>
  <c r="AZ536" i="8"/>
  <c r="L559" i="8"/>
  <c r="Y559" i="8"/>
  <c r="Z559" i="8"/>
  <c r="U559" i="8"/>
  <c r="BB482" i="8"/>
  <c r="P636" i="8"/>
  <c r="AS636" i="8"/>
  <c r="P626" i="8"/>
  <c r="AU626" i="8"/>
  <c r="S550" i="8"/>
  <c r="AH550" i="8"/>
  <c r="AQ550" i="8"/>
  <c r="Z641" i="8"/>
  <c r="AW641" i="8"/>
  <c r="Z533" i="8"/>
  <c r="AI533" i="8"/>
  <c r="AD508" i="8"/>
  <c r="Y583" i="8"/>
  <c r="V583" i="8"/>
  <c r="AU583" i="8"/>
  <c r="AJ571" i="8"/>
  <c r="P563" i="8"/>
  <c r="AB563" i="8"/>
  <c r="G523" i="8"/>
  <c r="BC547" i="8"/>
  <c r="S609" i="8"/>
  <c r="P609" i="8"/>
  <c r="X568" i="8"/>
  <c r="R505" i="8"/>
  <c r="AI558" i="8"/>
  <c r="BA606" i="8"/>
  <c r="K551" i="8"/>
  <c r="S513" i="8"/>
  <c r="AX482" i="8"/>
  <c r="AP487" i="8"/>
  <c r="U483" i="8"/>
  <c r="L492" i="8"/>
  <c r="G480" i="8"/>
  <c r="AE496" i="8"/>
  <c r="S506" i="8"/>
  <c r="K596" i="8"/>
  <c r="AY496" i="8"/>
  <c r="AD627" i="8"/>
  <c r="AA632" i="8"/>
  <c r="Q507" i="8"/>
  <c r="K651" i="8"/>
  <c r="AO611" i="8"/>
  <c r="BB603" i="8"/>
  <c r="BB535" i="8"/>
  <c r="J639" i="8"/>
  <c r="H640" i="8"/>
  <c r="AK665" i="8"/>
  <c r="AU586" i="8"/>
  <c r="Q514" i="8"/>
  <c r="AH554" i="8"/>
  <c r="AC579" i="8"/>
  <c r="AX613" i="8"/>
  <c r="U619" i="8"/>
  <c r="F652" i="8"/>
  <c r="AY646" i="8"/>
  <c r="AD630" i="8"/>
  <c r="AR630" i="8"/>
  <c r="AG537" i="8"/>
  <c r="AK643" i="8"/>
  <c r="AS647" i="8"/>
  <c r="AU591" i="8"/>
  <c r="AE573" i="8"/>
  <c r="AC550" i="8"/>
  <c r="AW626" i="8"/>
  <c r="G547" i="8"/>
  <c r="U606" i="8"/>
  <c r="BA505" i="8"/>
  <c r="AC487" i="8"/>
  <c r="F492" i="8"/>
  <c r="AV505" i="8"/>
  <c r="F648" i="8"/>
  <c r="AE648" i="8"/>
  <c r="AA648" i="8"/>
  <c r="M664" i="8"/>
  <c r="AU486" i="8"/>
  <c r="AF563" i="8"/>
  <c r="AL523" i="8"/>
  <c r="AU509" i="8"/>
  <c r="AR536" i="8"/>
  <c r="X536" i="8"/>
  <c r="J559" i="8"/>
  <c r="AG559" i="8"/>
  <c r="AY559" i="8"/>
  <c r="M482" i="8"/>
  <c r="AV636" i="8"/>
  <c r="N636" i="8"/>
  <c r="BC636" i="8"/>
  <c r="AH626" i="8"/>
  <c r="K626" i="8"/>
  <c r="AA550" i="8"/>
  <c r="U550" i="8"/>
  <c r="P641" i="8"/>
  <c r="U641" i="8"/>
  <c r="AJ641" i="8"/>
  <c r="O533" i="8"/>
  <c r="AX533" i="8"/>
  <c r="AU508" i="8"/>
  <c r="AD583" i="8"/>
  <c r="N583" i="8"/>
  <c r="AV571" i="8"/>
  <c r="AO571" i="8"/>
  <c r="Q563" i="8"/>
  <c r="M523" i="8"/>
  <c r="W547" i="8"/>
  <c r="U547" i="8"/>
  <c r="BB609" i="8"/>
  <c r="AZ568" i="8"/>
  <c r="AD568" i="8"/>
  <c r="K558" i="8"/>
  <c r="AO606" i="8"/>
  <c r="L552" i="8"/>
  <c r="Y551" i="8"/>
  <c r="AW513" i="8"/>
  <c r="BB606" i="8"/>
  <c r="T552" i="8"/>
  <c r="I551" i="8"/>
  <c r="AY536" i="8"/>
  <c r="AO490" i="8"/>
  <c r="AY520" i="8"/>
  <c r="V526" i="8"/>
  <c r="AH623" i="8"/>
  <c r="AI585" i="8"/>
  <c r="AC617" i="8"/>
  <c r="AE657" i="8"/>
  <c r="AC483" i="8"/>
  <c r="X651" i="8"/>
  <c r="S611" i="8"/>
  <c r="AZ601" i="8"/>
  <c r="T535" i="8"/>
  <c r="AQ639" i="8"/>
  <c r="BC640" i="8"/>
  <c r="W665" i="8"/>
  <c r="AC586" i="8"/>
  <c r="V483" i="8"/>
  <c r="AQ554" i="8"/>
  <c r="I660" i="8"/>
  <c r="AS613" i="8"/>
  <c r="AN619" i="8"/>
  <c r="AD652" i="8"/>
  <c r="L646" i="8"/>
  <c r="AH630" i="8"/>
  <c r="I582" i="8"/>
  <c r="AR537" i="8"/>
  <c r="AQ643" i="8"/>
  <c r="L647" i="8"/>
  <c r="K496" i="8"/>
  <c r="T573" i="8"/>
  <c r="AK609" i="8"/>
  <c r="T626" i="8"/>
  <c r="I533" i="8"/>
  <c r="V552" i="8"/>
  <c r="X481" i="8"/>
  <c r="AA487" i="8"/>
  <c r="R482" i="8"/>
  <c r="AU514" i="8"/>
  <c r="AG648" i="8"/>
  <c r="Y648" i="8"/>
  <c r="H648" i="8"/>
  <c r="BA664" i="8"/>
  <c r="M486" i="8"/>
  <c r="O636" i="8"/>
  <c r="AW533" i="8"/>
  <c r="AV508" i="8"/>
  <c r="U536" i="8"/>
  <c r="Z536" i="8"/>
  <c r="P559" i="8"/>
  <c r="AK559" i="8"/>
  <c r="Q559" i="8"/>
  <c r="N482" i="8"/>
  <c r="X636" i="8"/>
  <c r="K636" i="8"/>
  <c r="O626" i="8"/>
  <c r="AB626" i="8"/>
  <c r="I626" i="8"/>
  <c r="AW550" i="8"/>
  <c r="AB550" i="8"/>
  <c r="AM641" i="8"/>
  <c r="AD641" i="8"/>
  <c r="S641" i="8"/>
  <c r="AJ533" i="8"/>
  <c r="K533" i="8"/>
  <c r="O508" i="8"/>
  <c r="AH583" i="8"/>
  <c r="S583" i="8"/>
  <c r="T571" i="8"/>
  <c r="AB571" i="8"/>
  <c r="AJ563" i="8"/>
  <c r="AV523" i="8"/>
  <c r="AR547" i="8"/>
  <c r="AJ547" i="8"/>
  <c r="F609" i="8"/>
  <c r="AR568" i="8"/>
  <c r="J568" i="8"/>
  <c r="H558" i="8"/>
  <c r="BC606" i="8"/>
  <c r="F552" i="8"/>
  <c r="O551" i="8"/>
  <c r="W492" i="8"/>
  <c r="O552" i="8"/>
  <c r="F513" i="8"/>
  <c r="AQ508" i="8"/>
  <c r="AR481" i="8"/>
  <c r="G487" i="8"/>
  <c r="K480" i="8"/>
  <c r="AP612" i="8"/>
  <c r="O564" i="8"/>
  <c r="T587" i="8"/>
  <c r="O617" i="8"/>
  <c r="AZ554" i="8"/>
  <c r="W507" i="8"/>
  <c r="AQ651" i="8"/>
  <c r="BB481" i="8"/>
  <c r="AH601" i="8"/>
  <c r="AT535" i="8"/>
  <c r="BA639" i="8"/>
  <c r="U640" i="8"/>
  <c r="K665" i="8"/>
  <c r="BC586" i="8"/>
  <c r="AT483" i="8"/>
  <c r="AU554" i="8"/>
  <c r="H660" i="8"/>
  <c r="AT613" i="8"/>
  <c r="Y619" i="8"/>
  <c r="BB534" i="8"/>
  <c r="U646" i="8"/>
  <c r="AI630" i="8"/>
  <c r="G582" i="8"/>
  <c r="AE537" i="8"/>
  <c r="V643" i="8"/>
  <c r="AK647" i="8"/>
  <c r="S496" i="8"/>
  <c r="AY573" i="8"/>
  <c r="BA552" i="8"/>
  <c r="F571" i="8"/>
  <c r="AD533" i="8"/>
  <c r="AH551" i="8"/>
  <c r="L487" i="8"/>
  <c r="J487" i="8"/>
  <c r="AM492" i="8"/>
  <c r="AD514" i="8"/>
  <c r="P648" i="8"/>
  <c r="BB648" i="8"/>
  <c r="AX648" i="8"/>
  <c r="BB499" i="8"/>
  <c r="Z557" i="8"/>
  <c r="M626" i="8"/>
  <c r="L536" i="8"/>
  <c r="I482" i="8"/>
  <c r="AO536" i="8"/>
  <c r="AE536" i="8"/>
  <c r="AR559" i="8"/>
  <c r="G559" i="8"/>
  <c r="AN559" i="8"/>
  <c r="H482" i="8"/>
  <c r="J636" i="8"/>
  <c r="AR636" i="8"/>
  <c r="N626" i="8"/>
  <c r="Y626" i="8"/>
  <c r="AY626" i="8"/>
  <c r="G550" i="8"/>
  <c r="AX550" i="8"/>
  <c r="AH641" i="8"/>
  <c r="Q641" i="8"/>
  <c r="BA641" i="8"/>
  <c r="AC533" i="8"/>
  <c r="AT533" i="8"/>
  <c r="AT508" i="8"/>
  <c r="Z583" i="8"/>
  <c r="AV583" i="8"/>
  <c r="AX571" i="8"/>
  <c r="AM563" i="8"/>
  <c r="AK563" i="8"/>
  <c r="AY523" i="8"/>
  <c r="AP547" i="8"/>
  <c r="K609" i="8"/>
  <c r="AX609" i="8"/>
  <c r="AU568" i="8"/>
  <c r="AJ568" i="8"/>
  <c r="Z558" i="8"/>
  <c r="AZ606" i="8"/>
  <c r="AT552" i="8"/>
  <c r="BB551" i="8"/>
  <c r="Q606" i="8"/>
  <c r="AU505" i="8"/>
  <c r="AA482" i="8"/>
  <c r="AM508" i="8"/>
  <c r="X513" i="8"/>
  <c r="AC506" i="8"/>
  <c r="Z537" i="8"/>
  <c r="T642" i="8"/>
  <c r="AK564" i="8"/>
  <c r="AR670" i="8"/>
  <c r="N677" i="8"/>
  <c r="AA486" i="8"/>
  <c r="L648" i="8"/>
  <c r="AP648" i="8"/>
  <c r="AZ648" i="8"/>
  <c r="T648" i="8"/>
  <c r="AJ648" i="8"/>
  <c r="N664" i="8"/>
  <c r="S510" i="8"/>
  <c r="Y521" i="8"/>
  <c r="AF626" i="8"/>
  <c r="V571" i="8"/>
  <c r="W536" i="8"/>
  <c r="AU487" i="8"/>
  <c r="AL492" i="8"/>
  <c r="I536" i="8"/>
  <c r="AW536" i="8"/>
  <c r="AP536" i="8"/>
  <c r="S559" i="8"/>
  <c r="AC559" i="8"/>
  <c r="I559" i="8"/>
  <c r="AV559" i="8"/>
  <c r="H559" i="8"/>
  <c r="AJ482" i="8"/>
  <c r="AF636" i="8"/>
  <c r="AA636" i="8"/>
  <c r="U636" i="8"/>
  <c r="BA636" i="8"/>
  <c r="BA626" i="8"/>
  <c r="X626" i="8"/>
  <c r="BC626" i="8"/>
  <c r="AS626" i="8"/>
  <c r="AY550" i="8"/>
  <c r="X550" i="8"/>
  <c r="AF550" i="8"/>
  <c r="AI550" i="8"/>
  <c r="AI641" i="8"/>
  <c r="AU641" i="8"/>
  <c r="AP641" i="8"/>
  <c r="AC641" i="8"/>
  <c r="AL533" i="8"/>
  <c r="AK533" i="8"/>
  <c r="AG533" i="8"/>
  <c r="AL508" i="8"/>
  <c r="N508" i="8"/>
  <c r="AO583" i="8"/>
  <c r="F583" i="8"/>
  <c r="I583" i="8"/>
  <c r="AD487" i="8"/>
  <c r="P571" i="8"/>
  <c r="BA571" i="8"/>
  <c r="AX563" i="8"/>
  <c r="W563" i="8"/>
  <c r="F523" i="8"/>
  <c r="H523" i="8"/>
  <c r="AC547" i="8"/>
  <c r="AV547" i="8"/>
  <c r="W609" i="8"/>
  <c r="T609" i="8"/>
  <c r="AY609" i="8"/>
  <c r="AA568" i="8"/>
  <c r="AW568" i="8"/>
  <c r="AF505" i="8"/>
  <c r="G558" i="8"/>
  <c r="R558" i="8"/>
  <c r="AX606" i="8"/>
  <c r="Q552" i="8"/>
  <c r="J551" i="8"/>
  <c r="AI513" i="8"/>
  <c r="AS513" i="8"/>
  <c r="AL505" i="8"/>
  <c r="X551" i="8"/>
  <c r="AO559" i="8"/>
  <c r="BB496" i="8"/>
  <c r="AX508" i="8"/>
  <c r="L550" i="8"/>
  <c r="L515" i="8"/>
  <c r="G520" i="8"/>
  <c r="AW496" i="8"/>
  <c r="AV619" i="8"/>
  <c r="S511" i="8"/>
  <c r="AN658" i="8"/>
  <c r="X526" i="8"/>
  <c r="BC526" i="8"/>
  <c r="Y650" i="8"/>
  <c r="AG617" i="8"/>
  <c r="S481" i="8"/>
  <c r="AK648" i="8"/>
  <c r="V648" i="8"/>
  <c r="AI648" i="8"/>
  <c r="R648" i="8"/>
  <c r="AQ648" i="8"/>
  <c r="BC499" i="8"/>
  <c r="AS486" i="8"/>
  <c r="S657" i="8"/>
  <c r="AO636" i="8"/>
  <c r="AS547" i="8"/>
  <c r="L551" i="8"/>
  <c r="AT482" i="8"/>
  <c r="AG536" i="8"/>
  <c r="AU536" i="8"/>
  <c r="AK536" i="8"/>
  <c r="BA559" i="8"/>
  <c r="X559" i="8"/>
  <c r="K559" i="8"/>
  <c r="AE559" i="8"/>
  <c r="AT559" i="8"/>
  <c r="AZ559" i="8"/>
  <c r="AR482" i="8"/>
  <c r="AH636" i="8"/>
  <c r="Y636" i="8"/>
  <c r="G636" i="8"/>
  <c r="J626" i="8"/>
  <c r="AC626" i="8"/>
  <c r="L626" i="8"/>
  <c r="BB626" i="8"/>
  <c r="J550" i="8"/>
  <c r="H550" i="8"/>
  <c r="N550" i="8"/>
  <c r="Z550" i="8"/>
  <c r="X641" i="8"/>
  <c r="AX641" i="8"/>
  <c r="AF641" i="8"/>
  <c r="AR641" i="8"/>
  <c r="AO533" i="8"/>
  <c r="AB533" i="8"/>
  <c r="AU533" i="8"/>
  <c r="X508" i="8"/>
  <c r="G508" i="8"/>
  <c r="X583" i="8"/>
  <c r="O583" i="8"/>
  <c r="BC583" i="8"/>
  <c r="AJ583" i="8"/>
  <c r="AT571" i="8"/>
  <c r="AM571" i="8"/>
  <c r="AA563" i="8"/>
  <c r="R563" i="8"/>
  <c r="H563" i="8"/>
  <c r="AI523" i="8"/>
  <c r="Y547" i="8"/>
  <c r="AF547" i="8"/>
  <c r="V609" i="8"/>
  <c r="BA609" i="8"/>
  <c r="AP609" i="8"/>
  <c r="AK568" i="8"/>
  <c r="BC568" i="8"/>
  <c r="W568" i="8"/>
  <c r="V558" i="8"/>
  <c r="BC558" i="8"/>
  <c r="AJ606" i="8"/>
  <c r="H552" i="8"/>
  <c r="AG552" i="8"/>
  <c r="V551" i="8"/>
  <c r="AE513" i="8"/>
  <c r="AD523" i="8"/>
  <c r="AK486" i="8"/>
  <c r="U487" i="8"/>
  <c r="AK515" i="8"/>
  <c r="R619" i="8"/>
  <c r="W496" i="8"/>
  <c r="L496" i="8"/>
  <c r="AN613" i="8"/>
  <c r="AQ573" i="8"/>
  <c r="Q490" i="8"/>
  <c r="AB537" i="8"/>
  <c r="AA631" i="8"/>
  <c r="BC574" i="8"/>
  <c r="AG623" i="8"/>
  <c r="P587" i="8"/>
  <c r="AB627" i="8"/>
  <c r="R677" i="8"/>
  <c r="T481" i="8"/>
  <c r="AT648" i="8"/>
  <c r="I648" i="8"/>
  <c r="U648" i="8"/>
  <c r="AR648" i="8"/>
  <c r="AO492" i="8"/>
  <c r="AS499" i="8"/>
  <c r="AW486" i="8"/>
  <c r="AQ563" i="8"/>
  <c r="P482" i="8"/>
  <c r="U533" i="8"/>
  <c r="Q551" i="8"/>
  <c r="AT509" i="8"/>
  <c r="T536" i="8"/>
  <c r="AD536" i="8"/>
  <c r="Y536" i="8"/>
  <c r="V559" i="8"/>
  <c r="W559" i="8"/>
  <c r="AS559" i="8"/>
  <c r="O559" i="8"/>
  <c r="AW559" i="8"/>
  <c r="F559" i="8"/>
  <c r="AB482" i="8"/>
  <c r="AP636" i="8"/>
  <c r="AX636" i="8"/>
  <c r="AN636" i="8"/>
  <c r="AL626" i="8"/>
  <c r="AV626" i="8"/>
  <c r="AO626" i="8"/>
  <c r="AK626" i="8"/>
  <c r="AO550" i="8"/>
  <c r="AN550" i="8"/>
  <c r="Q550" i="8"/>
  <c r="T550" i="8"/>
  <c r="M641" i="8"/>
  <c r="AY641" i="8"/>
  <c r="BC641" i="8"/>
  <c r="W641" i="8"/>
  <c r="AP533" i="8"/>
  <c r="BA533" i="8"/>
  <c r="G533" i="8"/>
  <c r="M508" i="8"/>
  <c r="Q508" i="8"/>
  <c r="P583" i="8"/>
  <c r="AW583" i="8"/>
  <c r="AI583" i="8"/>
  <c r="AG583" i="8"/>
  <c r="AG571" i="8"/>
  <c r="AQ571" i="8"/>
  <c r="AP563" i="8"/>
  <c r="I563" i="8"/>
  <c r="AS523" i="8"/>
  <c r="P523" i="8"/>
  <c r="R547" i="8"/>
  <c r="L547" i="8"/>
  <c r="AZ609" i="8"/>
  <c r="AJ609" i="8"/>
  <c r="AL609" i="8"/>
  <c r="U568" i="8"/>
  <c r="AT568" i="8"/>
  <c r="AW509" i="8"/>
  <c r="AV558" i="8"/>
  <c r="Y558" i="8"/>
  <c r="AY606" i="8"/>
  <c r="AN552" i="8"/>
  <c r="AD551" i="8"/>
  <c r="BC551" i="8"/>
  <c r="AU513" i="8"/>
  <c r="AQ547" i="8"/>
  <c r="AO563" i="8"/>
  <c r="P487" i="8"/>
  <c r="L513" i="8"/>
  <c r="J648" i="8"/>
  <c r="AP480" i="8"/>
  <c r="AA506" i="8"/>
  <c r="AT523" i="8"/>
  <c r="AP582" i="8"/>
  <c r="AZ545" i="8"/>
  <c r="AD511" i="8"/>
  <c r="AD642" i="8"/>
  <c r="AG615" i="8"/>
  <c r="R508" i="8"/>
  <c r="AC587" i="8"/>
  <c r="AU585" i="8"/>
  <c r="AS610" i="8"/>
  <c r="BB559" i="8"/>
  <c r="T482" i="8"/>
  <c r="F636" i="8"/>
  <c r="AG636" i="8"/>
  <c r="AK636" i="8"/>
  <c r="AI636" i="8"/>
  <c r="AW636" i="8"/>
  <c r="AN626" i="8"/>
  <c r="U626" i="8"/>
  <c r="AP626" i="8"/>
  <c r="R626" i="8"/>
  <c r="AM626" i="8"/>
  <c r="I550" i="8"/>
  <c r="BB550" i="8"/>
  <c r="P550" i="8"/>
  <c r="BC550" i="8"/>
  <c r="K550" i="8"/>
  <c r="T641" i="8"/>
  <c r="F641" i="8"/>
  <c r="AN641" i="8"/>
  <c r="AV641" i="8"/>
  <c r="AO641" i="8"/>
  <c r="AB641" i="8"/>
  <c r="S533" i="8"/>
  <c r="AQ533" i="8"/>
  <c r="W533" i="8"/>
  <c r="AY533" i="8"/>
  <c r="AO508" i="8"/>
  <c r="AH508" i="8"/>
  <c r="M583" i="8"/>
  <c r="AM583" i="8"/>
  <c r="J583" i="8"/>
  <c r="Q583" i="8"/>
  <c r="G583" i="8"/>
  <c r="AO487" i="8"/>
  <c r="BC571" i="8"/>
  <c r="AA571" i="8"/>
  <c r="T563" i="8"/>
  <c r="U563" i="8"/>
  <c r="BB563" i="8"/>
  <c r="AQ523" i="8"/>
  <c r="AX523" i="8"/>
  <c r="R523" i="8"/>
  <c r="AN547" i="8"/>
  <c r="N547" i="8"/>
  <c r="AT547" i="8"/>
  <c r="Q609" i="8"/>
  <c r="L609" i="8"/>
  <c r="AG609" i="8"/>
  <c r="S568" i="8"/>
  <c r="N568" i="8"/>
  <c r="BA568" i="8"/>
  <c r="S509" i="8"/>
  <c r="AT505" i="8"/>
  <c r="AA558" i="8"/>
  <c r="W558" i="8"/>
  <c r="AV606" i="8"/>
  <c r="X552" i="8"/>
  <c r="AJ552" i="8"/>
  <c r="U551" i="8"/>
  <c r="AT551" i="8"/>
  <c r="AH513" i="8"/>
  <c r="AA513" i="8"/>
  <c r="AZ508" i="8"/>
  <c r="AW552" i="8"/>
  <c r="AY508" i="8"/>
  <c r="AM558" i="8"/>
  <c r="AS487" i="8"/>
  <c r="R533" i="8"/>
  <c r="AR506" i="8"/>
  <c r="AL547" i="8"/>
  <c r="AS480" i="8"/>
  <c r="N647" i="8"/>
  <c r="AC482" i="8"/>
  <c r="AV515" i="8"/>
  <c r="AD490" i="8"/>
  <c r="O515" i="8"/>
  <c r="R612" i="8"/>
  <c r="BB546" i="8"/>
  <c r="AN564" i="8"/>
  <c r="AO505" i="8"/>
  <c r="AO587" i="8"/>
  <c r="AC600" i="8"/>
  <c r="V635" i="8"/>
  <c r="K491" i="8"/>
  <c r="AO482" i="8"/>
  <c r="AZ482" i="8"/>
  <c r="S636" i="8"/>
  <c r="AC636" i="8"/>
  <c r="T636" i="8"/>
  <c r="L636" i="8"/>
  <c r="H636" i="8"/>
  <c r="AZ626" i="8"/>
  <c r="AX626" i="8"/>
  <c r="H626" i="8"/>
  <c r="W626" i="8"/>
  <c r="S626" i="8"/>
  <c r="M550" i="8"/>
  <c r="AD550" i="8"/>
  <c r="AT550" i="8"/>
  <c r="W550" i="8"/>
  <c r="AV550" i="8"/>
  <c r="AA641" i="8"/>
  <c r="V641" i="8"/>
  <c r="AT641" i="8"/>
  <c r="G641" i="8"/>
  <c r="AG641" i="8"/>
  <c r="BB533" i="8"/>
  <c r="N533" i="8"/>
  <c r="Q533" i="8"/>
  <c r="AF533" i="8"/>
  <c r="H533" i="8"/>
  <c r="AP508" i="8"/>
  <c r="AS508" i="8"/>
  <c r="AR583" i="8"/>
  <c r="AT583" i="8"/>
  <c r="K583" i="8"/>
  <c r="AZ583" i="8"/>
  <c r="AE583" i="8"/>
  <c r="AP571" i="8"/>
  <c r="R571" i="8"/>
  <c r="U571" i="8"/>
  <c r="N563" i="8"/>
  <c r="M563" i="8"/>
  <c r="L563" i="8"/>
  <c r="BB523" i="8"/>
  <c r="AM523" i="8"/>
  <c r="J523" i="8"/>
  <c r="AG547" i="8"/>
  <c r="AH547" i="8"/>
  <c r="P547" i="8"/>
  <c r="AB609" i="8"/>
  <c r="AU609" i="8"/>
  <c r="BC609" i="8"/>
  <c r="I568" i="8"/>
  <c r="AN568" i="8"/>
  <c r="AV568" i="8"/>
  <c r="BB509" i="8"/>
  <c r="AJ505" i="8"/>
  <c r="AP558" i="8"/>
  <c r="BA558" i="8"/>
  <c r="AG606" i="8"/>
  <c r="AK552" i="8"/>
  <c r="AO552" i="8"/>
  <c r="AR551" i="8"/>
  <c r="S551" i="8"/>
  <c r="AT513" i="8"/>
  <c r="R597" i="8"/>
  <c r="K508" i="8"/>
  <c r="G571" i="8"/>
  <c r="R509" i="8"/>
  <c r="O509" i="8"/>
  <c r="AL482" i="8"/>
  <c r="AJ545" i="8"/>
  <c r="U496" i="8"/>
  <c r="AD582" i="8"/>
  <c r="Z506" i="8"/>
  <c r="V547" i="8"/>
  <c r="AA502" i="8"/>
  <c r="AD496" i="8"/>
  <c r="AH515" i="8"/>
  <c r="Z515" i="8"/>
  <c r="AX631" i="8"/>
  <c r="S596" i="8"/>
  <c r="AO564" i="8"/>
  <c r="Z505" i="8"/>
  <c r="AZ587" i="8"/>
  <c r="X600" i="8"/>
  <c r="AY617" i="8"/>
  <c r="AH495" i="8"/>
  <c r="AC583" i="8"/>
  <c r="AS583" i="8"/>
  <c r="AD571" i="8"/>
  <c r="O571" i="8"/>
  <c r="AU571" i="8"/>
  <c r="AL571" i="8"/>
  <c r="Q571" i="8"/>
  <c r="AN563" i="8"/>
  <c r="AL563" i="8"/>
  <c r="J563" i="8"/>
  <c r="AY563" i="8"/>
  <c r="V563" i="8"/>
  <c r="Z523" i="8"/>
  <c r="AJ523" i="8"/>
  <c r="N523" i="8"/>
  <c r="AF523" i="8"/>
  <c r="K547" i="8"/>
  <c r="J547" i="8"/>
  <c r="AI547" i="8"/>
  <c r="S547" i="8"/>
  <c r="AS609" i="8"/>
  <c r="AO609" i="8"/>
  <c r="N609" i="8"/>
  <c r="M609" i="8"/>
  <c r="AD609" i="8"/>
  <c r="AH609" i="8"/>
  <c r="R568" i="8"/>
  <c r="AL568" i="8"/>
  <c r="T568" i="8"/>
  <c r="AC568" i="8"/>
  <c r="Z568" i="8"/>
  <c r="AR509" i="8"/>
  <c r="U505" i="8"/>
  <c r="I558" i="8"/>
  <c r="AW558" i="8"/>
  <c r="T558" i="8"/>
  <c r="AB558" i="8"/>
  <c r="W606" i="8"/>
  <c r="AD606" i="8"/>
  <c r="AE552" i="8"/>
  <c r="AL552" i="8"/>
  <c r="AF552" i="8"/>
  <c r="AY551" i="8"/>
  <c r="AQ551" i="8"/>
  <c r="AZ551" i="8"/>
  <c r="G513" i="8"/>
  <c r="AC513" i="8"/>
  <c r="AZ492" i="8"/>
  <c r="M514" i="8"/>
  <c r="V508" i="8"/>
  <c r="AZ523" i="8"/>
  <c r="I508" i="8"/>
  <c r="L535" i="8"/>
  <c r="AE547" i="8"/>
  <c r="AV511" i="8"/>
  <c r="AJ487" i="8"/>
  <c r="O582" i="8"/>
  <c r="H511" i="8"/>
  <c r="AA505" i="8"/>
  <c r="AL559" i="8"/>
  <c r="AD552" i="8"/>
  <c r="AH509" i="8"/>
  <c r="AN487" i="8"/>
  <c r="AO496" i="8"/>
  <c r="P508" i="8"/>
  <c r="BB480" i="8"/>
  <c r="AC490" i="8"/>
  <c r="Y506" i="8"/>
  <c r="AK506" i="8"/>
  <c r="AF496" i="8"/>
  <c r="F546" i="8"/>
  <c r="AJ631" i="8"/>
  <c r="F618" i="8"/>
  <c r="AV530" i="8"/>
  <c r="BA612" i="8"/>
  <c r="AS482" i="8"/>
  <c r="AG530" i="8"/>
  <c r="Y645" i="8"/>
  <c r="AB650" i="8"/>
  <c r="Q600" i="8"/>
  <c r="AK670" i="8"/>
  <c r="G562" i="8"/>
  <c r="AC677" i="8"/>
  <c r="AL583" i="8"/>
  <c r="AB583" i="8"/>
  <c r="AN583" i="8"/>
  <c r="V487" i="8"/>
  <c r="AK571" i="8"/>
  <c r="AC571" i="8"/>
  <c r="AR571" i="8"/>
  <c r="M571" i="8"/>
  <c r="AF571" i="8"/>
  <c r="AV563" i="8"/>
  <c r="G563" i="8"/>
  <c r="AT563" i="8"/>
  <c r="Y563" i="8"/>
  <c r="AD563" i="8"/>
  <c r="AR523" i="8"/>
  <c r="K523" i="8"/>
  <c r="W523" i="8"/>
  <c r="I523" i="8"/>
  <c r="Q547" i="8"/>
  <c r="I547" i="8"/>
  <c r="BA547" i="8"/>
  <c r="AB547" i="8"/>
  <c r="J609" i="8"/>
  <c r="AC609" i="8"/>
  <c r="AR609" i="8"/>
  <c r="Z609" i="8"/>
  <c r="AF609" i="8"/>
  <c r="Y609" i="8"/>
  <c r="AH568" i="8"/>
  <c r="AP568" i="8"/>
  <c r="P568" i="8"/>
  <c r="AI568" i="8"/>
  <c r="AF568" i="8"/>
  <c r="AE509" i="8"/>
  <c r="J505" i="8"/>
  <c r="AC558" i="8"/>
  <c r="AS558" i="8"/>
  <c r="J558" i="8"/>
  <c r="AP606" i="8"/>
  <c r="S606" i="8"/>
  <c r="AR606" i="8"/>
  <c r="AS552" i="8"/>
  <c r="Y552" i="8"/>
  <c r="G552" i="8"/>
  <c r="AE551" i="8"/>
  <c r="AU551" i="8"/>
  <c r="AM551" i="8"/>
  <c r="AO513" i="8"/>
  <c r="K513" i="8"/>
  <c r="AV492" i="8"/>
  <c r="U514" i="8"/>
  <c r="AX509" i="8"/>
  <c r="AM547" i="8"/>
  <c r="AK508" i="8"/>
  <c r="AI586" i="8"/>
  <c r="P536" i="8"/>
  <c r="BB505" i="8"/>
  <c r="X490" i="8"/>
  <c r="P647" i="8"/>
  <c r="AN511" i="8"/>
  <c r="Z509" i="8"/>
  <c r="AZ636" i="8"/>
  <c r="AA520" i="8"/>
  <c r="AI496" i="8"/>
  <c r="P490" i="8"/>
  <c r="O523" i="8"/>
  <c r="AA508" i="8"/>
  <c r="AG511" i="8"/>
  <c r="H520" i="8"/>
  <c r="AS506" i="8"/>
  <c r="AH496" i="8"/>
  <c r="AM496" i="8"/>
  <c r="AU530" i="8"/>
  <c r="AO615" i="8"/>
  <c r="H642" i="8"/>
  <c r="S530" i="8"/>
  <c r="M612" i="8"/>
  <c r="F482" i="8"/>
  <c r="AM505" i="8"/>
  <c r="V677" i="8"/>
  <c r="N650" i="8"/>
  <c r="AJ610" i="8"/>
  <c r="AZ635" i="8"/>
  <c r="AS645" i="8"/>
  <c r="L572" i="8"/>
  <c r="AP583" i="8"/>
  <c r="W583" i="8"/>
  <c r="Z487" i="8"/>
  <c r="BB571" i="8"/>
  <c r="AZ571" i="8"/>
  <c r="AN571" i="8"/>
  <c r="I571" i="8"/>
  <c r="AG563" i="8"/>
  <c r="AH563" i="8"/>
  <c r="BC563" i="8"/>
  <c r="AE563" i="8"/>
  <c r="Z563" i="8"/>
  <c r="AU523" i="8"/>
  <c r="S523" i="8"/>
  <c r="T523" i="8"/>
  <c r="Q523" i="8"/>
  <c r="Y523" i="8"/>
  <c r="F547" i="8"/>
  <c r="M547" i="8"/>
  <c r="O547" i="8"/>
  <c r="H547" i="8"/>
  <c r="H609" i="8"/>
  <c r="AM609" i="8"/>
  <c r="U609" i="8"/>
  <c r="AN609" i="8"/>
  <c r="AE609" i="8"/>
  <c r="X609" i="8"/>
  <c r="H568" i="8"/>
  <c r="F568" i="8"/>
  <c r="BB568" i="8"/>
  <c r="O568" i="8"/>
  <c r="Y568" i="8"/>
  <c r="AQ509" i="8"/>
  <c r="AE505" i="8"/>
  <c r="M558" i="8"/>
  <c r="F558" i="8"/>
  <c r="L558" i="8"/>
  <c r="O606" i="8"/>
  <c r="P606" i="8"/>
  <c r="AQ606" i="8"/>
  <c r="AV552" i="8"/>
  <c r="K552" i="8"/>
  <c r="AX552" i="8"/>
  <c r="N551" i="8"/>
  <c r="AW551" i="8"/>
  <c r="AZ513" i="8"/>
  <c r="AM513" i="8"/>
  <c r="BB513" i="8"/>
  <c r="AE639" i="8"/>
  <c r="M505" i="8"/>
  <c r="AI482" i="8"/>
  <c r="AW547" i="8"/>
  <c r="AR505" i="8"/>
  <c r="AE586" i="8"/>
  <c r="Q536" i="8"/>
  <c r="AR496" i="8"/>
  <c r="AS481" i="8"/>
  <c r="AK537" i="8"/>
  <c r="I515" i="8"/>
  <c r="AN506" i="8"/>
  <c r="Z571" i="8"/>
  <c r="L506" i="8"/>
  <c r="AG487" i="8"/>
  <c r="BC507" i="8"/>
  <c r="AC496" i="8"/>
  <c r="AX490" i="8"/>
  <c r="AR515" i="8"/>
  <c r="X515" i="8"/>
  <c r="AK511" i="8"/>
  <c r="AC515" i="8"/>
  <c r="M524" i="8"/>
  <c r="AL546" i="8"/>
  <c r="O675" i="8"/>
  <c r="AL642" i="8"/>
  <c r="AN615" i="8"/>
  <c r="AK526" i="8"/>
  <c r="S508" i="8"/>
  <c r="BB526" i="8"/>
  <c r="T519" i="8"/>
  <c r="U650" i="8"/>
  <c r="X627" i="8"/>
  <c r="AD635" i="8"/>
  <c r="U677" i="8"/>
  <c r="I553" i="8"/>
  <c r="AB568" i="8"/>
  <c r="X509" i="8"/>
  <c r="AA509" i="8"/>
  <c r="BC505" i="8"/>
  <c r="N505" i="8"/>
  <c r="AQ558" i="8"/>
  <c r="AH558" i="8"/>
  <c r="AO558" i="8"/>
  <c r="AU558" i="8"/>
  <c r="AL558" i="8"/>
  <c r="AY558" i="8"/>
  <c r="L606" i="8"/>
  <c r="AA606" i="8"/>
  <c r="X606" i="8"/>
  <c r="AT606" i="8"/>
  <c r="J552" i="8"/>
  <c r="N552" i="8"/>
  <c r="AR552" i="8"/>
  <c r="S552" i="8"/>
  <c r="H551" i="8"/>
  <c r="AF551" i="8"/>
  <c r="F551" i="8"/>
  <c r="AL551" i="8"/>
  <c r="BA551" i="8"/>
  <c r="T513" i="8"/>
  <c r="J513" i="8"/>
  <c r="Q513" i="8"/>
  <c r="BC597" i="8"/>
  <c r="AM648" i="8"/>
  <c r="AM536" i="8"/>
  <c r="U508" i="8"/>
  <c r="BB487" i="8"/>
  <c r="K648" i="8"/>
  <c r="X533" i="8"/>
  <c r="AI487" i="8"/>
  <c r="AY482" i="8"/>
  <c r="S507" i="8"/>
  <c r="AC606" i="8"/>
  <c r="R554" i="8"/>
  <c r="Q486" i="8"/>
  <c r="V511" i="8"/>
  <c r="AP496" i="8"/>
  <c r="G606" i="8"/>
  <c r="AA545" i="8"/>
  <c r="AG508" i="8"/>
  <c r="V515" i="8"/>
  <c r="AT496" i="8"/>
  <c r="AC619" i="8"/>
  <c r="AI537" i="8"/>
  <c r="G509" i="8"/>
  <c r="AP505" i="8"/>
  <c r="AV506" i="8"/>
  <c r="BB558" i="8"/>
  <c r="AV545" i="8"/>
  <c r="AG505" i="8"/>
  <c r="V490" i="8"/>
  <c r="AX545" i="8"/>
  <c r="Y520" i="8"/>
  <c r="Z496" i="8"/>
  <c r="AL496" i="8"/>
  <c r="AH511" i="8"/>
  <c r="AB545" i="8"/>
  <c r="V480" i="8"/>
  <c r="X511" i="8"/>
  <c r="AQ511" i="8"/>
  <c r="AY596" i="8"/>
  <c r="AH675" i="8"/>
  <c r="J526" i="8"/>
  <c r="AA642" i="8"/>
  <c r="AC574" i="8"/>
  <c r="AP623" i="8"/>
  <c r="Z631" i="8"/>
  <c r="BB564" i="8"/>
  <c r="BB583" i="8"/>
  <c r="AF526" i="8"/>
  <c r="I505" i="8"/>
  <c r="AI501" i="8"/>
  <c r="H501" i="8"/>
  <c r="M645" i="8"/>
  <c r="N519" i="8"/>
  <c r="AO607" i="8"/>
  <c r="Q653" i="8"/>
  <c r="O562" i="8"/>
  <c r="AH678" i="8"/>
  <c r="AM670" i="8"/>
  <c r="K568" i="8"/>
  <c r="V509" i="8"/>
  <c r="H509" i="8"/>
  <c r="AN505" i="8"/>
  <c r="T505" i="8"/>
  <c r="Q558" i="8"/>
  <c r="AN558" i="8"/>
  <c r="U558" i="8"/>
  <c r="AD558" i="8"/>
  <c r="AR558" i="8"/>
  <c r="AX558" i="8"/>
  <c r="AM606" i="8"/>
  <c r="AE606" i="8"/>
  <c r="AF606" i="8"/>
  <c r="AH606" i="8"/>
  <c r="U552" i="8"/>
  <c r="AU552" i="8"/>
  <c r="BB552" i="8"/>
  <c r="BC552" i="8"/>
  <c r="AN551" i="8"/>
  <c r="AP551" i="8"/>
  <c r="AX551" i="8"/>
  <c r="AJ551" i="8"/>
  <c r="AL513" i="8"/>
  <c r="U513" i="8"/>
  <c r="AQ513" i="8"/>
  <c r="V513" i="8"/>
  <c r="T567" i="8"/>
  <c r="AF648" i="8"/>
  <c r="F536" i="8"/>
  <c r="AM483" i="8"/>
  <c r="F487" i="8"/>
  <c r="AV648" i="8"/>
  <c r="R536" i="8"/>
  <c r="K505" i="8"/>
  <c r="T487" i="8"/>
  <c r="T507" i="8"/>
  <c r="V523" i="8"/>
  <c r="BA515" i="8"/>
  <c r="V506" i="8"/>
  <c r="AG496" i="8"/>
  <c r="Y490" i="8"/>
  <c r="AX643" i="8"/>
  <c r="N509" i="8"/>
  <c r="M496" i="8"/>
  <c r="AI520" i="8"/>
  <c r="Y480" i="8"/>
  <c r="M573" i="8"/>
  <c r="BC545" i="8"/>
  <c r="W509" i="8"/>
  <c r="AX487" i="8"/>
  <c r="AG480" i="8"/>
  <c r="AJ636" i="8"/>
  <c r="Y515" i="8"/>
  <c r="AQ480" i="8"/>
  <c r="AG506" i="8"/>
  <c r="AB496" i="8"/>
  <c r="AZ515" i="8"/>
  <c r="BC643" i="8"/>
  <c r="I480" i="8"/>
  <c r="AE490" i="8"/>
  <c r="AX506" i="8"/>
  <c r="AL490" i="8"/>
  <c r="H496" i="8"/>
  <c r="AP643" i="8"/>
  <c r="AO574" i="8"/>
  <c r="F596" i="8"/>
  <c r="P526" i="8"/>
  <c r="AH546" i="8"/>
  <c r="O574" i="8"/>
  <c r="O623" i="8"/>
  <c r="Y631" i="8"/>
  <c r="AK615" i="8"/>
  <c r="M568" i="8"/>
  <c r="AP482" i="8"/>
  <c r="AY636" i="8"/>
  <c r="AM491" i="8"/>
  <c r="K501" i="8"/>
  <c r="AZ491" i="8"/>
  <c r="AY479" i="8"/>
  <c r="AJ670" i="8"/>
  <c r="AZ653" i="8"/>
  <c r="AR645" i="8"/>
  <c r="AU576" i="8"/>
  <c r="X675" i="8"/>
  <c r="AG568" i="8"/>
  <c r="AG509" i="8"/>
  <c r="AB509" i="8"/>
  <c r="O505" i="8"/>
  <c r="X505" i="8"/>
  <c r="S558" i="8"/>
  <c r="AK558" i="8"/>
  <c r="AZ558" i="8"/>
  <c r="AJ558" i="8"/>
  <c r="P558" i="8"/>
  <c r="AW606" i="8"/>
  <c r="AB606" i="8"/>
  <c r="AS606" i="8"/>
  <c r="T606" i="8"/>
  <c r="P552" i="8"/>
  <c r="AQ552" i="8"/>
  <c r="AA552" i="8"/>
  <c r="I552" i="8"/>
  <c r="AM552" i="8"/>
  <c r="AK551" i="8"/>
  <c r="AC551" i="8"/>
  <c r="AO551" i="8"/>
  <c r="R551" i="8"/>
  <c r="N513" i="8"/>
  <c r="I513" i="8"/>
  <c r="AB513" i="8"/>
  <c r="W513" i="8"/>
  <c r="AH597" i="8"/>
  <c r="K571" i="8"/>
  <c r="N536" i="8"/>
  <c r="M483" i="8"/>
  <c r="L483" i="8"/>
  <c r="AH571" i="8"/>
  <c r="AS509" i="8"/>
  <c r="AX505" i="8"/>
  <c r="J482" i="8"/>
  <c r="AI551" i="8"/>
  <c r="X647" i="8"/>
  <c r="AS515" i="8"/>
  <c r="AI505" i="8"/>
  <c r="P496" i="8"/>
  <c r="H514" i="8"/>
  <c r="Y647" i="8"/>
  <c r="AY552" i="8"/>
  <c r="Y513" i="8"/>
  <c r="K511" i="8"/>
  <c r="AM490" i="8"/>
  <c r="AB636" i="8"/>
  <c r="T545" i="8"/>
  <c r="BA509" i="8"/>
  <c r="F509" i="8"/>
  <c r="AH480" i="8"/>
  <c r="O641" i="8"/>
  <c r="Y508" i="8"/>
  <c r="J511" i="8"/>
  <c r="AN483" i="8"/>
  <c r="AS496" i="8"/>
  <c r="AH490" i="8"/>
  <c r="F554" i="8"/>
  <c r="V613" i="8"/>
  <c r="S480" i="8"/>
  <c r="AY490" i="8"/>
  <c r="K582" i="8"/>
  <c r="Q480" i="8"/>
  <c r="AT499" i="8"/>
  <c r="Y596" i="8"/>
  <c r="AW574" i="8"/>
  <c r="AU526" i="8"/>
  <c r="AW546" i="8"/>
  <c r="AU574" i="8"/>
  <c r="F623" i="8"/>
  <c r="AQ526" i="8"/>
  <c r="BA574" i="8"/>
  <c r="S505" i="8"/>
  <c r="AW609" i="8"/>
  <c r="U530" i="8"/>
  <c r="F587" i="8"/>
  <c r="M650" i="8"/>
  <c r="AM600" i="8"/>
  <c r="T491" i="8"/>
  <c r="AP670" i="8"/>
  <c r="J614" i="8"/>
  <c r="V645" i="8"/>
  <c r="AR491" i="8"/>
  <c r="BB666" i="8"/>
  <c r="AC552" i="8"/>
  <c r="N606" i="8"/>
  <c r="AS533" i="8"/>
  <c r="AY509" i="8"/>
  <c r="V486" i="8"/>
  <c r="AB487" i="8"/>
  <c r="L481" i="8"/>
  <c r="G482" i="8"/>
  <c r="AO648" i="8"/>
  <c r="AM533" i="8"/>
  <c r="T551" i="8"/>
  <c r="AJ506" i="8"/>
  <c r="F520" i="8"/>
  <c r="BB515" i="8"/>
  <c r="J520" i="8"/>
  <c r="Z480" i="8"/>
  <c r="AL641" i="8"/>
  <c r="BB547" i="8"/>
  <c r="AB536" i="8"/>
  <c r="G505" i="8"/>
  <c r="X487" i="8"/>
  <c r="AL511" i="8"/>
  <c r="N496" i="8"/>
  <c r="AV487" i="8"/>
  <c r="AS563" i="8"/>
  <c r="F606" i="8"/>
  <c r="AZ533" i="8"/>
  <c r="AG524" i="8"/>
  <c r="AS505" i="8"/>
  <c r="BC496" i="8"/>
  <c r="AR487" i="8"/>
  <c r="AJ515" i="8"/>
  <c r="AX480" i="8"/>
  <c r="Z613" i="8"/>
  <c r="AD545" i="8"/>
  <c r="O520" i="8"/>
  <c r="BB508" i="8"/>
  <c r="P506" i="8"/>
  <c r="AK496" i="8"/>
  <c r="U520" i="8"/>
  <c r="BA486" i="8"/>
  <c r="AW506" i="8"/>
  <c r="AL480" i="8"/>
  <c r="AJ511" i="8"/>
  <c r="AQ613" i="8"/>
  <c r="BC490" i="8"/>
  <c r="AB619" i="8"/>
  <c r="AU515" i="8"/>
  <c r="AN496" i="8"/>
  <c r="AN545" i="8"/>
  <c r="AC511" i="8"/>
  <c r="M480" i="8"/>
  <c r="K646" i="8"/>
  <c r="AD574" i="8"/>
  <c r="AX618" i="8"/>
  <c r="S623" i="8"/>
  <c r="BC675" i="8"/>
  <c r="AP658" i="8"/>
  <c r="AB642" i="8"/>
  <c r="AG596" i="8"/>
  <c r="AR530" i="8"/>
  <c r="AW615" i="8"/>
  <c r="W564" i="8"/>
  <c r="V631" i="8"/>
  <c r="X574" i="8"/>
  <c r="X648" i="8"/>
  <c r="AX583" i="8"/>
  <c r="AG513" i="8"/>
  <c r="O536" i="8"/>
  <c r="AZ563" i="8"/>
  <c r="AH562" i="8"/>
  <c r="AN491" i="8"/>
  <c r="K600" i="8"/>
  <c r="AR650" i="8"/>
  <c r="AJ627" i="8"/>
  <c r="Z600" i="8"/>
  <c r="AP627" i="8"/>
  <c r="H607" i="8"/>
  <c r="J670" i="8"/>
  <c r="T653" i="8"/>
  <c r="AW501" i="8"/>
  <c r="BC519" i="8"/>
  <c r="AI565" i="8"/>
  <c r="AK653" i="8"/>
  <c r="L612" i="8"/>
  <c r="AI563" i="8"/>
  <c r="AN606" i="8"/>
  <c r="BC536" i="8"/>
  <c r="AC509" i="8"/>
  <c r="AV509" i="8"/>
  <c r="Q483" i="8"/>
  <c r="AN481" i="8"/>
  <c r="F550" i="8"/>
  <c r="AF482" i="8"/>
  <c r="AG545" i="8"/>
  <c r="AE523" i="8"/>
  <c r="J515" i="8"/>
  <c r="AB508" i="8"/>
  <c r="AZ511" i="8"/>
  <c r="L509" i="8"/>
  <c r="AO480" i="8"/>
  <c r="AA626" i="8"/>
  <c r="AZ643" i="8"/>
  <c r="AP490" i="8"/>
  <c r="BA520" i="8"/>
  <c r="AJ490" i="8"/>
  <c r="O496" i="8"/>
  <c r="AD480" i="8"/>
  <c r="N487" i="8"/>
  <c r="U613" i="8"/>
  <c r="AS643" i="8"/>
  <c r="F545" i="8"/>
  <c r="AC524" i="8"/>
  <c r="R496" i="8"/>
  <c r="AZ496" i="8"/>
  <c r="AN486" i="8"/>
  <c r="BC506" i="8"/>
  <c r="AK482" i="8"/>
  <c r="M606" i="8"/>
  <c r="H536" i="8"/>
  <c r="Q511" i="8"/>
  <c r="V505" i="8"/>
  <c r="AU496" i="8"/>
  <c r="W480" i="8"/>
  <c r="X506" i="8"/>
  <c r="X613" i="8"/>
  <c r="AC480" i="8"/>
  <c r="AB483" i="8"/>
  <c r="AP506" i="8"/>
  <c r="F525" i="8"/>
  <c r="AF506" i="8"/>
  <c r="AG646" i="8"/>
  <c r="AH520" i="8"/>
  <c r="T496" i="8"/>
  <c r="M545" i="8"/>
  <c r="AF511" i="8"/>
  <c r="AI486" i="8"/>
  <c r="AQ582" i="8"/>
  <c r="T526" i="8"/>
  <c r="AQ642" i="8"/>
  <c r="AZ675" i="8"/>
  <c r="W631" i="8"/>
  <c r="AR618" i="8"/>
  <c r="O546" i="8"/>
  <c r="AV596" i="8"/>
  <c r="AK530" i="8"/>
  <c r="AH615" i="8"/>
  <c r="AA564" i="8"/>
  <c r="J512" i="8"/>
  <c r="AT612" i="8"/>
  <c r="AT536" i="8"/>
  <c r="W487" i="8"/>
  <c r="Z513" i="8"/>
  <c r="BC508" i="8"/>
  <c r="AM568" i="8"/>
  <c r="F576" i="8"/>
  <c r="P491" i="8"/>
  <c r="AF614" i="8"/>
  <c r="AD650" i="8"/>
  <c r="AS491" i="8"/>
  <c r="AL600" i="8"/>
  <c r="AF627" i="8"/>
  <c r="V607" i="8"/>
  <c r="R635" i="8"/>
  <c r="AL614" i="8"/>
  <c r="R562" i="8"/>
  <c r="Y519" i="8"/>
  <c r="AE576" i="8"/>
  <c r="AN530" i="8"/>
  <c r="AJ512" i="8"/>
  <c r="AU563" i="8"/>
  <c r="AO523" i="8"/>
  <c r="M536" i="8"/>
  <c r="Y505" i="8"/>
  <c r="AW505" i="8"/>
  <c r="AH482" i="8"/>
  <c r="AW535" i="8"/>
  <c r="R550" i="8"/>
  <c r="F626" i="8"/>
  <c r="U545" i="8"/>
  <c r="AY513" i="8"/>
  <c r="Q506" i="8"/>
  <c r="AY480" i="8"/>
  <c r="I506" i="8"/>
  <c r="AJ508" i="8"/>
  <c r="K490" i="8"/>
  <c r="AI626" i="8"/>
  <c r="V537" i="8"/>
  <c r="AI571" i="8"/>
  <c r="N515" i="8"/>
  <c r="AJ509" i="8"/>
  <c r="AD482" i="8"/>
  <c r="BB506" i="8"/>
  <c r="S490" i="8"/>
  <c r="AH619" i="8"/>
  <c r="X523" i="8"/>
  <c r="I545" i="8"/>
  <c r="S487" i="8"/>
  <c r="Z520" i="8"/>
  <c r="AQ505" i="8"/>
  <c r="O480" i="8"/>
  <c r="H490" i="8"/>
  <c r="AE608" i="8"/>
  <c r="AI643" i="8"/>
  <c r="AI536" i="8"/>
  <c r="M509" i="8"/>
  <c r="AE487" i="8"/>
  <c r="G490" i="8"/>
  <c r="AZ505" i="8"/>
  <c r="M506" i="8"/>
  <c r="AP647" i="8"/>
  <c r="H506" i="8"/>
  <c r="AR573" i="8"/>
  <c r="AL506" i="8"/>
  <c r="V647" i="8"/>
  <c r="AK480" i="8"/>
  <c r="S520" i="8"/>
  <c r="BA511" i="8"/>
  <c r="R480" i="8"/>
  <c r="W490" i="8"/>
  <c r="R490" i="8"/>
  <c r="AV490" i="8"/>
  <c r="O643" i="8"/>
  <c r="AS564" i="8"/>
  <c r="Q615" i="8"/>
  <c r="F658" i="8"/>
  <c r="AI526" i="8"/>
  <c r="X618" i="8"/>
  <c r="X546" i="8"/>
  <c r="X596" i="8"/>
  <c r="AZ530" i="8"/>
  <c r="S615" i="8"/>
  <c r="AC564" i="8"/>
  <c r="AS661" i="8"/>
  <c r="BA526" i="8"/>
  <c r="J536" i="8"/>
  <c r="AX568" i="8"/>
  <c r="AD513" i="8"/>
  <c r="AN508" i="8"/>
  <c r="BC523" i="8"/>
  <c r="N576" i="8"/>
  <c r="G587" i="8"/>
  <c r="AE587" i="8"/>
  <c r="BB650" i="8"/>
  <c r="V502" i="8"/>
  <c r="U600" i="8"/>
  <c r="BC627" i="8"/>
  <c r="S607" i="8"/>
  <c r="AL635" i="8"/>
  <c r="Z614" i="8"/>
  <c r="H562" i="8"/>
  <c r="AN677" i="8"/>
  <c r="AI576" i="8"/>
  <c r="O578" i="8"/>
  <c r="AT512" i="8"/>
  <c r="AR490" i="8"/>
  <c r="AA481" i="8"/>
  <c r="Y550" i="8"/>
  <c r="AF537" i="8"/>
  <c r="AB480" i="8"/>
  <c r="AB520" i="8"/>
  <c r="O482" i="8"/>
  <c r="BC480" i="8"/>
  <c r="Z482" i="8"/>
  <c r="Q482" i="8"/>
  <c r="Y496" i="8"/>
  <c r="AE643" i="8"/>
  <c r="N520" i="8"/>
  <c r="O490" i="8"/>
  <c r="L511" i="8"/>
  <c r="AB506" i="8"/>
  <c r="AO506" i="8"/>
  <c r="AI647" i="8"/>
  <c r="AL515" i="8"/>
  <c r="AT511" i="8"/>
  <c r="AE647" i="8"/>
  <c r="T490" i="8"/>
  <c r="AN490" i="8"/>
  <c r="AH582" i="8"/>
  <c r="G545" i="8"/>
  <c r="AG515" i="8"/>
  <c r="AJ496" i="8"/>
  <c r="AA573" i="8"/>
  <c r="X480" i="8"/>
  <c r="AE506" i="8"/>
  <c r="T630" i="8"/>
  <c r="V496" i="8"/>
  <c r="O545" i="8"/>
  <c r="F506" i="8"/>
  <c r="S546" i="8"/>
  <c r="J618" i="8"/>
  <c r="AW526" i="8"/>
  <c r="AJ675" i="8"/>
  <c r="L658" i="8"/>
  <c r="AY564" i="8"/>
  <c r="U658" i="8"/>
  <c r="AP618" i="8"/>
  <c r="AC642" i="8"/>
  <c r="BC546" i="8"/>
  <c r="AL596" i="8"/>
  <c r="L574" i="8"/>
  <c r="K530" i="8"/>
  <c r="K615" i="8"/>
  <c r="I623" i="8"/>
  <c r="AB564" i="8"/>
  <c r="AK631" i="8"/>
  <c r="AC512" i="8"/>
  <c r="S675" i="8"/>
  <c r="AX642" i="8"/>
  <c r="AG626" i="8"/>
  <c r="AW571" i="8"/>
  <c r="R606" i="8"/>
  <c r="AA496" i="8"/>
  <c r="AC526" i="8"/>
  <c r="F526" i="8"/>
  <c r="Z546" i="8"/>
  <c r="J610" i="8"/>
  <c r="AH627" i="8"/>
  <c r="AT491" i="8"/>
  <c r="J587" i="8"/>
  <c r="AV645" i="8"/>
  <c r="AV650" i="8"/>
  <c r="O650" i="8"/>
  <c r="AL518" i="8"/>
  <c r="AT600" i="8"/>
  <c r="AN519" i="8"/>
  <c r="AZ627" i="8"/>
  <c r="K585" i="8"/>
  <c r="U607" i="8"/>
  <c r="W670" i="8"/>
  <c r="AC653" i="8"/>
  <c r="AS614" i="8"/>
  <c r="AO501" i="8"/>
  <c r="AQ479" i="8"/>
  <c r="AO519" i="8"/>
  <c r="R610" i="8"/>
  <c r="AD518" i="8"/>
  <c r="J530" i="8"/>
  <c r="W642" i="8"/>
  <c r="AY485" i="8"/>
  <c r="AY487" i="8"/>
  <c r="I483" i="8"/>
  <c r="BA583" i="8"/>
  <c r="AY537" i="8"/>
  <c r="AP552" i="8"/>
  <c r="AE520" i="8"/>
  <c r="L505" i="8"/>
  <c r="AI490" i="8"/>
  <c r="U482" i="8"/>
  <c r="H513" i="8"/>
  <c r="AS490" i="8"/>
  <c r="AT647" i="8"/>
  <c r="O506" i="8"/>
  <c r="AI480" i="8"/>
  <c r="AW480" i="8"/>
  <c r="I496" i="8"/>
  <c r="BA496" i="8"/>
  <c r="BA537" i="8"/>
  <c r="P515" i="8"/>
  <c r="N490" i="8"/>
  <c r="AY582" i="8"/>
  <c r="AX496" i="8"/>
  <c r="AP520" i="8"/>
  <c r="AV537" i="8"/>
  <c r="L643" i="8"/>
  <c r="AA480" i="8"/>
  <c r="F496" i="8"/>
  <c r="AC652" i="8"/>
  <c r="M643" i="8"/>
  <c r="F490" i="8"/>
  <c r="P537" i="8"/>
  <c r="AY525" i="8"/>
  <c r="AR511" i="8"/>
  <c r="AY488" i="8"/>
  <c r="AA546" i="8"/>
  <c r="AA596" i="8"/>
  <c r="G615" i="8"/>
  <c r="AG661" i="8"/>
  <c r="AW661" i="8"/>
  <c r="AB526" i="8"/>
  <c r="O658" i="8"/>
  <c r="AS618" i="8"/>
  <c r="AE546" i="8"/>
  <c r="H546" i="8"/>
  <c r="AD596" i="8"/>
  <c r="AN574" i="8"/>
  <c r="AY530" i="8"/>
  <c r="AF615" i="8"/>
  <c r="AR675" i="8"/>
  <c r="L564" i="8"/>
  <c r="Q631" i="8"/>
  <c r="N526" i="8"/>
  <c r="AL623" i="8"/>
  <c r="BC648" i="8"/>
  <c r="AJ550" i="8"/>
  <c r="T547" i="8"/>
  <c r="I606" i="8"/>
  <c r="AW530" i="8"/>
  <c r="AY546" i="8"/>
  <c r="I636" i="8"/>
  <c r="S563" i="8"/>
  <c r="L635" i="8"/>
  <c r="Y518" i="8"/>
  <c r="S587" i="8"/>
  <c r="AT587" i="8"/>
  <c r="BB519" i="8"/>
  <c r="BA650" i="8"/>
  <c r="F502" i="8"/>
  <c r="AV479" i="8"/>
  <c r="AG600" i="8"/>
  <c r="Y479" i="8"/>
  <c r="AQ627" i="8"/>
  <c r="AR585" i="8"/>
  <c r="J607" i="8"/>
  <c r="AX670" i="8"/>
  <c r="Y653" i="8"/>
  <c r="W614" i="8"/>
  <c r="T501" i="8"/>
  <c r="AD479" i="8"/>
  <c r="AR519" i="8"/>
  <c r="AI678" i="8"/>
  <c r="BC518" i="8"/>
  <c r="AB530" i="8"/>
  <c r="V574" i="8"/>
  <c r="S572" i="8"/>
  <c r="L490" i="8"/>
  <c r="N558" i="8"/>
  <c r="AE571" i="8"/>
  <c r="Y533" i="8"/>
  <c r="AJ520" i="8"/>
  <c r="U511" i="8"/>
  <c r="I490" i="8"/>
  <c r="BA480" i="8"/>
  <c r="AV513" i="8"/>
  <c r="W506" i="8"/>
  <c r="BC487" i="8"/>
  <c r="S537" i="8"/>
  <c r="F511" i="8"/>
  <c r="BB490" i="8"/>
  <c r="Z511" i="8"/>
  <c r="AM480" i="8"/>
  <c r="AK490" i="8"/>
  <c r="N545" i="8"/>
  <c r="AF490" i="8"/>
  <c r="AM486" i="8"/>
  <c r="AS537" i="8"/>
  <c r="AY506" i="8"/>
  <c r="N511" i="8"/>
  <c r="L545" i="8"/>
  <c r="AM520" i="8"/>
  <c r="H515" i="8"/>
  <c r="AV496" i="8"/>
  <c r="AV480" i="8"/>
  <c r="L520" i="8"/>
  <c r="AJ537" i="8"/>
  <c r="AH545" i="8"/>
  <c r="AT545" i="8"/>
  <c r="AA490" i="8"/>
  <c r="G530" i="8"/>
  <c r="AZ546" i="8"/>
  <c r="AC596" i="8"/>
  <c r="Z596" i="8"/>
  <c r="AC675" i="8"/>
  <c r="K618" i="8"/>
  <c r="Q526" i="8"/>
  <c r="BB658" i="8"/>
  <c r="AW618" i="8"/>
  <c r="W546" i="8"/>
  <c r="AF596" i="8"/>
  <c r="U574" i="8"/>
  <c r="AT574" i="8"/>
  <c r="AI615" i="8"/>
  <c r="P615" i="8"/>
  <c r="R564" i="8"/>
  <c r="AB612" i="8"/>
  <c r="I512" i="8"/>
  <c r="AS530" i="8"/>
  <c r="AM675" i="8"/>
  <c r="AS648" i="8"/>
  <c r="AM550" i="8"/>
  <c r="AX547" i="8"/>
  <c r="Z551" i="8"/>
  <c r="AD530" i="8"/>
  <c r="Y606" i="8"/>
  <c r="V536" i="8"/>
  <c r="AH505" i="8"/>
  <c r="AI650" i="8"/>
  <c r="AY501" i="8"/>
  <c r="BC587" i="8"/>
  <c r="AR587" i="8"/>
  <c r="BC565" i="8"/>
  <c r="AX650" i="8"/>
  <c r="AA585" i="8"/>
  <c r="H479" i="8"/>
  <c r="Y600" i="8"/>
  <c r="AD519" i="8"/>
  <c r="J627" i="8"/>
  <c r="AJ585" i="8"/>
  <c r="AZ670" i="8"/>
  <c r="O670" i="8"/>
  <c r="AT653" i="8"/>
  <c r="BA614" i="8"/>
  <c r="N501" i="8"/>
  <c r="AC645" i="8"/>
  <c r="O502" i="8"/>
  <c r="AR678" i="8"/>
  <c r="AC495" i="8"/>
  <c r="AB618" i="8"/>
  <c r="AP675" i="8"/>
  <c r="AW671" i="8"/>
  <c r="BA490" i="8"/>
  <c r="AQ490" i="8"/>
  <c r="Q530" i="8"/>
  <c r="AX530" i="8"/>
  <c r="F564" i="8"/>
  <c r="Q596" i="8"/>
  <c r="BB618" i="8"/>
  <c r="AY642" i="8"/>
  <c r="AE661" i="8"/>
  <c r="AK642" i="8"/>
  <c r="O618" i="8"/>
  <c r="AV631" i="8"/>
  <c r="M526" i="8"/>
  <c r="AT526" i="8"/>
  <c r="AL658" i="8"/>
  <c r="AG618" i="8"/>
  <c r="K642" i="8"/>
  <c r="AC546" i="8"/>
  <c r="AX546" i="8"/>
  <c r="R596" i="8"/>
  <c r="AF574" i="8"/>
  <c r="AX574" i="8"/>
  <c r="AH530" i="8"/>
  <c r="AT530" i="8"/>
  <c r="W615" i="8"/>
  <c r="AU615" i="8"/>
  <c r="AU543" i="8"/>
  <c r="AL564" i="8"/>
  <c r="G612" i="8"/>
  <c r="R631" i="8"/>
  <c r="L661" i="8"/>
  <c r="G546" i="8"/>
  <c r="X612" i="8"/>
  <c r="AF623" i="8"/>
  <c r="AI675" i="8"/>
  <c r="L482" i="8"/>
  <c r="AR533" i="8"/>
  <c r="Y487" i="8"/>
  <c r="V568" i="8"/>
  <c r="Z552" i="8"/>
  <c r="V499" i="8"/>
  <c r="AY526" i="8"/>
  <c r="AG526" i="8"/>
  <c r="AM509" i="8"/>
  <c r="AH523" i="8"/>
  <c r="AM487" i="8"/>
  <c r="Z606" i="8"/>
  <c r="H645" i="8"/>
  <c r="AX519" i="8"/>
  <c r="N495" i="8"/>
  <c r="AV587" i="8"/>
  <c r="AA587" i="8"/>
  <c r="AN587" i="8"/>
  <c r="Y614" i="8"/>
  <c r="AD501" i="8"/>
  <c r="AT650" i="8"/>
  <c r="BC650" i="8"/>
  <c r="BB670" i="8"/>
  <c r="K495" i="8"/>
  <c r="AD600" i="8"/>
  <c r="AJ600" i="8"/>
  <c r="R650" i="8"/>
  <c r="AK495" i="8"/>
  <c r="BB627" i="8"/>
  <c r="AP585" i="8"/>
  <c r="AV585" i="8"/>
  <c r="M607" i="8"/>
  <c r="AW670" i="8"/>
  <c r="AS635" i="8"/>
  <c r="AW635" i="8"/>
  <c r="O653" i="8"/>
  <c r="U614" i="8"/>
  <c r="M617" i="8"/>
  <c r="BA501" i="8"/>
  <c r="AJ479" i="8"/>
  <c r="W645" i="8"/>
  <c r="X502" i="8"/>
  <c r="F610" i="8"/>
  <c r="AD565" i="8"/>
  <c r="AX518" i="8"/>
  <c r="AL491" i="8"/>
  <c r="T574" i="8"/>
  <c r="AS596" i="8"/>
  <c r="U661" i="8"/>
  <c r="AP671" i="8"/>
  <c r="AK505" i="8"/>
  <c r="J490" i="8"/>
  <c r="BA530" i="8"/>
  <c r="AR546" i="8"/>
  <c r="AI596" i="8"/>
  <c r="AO618" i="8"/>
  <c r="AU612" i="8"/>
  <c r="AM618" i="8"/>
  <c r="S661" i="8"/>
  <c r="L631" i="8"/>
  <c r="AR661" i="8"/>
  <c r="Q661" i="8"/>
  <c r="AH526" i="8"/>
  <c r="Y526" i="8"/>
  <c r="L618" i="8"/>
  <c r="U618" i="8"/>
  <c r="AF642" i="8"/>
  <c r="AO546" i="8"/>
  <c r="AU546" i="8"/>
  <c r="AB596" i="8"/>
  <c r="AI574" i="8"/>
  <c r="Z574" i="8"/>
  <c r="Y530" i="8"/>
  <c r="F530" i="8"/>
  <c r="AC615" i="8"/>
  <c r="R623" i="8"/>
  <c r="AQ543" i="8"/>
  <c r="N564" i="8"/>
  <c r="W612" i="8"/>
  <c r="M631" i="8"/>
  <c r="AL661" i="8"/>
  <c r="AF564" i="8"/>
  <c r="AM574" i="8"/>
  <c r="Z642" i="8"/>
  <c r="AZ658" i="8"/>
  <c r="AM482" i="8"/>
  <c r="AV533" i="8"/>
  <c r="AK487" i="8"/>
  <c r="K509" i="8"/>
  <c r="R552" i="8"/>
  <c r="Q582" i="8"/>
  <c r="L546" i="8"/>
  <c r="H512" i="8"/>
  <c r="AE530" i="8"/>
  <c r="O487" i="8"/>
  <c r="AN523" i="8"/>
  <c r="M533" i="8"/>
  <c r="L677" i="8"/>
  <c r="G627" i="8"/>
  <c r="P519" i="8"/>
  <c r="AU587" i="8"/>
  <c r="V587" i="8"/>
  <c r="AL587" i="8"/>
  <c r="AH576" i="8"/>
  <c r="Y491" i="8"/>
  <c r="I650" i="8"/>
  <c r="AH650" i="8"/>
  <c r="AY576" i="8"/>
  <c r="BA519" i="8"/>
  <c r="AU600" i="8"/>
  <c r="BB600" i="8"/>
  <c r="V576" i="8"/>
  <c r="AI491" i="8"/>
  <c r="N627" i="8"/>
  <c r="AQ585" i="8"/>
  <c r="AS585" i="8"/>
  <c r="AD607" i="8"/>
  <c r="V670" i="8"/>
  <c r="F635" i="8"/>
  <c r="AO635" i="8"/>
  <c r="AX653" i="8"/>
  <c r="BB614" i="8"/>
  <c r="BA617" i="8"/>
  <c r="BC562" i="8"/>
  <c r="U479" i="8"/>
  <c r="AO645" i="8"/>
  <c r="U502" i="8"/>
  <c r="AN610" i="8"/>
  <c r="AJ565" i="8"/>
  <c r="X518" i="8"/>
  <c r="AT565" i="8"/>
  <c r="V618" i="8"/>
  <c r="AJ574" i="8"/>
  <c r="AI612" i="8"/>
  <c r="L530" i="8"/>
  <c r="R652" i="8"/>
  <c r="AQ619" i="8"/>
  <c r="G526" i="8"/>
  <c r="T546" i="8"/>
  <c r="AE564" i="8"/>
  <c r="AH612" i="8"/>
  <c r="AN612" i="8"/>
  <c r="AQ658" i="8"/>
  <c r="AP485" i="8"/>
  <c r="AE612" i="8"/>
  <c r="AJ642" i="8"/>
  <c r="BA675" i="8"/>
  <c r="I526" i="8"/>
  <c r="P658" i="8"/>
  <c r="AI618" i="8"/>
  <c r="N618" i="8"/>
  <c r="V642" i="8"/>
  <c r="AM546" i="8"/>
  <c r="N546" i="8"/>
  <c r="AX596" i="8"/>
  <c r="BB574" i="8"/>
  <c r="P574" i="8"/>
  <c r="W530" i="8"/>
  <c r="V530" i="8"/>
  <c r="AT615" i="8"/>
  <c r="X623" i="8"/>
  <c r="AQ675" i="8"/>
  <c r="J564" i="8"/>
  <c r="S612" i="8"/>
  <c r="AO631" i="8"/>
  <c r="AC661" i="8"/>
  <c r="O530" i="8"/>
  <c r="L526" i="8"/>
  <c r="AD485" i="8"/>
  <c r="BC623" i="8"/>
  <c r="S482" i="8"/>
  <c r="J508" i="8"/>
  <c r="Y571" i="8"/>
  <c r="AN509" i="8"/>
  <c r="P551" i="8"/>
  <c r="AL582" i="8"/>
  <c r="AO530" i="8"/>
  <c r="AP530" i="8"/>
  <c r="J546" i="8"/>
  <c r="AU482" i="8"/>
  <c r="AO547" i="8"/>
  <c r="BC530" i="8"/>
  <c r="N587" i="8"/>
  <c r="K677" i="8"/>
  <c r="AG502" i="8"/>
  <c r="H587" i="8"/>
  <c r="AM587" i="8"/>
  <c r="AD587" i="8"/>
  <c r="K576" i="8"/>
  <c r="Z518" i="8"/>
  <c r="AO650" i="8"/>
  <c r="V650" i="8"/>
  <c r="AS576" i="8"/>
  <c r="BC495" i="8"/>
  <c r="AF600" i="8"/>
  <c r="T600" i="8"/>
  <c r="S677" i="8"/>
  <c r="AE491" i="8"/>
  <c r="I627" i="8"/>
  <c r="AL585" i="8"/>
  <c r="AO585" i="8"/>
  <c r="AS607" i="8"/>
  <c r="AB670" i="8"/>
  <c r="AE635" i="8"/>
  <c r="K635" i="8"/>
  <c r="X653" i="8"/>
  <c r="AN614" i="8"/>
  <c r="AN617" i="8"/>
  <c r="BB562" i="8"/>
  <c r="AH479" i="8"/>
  <c r="AG519" i="8"/>
  <c r="Z677" i="8"/>
  <c r="G610" i="8"/>
  <c r="Q576" i="8"/>
  <c r="AQ495" i="8"/>
  <c r="Z576" i="8"/>
  <c r="AL572" i="8"/>
  <c r="I574" i="8"/>
  <c r="V543" i="8"/>
  <c r="AO577" i="8"/>
  <c r="H526" i="8"/>
  <c r="AK618" i="8"/>
  <c r="AU661" i="8"/>
  <c r="AI642" i="8"/>
  <c r="AA675" i="8"/>
  <c r="AH536" i="8"/>
  <c r="Z636" i="8"/>
  <c r="L508" i="8"/>
  <c r="Q487" i="8"/>
  <c r="L571" i="8"/>
  <c r="Y509" i="8"/>
  <c r="AY505" i="8"/>
  <c r="AA551" i="8"/>
  <c r="M513" i="8"/>
  <c r="AS511" i="8"/>
  <c r="R546" i="8"/>
  <c r="AP509" i="8"/>
  <c r="AD564" i="8"/>
  <c r="Q505" i="8"/>
  <c r="T564" i="8"/>
  <c r="AE526" i="8"/>
  <c r="X547" i="8"/>
  <c r="BC509" i="8"/>
  <c r="BA482" i="8"/>
  <c r="AW614" i="8"/>
  <c r="T617" i="8"/>
  <c r="J677" i="8"/>
  <c r="AE479" i="8"/>
  <c r="W491" i="8"/>
  <c r="AX587" i="8"/>
  <c r="AQ587" i="8"/>
  <c r="I587" i="8"/>
  <c r="R587" i="8"/>
  <c r="Q587" i="8"/>
  <c r="AP650" i="8"/>
  <c r="M627" i="8"/>
  <c r="Y495" i="8"/>
  <c r="AK650" i="8"/>
  <c r="Q650" i="8"/>
  <c r="S650" i="8"/>
  <c r="I617" i="8"/>
  <c r="AH645" i="8"/>
  <c r="L479" i="8"/>
  <c r="R495" i="8"/>
  <c r="W600" i="8"/>
  <c r="AX600" i="8"/>
  <c r="V600" i="8"/>
  <c r="AN576" i="8"/>
  <c r="AQ518" i="8"/>
  <c r="AX627" i="8"/>
  <c r="AU627" i="8"/>
  <c r="AL627" i="8"/>
  <c r="AB585" i="8"/>
  <c r="AF585" i="8"/>
  <c r="AR607" i="8"/>
  <c r="I607" i="8"/>
  <c r="AE670" i="8"/>
  <c r="N670" i="8"/>
  <c r="X635" i="8"/>
  <c r="BA635" i="8"/>
  <c r="AA653" i="8"/>
  <c r="G653" i="8"/>
  <c r="AD614" i="8"/>
  <c r="AX614" i="8"/>
  <c r="AZ617" i="8"/>
  <c r="P617" i="8"/>
  <c r="AK501" i="8"/>
  <c r="X562" i="8"/>
  <c r="W479" i="8"/>
  <c r="L645" i="8"/>
  <c r="R519" i="8"/>
  <c r="Y502" i="8"/>
  <c r="O610" i="8"/>
  <c r="H678" i="8"/>
  <c r="L565" i="8"/>
  <c r="W576" i="8"/>
  <c r="AW495" i="8"/>
  <c r="S479" i="8"/>
  <c r="AE615" i="8"/>
  <c r="AD561" i="8"/>
  <c r="AB628" i="8"/>
  <c r="F629" i="8"/>
  <c r="AN479" i="8"/>
  <c r="AM543" i="8"/>
  <c r="S592" i="8"/>
  <c r="AT596" i="8"/>
  <c r="X642" i="8"/>
  <c r="AR666" i="8"/>
  <c r="P623" i="8"/>
  <c r="AF631" i="8"/>
  <c r="AH559" i="8"/>
  <c r="Q636" i="8"/>
  <c r="AW508" i="8"/>
  <c r="AW487" i="8"/>
  <c r="AB523" i="8"/>
  <c r="AL509" i="8"/>
  <c r="F505" i="8"/>
  <c r="AG551" i="8"/>
  <c r="AR513" i="8"/>
  <c r="R511" i="8"/>
  <c r="V546" i="8"/>
  <c r="T509" i="8"/>
  <c r="V564" i="8"/>
  <c r="W482" i="8"/>
  <c r="AS488" i="8"/>
  <c r="R512" i="8"/>
  <c r="AJ536" i="8"/>
  <c r="S571" i="8"/>
  <c r="V482" i="8"/>
  <c r="AN607" i="8"/>
  <c r="AK600" i="8"/>
  <c r="P653" i="8"/>
  <c r="N502" i="8"/>
  <c r="AK491" i="8"/>
  <c r="AS587" i="8"/>
  <c r="AI587" i="8"/>
  <c r="O587" i="8"/>
  <c r="AW587" i="8"/>
  <c r="L587" i="8"/>
  <c r="AA670" i="8"/>
  <c r="AH677" i="8"/>
  <c r="O491" i="8"/>
  <c r="AG650" i="8"/>
  <c r="G650" i="8"/>
  <c r="AU650" i="8"/>
  <c r="AH600" i="8"/>
  <c r="F519" i="8"/>
  <c r="AM495" i="8"/>
  <c r="J600" i="8"/>
  <c r="AV600" i="8"/>
  <c r="AP600" i="8"/>
  <c r="H600" i="8"/>
  <c r="J645" i="8"/>
  <c r="I501" i="8"/>
  <c r="R627" i="8"/>
  <c r="T627" i="8"/>
  <c r="AA627" i="8"/>
  <c r="AT585" i="8"/>
  <c r="J585" i="8"/>
  <c r="AU607" i="8"/>
  <c r="AP607" i="8"/>
  <c r="I670" i="8"/>
  <c r="AC670" i="8"/>
  <c r="AG635" i="8"/>
  <c r="M635" i="8"/>
  <c r="R653" i="8"/>
  <c r="AN653" i="8"/>
  <c r="P614" i="8"/>
  <c r="AI614" i="8"/>
  <c r="AJ617" i="8"/>
  <c r="R617" i="8"/>
  <c r="M501" i="8"/>
  <c r="F562" i="8"/>
  <c r="AP479" i="8"/>
  <c r="AA645" i="8"/>
  <c r="O519" i="8"/>
  <c r="AF502" i="8"/>
  <c r="P610" i="8"/>
  <c r="AT678" i="8"/>
  <c r="AV565" i="8"/>
  <c r="AA576" i="8"/>
  <c r="M495" i="8"/>
  <c r="AP501" i="8"/>
  <c r="AI530" i="8"/>
  <c r="S540" i="8"/>
  <c r="AT618" i="8"/>
  <c r="AH629" i="8"/>
  <c r="AK512" i="8"/>
  <c r="I556" i="8"/>
  <c r="AI672" i="8"/>
  <c r="AB615" i="8"/>
  <c r="K623" i="8"/>
  <c r="M642" i="8"/>
  <c r="I675" i="8"/>
  <c r="L642" i="8"/>
  <c r="AX559" i="8"/>
  <c r="AJ626" i="8"/>
  <c r="T508" i="8"/>
  <c r="AH487" i="8"/>
  <c r="AA523" i="8"/>
  <c r="U509" i="8"/>
  <c r="H606" i="8"/>
  <c r="M551" i="8"/>
  <c r="AO499" i="8"/>
  <c r="M511" i="8"/>
  <c r="AQ546" i="8"/>
  <c r="P513" i="8"/>
  <c r="AH574" i="8"/>
  <c r="AA530" i="8"/>
  <c r="G564" i="8"/>
  <c r="AM526" i="8"/>
  <c r="AD505" i="8"/>
  <c r="P533" i="8"/>
  <c r="AF508" i="8"/>
  <c r="Q607" i="8"/>
  <c r="BB565" i="8"/>
  <c r="AG627" i="8"/>
  <c r="V491" i="8"/>
  <c r="V518" i="8"/>
  <c r="AH587" i="8"/>
  <c r="AP587" i="8"/>
  <c r="AY587" i="8"/>
  <c r="M587" i="8"/>
  <c r="BB587" i="8"/>
  <c r="AJ678" i="8"/>
  <c r="AC627" i="8"/>
  <c r="Z650" i="8"/>
  <c r="H650" i="8"/>
  <c r="K650" i="8"/>
  <c r="AQ650" i="8"/>
  <c r="AU678" i="8"/>
  <c r="F627" i="8"/>
  <c r="L502" i="8"/>
  <c r="AY600" i="8"/>
  <c r="G600" i="8"/>
  <c r="R600" i="8"/>
  <c r="AE600" i="8"/>
  <c r="AN645" i="8"/>
  <c r="AL501" i="8"/>
  <c r="U627" i="8"/>
  <c r="W627" i="8"/>
  <c r="S627" i="8"/>
  <c r="BC585" i="8"/>
  <c r="T585" i="8"/>
  <c r="AT607" i="8"/>
  <c r="T607" i="8"/>
  <c r="P670" i="8"/>
  <c r="F670" i="8"/>
  <c r="AP635" i="8"/>
  <c r="BC635" i="8"/>
  <c r="N653" i="8"/>
  <c r="AU653" i="8"/>
  <c r="AB614" i="8"/>
  <c r="AK614" i="8"/>
  <c r="AA617" i="8"/>
  <c r="J617" i="8"/>
  <c r="AZ562" i="8"/>
  <c r="AU562" i="8"/>
  <c r="AX479" i="8"/>
  <c r="AT645" i="8"/>
  <c r="L519" i="8"/>
  <c r="AS677" i="8"/>
  <c r="Y610" i="8"/>
  <c r="AO678" i="8"/>
  <c r="G565" i="8"/>
  <c r="U518" i="8"/>
  <c r="Z495" i="8"/>
  <c r="AU501" i="8"/>
  <c r="K526" i="8"/>
  <c r="M556" i="8"/>
  <c r="AZ618" i="8"/>
  <c r="AL675" i="8"/>
  <c r="AV526" i="8"/>
  <c r="M572" i="8"/>
  <c r="AX629" i="8"/>
  <c r="AG587" i="8"/>
  <c r="W587" i="8"/>
  <c r="Y587" i="8"/>
  <c r="AC650" i="8"/>
  <c r="P678" i="8"/>
  <c r="AQ677" i="8"/>
  <c r="AN501" i="8"/>
  <c r="P495" i="8"/>
  <c r="AL650" i="8"/>
  <c r="J650" i="8"/>
  <c r="AN650" i="8"/>
  <c r="AE650" i="8"/>
  <c r="AM650" i="8"/>
  <c r="AI607" i="8"/>
  <c r="AB610" i="8"/>
  <c r="AN627" i="8"/>
  <c r="AX501" i="8"/>
  <c r="AD502" i="8"/>
  <c r="X479" i="8"/>
  <c r="F600" i="8"/>
  <c r="P600" i="8"/>
  <c r="O600" i="8"/>
  <c r="L600" i="8"/>
  <c r="BA600" i="8"/>
  <c r="V617" i="8"/>
  <c r="AG653" i="8"/>
  <c r="AZ502" i="8"/>
  <c r="AM518" i="8"/>
  <c r="Y627" i="8"/>
  <c r="V627" i="8"/>
  <c r="AM627" i="8"/>
  <c r="Z627" i="8"/>
  <c r="AH585" i="8"/>
  <c r="AX585" i="8"/>
  <c r="X585" i="8"/>
  <c r="BC607" i="8"/>
  <c r="AY607" i="8"/>
  <c r="F607" i="8"/>
  <c r="AB607" i="8"/>
  <c r="AO670" i="8"/>
  <c r="R670" i="8"/>
  <c r="BC670" i="8"/>
  <c r="AU635" i="8"/>
  <c r="AQ635" i="8"/>
  <c r="AT635" i="8"/>
  <c r="AI635" i="8"/>
  <c r="AH653" i="8"/>
  <c r="AJ653" i="8"/>
  <c r="K653" i="8"/>
  <c r="T614" i="8"/>
  <c r="Q614" i="8"/>
  <c r="O614" i="8"/>
  <c r="AP617" i="8"/>
  <c r="AL617" i="8"/>
  <c r="AM501" i="8"/>
  <c r="BB501" i="8"/>
  <c r="AR562" i="8"/>
  <c r="AW562" i="8"/>
  <c r="BA479" i="8"/>
  <c r="O645" i="8"/>
  <c r="R645" i="8"/>
  <c r="AK519" i="8"/>
  <c r="AT502" i="8"/>
  <c r="AQ502" i="8"/>
  <c r="F677" i="8"/>
  <c r="AW610" i="8"/>
  <c r="AD678" i="8"/>
  <c r="J678" i="8"/>
  <c r="AL565" i="8"/>
  <c r="G576" i="8"/>
  <c r="AI518" i="8"/>
  <c r="AJ495" i="8"/>
  <c r="Q495" i="8"/>
  <c r="G491" i="8"/>
  <c r="AJ596" i="8"/>
  <c r="H574" i="8"/>
  <c r="L610" i="8"/>
  <c r="BA628" i="8"/>
  <c r="G596" i="8"/>
  <c r="AC623" i="8"/>
  <c r="AC604" i="8"/>
  <c r="AL497" i="8"/>
  <c r="N512" i="8"/>
  <c r="Z561" i="8"/>
  <c r="AD543" i="8"/>
  <c r="K587" i="8"/>
  <c r="AK587" i="8"/>
  <c r="U587" i="8"/>
  <c r="P635" i="8"/>
  <c r="AI627" i="8"/>
  <c r="AM653" i="8"/>
  <c r="AB502" i="8"/>
  <c r="AO491" i="8"/>
  <c r="AZ650" i="8"/>
  <c r="X650" i="8"/>
  <c r="AW650" i="8"/>
  <c r="P650" i="8"/>
  <c r="T650" i="8"/>
  <c r="AK617" i="8"/>
  <c r="AH617" i="8"/>
  <c r="AX677" i="8"/>
  <c r="AU502" i="8"/>
  <c r="L491" i="8"/>
  <c r="N600" i="8"/>
  <c r="AN600" i="8"/>
  <c r="AO600" i="8"/>
  <c r="AQ600" i="8"/>
  <c r="AR600" i="8"/>
  <c r="AW600" i="8"/>
  <c r="N565" i="8"/>
  <c r="AR653" i="8"/>
  <c r="AE518" i="8"/>
  <c r="AM502" i="8"/>
  <c r="AY627" i="8"/>
  <c r="AT627" i="8"/>
  <c r="P627" i="8"/>
  <c r="AW627" i="8"/>
  <c r="L585" i="8"/>
  <c r="Z585" i="8"/>
  <c r="P585" i="8"/>
  <c r="AV607" i="8"/>
  <c r="Y607" i="8"/>
  <c r="AL607" i="8"/>
  <c r="AJ607" i="8"/>
  <c r="BA670" i="8"/>
  <c r="Y670" i="8"/>
  <c r="S670" i="8"/>
  <c r="AJ635" i="8"/>
  <c r="AV635" i="8"/>
  <c r="AR635" i="8"/>
  <c r="Q635" i="8"/>
  <c r="BA653" i="8"/>
  <c r="AW653" i="8"/>
  <c r="AC614" i="8"/>
  <c r="F614" i="8"/>
  <c r="AH614" i="8"/>
  <c r="M614" i="8"/>
  <c r="G617" i="8"/>
  <c r="Z617" i="8"/>
  <c r="X501" i="8"/>
  <c r="V562" i="8"/>
  <c r="W562" i="8"/>
  <c r="AF479" i="8"/>
  <c r="Z479" i="8"/>
  <c r="AI645" i="8"/>
  <c r="Q645" i="8"/>
  <c r="AQ519" i="8"/>
  <c r="AP502" i="8"/>
  <c r="AL502" i="8"/>
  <c r="AB677" i="8"/>
  <c r="U610" i="8"/>
  <c r="BB678" i="8"/>
  <c r="W678" i="8"/>
  <c r="T565" i="8"/>
  <c r="AJ576" i="8"/>
  <c r="AB518" i="8"/>
  <c r="AI495" i="8"/>
  <c r="X614" i="8"/>
  <c r="AW678" i="8"/>
  <c r="S642" i="8"/>
  <c r="Y574" i="8"/>
  <c r="Y562" i="8"/>
  <c r="P628" i="8"/>
  <c r="X580" i="8"/>
  <c r="U623" i="8"/>
  <c r="BC631" i="8"/>
  <c r="Q497" i="8"/>
  <c r="H577" i="8"/>
  <c r="AX592" i="8"/>
  <c r="M512" i="8"/>
  <c r="AF587" i="8"/>
  <c r="BA587" i="8"/>
  <c r="AB587" i="8"/>
  <c r="AK607" i="8"/>
  <c r="U562" i="8"/>
  <c r="AO627" i="8"/>
  <c r="AV519" i="8"/>
  <c r="N491" i="8"/>
  <c r="AY650" i="8"/>
  <c r="L650" i="8"/>
  <c r="AJ650" i="8"/>
  <c r="W650" i="8"/>
  <c r="AA650" i="8"/>
  <c r="AJ587" i="8"/>
  <c r="AX562" i="8"/>
  <c r="AF653" i="8"/>
  <c r="AN502" i="8"/>
  <c r="AO502" i="8"/>
  <c r="AA600" i="8"/>
  <c r="I600" i="8"/>
  <c r="M600" i="8"/>
  <c r="AS600" i="8"/>
  <c r="AZ600" i="8"/>
  <c r="BC600" i="8"/>
  <c r="AY562" i="8"/>
  <c r="AV627" i="8"/>
  <c r="BB495" i="8"/>
  <c r="AT518" i="8"/>
  <c r="AS627" i="8"/>
  <c r="O627" i="8"/>
  <c r="K627" i="8"/>
  <c r="AR627" i="8"/>
  <c r="AC585" i="8"/>
  <c r="BA585" i="8"/>
  <c r="Y585" i="8"/>
  <c r="AA607" i="8"/>
  <c r="BA607" i="8"/>
  <c r="AH607" i="8"/>
  <c r="G670" i="8"/>
  <c r="Z670" i="8"/>
  <c r="Q670" i="8"/>
  <c r="K670" i="8"/>
  <c r="Z635" i="8"/>
  <c r="O635" i="8"/>
  <c r="W635" i="8"/>
  <c r="I635" i="8"/>
  <c r="Z653" i="8"/>
  <c r="AS653" i="8"/>
  <c r="AM614" i="8"/>
  <c r="I614" i="8"/>
  <c r="AP614" i="8"/>
  <c r="AO614" i="8"/>
  <c r="AE617" i="8"/>
  <c r="K617" i="8"/>
  <c r="P501" i="8"/>
  <c r="AF562" i="8"/>
  <c r="AV562" i="8"/>
  <c r="G479" i="8"/>
  <c r="I479" i="8"/>
  <c r="AG645" i="8"/>
  <c r="AL645" i="8"/>
  <c r="M519" i="8"/>
  <c r="AS502" i="8"/>
  <c r="AI502" i="8"/>
  <c r="BA677" i="8"/>
  <c r="K610" i="8"/>
  <c r="Q678" i="8"/>
  <c r="AC678" i="8"/>
  <c r="BA565" i="8"/>
  <c r="BA576" i="8"/>
  <c r="AC518" i="8"/>
  <c r="AF495" i="8"/>
  <c r="AE677" i="8"/>
  <c r="AS650" i="8"/>
  <c r="AN596" i="8"/>
  <c r="J612" i="8"/>
  <c r="N561" i="8"/>
  <c r="S628" i="8"/>
  <c r="AU580" i="8"/>
  <c r="J623" i="8"/>
  <c r="K661" i="8"/>
  <c r="Z629" i="8"/>
  <c r="V553" i="8"/>
  <c r="AQ564" i="8"/>
  <c r="N498" i="8"/>
  <c r="U585" i="8"/>
  <c r="I585" i="8"/>
  <c r="V585" i="8"/>
  <c r="S585" i="8"/>
  <c r="W585" i="8"/>
  <c r="AG607" i="8"/>
  <c r="AM607" i="8"/>
  <c r="R607" i="8"/>
  <c r="L607" i="8"/>
  <c r="O607" i="8"/>
  <c r="X607" i="8"/>
  <c r="AS670" i="8"/>
  <c r="M670" i="8"/>
  <c r="AQ670" i="8"/>
  <c r="L670" i="8"/>
  <c r="AU670" i="8"/>
  <c r="AN635" i="8"/>
  <c r="AK635" i="8"/>
  <c r="AH635" i="8"/>
  <c r="Y635" i="8"/>
  <c r="J635" i="8"/>
  <c r="H635" i="8"/>
  <c r="V653" i="8"/>
  <c r="AL653" i="8"/>
  <c r="J653" i="8"/>
  <c r="S653" i="8"/>
  <c r="W653" i="8"/>
  <c r="N614" i="8"/>
  <c r="BC614" i="8"/>
  <c r="AZ614" i="8"/>
  <c r="AG614" i="8"/>
  <c r="AE614" i="8"/>
  <c r="H617" i="8"/>
  <c r="Q617" i="8"/>
  <c r="AQ617" i="8"/>
  <c r="Y501" i="8"/>
  <c r="AJ501" i="8"/>
  <c r="AC501" i="8"/>
  <c r="M562" i="8"/>
  <c r="AM562" i="8"/>
  <c r="AT562" i="8"/>
  <c r="AZ479" i="8"/>
  <c r="K479" i="8"/>
  <c r="J479" i="8"/>
  <c r="AM645" i="8"/>
  <c r="S645" i="8"/>
  <c r="Q519" i="8"/>
  <c r="S519" i="8"/>
  <c r="AA519" i="8"/>
  <c r="AJ502" i="8"/>
  <c r="AX502" i="8"/>
  <c r="I677" i="8"/>
  <c r="AK677" i="8"/>
  <c r="X610" i="8"/>
  <c r="AQ610" i="8"/>
  <c r="K678" i="8"/>
  <c r="AY678" i="8"/>
  <c r="F565" i="8"/>
  <c r="AY565" i="8"/>
  <c r="AV576" i="8"/>
  <c r="P576" i="8"/>
  <c r="AJ518" i="8"/>
  <c r="AR518" i="8"/>
  <c r="BA495" i="8"/>
  <c r="AA491" i="8"/>
  <c r="AL677" i="8"/>
  <c r="AW491" i="8"/>
  <c r="AK627" i="8"/>
  <c r="Z661" i="8"/>
  <c r="AC612" i="8"/>
  <c r="AY519" i="8"/>
  <c r="AO653" i="8"/>
  <c r="BC549" i="8"/>
  <c r="R628" i="8"/>
  <c r="BB596" i="8"/>
  <c r="T615" i="8"/>
  <c r="AG543" i="8"/>
  <c r="BB612" i="8"/>
  <c r="Z526" i="8"/>
  <c r="AY512" i="8"/>
  <c r="AY631" i="8"/>
  <c r="BA556" i="8"/>
  <c r="AF592" i="8"/>
  <c r="Z540" i="8"/>
  <c r="AW659" i="8"/>
  <c r="AD585" i="8"/>
  <c r="AN585" i="8"/>
  <c r="N585" i="8"/>
  <c r="H585" i="8"/>
  <c r="AM585" i="8"/>
  <c r="N607" i="8"/>
  <c r="AX607" i="8"/>
  <c r="AW607" i="8"/>
  <c r="AE607" i="8"/>
  <c r="G607" i="8"/>
  <c r="AC607" i="8"/>
  <c r="AV670" i="8"/>
  <c r="AD670" i="8"/>
  <c r="H670" i="8"/>
  <c r="AY670" i="8"/>
  <c r="T670" i="8"/>
  <c r="AA635" i="8"/>
  <c r="AY635" i="8"/>
  <c r="AC635" i="8"/>
  <c r="T635" i="8"/>
  <c r="U635" i="8"/>
  <c r="AX635" i="8"/>
  <c r="AB653" i="8"/>
  <c r="BC653" i="8"/>
  <c r="BB653" i="8"/>
  <c r="AI653" i="8"/>
  <c r="AE653" i="8"/>
  <c r="AY614" i="8"/>
  <c r="AV614" i="8"/>
  <c r="H614" i="8"/>
  <c r="L614" i="8"/>
  <c r="R614" i="8"/>
  <c r="L617" i="8"/>
  <c r="Y617" i="8"/>
  <c r="AI617" i="8"/>
  <c r="S501" i="8"/>
  <c r="AB501" i="8"/>
  <c r="G501" i="8"/>
  <c r="K562" i="8"/>
  <c r="AN562" i="8"/>
  <c r="AB562" i="8"/>
  <c r="Q479" i="8"/>
  <c r="N479" i="8"/>
  <c r="AE645" i="8"/>
  <c r="AU645" i="8"/>
  <c r="AZ645" i="8"/>
  <c r="X519" i="8"/>
  <c r="U519" i="8"/>
  <c r="AE519" i="8"/>
  <c r="AV502" i="8"/>
  <c r="Z502" i="8"/>
  <c r="AI677" i="8"/>
  <c r="P677" i="8"/>
  <c r="AK610" i="8"/>
  <c r="BA610" i="8"/>
  <c r="AF678" i="8"/>
  <c r="V678" i="8"/>
  <c r="M565" i="8"/>
  <c r="AE565" i="8"/>
  <c r="AC576" i="8"/>
  <c r="J576" i="8"/>
  <c r="AF518" i="8"/>
  <c r="AA495" i="8"/>
  <c r="AL495" i="8"/>
  <c r="I491" i="8"/>
  <c r="AA479" i="8"/>
  <c r="L495" i="8"/>
  <c r="L488" i="8"/>
  <c r="AE515" i="8"/>
  <c r="AN631" i="8"/>
  <c r="AE501" i="8"/>
  <c r="G540" i="8"/>
  <c r="AH578" i="8"/>
  <c r="W658" i="8"/>
  <c r="AK596" i="8"/>
  <c r="AZ615" i="8"/>
  <c r="Q543" i="8"/>
  <c r="AL612" i="8"/>
  <c r="AS512" i="8"/>
  <c r="Q488" i="8"/>
  <c r="AO629" i="8"/>
  <c r="P644" i="8"/>
  <c r="G592" i="8"/>
  <c r="V580" i="8"/>
  <c r="AH575" i="8"/>
  <c r="M585" i="8"/>
  <c r="AY585" i="8"/>
  <c r="AW585" i="8"/>
  <c r="O585" i="8"/>
  <c r="R585" i="8"/>
  <c r="Z607" i="8"/>
  <c r="BB607" i="8"/>
  <c r="AQ607" i="8"/>
  <c r="P607" i="8"/>
  <c r="AF607" i="8"/>
  <c r="K607" i="8"/>
  <c r="AI670" i="8"/>
  <c r="AF670" i="8"/>
  <c r="AL670" i="8"/>
  <c r="AT670" i="8"/>
  <c r="AH670" i="8"/>
  <c r="S635" i="8"/>
  <c r="AB635" i="8"/>
  <c r="AF635" i="8"/>
  <c r="BB635" i="8"/>
  <c r="AM635" i="8"/>
  <c r="G635" i="8"/>
  <c r="AY653" i="8"/>
  <c r="L653" i="8"/>
  <c r="H653" i="8"/>
  <c r="M653" i="8"/>
  <c r="AU614" i="8"/>
  <c r="G614" i="8"/>
  <c r="AR614" i="8"/>
  <c r="AJ614" i="8"/>
  <c r="V614" i="8"/>
  <c r="AQ614" i="8"/>
  <c r="X617" i="8"/>
  <c r="U617" i="8"/>
  <c r="W617" i="8"/>
  <c r="U501" i="8"/>
  <c r="F501" i="8"/>
  <c r="AF501" i="8"/>
  <c r="Z562" i="8"/>
  <c r="AP562" i="8"/>
  <c r="AK562" i="8"/>
  <c r="AS479" i="8"/>
  <c r="BB479" i="8"/>
  <c r="N645" i="8"/>
  <c r="T645" i="8"/>
  <c r="AB645" i="8"/>
  <c r="H519" i="8"/>
  <c r="AF519" i="8"/>
  <c r="AS519" i="8"/>
  <c r="AW502" i="8"/>
  <c r="W502" i="8"/>
  <c r="AM677" i="8"/>
  <c r="Q677" i="8"/>
  <c r="AI610" i="8"/>
  <c r="BB610" i="8"/>
  <c r="AS678" i="8"/>
  <c r="S678" i="8"/>
  <c r="AF565" i="8"/>
  <c r="AO565" i="8"/>
  <c r="AG576" i="8"/>
  <c r="R576" i="8"/>
  <c r="I518" i="8"/>
  <c r="AD495" i="8"/>
  <c r="AS495" i="8"/>
  <c r="AH491" i="8"/>
  <c r="F495" i="8"/>
  <c r="P502" i="8"/>
  <c r="P564" i="8"/>
  <c r="BA518" i="8"/>
  <c r="AN670" i="8"/>
  <c r="AB549" i="8"/>
  <c r="AN577" i="8"/>
  <c r="AJ561" i="8"/>
  <c r="AD618" i="8"/>
  <c r="BA580" i="8"/>
  <c r="J629" i="8"/>
  <c r="BA543" i="8"/>
  <c r="AR604" i="8"/>
  <c r="U497" i="8"/>
  <c r="AV546" i="8"/>
  <c r="AT629" i="8"/>
  <c r="AY572" i="8"/>
  <c r="T592" i="8"/>
  <c r="AX577" i="8"/>
  <c r="Z672" i="8"/>
  <c r="AD617" i="8"/>
  <c r="AU617" i="8"/>
  <c r="AS617" i="8"/>
  <c r="AX617" i="8"/>
  <c r="BB617" i="8"/>
  <c r="AB617" i="8"/>
  <c r="V501" i="8"/>
  <c r="L501" i="8"/>
  <c r="BC501" i="8"/>
  <c r="AG501" i="8"/>
  <c r="L562" i="8"/>
  <c r="AJ562" i="8"/>
  <c r="I562" i="8"/>
  <c r="AA562" i="8"/>
  <c r="S562" i="8"/>
  <c r="AO479" i="8"/>
  <c r="BC479" i="8"/>
  <c r="V479" i="8"/>
  <c r="AX645" i="8"/>
  <c r="K645" i="8"/>
  <c r="BC645" i="8"/>
  <c r="P645" i="8"/>
  <c r="U645" i="8"/>
  <c r="W519" i="8"/>
  <c r="AB519" i="8"/>
  <c r="AC519" i="8"/>
  <c r="AI519" i="8"/>
  <c r="J502" i="8"/>
  <c r="R502" i="8"/>
  <c r="AR502" i="8"/>
  <c r="M502" i="8"/>
  <c r="H677" i="8"/>
  <c r="AR677" i="8"/>
  <c r="BC677" i="8"/>
  <c r="AP610" i="8"/>
  <c r="AZ610" i="8"/>
  <c r="AX610" i="8"/>
  <c r="AX678" i="8"/>
  <c r="AA678" i="8"/>
  <c r="AZ678" i="8"/>
  <c r="O565" i="8"/>
  <c r="AC565" i="8"/>
  <c r="AH565" i="8"/>
  <c r="AP565" i="8"/>
  <c r="AL576" i="8"/>
  <c r="O576" i="8"/>
  <c r="AB576" i="8"/>
  <c r="AZ518" i="8"/>
  <c r="AW518" i="8"/>
  <c r="AO495" i="8"/>
  <c r="W495" i="8"/>
  <c r="AD491" i="8"/>
  <c r="Z491" i="8"/>
  <c r="AA518" i="8"/>
  <c r="O479" i="8"/>
  <c r="AI600" i="8"/>
  <c r="AH502" i="8"/>
  <c r="AH564" i="8"/>
  <c r="AE631" i="8"/>
  <c r="Q585" i="8"/>
  <c r="AK645" i="8"/>
  <c r="AJ615" i="8"/>
  <c r="K540" i="8"/>
  <c r="AP549" i="8"/>
  <c r="AC572" i="8"/>
  <c r="AX526" i="8"/>
  <c r="BA658" i="8"/>
  <c r="AS642" i="8"/>
  <c r="AK580" i="8"/>
  <c r="I530" i="8"/>
  <c r="P629" i="8"/>
  <c r="Y543" i="8"/>
  <c r="AV666" i="8"/>
  <c r="AB604" i="8"/>
  <c r="AL485" i="8"/>
  <c r="AK629" i="8"/>
  <c r="AS631" i="8"/>
  <c r="P485" i="8"/>
  <c r="AO488" i="8"/>
  <c r="BB578" i="8"/>
  <c r="AP669" i="8"/>
  <c r="O577" i="8"/>
  <c r="H530" i="8"/>
  <c r="AK497" i="8"/>
  <c r="AP659" i="8"/>
  <c r="BC617" i="8"/>
  <c r="N617" i="8"/>
  <c r="F617" i="8"/>
  <c r="AM617" i="8"/>
  <c r="AT617" i="8"/>
  <c r="AA501" i="8"/>
  <c r="Z501" i="8"/>
  <c r="J501" i="8"/>
  <c r="AR501" i="8"/>
  <c r="BA562" i="8"/>
  <c r="AL562" i="8"/>
  <c r="AI562" i="8"/>
  <c r="AG562" i="8"/>
  <c r="P562" i="8"/>
  <c r="N562" i="8"/>
  <c r="AU479" i="8"/>
  <c r="M479" i="8"/>
  <c r="R479" i="8"/>
  <c r="X645" i="8"/>
  <c r="F645" i="8"/>
  <c r="AY645" i="8"/>
  <c r="Z645" i="8"/>
  <c r="AQ645" i="8"/>
  <c r="Z519" i="8"/>
  <c r="AZ519" i="8"/>
  <c r="AT519" i="8"/>
  <c r="AP519" i="8"/>
  <c r="I502" i="8"/>
  <c r="AC502" i="8"/>
  <c r="S502" i="8"/>
  <c r="AK502" i="8"/>
  <c r="AJ677" i="8"/>
  <c r="AT677" i="8"/>
  <c r="AG677" i="8"/>
  <c r="AY610" i="8"/>
  <c r="M610" i="8"/>
  <c r="BC610" i="8"/>
  <c r="AP678" i="8"/>
  <c r="AE678" i="8"/>
  <c r="BC678" i="8"/>
  <c r="U565" i="8"/>
  <c r="AZ565" i="8"/>
  <c r="AW565" i="8"/>
  <c r="J565" i="8"/>
  <c r="AM576" i="8"/>
  <c r="AQ576" i="8"/>
  <c r="AP576" i="8"/>
  <c r="K518" i="8"/>
  <c r="Q518" i="8"/>
  <c r="J495" i="8"/>
  <c r="S495" i="8"/>
  <c r="S491" i="8"/>
  <c r="AD546" i="8"/>
  <c r="G645" i="8"/>
  <c r="AX565" i="8"/>
  <c r="AG565" i="8"/>
  <c r="AE502" i="8"/>
  <c r="Q546" i="8"/>
  <c r="AQ653" i="8"/>
  <c r="Y564" i="8"/>
  <c r="AU519" i="8"/>
  <c r="AS623" i="8"/>
  <c r="J561" i="8"/>
  <c r="J549" i="8"/>
  <c r="AX549" i="8"/>
  <c r="AO526" i="8"/>
  <c r="M658" i="8"/>
  <c r="AV642" i="8"/>
  <c r="Y580" i="8"/>
  <c r="AX615" i="8"/>
  <c r="AE629" i="8"/>
  <c r="L543" i="8"/>
  <c r="BA666" i="8"/>
  <c r="H631" i="8"/>
  <c r="BA629" i="8"/>
  <c r="M604" i="8"/>
  <c r="AT642" i="8"/>
  <c r="O497" i="8"/>
  <c r="AE577" i="8"/>
  <c r="AA655" i="8"/>
  <c r="AF561" i="8"/>
  <c r="Q540" i="8"/>
  <c r="S553" i="8"/>
  <c r="S488" i="8"/>
  <c r="AO575" i="8"/>
  <c r="S617" i="8"/>
  <c r="AV617" i="8"/>
  <c r="AW617" i="8"/>
  <c r="AO617" i="8"/>
  <c r="AR617" i="8"/>
  <c r="AV501" i="8"/>
  <c r="AQ501" i="8"/>
  <c r="R501" i="8"/>
  <c r="O501" i="8"/>
  <c r="AE562" i="8"/>
  <c r="AQ562" i="8"/>
  <c r="AO562" i="8"/>
  <c r="T562" i="8"/>
  <c r="AC562" i="8"/>
  <c r="P479" i="8"/>
  <c r="AT479" i="8"/>
  <c r="AC479" i="8"/>
  <c r="T479" i="8"/>
  <c r="BB645" i="8"/>
  <c r="AF645" i="8"/>
  <c r="AD645" i="8"/>
  <c r="AW645" i="8"/>
  <c r="BA645" i="8"/>
  <c r="J519" i="8"/>
  <c r="AM519" i="8"/>
  <c r="K519" i="8"/>
  <c r="AL519" i="8"/>
  <c r="G502" i="8"/>
  <c r="AY502" i="8"/>
  <c r="K502" i="8"/>
  <c r="X677" i="8"/>
  <c r="W677" i="8"/>
  <c r="AZ677" i="8"/>
  <c r="T677" i="8"/>
  <c r="AU610" i="8"/>
  <c r="AV610" i="8"/>
  <c r="T610" i="8"/>
  <c r="X678" i="8"/>
  <c r="I678" i="8"/>
  <c r="AB678" i="8"/>
  <c r="AN565" i="8"/>
  <c r="R565" i="8"/>
  <c r="H565" i="8"/>
  <c r="T576" i="8"/>
  <c r="AD576" i="8"/>
  <c r="BC576" i="8"/>
  <c r="AS518" i="8"/>
  <c r="AV518" i="8"/>
  <c r="AN518" i="8"/>
  <c r="AG495" i="8"/>
  <c r="G495" i="8"/>
  <c r="BB491" i="8"/>
  <c r="F650" i="8"/>
  <c r="AV653" i="8"/>
  <c r="AD562" i="8"/>
  <c r="L518" i="8"/>
  <c r="AA677" i="8"/>
  <c r="AU564" i="8"/>
  <c r="AP518" i="8"/>
  <c r="S564" i="8"/>
  <c r="AA526" i="8"/>
  <c r="AO661" i="8"/>
  <c r="Y561" i="8"/>
  <c r="BB549" i="8"/>
  <c r="I549" i="8"/>
  <c r="AR526" i="8"/>
  <c r="AX658" i="8"/>
  <c r="AB546" i="8"/>
  <c r="BC580" i="8"/>
  <c r="U615" i="8"/>
  <c r="T623" i="8"/>
  <c r="AO543" i="8"/>
  <c r="P612" i="8"/>
  <c r="AP631" i="8"/>
  <c r="J666" i="8"/>
  <c r="AQ580" i="8"/>
  <c r="AW629" i="8"/>
  <c r="AP615" i="8"/>
  <c r="X577" i="8"/>
  <c r="P655" i="8"/>
  <c r="AX561" i="8"/>
  <c r="AO592" i="8"/>
  <c r="I633" i="8"/>
  <c r="AU497" i="8"/>
  <c r="G662" i="8"/>
  <c r="AW677" i="8"/>
  <c r="O677" i="8"/>
  <c r="AF677" i="8"/>
  <c r="Q610" i="8"/>
  <c r="AL610" i="8"/>
  <c r="H610" i="8"/>
  <c r="AM610" i="8"/>
  <c r="N610" i="8"/>
  <c r="V610" i="8"/>
  <c r="U678" i="8"/>
  <c r="T678" i="8"/>
  <c r="Z678" i="8"/>
  <c r="AM678" i="8"/>
  <c r="N678" i="8"/>
  <c r="Y565" i="8"/>
  <c r="S565" i="8"/>
  <c r="W565" i="8"/>
  <c r="X565" i="8"/>
  <c r="AS565" i="8"/>
  <c r="AR576" i="8"/>
  <c r="I576" i="8"/>
  <c r="S576" i="8"/>
  <c r="AO576" i="8"/>
  <c r="U576" i="8"/>
  <c r="AH518" i="8"/>
  <c r="BB518" i="8"/>
  <c r="R518" i="8"/>
  <c r="AU518" i="8"/>
  <c r="O495" i="8"/>
  <c r="AX495" i="8"/>
  <c r="AY495" i="8"/>
  <c r="AV495" i="8"/>
  <c r="AQ491" i="8"/>
  <c r="AP546" i="8"/>
  <c r="X491" i="8"/>
  <c r="BA627" i="8"/>
  <c r="AT614" i="8"/>
  <c r="AZ585" i="8"/>
  <c r="AG491" i="8"/>
  <c r="G519" i="8"/>
  <c r="H518" i="8"/>
  <c r="AY615" i="8"/>
  <c r="AL615" i="8"/>
  <c r="W607" i="8"/>
  <c r="AZ574" i="8"/>
  <c r="AF618" i="8"/>
  <c r="N574" i="8"/>
  <c r="AR596" i="8"/>
  <c r="AU495" i="8"/>
  <c r="W578" i="8"/>
  <c r="P549" i="8"/>
  <c r="AA540" i="8"/>
  <c r="W561" i="8"/>
  <c r="AY578" i="8"/>
  <c r="AI628" i="8"/>
  <c r="AR658" i="8"/>
  <c r="AE618" i="8"/>
  <c r="R642" i="8"/>
  <c r="U596" i="8"/>
  <c r="AP580" i="8"/>
  <c r="BB530" i="8"/>
  <c r="AI629" i="8"/>
  <c r="AB623" i="8"/>
  <c r="AA543" i="8"/>
  <c r="Y675" i="8"/>
  <c r="AZ564" i="8"/>
  <c r="J604" i="8"/>
  <c r="AJ661" i="8"/>
  <c r="H615" i="8"/>
  <c r="AP488" i="8"/>
  <c r="AY580" i="8"/>
  <c r="W574" i="8"/>
  <c r="I543" i="8"/>
  <c r="Q574" i="8"/>
  <c r="Z666" i="8"/>
  <c r="AX553" i="8"/>
  <c r="AU578" i="8"/>
  <c r="AA659" i="8"/>
  <c r="BB561" i="8"/>
  <c r="AP578" i="8"/>
  <c r="AA612" i="8"/>
  <c r="AZ644" i="8"/>
  <c r="AL526" i="8"/>
  <c r="R644" i="8"/>
  <c r="AI493" i="8"/>
  <c r="BB677" i="8"/>
  <c r="Y677" i="8"/>
  <c r="AY677" i="8"/>
  <c r="AR610" i="8"/>
  <c r="W610" i="8"/>
  <c r="AC610" i="8"/>
  <c r="AT610" i="8"/>
  <c r="AH610" i="8"/>
  <c r="AO610" i="8"/>
  <c r="AK678" i="8"/>
  <c r="L678" i="8"/>
  <c r="G678" i="8"/>
  <c r="AV678" i="8"/>
  <c r="AN678" i="8"/>
  <c r="AK565" i="8"/>
  <c r="AR565" i="8"/>
  <c r="I565" i="8"/>
  <c r="P565" i="8"/>
  <c r="AM565" i="8"/>
  <c r="M576" i="8"/>
  <c r="AZ576" i="8"/>
  <c r="BB576" i="8"/>
  <c r="AT576" i="8"/>
  <c r="AK576" i="8"/>
  <c r="P518" i="8"/>
  <c r="J518" i="8"/>
  <c r="T518" i="8"/>
  <c r="O518" i="8"/>
  <c r="AN495" i="8"/>
  <c r="X495" i="8"/>
  <c r="AR495" i="8"/>
  <c r="AY491" i="8"/>
  <c r="H491" i="8"/>
  <c r="Z530" i="8"/>
  <c r="AM479" i="8"/>
  <c r="AD653" i="8"/>
  <c r="AK585" i="8"/>
  <c r="BA502" i="8"/>
  <c r="AP491" i="8"/>
  <c r="BC491" i="8"/>
  <c r="M518" i="8"/>
  <c r="BC615" i="8"/>
  <c r="AD666" i="8"/>
  <c r="H627" i="8"/>
  <c r="AR615" i="8"/>
  <c r="H564" i="8"/>
  <c r="AE574" i="8"/>
  <c r="T530" i="8"/>
  <c r="AS501" i="8"/>
  <c r="AC577" i="8"/>
  <c r="P553" i="8"/>
  <c r="L577" i="8"/>
  <c r="U549" i="8"/>
  <c r="G577" i="8"/>
  <c r="AR628" i="8"/>
  <c r="AI658" i="8"/>
  <c r="AA618" i="8"/>
  <c r="AT546" i="8"/>
  <c r="AM596" i="8"/>
  <c r="AM580" i="8"/>
  <c r="AJ530" i="8"/>
  <c r="BB629" i="8"/>
  <c r="AY623" i="8"/>
  <c r="AC543" i="8"/>
  <c r="AK675" i="8"/>
  <c r="AR564" i="8"/>
  <c r="AD604" i="8"/>
  <c r="T661" i="8"/>
  <c r="R675" i="8"/>
  <c r="S526" i="8"/>
  <c r="AL666" i="8"/>
  <c r="X615" i="8"/>
  <c r="AA666" i="8"/>
  <c r="Y546" i="8"/>
  <c r="R666" i="8"/>
  <c r="Z553" i="8"/>
  <c r="AE655" i="8"/>
  <c r="AK671" i="8"/>
  <c r="AI561" i="8"/>
  <c r="BB577" i="8"/>
  <c r="U546" i="8"/>
  <c r="K659" i="8"/>
  <c r="J671" i="8"/>
  <c r="I671" i="8"/>
  <c r="X553" i="8"/>
  <c r="G677" i="8"/>
  <c r="M677" i="8"/>
  <c r="AP677" i="8"/>
  <c r="AF610" i="8"/>
  <c r="S610" i="8"/>
  <c r="Z610" i="8"/>
  <c r="AA610" i="8"/>
  <c r="AD610" i="8"/>
  <c r="O678" i="8"/>
  <c r="AQ678" i="8"/>
  <c r="BA678" i="8"/>
  <c r="F678" i="8"/>
  <c r="Y678" i="8"/>
  <c r="AQ565" i="8"/>
  <c r="AB565" i="8"/>
  <c r="AU565" i="8"/>
  <c r="K565" i="8"/>
  <c r="Q565" i="8"/>
  <c r="Z565" i="8"/>
  <c r="L576" i="8"/>
  <c r="H576" i="8"/>
  <c r="Y576" i="8"/>
  <c r="AX576" i="8"/>
  <c r="S518" i="8"/>
  <c r="G518" i="8"/>
  <c r="AK518" i="8"/>
  <c r="W518" i="8"/>
  <c r="AZ495" i="8"/>
  <c r="AP495" i="8"/>
  <c r="U495" i="8"/>
  <c r="I495" i="8"/>
  <c r="AC491" i="8"/>
  <c r="F491" i="8"/>
  <c r="T495" i="8"/>
  <c r="AK479" i="8"/>
  <c r="AB479" i="8"/>
  <c r="AW519" i="8"/>
  <c r="BB585" i="8"/>
  <c r="AL678" i="8"/>
  <c r="AH501" i="8"/>
  <c r="X564" i="8"/>
  <c r="W618" i="8"/>
  <c r="H652" i="8"/>
  <c r="AQ530" i="8"/>
  <c r="AX612" i="8"/>
  <c r="M678" i="8"/>
  <c r="AG564" i="8"/>
  <c r="AW631" i="8"/>
  <c r="R553" i="8"/>
  <c r="Q553" i="8"/>
  <c r="AY540" i="8"/>
  <c r="T577" i="8"/>
  <c r="BA549" i="8"/>
  <c r="AV491" i="8"/>
  <c r="K628" i="8"/>
  <c r="G658" i="8"/>
  <c r="J642" i="8"/>
  <c r="BC596" i="8"/>
  <c r="I580" i="8"/>
  <c r="AA574" i="8"/>
  <c r="R615" i="8"/>
  <c r="AA629" i="8"/>
  <c r="AT623" i="8"/>
  <c r="AY543" i="8"/>
  <c r="AX675" i="8"/>
  <c r="AV612" i="8"/>
  <c r="AB631" i="8"/>
  <c r="N661" i="8"/>
  <c r="AK666" i="8"/>
  <c r="AW623" i="8"/>
  <c r="V512" i="8"/>
  <c r="AW666" i="8"/>
  <c r="AA512" i="8"/>
  <c r="AL631" i="8"/>
  <c r="AP497" i="8"/>
  <c r="AN556" i="8"/>
  <c r="AY549" i="8"/>
  <c r="AK669" i="8"/>
  <c r="AL592" i="8"/>
  <c r="AH540" i="8"/>
  <c r="S549" i="8"/>
  <c r="G512" i="8"/>
  <c r="AE580" i="8"/>
  <c r="AC669" i="8"/>
  <c r="AM484" i="8"/>
  <c r="BA491" i="8"/>
  <c r="AB491" i="8"/>
  <c r="AE610" i="8"/>
  <c r="AE627" i="8"/>
  <c r="X587" i="8"/>
  <c r="AH552" i="8"/>
  <c r="AU491" i="8"/>
  <c r="I645" i="8"/>
  <c r="AU677" i="8"/>
  <c r="X576" i="8"/>
  <c r="V495" i="8"/>
  <c r="V519" i="8"/>
  <c r="AW479" i="8"/>
  <c r="H502" i="8"/>
  <c r="AJ546" i="8"/>
  <c r="S618" i="8"/>
  <c r="K658" i="8"/>
  <c r="AB495" i="8"/>
  <c r="AH519" i="8"/>
  <c r="K564" i="8"/>
  <c r="Q612" i="8"/>
  <c r="I661" i="8"/>
  <c r="L627" i="8"/>
  <c r="BA596" i="8"/>
  <c r="X530" i="8"/>
  <c r="M623" i="8"/>
  <c r="T540" i="8"/>
  <c r="L556" i="8"/>
  <c r="AU553" i="8"/>
  <c r="AB553" i="8"/>
  <c r="AG549" i="8"/>
  <c r="H540" i="8"/>
  <c r="AV572" i="8"/>
  <c r="L561" i="8"/>
  <c r="AT501" i="8"/>
  <c r="AD526" i="8"/>
  <c r="Q628" i="8"/>
  <c r="AB658" i="8"/>
  <c r="AJ658" i="8"/>
  <c r="R618" i="8"/>
  <c r="AN642" i="8"/>
  <c r="V596" i="8"/>
  <c r="G580" i="8"/>
  <c r="AB580" i="8"/>
  <c r="AY574" i="8"/>
  <c r="N530" i="8"/>
  <c r="T629" i="8"/>
  <c r="Y629" i="8"/>
  <c r="BA623" i="8"/>
  <c r="AV543" i="8"/>
  <c r="H543" i="8"/>
  <c r="AU675" i="8"/>
  <c r="AW488" i="8"/>
  <c r="AW564" i="8"/>
  <c r="U604" i="8"/>
  <c r="BA631" i="8"/>
  <c r="F661" i="8"/>
  <c r="AI479" i="8"/>
  <c r="AG629" i="8"/>
  <c r="AN485" i="8"/>
  <c r="Y642" i="8"/>
  <c r="AK628" i="8"/>
  <c r="AV485" i="8"/>
  <c r="AE642" i="8"/>
  <c r="M628" i="8"/>
  <c r="X488" i="8"/>
  <c r="L675" i="8"/>
  <c r="AI543" i="8"/>
  <c r="AJ488" i="8"/>
  <c r="AJ553" i="8"/>
  <c r="AG644" i="8"/>
  <c r="AK672" i="8"/>
  <c r="M659" i="8"/>
  <c r="V669" i="8"/>
  <c r="R633" i="8"/>
  <c r="AK578" i="8"/>
  <c r="BC540" i="8"/>
  <c r="AT658" i="8"/>
  <c r="AS553" i="8"/>
  <c r="AX671" i="8"/>
  <c r="AN669" i="8"/>
  <c r="AQ488" i="8"/>
  <c r="M497" i="8"/>
  <c r="AT498" i="8"/>
  <c r="AL652" i="8"/>
  <c r="M491" i="8"/>
  <c r="AJ491" i="8"/>
  <c r="AD677" i="8"/>
  <c r="F479" i="8"/>
  <c r="AA565" i="8"/>
  <c r="AY518" i="8"/>
  <c r="H495" i="8"/>
  <c r="F653" i="8"/>
  <c r="AS562" i="8"/>
  <c r="I519" i="8"/>
  <c r="J491" i="8"/>
  <c r="AP653" i="8"/>
  <c r="S614" i="8"/>
  <c r="AE495" i="8"/>
  <c r="R574" i="8"/>
  <c r="AN618" i="8"/>
  <c r="H596" i="8"/>
  <c r="W501" i="8"/>
  <c r="Q502" i="8"/>
  <c r="BA546" i="8"/>
  <c r="V615" i="8"/>
  <c r="AJ612" i="8"/>
  <c r="AG518" i="8"/>
  <c r="AL618" i="8"/>
  <c r="AC618" i="8"/>
  <c r="AE675" i="8"/>
  <c r="F549" i="8"/>
  <c r="F572" i="8"/>
  <c r="P572" i="8"/>
  <c r="P540" i="8"/>
  <c r="AK561" i="8"/>
  <c r="AL578" i="8"/>
  <c r="L540" i="8"/>
  <c r="N556" i="8"/>
  <c r="AG585" i="8"/>
  <c r="AJ628" i="8"/>
  <c r="AY628" i="8"/>
  <c r="AF658" i="8"/>
  <c r="Z658" i="8"/>
  <c r="R485" i="8"/>
  <c r="F642" i="8"/>
  <c r="AO596" i="8"/>
  <c r="N580" i="8"/>
  <c r="R580" i="8"/>
  <c r="F574" i="8"/>
  <c r="BB615" i="8"/>
  <c r="O629" i="8"/>
  <c r="AS629" i="8"/>
  <c r="AX623" i="8"/>
  <c r="U543" i="8"/>
  <c r="AW543" i="8"/>
  <c r="AV675" i="8"/>
  <c r="L666" i="8"/>
  <c r="BC612" i="8"/>
  <c r="S604" i="8"/>
  <c r="K631" i="8"/>
  <c r="AM661" i="8"/>
  <c r="AJ564" i="8"/>
  <c r="AX604" i="8"/>
  <c r="AL488" i="8"/>
  <c r="H675" i="8"/>
  <c r="AH604" i="8"/>
  <c r="AS485" i="8"/>
  <c r="AV618" i="8"/>
  <c r="AX628" i="8"/>
  <c r="F497" i="8"/>
  <c r="AI564" i="8"/>
  <c r="W666" i="8"/>
  <c r="AC497" i="8"/>
  <c r="Y553" i="8"/>
  <c r="Q644" i="8"/>
  <c r="W549" i="8"/>
  <c r="G659" i="8"/>
  <c r="AQ540" i="8"/>
  <c r="AH633" i="8"/>
  <c r="AF572" i="8"/>
  <c r="AE553" i="8"/>
  <c r="AH661" i="8"/>
  <c r="AR578" i="8"/>
  <c r="L671" i="8"/>
  <c r="I615" i="8"/>
  <c r="AR556" i="8"/>
  <c r="G498" i="8"/>
  <c r="S662" i="8"/>
  <c r="W596" i="8"/>
  <c r="R491" i="8"/>
  <c r="AF491" i="8"/>
  <c r="T502" i="8"/>
  <c r="U491" i="8"/>
  <c r="AW576" i="8"/>
  <c r="AZ501" i="8"/>
  <c r="AR479" i="8"/>
  <c r="F518" i="8"/>
  <c r="BB502" i="8"/>
  <c r="I653" i="8"/>
  <c r="G585" i="8"/>
  <c r="AV677" i="8"/>
  <c r="AJ645" i="8"/>
  <c r="AX491" i="8"/>
  <c r="AK546" i="8"/>
  <c r="G574" i="8"/>
  <c r="AY658" i="8"/>
  <c r="N518" i="8"/>
  <c r="O526" i="8"/>
  <c r="I564" i="8"/>
  <c r="Y612" i="8"/>
  <c r="Y661" i="8"/>
  <c r="AM530" i="8"/>
  <c r="F612" i="8"/>
  <c r="AO623" i="8"/>
  <c r="Q562" i="8"/>
  <c r="R549" i="8"/>
  <c r="AB561" i="8"/>
  <c r="AN561" i="8"/>
  <c r="AZ540" i="8"/>
  <c r="F556" i="8"/>
  <c r="BC578" i="8"/>
  <c r="AV540" i="8"/>
  <c r="AR577" i="8"/>
  <c r="AG610" i="8"/>
  <c r="L628" i="8"/>
  <c r="U628" i="8"/>
  <c r="N658" i="8"/>
  <c r="BA618" i="8"/>
  <c r="V485" i="8"/>
  <c r="AI546" i="8"/>
  <c r="AH596" i="8"/>
  <c r="O580" i="8"/>
  <c r="AL580" i="8"/>
  <c r="AS574" i="8"/>
  <c r="F615" i="8"/>
  <c r="N629" i="8"/>
  <c r="S629" i="8"/>
  <c r="AK623" i="8"/>
  <c r="AJ543" i="8"/>
  <c r="R543" i="8"/>
  <c r="J675" i="8"/>
  <c r="H666" i="8"/>
  <c r="AS612" i="8"/>
  <c r="AW604" i="8"/>
  <c r="P631" i="8"/>
  <c r="AQ661" i="8"/>
  <c r="S574" i="8"/>
  <c r="AO628" i="8"/>
  <c r="AG497" i="8"/>
  <c r="AR629" i="8"/>
  <c r="BC512" i="8"/>
  <c r="AP526" i="8"/>
  <c r="AO642" i="8"/>
  <c r="AM666" i="8"/>
  <c r="AU488" i="8"/>
  <c r="AD631" i="8"/>
  <c r="F666" i="8"/>
  <c r="H488" i="8"/>
  <c r="AQ553" i="8"/>
  <c r="Z578" i="8"/>
  <c r="AQ549" i="8"/>
  <c r="P671" i="8"/>
  <c r="J540" i="8"/>
  <c r="V592" i="8"/>
  <c r="AX540" i="8"/>
  <c r="O572" i="8"/>
  <c r="AX564" i="8"/>
  <c r="AB578" i="8"/>
  <c r="AV671" i="8"/>
  <c r="O666" i="8"/>
  <c r="AB485" i="8"/>
  <c r="AW498" i="8"/>
  <c r="Q592" i="8"/>
  <c r="H580" i="8"/>
  <c r="AV549" i="8"/>
  <c r="J553" i="8"/>
  <c r="V549" i="8"/>
  <c r="G572" i="8"/>
  <c r="K614" i="8"/>
  <c r="AT628" i="8"/>
  <c r="H628" i="8"/>
  <c r="BC628" i="8"/>
  <c r="AW658" i="8"/>
  <c r="J658" i="8"/>
  <c r="AY618" i="8"/>
  <c r="AU618" i="8"/>
  <c r="AZ642" i="8"/>
  <c r="O642" i="8"/>
  <c r="AE596" i="8"/>
  <c r="AQ596" i="8"/>
  <c r="P580" i="8"/>
  <c r="AX580" i="8"/>
  <c r="M580" i="8"/>
  <c r="AP574" i="8"/>
  <c r="J574" i="8"/>
  <c r="AQ615" i="8"/>
  <c r="AS615" i="8"/>
  <c r="K629" i="8"/>
  <c r="R629" i="8"/>
  <c r="AP629" i="8"/>
  <c r="N623" i="8"/>
  <c r="AU623" i="8"/>
  <c r="AF543" i="8"/>
  <c r="S543" i="8"/>
  <c r="AK543" i="8"/>
  <c r="AO675" i="8"/>
  <c r="AQ666" i="8"/>
  <c r="K666" i="8"/>
  <c r="AD612" i="8"/>
  <c r="AT604" i="8"/>
  <c r="AI604" i="8"/>
  <c r="I631" i="8"/>
  <c r="AC631" i="8"/>
  <c r="AP661" i="8"/>
  <c r="AZ612" i="8"/>
  <c r="G642" i="8"/>
  <c r="Z628" i="8"/>
  <c r="AU485" i="8"/>
  <c r="R526" i="8"/>
  <c r="BC618" i="8"/>
  <c r="AF580" i="8"/>
  <c r="AA497" i="8"/>
  <c r="W488" i="8"/>
  <c r="AV661" i="8"/>
  <c r="X661" i="8"/>
  <c r="AY629" i="8"/>
  <c r="AF512" i="8"/>
  <c r="AO497" i="8"/>
  <c r="AU642" i="8"/>
  <c r="O661" i="8"/>
  <c r="Q604" i="8"/>
  <c r="M485" i="8"/>
  <c r="Y488" i="8"/>
  <c r="BB553" i="8"/>
  <c r="AE556" i="8"/>
  <c r="L644" i="8"/>
  <c r="U655" i="8"/>
  <c r="AT549" i="8"/>
  <c r="P659" i="8"/>
  <c r="BB669" i="8"/>
  <c r="W540" i="8"/>
  <c r="AM500" i="8"/>
  <c r="O592" i="8"/>
  <c r="Q633" i="8"/>
  <c r="R540" i="8"/>
  <c r="AN592" i="8"/>
  <c r="AB661" i="8"/>
  <c r="AT592" i="8"/>
  <c r="AW612" i="8"/>
  <c r="S669" i="8"/>
  <c r="AU572" i="8"/>
  <c r="Z655" i="8"/>
  <c r="AT577" i="8"/>
  <c r="V604" i="8"/>
  <c r="Q624" i="8"/>
  <c r="Q662" i="8"/>
  <c r="AL553" i="8"/>
  <c r="U500" i="8"/>
  <c r="V540" i="8"/>
  <c r="Q549" i="8"/>
  <c r="BA540" i="8"/>
  <c r="AL479" i="8"/>
  <c r="W526" i="8"/>
  <c r="G628" i="8"/>
  <c r="AM628" i="8"/>
  <c r="I628" i="8"/>
  <c r="AH658" i="8"/>
  <c r="R658" i="8"/>
  <c r="I618" i="8"/>
  <c r="Q618" i="8"/>
  <c r="AP642" i="8"/>
  <c r="AS546" i="8"/>
  <c r="I596" i="8"/>
  <c r="M596" i="8"/>
  <c r="AC580" i="8"/>
  <c r="AD580" i="8"/>
  <c r="Q580" i="8"/>
  <c r="AG574" i="8"/>
  <c r="AR574" i="8"/>
  <c r="J615" i="8"/>
  <c r="M615" i="8"/>
  <c r="AD629" i="8"/>
  <c r="V629" i="8"/>
  <c r="V623" i="8"/>
  <c r="Z623" i="8"/>
  <c r="Q623" i="8"/>
  <c r="BB543" i="8"/>
  <c r="AH543" i="8"/>
  <c r="N543" i="8"/>
  <c r="Q675" i="8"/>
  <c r="P666" i="8"/>
  <c r="AP564" i="8"/>
  <c r="AO612" i="8"/>
  <c r="I604" i="8"/>
  <c r="Y604" i="8"/>
  <c r="O631" i="8"/>
  <c r="AX661" i="8"/>
  <c r="G661" i="8"/>
  <c r="Z564" i="8"/>
  <c r="AR642" i="8"/>
  <c r="BC666" i="8"/>
  <c r="L512" i="8"/>
  <c r="U526" i="8"/>
  <c r="Q629" i="8"/>
  <c r="AS628" i="8"/>
  <c r="AC485" i="8"/>
  <c r="AI485" i="8"/>
  <c r="AD675" i="8"/>
  <c r="F675" i="8"/>
  <c r="AF629" i="8"/>
  <c r="AG488" i="8"/>
  <c r="S512" i="8"/>
  <c r="AA615" i="8"/>
  <c r="AT675" i="8"/>
  <c r="AZ580" i="8"/>
  <c r="O488" i="8"/>
  <c r="Y577" i="8"/>
  <c r="U553" i="8"/>
  <c r="Q556" i="8"/>
  <c r="L578" i="8"/>
  <c r="AV655" i="8"/>
  <c r="I572" i="8"/>
  <c r="AV659" i="8"/>
  <c r="AQ669" i="8"/>
  <c r="F662" i="8"/>
  <c r="N633" i="8"/>
  <c r="AQ592" i="8"/>
  <c r="BA633" i="8"/>
  <c r="AR549" i="8"/>
  <c r="AK574" i="8"/>
  <c r="L596" i="8"/>
  <c r="I642" i="8"/>
  <c r="Z633" i="8"/>
  <c r="AU672" i="8"/>
  <c r="V662" i="8"/>
  <c r="AT666" i="8"/>
  <c r="AJ662" i="8"/>
  <c r="P488" i="8"/>
  <c r="T662" i="8"/>
  <c r="W498" i="8"/>
  <c r="T572" i="8"/>
  <c r="V565" i="8"/>
  <c r="AT556" i="8"/>
  <c r="AP553" i="8"/>
  <c r="V578" i="8"/>
  <c r="AR572" i="8"/>
  <c r="R678" i="8"/>
  <c r="AN526" i="8"/>
  <c r="J628" i="8"/>
  <c r="AU628" i="8"/>
  <c r="AS658" i="8"/>
  <c r="AE658" i="8"/>
  <c r="S658" i="8"/>
  <c r="Y618" i="8"/>
  <c r="J485" i="8"/>
  <c r="U642" i="8"/>
  <c r="K546" i="8"/>
  <c r="AZ596" i="8"/>
  <c r="P596" i="8"/>
  <c r="U580" i="8"/>
  <c r="AV580" i="8"/>
  <c r="AW580" i="8"/>
  <c r="AV574" i="8"/>
  <c r="R530" i="8"/>
  <c r="BA615" i="8"/>
  <c r="AQ629" i="8"/>
  <c r="AU629" i="8"/>
  <c r="AZ629" i="8"/>
  <c r="L623" i="8"/>
  <c r="AR623" i="8"/>
  <c r="AN543" i="8"/>
  <c r="AR543" i="8"/>
  <c r="K543" i="8"/>
  <c r="G675" i="8"/>
  <c r="AG675" i="8"/>
  <c r="AX666" i="8"/>
  <c r="BA564" i="8"/>
  <c r="N612" i="8"/>
  <c r="AE604" i="8"/>
  <c r="AO604" i="8"/>
  <c r="BB631" i="8"/>
  <c r="AI661" i="8"/>
  <c r="V661" i="8"/>
  <c r="AI631" i="8"/>
  <c r="N604" i="8"/>
  <c r="AQ512" i="8"/>
  <c r="AM497" i="8"/>
  <c r="AN623" i="8"/>
  <c r="AX543" i="8"/>
  <c r="W628" i="8"/>
  <c r="AX497" i="8"/>
  <c r="P530" i="8"/>
  <c r="Q642" i="8"/>
  <c r="AP543" i="8"/>
  <c r="G666" i="8"/>
  <c r="AD512" i="8"/>
  <c r="AE488" i="8"/>
  <c r="AW596" i="8"/>
  <c r="F543" i="8"/>
  <c r="AC666" i="8"/>
  <c r="AF497" i="8"/>
  <c r="AG575" i="8"/>
  <c r="T553" i="8"/>
  <c r="AC644" i="8"/>
  <c r="AQ578" i="8"/>
  <c r="Z549" i="8"/>
  <c r="AX572" i="8"/>
  <c r="AC671" i="8"/>
  <c r="AT540" i="8"/>
  <c r="BC561" i="8"/>
  <c r="AW592" i="8"/>
  <c r="AD540" i="8"/>
  <c r="AC540" i="8"/>
  <c r="W577" i="8"/>
  <c r="AD661" i="8"/>
  <c r="BA578" i="8"/>
  <c r="K577" i="8"/>
  <c r="AV644" i="8"/>
  <c r="AW512" i="8"/>
  <c r="L549" i="8"/>
  <c r="AJ580" i="8"/>
  <c r="Y572" i="8"/>
  <c r="AI624" i="8"/>
  <c r="X484" i="8"/>
  <c r="AJ498" i="8"/>
  <c r="AU500" i="8"/>
  <c r="O550" i="8"/>
  <c r="M675" i="8"/>
  <c r="V675" i="8"/>
  <c r="AE666" i="8"/>
  <c r="Q666" i="8"/>
  <c r="U564" i="8"/>
  <c r="U612" i="8"/>
  <c r="G604" i="8"/>
  <c r="AG604" i="8"/>
  <c r="AV604" i="8"/>
  <c r="X631" i="8"/>
  <c r="N631" i="8"/>
  <c r="AQ631" i="8"/>
  <c r="AT661" i="8"/>
  <c r="R661" i="8"/>
  <c r="M546" i="8"/>
  <c r="AG546" i="8"/>
  <c r="P642" i="8"/>
  <c r="AE543" i="8"/>
  <c r="AP666" i="8"/>
  <c r="F512" i="8"/>
  <c r="AW485" i="8"/>
  <c r="AK612" i="8"/>
  <c r="AU658" i="8"/>
  <c r="H604" i="8"/>
  <c r="N628" i="8"/>
  <c r="Y512" i="8"/>
  <c r="BB488" i="8"/>
  <c r="AD497" i="8"/>
  <c r="Q564" i="8"/>
  <c r="AA623" i="8"/>
  <c r="AM642" i="8"/>
  <c r="W629" i="8"/>
  <c r="AH580" i="8"/>
  <c r="AH666" i="8"/>
  <c r="AB497" i="8"/>
  <c r="BB497" i="8"/>
  <c r="AA485" i="8"/>
  <c r="AA661" i="8"/>
  <c r="K675" i="8"/>
  <c r="AM604" i="8"/>
  <c r="W580" i="8"/>
  <c r="W512" i="8"/>
  <c r="AR512" i="8"/>
  <c r="AD577" i="8"/>
  <c r="O553" i="8"/>
  <c r="AD553" i="8"/>
  <c r="G556" i="8"/>
  <c r="I644" i="8"/>
  <c r="AC578" i="8"/>
  <c r="Y655" i="8"/>
  <c r="AG672" i="8"/>
  <c r="AJ549" i="8"/>
  <c r="AD572" i="8"/>
  <c r="AO659" i="8"/>
  <c r="Y669" i="8"/>
  <c r="AO669" i="8"/>
  <c r="AP662" i="8"/>
  <c r="AU561" i="8"/>
  <c r="BC633" i="8"/>
  <c r="AP592" i="8"/>
  <c r="AE540" i="8"/>
  <c r="AO553" i="8"/>
  <c r="AO549" i="8"/>
  <c r="U578" i="8"/>
  <c r="AY675" i="8"/>
  <c r="L615" i="8"/>
  <c r="AF546" i="8"/>
  <c r="J577" i="8"/>
  <c r="AO561" i="8"/>
  <c r="Z577" i="8"/>
  <c r="I666" i="8"/>
  <c r="BC655" i="8"/>
  <c r="AN675" i="8"/>
  <c r="BA655" i="8"/>
  <c r="M655" i="8"/>
  <c r="AH644" i="8"/>
  <c r="AZ484" i="8"/>
  <c r="AY497" i="8"/>
  <c r="AP512" i="8"/>
  <c r="BB672" i="8"/>
  <c r="H549" i="8"/>
  <c r="AW500" i="8"/>
  <c r="AZ512" i="8"/>
  <c r="AQ575" i="8"/>
  <c r="W571" i="8"/>
  <c r="AW675" i="8"/>
  <c r="U675" i="8"/>
  <c r="S666" i="8"/>
  <c r="AU666" i="8"/>
  <c r="AV564" i="8"/>
  <c r="I612" i="8"/>
  <c r="AK604" i="8"/>
  <c r="F604" i="8"/>
  <c r="AA604" i="8"/>
  <c r="S631" i="8"/>
  <c r="AR631" i="8"/>
  <c r="U631" i="8"/>
  <c r="AF661" i="8"/>
  <c r="M661" i="8"/>
  <c r="AU596" i="8"/>
  <c r="AF612" i="8"/>
  <c r="AA658" i="8"/>
  <c r="I629" i="8"/>
  <c r="AF628" i="8"/>
  <c r="L485" i="8"/>
  <c r="BC485" i="8"/>
  <c r="Y615" i="8"/>
  <c r="AG658" i="8"/>
  <c r="J543" i="8"/>
  <c r="T666" i="8"/>
  <c r="AV512" i="8"/>
  <c r="BC497" i="8"/>
  <c r="L497" i="8"/>
  <c r="O615" i="8"/>
  <c r="AT564" i="8"/>
  <c r="P675" i="8"/>
  <c r="AS604" i="8"/>
  <c r="L580" i="8"/>
  <c r="AF604" i="8"/>
  <c r="AR497" i="8"/>
  <c r="Z488" i="8"/>
  <c r="AN497" i="8"/>
  <c r="N596" i="8"/>
  <c r="AM631" i="8"/>
  <c r="AZ604" i="8"/>
  <c r="AN628" i="8"/>
  <c r="V497" i="8"/>
  <c r="Y485" i="8"/>
  <c r="AF577" i="8"/>
  <c r="AM553" i="8"/>
  <c r="W553" i="8"/>
  <c r="AV556" i="8"/>
  <c r="AX644" i="8"/>
  <c r="AJ578" i="8"/>
  <c r="AS655" i="8"/>
  <c r="AW672" i="8"/>
  <c r="AA572" i="8"/>
  <c r="W659" i="8"/>
  <c r="AM671" i="8"/>
  <c r="AA669" i="8"/>
  <c r="Y540" i="8"/>
  <c r="AC493" i="8"/>
  <c r="K561" i="8"/>
  <c r="AK633" i="8"/>
  <c r="AJ592" i="8"/>
  <c r="AF540" i="8"/>
  <c r="J556" i="8"/>
  <c r="I592" i="8"/>
  <c r="AQ577" i="8"/>
  <c r="T631" i="8"/>
  <c r="AG612" i="8"/>
  <c r="AQ612" i="8"/>
  <c r="AW556" i="8"/>
  <c r="AS572" i="8"/>
  <c r="AI577" i="8"/>
  <c r="AI556" i="8"/>
  <c r="AD671" i="8"/>
  <c r="G669" i="8"/>
  <c r="AS669" i="8"/>
  <c r="K574" i="8"/>
  <c r="AV624" i="8"/>
  <c r="AN629" i="8"/>
  <c r="BA488" i="8"/>
  <c r="BC577" i="8"/>
  <c r="AN553" i="8"/>
  <c r="BA624" i="8"/>
  <c r="X655" i="8"/>
  <c r="V500" i="8"/>
  <c r="AG624" i="8"/>
  <c r="N635" i="8"/>
  <c r="N675" i="8"/>
  <c r="N488" i="8"/>
  <c r="AB666" i="8"/>
  <c r="M564" i="8"/>
  <c r="AY612" i="8"/>
  <c r="K612" i="8"/>
  <c r="W604" i="8"/>
  <c r="T604" i="8"/>
  <c r="BA604" i="8"/>
  <c r="AU631" i="8"/>
  <c r="AZ631" i="8"/>
  <c r="H661" i="8"/>
  <c r="AN661" i="8"/>
  <c r="BC661" i="8"/>
  <c r="AQ574" i="8"/>
  <c r="AM615" i="8"/>
  <c r="BB675" i="8"/>
  <c r="AA580" i="8"/>
  <c r="H629" i="8"/>
  <c r="P497" i="8"/>
  <c r="W497" i="8"/>
  <c r="J596" i="8"/>
  <c r="AZ623" i="8"/>
  <c r="X543" i="8"/>
  <c r="N666" i="8"/>
  <c r="P512" i="8"/>
  <c r="AH488" i="8"/>
  <c r="U485" i="8"/>
  <c r="M618" i="8"/>
  <c r="AK661" i="8"/>
  <c r="AJ623" i="8"/>
  <c r="AY604" i="8"/>
  <c r="AG580" i="8"/>
  <c r="AZ666" i="8"/>
  <c r="BA497" i="8"/>
  <c r="U488" i="8"/>
  <c r="AC530" i="8"/>
  <c r="N642" i="8"/>
  <c r="AY661" i="8"/>
  <c r="AJ604" i="8"/>
  <c r="AH628" i="8"/>
  <c r="AI497" i="8"/>
  <c r="AV488" i="8"/>
  <c r="AB577" i="8"/>
  <c r="K553" i="8"/>
  <c r="G553" i="8"/>
  <c r="AK556" i="8"/>
  <c r="AW644" i="8"/>
  <c r="AF578" i="8"/>
  <c r="AO655" i="8"/>
  <c r="R672" i="8"/>
  <c r="W572" i="8"/>
  <c r="U659" i="8"/>
  <c r="AU671" i="8"/>
  <c r="W669" i="8"/>
  <c r="AW540" i="8"/>
  <c r="AP493" i="8"/>
  <c r="X561" i="8"/>
  <c r="J633" i="8"/>
  <c r="AM592" i="8"/>
  <c r="AQ556" i="8"/>
  <c r="AO540" i="8"/>
  <c r="K549" i="8"/>
  <c r="AT578" i="8"/>
  <c r="F485" i="8"/>
  <c r="AQ623" i="8"/>
  <c r="AF553" i="8"/>
  <c r="M592" i="8"/>
  <c r="AW561" i="8"/>
  <c r="N577" i="8"/>
  <c r="Y578" i="8"/>
  <c r="BB633" i="8"/>
  <c r="H659" i="8"/>
  <c r="J631" i="8"/>
  <c r="AF666" i="8"/>
  <c r="AA624" i="8"/>
  <c r="AP616" i="8"/>
  <c r="X497" i="8"/>
  <c r="V659" i="8"/>
  <c r="AX498" i="8"/>
  <c r="AO500" i="8"/>
  <c r="AI671" i="8"/>
  <c r="J497" i="8"/>
  <c r="O672" i="8"/>
  <c r="AB490" i="8"/>
  <c r="AR580" i="8"/>
  <c r="AO666" i="8"/>
  <c r="I497" i="8"/>
  <c r="Z512" i="8"/>
  <c r="AZ577" i="8"/>
  <c r="V575" i="8"/>
  <c r="AI553" i="8"/>
  <c r="AY553" i="8"/>
  <c r="AA556" i="8"/>
  <c r="W556" i="8"/>
  <c r="S644" i="8"/>
  <c r="Y644" i="8"/>
  <c r="H578" i="8"/>
  <c r="J578" i="8"/>
  <c r="G655" i="8"/>
  <c r="AZ655" i="8"/>
  <c r="X672" i="8"/>
  <c r="M549" i="8"/>
  <c r="AZ549" i="8"/>
  <c r="AW572" i="8"/>
  <c r="AH572" i="8"/>
  <c r="T659" i="8"/>
  <c r="Y659" i="8"/>
  <c r="AT671" i="8"/>
  <c r="L669" i="8"/>
  <c r="AR669" i="8"/>
  <c r="AG669" i="8"/>
  <c r="BB540" i="8"/>
  <c r="N493" i="8"/>
  <c r="AH561" i="8"/>
  <c r="AE561" i="8"/>
  <c r="J500" i="8"/>
  <c r="AP633" i="8"/>
  <c r="F592" i="8"/>
  <c r="AR592" i="8"/>
  <c r="R592" i="8"/>
  <c r="G549" i="8"/>
  <c r="BA592" i="8"/>
  <c r="AU540" i="8"/>
  <c r="AA553" i="8"/>
  <c r="I540" i="8"/>
  <c r="AT553" i="8"/>
  <c r="S578" i="8"/>
  <c r="AG578" i="8"/>
  <c r="H658" i="8"/>
  <c r="AB574" i="8"/>
  <c r="O612" i="8"/>
  <c r="AM612" i="8"/>
  <c r="P661" i="8"/>
  <c r="U556" i="8"/>
  <c r="AS540" i="8"/>
  <c r="Z556" i="8"/>
  <c r="J572" i="8"/>
  <c r="AZ578" i="8"/>
  <c r="AA549" i="8"/>
  <c r="BC669" i="8"/>
  <c r="AV561" i="8"/>
  <c r="AX669" i="8"/>
  <c r="AH618" i="8"/>
  <c r="F561" i="8"/>
  <c r="AH592" i="8"/>
  <c r="AY666" i="8"/>
  <c r="AF671" i="8"/>
  <c r="O644" i="8"/>
  <c r="Z592" i="8"/>
  <c r="P604" i="8"/>
  <c r="AK658" i="8"/>
  <c r="T497" i="8"/>
  <c r="AZ624" i="8"/>
  <c r="S497" i="8"/>
  <c r="Q485" i="8"/>
  <c r="S671" i="8"/>
  <c r="AX493" i="8"/>
  <c r="F500" i="8"/>
  <c r="AN575" i="8"/>
  <c r="BC624" i="8"/>
  <c r="AR671" i="8"/>
  <c r="AU575" i="8"/>
  <c r="AJ500" i="8"/>
  <c r="AH500" i="8"/>
  <c r="BB662" i="8"/>
  <c r="AE497" i="8"/>
  <c r="X644" i="8"/>
  <c r="Y658" i="8"/>
  <c r="X563" i="8"/>
  <c r="AC628" i="8"/>
  <c r="AG512" i="8"/>
  <c r="O485" i="8"/>
  <c r="AM485" i="8"/>
  <c r="AM577" i="8"/>
  <c r="AG553" i="8"/>
  <c r="BA553" i="8"/>
  <c r="AK553" i="8"/>
  <c r="AC556" i="8"/>
  <c r="P556" i="8"/>
  <c r="AR644" i="8"/>
  <c r="AS644" i="8"/>
  <c r="Q578" i="8"/>
  <c r="AM578" i="8"/>
  <c r="Q655" i="8"/>
  <c r="AO672" i="8"/>
  <c r="J672" i="8"/>
  <c r="AC549" i="8"/>
  <c r="AM572" i="8"/>
  <c r="K572" i="8"/>
  <c r="BB659" i="8"/>
  <c r="AU659" i="8"/>
  <c r="BA671" i="8"/>
  <c r="G671" i="8"/>
  <c r="R669" i="8"/>
  <c r="AU669" i="8"/>
  <c r="O540" i="8"/>
  <c r="M540" i="8"/>
  <c r="H561" i="8"/>
  <c r="Q561" i="8"/>
  <c r="T561" i="8"/>
  <c r="H633" i="8"/>
  <c r="AW633" i="8"/>
  <c r="AG592" i="8"/>
  <c r="AZ592" i="8"/>
  <c r="K592" i="8"/>
  <c r="AJ540" i="8"/>
  <c r="AB551" i="8"/>
  <c r="AL556" i="8"/>
  <c r="BC572" i="8"/>
  <c r="AV592" i="8"/>
  <c r="P561" i="8"/>
  <c r="AZ572" i="8"/>
  <c r="L592" i="8"/>
  <c r="F631" i="8"/>
  <c r="AH642" i="8"/>
  <c r="AO658" i="8"/>
  <c r="Z612" i="8"/>
  <c r="X540" i="8"/>
  <c r="AS556" i="8"/>
  <c r="AB592" i="8"/>
  <c r="AV577" i="8"/>
  <c r="Q577" i="8"/>
  <c r="R641" i="8"/>
  <c r="P633" i="8"/>
  <c r="P669" i="8"/>
  <c r="S556" i="8"/>
  <c r="AW669" i="8"/>
  <c r="F633" i="8"/>
  <c r="Z572" i="8"/>
  <c r="AC659" i="8"/>
  <c r="BC553" i="8"/>
  <c r="AQ644" i="8"/>
  <c r="AO512" i="8"/>
  <c r="Y623" i="8"/>
  <c r="BB572" i="8"/>
  <c r="Z624" i="8"/>
  <c r="I655" i="8"/>
  <c r="AG662" i="8"/>
  <c r="AC488" i="8"/>
  <c r="AS543" i="8"/>
  <c r="H575" i="8"/>
  <c r="J592" i="8"/>
  <c r="T489" i="8"/>
  <c r="AU484" i="8"/>
  <c r="AJ493" i="8"/>
  <c r="Q500" i="8"/>
  <c r="AE572" i="8"/>
  <c r="AY624" i="8"/>
  <c r="AY493" i="8"/>
  <c r="AL616" i="8"/>
  <c r="AS493" i="8"/>
  <c r="O669" i="8"/>
  <c r="AG631" i="8"/>
  <c r="G537" i="8"/>
  <c r="AY556" i="8"/>
  <c r="AJ556" i="8"/>
  <c r="AN644" i="8"/>
  <c r="H644" i="8"/>
  <c r="AS578" i="8"/>
  <c r="F578" i="8"/>
  <c r="AJ655" i="8"/>
  <c r="F672" i="8"/>
  <c r="AD549" i="8"/>
  <c r="AU549" i="8"/>
  <c r="N572" i="8"/>
  <c r="AG572" i="8"/>
  <c r="AS659" i="8"/>
  <c r="Z659" i="8"/>
  <c r="K671" i="8"/>
  <c r="N671" i="8"/>
  <c r="AT669" i="8"/>
  <c r="AD669" i="8"/>
  <c r="AI540" i="8"/>
  <c r="AM540" i="8"/>
  <c r="R561" i="8"/>
  <c r="AA561" i="8"/>
  <c r="AC561" i="8"/>
  <c r="S633" i="8"/>
  <c r="Y592" i="8"/>
  <c r="AA592" i="8"/>
  <c r="AI592" i="8"/>
  <c r="AU592" i="8"/>
  <c r="AN578" i="8"/>
  <c r="BA508" i="8"/>
  <c r="V556" i="8"/>
  <c r="AG540" i="8"/>
  <c r="I561" i="8"/>
  <c r="P577" i="8"/>
  <c r="AK540" i="8"/>
  <c r="AL530" i="8"/>
  <c r="AM623" i="8"/>
  <c r="AB675" i="8"/>
  <c r="BC658" i="8"/>
  <c r="V612" i="8"/>
  <c r="U561" i="8"/>
  <c r="O596" i="8"/>
  <c r="AZ628" i="8"/>
  <c r="AP572" i="8"/>
  <c r="AV615" i="8"/>
  <c r="AJ618" i="8"/>
  <c r="I669" i="8"/>
  <c r="AN633" i="8"/>
  <c r="T596" i="8"/>
  <c r="T618" i="8"/>
  <c r="I658" i="8"/>
  <c r="N669" i="8"/>
  <c r="J644" i="8"/>
  <c r="AS592" i="8"/>
  <c r="W671" i="8"/>
  <c r="AO556" i="8"/>
  <c r="AC658" i="8"/>
  <c r="AK659" i="8"/>
  <c r="AB543" i="8"/>
  <c r="AM633" i="8"/>
  <c r="BC662" i="8"/>
  <c r="AL628" i="8"/>
  <c r="BA512" i="8"/>
  <c r="M575" i="8"/>
  <c r="K624" i="8"/>
  <c r="I484" i="8"/>
  <c r="T500" i="8"/>
  <c r="AR498" i="8"/>
  <c r="W484" i="8"/>
  <c r="Y662" i="8"/>
  <c r="I493" i="8"/>
  <c r="R484" i="8"/>
  <c r="BB493" i="8"/>
  <c r="O616" i="8"/>
  <c r="AP540" i="8"/>
  <c r="S613" i="8"/>
  <c r="Z664" i="8"/>
  <c r="AX556" i="8"/>
  <c r="AU556" i="8"/>
  <c r="W644" i="8"/>
  <c r="AJ644" i="8"/>
  <c r="AE578" i="8"/>
  <c r="K655" i="8"/>
  <c r="F655" i="8"/>
  <c r="I672" i="8"/>
  <c r="O549" i="8"/>
  <c r="AK549" i="8"/>
  <c r="H572" i="8"/>
  <c r="AB572" i="8"/>
  <c r="AZ659" i="8"/>
  <c r="BA659" i="8"/>
  <c r="Z671" i="8"/>
  <c r="AQ671" i="8"/>
  <c r="Q669" i="8"/>
  <c r="AZ669" i="8"/>
  <c r="AB540" i="8"/>
  <c r="AL540" i="8"/>
  <c r="AZ561" i="8"/>
  <c r="AM561" i="8"/>
  <c r="V561" i="8"/>
  <c r="K633" i="8"/>
  <c r="U592" i="8"/>
  <c r="AY592" i="8"/>
  <c r="AE592" i="8"/>
  <c r="AR540" i="8"/>
  <c r="AH577" i="8"/>
  <c r="X549" i="8"/>
  <c r="R577" i="8"/>
  <c r="AR561" i="8"/>
  <c r="F540" i="8"/>
  <c r="AT572" i="8"/>
  <c r="AI578" i="8"/>
  <c r="I546" i="8"/>
  <c r="AD623" i="8"/>
  <c r="T612" i="8"/>
  <c r="AG642" i="8"/>
  <c r="Z675" i="8"/>
  <c r="AS561" i="8"/>
  <c r="AG556" i="8"/>
  <c r="AQ618" i="8"/>
  <c r="AP561" i="8"/>
  <c r="X578" i="8"/>
  <c r="AH631" i="8"/>
  <c r="Q659" i="8"/>
  <c r="X604" i="8"/>
  <c r="N578" i="8"/>
  <c r="BA661" i="8"/>
  <c r="S580" i="8"/>
  <c r="AT644" i="8"/>
  <c r="H669" i="8"/>
  <c r="R659" i="8"/>
  <c r="X669" i="8"/>
  <c r="AI644" i="8"/>
  <c r="AE485" i="8"/>
  <c r="AO644" i="8"/>
  <c r="BB628" i="8"/>
  <c r="AY659" i="8"/>
  <c r="V666" i="8"/>
  <c r="AT631" i="8"/>
  <c r="AD672" i="8"/>
  <c r="X666" i="8"/>
  <c r="AC624" i="8"/>
  <c r="AX655" i="8"/>
  <c r="K493" i="8"/>
  <c r="AL500" i="8"/>
  <c r="F493" i="8"/>
  <c r="AI655" i="8"/>
  <c r="AM556" i="8"/>
  <c r="AE669" i="8"/>
  <c r="AA577" i="8"/>
  <c r="AR662" i="8"/>
  <c r="AP645" i="8"/>
  <c r="AI515" i="8"/>
  <c r="AA514" i="8"/>
  <c r="AO518" i="8"/>
  <c r="AG532" i="8"/>
  <c r="W551" i="8"/>
  <c r="AE636" i="8"/>
  <c r="AS666" i="8"/>
  <c r="Z483" i="8"/>
  <c r="AF650" i="8"/>
  <c r="I489" i="8"/>
  <c r="AT633" i="8"/>
  <c r="S500" i="8"/>
  <c r="BB498" i="8"/>
  <c r="AO616" i="8"/>
  <c r="AU624" i="8"/>
  <c r="L575" i="8"/>
  <c r="G578" i="8"/>
  <c r="H624" i="8"/>
  <c r="U624" i="8"/>
  <c r="H500" i="8"/>
  <c r="AJ572" i="8"/>
  <c r="V628" i="8"/>
  <c r="AO484" i="8"/>
  <c r="BB575" i="8"/>
  <c r="AH489" i="8"/>
  <c r="AH624" i="8"/>
  <c r="V488" i="8"/>
  <c r="AD493" i="8"/>
  <c r="I575" i="8"/>
  <c r="AX616" i="8"/>
  <c r="U489" i="8"/>
  <c r="AK484" i="8"/>
  <c r="M644" i="8"/>
  <c r="AQ500" i="8"/>
  <c r="AN662" i="8"/>
  <c r="J659" i="8"/>
  <c r="I577" i="8"/>
  <c r="AC498" i="8"/>
  <c r="Y624" i="8"/>
  <c r="AG655" i="8"/>
  <c r="AY655" i="8"/>
  <c r="BB512" i="8"/>
  <c r="AV497" i="8"/>
  <c r="J580" i="8"/>
  <c r="BA642" i="8"/>
  <c r="AX485" i="8"/>
  <c r="AW662" i="8"/>
  <c r="AJ624" i="8"/>
  <c r="T672" i="8"/>
  <c r="Y556" i="8"/>
  <c r="AT485" i="8"/>
  <c r="AH616" i="8"/>
  <c r="AD644" i="8"/>
  <c r="AT672" i="8"/>
  <c r="N553" i="8"/>
  <c r="AX512" i="8"/>
  <c r="BB623" i="8"/>
  <c r="AS580" i="8"/>
  <c r="V672" i="8"/>
  <c r="AO572" i="8"/>
  <c r="Z543" i="8"/>
  <c r="L659" i="8"/>
  <c r="L672" i="8"/>
  <c r="AD659" i="8"/>
  <c r="G644" i="8"/>
  <c r="AT561" i="8"/>
  <c r="AL543" i="8"/>
  <c r="W623" i="8"/>
  <c r="X671" i="8"/>
  <c r="AP577" i="8"/>
  <c r="AS577" i="8"/>
  <c r="N549" i="8"/>
  <c r="W543" i="8"/>
  <c r="AV623" i="8"/>
  <c r="L655" i="8"/>
  <c r="AJ526" i="8"/>
  <c r="S672" i="8"/>
  <c r="AV633" i="8"/>
  <c r="T578" i="8"/>
  <c r="AD556" i="8"/>
  <c r="X629" i="8"/>
  <c r="T658" i="8"/>
  <c r="U669" i="8"/>
  <c r="AY561" i="8"/>
  <c r="BC592" i="8"/>
  <c r="Y549" i="8"/>
  <c r="G631" i="8"/>
  <c r="I610" i="8"/>
  <c r="AE492" i="8"/>
  <c r="AI552" i="8"/>
  <c r="AH608" i="8"/>
  <c r="M488" i="8"/>
  <c r="AJ573" i="8"/>
  <c r="AG560" i="8"/>
  <c r="X556" i="8"/>
  <c r="G493" i="8"/>
  <c r="AJ671" i="8"/>
  <c r="AV500" i="8"/>
  <c r="AZ500" i="8"/>
  <c r="AY669" i="8"/>
  <c r="W493" i="8"/>
  <c r="AQ655" i="8"/>
  <c r="AR672" i="8"/>
  <c r="J662" i="8"/>
  <c r="AL489" i="8"/>
  <c r="AU489" i="8"/>
  <c r="AR575" i="8"/>
  <c r="AA489" i="8"/>
  <c r="AJ575" i="8"/>
  <c r="AB488" i="8"/>
  <c r="AI616" i="8"/>
  <c r="R488" i="8"/>
  <c r="W489" i="8"/>
  <c r="AR484" i="8"/>
  <c r="AV616" i="8"/>
  <c r="I498" i="8"/>
  <c r="AM616" i="8"/>
  <c r="AK592" i="8"/>
  <c r="AS489" i="8"/>
  <c r="Z575" i="8"/>
  <c r="AE659" i="8"/>
  <c r="AZ553" i="8"/>
  <c r="G500" i="8"/>
  <c r="AN484" i="8"/>
  <c r="AF659" i="8"/>
  <c r="AX578" i="8"/>
  <c r="AU512" i="8"/>
  <c r="I488" i="8"/>
  <c r="AD628" i="8"/>
  <c r="K485" i="8"/>
  <c r="U512" i="8"/>
  <c r="M543" i="8"/>
  <c r="AC655" i="8"/>
  <c r="N615" i="8"/>
  <c r="G561" i="8"/>
  <c r="AI666" i="8"/>
  <c r="X616" i="8"/>
  <c r="K578" i="8"/>
  <c r="AV658" i="8"/>
  <c r="AC489" i="8"/>
  <c r="AE512" i="8"/>
  <c r="W661" i="8"/>
  <c r="AT543" i="8"/>
  <c r="AB672" i="8"/>
  <c r="AU577" i="8"/>
  <c r="AQ604" i="8"/>
  <c r="AC672" i="8"/>
  <c r="V644" i="8"/>
  <c r="AE644" i="8"/>
  <c r="AL644" i="8"/>
  <c r="AM549" i="8"/>
  <c r="Z604" i="8"/>
  <c r="BA669" i="8"/>
  <c r="AB659" i="8"/>
  <c r="H671" i="8"/>
  <c r="AW549" i="8"/>
  <c r="AH485" i="8"/>
  <c r="AN604" i="8"/>
  <c r="V658" i="8"/>
  <c r="N485" i="8"/>
  <c r="Y672" i="8"/>
  <c r="U572" i="8"/>
  <c r="AT659" i="8"/>
  <c r="X572" i="8"/>
  <c r="AV553" i="8"/>
  <c r="AC629" i="8"/>
  <c r="AN659" i="8"/>
  <c r="Z669" i="8"/>
  <c r="AI659" i="8"/>
  <c r="U577" i="8"/>
  <c r="AS549" i="8"/>
  <c r="AZ661" i="8"/>
  <c r="BC502" i="8"/>
  <c r="BC511" i="8"/>
  <c r="J606" i="8"/>
  <c r="AR480" i="8"/>
  <c r="W675" i="8"/>
  <c r="N643" i="8"/>
  <c r="AT493" i="8"/>
  <c r="AC553" i="8"/>
  <c r="AW575" i="8"/>
  <c r="AJ672" i="8"/>
  <c r="AM658" i="8"/>
  <c r="AP628" i="8"/>
  <c r="AF549" i="8"/>
  <c r="BB484" i="8"/>
  <c r="AE493" i="8"/>
  <c r="F669" i="8"/>
  <c r="U644" i="8"/>
  <c r="Y484" i="8"/>
  <c r="AW493" i="8"/>
  <c r="AT575" i="8"/>
  <c r="S485" i="8"/>
  <c r="W633" i="8"/>
  <c r="H498" i="8"/>
  <c r="L616" i="8"/>
  <c r="AQ628" i="8"/>
  <c r="AQ498" i="8"/>
  <c r="AB624" i="8"/>
  <c r="R572" i="8"/>
  <c r="V493" i="8"/>
  <c r="V616" i="8"/>
  <c r="AG577" i="8"/>
  <c r="T498" i="8"/>
  <c r="AL575" i="8"/>
  <c r="U672" i="8"/>
  <c r="J488" i="8"/>
  <c r="AS662" i="8"/>
  <c r="AY616" i="8"/>
  <c r="AM669" i="8"/>
  <c r="AG561" i="8"/>
  <c r="F628" i="8"/>
  <c r="AK485" i="8"/>
  <c r="AM488" i="8"/>
  <c r="AO485" i="8"/>
  <c r="AN500" i="8"/>
  <c r="BB616" i="8"/>
  <c r="AZ672" i="8"/>
  <c r="X633" i="8"/>
  <c r="AP556" i="8"/>
  <c r="U662" i="8"/>
  <c r="P616" i="8"/>
  <c r="AD655" i="8"/>
  <c r="AD633" i="8"/>
  <c r="AI512" i="8"/>
  <c r="L604" i="8"/>
  <c r="J661" i="8"/>
  <c r="AJ629" i="8"/>
  <c r="AG633" i="8"/>
  <c r="BC556" i="8"/>
  <c r="AL629" i="8"/>
  <c r="AL672" i="8"/>
  <c r="AI662" i="8"/>
  <c r="AQ659" i="8"/>
  <c r="M578" i="8"/>
  <c r="O556" i="8"/>
  <c r="AV629" i="8"/>
  <c r="F644" i="8"/>
  <c r="AE671" i="8"/>
  <c r="G633" i="8"/>
  <c r="S577" i="8"/>
  <c r="AM564" i="8"/>
  <c r="O604" i="8"/>
  <c r="AU633" i="8"/>
  <c r="S655" i="8"/>
  <c r="AY633" i="8"/>
  <c r="AY671" i="8"/>
  <c r="Y633" i="8"/>
  <c r="P578" i="8"/>
  <c r="AN512" i="8"/>
  <c r="AW642" i="8"/>
  <c r="AD658" i="8"/>
  <c r="P592" i="8"/>
  <c r="AX659" i="8"/>
  <c r="F577" i="8"/>
  <c r="AW553" i="8"/>
  <c r="H623" i="8"/>
  <c r="AG479" i="8"/>
  <c r="AW591" i="8"/>
  <c r="AF558" i="8"/>
  <c r="R525" i="8"/>
  <c r="AL574" i="8"/>
  <c r="AM646" i="8"/>
  <c r="AH662" i="8"/>
  <c r="AZ575" i="8"/>
  <c r="O498" i="8"/>
  <c r="AX484" i="8"/>
  <c r="AN672" i="8"/>
  <c r="Q672" i="8"/>
  <c r="AT497" i="8"/>
  <c r="L500" i="8"/>
  <c r="R498" i="8"/>
  <c r="AD592" i="8"/>
  <c r="AE633" i="8"/>
  <c r="Y575" i="8"/>
  <c r="AF489" i="8"/>
  <c r="AE623" i="8"/>
  <c r="AB500" i="8"/>
  <c r="AV672" i="8"/>
  <c r="AQ484" i="8"/>
  <c r="AP604" i="8"/>
  <c r="AO489" i="8"/>
  <c r="BA489" i="8"/>
  <c r="AL624" i="8"/>
  <c r="AA578" i="8"/>
  <c r="AP489" i="8"/>
  <c r="Q671" i="8"/>
  <c r="AH556" i="8"/>
  <c r="AO498" i="8"/>
  <c r="N575" i="8"/>
  <c r="AC592" i="8"/>
  <c r="AE498" i="8"/>
  <c r="BA662" i="8"/>
  <c r="AK616" i="8"/>
  <c r="AB633" i="8"/>
  <c r="U540" i="8"/>
  <c r="X658" i="8"/>
  <c r="AB512" i="8"/>
  <c r="T488" i="8"/>
  <c r="AK488" i="8"/>
  <c r="AT662" i="8"/>
  <c r="S616" i="8"/>
  <c r="AS675" i="8"/>
  <c r="AB655" i="8"/>
  <c r="N540" i="8"/>
  <c r="AZ662" i="8"/>
  <c r="U498" i="8"/>
  <c r="Q658" i="8"/>
  <c r="AF669" i="8"/>
  <c r="R604" i="8"/>
  <c r="Y666" i="8"/>
  <c r="T675" i="8"/>
  <c r="G618" i="8"/>
  <c r="N672" i="8"/>
  <c r="T556" i="8"/>
  <c r="AF624" i="8"/>
  <c r="AU655" i="8"/>
  <c r="AS672" i="8"/>
  <c r="AF672" i="8"/>
  <c r="AZ556" i="8"/>
  <c r="M553" i="8"/>
  <c r="I662" i="8"/>
  <c r="BB642" i="8"/>
  <c r="AL633" i="8"/>
  <c r="BA577" i="8"/>
  <c r="AW577" i="8"/>
  <c r="AL636" i="8"/>
  <c r="G629" i="8"/>
  <c r="L633" i="8"/>
  <c r="AL669" i="8"/>
  <c r="V655" i="8"/>
  <c r="T633" i="8"/>
  <c r="AW578" i="8"/>
  <c r="S561" i="8"/>
  <c r="AG666" i="8"/>
  <c r="AF675" i="8"/>
  <c r="V671" i="8"/>
  <c r="AC662" i="8"/>
  <c r="AQ561" i="8"/>
  <c r="W592" i="8"/>
  <c r="AN549" i="8"/>
  <c r="AI633" i="8"/>
  <c r="W486" i="8"/>
  <c r="Q491" i="8"/>
  <c r="AZ487" i="8"/>
  <c r="Q512" i="8"/>
  <c r="AN546" i="8"/>
  <c r="AO677" i="8"/>
  <c r="T484" i="8"/>
  <c r="AN580" i="8"/>
  <c r="AE575" i="8"/>
  <c r="X500" i="8"/>
  <c r="W662" i="8"/>
  <c r="AS500" i="8"/>
  <c r="AZ485" i="8"/>
  <c r="AL549" i="8"/>
  <c r="AN489" i="8"/>
  <c r="G489" i="8"/>
  <c r="AY484" i="8"/>
  <c r="AN671" i="8"/>
  <c r="P662" i="8"/>
  <c r="M671" i="8"/>
  <c r="O662" i="8"/>
  <c r="K556" i="8"/>
  <c r="L489" i="8"/>
  <c r="T655" i="8"/>
  <c r="AV489" i="8"/>
  <c r="AQ662" i="8"/>
  <c r="AA671" i="8"/>
  <c r="AA493" i="8"/>
  <c r="U575" i="8"/>
  <c r="K669" i="8"/>
  <c r="AQ489" i="8"/>
  <c r="AX500" i="8"/>
  <c r="T624" i="8"/>
  <c r="BA572" i="8"/>
  <c r="BC498" i="8"/>
  <c r="W575" i="8"/>
  <c r="J624" i="8"/>
  <c r="BB655" i="8"/>
  <c r="AZ488" i="8"/>
  <c r="AA488" i="8"/>
  <c r="AL512" i="8"/>
  <c r="X512" i="8"/>
  <c r="AJ485" i="8"/>
  <c r="AW628" i="8"/>
  <c r="AG498" i="8"/>
  <c r="H655" i="8"/>
  <c r="AJ669" i="8"/>
  <c r="T512" i="8"/>
  <c r="H484" i="8"/>
  <c r="AS624" i="8"/>
  <c r="N644" i="8"/>
  <c r="AA644" i="8"/>
  <c r="AZ543" i="8"/>
  <c r="K604" i="8"/>
  <c r="O512" i="8"/>
  <c r="O659" i="8"/>
  <c r="AH553" i="8"/>
  <c r="T580" i="8"/>
  <c r="AM655" i="8"/>
  <c r="F659" i="8"/>
  <c r="AP672" i="8"/>
  <c r="AZ633" i="8"/>
  <c r="M561" i="8"/>
  <c r="AI580" i="8"/>
  <c r="J669" i="8"/>
  <c r="AB644" i="8"/>
  <c r="AA672" i="8"/>
  <c r="AW655" i="8"/>
  <c r="R556" i="8"/>
  <c r="M666" i="8"/>
  <c r="V633" i="8"/>
  <c r="AH655" i="8"/>
  <c r="BB671" i="8"/>
  <c r="AF655" i="8"/>
  <c r="Q572" i="8"/>
  <c r="AY577" i="8"/>
  <c r="AI549" i="8"/>
  <c r="O543" i="8"/>
  <c r="M672" i="8"/>
  <c r="F671" i="8"/>
  <c r="AV669" i="8"/>
  <c r="BC644" i="8"/>
  <c r="V577" i="8"/>
  <c r="BC604" i="8"/>
  <c r="U633" i="8"/>
  <c r="AN666" i="8"/>
  <c r="AN540" i="8"/>
  <c r="AP644" i="8"/>
  <c r="BA644" i="8"/>
  <c r="AF644" i="8"/>
  <c r="BB604" i="8"/>
  <c r="O624" i="8"/>
  <c r="AV628" i="8"/>
  <c r="Z497" i="8"/>
  <c r="BB592" i="8"/>
  <c r="AS671" i="8"/>
  <c r="AA633" i="8"/>
  <c r="AO624" i="8"/>
  <c r="AR616" i="8"/>
  <c r="AE662" i="8"/>
  <c r="K512" i="8"/>
  <c r="I485" i="8"/>
  <c r="G543" i="8"/>
  <c r="AD488" i="8"/>
  <c r="T628" i="8"/>
  <c r="X628" i="8"/>
  <c r="AM629" i="8"/>
  <c r="AS497" i="8"/>
  <c r="AJ577" i="8"/>
  <c r="AJ659" i="8"/>
  <c r="AX633" i="8"/>
  <c r="G616" i="8"/>
  <c r="AA628" i="8"/>
  <c r="N484" i="8"/>
  <c r="AG485" i="8"/>
  <c r="BA672" i="8"/>
  <c r="AF484" i="8"/>
  <c r="N616" i="8"/>
  <c r="R575" i="8"/>
  <c r="AV498" i="8"/>
  <c r="AQ493" i="8"/>
  <c r="I659" i="8"/>
  <c r="W624" i="8"/>
  <c r="K575" i="8"/>
  <c r="AN498" i="8"/>
  <c r="BA484" i="8"/>
  <c r="AU644" i="8"/>
  <c r="AY498" i="8"/>
  <c r="AD662" i="8"/>
  <c r="H493" i="8"/>
  <c r="AC484" i="8"/>
  <c r="AT655" i="8"/>
  <c r="AO662" i="8"/>
  <c r="K489" i="8"/>
  <c r="G485" i="8"/>
  <c r="AR493" i="8"/>
  <c r="T493" i="8"/>
  <c r="P489" i="8"/>
  <c r="P624" i="8"/>
  <c r="AW484" i="8"/>
  <c r="AF488" i="8"/>
  <c r="Z498" i="8"/>
  <c r="AS498" i="8"/>
  <c r="X624" i="8"/>
  <c r="AM498" i="8"/>
  <c r="AU616" i="8"/>
  <c r="M500" i="8"/>
  <c r="AK655" i="8"/>
  <c r="AR485" i="8"/>
  <c r="AF493" i="8"/>
  <c r="AY575" i="8"/>
  <c r="AF485" i="8"/>
  <c r="L493" i="8"/>
  <c r="AH512" i="8"/>
  <c r="AB498" i="8"/>
  <c r="P500" i="8"/>
  <c r="AH497" i="8"/>
  <c r="AX489" i="8"/>
  <c r="T549" i="8"/>
  <c r="AS633" i="8"/>
  <c r="AT495" i="8"/>
  <c r="AD667" i="8"/>
  <c r="AF530" i="8"/>
  <c r="AF602" i="8"/>
  <c r="G536" i="8"/>
  <c r="AG523" i="8"/>
  <c r="J562" i="8"/>
  <c r="AC520" i="8"/>
  <c r="AM673" i="8"/>
  <c r="BB545" i="8"/>
  <c r="G623" i="8"/>
  <c r="AO578" i="8"/>
  <c r="K644" i="8"/>
  <c r="AI669" i="8"/>
  <c r="AJ633" i="8"/>
  <c r="I616" i="8"/>
  <c r="AO580" i="8"/>
  <c r="AG628" i="8"/>
  <c r="AJ497" i="8"/>
  <c r="I578" i="8"/>
  <c r="O671" i="8"/>
  <c r="U671" i="8"/>
  <c r="M624" i="8"/>
  <c r="T616" i="8"/>
  <c r="H662" i="8"/>
  <c r="G497" i="8"/>
  <c r="N497" i="8"/>
  <c r="BB580" i="8"/>
  <c r="AP596" i="8"/>
  <c r="BC543" i="8"/>
  <c r="K497" i="8"/>
  <c r="P543" i="8"/>
  <c r="Y497" i="8"/>
  <c r="AQ672" i="8"/>
  <c r="AX672" i="8"/>
  <c r="AM624" i="8"/>
  <c r="AA616" i="8"/>
  <c r="AU662" i="8"/>
  <c r="Y500" i="8"/>
  <c r="W485" i="8"/>
  <c r="AP655" i="8"/>
  <c r="AR659" i="8"/>
  <c r="AR624" i="8"/>
  <c r="AT500" i="8"/>
  <c r="AK493" i="8"/>
  <c r="AE484" i="8"/>
  <c r="AQ633" i="8"/>
  <c r="S624" i="8"/>
  <c r="K662" i="8"/>
  <c r="I500" i="8"/>
  <c r="V484" i="8"/>
  <c r="Y671" i="8"/>
  <c r="AN616" i="8"/>
  <c r="R624" i="8"/>
  <c r="Z489" i="8"/>
  <c r="AI489" i="8"/>
  <c r="AB671" i="8"/>
  <c r="AM662" i="8"/>
  <c r="AK500" i="8"/>
  <c r="BA485" i="8"/>
  <c r="AP624" i="8"/>
  <c r="AH493" i="8"/>
  <c r="O561" i="8"/>
  <c r="V624" i="8"/>
  <c r="AX488" i="8"/>
  <c r="S484" i="8"/>
  <c r="AC616" i="8"/>
  <c r="X493" i="8"/>
  <c r="Q498" i="8"/>
  <c r="AA484" i="8"/>
  <c r="W616" i="8"/>
  <c r="AM493" i="8"/>
  <c r="O575" i="8"/>
  <c r="AV578" i="8"/>
  <c r="M489" i="8"/>
  <c r="AV662" i="8"/>
  <c r="O484" i="8"/>
  <c r="U666" i="8"/>
  <c r="K484" i="8"/>
  <c r="AL493" i="8"/>
  <c r="AP500" i="8"/>
  <c r="F580" i="8"/>
  <c r="N655" i="8"/>
  <c r="AI572" i="8"/>
  <c r="X592" i="8"/>
  <c r="AW638" i="8"/>
  <c r="AZ526" i="8"/>
  <c r="T543" i="8"/>
  <c r="S600" i="8"/>
  <c r="BC559" i="8"/>
  <c r="AD547" i="8"/>
  <c r="AJ519" i="8"/>
  <c r="O620" i="8"/>
  <c r="L657" i="8"/>
  <c r="R506" i="8"/>
  <c r="AU604" i="8"/>
  <c r="AE549" i="8"/>
  <c r="R578" i="8"/>
  <c r="BC672" i="8"/>
  <c r="G624" i="8"/>
  <c r="BA616" i="8"/>
  <c r="AE628" i="8"/>
  <c r="AL662" i="8"/>
  <c r="BB485" i="8"/>
  <c r="AR612" i="8"/>
  <c r="W672" i="8"/>
  <c r="R655" i="8"/>
  <c r="AD624" i="8"/>
  <c r="M616" i="8"/>
  <c r="N662" i="8"/>
  <c r="BC488" i="8"/>
  <c r="AZ497" i="8"/>
  <c r="O628" i="8"/>
  <c r="Z580" i="8"/>
  <c r="AB629" i="8"/>
  <c r="AQ497" i="8"/>
  <c r="K580" i="8"/>
  <c r="AW497" i="8"/>
  <c r="BC659" i="8"/>
  <c r="AR633" i="8"/>
  <c r="L624" i="8"/>
  <c r="BC616" i="8"/>
  <c r="AB662" i="8"/>
  <c r="O493" i="8"/>
  <c r="H485" i="8"/>
  <c r="H592" i="8"/>
  <c r="AV484" i="8"/>
  <c r="AV575" i="8"/>
  <c r="AB489" i="8"/>
  <c r="AG500" i="8"/>
  <c r="AV493" i="8"/>
  <c r="AF633" i="8"/>
  <c r="AF616" i="8"/>
  <c r="M662" i="8"/>
  <c r="S498" i="8"/>
  <c r="AL561" i="8"/>
  <c r="AB669" i="8"/>
  <c r="AJ484" i="8"/>
  <c r="L553" i="8"/>
  <c r="J498" i="8"/>
  <c r="AG484" i="8"/>
  <c r="AO633" i="8"/>
  <c r="AF662" i="8"/>
  <c r="T485" i="8"/>
  <c r="H556" i="8"/>
  <c r="R662" i="8"/>
  <c r="BB489" i="8"/>
  <c r="V572" i="8"/>
  <c r="L629" i="8"/>
  <c r="G488" i="8"/>
  <c r="AB556" i="8"/>
  <c r="L484" i="8"/>
  <c r="V489" i="8"/>
  <c r="AG616" i="8"/>
  <c r="BA493" i="8"/>
  <c r="P484" i="8"/>
  <c r="X498" i="8"/>
  <c r="AJ666" i="8"/>
  <c r="AM672" i="8"/>
  <c r="AN488" i="8"/>
  <c r="AY489" i="8"/>
  <c r="AZ489" i="8"/>
  <c r="AQ485" i="8"/>
  <c r="AQ572" i="8"/>
  <c r="Q493" i="8"/>
  <c r="P493" i="8"/>
  <c r="AL498" i="8"/>
  <c r="AK577" i="8"/>
  <c r="N659" i="8"/>
  <c r="BB661" i="8"/>
  <c r="X619" i="8"/>
  <c r="Y628" i="8"/>
  <c r="R497" i="8"/>
  <c r="AF617" i="8"/>
  <c r="AQ482" i="8"/>
  <c r="P505" i="8"/>
  <c r="AG678" i="8"/>
  <c r="AR674" i="8"/>
  <c r="Z587" i="8"/>
  <c r="AS529" i="8"/>
  <c r="AW481" i="8"/>
  <c r="R616" i="8"/>
  <c r="G575" i="8"/>
  <c r="AY500" i="8"/>
  <c r="O500" i="8"/>
  <c r="S493" i="8"/>
  <c r="AE489" i="8"/>
  <c r="AN572" i="8"/>
  <c r="T669" i="8"/>
  <c r="F624" i="8"/>
  <c r="AB575" i="8"/>
  <c r="AK662" i="8"/>
  <c r="AK489" i="8"/>
  <c r="AF500" i="8"/>
  <c r="N489" i="8"/>
  <c r="AY672" i="8"/>
  <c r="AM644" i="8"/>
  <c r="J616" i="8"/>
  <c r="Q575" i="8"/>
  <c r="Z500" i="8"/>
  <c r="U484" i="8"/>
  <c r="BA500" i="8"/>
  <c r="AI484" i="8"/>
  <c r="BB556" i="8"/>
  <c r="W655" i="8"/>
  <c r="AD575" i="8"/>
  <c r="AU493" i="8"/>
  <c r="AG493" i="8"/>
  <c r="P498" i="8"/>
  <c r="M669" i="8"/>
  <c r="AH498" i="8"/>
  <c r="AT580" i="8"/>
  <c r="AH484" i="8"/>
  <c r="AB493" i="8"/>
  <c r="AZ671" i="8"/>
  <c r="AE616" i="8"/>
  <c r="AR553" i="8"/>
  <c r="AT488" i="8"/>
  <c r="AL484" i="8"/>
  <c r="AH672" i="8"/>
  <c r="AA575" i="8"/>
  <c r="Y498" i="8"/>
  <c r="AG671" i="8"/>
  <c r="AB484" i="8"/>
  <c r="Q489" i="8"/>
  <c r="AH549" i="8"/>
  <c r="T575" i="8"/>
  <c r="AO493" i="8"/>
  <c r="S659" i="8"/>
  <c r="AK624" i="8"/>
  <c r="F489" i="8"/>
  <c r="AG659" i="8"/>
  <c r="M498" i="8"/>
  <c r="Z644" i="8"/>
  <c r="H553" i="8"/>
  <c r="AW624" i="8"/>
  <c r="AR489" i="8"/>
  <c r="AI488" i="8"/>
  <c r="AH659" i="8"/>
  <c r="J655" i="8"/>
  <c r="K488" i="8"/>
  <c r="X662" i="8"/>
  <c r="R489" i="8"/>
  <c r="BA498" i="8"/>
  <c r="AA498" i="8"/>
  <c r="AN493" i="8"/>
  <c r="AY644" i="8"/>
  <c r="N624" i="8"/>
  <c r="BA561" i="8"/>
  <c r="AZ607" i="8"/>
  <c r="AX588" i="8"/>
  <c r="BB611" i="8"/>
  <c r="Z618" i="8"/>
  <c r="Z615" i="8"/>
  <c r="BC564" i="8"/>
  <c r="AF576" i="8"/>
  <c r="R599" i="8"/>
  <c r="N641" i="8"/>
  <c r="AA609" i="8"/>
  <c r="AK513" i="8"/>
  <c r="Z676" i="8"/>
  <c r="T651" i="8"/>
  <c r="Y649" i="8"/>
  <c r="F585" i="8"/>
  <c r="AZ494" i="8"/>
  <c r="AO634" i="8"/>
  <c r="H616" i="8"/>
  <c r="AA662" i="8"/>
  <c r="Y493" i="8"/>
  <c r="Q484" i="8"/>
  <c r="M493" i="8"/>
  <c r="H489" i="8"/>
  <c r="AL655" i="8"/>
  <c r="AL659" i="8"/>
  <c r="AE624" i="8"/>
  <c r="P575" i="8"/>
  <c r="Z484" i="8"/>
  <c r="AA500" i="8"/>
  <c r="AZ493" i="8"/>
  <c r="AS484" i="8"/>
  <c r="T644" i="8"/>
  <c r="AK644" i="8"/>
  <c r="U616" i="8"/>
  <c r="AP575" i="8"/>
  <c r="AD489" i="8"/>
  <c r="AK498" i="8"/>
  <c r="AP484" i="8"/>
  <c r="J493" i="8"/>
  <c r="M633" i="8"/>
  <c r="AO671" i="8"/>
  <c r="BC575" i="8"/>
  <c r="AD498" i="8"/>
  <c r="K500" i="8"/>
  <c r="X489" i="8"/>
  <c r="AR655" i="8"/>
  <c r="AT616" i="8"/>
  <c r="AD500" i="8"/>
  <c r="BC489" i="8"/>
  <c r="H497" i="8"/>
  <c r="O633" i="8"/>
  <c r="AJ616" i="8"/>
  <c r="AI498" i="8"/>
  <c r="AD484" i="8"/>
  <c r="BC629" i="8"/>
  <c r="AN655" i="8"/>
  <c r="AY662" i="8"/>
  <c r="AI500" i="8"/>
  <c r="BB644" i="8"/>
  <c r="S575" i="8"/>
  <c r="O489" i="8"/>
  <c r="BC671" i="8"/>
  <c r="AM575" i="8"/>
  <c r="K498" i="8"/>
  <c r="M577" i="8"/>
  <c r="Y616" i="8"/>
  <c r="X485" i="8"/>
  <c r="AN624" i="8"/>
  <c r="AT484" i="8"/>
  <c r="H672" i="8"/>
  <c r="AJ489" i="8"/>
  <c r="AZ616" i="8"/>
  <c r="AF556" i="8"/>
  <c r="F488" i="8"/>
  <c r="AS616" i="8"/>
  <c r="AX624" i="8"/>
  <c r="AT624" i="8"/>
  <c r="AP498" i="8"/>
  <c r="AB616" i="8"/>
  <c r="AK572" i="8"/>
  <c r="BB624" i="8"/>
  <c r="AG489" i="8"/>
  <c r="AD578" i="8"/>
  <c r="R671" i="8"/>
  <c r="AZ498" i="8"/>
  <c r="U653" i="8"/>
  <c r="Q522" i="8"/>
  <c r="AU639" i="8"/>
  <c r="Z485" i="8"/>
  <c r="M629" i="8"/>
  <c r="H612" i="8"/>
  <c r="Q632" i="8"/>
  <c r="AY586" i="8"/>
  <c r="L533" i="8"/>
  <c r="AE568" i="8"/>
  <c r="L567" i="8"/>
  <c r="AF579" i="8"/>
  <c r="AM555" i="8"/>
  <c r="AG663" i="8"/>
  <c r="U670" i="8"/>
  <c r="H524" i="8"/>
  <c r="AX640" i="8"/>
  <c r="AW616" i="8"/>
  <c r="L662" i="8"/>
  <c r="AE500" i="8"/>
  <c r="R493" i="8"/>
  <c r="F484" i="8"/>
  <c r="J489" i="8"/>
  <c r="AL577" i="8"/>
  <c r="AE672" i="8"/>
  <c r="V498" i="8"/>
  <c r="AS575" i="8"/>
  <c r="AX662" i="8"/>
  <c r="S489" i="8"/>
  <c r="AU498" i="8"/>
  <c r="AT489" i="8"/>
  <c r="AM659" i="8"/>
  <c r="X659" i="8"/>
  <c r="K616" i="8"/>
  <c r="AF575" i="8"/>
  <c r="Y489" i="8"/>
  <c r="AR500" i="8"/>
  <c r="U493" i="8"/>
  <c r="G484" i="8"/>
  <c r="K672" i="8"/>
  <c r="I624" i="8"/>
  <c r="AX575" i="8"/>
  <c r="AC500" i="8"/>
  <c r="BC493" i="8"/>
  <c r="AR488" i="8"/>
  <c r="T671" i="8"/>
  <c r="F616" i="8"/>
  <c r="N500" i="8"/>
  <c r="Z493" i="8"/>
  <c r="AM512" i="8"/>
  <c r="AL671" i="8"/>
  <c r="U629" i="8"/>
  <c r="BB500" i="8"/>
  <c r="AW489" i="8"/>
  <c r="N592" i="8"/>
  <c r="AH671" i="8"/>
  <c r="F553" i="8"/>
  <c r="AM489" i="8"/>
  <c r="G672" i="8"/>
  <c r="AC575" i="8"/>
  <c r="AF498" i="8"/>
  <c r="AH669" i="8"/>
  <c r="Z662" i="8"/>
  <c r="F498" i="8"/>
  <c r="AC633" i="8"/>
  <c r="X575" i="8"/>
  <c r="L498" i="8"/>
  <c r="AD616" i="8"/>
  <c r="BC484" i="8"/>
  <c r="P672" i="8"/>
  <c r="BC500" i="8"/>
  <c r="AI575" i="8"/>
  <c r="BA575" i="8"/>
  <c r="M484" i="8"/>
  <c r="F575" i="8"/>
  <c r="AK575" i="8"/>
  <c r="J575" i="8"/>
  <c r="Z616" i="8"/>
  <c r="W500" i="8"/>
  <c r="J484" i="8"/>
  <c r="Q616" i="8"/>
  <c r="AQ624" i="8"/>
  <c r="O655" i="8"/>
  <c r="AQ616" i="8"/>
  <c r="R500" i="8"/>
  <c r="Q501" i="8"/>
  <c r="AF654" i="8"/>
  <c r="AB665" i="8"/>
  <c r="BC642" i="8"/>
  <c r="AI623" i="8"/>
  <c r="AL604" i="8"/>
  <c r="AZ503" i="8"/>
  <c r="AM507" i="8"/>
  <c r="AR508" i="8"/>
  <c r="AO509" i="8"/>
  <c r="Q627" i="8"/>
  <c r="AE504" i="8"/>
  <c r="N594" i="8"/>
  <c r="AX510" i="8"/>
  <c r="AA614" i="8"/>
  <c r="I630" i="8"/>
  <c r="Y625" i="8"/>
  <c r="BC625" i="8"/>
  <c r="AW625" i="8"/>
  <c r="AM625" i="8"/>
  <c r="O625" i="8"/>
  <c r="AV625" i="8"/>
  <c r="U625" i="8"/>
  <c r="V625" i="8"/>
  <c r="T625" i="8"/>
  <c r="AI625" i="8"/>
  <c r="AE625" i="8"/>
  <c r="AX625" i="8"/>
  <c r="Q625" i="8"/>
  <c r="N625" i="8"/>
  <c r="AH625" i="8"/>
  <c r="H625" i="8"/>
  <c r="P625" i="8"/>
  <c r="AN625" i="8"/>
  <c r="AC625" i="8"/>
  <c r="AJ625" i="8"/>
  <c r="J625" i="8"/>
  <c r="AO625" i="8"/>
  <c r="BA625" i="8"/>
  <c r="AA625" i="8"/>
  <c r="Z625" i="8"/>
  <c r="AT625" i="8"/>
  <c r="M625" i="8"/>
  <c r="AQ625" i="8"/>
  <c r="W625" i="8"/>
  <c r="AG625" i="8"/>
  <c r="AS625" i="8"/>
  <c r="BB625" i="8"/>
  <c r="AZ625" i="8"/>
  <c r="X625" i="8"/>
  <c r="AU625" i="8"/>
  <c r="R625" i="8"/>
  <c r="AP625" i="8"/>
  <c r="L625" i="8"/>
  <c r="S625" i="8"/>
  <c r="AD625" i="8"/>
  <c r="AY625" i="8"/>
  <c r="K625" i="8"/>
  <c r="AK625" i="8"/>
  <c r="F625" i="8"/>
  <c r="AR625" i="8"/>
  <c r="AF625" i="8"/>
  <c r="I625" i="8"/>
  <c r="G625" i="8"/>
  <c r="AB625" i="8"/>
  <c r="AL625" i="8"/>
  <c r="AH647" i="8"/>
  <c r="AL554" i="8"/>
  <c r="G680" i="8" l="1"/>
  <c r="H8" i="9" s="1"/>
  <c r="P16" i="9" s="1"/>
  <c r="S680" i="8"/>
  <c r="T8" i="9" s="1"/>
  <c r="L16" i="9" s="1"/>
  <c r="AH680" i="8"/>
  <c r="AI8" i="9" s="1"/>
  <c r="AL680" i="8"/>
  <c r="AM8" i="9" s="1"/>
  <c r="W680" i="8"/>
  <c r="X8" i="9" s="1"/>
  <c r="X16" i="9" s="1"/>
  <c r="J680" i="8"/>
  <c r="K8" i="9" s="1"/>
  <c r="G16" i="9" s="1"/>
  <c r="AJ680" i="8"/>
  <c r="AK8" i="9" s="1"/>
  <c r="U680" i="8"/>
  <c r="V8" i="9" s="1"/>
  <c r="V16" i="9" s="1"/>
  <c r="AA680" i="8"/>
  <c r="AB8" i="9" s="1"/>
  <c r="AD680" i="8"/>
  <c r="AE8" i="9" s="1"/>
  <c r="AM680" i="8"/>
  <c r="AN8" i="9" s="1"/>
  <c r="AY680" i="8"/>
  <c r="AZ8" i="9" s="1"/>
  <c r="AS680" i="8"/>
  <c r="AT8" i="9" s="1"/>
  <c r="AB680" i="8"/>
  <c r="AC8" i="9" s="1"/>
  <c r="AU680" i="8"/>
  <c r="AV8" i="9" s="1"/>
  <c r="AE680" i="8"/>
  <c r="AF8" i="9" s="1"/>
  <c r="AV680" i="8"/>
  <c r="AW8" i="9" s="1"/>
  <c r="L680" i="8"/>
  <c r="M8" i="9" s="1"/>
  <c r="I16" i="9" s="1"/>
  <c r="P680" i="8"/>
  <c r="AK680" i="8"/>
  <c r="AL8" i="9" s="1"/>
  <c r="I680" i="8"/>
  <c r="J8" i="9" s="1"/>
  <c r="R16" i="9" s="1"/>
  <c r="AC680" i="8"/>
  <c r="AD8" i="9" s="1"/>
  <c r="BA680" i="8"/>
  <c r="BB8" i="9" s="1"/>
  <c r="BC680" i="8"/>
  <c r="BD8" i="9" s="1"/>
  <c r="AW680" i="8"/>
  <c r="AX8" i="9" s="1"/>
  <c r="AP680" i="8"/>
  <c r="AQ8" i="9" s="1"/>
  <c r="BB680" i="8"/>
  <c r="BC8" i="9" s="1"/>
  <c r="AQ680" i="8"/>
  <c r="AR8" i="9" s="1"/>
  <c r="X680" i="8"/>
  <c r="Y8" i="9" s="1"/>
  <c r="M16" i="9" s="1"/>
  <c r="O680" i="8"/>
  <c r="P8" i="9" s="1"/>
  <c r="T16" i="9" s="1"/>
  <c r="V680" i="8"/>
  <c r="W8" i="9" s="1"/>
  <c r="W16" i="9" s="1"/>
  <c r="AF680" i="8"/>
  <c r="AG8" i="9" s="1"/>
  <c r="Q680" i="8"/>
  <c r="R8" i="9" s="1"/>
  <c r="J16" i="9" s="1"/>
  <c r="F680" i="8"/>
  <c r="G8" i="9" s="1"/>
  <c r="AX680" i="8"/>
  <c r="AY8" i="9" s="1"/>
  <c r="AI680" i="8"/>
  <c r="AJ8" i="9" s="1"/>
  <c r="M680" i="8"/>
  <c r="N8" i="9" s="1"/>
  <c r="AT680" i="8"/>
  <c r="AU8" i="9" s="1"/>
  <c r="AN680" i="8"/>
  <c r="AO8" i="9" s="1"/>
  <c r="H680" i="8"/>
  <c r="R680" i="8"/>
  <c r="S8" i="9" s="1"/>
  <c r="K16" i="9" s="1"/>
  <c r="K680" i="8"/>
  <c r="AO680" i="8"/>
  <c r="AP8" i="9" s="1"/>
  <c r="AG680" i="8"/>
  <c r="AH8" i="9" s="1"/>
  <c r="Z680" i="8"/>
  <c r="AA8" i="9" s="1"/>
  <c r="O16" i="9" s="1"/>
  <c r="AR680" i="8"/>
  <c r="AS8" i="9" s="1"/>
  <c r="T680" i="8"/>
  <c r="U8" i="9" s="1"/>
  <c r="N680" i="8"/>
  <c r="O8" i="9" s="1"/>
  <c r="S16" i="9" s="1"/>
  <c r="AZ680" i="8"/>
  <c r="BA8" i="9" s="1"/>
  <c r="Y680" i="8"/>
  <c r="Z8" i="9" s="1"/>
  <c r="N16" i="9" s="1"/>
  <c r="Q8" i="9"/>
  <c r="U16" i="9" s="1"/>
  <c r="I8" i="9" l="1"/>
  <c r="Q16" i="9" s="1"/>
  <c r="L8" i="9"/>
  <c r="H16" i="9" s="1"/>
  <c r="D680" i="8"/>
  <c r="E680" i="8" s="1"/>
  <c r="F24" i="9" l="1"/>
  <c r="F25" i="9" s="1"/>
  <c r="F16" i="9"/>
  <c r="F23" i="9" s="1"/>
  <c r="F20" i="9" l="1"/>
</calcChain>
</file>

<file path=xl/sharedStrings.xml><?xml version="1.0" encoding="utf-8"?>
<sst xmlns="http://schemas.openxmlformats.org/spreadsheetml/2006/main" count="3748" uniqueCount="1988">
  <si>
    <t xml:space="preserve"> </t>
  </si>
  <si>
    <t>spare</t>
  </si>
  <si>
    <t>Network.services.list</t>
  </si>
  <si>
    <t>Checks</t>
  </si>
  <si>
    <t>CS4</t>
  </si>
  <si>
    <t>SMS</t>
  </si>
  <si>
    <t>GPRS</t>
  </si>
  <si>
    <t>R99 data</t>
  </si>
  <si>
    <t>HSDPA</t>
  </si>
  <si>
    <t>HSUPA</t>
  </si>
  <si>
    <t>kbit/s</t>
  </si>
  <si>
    <t>G.711</t>
  </si>
  <si>
    <t>LMA PCM Mbytes</t>
  </si>
  <si>
    <t>LMA IP Mbytes</t>
  </si>
  <si>
    <t>Core PCM Mbytes</t>
  </si>
  <si>
    <t>Core IP Mbytes</t>
  </si>
  <si>
    <t>RF.Option.List</t>
  </si>
  <si>
    <t>RF.Option.Table</t>
  </si>
  <si>
    <t>bits/byte</t>
  </si>
  <si>
    <t>min/SMS</t>
  </si>
  <si>
    <t>HSDPA.Ladder</t>
  </si>
  <si>
    <t>Downlink</t>
  </si>
  <si>
    <t>Uplink</t>
  </si>
  <si>
    <t>Voice.services.list</t>
  </si>
  <si>
    <t>SMS.services.list</t>
  </si>
  <si>
    <t>Data.services.list</t>
  </si>
  <si>
    <t>UMTS.channel.rate</t>
  </si>
  <si>
    <t>GPRS.channel.rate</t>
  </si>
  <si>
    <t>Thousand</t>
  </si>
  <si>
    <t>Kbits.per.Mbits</t>
  </si>
  <si>
    <t>Bits.per.byte</t>
  </si>
  <si>
    <t>epsilon</t>
  </si>
  <si>
    <t>On-net</t>
  </si>
  <si>
    <t>Radio.Erlangs.per.Erlang</t>
  </si>
  <si>
    <t>Ring.Time.Per.Minute</t>
  </si>
  <si>
    <t>UMTS R99 soft-handover</t>
  </si>
  <si>
    <t>UMTS R99 softer-handover</t>
  </si>
  <si>
    <t>Release99.soft.handover</t>
  </si>
  <si>
    <t>Release99.softer.handover</t>
  </si>
  <si>
    <t>Proportion.Core.to.Core.Voice</t>
  </si>
  <si>
    <t>Proportion.Core.to.Core.Data</t>
  </si>
  <si>
    <t>Assets.list</t>
  </si>
  <si>
    <t>CTRL.scenario.selected</t>
  </si>
  <si>
    <t>CTRL.WACC</t>
  </si>
  <si>
    <t>CTRL.common.costs.markup</t>
  </si>
  <si>
    <t>Services.demand</t>
  </si>
  <si>
    <t>Network.element.output</t>
  </si>
  <si>
    <t>Scenario.list</t>
  </si>
  <si>
    <t>Operators.list</t>
  </si>
  <si>
    <t>Depreciation.methodologies</t>
  </si>
  <si>
    <t>CTRL.operator.selected</t>
  </si>
  <si>
    <t>CTRL.depreciation.selected</t>
  </si>
  <si>
    <t>CTRL.NBV.assumption</t>
  </si>
  <si>
    <t>Network.services.list.units</t>
  </si>
  <si>
    <t>R99</t>
  </si>
  <si>
    <t>CHECKS</t>
  </si>
  <si>
    <t>MB.per.minute.GPRS</t>
  </si>
  <si>
    <t>MB.per.minute.R99</t>
  </si>
  <si>
    <t>MB.per.minute.HSDPA</t>
  </si>
  <si>
    <t>Minute.per.SMS.2G</t>
  </si>
  <si>
    <t>Minute.per.SMS.3G</t>
  </si>
  <si>
    <t>Total</t>
  </si>
  <si>
    <t>Total.annual.costs</t>
  </si>
  <si>
    <t>Leased lines</t>
  </si>
  <si>
    <t>LMA.technologies</t>
  </si>
  <si>
    <t>LRAIC+</t>
  </si>
  <si>
    <t>Ethernet</t>
  </si>
  <si>
    <t>Protocols</t>
  </si>
  <si>
    <t>Backhaul.and.core.transmission.technologies</t>
  </si>
  <si>
    <t>Core.ring.technology.used</t>
  </si>
  <si>
    <t>Core.ring.transmission.protocol.used</t>
  </si>
  <si>
    <t>LMA.transmission.protocol.used</t>
  </si>
  <si>
    <t>boolean</t>
  </si>
  <si>
    <t>BSC.Ladder</t>
  </si>
  <si>
    <t>RNC.Ladder</t>
  </si>
  <si>
    <t>GSM.Blocking.Rate.Used</t>
  </si>
  <si>
    <t>Market.Share.Used</t>
  </si>
  <si>
    <t>LMA.technologies.used</t>
  </si>
  <si>
    <t>Backhaul.technology.used</t>
  </si>
  <si>
    <t>Backhaul.transmission.protocol.used</t>
  </si>
  <si>
    <t>3G sites</t>
  </si>
  <si>
    <t>Type.of.radio.sites</t>
  </si>
  <si>
    <t>ATM / SDH / PDH</t>
  </si>
  <si>
    <t>CTRL.2G.coverage</t>
  </si>
  <si>
    <t>CTRL.3G.coverage</t>
  </si>
  <si>
    <t>Spectrum.Fee</t>
  </si>
  <si>
    <t>Geotypes</t>
  </si>
  <si>
    <t>Radio.sites.proportion.connected.via.hubs</t>
  </si>
  <si>
    <t>Radio.sites.per.hub</t>
  </si>
  <si>
    <t>LMA.hub.colocation</t>
  </si>
  <si>
    <t>Hubs.per.link</t>
  </si>
  <si>
    <t>Dark fibre</t>
  </si>
  <si>
    <t>Spare</t>
  </si>
  <si>
    <t>Utilisation.radio.assets</t>
  </si>
  <si>
    <t>Minimum.TRX.per.sector</t>
  </si>
  <si>
    <t>Average</t>
  </si>
  <si>
    <t>2G</t>
  </si>
  <si>
    <t>3G</t>
  </si>
  <si>
    <t>Scenario.number</t>
  </si>
  <si>
    <t>Voice</t>
  </si>
  <si>
    <t>#subs</t>
  </si>
  <si>
    <t>Data.services.list.units</t>
  </si>
  <si>
    <t>Mbytes</t>
  </si>
  <si>
    <t>LTE data Mbytes</t>
  </si>
  <si>
    <t>HSUPA data Mbytes</t>
  </si>
  <si>
    <t>HSDPA data Mbytes</t>
  </si>
  <si>
    <t>R99 data Mbytes</t>
  </si>
  <si>
    <t>GPRS data Mbytes</t>
  </si>
  <si>
    <t>SMS.services.list.units</t>
  </si>
  <si>
    <t>million</t>
  </si>
  <si>
    <t>choice</t>
  </si>
  <si>
    <t>No</t>
  </si>
  <si>
    <t>Yes</t>
  </si>
  <si>
    <t>Voice.services.list.units</t>
  </si>
  <si>
    <t>2G sites</t>
  </si>
  <si>
    <t>Radio.technologies</t>
  </si>
  <si>
    <t>HSPA</t>
  </si>
  <si>
    <t>UMTS</t>
  </si>
  <si>
    <t>GSM</t>
  </si>
  <si>
    <t>Operator.generic</t>
  </si>
  <si>
    <t>Hubs.per.link.inputs</t>
  </si>
  <si>
    <t>LMA.hub.colocation.inputs</t>
  </si>
  <si>
    <t>Radio.sites.per.hub.inputs</t>
  </si>
  <si>
    <t>LMA.LL.proportion</t>
  </si>
  <si>
    <t>Network.Load.Servers</t>
  </si>
  <si>
    <t>Total 3G</t>
  </si>
  <si>
    <t>Total 2G</t>
  </si>
  <si>
    <t>SMS BHCA</t>
  </si>
  <si>
    <t>SAU.per.sub</t>
  </si>
  <si>
    <t>PDP.context.per.sub</t>
  </si>
  <si>
    <t>Network.Core.to.Core.Mbit.s</t>
  </si>
  <si>
    <t>Network.Core.to.Core.Data.Mbit.s</t>
  </si>
  <si>
    <t>Network.Core.to.Core.Voice.Mbit.s</t>
  </si>
  <si>
    <t>Network.HSPA.data.RNC.Mbit.s</t>
  </si>
  <si>
    <t>Network.R99.data.RNC.Mbit.s</t>
  </si>
  <si>
    <t>Network.Total.data.RNC.Mbit.s</t>
  </si>
  <si>
    <t>Network.Total.voice.RNC.Mbit.s</t>
  </si>
  <si>
    <t>Network.Total.RNC.Mbit.s</t>
  </si>
  <si>
    <t>Network.Total.data.BSC.Mbit.s</t>
  </si>
  <si>
    <t>Network.Total.voice.BSC.Mbit.s</t>
  </si>
  <si>
    <t>Network.Total.BSC.Mbit.s</t>
  </si>
  <si>
    <t>Network.BSC.Voice.Mbit.s</t>
  </si>
  <si>
    <t>Network.BSC.Data.Mbit.s</t>
  </si>
  <si>
    <t>Network.Total.3G.HSPA.data.Backhaul.Mbit.s</t>
  </si>
  <si>
    <t>Network.Total.3G.R99.data.Backhaul.Mbit.s</t>
  </si>
  <si>
    <t>Network.Total.2G.data.Backhaul.Mbit.s</t>
  </si>
  <si>
    <t>Network.Total.3G.voice.Backhaul.Mbit.s</t>
  </si>
  <si>
    <t>Network.Total.2G.voice.Backhaul.Mbit.s</t>
  </si>
  <si>
    <t>Network.Total.3G.Backhaul.Mbit.s</t>
  </si>
  <si>
    <t>Network.Total.2G.Backhaul.Mbit.s</t>
  </si>
  <si>
    <t>Network.Total.Backhaul.Mbit.s</t>
  </si>
  <si>
    <t>Network.load.HSUPA</t>
  </si>
  <si>
    <t>Network.load.HSDPA</t>
  </si>
  <si>
    <t>Network.peak.UMTS.data.BHE</t>
  </si>
  <si>
    <t>Network.peak.UMTS.voice.BHE</t>
  </si>
  <si>
    <t>Network.peak.UMTS.BHE</t>
  </si>
  <si>
    <t>Network.peak.GSM.data.load</t>
  </si>
  <si>
    <t>Network.voice.BHE.3G</t>
  </si>
  <si>
    <t>Network.voice.BHE.2G</t>
  </si>
  <si>
    <t>Data.traffic.main</t>
  </si>
  <si>
    <t>Servers.Minimums</t>
  </si>
  <si>
    <t>Servers.Units</t>
  </si>
  <si>
    <t>Servers.Capacities</t>
  </si>
  <si>
    <t>Servers.List</t>
  </si>
  <si>
    <t>Circuits</t>
  </si>
  <si>
    <t>1 unit</t>
  </si>
  <si>
    <t>MMSC</t>
  </si>
  <si>
    <t>SMS/s</t>
  </si>
  <si>
    <t>SMSC</t>
  </si>
  <si>
    <t>Subs</t>
  </si>
  <si>
    <t>AUC</t>
  </si>
  <si>
    <t>EIR</t>
  </si>
  <si>
    <t>HLR</t>
  </si>
  <si>
    <t>PDP</t>
  </si>
  <si>
    <t>SAU</t>
  </si>
  <si>
    <t>BHE</t>
  </si>
  <si>
    <t>MGW</t>
  </si>
  <si>
    <t>BHCA</t>
  </si>
  <si>
    <t>MSS</t>
  </si>
  <si>
    <t>Core.Core.Ethernet.Ladder</t>
  </si>
  <si>
    <t>Core.Core.ATM.Ladder</t>
  </si>
  <si>
    <t>Mbit/s</t>
  </si>
  <si>
    <t>Number.of.core.LL.for.core.core.traffic</t>
  </si>
  <si>
    <t>Core.LL.per.core.site</t>
  </si>
  <si>
    <t>Core.LL.Ethernet.Ladder</t>
  </si>
  <si>
    <t>Core.LL.ATM.Ladder</t>
  </si>
  <si>
    <t>Ethernet, Mbit/s</t>
  </si>
  <si>
    <t>ATM/SDH/PDH, Mbit/s</t>
  </si>
  <si>
    <t>Core.technology.selected</t>
  </si>
  <si>
    <t>Core.Core.Data.Protocol</t>
  </si>
  <si>
    <t>Core.Core.Voice.Protocol</t>
  </si>
  <si>
    <t>core.channel.rate</t>
  </si>
  <si>
    <t>RNC.Core.Redundancy</t>
  </si>
  <si>
    <t>RNC.Core.Data.Protocol</t>
  </si>
  <si>
    <t>RNC.Core.Voice.Protocol</t>
  </si>
  <si>
    <t>RNC.Core.Ethernet.Ladder</t>
  </si>
  <si>
    <t>RNC.Core.ATM.Ladder</t>
  </si>
  <si>
    <t>BSC.Core.Redundancy</t>
  </si>
  <si>
    <t>BSC.Core.Data.Protocol</t>
  </si>
  <si>
    <t>BSC.Core.Voice.Protocol</t>
  </si>
  <si>
    <t>BSC.Core.Ethernet.Ladder</t>
  </si>
  <si>
    <t>BSC.Core.ATM.Ladder</t>
  </si>
  <si>
    <t>Capacity.RNC</t>
  </si>
  <si>
    <t>Capacity.BSC</t>
  </si>
  <si>
    <t>Locations.RNC</t>
  </si>
  <si>
    <t>RNC</t>
  </si>
  <si>
    <t>Locations.BSC</t>
  </si>
  <si>
    <t>BSC</t>
  </si>
  <si>
    <t>Hub.Core.Link.Ethernet.Ladder</t>
  </si>
  <si>
    <t>Hub.Core.Link.ATM.Ladder</t>
  </si>
  <si>
    <t>Hub.core.rings.length</t>
  </si>
  <si>
    <t>Backhaul.Ethernet.Ladder</t>
  </si>
  <si>
    <t>Backhaul.ATM.Ladder</t>
  </si>
  <si>
    <t>Hub.core.transmission.protocol.selected</t>
  </si>
  <si>
    <t>Backhaul.technology.selected</t>
  </si>
  <si>
    <t>LMA.ladder.Ethernet</t>
  </si>
  <si>
    <t>LMA.ladder.ATM</t>
  </si>
  <si>
    <t>LMA.transmission.protocol.selected</t>
  </si>
  <si>
    <t>LMA.technologies.selected</t>
  </si>
  <si>
    <t>Network.Site.To.Core.Mbits</t>
  </si>
  <si>
    <t>Physical.own.tower</t>
  </si>
  <si>
    <t>Physical.collocation</t>
  </si>
  <si>
    <t>HSUPA.minimum.carriers.deployment</t>
  </si>
  <si>
    <t>HSUPA.evolution.deployed</t>
  </si>
  <si>
    <t>HSUPA.Ladder</t>
  </si>
  <si>
    <t>HSDPA.minimum.carriers.deployment</t>
  </si>
  <si>
    <t>HSDPA.evolution.deployed</t>
  </si>
  <si>
    <t>Note: for example, peak rate of site might be 7.2Mbit/s, but effective rate available over the cell area is lower</t>
  </si>
  <si>
    <t>HSPA.peak.to.effective</t>
  </si>
  <si>
    <t>HSUPA.Network.BHMbits</t>
  </si>
  <si>
    <t>HSDPA.Network.BHMbits</t>
  </si>
  <si>
    <t>CK.size</t>
  </si>
  <si>
    <t>R99.CE.max</t>
  </si>
  <si>
    <t>R99.CE.min</t>
  </si>
  <si>
    <t>R99.CE.signalling</t>
  </si>
  <si>
    <t>UMTS.Network.R99.BHE</t>
  </si>
  <si>
    <t>GSM.blocking.probability</t>
  </si>
  <si>
    <t>GPRS.EDGE.channel.ratio</t>
  </si>
  <si>
    <t>EDGE.channel.rate</t>
  </si>
  <si>
    <t>GSM.channel.rate</t>
  </si>
  <si>
    <t>sig.channel.per.TRX</t>
  </si>
  <si>
    <t>GPRS.channel.per.sector</t>
  </si>
  <si>
    <t>GSM.minimum.TRX.capacity.layer</t>
  </si>
  <si>
    <t>GSM.minimum.TRX.coverage.layer</t>
  </si>
  <si>
    <t>GSM.TRX.capacity.layer</t>
  </si>
  <si>
    <t>GSM.TRX.coverage.layer</t>
  </si>
  <si>
    <t>GSM.BTS.capacity</t>
  </si>
  <si>
    <t>GSM.Sectorisation</t>
  </si>
  <si>
    <t>GSM.BTS.by.sector</t>
  </si>
  <si>
    <t>Tri-sector</t>
  </si>
  <si>
    <t>Bi-sector</t>
  </si>
  <si>
    <t>Mono-sector</t>
  </si>
  <si>
    <t>GSM.reuse</t>
  </si>
  <si>
    <t>GSM.Network.Voice.BHE</t>
  </si>
  <si>
    <t>GSM.data.traffic.distribution</t>
  </si>
  <si>
    <t>Channels.HSPA.Capacity</t>
  </si>
  <si>
    <t>Channels.HSPA.Coverage</t>
  </si>
  <si>
    <t>Channels.UMTS.Capacity</t>
  </si>
  <si>
    <t>Channels.UMTS.Coverage</t>
  </si>
  <si>
    <t>Channels.GSM.Capacity</t>
  </si>
  <si>
    <t>Channels.GSM.Coverage</t>
  </si>
  <si>
    <t>Channel.size.UMTS</t>
  </si>
  <si>
    <t>Channel.size.GSM</t>
  </si>
  <si>
    <t>MHz</t>
  </si>
  <si>
    <t>Spectrum.UMTS.Capacity</t>
  </si>
  <si>
    <t>Spectrum.UMTS.Coverage</t>
  </si>
  <si>
    <t>Spectrum.GSM.Capacity</t>
  </si>
  <si>
    <t>Spectrum.GSM.Coverage</t>
  </si>
  <si>
    <t>UMTS.Area.Site</t>
  </si>
  <si>
    <t>GSM.Area.Site</t>
  </si>
  <si>
    <t>Cell pi</t>
  </si>
  <si>
    <t>Ratio</t>
  </si>
  <si>
    <t>UMTS.Area.Coverage</t>
  </si>
  <si>
    <t>GSM.Area.Coverage</t>
  </si>
  <si>
    <t>Utilisation.single.unit</t>
  </si>
  <si>
    <t>Single unit</t>
  </si>
  <si>
    <t>Utilisation.Ports</t>
  </si>
  <si>
    <t>Switch port cards</t>
  </si>
  <si>
    <t>Utilisation.SMSC</t>
  </si>
  <si>
    <t>Utilisation.Servers</t>
  </si>
  <si>
    <t>Utilisation.Switches</t>
  </si>
  <si>
    <t>Switches</t>
  </si>
  <si>
    <t>Utilisation.Core.Core</t>
  </si>
  <si>
    <t>Utilisation.RNC.Core</t>
  </si>
  <si>
    <t>Utilisation.BSC.Core</t>
  </si>
  <si>
    <t>Utilisation.Hub.Core</t>
  </si>
  <si>
    <t>Utilisation.LMA</t>
  </si>
  <si>
    <t>Network capacity</t>
  </si>
  <si>
    <t>Utilisation.RNC</t>
  </si>
  <si>
    <t>Utilisation.BSC</t>
  </si>
  <si>
    <t>Utilisation.CE</t>
  </si>
  <si>
    <t>Utilisation.NodeB</t>
  </si>
  <si>
    <t>Utilisation.TRX</t>
  </si>
  <si>
    <t>Utilisation.BTS</t>
  </si>
  <si>
    <t>Required.assets.licence.fees</t>
  </si>
  <si>
    <t>Required.assets.RNC.ports.colocated.data</t>
  </si>
  <si>
    <t>For data</t>
  </si>
  <si>
    <t>Required.assets.RNC.ports.colocated.voice</t>
  </si>
  <si>
    <t>For voice</t>
  </si>
  <si>
    <t>TOO HIGH</t>
  </si>
  <si>
    <t>Required.assets.RNC.ports.remote.data</t>
  </si>
  <si>
    <t>Required.assets.RNC.ports.remote.voice</t>
  </si>
  <si>
    <t>Required.assets.BSC.ports.colocated.data</t>
  </si>
  <si>
    <t>Required.assets.BSC.ports.colocated.voice</t>
  </si>
  <si>
    <t>Required.assets.BSC.ports.remote.data</t>
  </si>
  <si>
    <t>Required.assets.BSC.ports.remote.voice</t>
  </si>
  <si>
    <t>Required.assets.Ports.RNC.data.10M</t>
  </si>
  <si>
    <t>Required.assets.Ports.RNC.data.E1</t>
  </si>
  <si>
    <t>Required.assets.Ports.RNC.voice.10M</t>
  </si>
  <si>
    <t>Required.assets.Ports.RNC.voice.E1</t>
  </si>
  <si>
    <t>Required.assets.Ports.BSC.10M</t>
  </si>
  <si>
    <t>Required.assets.Ports.BSC.E1</t>
  </si>
  <si>
    <t>Required.assets.servers</t>
  </si>
  <si>
    <t>Utilisation</t>
  </si>
  <si>
    <t>Required.assets.core.core.ring.fibre.length</t>
  </si>
  <si>
    <t>Required.assets.Core.Nodes.By.Speed</t>
  </si>
  <si>
    <t>Required.assets.core.leased.lines</t>
  </si>
  <si>
    <t>Required.assets.RNC.Core.Fibre.Data.Links</t>
  </si>
  <si>
    <t>Required.assets.RNC.Core.Fibre.Voice.Links</t>
  </si>
  <si>
    <t>Required.assets.RNC.Core.LL.Data.Links</t>
  </si>
  <si>
    <t>Required.assets.RNC.Core.LL.Voice.Links</t>
  </si>
  <si>
    <t>Required.assets.RNC.site</t>
  </si>
  <si>
    <t>Required.assets.RNC</t>
  </si>
  <si>
    <t>Required.assets.BSC.Core.Fibre.Data.Links</t>
  </si>
  <si>
    <t>Required.assets.BSC.Core.Fibre.Voice.Links</t>
  </si>
  <si>
    <t>Required.assets.BSC.Core.LL.Data.Links</t>
  </si>
  <si>
    <t>Required.assets.BSC.Core.LL.Voice.Links</t>
  </si>
  <si>
    <t>Required.assets.BSC.site</t>
  </si>
  <si>
    <t>Required.assets.BSC</t>
  </si>
  <si>
    <t>Required.assets.hub.core.ring.fibre.length</t>
  </si>
  <si>
    <t>Required.assets.hub.core.ring.access.points</t>
  </si>
  <si>
    <t>Required.assets.hub.core.leased.lines</t>
  </si>
  <si>
    <t>Required.assets.LMA.fibre.links</t>
  </si>
  <si>
    <t>Required.assets.LMA.microwave.links</t>
  </si>
  <si>
    <t>Required.assets.LMA.leased.lines</t>
  </si>
  <si>
    <t>Not needed</t>
  </si>
  <si>
    <t>Required.assets.third.party.sites</t>
  </si>
  <si>
    <t>Required.assets.own.sites</t>
  </si>
  <si>
    <t>Sites.total</t>
  </si>
  <si>
    <t>Sites.singletech.UMTS</t>
  </si>
  <si>
    <t>Sites.singletech.GSM</t>
  </si>
  <si>
    <t>Sites.multitech</t>
  </si>
  <si>
    <t>Required.assets.HSUPA.sites.11.5</t>
  </si>
  <si>
    <t>Required.assets.HSUPA.sites.5.76</t>
  </si>
  <si>
    <t>Required.assets.HSUPA.sites.2.93</t>
  </si>
  <si>
    <t>Required.assets.HSUPA.sites.2</t>
  </si>
  <si>
    <t>Required.assets.HSUPA.sites.1.46</t>
  </si>
  <si>
    <t>Required.assets.HSUPA.sites.0.73</t>
  </si>
  <si>
    <t>Required.assets.HSDPA.sites.21.1</t>
  </si>
  <si>
    <t>Required.assets.HSDPA.sites.14.1</t>
  </si>
  <si>
    <t>Required.assets.HSDPA.sites.10.1</t>
  </si>
  <si>
    <t>Required.assets.HSDPA.sites.7.2</t>
  </si>
  <si>
    <t>Required.assets.HSDPA.sites.3.6</t>
  </si>
  <si>
    <t>Required.assets.HSDPA.sites.1.8</t>
  </si>
  <si>
    <t>Required.assets.CK</t>
  </si>
  <si>
    <t>Sites.Total.UMTS</t>
  </si>
  <si>
    <t>Check.UMTS.capacity.sites</t>
  </si>
  <si>
    <t>Check.GPRS.capacity</t>
  </si>
  <si>
    <t>Network GSM data peak traffic by geotype</t>
  </si>
  <si>
    <t>Peak equivalent GPRS data load</t>
  </si>
  <si>
    <t>Required.assets.TRX</t>
  </si>
  <si>
    <t>TRX.Total</t>
  </si>
  <si>
    <t>Sites.Total.GSM</t>
  </si>
  <si>
    <t>UMTS.coverage.sites</t>
  </si>
  <si>
    <t>GSM.coverage.sites</t>
  </si>
  <si>
    <t>Inflation.rate.average</t>
  </si>
  <si>
    <t>Working.capital.allowance</t>
  </si>
  <si>
    <t>Unit.operating.cost</t>
  </si>
  <si>
    <t>Unit.investment.cost</t>
  </si>
  <si>
    <t>Capex.cost.trend.by.asset</t>
  </si>
  <si>
    <t>Asset.lifetimes</t>
  </si>
  <si>
    <t>Assets.category</t>
  </si>
  <si>
    <t>Network Management System</t>
  </si>
  <si>
    <t>Network servers</t>
  </si>
  <si>
    <t>Network switches</t>
  </si>
  <si>
    <t>Main switching/core sites</t>
  </si>
  <si>
    <t>BSC/RNC switches</t>
  </si>
  <si>
    <t>TRX</t>
  </si>
  <si>
    <t>Assets.cost.trend.names</t>
  </si>
  <si>
    <t>Annual.cost.by.element</t>
  </si>
  <si>
    <t>Network.opex.by.element</t>
  </si>
  <si>
    <t>Network.depreciation.by.element</t>
  </si>
  <si>
    <t>Network.capex.by.element</t>
  </si>
  <si>
    <t>G</t>
  </si>
  <si>
    <t>F</t>
  </si>
  <si>
    <t>E</t>
  </si>
  <si>
    <t>D</t>
  </si>
  <si>
    <t>C</t>
  </si>
  <si>
    <t>B</t>
  </si>
  <si>
    <t>A</t>
  </si>
  <si>
    <t>Total (nominal)</t>
  </si>
  <si>
    <t>Opex</t>
  </si>
  <si>
    <t>Depreciation</t>
  </si>
  <si>
    <t>Erlang.table.2G</t>
  </si>
  <si>
    <t>Erlang.Table.TRXs</t>
  </si>
  <si>
    <t>Erlang.Table.Header</t>
  </si>
  <si>
    <t>Channels.per.TRX</t>
  </si>
  <si>
    <t>Claro</t>
  </si>
  <si>
    <t>Entel</t>
  </si>
  <si>
    <t>Mobile.market.services.list.units</t>
  </si>
  <si>
    <t>Mobile.market.services.list</t>
  </si>
  <si>
    <t>months</t>
  </si>
  <si>
    <t>%</t>
  </si>
  <si>
    <t>Mobile.market.volumes.operator.selected</t>
  </si>
  <si>
    <t>Información sobre tráfico móvil</t>
  </si>
  <si>
    <t>Operador</t>
  </si>
  <si>
    <t>Tipo de tráfico</t>
  </si>
  <si>
    <t>Fuente</t>
  </si>
  <si>
    <t>Unidad</t>
  </si>
  <si>
    <t>Viettel</t>
  </si>
  <si>
    <t>Tráfico móvil entre julio de 2015 y junio de 2016</t>
  </si>
  <si>
    <t>Voz</t>
  </si>
  <si>
    <t>Minutos</t>
  </si>
  <si>
    <t>Saliente off-net</t>
  </si>
  <si>
    <t>Internacional</t>
  </si>
  <si>
    <t>Entrante off-net</t>
  </si>
  <si>
    <t>MMS</t>
  </si>
  <si>
    <t>Datos</t>
  </si>
  <si>
    <t>Market.services</t>
  </si>
  <si>
    <t>VoLTE.services.list</t>
  </si>
  <si>
    <t>VoLTE.services.list.units</t>
  </si>
  <si>
    <t>LTE</t>
  </si>
  <si>
    <t>Call.durations</t>
  </si>
  <si>
    <t>LTE.peak.to.effective</t>
  </si>
  <si>
    <t>LTE.Network.BHMbits</t>
  </si>
  <si>
    <t>LTE.Ladder</t>
  </si>
  <si>
    <t>LTE.evolution.deployed</t>
  </si>
  <si>
    <t>LTE.minimum.carriers.deployment</t>
  </si>
  <si>
    <t>MIMO</t>
  </si>
  <si>
    <t>16QAM</t>
  </si>
  <si>
    <t>3-4</t>
  </si>
  <si>
    <t>Single</t>
  </si>
  <si>
    <t>64QAM</t>
  </si>
  <si>
    <t>1-1</t>
  </si>
  <si>
    <t>2x2</t>
  </si>
  <si>
    <t>4x4</t>
  </si>
  <si>
    <t>LTE.voice.rate</t>
  </si>
  <si>
    <t>VoLTE</t>
  </si>
  <si>
    <t>minutes.per.hour</t>
  </si>
  <si>
    <t>seconds.per.hour</t>
  </si>
  <si>
    <t>seconds.per.minute</t>
  </si>
  <si>
    <t>Network.load.LTE</t>
  </si>
  <si>
    <t>Backhaul.rate.ATM</t>
  </si>
  <si>
    <t>Core.rate.ATM</t>
  </si>
  <si>
    <t>Backhaul.rate.Ethernet</t>
  </si>
  <si>
    <t>Core.rate.Ethernet</t>
  </si>
  <si>
    <t>Network.Total.LTE.Backhaul.Mbit.s</t>
  </si>
  <si>
    <t>Network.Total.LTE.voice.Backhaul.Mbit.s</t>
  </si>
  <si>
    <t>Network.Total.LTE.data.Backhaul.Mbit.s</t>
  </si>
  <si>
    <t>Total 4G</t>
  </si>
  <si>
    <t>Minute.per.SMS.LTE</t>
  </si>
  <si>
    <t>MB.per.minute.LTE</t>
  </si>
  <si>
    <t>Assets.routeing.factor</t>
  </si>
  <si>
    <t xml:space="preserve">= Service routeing factors * Total Service demand </t>
  </si>
  <si>
    <t>Routeing.factors</t>
  </si>
  <si>
    <t>USD</t>
  </si>
  <si>
    <t>Check.LTE.capacity.sites</t>
  </si>
  <si>
    <t>CTRL.4G.coverage</t>
  </si>
  <si>
    <t>Geotypes.area</t>
  </si>
  <si>
    <t>LTE.coverage.sites</t>
  </si>
  <si>
    <t>Channel.size.LTE</t>
  </si>
  <si>
    <t>Spectrum.LTE.Coverage</t>
  </si>
  <si>
    <t>Spectrum.LTE.Capacity</t>
  </si>
  <si>
    <t>Channels.LTE.Coverage</t>
  </si>
  <si>
    <t>Channels.LTE.Capacity</t>
  </si>
  <si>
    <t>Required.assets.LTE.sites.21.6</t>
  </si>
  <si>
    <t>Required.assets.LTE.sites.10.8</t>
  </si>
  <si>
    <t>Required.assets.LTE.sites.16.2</t>
  </si>
  <si>
    <t>Required.assets.LTE.sites.32.4</t>
  </si>
  <si>
    <t>Required.assets.LTE.sites.43.2</t>
  </si>
  <si>
    <t>Required.assets.LTE.sites.86.4</t>
  </si>
  <si>
    <t>LTE.Area.Coverage</t>
  </si>
  <si>
    <t>LTE.Area.Site</t>
  </si>
  <si>
    <t>CTRL.spectrum.available.sixth.band</t>
  </si>
  <si>
    <t>CTRL.spectrum.available.fifth.band</t>
  </si>
  <si>
    <t>CTRL.spectrum.available.fourth.band</t>
  </si>
  <si>
    <t>CTRL.spectrum.available.third.band</t>
  </si>
  <si>
    <t>CTRL.spectrum.available.second.band</t>
  </si>
  <si>
    <t>Sites.Total.LTE</t>
  </si>
  <si>
    <t>GSM/UMTS</t>
  </si>
  <si>
    <t>GSM/LTE</t>
  </si>
  <si>
    <t>UMTS/LTE</t>
  </si>
  <si>
    <t>Physical.collocation.LTE</t>
  </si>
  <si>
    <t>Sites.singletech.LTE</t>
  </si>
  <si>
    <t>Sites.multitech.GSM</t>
  </si>
  <si>
    <t>Sites.multitech.UMTS</t>
  </si>
  <si>
    <t>Sites.multitech.LTE</t>
  </si>
  <si>
    <t>SGSN</t>
  </si>
  <si>
    <t>GGSN</t>
  </si>
  <si>
    <t>LTE MME</t>
  </si>
  <si>
    <t>LTE SGW</t>
  </si>
  <si>
    <t>IN (SCP+SMP)</t>
  </si>
  <si>
    <t>I-SBC</t>
  </si>
  <si>
    <t>MSS software</t>
  </si>
  <si>
    <t>SGSN software</t>
  </si>
  <si>
    <t>GGSN software</t>
  </si>
  <si>
    <t>MME software</t>
  </si>
  <si>
    <t>SGW software</t>
  </si>
  <si>
    <t>HLR software</t>
  </si>
  <si>
    <t>Call server – hardware</t>
  </si>
  <si>
    <t>Call server – software</t>
  </si>
  <si>
    <t>Telephony Application Server (TAS)</t>
  </si>
  <si>
    <t>Session border controller (SBC) – hardware</t>
  </si>
  <si>
    <t>BH voice Mbit/s</t>
  </si>
  <si>
    <t>Session border controller (SBC) – software</t>
  </si>
  <si>
    <t>PCC</t>
  </si>
  <si>
    <t>MGCF</t>
  </si>
  <si>
    <t>PoI STM1 Gateway</t>
  </si>
  <si>
    <t>MSC/MGW STM1 ports for voice traffic</t>
  </si>
  <si>
    <t>Network software</t>
  </si>
  <si>
    <t>Channel kit</t>
  </si>
  <si>
    <t>4G sites</t>
  </si>
  <si>
    <t>Multi-technologies sites</t>
  </si>
  <si>
    <t>Servers.Redundancy</t>
  </si>
  <si>
    <t>Software</t>
  </si>
  <si>
    <t>Utilisation.software</t>
  </si>
  <si>
    <t>Mobile.market.volumes.total</t>
  </si>
  <si>
    <t>Market.demand.total</t>
  </si>
  <si>
    <t>Lima</t>
  </si>
  <si>
    <t>Callao</t>
  </si>
  <si>
    <t>Trujillo</t>
  </si>
  <si>
    <t>Chiclayo</t>
  </si>
  <si>
    <t>Piura</t>
  </si>
  <si>
    <t>Chachapoyas</t>
  </si>
  <si>
    <t>Cajamarca</t>
  </si>
  <si>
    <t>Huaraz</t>
  </si>
  <si>
    <t>Cerro de Pasco</t>
  </si>
  <si>
    <t>Ica</t>
  </si>
  <si>
    <t>Arequipa</t>
  </si>
  <si>
    <t>Moquegua</t>
  </si>
  <si>
    <t>Tacna</t>
  </si>
  <si>
    <t>Puno</t>
  </si>
  <si>
    <t>Puerto Maldonado</t>
  </si>
  <si>
    <t>Cusco</t>
  </si>
  <si>
    <t>Abancay</t>
  </si>
  <si>
    <t>Ayacucho</t>
  </si>
  <si>
    <t>Huancavelica</t>
  </si>
  <si>
    <t>Huancayo</t>
  </si>
  <si>
    <t>Tingo Maria</t>
  </si>
  <si>
    <t>Pucallpa</t>
  </si>
  <si>
    <t>Tarapoto</t>
  </si>
  <si>
    <t>Yurimaguas</t>
  </si>
  <si>
    <t>Iquitos</t>
  </si>
  <si>
    <t>Core.Core.fibre.distance</t>
  </si>
  <si>
    <t>Core.Core.MW.distance</t>
  </si>
  <si>
    <t>Core.nodes</t>
  </si>
  <si>
    <t>CTRL.RNC.sites</t>
  </si>
  <si>
    <t>CTRL.BSC.sites</t>
  </si>
  <si>
    <t>Distribution.of.traffic.voice.core</t>
  </si>
  <si>
    <t>Distribution.of.traffic.data.core</t>
  </si>
  <si>
    <t>Network.total.BSC.Mbit.s.by.core.node</t>
  </si>
  <si>
    <t>Network.voice.BSC.Mbit.s.by.core.node</t>
  </si>
  <si>
    <t>Network.data.BSC.Mbit.s.by.core.node</t>
  </si>
  <si>
    <t>Network.total.RNC.Mbit.s.by.core.node</t>
  </si>
  <si>
    <t>Remote.BSC.sites</t>
  </si>
  <si>
    <t>Remote.RNC.sites</t>
  </si>
  <si>
    <t>Core.rings.names</t>
  </si>
  <si>
    <t>-</t>
  </si>
  <si>
    <t>Core.rings.nodes.per.ring.for.equipment</t>
  </si>
  <si>
    <t>Core.rings.nodes.per.ring.for.traffic</t>
  </si>
  <si>
    <t>Remote.RNCs.load.voice</t>
  </si>
  <si>
    <t>Remote.RNCs.load.data</t>
  </si>
  <si>
    <t>Remote.BSCs.load.voice</t>
  </si>
  <si>
    <t>Remote.BSCs.load.data</t>
  </si>
  <si>
    <t>CTRL.main.switching.sites</t>
  </si>
  <si>
    <t>Main.switching.sites</t>
  </si>
  <si>
    <t>Main.switching.sites.total</t>
  </si>
  <si>
    <t>Core.ring.technology.by.node.used</t>
  </si>
  <si>
    <t>Capex.cost.trends</t>
  </si>
  <si>
    <t>Opex.cost.trends</t>
  </si>
  <si>
    <t>Lifetimes</t>
  </si>
  <si>
    <t>Required.assets.main.switching.sites</t>
  </si>
  <si>
    <t>MW.maximum.hop.distance</t>
  </si>
  <si>
    <t>Required.assets.core.core.MW.hops</t>
  </si>
  <si>
    <t>Sol.per.USD</t>
  </si>
  <si>
    <t>Control y datos de entrada</t>
  </si>
  <si>
    <t>Escenario seleccionado</t>
  </si>
  <si>
    <t>Metodología de depreciación utilizada</t>
  </si>
  <si>
    <t>Ajustes para el cálculo</t>
  </si>
  <si>
    <t>Edad media de los activos / vida útil</t>
  </si>
  <si>
    <t>PARÁMETROS</t>
  </si>
  <si>
    <t>Asignación de espectro</t>
  </si>
  <si>
    <t>DATOS DE ENTRADA Y SELECCIÓN DEL ESCENARIO</t>
  </si>
  <si>
    <t>Cobertura geográfica</t>
  </si>
  <si>
    <t>2G - cobertura geográfica</t>
  </si>
  <si>
    <t>3G - cobertura geográfica</t>
  </si>
  <si>
    <t>4G - cobertura geográfica</t>
  </si>
  <si>
    <t>Número mínimo de TRX por sector</t>
  </si>
  <si>
    <t>Tecnología de backhaul (hub a core)</t>
  </si>
  <si>
    <t>Protocolo de transmisión para el backhaul</t>
  </si>
  <si>
    <t>Centrales core conectadas por fibra (1 = sí, 0 = no)</t>
  </si>
  <si>
    <t>Tecnología de los anillos del core</t>
  </si>
  <si>
    <t>Protocolo de transmisión de los anillos del core</t>
  </si>
  <si>
    <t>Nodos con BSC</t>
  </si>
  <si>
    <t>Nodos con RNC</t>
  </si>
  <si>
    <t>Nodos con BSC, RNC y main switching</t>
  </si>
  <si>
    <t>Nodos con main switching</t>
  </si>
  <si>
    <t>Proporción de emplazamientos conectados via hubs</t>
  </si>
  <si>
    <t>Número de emplazamientos radio por hub</t>
  </si>
  <si>
    <t>Proporción de emplazamientos coubicados con hubs</t>
  </si>
  <si>
    <t>Número de hubs por cada enlace de transmisión hub-core (p.ej. 1 para punto-punto, o más de 1 para anillos)</t>
  </si>
  <si>
    <t>Probabilidad de bloqueo GSM</t>
  </si>
  <si>
    <t>Factor de utilización para los activos radio</t>
  </si>
  <si>
    <t>BTS físicas, en TRXs</t>
  </si>
  <si>
    <t>TRX, en Erlangs</t>
  </si>
  <si>
    <t>Capacidad BSC</t>
  </si>
  <si>
    <t>Capacidad RNC</t>
  </si>
  <si>
    <t>Factor de reuso del espectro para GSM</t>
  </si>
  <si>
    <t>Cuota de mercado</t>
  </si>
  <si>
    <t>Si no es OK, considerar el incremento de los canales asociados a GPRS</t>
  </si>
  <si>
    <t>Si el número de sites es muy grande, considerar si el radio de la celda LTE deber ser reducido, o la carga de tráfico LTE es erronea</t>
  </si>
  <si>
    <t xml:space="preserve">Número de sites LTE de capacidad </t>
  </si>
  <si>
    <t>Canales asociados a GPRS</t>
  </si>
  <si>
    <t>CUOTA DE MERCADO</t>
  </si>
  <si>
    <t>ASIGNACIONES DE ESPECTRO</t>
  </si>
  <si>
    <t>COBERTURA GEOGRÁFICA</t>
  </si>
  <si>
    <t>Tecnologías de acceso de última milla (LMA)</t>
  </si>
  <si>
    <t>Protocolo de transmisión para el acceso de última milla (LMA)</t>
  </si>
  <si>
    <t>DATOS DE ENTRADA DE ACCESO A ÚLTIMA MILLA (LMA) Y HUB A CORE</t>
  </si>
  <si>
    <t>BSC, RNC Y CORE (SWITCHING) SITES</t>
  </si>
  <si>
    <t>DISPONIBILIDAD DE FIBRA PARA TRANSMISIÓN DE BSC O RNC A CORE</t>
  </si>
  <si>
    <t>El nodo core utiliza fibra en la transmisión</t>
  </si>
  <si>
    <t>1 significa que el nodo usa fibra para la transmisión, o MW para Iquitos (0 significa que utiliza enlaces dedicados)</t>
  </si>
  <si>
    <t>Tráfico de datos</t>
  </si>
  <si>
    <t>Listas</t>
  </si>
  <si>
    <t>Geotipos</t>
  </si>
  <si>
    <t>Proporción del área total</t>
  </si>
  <si>
    <t>Población</t>
  </si>
  <si>
    <t>Proporción de la población total</t>
  </si>
  <si>
    <t>Distribución del tráfico de voz</t>
  </si>
  <si>
    <t>Distribución del tráfico de datos</t>
  </si>
  <si>
    <t>Área</t>
  </si>
  <si>
    <t>Nodos core</t>
  </si>
  <si>
    <t>Frecuencias</t>
  </si>
  <si>
    <t>Tecnologías radio</t>
  </si>
  <si>
    <t>Unidades</t>
  </si>
  <si>
    <t>Protocolos de transmisión</t>
  </si>
  <si>
    <t>Tecnologías LMA</t>
  </si>
  <si>
    <t>Tipo de sites radio</t>
  </si>
  <si>
    <t>Tecnologías de transmisión en el backhaul y core</t>
  </si>
  <si>
    <t>Servicios en el mercado</t>
  </si>
  <si>
    <t>Lista de servicios por tecnología</t>
  </si>
  <si>
    <t>Metodologías de depreciación</t>
  </si>
  <si>
    <t>Operadores</t>
  </si>
  <si>
    <t>Unidades para el diseño de red</t>
  </si>
  <si>
    <t>Servicios de red</t>
  </si>
  <si>
    <t>Hipotético</t>
  </si>
  <si>
    <t>Tráfico de voz on-net</t>
  </si>
  <si>
    <t>Tráfico de voz saliente a fijo</t>
  </si>
  <si>
    <t>Tráfico de voz saliente a móvil</t>
  </si>
  <si>
    <t>Tráfico de voz saliente a internacional</t>
  </si>
  <si>
    <t>Tráfico de voz entrante desde fijo</t>
  </si>
  <si>
    <t>Tráfico de voz entrante desde móvil</t>
  </si>
  <si>
    <t>Tráfico de voz entrante desde internacional</t>
  </si>
  <si>
    <t>SMSs on-net</t>
  </si>
  <si>
    <t>SMS salientes</t>
  </si>
  <si>
    <t>SMS entrantes</t>
  </si>
  <si>
    <t>2G - Tráfico de voz on-net</t>
  </si>
  <si>
    <t>2G - Tráfico de voz saliente a fijo</t>
  </si>
  <si>
    <t>2G - Tráfico de voz saliente a móvil</t>
  </si>
  <si>
    <t>2G - Tráfico de voz saliente a internacional</t>
  </si>
  <si>
    <t>2G - Tráfico de voz entrante desde fijo</t>
  </si>
  <si>
    <t>2G - Tráfico de voz entrante desde móvil</t>
  </si>
  <si>
    <t>2G - Tráfico de voz entrante desde internacional</t>
  </si>
  <si>
    <t>3G - Tráfico de voz on-net</t>
  </si>
  <si>
    <t>3G - Tráfico de voz saliente a fijo</t>
  </si>
  <si>
    <t>3G - Tráfico de voz saliente a móvil</t>
  </si>
  <si>
    <t>3G - Tráfico de voz saliente a internacional</t>
  </si>
  <si>
    <t>3G - Tráfico de voz entrante desde fijo</t>
  </si>
  <si>
    <t>3G - Tráfico de voz entrante desde móvil</t>
  </si>
  <si>
    <t>3G - Tráfico de voz entrante desde internacional</t>
  </si>
  <si>
    <t>4G - Tráfico de voz on-net</t>
  </si>
  <si>
    <t>4G - Tráfico de voz saliente a fijo</t>
  </si>
  <si>
    <t>4G - Tráfico de voz saliente a móvil</t>
  </si>
  <si>
    <t>4G - Tráfico de voz saliente a internacional</t>
  </si>
  <si>
    <t>4G - Tráfico de voz entrante desde fijo</t>
  </si>
  <si>
    <t>4G - Tráfico de voz entrante desde móvil</t>
  </si>
  <si>
    <t>4G - Tráfico de voz entrante desde internacional</t>
  </si>
  <si>
    <t>2G - SMSs on-net</t>
  </si>
  <si>
    <t>2G - SMS salientes</t>
  </si>
  <si>
    <t>2G - SMS entrantes</t>
  </si>
  <si>
    <t>3G - SMSs on-net</t>
  </si>
  <si>
    <t>3G - SMS salientes</t>
  </si>
  <si>
    <t>3G - SMS entrantes</t>
  </si>
  <si>
    <t>4G - SMSs on-net</t>
  </si>
  <si>
    <t>4G - SMS salientes</t>
  </si>
  <si>
    <t>4G - SMS entrantes</t>
  </si>
  <si>
    <t>Suscriptores de solo voz (media del año)</t>
  </si>
  <si>
    <t>Suscriptores de voz y datos (media del año)</t>
  </si>
  <si>
    <t>minutos</t>
  </si>
  <si>
    <t>suscriptores</t>
  </si>
  <si>
    <t>Anualidad inclinada</t>
  </si>
  <si>
    <t>Anualidad simple</t>
  </si>
  <si>
    <t>Anualidad lineal</t>
  </si>
  <si>
    <t>Booleano</t>
  </si>
  <si>
    <t>Escenario calculado</t>
  </si>
  <si>
    <t>Demanda de mercado de servicio móviles en Perú</t>
  </si>
  <si>
    <t>Volúmenes de tráfico para los servicios de mercado del operador seleccionado</t>
  </si>
  <si>
    <t>Servicios de mercado</t>
  </si>
  <si>
    <t>Nota</t>
  </si>
  <si>
    <t>Mercado total</t>
  </si>
  <si>
    <t>Cuota de mercado del operador modelado</t>
  </si>
  <si>
    <t>Volúmenes del operador modelado</t>
  </si>
  <si>
    <t>Número de suscriptores</t>
  </si>
  <si>
    <t>Transición entre servicios de mercado y servicios de red</t>
  </si>
  <si>
    <t>Reparto del tráfico por tecnología de red</t>
  </si>
  <si>
    <t>Porcentaje del tráfico de voz total en la red 2G</t>
  </si>
  <si>
    <t>Porcentaje del tráfico de voz total en la red 3G</t>
  </si>
  <si>
    <t>Porcentaje del tráfico de voz total en la red 4G</t>
  </si>
  <si>
    <t>Porcentaje del tráfico de SMS total en la red 2G</t>
  </si>
  <si>
    <t>Porcentaje del tráfico de SMS total en la red 3G</t>
  </si>
  <si>
    <t>Porcentaje del tráfico de SMS total en la red 4G</t>
  </si>
  <si>
    <t>Porcentaje del tráfico de datos que es GPRS</t>
  </si>
  <si>
    <t>Porcentaje del tráfico de datos que es R99</t>
  </si>
  <si>
    <t>Porcentaje del tráfico de datos que es HSDPA</t>
  </si>
  <si>
    <t>Porcentaje del tráfico de datos que es HSUPA</t>
  </si>
  <si>
    <t>Porcentaje del tráfico de datos que es LTE</t>
  </si>
  <si>
    <t>Volumenes de tráfico de servicios de red para el operador seleccionado</t>
  </si>
  <si>
    <t>Volúmenes</t>
  </si>
  <si>
    <t>Duración media de las llamadas</t>
  </si>
  <si>
    <t>Duración de las llamada</t>
  </si>
  <si>
    <t>Cálculos de demanda y suscriptores</t>
  </si>
  <si>
    <t>1. Volúmenes de tráfico totales en la red</t>
  </si>
  <si>
    <t>Para el tráfico seleccionado</t>
  </si>
  <si>
    <t>2. Cálculos de carga</t>
  </si>
  <si>
    <t>Perfil de carga de la red</t>
  </si>
  <si>
    <t>Tráfico de voz en la hora cargada</t>
  </si>
  <si>
    <t>Número de días cargados por año</t>
  </si>
  <si>
    <t>Proporción del tráfico semanal durante esos días cargados</t>
  </si>
  <si>
    <t>Proporción del tráfico diario durante la hora cargada de voz</t>
  </si>
  <si>
    <t>Proporción del tráfico diario durante la hora cargada de datos</t>
  </si>
  <si>
    <t>Erlangs de voz en la hora cargada de voz</t>
  </si>
  <si>
    <t>Erlangs de voz en la hora cargada de datos</t>
  </si>
  <si>
    <t>VoLTE tasa de canal radio - AMR-WB codec estándar (kbit/s)</t>
  </si>
  <si>
    <t>Mbit/s de voz en la hora cargada de voz</t>
  </si>
  <si>
    <t>Mbit/s de voz en la hora cargada de datos</t>
  </si>
  <si>
    <t>Cálculos relativos a llamadas</t>
  </si>
  <si>
    <t>Intentos de llamada por llamada exitosa</t>
  </si>
  <si>
    <t>Tiempo de timbrado por intento de llamada</t>
  </si>
  <si>
    <t>Radio Erlangs por Erlang</t>
  </si>
  <si>
    <t>Tiempo de timbrado por minuto</t>
  </si>
  <si>
    <t>Duración media de las llamadas (minutos)</t>
  </si>
  <si>
    <t>Erlangs radio en la hora cargada de voz, incluyendo timbrado</t>
  </si>
  <si>
    <t>Erlangs radio en la hora cargada de datos, incluyendo timbrado</t>
  </si>
  <si>
    <t>Erlangs radio en la hora cargada de voz (no se incluye el timbrado al no ocupar la red por ser conmutación de paquetes)</t>
  </si>
  <si>
    <t>Erlangs radio en la hora cargada de datos (no se incluye el timbrado al no ocupar la red por ser conmutación de paquetes)</t>
  </si>
  <si>
    <t>Mbit/s radio en la hora cargada de voz (no se incluye el timbrado al no ocupar la red por ser conmutación de paquetes)</t>
  </si>
  <si>
    <t>Mbit/s radio en la hora cargada de datos (no se incluye el timbrado al no ocupar la red por ser conmutación de paquetes)</t>
  </si>
  <si>
    <t>Tráfico de SMS en la hora cargada</t>
  </si>
  <si>
    <t>SMS en la hora cargada de voz</t>
  </si>
  <si>
    <t>SMS en la hora cargada de datos</t>
  </si>
  <si>
    <t>Tráfico de datos en la hora cargada</t>
  </si>
  <si>
    <t>Mbit/s de datos en la hora cargada de voz</t>
  </si>
  <si>
    <t>Mbit/s de datos en la hora cargada de datos</t>
  </si>
  <si>
    <t>3. Carga de red para voz radio</t>
  </si>
  <si>
    <t>BHE de voz en la hora cargada de voz</t>
  </si>
  <si>
    <t>4. Carga de red para GPRS</t>
  </si>
  <si>
    <t>Downlink BH Mbit/s en la hora cargada de datos</t>
  </si>
  <si>
    <t>Conversión a Erlang</t>
  </si>
  <si>
    <t>Conversián a Erlang</t>
  </si>
  <si>
    <t>BH Erlangs en la hora cargada de voz</t>
  </si>
  <si>
    <t>BH Erlangs en la hora cargada de datos</t>
  </si>
  <si>
    <t>5. Carga de la red UMTS por voz y datos R99</t>
  </si>
  <si>
    <t>de los cuales voz</t>
  </si>
  <si>
    <t>de los cuales datos</t>
  </si>
  <si>
    <t>Pico de UMTS R99 BH Erlangs</t>
  </si>
  <si>
    <t>6. Carga de red para HSPA</t>
  </si>
  <si>
    <t>7. Carga de red para LTE</t>
  </si>
  <si>
    <t>Total downlink GPRS Mbit/s en la hora cargada de voz</t>
  </si>
  <si>
    <t>Total downlink R99 Mbit/s en la hora cargada de voz</t>
  </si>
  <si>
    <t>Total downlink HSDPA Mbit/s en la hora cargada de voz</t>
  </si>
  <si>
    <t>Total uplink HSUPA Mbit/s en la hora cargada de voz</t>
  </si>
  <si>
    <t>Total downlink LTE Mbit/s en la hora cargada de voz</t>
  </si>
  <si>
    <t>VoLTE Mbit/s en la hora cargada de datos</t>
  </si>
  <si>
    <t>Total downlink LTE (datos y VoLTE)</t>
  </si>
  <si>
    <t>Reparto del tráfico entre downlink y uplink</t>
  </si>
  <si>
    <t>Porcentaje del tráfico HSPA en el downlink (i.e. HSDPA)</t>
  </si>
  <si>
    <t>Porcentaje del tráfico HSPA en el uplink (i.e. HSUPA)</t>
  </si>
  <si>
    <t>8. Carga de red en el backhaul</t>
  </si>
  <si>
    <t>Ajustes considerando la tecnología utilizada</t>
  </si>
  <si>
    <t>Datos Mbit/s downlink en la hora cargada de voz</t>
  </si>
  <si>
    <t>Datos Mbit/s downlink en la hora cargada de datos</t>
  </si>
  <si>
    <t>de los cuales 2G</t>
  </si>
  <si>
    <t>de los cuales 3G R99</t>
  </si>
  <si>
    <t>de los cuales 3G HSPA</t>
  </si>
  <si>
    <t>de los cuales LTE</t>
  </si>
  <si>
    <t>Conversión del tráfico de voz de Erlangs a Mbit/s</t>
  </si>
  <si>
    <t>Erlangs de tráfico de voz adicional debido al soft-handover en 3G</t>
  </si>
  <si>
    <t>Voz radio en BHE convertida a Mbit/s en la hora cargada de voz</t>
  </si>
  <si>
    <t>Voz radio en BHE convertida a Mbit/s en la hora cargada de datos</t>
  </si>
  <si>
    <t>de la cual 2G</t>
  </si>
  <si>
    <t>de la cual 3G</t>
  </si>
  <si>
    <t>de la cual 4G</t>
  </si>
  <si>
    <t>Carga total en la hora cargada de voz (Mbit/s)</t>
  </si>
  <si>
    <t>Carga total en la hora cargada de datos (Mbit/s)</t>
  </si>
  <si>
    <t>Carga pico en la hora cargada (Mbit/s)</t>
  </si>
  <si>
    <t>de la cual voz 2G</t>
  </si>
  <si>
    <t>de la cual voz 3G</t>
  </si>
  <si>
    <t>de la cual datos 2G</t>
  </si>
  <si>
    <t>de la cual datos 3G R99</t>
  </si>
  <si>
    <t>de la cual datos 3G HSPA</t>
  </si>
  <si>
    <t>de la cual datos 4G LTE</t>
  </si>
  <si>
    <t>de la cual voz 4G VoLTE</t>
  </si>
  <si>
    <t>No pasa por BSC</t>
  </si>
  <si>
    <t>Voz radio BHE convertida a Mbit/s en la hora cargada de voz</t>
  </si>
  <si>
    <t>Voz radio BHE convertida a Mbit/s en la hora cargada de datos</t>
  </si>
  <si>
    <t>Carga total BSC, BSC-MSC y BSC-SGSN en la hora cargada de voz (Mbit/s)</t>
  </si>
  <si>
    <t>Carga total BSC, BSC-MSC y BSC-SGSN en la hora cargada de datos (Mbit/s)</t>
  </si>
  <si>
    <t>de la cual voz</t>
  </si>
  <si>
    <t>de la cual datos</t>
  </si>
  <si>
    <t>Ratio entre tasa pico y tasa media usado para permitir a la transmisión hacer frente a los picos de tráfico LTE</t>
  </si>
  <si>
    <t>Ratio entre tasa pico y tasa media usado para permitir a la transmisión hacer frente a los picos de tráfico HSPA</t>
  </si>
  <si>
    <t>Datos downlink BSC, BSC-MSC y BSC-SGSN en la hora cargada de voz (Mbit/s)</t>
  </si>
  <si>
    <t>Datos downlink BSC, BSC-MSC y BSC-SGSN en la hora cargada de datos (Mbit/s)</t>
  </si>
  <si>
    <t>Datos downlink RNC, RNC-MSC y RNC-SGSN en la hora cargada de voz (Mbit/s)</t>
  </si>
  <si>
    <t>Datos downlink RNC, RNC-MSC y RNC-SGSN en la hora cargada de datos (Mbit/s)</t>
  </si>
  <si>
    <t>de los cuales R99</t>
  </si>
  <si>
    <t>de los cuales HSPA</t>
  </si>
  <si>
    <t>Voz radio pico BHE convertida a Mbit/s</t>
  </si>
  <si>
    <t>Carga total RNC, RNC-MSC and RNC-SGSN en la hora cargada de voz (Mbit/s)</t>
  </si>
  <si>
    <t>Carga total RNC, RNC-MSC and RNC-SGSN en la hora cargada de datos (Mbit/s)</t>
  </si>
  <si>
    <t>Carga pico RNC, RNC-MSC and RNC-SGSN en la hora cargada (Mbit/s)</t>
  </si>
  <si>
    <t>Carga pico BSC, BSC-MSC y BSC-SGSN en la hora cargada (Mbit/s)</t>
  </si>
  <si>
    <t>BHE en el core inluyendo timbrado en la hora cargada de voz</t>
  </si>
  <si>
    <t>No tiene en cuenta el timbrado al ser conmutación de paquetes</t>
  </si>
  <si>
    <t>BHE en el core inluyendo timbrado en la hora cargada de datos</t>
  </si>
  <si>
    <t>Proporción transportada entre MSCs no coubicadas</t>
  </si>
  <si>
    <t>Core-core voz BHE convertida a Mbit/s en la hora cargada de voz</t>
  </si>
  <si>
    <t>Core-core voz BHE convertida a Mbit/s en la hora cargada de datos</t>
  </si>
  <si>
    <t>Proporción transportada entre SGSN y GGSN no coubicados</t>
  </si>
  <si>
    <t>No pasa por RNC</t>
  </si>
  <si>
    <t>No es necesario al ser el uplink</t>
  </si>
  <si>
    <t>9. Carga de red para BSC, BSC-MSC y BSC-SGSN</t>
  </si>
  <si>
    <t>10. Carga de red para RNC, RNC-MSC y RNC-SGSN</t>
  </si>
  <si>
    <t>11. Carga de red para MSC-MSC y SGSN-GGSN</t>
  </si>
  <si>
    <t>Datos downlink MSC-MSC y SGSN-GGSN en la hora cargada de voz (Mbit/s)</t>
  </si>
  <si>
    <t>Datos downlink MSC-MSC y SGSN-GGSN en la hora cargada de datos (Mbit/s)</t>
  </si>
  <si>
    <t>Pico datos downlink MSC-MSC y SGSN-GGSN (Mbit/s)</t>
  </si>
  <si>
    <t>Carga total MSC-MSC y SGSN-GGSN en la hora cargada de voz (Mbit/s)</t>
  </si>
  <si>
    <t>Carga total MSC-MSC y SGSN-GGSN en la hora cargada de datos (Mbit/s)</t>
  </si>
  <si>
    <t>Carga pico MSC-MSC y SGSN-GGSN en la hora cargada (Mbit/s)</t>
  </si>
  <si>
    <t>12. Carga de red para otras plataformas del core</t>
  </si>
  <si>
    <t>Para servidores de datos</t>
  </si>
  <si>
    <t>Número de suscriptores de datos</t>
  </si>
  <si>
    <t>Contextos PDP activos por suscriptor</t>
  </si>
  <si>
    <t>SAU por suscriptor</t>
  </si>
  <si>
    <t>Nota: proporción de contextos PSP vs número de suscriptores de (voz y) datos</t>
  </si>
  <si>
    <t>Nota: proporción de SAU vs el número de suscriptores de (voz y) datos</t>
  </si>
  <si>
    <t>Para MSC / MSS</t>
  </si>
  <si>
    <t>Voz BHCA</t>
  </si>
  <si>
    <t>Para interconexión</t>
  </si>
  <si>
    <t>Lista de servidores</t>
  </si>
  <si>
    <t>Se asume la hora cargada de voz como la hora limitante para la capacidad del MSS</t>
  </si>
  <si>
    <t>Medida de la capacidad</t>
  </si>
  <si>
    <t>Porcentaje de interconexión SIP</t>
  </si>
  <si>
    <t>Porcentaje de interconexión TDM</t>
  </si>
  <si>
    <t>BHE de interconexión en el core incluyendo tiempo de timbrado y calculado sobre la hora cargada de voz</t>
  </si>
  <si>
    <t>Datos de entrada para el diseño de red</t>
  </si>
  <si>
    <t>1. DATOS DE COBERTURA</t>
  </si>
  <si>
    <t>Area cubierta por cada tecnología (para cada geotipo)</t>
  </si>
  <si>
    <t>Cobertura GSM</t>
  </si>
  <si>
    <t>Cobertura UMTS</t>
  </si>
  <si>
    <t>Cobertura LTE</t>
  </si>
  <si>
    <t>Proporción de area cubierta en cada geotipo</t>
  </si>
  <si>
    <t>Radio de celda (cell radii) por frecuencia y geotipo</t>
  </si>
  <si>
    <t>Radio de celda (cell radii) y área de celda por frecuencia</t>
  </si>
  <si>
    <t>Área de celda por frecuencia (km cuadrados)</t>
  </si>
  <si>
    <t>Factores de utilización</t>
  </si>
  <si>
    <t>Factores de utilización para para los elementos de red radio</t>
  </si>
  <si>
    <t>Factores de utilización para otros elementos de red</t>
  </si>
  <si>
    <t>BTS física, en TRXs</t>
  </si>
  <si>
    <t>NodeB físico, en CE</t>
  </si>
  <si>
    <t>CE, en R99 Erlangs o Mbit/s</t>
  </si>
  <si>
    <t>BSC, en TRXs</t>
  </si>
  <si>
    <t>RNC, en Mbit/s</t>
  </si>
  <si>
    <t>Enlaces LMA, en Mbit/s</t>
  </si>
  <si>
    <t>Transmisión hub-core, en Mbit/s</t>
  </si>
  <si>
    <t>Transmisión BSC-core, en Mbit/s</t>
  </si>
  <si>
    <t>Transmisión RNC-core, en Mbit/s</t>
  </si>
  <si>
    <t>Transmisión core-core, en Mbit/s</t>
  </si>
  <si>
    <t>Servidores</t>
  </si>
  <si>
    <t>Aplica a MSC, MSS, MGW, GGSN, SGSN, HLR, MME, SGW, PoI</t>
  </si>
  <si>
    <t>Aplica a IN etc</t>
  </si>
  <si>
    <t>Para soportar picos debido a elecciones/año nuevo etc</t>
  </si>
  <si>
    <t>Tendencias de costos del equipamiento</t>
  </si>
  <si>
    <t>Valores por activo</t>
  </si>
  <si>
    <t>Vida útil</t>
  </si>
  <si>
    <t>Tendencia de costos real</t>
  </si>
  <si>
    <t>Tendencia de costos nominal</t>
  </si>
  <si>
    <t>Costos totales</t>
  </si>
  <si>
    <t>Nombre del activo</t>
  </si>
  <si>
    <t>Red desplegada</t>
  </si>
  <si>
    <t>Precios unitarios (nominal)</t>
  </si>
  <si>
    <t>Opex unitario (nominal)</t>
  </si>
  <si>
    <t>Costos anualizados (nominal)</t>
  </si>
  <si>
    <t>Anualidad</t>
  </si>
  <si>
    <t>Lineal</t>
  </si>
  <si>
    <t>Depreciación (nominal)</t>
  </si>
  <si>
    <t>Método seleccionado</t>
  </si>
  <si>
    <t>Índice del método seleccionado</t>
  </si>
  <si>
    <t>Vida útil del activo</t>
  </si>
  <si>
    <t>DEPRECIACIÓN DE LOS ELEMENTOS DE RED</t>
  </si>
  <si>
    <t>Costo total anualizado (nominal)</t>
  </si>
  <si>
    <t>Carga de capital (nominal)</t>
  </si>
  <si>
    <t>Inclinación</t>
  </si>
  <si>
    <t>Denominador inclinado</t>
  </si>
  <si>
    <t>Tabla Erlang</t>
  </si>
  <si>
    <t>Número de canales</t>
  </si>
  <si>
    <t>Probabilidad de bloqueo</t>
  </si>
  <si>
    <t>Tráfico ofrecido en Erlangs</t>
  </si>
  <si>
    <t>Tabla Erlang-B interpolada (tabla Erlang para 2G)</t>
  </si>
  <si>
    <t>Fuente: Documentos ITU, Analysys STEM ®</t>
  </si>
  <si>
    <t>Dado un número de TRXs o canales en un sector y una probabilidad de bloqueo, esta tabla devolverá la capacidad del sector en Erlangs.</t>
  </si>
  <si>
    <t>El número de TRX puede ser una fracción, ya que puede ser un número medio de TRXs en un conjunto de sitios.</t>
  </si>
  <si>
    <t>Número de TRX por sector en media</t>
  </si>
  <si>
    <t>Número de canales requeridos para proporcionar tráfico, señalización y GPRS</t>
  </si>
  <si>
    <t>Capacidad en Erlangs considerando una probabilidad de bloqueo del 0.1%</t>
  </si>
  <si>
    <t>Capacidad en Erlangs considerando una probabilidad de bloqueo del 1%</t>
  </si>
  <si>
    <t>Capacidad en Erlangs considerando una probabilidad de bloqueo del 2%</t>
  </si>
  <si>
    <t>Capacidad en Erlangs considerando una probabilidad de bloqueo del 3%</t>
  </si>
  <si>
    <t>Capacidad en Erlangs considerando una probabilidad de bloqueo del 5%</t>
  </si>
  <si>
    <t>Número de canales requeridos para proporcionar tráfico</t>
  </si>
  <si>
    <t>Número de canales requeridos para proporcionar tráfico y GPRS</t>
  </si>
  <si>
    <t>Factores de enrutamiento</t>
  </si>
  <si>
    <t>1. Fuente de los cálculos</t>
  </si>
  <si>
    <t>Factores de conversión para la interfaz aire</t>
  </si>
  <si>
    <t>Conversión de SMS a minutos</t>
  </si>
  <si>
    <t>Número de bytes por SMS</t>
  </si>
  <si>
    <t>tasa de canal de voz para SMS (SDCCH; bit/s)</t>
  </si>
  <si>
    <t>seg/min</t>
  </si>
  <si>
    <t>Factor de conversión de SMS por minuto de voz</t>
  </si>
  <si>
    <t>Conversión de datos (MB) a minutos</t>
  </si>
  <si>
    <t>Proporción de tráfico en el downlink</t>
  </si>
  <si>
    <t>Overheads IP adicionales</t>
  </si>
  <si>
    <t>Tasa de canal de datos (Mbit/s)</t>
  </si>
  <si>
    <t>1 Mbyte de datos de usuario GPRS = Mbits de demanda IP en el downlink</t>
  </si>
  <si>
    <t>Un minuto de canal puede llevar Mbits de datos IP</t>
  </si>
  <si>
    <t>Factor de conversión de MB a minuto</t>
  </si>
  <si>
    <t>Máxima tasa HSPA en la red</t>
  </si>
  <si>
    <t>Tasa efectiva por canal HSPA</t>
  </si>
  <si>
    <t>Tasa efectiva de un canal LTE</t>
  </si>
  <si>
    <t>Factor de conversión de Mbytes a minutos</t>
  </si>
  <si>
    <t>Factores de carga radio</t>
  </si>
  <si>
    <t>Timbrado por minuto</t>
  </si>
  <si>
    <t>Erlangs de tráfico por soft-handover</t>
  </si>
  <si>
    <t>Tráfico por softer-handover</t>
  </si>
  <si>
    <t>Tasa</t>
  </si>
  <si>
    <t>Mbytes por minuto</t>
  </si>
  <si>
    <t>Factores de conversión para enlaces de transmisión</t>
  </si>
  <si>
    <t>Tasa de canal de voz PCM en el backhaul</t>
  </si>
  <si>
    <t>Tasa de canal de voz IP en el backhaul</t>
  </si>
  <si>
    <t>Tasa de canal de voz PCM en el core</t>
  </si>
  <si>
    <t>Tasa de canal de voz IP en el core</t>
  </si>
  <si>
    <t>Proporción del tráfico transportado en la red core-core</t>
  </si>
  <si>
    <t>Core-Core - solo datos</t>
  </si>
  <si>
    <t>Core-Core - solo voz</t>
  </si>
  <si>
    <t>Core-core PCM Mbytes de voz más datos</t>
  </si>
  <si>
    <t>Core-core IP Mbytes de voz más datos</t>
  </si>
  <si>
    <t>2. TABLA GENÉRICA DE FACTORES DE ENRUTAMIENTO</t>
  </si>
  <si>
    <t>3. TABLA COMPLETA DE FACTORES DE ENRUTAMIENTO</t>
  </si>
  <si>
    <t>Elemento de red</t>
  </si>
  <si>
    <t>Opción seleccionada</t>
  </si>
  <si>
    <t>Opciones</t>
  </si>
  <si>
    <t>Tasa por CE, Mbit/s</t>
  </si>
  <si>
    <t>Cálculos LRAIC y resultados</t>
  </si>
  <si>
    <t>1. Demanda de servicios para la red modelada</t>
  </si>
  <si>
    <t>2. Tabla completa de factores de enrutamiento</t>
  </si>
  <si>
    <t>3. Cálculo del costo por elemento de red</t>
  </si>
  <si>
    <t>Elementos de red</t>
  </si>
  <si>
    <t>Output de elementos de red</t>
  </si>
  <si>
    <t>Costos de red</t>
  </si>
  <si>
    <t>Costos comunes</t>
  </si>
  <si>
    <t>Costos de red output de elemento de red</t>
  </si>
  <si>
    <t>Costos comunes por output de elemento de red</t>
  </si>
  <si>
    <t>Costos totales por output de elemento de red (incluyendo mark-up)</t>
  </si>
  <si>
    <t>4. Costos LRAIC+</t>
  </si>
  <si>
    <t>Demanda del servicio</t>
  </si>
  <si>
    <t>Costo total del servicio (nominal)</t>
  </si>
  <si>
    <t>CTRL.spectrum.second.band.used.for.2G</t>
  </si>
  <si>
    <t>CTRL.spectrum.second.band.used.for.3G</t>
  </si>
  <si>
    <t>CTRL.spectrum.third.band.used.for.2G</t>
  </si>
  <si>
    <t>CTRL.spectrum.third.band.used.for.3G</t>
  </si>
  <si>
    <t>CTRL.spectrum.fourth.band.used.for.2G</t>
  </si>
  <si>
    <t>CTRL.spectrum.fourth.band.used.for.3G</t>
  </si>
  <si>
    <t>1700/2100 (AWS)</t>
  </si>
  <si>
    <t>4G</t>
  </si>
  <si>
    <t>CTRL.microcells.for.coverage</t>
  </si>
  <si>
    <t>Microcells.for.coverage</t>
  </si>
  <si>
    <t>Check micro/small cells for capacity</t>
  </si>
  <si>
    <t>Check.GSM.microcells</t>
  </si>
  <si>
    <t>Check.UMTS.HSPA.microcells</t>
  </si>
  <si>
    <t>Check.LTE.microcells</t>
  </si>
  <si>
    <t>RF.subscribers</t>
  </si>
  <si>
    <t>Costos totales (incluyendo mark-ups)</t>
  </si>
  <si>
    <t>Espectro usado para cobertura y área de las celdas para este espectro</t>
  </si>
  <si>
    <t>Frecuencia usada para desplegar cobertura</t>
  </si>
  <si>
    <t>Área de las estaciones utilizadas para desplegar cobertura (km cuadrados)</t>
  </si>
  <si>
    <t>Espectro usado para capacidad</t>
  </si>
  <si>
    <t>Primera banda de capacidad</t>
  </si>
  <si>
    <t>Segunda banda de capacidad</t>
  </si>
  <si>
    <t>Tercera banda de capacidad</t>
  </si>
  <si>
    <t>Cuarta banda de capacidad</t>
  </si>
  <si>
    <t>2. DATOS DE ENTRADA DE ESPECTRO</t>
  </si>
  <si>
    <t>Espectro emparejado (2x MHz)</t>
  </si>
  <si>
    <t>Espectro total disponible por operador por banda de frecuencia</t>
  </si>
  <si>
    <t>Espectro usado en 2G por banda de frecuencia</t>
  </si>
  <si>
    <t>Espectro usado en 3G por banda de frecuencia</t>
  </si>
  <si>
    <t>Espectro usado en 4G por banda de frecuencia</t>
  </si>
  <si>
    <t>GSM - Sitios de cobertura</t>
  </si>
  <si>
    <t>GSM - Sitios de capacidad</t>
  </si>
  <si>
    <t>UMTS - Sitios de cobertura</t>
  </si>
  <si>
    <t>UMTS - Sitios de capacidad</t>
  </si>
  <si>
    <t>LTE - Sitios de cobertura</t>
  </si>
  <si>
    <t>LTE - Sitios de capacidad</t>
  </si>
  <si>
    <t>Tamaño del canal</t>
  </si>
  <si>
    <t>Número de canales disponibles</t>
  </si>
  <si>
    <t>Canales UMTS reservados para UMTS, no HSPA</t>
  </si>
  <si>
    <t>en sitios de cobertura UMTS</t>
  </si>
  <si>
    <t>en sitios de capacidad UMTS</t>
  </si>
  <si>
    <t>HSPA - Sitios de cobertura</t>
  </si>
  <si>
    <t>HSPA - Sitios de capacidad</t>
  </si>
  <si>
    <t>Número de canales y distribución</t>
  </si>
  <si>
    <t>3. DISTRIBUCIÓN DEL TRÁFICO DE ENTRADA</t>
  </si>
  <si>
    <t>Distribución de la carga</t>
  </si>
  <si>
    <t>4. DATOS DE ENTRADA PARA GSM</t>
  </si>
  <si>
    <t>Tráfico de voz la red GSM por geotipo</t>
  </si>
  <si>
    <t>Tráfico de red de voz BHE en la hora cargada de voz</t>
  </si>
  <si>
    <t>Tráfico de red de voz BHE en la hora cargada de voz por geotipo</t>
  </si>
  <si>
    <t>Capacidad GSM</t>
  </si>
  <si>
    <t>Localización y capacidades de las BSC y RNC</t>
  </si>
  <si>
    <t>Capacidad desplegada BSC, en TRX</t>
  </si>
  <si>
    <t>Rango de capacidades entre las que elegir</t>
  </si>
  <si>
    <t>Capacidad seleccionada</t>
  </si>
  <si>
    <t>Tráfico de red para BSC, BSC-MSC y BSC-SGSN</t>
  </si>
  <si>
    <t>Tasa de los enlaces BSC-SGSN y BSC-MSC (en Mbit/s)</t>
  </si>
  <si>
    <t>Seleccione el protocolo de transmisión usado en el enlace BSC-Core:</t>
  </si>
  <si>
    <t>Redundancia en los enlaces SGSN y MSC por BSC (i.e. número de nodos conectados)</t>
  </si>
  <si>
    <t>Tasa de los enlaces RNC, RNC-MSC y RNC-SGSN (en Mbit/s)</t>
  </si>
  <si>
    <t>de la cual voz UMTS</t>
  </si>
  <si>
    <t>de la cual datos HSPA</t>
  </si>
  <si>
    <t>Tráfico de red para RNC, RNC-MSC y RNC-SGSN, Mbit/s</t>
  </si>
  <si>
    <t>Tasa de los enlaces RNC-SGSN y RNC-MSC (en Mbit/s)</t>
  </si>
  <si>
    <t>Seleccione el protocolo de transmisión usado en el enlace RNC-Core:</t>
  </si>
  <si>
    <t>Redundancia en los enlaces SGSN y MSC por RNC (i.e. número de nodos conectados)</t>
  </si>
  <si>
    <t>Número de main switching sites</t>
  </si>
  <si>
    <t>Proporción del tráfico transmitida entre enlaces MSC-MSC</t>
  </si>
  <si>
    <t>Transporte de llamadas de voz en la red core</t>
  </si>
  <si>
    <t>Seleccionado</t>
  </si>
  <si>
    <t>si ATM</t>
  </si>
  <si>
    <t>si Ethernet</t>
  </si>
  <si>
    <t>Proporción de los datos transmitidos en enlaces SGSN-GGSN</t>
  </si>
  <si>
    <t>Seleccione el protocolo de transmisión usado en los enlaces MSC-MSC y SGSN-GGSN:</t>
  </si>
  <si>
    <t>Tecnología de transmisión seleccionada en el core</t>
  </si>
  <si>
    <t>si anillos core de enlaces dedicados</t>
  </si>
  <si>
    <t>si anillos core de fibra oscura</t>
  </si>
  <si>
    <t>Número medio de saltos usados en el tráfico core-core</t>
  </si>
  <si>
    <t>Número medio de lineas alquiladas por core site</t>
  </si>
  <si>
    <t>Tasa de las lineas dedicadas en el core</t>
  </si>
  <si>
    <t>Arquitectura de la red core</t>
  </si>
  <si>
    <t>Nodos por anillo</t>
  </si>
  <si>
    <t>Transmisión por MW en el core (el tráfico pasa al medio-anillo Este y después al anillo Norte)</t>
  </si>
  <si>
    <t>Anillo Sur</t>
  </si>
  <si>
    <t>Anillo Norte</t>
  </si>
  <si>
    <t>Medio-anillo Este (el tráfico pasa al anillo Norte)</t>
  </si>
  <si>
    <t>Via Yurimaguas, donde termina el enlace MW desde Iquitos</t>
  </si>
  <si>
    <t>Por requerimientos de equipamiento</t>
  </si>
  <si>
    <t>Por carga de tráfico</t>
  </si>
  <si>
    <t>Tasa de los enlaces MSC-MSC y SGSN-GGSN</t>
  </si>
  <si>
    <t>Se excluyen Cerro de Pasco y Chachapoyas debido a que su tráfico hacia/desde los main switching sites alimenta directamente el anillo Norte</t>
  </si>
  <si>
    <t>Se excluye Yurimaguas debido a que su tráfico hacia/desde los main switching sites alimenta directamente el medio-anillo Este</t>
  </si>
  <si>
    <t>Distancia total de los anillos de fibra</t>
  </si>
  <si>
    <t>Medio-anillo Este</t>
  </si>
  <si>
    <t>MW</t>
  </si>
  <si>
    <t>Distancia total del core MW</t>
  </si>
  <si>
    <t>Máxima distancia entre salto MW</t>
  </si>
  <si>
    <t>Capacidad</t>
  </si>
  <si>
    <t>Unidades de capacidad</t>
  </si>
  <si>
    <t>Redundancia</t>
  </si>
  <si>
    <t>Medidas de capacidad para switches y servidores</t>
  </si>
  <si>
    <t>Soles por USD</t>
  </si>
  <si>
    <t>Número mínimo de elementos</t>
  </si>
  <si>
    <t>Tráfico de red en el backhaul</t>
  </si>
  <si>
    <t>Carga pico en la hora cargada de la red, Mbit/s</t>
  </si>
  <si>
    <t>de la cual voz GSM</t>
  </si>
  <si>
    <t>de la cual datos GSM</t>
  </si>
  <si>
    <t>de la cual datos UMTS R99</t>
  </si>
  <si>
    <t>Carga pico en la hora cargada en la red de backhaul, Mbit/s</t>
  </si>
  <si>
    <t>Tecnología usadas para LMA</t>
  </si>
  <si>
    <t>Protocolo de transmisión para LMA (solo relevante para líneas dedicadas)</t>
  </si>
  <si>
    <t>Tasa de los enlaces LMA</t>
  </si>
  <si>
    <t>Solo utilizado para líneas alquiladas y MW</t>
  </si>
  <si>
    <t>Proporción de sites conectados via hub</t>
  </si>
  <si>
    <t>Número de sites radio por hub</t>
  </si>
  <si>
    <t>Proporción de sites coubicados con hubs</t>
  </si>
  <si>
    <t>Número de hubs por cada enlace de transmisión hub-core (i.e. 1 para punto a punto, o más de uno para anillos)</t>
  </si>
  <si>
    <t>Tecnología de backhaul seleccionada</t>
  </si>
  <si>
    <t>Protocolo de transmisión en el backhaul (hub-core) seleccionado</t>
  </si>
  <si>
    <t>si bakchaul de enlaces dedicados</t>
  </si>
  <si>
    <t>Tasa de las lineas dedicadas en el backhaul (Mbit/s)</t>
  </si>
  <si>
    <t>si fibra oscura en el backhaul</t>
  </si>
  <si>
    <t>Anillos en el backhaul</t>
  </si>
  <si>
    <t>Longitud media en km por geotipo</t>
  </si>
  <si>
    <t>Tasa de los enlaces hub-core</t>
  </si>
  <si>
    <t>Diseño de red</t>
  </si>
  <si>
    <t>¿Algún error en esta hoja?</t>
  </si>
  <si>
    <t>1. SITES DE COBERTURA</t>
  </si>
  <si>
    <t>GSM  - cobertura de red radio</t>
  </si>
  <si>
    <t>UMTS  - cobertura de red radio</t>
  </si>
  <si>
    <t>LTE  - cobertura de red radio</t>
  </si>
  <si>
    <t>Área cubierta por tecnología (distribución por geotipo)</t>
  </si>
  <si>
    <t>Área por site para cobertura (km cuadrados)</t>
  </si>
  <si>
    <t>Sites totales para cobertura (macrosites)</t>
  </si>
  <si>
    <t>Sites totales para cobertura (macrosites y microsites)</t>
  </si>
  <si>
    <t>Capacidad requerida en el backhaul por tecnología, después del factor de utilización</t>
  </si>
  <si>
    <t>Mbit/s para sites GSM = TRX/site * canales * tasa de canal. Tener en cuenta que esta fórmula añade canales GPRS por site como es habitual</t>
  </si>
  <si>
    <t>Mbit/s para sites UMTS = R99 CE por site x tasa de canal</t>
  </si>
  <si>
    <t>Mbit/s para HSPA sites = max de la tasa HSDPA o HSUPA</t>
  </si>
  <si>
    <t>Mbit/s para sites LTE = Tasa LTE</t>
  </si>
  <si>
    <t>Mbit/s para sites multi-tecnología</t>
  </si>
  <si>
    <t>Requerimiento de enlaces LMA</t>
  </si>
  <si>
    <t>Tecnología usada para LMA</t>
  </si>
  <si>
    <t>Protocolo de transmisión para LMA</t>
  </si>
  <si>
    <t>Para enlaces dedicados y MW</t>
  </si>
  <si>
    <t>Para fibra</t>
  </si>
  <si>
    <t>Tabla con las tasas por protocolo de transmisión (Mbit/s)</t>
  </si>
  <si>
    <t>Para sites solo GSM</t>
  </si>
  <si>
    <t>Para sote solo UMTS/HSPA</t>
  </si>
  <si>
    <t>Para sites solo LTE</t>
  </si>
  <si>
    <t>Para sites multi-tecnología</t>
  </si>
  <si>
    <t>Requerimiento de enlaces LMA, excluyendo LMA coubicados (número de enlaces, por capacidad en Mbit/s)</t>
  </si>
  <si>
    <t>Para sites solo UMTS/HSPA</t>
  </si>
  <si>
    <t>Para site solo LTE</t>
  </si>
  <si>
    <t>Número de enlaces</t>
  </si>
  <si>
    <t>Tecnología seleccionada en el backhaul</t>
  </si>
  <si>
    <t>Número total de sites en la red</t>
  </si>
  <si>
    <t>Número total de sites conectados via hub</t>
  </si>
  <si>
    <t>Número de hubs</t>
  </si>
  <si>
    <t>Carga pico en la hora cargada para la red backhaul, Mbit/s</t>
  </si>
  <si>
    <t>Protocolo de transmisión seleccionado en el backhaul (hub-core)</t>
  </si>
  <si>
    <t>si bakhaul de enlaces dedicados</t>
  </si>
  <si>
    <t>Número de enlaces punto a punto hub-core</t>
  </si>
  <si>
    <t>Capacidad requerida por enlace punto a punto, Mbit/s</t>
  </si>
  <si>
    <t>Tasa desplegada en los enlaces dedicados, Mbit/s</t>
  </si>
  <si>
    <t>Tabla de tasas para los enlaces dedicados del backhaul (Mbit/s)</t>
  </si>
  <si>
    <t>Número total de enlaces dedicados para el backhaul por tasa (Mbit/s)</t>
  </si>
  <si>
    <t>si backhaul de fibra oscura</t>
  </si>
  <si>
    <t>Número de anillos hub-core</t>
  </si>
  <si>
    <t>Capacidad requerida por anillo, Mbit/s</t>
  </si>
  <si>
    <t>Tabla de tasas para la fibra oscura del backhaul (Mbit/s)</t>
  </si>
  <si>
    <t>Tasa en los anillos desplegados, Mbit/s</t>
  </si>
  <si>
    <t>Número total de puntos de acceso en los anillos por tasa (Mbit/s)</t>
  </si>
  <si>
    <t>Longitud total de los anillos hub-core (km)</t>
  </si>
  <si>
    <t>Número de TRX por nodo core</t>
  </si>
  <si>
    <t>Capacidad BSC en uso, sujeta al factor máximo de utilización</t>
  </si>
  <si>
    <t>Número total de BSC por capacidad</t>
  </si>
  <si>
    <t>Carga pico BSC, BSC-MSC y BSC-SGSN en la hora cargada, Mbit/s</t>
  </si>
  <si>
    <t>Para voz</t>
  </si>
  <si>
    <t>Para datos</t>
  </si>
  <si>
    <t>Cantidad de tráfico BSC que se asocia a BSC remotas, Mbit/s, sujeto al factor de utilización</t>
  </si>
  <si>
    <t>Carga pico para RNC en la red, Mbit/s</t>
  </si>
  <si>
    <t>Número de emplazamientos BSC remotos</t>
  </si>
  <si>
    <t>Número total de emplazamientos BSC remotos</t>
  </si>
  <si>
    <t>Capacidad RNC en uso, sujeta al factor máximo de utilización</t>
  </si>
  <si>
    <t>Antes del factor de utilización</t>
  </si>
  <si>
    <t>Después del factor de utilización</t>
  </si>
  <si>
    <t>RNC requeridas por emplazamiento</t>
  </si>
  <si>
    <t>BSC requeridas por emplazamiento</t>
  </si>
  <si>
    <t>Número total de RNC por capacidad</t>
  </si>
  <si>
    <t>Número de RNSs remotas</t>
  </si>
  <si>
    <t>Número de emplazamientos RNC remotos</t>
  </si>
  <si>
    <t>Número total de emplazamientos RNC remotos</t>
  </si>
  <si>
    <t>Número de  BSCs remotas</t>
  </si>
  <si>
    <t>Cantidad de tráfico RNC que se asocia a RNC remotas, Mbit/s, sujeto al factor de utilización</t>
  </si>
  <si>
    <t>Nodos por anillo para tráfico</t>
  </si>
  <si>
    <t>Nodos por anillo para equipamiento</t>
  </si>
  <si>
    <t>Transmisión fibra (o MW)para el nodo (1 = sí, 0 = líneas alquiladas)</t>
  </si>
  <si>
    <t>Nodos con transmisión de fibra</t>
  </si>
  <si>
    <t>Para BSCs remotas</t>
  </si>
  <si>
    <t>Tráfico por BSC remota por anillo</t>
  </si>
  <si>
    <t>Tabla de tasas (Mbit/s)</t>
  </si>
  <si>
    <t>Capacidad requerida en los enlaces</t>
  </si>
  <si>
    <t>Protocolo en los enlaces BSC-core</t>
  </si>
  <si>
    <t>si líneas dedicadas</t>
  </si>
  <si>
    <t>si fibra (MW)</t>
  </si>
  <si>
    <t>Tráfico</t>
  </si>
  <si>
    <t>Capacidad requerida</t>
  </si>
  <si>
    <t>Tráfico incluyendo la carga proveniente de otros anilllos o ramificaciones</t>
  </si>
  <si>
    <t>Número de puntos de acceso por anillo de fibra</t>
  </si>
  <si>
    <t>Número de enlaces MW</t>
  </si>
  <si>
    <t>Número de enlaces de trasmisión para BSCs remotas sobre líneas dedicadas por tasa (Mbit/s)</t>
  </si>
  <si>
    <t>Número de enlaces de trasmisión para BSCs remotas sobre fibra por tasa (Mbit/s)</t>
  </si>
  <si>
    <t>Para RNCs remotas</t>
  </si>
  <si>
    <t>Tráfico por RNC remota por anillo</t>
  </si>
  <si>
    <t>Protocolo en los enlaces RNC-core</t>
  </si>
  <si>
    <t>Para emplazamientos RNC remotos</t>
  </si>
  <si>
    <t>Para el main switching site donde la RNC remota se conecta</t>
  </si>
  <si>
    <t>Para emplazamientos con BSC remotas</t>
  </si>
  <si>
    <t>Para el main switching site donde la BSC remota se conecta</t>
  </si>
  <si>
    <t>Número de enlaces de transmisión para RNCs remotas sobre enlaces dedicados por tasa (Mbit/s)</t>
  </si>
  <si>
    <t>Número de puntos de acceso para transmisión de RNCs remotas en fibra por tasa (Mbit/s)</t>
  </si>
  <si>
    <t>Para transmisión entre main switching sites</t>
  </si>
  <si>
    <t>Voz BHE Core-core convertida a Mbit/s en la hora cargada de voz</t>
  </si>
  <si>
    <t>Datos downlink pico MSC-MSC y SGSN-GGSN Mbit/s</t>
  </si>
  <si>
    <t>Protocolo de transmisión usado para MSC-MSC y SGSN-GGSN:</t>
  </si>
  <si>
    <t>Carga pico core-core en la hora cargada para la red ATM / SDH / PDH, Mbit/s, sujeta al factor de subutilización</t>
  </si>
  <si>
    <t>Carga pico core-core en la hora cargada para la red Ethernet, Mbit/s, sujeta al factor de subutilización</t>
  </si>
  <si>
    <t>Tecnología seleccionada para la transmisión en el core</t>
  </si>
  <si>
    <t>Número total de nodos core</t>
  </si>
  <si>
    <t>Número de anillos core</t>
  </si>
  <si>
    <t>Si anillo core de enlaces dedicados</t>
  </si>
  <si>
    <t>Enlaces dedicados core-core</t>
  </si>
  <si>
    <t>Tabla de tasa (Mbit/s)</t>
  </si>
  <si>
    <t>Tasa desplegada para enlaces dedicados, Mbit/s</t>
  </si>
  <si>
    <t>Número total de enlaces dedicados en el core por tasa (Mbit/s)</t>
  </si>
  <si>
    <t>Si anillos de fibra en el core</t>
  </si>
  <si>
    <t>Enlaces de fibra Core-Core</t>
  </si>
  <si>
    <t>Mbit/s requeridos para core-core</t>
  </si>
  <si>
    <t>Número total de nodos core por tasa (Mbit/s)</t>
  </si>
  <si>
    <t>Longitud de los enlaces de transmisión</t>
  </si>
  <si>
    <t>Distancia de fibra</t>
  </si>
  <si>
    <t>Distancia de MW</t>
  </si>
  <si>
    <t>Saltos MW</t>
  </si>
  <si>
    <t>Capacidad de los servidores</t>
  </si>
  <si>
    <t>Drivers de demanda para los servidores</t>
  </si>
  <si>
    <t>Utilización</t>
  </si>
  <si>
    <t>Número mínimo de equipos</t>
  </si>
  <si>
    <t>Despliegue de servidores</t>
  </si>
  <si>
    <t>Demanda</t>
  </si>
  <si>
    <t>BSC a emplazamientos radio</t>
  </si>
  <si>
    <t>Unidad básica de BSC a emplazamientos radio</t>
  </si>
  <si>
    <t>Número de puertos de BSC a emplazamientos radio</t>
  </si>
  <si>
    <t xml:space="preserve">Puertos BSC E1 </t>
  </si>
  <si>
    <t>Puertos BSC 10Mbit/s Ethernet</t>
  </si>
  <si>
    <t>RNC a emplazamientos radio</t>
  </si>
  <si>
    <t>Unidad básica de RNC a emplazamientos radio</t>
  </si>
  <si>
    <t>Número de puertos de RNC a emplazamientos radio, interfaz de voz</t>
  </si>
  <si>
    <t>Número de puertos de RNC a emplazamientos radio, interfaz de paquetes</t>
  </si>
  <si>
    <t>Puertos RNC E1, interfaz de voz</t>
  </si>
  <si>
    <t>Puertos RNC 10Mbit/s Ethernet, interfaz de voz</t>
  </si>
  <si>
    <t>Puertos RNC E1, interfaz de paquetes</t>
  </si>
  <si>
    <t>Puertos RNC 10Mbit/s Ethernet, interfaz de paquetes</t>
  </si>
  <si>
    <t xml:space="preserve">Puertos de BSC a core </t>
  </si>
  <si>
    <t>Para BSCs remotas, número de puertos por capacidad, voz</t>
  </si>
  <si>
    <t>Para BSCs remotas, número de puertos por capacidad, datos</t>
  </si>
  <si>
    <t>Para BSCs coubicadas, cantidad de tráfico para ser gestionado por todas las BSCs, Mbit/s</t>
  </si>
  <si>
    <t>Tasa de los puertos por BSC</t>
  </si>
  <si>
    <t>Capacidad del enlace BSC-core</t>
  </si>
  <si>
    <t>Para tráfico de voz (a MSC)</t>
  </si>
  <si>
    <t>Para tráfico de datos (a SGSN)</t>
  </si>
  <si>
    <t>Tráfico total gestionado en sitios coubicados, por BSC coubicada</t>
  </si>
  <si>
    <t>Puertos de RNC a core</t>
  </si>
  <si>
    <t>Para RNCs remotas, número de puertos por capacidad, voz</t>
  </si>
  <si>
    <t>Para RNCs remotas, número de puertos por capacidad, datos</t>
  </si>
  <si>
    <t>Para RNCs coubicadas, cantidad de tráfico para ser gestionado por todas las RNCs, Mbit/s</t>
  </si>
  <si>
    <t>Capacidad del enlace RNC-core</t>
  </si>
  <si>
    <t>Tráfico total gestionado en sitios coubicados, por RNC coubicada</t>
  </si>
  <si>
    <t>Tasa de los puertos por RNC</t>
  </si>
  <si>
    <t>Erlang.table.2G.blocking.selected</t>
  </si>
  <si>
    <t>GSM.TRX.coverage.and.capacity.layers</t>
  </si>
  <si>
    <t>UMTS.blocking.probability</t>
  </si>
  <si>
    <t>de la cual datos LTE</t>
  </si>
  <si>
    <t>Channels.per.carrier</t>
  </si>
  <si>
    <t>Erlang.Table.R99.Carriers</t>
  </si>
  <si>
    <t>Erlang.Table.R99.Carriers.3G</t>
  </si>
  <si>
    <t>Erlang.table.R99.Carriers.3G.blocking.selected</t>
  </si>
  <si>
    <t>Erlang.Table.Channels</t>
  </si>
  <si>
    <t>Erlang.Table</t>
  </si>
  <si>
    <t>Erlang.Table.R99.CE</t>
  </si>
  <si>
    <t>Número de canales requeridos para proporcionar tráfico, señalización y soft-handover</t>
  </si>
  <si>
    <t>Número de canales requeridos para proporcionar tráfico y soft-handover</t>
  </si>
  <si>
    <t>Número de Carriers</t>
  </si>
  <si>
    <t>UMTS.Network.R99.BHE.voice</t>
  </si>
  <si>
    <t>UMTS.Network.R99.BHE.data</t>
  </si>
  <si>
    <t>Required.assets.3G.carriers</t>
  </si>
  <si>
    <t xml:space="preserve">Número de sites UMTS/HSPA de capacidad </t>
  </si>
  <si>
    <t>Si el número de sites es muy grande, considerar si el radio de celda UMTS debe ser reducido, o la carga de tráfico UMTS es erronea, o la carga de tráfico HSPA es erronea</t>
  </si>
  <si>
    <t>Required.assets.LTE.all.steps</t>
  </si>
  <si>
    <t>Required.assets.HSDPA.all.steps</t>
  </si>
  <si>
    <t>Número de elementos de red para licencias de espectro</t>
  </si>
  <si>
    <t>Cálculo del canon de espectro</t>
  </si>
  <si>
    <t>Escalera para el cálculo del canon de espectro en función de los terminales / suscriptores</t>
  </si>
  <si>
    <t>Desde</t>
  </si>
  <si>
    <t>Hasta</t>
  </si>
  <si>
    <t>Canon</t>
  </si>
  <si>
    <t>UIT (Unidad Impositiva Tributaria) para 2015</t>
  </si>
  <si>
    <t>PEN</t>
  </si>
  <si>
    <t>UIT (Unidad Impositiva Tributaria) para 2016</t>
  </si>
  <si>
    <t>UIT media el periodo de estudio (de julio 2015 a junio de 2016)</t>
  </si>
  <si>
    <t>Terminales / suscriptores del operador modelado</t>
  </si>
  <si>
    <t>Canon de espectro del operador</t>
  </si>
  <si>
    <t>Canon.Espectro.USD</t>
  </si>
  <si>
    <t>Subscribers.voice.only</t>
  </si>
  <si>
    <t>Subscribers.voice.and.data</t>
  </si>
  <si>
    <t>Canon de espectro</t>
  </si>
  <si>
    <t>Aporte regulatorio (%)</t>
  </si>
  <si>
    <t>Outgoing.voice.traffic.to.fixed.national</t>
  </si>
  <si>
    <t>Outgoing.voice.traffic.to.mobile.national</t>
  </si>
  <si>
    <t>Incoming.voice.traffic.from.fixed.national</t>
  </si>
  <si>
    <t>Incoming.voice.traffic.from.mobile.national</t>
  </si>
  <si>
    <t>Tráficos de voz</t>
  </si>
  <si>
    <t>Entrante desde fijo</t>
  </si>
  <si>
    <t>Saliente a fijo</t>
  </si>
  <si>
    <t>Entrante desde móvil</t>
  </si>
  <si>
    <t>Saliente a móvil</t>
  </si>
  <si>
    <t>Mark.up.regulatory.contribution</t>
  </si>
  <si>
    <t>Capacidad en Erlangs con probabilidad de bloqueo seleccionada</t>
  </si>
  <si>
    <t>Tabla Erlang para 3G</t>
  </si>
  <si>
    <t>Required.assets.LTE.carriers</t>
  </si>
  <si>
    <t>7. TRANSMISIÓN PARA EL ACCESO A ÚLTIMA MILLA</t>
  </si>
  <si>
    <t>8. HUB A CORE</t>
  </si>
  <si>
    <t>9. BSC</t>
  </si>
  <si>
    <t>10. RNC</t>
  </si>
  <si>
    <t>11. TRANSMISIÓN CORE</t>
  </si>
  <si>
    <t>12. SWITCHES Y SERVIDORES</t>
  </si>
  <si>
    <t>13. PUERTOS SWITCH</t>
  </si>
  <si>
    <t>14. CUOTA DE CANON DE ESPECTRO</t>
  </si>
  <si>
    <t>Muy denso</t>
  </si>
  <si>
    <t>Denso</t>
  </si>
  <si>
    <t>Poco denso</t>
  </si>
  <si>
    <t>Otro</t>
  </si>
  <si>
    <t>UMTS.sectorisation</t>
  </si>
  <si>
    <t>GSM.reuse.factor.used</t>
  </si>
  <si>
    <t>BSC.capacity.used</t>
  </si>
  <si>
    <t>RNC.capacity.used</t>
  </si>
  <si>
    <t>LTE.sectorisation</t>
  </si>
  <si>
    <t>Carriers.3G.total</t>
  </si>
  <si>
    <t>Carriers.LTE.total</t>
  </si>
  <si>
    <t>10. DATOS DE ENTRADA ACCESO A ÚLTIMA MILLA (LMA) Y HUB A CORE</t>
  </si>
  <si>
    <t>11. DATOS DE ENTRADA PARA BSC Y RNC</t>
  </si>
  <si>
    <t>12. DATOS DE ENTRADA DE TRÁFICO MSC-MSC Y SGSN-GGSN,  Y DISTANCIA EN LOS ANILLOS DE FIBRA DEL CORE</t>
  </si>
  <si>
    <t>13. DATOS DE ENTRADA DE SWITCHES Y SERVIDORES</t>
  </si>
  <si>
    <t>14. TIPO DE CAMBIO</t>
  </si>
  <si>
    <t>Single.RAN.base.station.capacity</t>
  </si>
  <si>
    <t>TRXs</t>
  </si>
  <si>
    <t>Maximum</t>
  </si>
  <si>
    <t>Required.assets.single.RAN.base.station</t>
  </si>
  <si>
    <t>CTRL.voice.distribution.2G</t>
  </si>
  <si>
    <t>CTRL.data.distribution.2G</t>
  </si>
  <si>
    <t>CTRL.voice.distribution.3G</t>
  </si>
  <si>
    <t>CTRL.voice.distribution.4G</t>
  </si>
  <si>
    <t>CTRL.data.distribution.4G</t>
  </si>
  <si>
    <t>CTRL.data.distribution.3G</t>
  </si>
  <si>
    <t>CTRL.voice.migration</t>
  </si>
  <si>
    <t>CTRL.data.migration</t>
  </si>
  <si>
    <t>Porcentaje del tráfico de datos total en la red 2G</t>
  </si>
  <si>
    <t>Porcentaje del tráfico de datos total en la red 3G</t>
  </si>
  <si>
    <t>Porcentaje del tráfico de datos total en la red 4G</t>
  </si>
  <si>
    <t>Porcentaje del tráfico de datos en la red 3G que es R99</t>
  </si>
  <si>
    <t>de los cuales usados para 2G (2 veces X MHz)</t>
  </si>
  <si>
    <t>de los cuales usados para 3G (2 veces X MHz)</t>
  </si>
  <si>
    <t>Migración del tráfico entre tecnologías</t>
  </si>
  <si>
    <t>Distribución del tráfico entre geotipos</t>
  </si>
  <si>
    <t>Cantidad de microceldas</t>
  </si>
  <si>
    <t>Número de microceldas GSM para capacidad</t>
  </si>
  <si>
    <t>Número de microceldas UMTS/HSPA para capacidad</t>
  </si>
  <si>
    <t>Número de microceldas LTE para capacidad</t>
  </si>
  <si>
    <t>El resto se utiliza para 4G (2 veces X MHz)</t>
  </si>
  <si>
    <t>Microceldas para cobertura</t>
  </si>
  <si>
    <t>Proporción de tráfico de voz por tecnología</t>
  </si>
  <si>
    <t>en 2G</t>
  </si>
  <si>
    <t>en 3G</t>
  </si>
  <si>
    <t>en 4G</t>
  </si>
  <si>
    <t>Proporción de tráfico de datos por tecnología</t>
  </si>
  <si>
    <t>Número de microceldas para cobertura</t>
  </si>
  <si>
    <t>Factor de reutilización GSM</t>
  </si>
  <si>
    <t>Sectorización en GSM (sectores por BTS)</t>
  </si>
  <si>
    <t>Distribución de las BTS por número de sectores</t>
  </si>
  <si>
    <t>Sectores medios por BTS</t>
  </si>
  <si>
    <t>Límite por sector</t>
  </si>
  <si>
    <t>Utilización efectiva</t>
  </si>
  <si>
    <t>Límite efectivo</t>
  </si>
  <si>
    <t>Capa de cobertura</t>
  </si>
  <si>
    <t>Número máximo de TRX por BTS (límite de espectro)</t>
  </si>
  <si>
    <t>Número max de TRX por sector (límite físico)</t>
  </si>
  <si>
    <t>Max TRX por sector</t>
  </si>
  <si>
    <t>Capa de capacidad</t>
  </si>
  <si>
    <t>Min TRX por sector</t>
  </si>
  <si>
    <t>Canal de señalización reservado, por TRX</t>
  </si>
  <si>
    <t>Incluye las asignación para tráfico de SMS</t>
  </si>
  <si>
    <t>Canales GSM</t>
  </si>
  <si>
    <t>Ratio entre GPRS y EDGE</t>
  </si>
  <si>
    <t>Tasa de canal de voz, kbit/s</t>
  </si>
  <si>
    <t>Tasa de canal GPRS, kbit/s</t>
  </si>
  <si>
    <t>Tasa de canal EDGE, kbit/s</t>
  </si>
  <si>
    <t>5. DATOS DE ENTRADA PARA UMTS</t>
  </si>
  <si>
    <t>Tráfico de red UMTS R99 por geotipo</t>
  </si>
  <si>
    <t>voz y datos UMTS R99</t>
  </si>
  <si>
    <t>Microceldas</t>
  </si>
  <si>
    <t>Capacidad de UMTS</t>
  </si>
  <si>
    <t>Sectores por Node B</t>
  </si>
  <si>
    <t>Sectorización UMTS</t>
  </si>
  <si>
    <t>Tamaño del channel kit en elementos de canal (CE)</t>
  </si>
  <si>
    <t>Número de canales de señalización R99 por portadora</t>
  </si>
  <si>
    <t>Mínimo número de canales de tráfico R99 por portadora</t>
  </si>
  <si>
    <t>Máximo número de canales de tráfico R99 por portadora</t>
  </si>
  <si>
    <t>6. DATOS DE ENTRADA DE HSPA</t>
  </si>
  <si>
    <t>Tráfico de red HSPA por geotipo</t>
  </si>
  <si>
    <t>Tráfico de red HSDPA Mbit/s en la hora cargada</t>
  </si>
  <si>
    <t>Tráfico de red HSDPA Mbit/s en la hora cargada por geotipo</t>
  </si>
  <si>
    <t>Tráfico de red HSUPA Mbit/s en la hora cargada</t>
  </si>
  <si>
    <t>Tráfico de red HSUPA Mbit/s en la hora cargada por geotipo</t>
  </si>
  <si>
    <t>Capacidad HSPA</t>
  </si>
  <si>
    <t>Diferencia entre tasa pico y tasa media obtenida</t>
  </si>
  <si>
    <t>Escalera de tasas en HSDPA, por portadora sobre el total de la celda</t>
  </si>
  <si>
    <t>Escalera de tasas en HSUPA, por portadora sobre el total de la celda</t>
  </si>
  <si>
    <t>Solución HSUPA desplegada en cada geotipo</t>
  </si>
  <si>
    <t>Tráfico de red LTE por geotipo</t>
  </si>
  <si>
    <t>Capacidad LTE</t>
  </si>
  <si>
    <t>8. DATOS DE ENTRADA SINGLE-RAN</t>
  </si>
  <si>
    <t>Capacidad de una estación base S-RAN</t>
  </si>
  <si>
    <t>TRXs por sector</t>
  </si>
  <si>
    <t>Portadoras 3G por sector</t>
  </si>
  <si>
    <t>Portadoras LTE por sector</t>
  </si>
  <si>
    <t>9. DATOS DE ENTRADA DE LOS SITIOS FÍSICOS</t>
  </si>
  <si>
    <t>Proporción de los emplazamientos que son propios (el resto son de terceras partes)</t>
  </si>
  <si>
    <t>Proporción de los emplazamientos que están disponibles para su uso como emplazamientos coubicados multitecnología, el resto son desplegados como sitios con únicamente una tecnología</t>
  </si>
  <si>
    <t>Microceldas - cobertura de red radio</t>
  </si>
  <si>
    <t>2. CÁLCULO DE LA CAPACIDAD GSM</t>
  </si>
  <si>
    <t>Voz BHE a ser transportada por la red</t>
  </si>
  <si>
    <t>Sitios para cobertura</t>
  </si>
  <si>
    <t>Sitios GSM y cálculo de BTS</t>
  </si>
  <si>
    <t>Voz BHE por sitio de cobertura</t>
  </si>
  <si>
    <t>Número de TRXs requeridos por tráfico por celda de cobertura</t>
  </si>
  <si>
    <t>Número de TRXs requerido por tráfico para cada geotipo</t>
  </si>
  <si>
    <t>Mínimo número de TRX en sitios de cobertura</t>
  </si>
  <si>
    <t>Máximo número de TRX en sitios de cobertura</t>
  </si>
  <si>
    <t>Número de TRX en sitios de cobertura</t>
  </si>
  <si>
    <t>Número de TRX en sitios de capacidad</t>
  </si>
  <si>
    <t>Máximo número de TRX por sitio de capacidad</t>
  </si>
  <si>
    <t>Número de sitios de capacidad</t>
  </si>
  <si>
    <t>Número total de BTS (sitios GSM)</t>
  </si>
  <si>
    <t>Número total de TRX</t>
  </si>
  <si>
    <t>Comprobación de la capacidad en GPRS / EDGE</t>
  </si>
  <si>
    <t>Capacidad total de la red GSM para datos, después de utilización (Mbit/s)</t>
  </si>
  <si>
    <t>Tráfico de datos pico en la red GSM</t>
  </si>
  <si>
    <t>Comprobación de capacidad</t>
  </si>
  <si>
    <t>3. CÁLCULO DE LA CAPACIDAD UMTS</t>
  </si>
  <si>
    <t>Cálculos para R99</t>
  </si>
  <si>
    <t>R99 BHE llevados por la red</t>
  </si>
  <si>
    <t>R99 BHE por sitio de cobertura</t>
  </si>
  <si>
    <t>Número de elementos de canal (CE) R99 requeridos para llevar el tráfico por sitio de cobertura</t>
  </si>
  <si>
    <t>Número de elementos de canal (CE) R99 requeridos por tráfico para cada geotipo</t>
  </si>
  <si>
    <t>Número mínimo de elementos de canal (CE) en sitios de cobertura</t>
  </si>
  <si>
    <t>Número máximo de elementos de canal (CE) en sitios de cobertura</t>
  </si>
  <si>
    <t>Número de elementos de canal (CE) R99 en sitios de cobertura</t>
  </si>
  <si>
    <t>Número de elementos de canal R99 en sitios de capacidad</t>
  </si>
  <si>
    <t>Cálculos para HSPA</t>
  </si>
  <si>
    <t>para HSDPA</t>
  </si>
  <si>
    <t>para HSUPA</t>
  </si>
  <si>
    <t>HSPA BH Mbit/s llevados por la red</t>
  </si>
  <si>
    <t>HSPA BH Mbit/s por sitios de cobertura, factor entre tasa pico y media y utilización de los elementos de canal considerados</t>
  </si>
  <si>
    <t>Sitios de capacidad</t>
  </si>
  <si>
    <t>Tasa máxima LTE en la red</t>
  </si>
  <si>
    <t>Comprobrar número</t>
  </si>
  <si>
    <t>Comprobar la capacidad de las microceldas</t>
  </si>
  <si>
    <t>Número total de NodeB (sitios UMTS y HSPA)</t>
  </si>
  <si>
    <t>Número total de elementos de canal</t>
  </si>
  <si>
    <t>4. CÁLCULO DE LA CAPACIDAD LTE</t>
  </si>
  <si>
    <t>Cálculos para LTE</t>
  </si>
  <si>
    <t>LTE BH Mbit/s llevados por la red</t>
  </si>
  <si>
    <t>LTE BH Mbit/s por sitios de cobertura, factor entre tasa pico y media y utilización de los elementos de canal considerados</t>
  </si>
  <si>
    <t>Número de portadoras LTE por tasa utilizada</t>
  </si>
  <si>
    <t>Comprobar número</t>
  </si>
  <si>
    <t>Número máximo de portadoras por sitios de capacidad</t>
  </si>
  <si>
    <t>Número total de eNodeB (sitios LTE)</t>
  </si>
  <si>
    <t>5. CÁLCULOS SINGLE RAN</t>
  </si>
  <si>
    <t>Número total de activos requeridos</t>
  </si>
  <si>
    <t>Portadoras 3G</t>
  </si>
  <si>
    <t>Portadoras LTE</t>
  </si>
  <si>
    <t>Por sector</t>
  </si>
  <si>
    <t>Por celda</t>
  </si>
  <si>
    <t>Número de sitios</t>
  </si>
  <si>
    <t>Número de estaciones base S-RAN requeridas por sitio</t>
  </si>
  <si>
    <t>Número de estaciones base S-RAN</t>
  </si>
  <si>
    <t>de las cuales macro estaciones base S-RAN</t>
  </si>
  <si>
    <t>de las cuales micro estaciones base S-RAN</t>
  </si>
  <si>
    <t>6. CÁLCULO DE SITIOS FÍSICOS</t>
  </si>
  <si>
    <t>Número de sitios GSM</t>
  </si>
  <si>
    <t>Número de sitios UMTS + sitios dedicados HSDPA + sitios dedicados HSUPA</t>
  </si>
  <si>
    <t>Número de sitios LTE</t>
  </si>
  <si>
    <t>Número de sitios disponibles como sitios multi-tecnología</t>
  </si>
  <si>
    <t>Número de sitios GSM en sitios multi-tecnología</t>
  </si>
  <si>
    <t>Número de sitios UMTS+HSDPA+HSUPA en sitios multi-tecnología</t>
  </si>
  <si>
    <t>Número de sitios LTE en sitios multi-tecnología</t>
  </si>
  <si>
    <t>Número de sitios GSM en sitios single-tecnología</t>
  </si>
  <si>
    <t>Número de sitios LTE en sitios single-tecnología</t>
  </si>
  <si>
    <t>Número de sitios UMTS+HSDPA+HSUPA en sitios single-tecnología</t>
  </si>
  <si>
    <t>Número de sitios físicos multi-tecnología</t>
  </si>
  <si>
    <t>Número de sitios físicos single-tecnología</t>
  </si>
  <si>
    <t>Número total de sitios físicos</t>
  </si>
  <si>
    <t>Número total de sitios físicos en emplazamientos propios</t>
  </si>
  <si>
    <t>Número total de sitios físicos en emplazamientos de terceros</t>
  </si>
  <si>
    <t>Posibilidad de sitios multi-tecnología (si más de una tecnología está presente)</t>
  </si>
  <si>
    <t>Donde son posibles los sitios multi-tecnología, cuál es el número máximo de sitios multi-tecnología, tomando LTE como una capa adicional</t>
  </si>
  <si>
    <t>En total</t>
  </si>
  <si>
    <t>Proporción de sitios físicos disponibles para coubicación entre 2G y 3G</t>
  </si>
  <si>
    <t>Parámetros que pueden ser modificados desde la hoja de control</t>
  </si>
  <si>
    <t>Parámetros automáticamente seleccionados en la elección del operador</t>
  </si>
  <si>
    <t>Equipamiento BTS/NodeB/eNodeB</t>
  </si>
  <si>
    <t>TRX, portadoras, CK, HSPA, etc.</t>
  </si>
  <si>
    <t>Líneas alquiladas</t>
  </si>
  <si>
    <t>Microondas</t>
  </si>
  <si>
    <t>Fibra</t>
  </si>
  <si>
    <t>Transmisión MUX etc. equipamiento, excluyendo microondas</t>
  </si>
  <si>
    <t>Puertos</t>
  </si>
  <si>
    <t>Licencias</t>
  </si>
  <si>
    <t>Minutos radio equivalentes</t>
  </si>
  <si>
    <t>Minutos radio equivalentes GSM</t>
  </si>
  <si>
    <t>Minutos radio equivalentes UMTS+HSPA</t>
  </si>
  <si>
    <t>Minutos radio equivalentes UMTS R99</t>
  </si>
  <si>
    <t>Tráfico radio HSDPA</t>
  </si>
  <si>
    <t>Tráfico radio HSUPA</t>
  </si>
  <si>
    <t>GSM, UMTS y HSPA Mbytes</t>
  </si>
  <si>
    <t>Tráfico radio LTE</t>
  </si>
  <si>
    <t>Tráfico de datos LTE</t>
  </si>
  <si>
    <t>Tráfico de voz LTE (VoLTE)</t>
  </si>
  <si>
    <t>Sin enrutamiento</t>
  </si>
  <si>
    <t>Minutos de voz</t>
  </si>
  <si>
    <t>Procesado 2G+3G</t>
  </si>
  <si>
    <t>Procesado 2G MSC</t>
  </si>
  <si>
    <t>Minutos mayoristas</t>
  </si>
  <si>
    <t>SMS originado</t>
  </si>
  <si>
    <t>Eventos de originación de llamadas y SMS</t>
  </si>
  <si>
    <t>Eventos de originación y terminación de llamadas y SMS</t>
  </si>
  <si>
    <t>Suscriptores</t>
  </si>
  <si>
    <t>Tráfico de interconexión</t>
  </si>
  <si>
    <t>Datos solo Core-Core</t>
  </si>
  <si>
    <t>Voz solo Core-Core</t>
  </si>
  <si>
    <t>Voz y datos Core-core</t>
  </si>
  <si>
    <t>Core-core IP Mbytes voz más datos</t>
  </si>
  <si>
    <t>Core-core PCM Mbytes voz más datos</t>
  </si>
  <si>
    <t>LMA IP Mbytes de tráfico</t>
  </si>
  <si>
    <t>LMA PCM Mbytes de tráfico</t>
  </si>
  <si>
    <t>GSM+UMTS voz radio solo minutos</t>
  </si>
  <si>
    <t>UMTS+HSPA solo tráfico de datos</t>
  </si>
  <si>
    <t>GSM tráfico de datos solo</t>
  </si>
  <si>
    <t>GSM solo voz radio y SMS</t>
  </si>
  <si>
    <t>UMTS solo voz radio y SMS</t>
  </si>
  <si>
    <t>Sitios</t>
  </si>
  <si>
    <t>Categoría de costos</t>
  </si>
  <si>
    <t>Factor de enrutamiento asociado</t>
  </si>
  <si>
    <t>Notas</t>
  </si>
  <si>
    <t>Tendencia de costos</t>
  </si>
  <si>
    <t>Opex directo</t>
  </si>
  <si>
    <t>Datos de entrada de opex</t>
  </si>
  <si>
    <t>Opex asumido</t>
  </si>
  <si>
    <t>Nominal, ya que el WACC es en términos nominales</t>
  </si>
  <si>
    <t>Capital del trabajo (= 30/365 * WACC)</t>
  </si>
  <si>
    <t>Capital del trábajo</t>
  </si>
  <si>
    <t>Inflación</t>
  </si>
  <si>
    <t>Media</t>
  </si>
  <si>
    <t>Portadora 3G</t>
  </si>
  <si>
    <t>Capas de cobertura y capacidad</t>
  </si>
  <si>
    <t>Tráfico de red R99 (voz+datos) BHE en la hora cargada de voz</t>
  </si>
  <si>
    <t>Tráfico de red R99 (voz+datos) BHE en la hora cargada de voz por geotipo</t>
  </si>
  <si>
    <t>Tasa de canal UMTS R99, Mbit/s</t>
  </si>
  <si>
    <t>Probabilidad de bloqueo en UMTS</t>
  </si>
  <si>
    <t>Solución HSDPA desplegada en cada geotipo</t>
  </si>
  <si>
    <t>Número mínimo de portadoras HSDPA desplegadas</t>
  </si>
  <si>
    <t>Número mínimo de portadoras HSUPA desplegadas</t>
  </si>
  <si>
    <t>7. DATOS DE ENTRADA DE LTE</t>
  </si>
  <si>
    <t>Tráfico de red LTE Mbit/s en la hora cargada</t>
  </si>
  <si>
    <t>Tráfico de red LTE Mbit/s en la hora cargada por geotipo</t>
  </si>
  <si>
    <t>Sectores por eNode B</t>
  </si>
  <si>
    <t>Escalera de tasas en LTE, por portadora sobre el total de la celda</t>
  </si>
  <si>
    <t>Solución LTE desplegada en cada geotipo</t>
  </si>
  <si>
    <t>Número mínimo de portadoras LTE desplegadas</t>
  </si>
  <si>
    <t>Tasa de canal radio VoLTE  - AMR-WB codec standard (kbit/s)</t>
  </si>
  <si>
    <t>Portadora LTE</t>
  </si>
  <si>
    <t>Estación base Single RAN - macro</t>
  </si>
  <si>
    <t>Estación base Single RAN - micro</t>
  </si>
  <si>
    <t>LMA: enlace de fibra propia</t>
  </si>
  <si>
    <t>Hub to Core - longitud de los anillos de fibra</t>
  </si>
  <si>
    <t>Sitios BSC remotos</t>
  </si>
  <si>
    <t>Sitios RNC remotos</t>
  </si>
  <si>
    <t>Salto MW core a core</t>
  </si>
  <si>
    <t>Puertos BSC - sitios E1</t>
  </si>
  <si>
    <t>Puertos BSC - sitios 10M</t>
  </si>
  <si>
    <t>Puertos RNC - sitios E1 para voz</t>
  </si>
  <si>
    <t>Puertos RNC - sitios 10M para voz</t>
  </si>
  <si>
    <t>Puertos RNC - sitios E1 para datos</t>
  </si>
  <si>
    <t>Puertos RNC - sitios 10M para datos</t>
  </si>
  <si>
    <t>Media entre julio de 2015 y junio de 2016</t>
  </si>
  <si>
    <t>Costos de red de los activos con factor de enrutamiento "Suscriptores"</t>
  </si>
  <si>
    <t>Costos de red con reasignación de los costos de los activos con factor de enrutamiento "Suscriptores", que son reasignados como un mark-up al resto de los activos</t>
  </si>
  <si>
    <t>WACC nominal</t>
  </si>
  <si>
    <t>Overhead por costos comunes</t>
  </si>
  <si>
    <t>Parte fija</t>
  </si>
  <si>
    <t>Parte variable</t>
  </si>
  <si>
    <t>Si este número es grande, comprobar si el número de microceldas GSM para cobertura es demasiado bajo</t>
  </si>
  <si>
    <t>Si este número es grande, comprobar si el número de microceldas UMTS/HSPA para cobertura es demasiado bajo</t>
  </si>
  <si>
    <t>Si este número es grande, comprobar si el número de microceldas LTE para cobertura es demasiado bajo</t>
  </si>
  <si>
    <t>Capacidad desplegada RNC, en Mbit/s</t>
  </si>
  <si>
    <t>Rango de capacidad RNC (Mbit/s)</t>
  </si>
  <si>
    <t>Rango de capacidad BSC (TRX)</t>
  </si>
  <si>
    <t>¿Son necesarios sites de capacidad en la red de acceso radio?</t>
  </si>
  <si>
    <t>Elementos de red totales y costos</t>
  </si>
  <si>
    <t>BBU tarjeta 3G en estación base Single RAN</t>
  </si>
  <si>
    <t>BBU tarjeta 4G en estación base Single RAN</t>
  </si>
  <si>
    <t>CE.coverage.sites</t>
  </si>
  <si>
    <t>CE.capacity.sites</t>
  </si>
  <si>
    <t>R99.carriers.per.coverage.site</t>
  </si>
  <si>
    <t>HSPA.carriers.on.coverage.sites</t>
  </si>
  <si>
    <t>Para R99</t>
  </si>
  <si>
    <t>Para HSPA</t>
  </si>
  <si>
    <t>Required.assets.3G.BBU.cards.for.single.RAN</t>
  </si>
  <si>
    <t>Channels.LTE.Capacity.first.capacity.band</t>
  </si>
  <si>
    <t>Channels.LTE.Capacity.second.capacity.band</t>
  </si>
  <si>
    <t>Channels.LTE.Capacity.third.capacity.band</t>
  </si>
  <si>
    <t>Channels.LTE.Capacity.fourth.capacity.band</t>
  </si>
  <si>
    <t>Required.assets.4G.BBU.cards.for.single.RAN</t>
  </si>
  <si>
    <t>LTE.carriers.on.coverage.sites</t>
  </si>
  <si>
    <t>Frecuencias usadas para desplegar capacidad</t>
  </si>
  <si>
    <t>espectro en la primera banda de capacidad</t>
  </si>
  <si>
    <t>espectro en la segunda banda de capacidad</t>
  </si>
  <si>
    <t>espectro en la tercera banda de capacidad</t>
  </si>
  <si>
    <t>espectro en la cuarta banda de capacidad</t>
  </si>
  <si>
    <t>canales en la primera banda de capacidad</t>
  </si>
  <si>
    <t>canales en la segunda banda de capacidad</t>
  </si>
  <si>
    <t>canales en la tercera banda de capacidad</t>
  </si>
  <si>
    <t>canales en la cuarta banda de capacidad</t>
  </si>
  <si>
    <t>Número de bandas utilizadas en sitios UMTS</t>
  </si>
  <si>
    <t>Tarjetas BBU 3G en estaciones base Single RAN</t>
  </si>
  <si>
    <t>Tarjetas BBU 4G en estaciones base Single RAN</t>
  </si>
  <si>
    <t>Número de bandas usado para R99</t>
  </si>
  <si>
    <t>Número de bandas usado para HSPA</t>
  </si>
  <si>
    <t>Número de bandas usado para LTE</t>
  </si>
  <si>
    <t>Número de portadoras por sitio de cobertura LTE</t>
  </si>
  <si>
    <t>Canon aplicado</t>
  </si>
  <si>
    <t>Umbral 1</t>
  </si>
  <si>
    <t>Umbral 2</t>
  </si>
  <si>
    <t>Umbral 3</t>
  </si>
  <si>
    <t>Umbral 4</t>
  </si>
  <si>
    <t>Canon máximo</t>
  </si>
  <si>
    <t>UTILIZACIÓN DEL ESPECTRO</t>
  </si>
  <si>
    <t>CTRL.spectrum.coverage.GSM</t>
  </si>
  <si>
    <t>CTRL.spectrum.coverage.UMTS</t>
  </si>
  <si>
    <t>CTRL.spectrum.coverage.LTE</t>
  </si>
  <si>
    <t>CTRL.spectrum.capacity.GSM</t>
  </si>
  <si>
    <t>CTRL.spectrum.capacity.UMTS</t>
  </si>
  <si>
    <t>CTRL.spectrum.capacity.LTE.first.band</t>
  </si>
  <si>
    <t>CTRL.spectrum.capacity.LTE.second.band</t>
  </si>
  <si>
    <t>CTRL.spectrum.capacity.LTE.third.band</t>
  </si>
  <si>
    <t>CTRL.spectrum.capacity.LTE.fourth.band</t>
  </si>
  <si>
    <t>Operator.by.scenario</t>
  </si>
  <si>
    <t>Número de TRX por departamento</t>
  </si>
  <si>
    <t>Tráfico Total</t>
  </si>
  <si>
    <t>hacia móviles</t>
  </si>
  <si>
    <t>TdP</t>
  </si>
  <si>
    <t>hacia fijos</t>
  </si>
  <si>
    <t>desde móviles</t>
  </si>
  <si>
    <t>desde fijos</t>
  </si>
  <si>
    <t>Distribución del tráfico</t>
  </si>
  <si>
    <t>De voz</t>
  </si>
  <si>
    <t>De datos</t>
  </si>
  <si>
    <t>Tráfico de voz entrante y saliente</t>
  </si>
  <si>
    <t>Result.LRAIC.termination.and.origination</t>
  </si>
  <si>
    <t>Precio de compra (y instalación, comisionado, integración y tests cuando se necesitan) - año de referencia</t>
  </si>
  <si>
    <t>Años</t>
  </si>
  <si>
    <t>2015/2016</t>
  </si>
  <si>
    <t>2016/2017</t>
  </si>
  <si>
    <t>2017/2018</t>
  </si>
  <si>
    <t>2018/2019</t>
  </si>
  <si>
    <t>2019/2020</t>
  </si>
  <si>
    <t>Years</t>
  </si>
  <si>
    <t>Precio - año seleccionado</t>
  </si>
  <si>
    <t>CTRL.year.selected</t>
  </si>
  <si>
    <t>Asset spare</t>
  </si>
  <si>
    <t>Erlangs de tráfico de voz adicional debido al soft-handover en 3G, por RNCs</t>
  </si>
  <si>
    <t>Por RNC</t>
  </si>
  <si>
    <t>Por enlaces RNC-MSC y RNC-SGSN</t>
  </si>
  <si>
    <t>Network.Total.RNC.MSC.and.RNC.SGSN.Mbit.s</t>
  </si>
  <si>
    <t>Network.Total.voice.RNC.MSC.and.RNC.SGSN.Mbit.s</t>
  </si>
  <si>
    <t>Network.Total.data.RNC.MSC.and.RNC.SGSN.Mbit.s</t>
  </si>
  <si>
    <t>Network.R99.data.RNC.MSC.and.RNC.SGSN.Mbit.s</t>
  </si>
  <si>
    <t>Network.HSPA.data.RNC.MSC.and.RNC.SGSN.Mbit.s</t>
  </si>
  <si>
    <t>Carga pico enlaces RNC-MSC y RNC-SGSN en la hora cargada, Mbit/s</t>
  </si>
  <si>
    <t>Network.voice.RNC.MSC.and.RNC.SGSN.Mbit.s.by.core.node</t>
  </si>
  <si>
    <t>Network.data.RNC.MSC.and.RNC.SGSN.Mbit.s.by.core.node</t>
  </si>
  <si>
    <t>Tumbes</t>
  </si>
  <si>
    <t>Capacidad HSPA: tasa máxima obtenible por portadora, por sector, Mbit/s</t>
  </si>
  <si>
    <t>Capacidad HSPA: tasa máxima obtenible por portadora, por sitio Mbit/s</t>
  </si>
  <si>
    <t>Capacidad LTE: tasa máxima efectiva por portadora, por sector, Mbit/s</t>
  </si>
  <si>
    <t>Capacidad LTE: tasa máxima efectiva por portadora, por sitio, Mbit/s</t>
  </si>
  <si>
    <t>Año para el cálculo</t>
  </si>
  <si>
    <t>Ubicación de los BSC dando servicio al tráfico de cara nodo core</t>
  </si>
  <si>
    <t>Ubicación de los RNC dando servicio al tráfico de cara nodo core</t>
  </si>
  <si>
    <t>Ubicación de las BSC y RNC que dan servicio a cada nodo de agregación/core</t>
  </si>
  <si>
    <t>Modulación</t>
  </si>
  <si>
    <t>Codificación</t>
  </si>
  <si>
    <t>Bits/símbolo</t>
  </si>
  <si>
    <t>Ubicación de las BSC que dan servicio a cada nodo de agregación/core</t>
  </si>
  <si>
    <t>Ubicación de las RNC que dan servicio a cada nodo de agregación/core</t>
  </si>
  <si>
    <t>AMR - WB</t>
  </si>
  <si>
    <t>PARÁMETROS RELATIVOS AL TRÁFICO</t>
  </si>
  <si>
    <t>CTRL.Call.durations</t>
  </si>
  <si>
    <t>Hora pico</t>
  </si>
  <si>
    <t>Parámetros generales</t>
  </si>
  <si>
    <t>CTRL.%.voice.in.voice.BH</t>
  </si>
  <si>
    <t>CTRL.%.data.in.voice.BH</t>
  </si>
  <si>
    <t>CTRL.%.voice.in.data.BH</t>
  </si>
  <si>
    <t>CTRL.%.data.in.data.BH</t>
  </si>
  <si>
    <t>CTRL.BH.days.per.year</t>
  </si>
  <si>
    <t>CTRL.%.weekly.traffic.BH.days</t>
  </si>
  <si>
    <t>softer-handover = entre sectores en el mismo sitio</t>
  </si>
  <si>
    <t>soft-handover</t>
  </si>
  <si>
    <t>Nota: a nivel de NodeB</t>
  </si>
  <si>
    <t>Fuente: Gerencia Central de Estudios Económicos</t>
  </si>
  <si>
    <t>Fibra en la red core (km)</t>
  </si>
  <si>
    <t>Número total de portadoras LTE, aplicando la sectorización</t>
  </si>
  <si>
    <t>Número de portadoras LTE en sitios de capacidad, sin aplicar sectorización</t>
  </si>
  <si>
    <t>Número de portadoras en sitios de cobertura, sin aplicar sectorización</t>
  </si>
  <si>
    <t>Número máximo de portadoras LTE en sitios de cobertura, sin aplicar sectorización</t>
  </si>
  <si>
    <t>Número mínimo de portadoras LTE en sitios de cobertura, sin aplicar sectorización</t>
  </si>
  <si>
    <t>Número de portadoras LTE requeridas por tráfico para cada geotipo, sin aplicar sectorización</t>
  </si>
  <si>
    <t>Número total de portadoras 3G, aplicando sectorización</t>
  </si>
  <si>
    <t>Máximo número de portadoras por sitio de capacidad, sin aplicar sectorización</t>
  </si>
  <si>
    <t>Número de portadoras R99 en sitios de capacidad, sin aplicar sectorización</t>
  </si>
  <si>
    <t>Número de portadoras HSPA en sitios de capacidad, sin aplicar sectorización</t>
  </si>
  <si>
    <t>Número de portadoras por tasa HSDPA (Mbit/s), aplicando sectorización</t>
  </si>
  <si>
    <t>Número de portadoras por tasa HSUPA (Mbit/s), aplicando sectorización</t>
  </si>
  <si>
    <t>Número total de portadoras HSPA, sin aplicar sectorización</t>
  </si>
  <si>
    <t>Número de portadoras HSPA en sitios de cobertura, sin aplicar sectorización</t>
  </si>
  <si>
    <t>Número máximo de portadoras HSPA en sitios de cobertura, sin aplicar sectorización</t>
  </si>
  <si>
    <t>Número mínimo de portadoras HSPA en sitios de cobertura, sin aplicar sectorización</t>
  </si>
  <si>
    <t>Número de portadoras HSPA requeridas por tráfico para cada geotipo, sin aplicar sectorización</t>
  </si>
  <si>
    <t>Número de portadoras R99 en sitios de cobertura, sin aplicar sectorización</t>
  </si>
  <si>
    <t>Número de portadoras R99 por sitio de cobertura, sin aplicar sectorización</t>
  </si>
  <si>
    <t>Ubicación de los MSS/MGW dando servicio al tráfico de cara nodo core</t>
  </si>
  <si>
    <t>Inversión para la cesión del espectro de las bandas en uso</t>
  </si>
  <si>
    <t>Datos de entrada de inversión</t>
  </si>
  <si>
    <t>% de inversión</t>
  </si>
  <si>
    <t>Datos de entrada de inversión y opex</t>
  </si>
  <si>
    <t>DATOS DE ENTRADA DEL INVERSIÓN Y OPEX DEL EQUIPAMIENTO</t>
  </si>
  <si>
    <t>Inversión</t>
  </si>
  <si>
    <t>Capex (nominal)</t>
  </si>
  <si>
    <t>Workbook Version</t>
  </si>
  <si>
    <t>Under construction</t>
  </si>
  <si>
    <t>Work in progress</t>
  </si>
  <si>
    <t>Ready for review</t>
  </si>
  <si>
    <t>Approved for release</t>
  </si>
  <si>
    <t>Notes</t>
  </si>
  <si>
    <t xml:space="preserve">S </t>
  </si>
  <si>
    <t>Style guidelines</t>
  </si>
  <si>
    <t>NB Use Window Unfreeze Panes (on each worksheet) to have row 1 scroll with the rest of the worksheet</t>
  </si>
  <si>
    <r>
      <t xml:space="preserve">NB Consider using Insert &gt; Header &amp; Footer &gt; Sheet &gt; </t>
    </r>
    <r>
      <rPr>
        <u/>
        <sz val="8"/>
        <rFont val="Arial"/>
        <family val="2"/>
      </rPr>
      <t>R</t>
    </r>
    <r>
      <rPr>
        <sz val="8"/>
        <rFont val="Arial"/>
        <family val="2"/>
      </rPr>
      <t>ows to repeat at top: $1:$1 to include row 1 at the top of all printed pages</t>
    </r>
  </si>
  <si>
    <t>Input cell styles</t>
  </si>
  <si>
    <t>Use these styles to identify inputs to a model</t>
  </si>
  <si>
    <t>NB These styles change most aspects of a cell's formatting (all except Number and Alignment)</t>
  </si>
  <si>
    <t>Input Parameter</t>
  </si>
  <si>
    <t>unlocked</t>
  </si>
  <si>
    <t>An input to the model that it is expected the user will change (change at will)</t>
  </si>
  <si>
    <r>
      <t xml:space="preserve">Consider using </t>
    </r>
    <r>
      <rPr>
        <u/>
        <sz val="9"/>
        <rFont val="Arial"/>
        <family val="2"/>
      </rPr>
      <t>D</t>
    </r>
    <r>
      <rPr>
        <sz val="9"/>
        <rFont val="Arial"/>
        <family val="2"/>
      </rPr>
      <t xml:space="preserve">ata </t>
    </r>
    <r>
      <rPr>
        <sz val="9"/>
        <rFont val="Arial"/>
        <family val="2"/>
      </rPr>
      <t>V</t>
    </r>
    <r>
      <rPr>
        <sz val="9"/>
        <rFont val="Arial"/>
        <family val="2"/>
      </rPr>
      <t>a</t>
    </r>
    <r>
      <rPr>
        <u/>
        <sz val="9"/>
        <rFont val="Arial"/>
        <family val="2"/>
      </rPr>
      <t>l</t>
    </r>
    <r>
      <rPr>
        <sz val="9"/>
        <rFont val="Arial"/>
        <family val="2"/>
      </rPr>
      <t>idation to ensure that only acceptable values are entered</t>
    </r>
  </si>
  <si>
    <t>Minimum</t>
  </si>
  <si>
    <r>
      <t xml:space="preserve">If a parameter can take only one of a small number of values, consider using </t>
    </r>
    <r>
      <rPr>
        <u/>
        <sz val="9"/>
        <rFont val="Arial"/>
        <family val="2"/>
      </rPr>
      <t>D</t>
    </r>
    <r>
      <rPr>
        <sz val="9"/>
        <rFont val="Arial"/>
        <family val="2"/>
      </rPr>
      <t>ata Va</t>
    </r>
    <r>
      <rPr>
        <u/>
        <sz val="9"/>
        <rFont val="Arial"/>
        <family val="2"/>
      </rPr>
      <t>l</t>
    </r>
    <r>
      <rPr>
        <sz val="9"/>
        <rFont val="Arial"/>
        <family val="2"/>
      </rPr>
      <t xml:space="preserve">idation </t>
    </r>
    <r>
      <rPr>
        <u/>
        <sz val="9"/>
        <rFont val="Arial"/>
        <family val="2"/>
      </rPr>
      <t>A</t>
    </r>
    <r>
      <rPr>
        <sz val="9"/>
        <rFont val="Arial"/>
        <family val="2"/>
      </rPr>
      <t xml:space="preserve">llow </t>
    </r>
    <r>
      <rPr>
        <u/>
        <sz val="9"/>
        <rFont val="Arial"/>
        <family val="2"/>
      </rPr>
      <t>L</t>
    </r>
    <r>
      <rPr>
        <sz val="9"/>
        <rFont val="Arial"/>
        <family val="2"/>
      </rPr>
      <t xml:space="preserve">ist with </t>
    </r>
    <r>
      <rPr>
        <u/>
        <sz val="9"/>
        <rFont val="Arial"/>
        <family val="2"/>
      </rPr>
      <t>I</t>
    </r>
    <r>
      <rPr>
        <sz val="9"/>
        <rFont val="Arial"/>
        <family val="2"/>
      </rPr>
      <t>n-cell dropdown selected</t>
    </r>
  </si>
  <si>
    <t>Acceptable values</t>
  </si>
  <si>
    <t>Input Data</t>
  </si>
  <si>
    <t>A piece of real data (only change if you have better data)</t>
  </si>
  <si>
    <t>Input Estimate</t>
  </si>
  <si>
    <t>An estimate used in the absence of real data (only change if you have a better estimate, or real data )</t>
  </si>
  <si>
    <t>Input Calculation</t>
  </si>
  <si>
    <t>locked</t>
  </si>
  <si>
    <t>An input to the model that has been calculated from other inputs (e.g. interpolated input values)</t>
  </si>
  <si>
    <t>Input Link</t>
  </si>
  <si>
    <t>An input to this part of the model, which is linked to a source on this worksheet within this workbook</t>
  </si>
  <si>
    <t>Input Link (different Worksheet)</t>
  </si>
  <si>
    <t>An input to this part of the model, which is linked to a source on another worksheet within this workbook</t>
  </si>
  <si>
    <t>Input Link (different Workbook)</t>
  </si>
  <si>
    <t>An input to this part of the model, which is linked to a source on a worksheet in a different workbook</t>
  </si>
  <si>
    <t>Other cell styles</t>
  </si>
  <si>
    <t>Use these styles to identify the role of other cells in a model</t>
  </si>
  <si>
    <t>NB These styles change a variety of different aspects of a cell's formatting (as appropriate to the context)</t>
  </si>
  <si>
    <t>Calculation</t>
  </si>
  <si>
    <t>A calculation of the model</t>
  </si>
  <si>
    <t>A total (use if not part of a "Sub-total row" or a "Total row" in a table - see below)</t>
  </si>
  <si>
    <t>Checksum</t>
  </si>
  <si>
    <t>A side calculation intended solely to cross check a result (and which therefore should not be referenced anywhere else in the model)</t>
  </si>
  <si>
    <t>Consider using Conditional Formatting (on Home tab) to highlight unacceptable results of cross-check calculations (e.g. non-zero)</t>
  </si>
  <si>
    <t>Output</t>
  </si>
  <si>
    <t>A key result from this part of the model (in particular one that will be used elsewhere in the model)</t>
  </si>
  <si>
    <t>Name</t>
  </si>
  <si>
    <r>
      <t xml:space="preserve">An Excel Name applying to one or more adjacent cells – use Create from Selection (on Formulas tab) </t>
    </r>
    <r>
      <rPr>
        <sz val="9"/>
        <rFont val="Arial"/>
        <family val="2"/>
      </rPr>
      <t>to actually create the Excel Names</t>
    </r>
  </si>
  <si>
    <t>Note</t>
  </si>
  <si>
    <t>A note (NB smaller than standard font size)</t>
  </si>
  <si>
    <t>Highlight</t>
  </si>
  <si>
    <t>A cell that is special in some way</t>
  </si>
  <si>
    <t>Unhighlight</t>
  </si>
  <si>
    <t>And one that isn't anymore</t>
  </si>
  <si>
    <t>Number styles</t>
  </si>
  <si>
    <t>Use these styles to consistently format numbers (and dates)</t>
  </si>
  <si>
    <t>NB All number styles use the decimal symbol and digit grouping symbol (thousands separator) defined under Regional Options in Control Panel. So if you want to change them do it there, and not here in Excel !</t>
  </si>
  <si>
    <t>NB Most number styles leave space for a ')' to the right of the number, but only the Currency styles actually use '(…)' for negatives</t>
  </si>
  <si>
    <t>Number</t>
  </si>
  <si>
    <t>Number
(2dp)</t>
  </si>
  <si>
    <t>Percentage</t>
  </si>
  <si>
    <t>Percentage (2dp)</t>
  </si>
  <si>
    <t>Currency</t>
  </si>
  <si>
    <t>Currency
(2dp)</t>
  </si>
  <si>
    <t>Comma</t>
  </si>
  <si>
    <t>Percent</t>
  </si>
  <si>
    <t>Positive</t>
  </si>
  <si>
    <t>Negative</t>
  </si>
  <si>
    <t>Zero</t>
  </si>
  <si>
    <t>Text</t>
  </si>
  <si>
    <t>Currency
EUR</t>
  </si>
  <si>
    <t>Currency
EUR (2dp)</t>
  </si>
  <si>
    <t>Currency
Euro</t>
  </si>
  <si>
    <t>Currency
Euro (2dp)</t>
  </si>
  <si>
    <t>Currency
USD</t>
  </si>
  <si>
    <t>Currency
USD (2dp)</t>
  </si>
  <si>
    <t>Currency Dollar</t>
  </si>
  <si>
    <t>Currency Dollar (2dp)</t>
  </si>
  <si>
    <t>Currency
GBP</t>
  </si>
  <si>
    <t>Currency
GBP (2dp)</t>
  </si>
  <si>
    <t>Currency Pound</t>
  </si>
  <si>
    <t>Currency Pound (2dp)</t>
  </si>
  <si>
    <t>Date</t>
  </si>
  <si>
    <t>Date
(Month)</t>
  </si>
  <si>
    <t>Date
(Year)</t>
  </si>
  <si>
    <t>Heading styles</t>
  </si>
  <si>
    <t>Use these styles to format headings</t>
  </si>
  <si>
    <t>NB These styles change only the font used in a cell</t>
  </si>
  <si>
    <t>H0</t>
  </si>
  <si>
    <t>Sheet title</t>
  </si>
  <si>
    <t>Heading level 0</t>
  </si>
  <si>
    <t>H1</t>
  </si>
  <si>
    <t>Title</t>
  </si>
  <si>
    <t>Heading level 1</t>
  </si>
  <si>
    <t>H2</t>
  </si>
  <si>
    <t>Heading level 2</t>
  </si>
  <si>
    <t>H3</t>
  </si>
  <si>
    <t>Heading level 3</t>
  </si>
  <si>
    <t>H4</t>
  </si>
  <si>
    <t>Heading level 4</t>
  </si>
  <si>
    <t>Table styles</t>
  </si>
  <si>
    <t>Use these styles to consistently format tables</t>
  </si>
  <si>
    <t>NB These styles change a variety of different aspects of cell formatting (as appropriate to the context)</t>
  </si>
  <si>
    <t>A simple table</t>
  </si>
  <si>
    <t>Column label (left aligned)</t>
  </si>
  <si>
    <t>Column label</t>
  </si>
  <si>
    <t>Row label</t>
  </si>
  <si>
    <t>(Table finish row)</t>
  </si>
  <si>
    <t>A more complex table</t>
  </si>
  <si>
    <t>Column label (no wrap)</t>
  </si>
  <si>
    <t>Column label (not bold)</t>
  </si>
  <si>
    <t>(Table unshading)</t>
  </si>
  <si>
    <t>(Table shading)</t>
  </si>
  <si>
    <t>Row label (indent)</t>
  </si>
  <si>
    <t>Sub-total row</t>
  </si>
  <si>
    <t>Total row</t>
  </si>
  <si>
    <t>Examples of use</t>
  </si>
  <si>
    <t>NB To avoid having spurious names in this template the names shown below have not actually been created</t>
  </si>
  <si>
    <t>Number of subscribers (year end)</t>
  </si>
  <si>
    <t>Service</t>
  </si>
  <si>
    <t>Units</t>
  </si>
  <si>
    <t>Subscribers.Year End.By Service</t>
  </si>
  <si>
    <t>Dial-up</t>
  </si>
  <si>
    <t>Subscribers</t>
  </si>
  <si>
    <t>Linear interpolation</t>
  </si>
  <si>
    <t>ADSL</t>
  </si>
  <si>
    <t>Cable Modem</t>
  </si>
  <si>
    <t>From above</t>
  </si>
  <si>
    <t>From Cable_modem.xls</t>
  </si>
  <si>
    <t>Number of subscribers (simple year average)</t>
  </si>
  <si>
    <t>Subscribers.Year Average.Total</t>
  </si>
  <si>
    <t>Contenidos</t>
  </si>
  <si>
    <t>Información</t>
  </si>
  <si>
    <t>Título</t>
  </si>
  <si>
    <t>Objetivo</t>
  </si>
  <si>
    <t>Versión</t>
  </si>
  <si>
    <t>Estatus</t>
  </si>
  <si>
    <t>Autor</t>
  </si>
  <si>
    <t>Hoja</t>
  </si>
  <si>
    <t>Descripción</t>
  </si>
  <si>
    <t>Modelo de costos de red móvil</t>
  </si>
  <si>
    <t>Calcular mediante la metodología LRAIC+ el costo por minuto de provisión del servicio mayorista de interconexión</t>
  </si>
  <si>
    <t>Hoja de contenidos</t>
  </si>
  <si>
    <t>Guía de estilo</t>
  </si>
  <si>
    <t>Control</t>
  </si>
  <si>
    <t>INFORMACIÓN GENERAL</t>
  </si>
  <si>
    <t>Traffic</t>
  </si>
  <si>
    <t>Demand</t>
  </si>
  <si>
    <t>NetworkDemand</t>
  </si>
  <si>
    <t>NwDesignInputs</t>
  </si>
  <si>
    <t>UtilisationFactors</t>
  </si>
  <si>
    <t>NetworkDesign</t>
  </si>
  <si>
    <t>ErlangTables</t>
  </si>
  <si>
    <t>AssetsInputs</t>
  </si>
  <si>
    <t>TotalNetwork</t>
  </si>
  <si>
    <t>Annualization</t>
  </si>
  <si>
    <t>RouteingFactors</t>
  </si>
  <si>
    <t>Results</t>
  </si>
  <si>
    <t>Permite la definición de operadores y escenarios distintos</t>
  </si>
  <si>
    <t>Contiene los datos de tráfico de los operadores reales del mercado para los servicios modelados</t>
  </si>
  <si>
    <t>Calcula el tráfico desagregado por tecnología de red de acceso de cada servicio modelado para el operador y año seleccionados</t>
  </si>
  <si>
    <t>Modela la carga pico de la red del operador modelado en el año seleccionado</t>
  </si>
  <si>
    <t>Contiene datos de entrada y parámetros para el diseño radio (p.ej. radio de celda, espectro usado para cobertura y capacidad), tecnologías de acceso (p.ej. capacidad de las tecnologías, S-RAN), tecnologías de acceso a última milla (p.ej. capacidades enlaces dedicados, fibra propia)</t>
  </si>
  <si>
    <t>Define los factores de utilización de los activos de red del operador</t>
  </si>
  <si>
    <t>Efectúa el dimensionamiento de todos los niveles de red (p.ej. emplazamientos S-RAN, sitios por tecnología, dimensionamiento de última milla, red de agregación, red de transmisión, core)</t>
  </si>
  <si>
    <t>Contiene las tablas Erlang que permiten calcular la capacidad en Erlangs de ciertos activos a partir del número de canales disponibles en las tecnologías 2G y 3G y la probabilidad de bloqueo</t>
  </si>
  <si>
    <t>Define para cada elemento de red la información sobre inversión, opex, tendencias de costos, categoría de costos o factores de enrutamiento asociados, entre otros</t>
  </si>
  <si>
    <t>Calcula los costos totales de red sin anualizar a partir del volumen de activos y sus precios unitarios (inversión) y operacionales (opex)</t>
  </si>
  <si>
    <t>Para cada elemento de red anualiza la inversión utilizando el método seleccionado en el módulo de Control y lo agrega al opex para cada activo</t>
  </si>
  <si>
    <t>Contiene el conjunto de parámetros que describen la carga de red generada en cada elemento de red por los servicios modelados</t>
  </si>
  <si>
    <t>Calcula para todos los servicios modelados el costo por unidad de red LRAIC y LRAIC+</t>
  </si>
  <si>
    <t>Calcula los resultados específicos del servicio de interconexión de llamadas móviles en base a los costos unitarios incrementales obtenidos para este servicio en cada una de las tecnologías de red de acceso (i.e. 2G, 3G y 4G) y para cada una de sus variantes (i.e. entrante desde fijo y entrante desde móvil)</t>
  </si>
  <si>
    <r>
      <t xml:space="preserve">Módulo de control </t>
    </r>
    <r>
      <rPr>
        <sz val="22"/>
        <rFont val="Arial"/>
        <family val="2"/>
      </rPr>
      <t>→</t>
    </r>
  </si>
  <si>
    <r>
      <t xml:space="preserve">Módulo de mercado </t>
    </r>
    <r>
      <rPr>
        <sz val="22"/>
        <rFont val="Arial"/>
        <family val="2"/>
      </rPr>
      <t>→</t>
    </r>
  </si>
  <si>
    <r>
      <t xml:space="preserve">Módulo de </t>
    </r>
    <r>
      <rPr>
        <b/>
        <i/>
        <sz val="22"/>
        <rFont val="Arial"/>
        <family val="2"/>
      </rPr>
      <t>Costeo de los servicios</t>
    </r>
    <r>
      <rPr>
        <b/>
        <sz val="22"/>
        <rFont val="Arial"/>
        <family val="2"/>
      </rPr>
      <t xml:space="preserve"> →</t>
    </r>
  </si>
  <si>
    <t>Incluye un conjunto de listas con información necesaria para la ejecución del modelo (p.ej. nombres de los servicios, definición de los geotipos, bandas de espectro)</t>
  </si>
  <si>
    <t>Lists</t>
  </si>
  <si>
    <t>Asset 1</t>
  </si>
  <si>
    <t>Asset 2</t>
  </si>
  <si>
    <t>Asset 3</t>
  </si>
  <si>
    <t>Asset 4</t>
  </si>
  <si>
    <t>Asset 5</t>
  </si>
  <si>
    <t>Asset 21</t>
  </si>
  <si>
    <t>Asset 22</t>
  </si>
  <si>
    <t>Sitios propios - macro</t>
  </si>
  <si>
    <t>Sitios de terceros - macro</t>
  </si>
  <si>
    <t>Sitios propios - micro</t>
  </si>
  <si>
    <t>Sitios de terceros - micro</t>
  </si>
  <si>
    <t>de las cuales sitios macro</t>
  </si>
  <si>
    <t>de las cuales sitios micro</t>
  </si>
  <si>
    <t>Erlang Tables</t>
  </si>
  <si>
    <t>Arquitectura y tecnología del acceso a última milla (LMA) y backhaul</t>
  </si>
  <si>
    <t>Proxy de la depreciación lineal para estimar el Net Book Value (NBV)</t>
  </si>
  <si>
    <t>MÓDULO DE COSTEO DE LOS SERVICIOS (M_C_S)</t>
  </si>
  <si>
    <t>MÓDULO DE MERCADO (M_M)</t>
  </si>
  <si>
    <t>MÓDULO DE CONTROL (M_C)</t>
  </si>
  <si>
    <r>
      <t xml:space="preserve">Módulo de </t>
    </r>
    <r>
      <rPr>
        <b/>
        <i/>
        <sz val="22"/>
        <rFont val="Arial"/>
        <family val="2"/>
      </rPr>
      <t>Costeo de red</t>
    </r>
    <r>
      <rPr>
        <b/>
        <sz val="22"/>
        <rFont val="Arial"/>
        <family val="2"/>
      </rPr>
      <t xml:space="preserve"> →</t>
    </r>
  </si>
  <si>
    <t>MÓDULO DE COSTEO DE RED (M_C_R)</t>
  </si>
  <si>
    <t>Reserva de canales para GPRS/EDGE, por sector</t>
  </si>
  <si>
    <t>Tráfico de interconexión de voz</t>
  </si>
  <si>
    <t>Cargo de interconexión móvil</t>
  </si>
  <si>
    <t>Cargo max por interconexión móvil</t>
  </si>
  <si>
    <t>Cargo min por interconexión móvil</t>
  </si>
  <si>
    <t>Cargo medio por interconexión móvil</t>
  </si>
  <si>
    <t>Cargo de interconexión fija</t>
  </si>
  <si>
    <t>Ingresos recibidos de otros operadores por interconexión nacional</t>
  </si>
  <si>
    <t>Gastos por interconexión nacional</t>
  </si>
  <si>
    <t>Ingresos menos gastos por interconexión nacional</t>
  </si>
  <si>
    <t>Costo asignable al servicio de interconexión debido al aporte regulatorio</t>
  </si>
  <si>
    <t>15. CÁLCULO DEL APORTE REGULATORIO DEBIDO A INTERCONEXIÓN</t>
  </si>
  <si>
    <t>Hipotético, Anualidad simple</t>
  </si>
  <si>
    <t>Demanda de los servicios</t>
  </si>
  <si>
    <t>Services.total.costs</t>
  </si>
  <si>
    <t>Volúmenes anuales de costos y demanda</t>
  </si>
  <si>
    <t>Resultados</t>
  </si>
  <si>
    <t>Costos unitarios LRAIC de interconexión voz</t>
  </si>
  <si>
    <t>USD centavos / minuto</t>
  </si>
  <si>
    <t>Volúmenes de tráfico de interconexión</t>
  </si>
  <si>
    <t>Outgoing.voice.traffic.to.international</t>
  </si>
  <si>
    <t>Incoming.voice.traffic.from.international</t>
  </si>
  <si>
    <t>Mark.up.regulatory.contribution.incoming.traffic</t>
  </si>
  <si>
    <t>Interconnection.traffic.volume</t>
  </si>
  <si>
    <t>Interconnection.voice.selector</t>
  </si>
  <si>
    <t>Comienzo</t>
  </si>
  <si>
    <t>Final</t>
  </si>
  <si>
    <t>Distancia</t>
  </si>
  <si>
    <t>Metodologías de anualidad</t>
  </si>
  <si>
    <t>Anualidad seleccionada</t>
  </si>
  <si>
    <t>Anualidad (nominal)</t>
  </si>
  <si>
    <t>Mercado</t>
  </si>
  <si>
    <t>Demanda Anual</t>
  </si>
  <si>
    <t>MB</t>
  </si>
  <si>
    <t>Aporte regulatorio por minuto de interconexión</t>
  </si>
  <si>
    <t>Aporte regulatorio por minuto terminado</t>
  </si>
  <si>
    <t>Fijado a cero</t>
  </si>
  <si>
    <t>Valor sin markup regulatorio</t>
  </si>
  <si>
    <t>Demanda total de los servicios</t>
  </si>
  <si>
    <t>markup regulatorio</t>
  </si>
  <si>
    <t>Costo por markup</t>
  </si>
  <si>
    <t>Costo total del servicio</t>
  </si>
  <si>
    <t>Costo de red</t>
  </si>
  <si>
    <t>Costos operativos</t>
  </si>
  <si>
    <t>Cargo</t>
  </si>
  <si>
    <t>USD/minuto</t>
  </si>
  <si>
    <t>COSTOS COMUNES</t>
  </si>
  <si>
    <t>OPEX</t>
  </si>
  <si>
    <t>CAPEX</t>
  </si>
  <si>
    <t>OPEX con reasignación de los costos de los activos con factor de enrutamiento "Suscriptores", que son reasignados como un mark-up al resto de los activos</t>
  </si>
  <si>
    <t>CAPEX con reasignación de los costos de los activos con factor de enrutamiento "Suscriptores", que son reasignados como un mark-up al resto de los activos</t>
  </si>
  <si>
    <t>OPEX por output de elemento de red</t>
  </si>
  <si>
    <t>CAPEX por output de elemento de red</t>
  </si>
  <si>
    <t>Frequencies2</t>
  </si>
  <si>
    <t>Tablas que permiten calcular una capacidad en base a un número de canales en un sector y una probabilidad de bloqueo</t>
  </si>
  <si>
    <t>Analysys Mason - GPRC_OSIPTEL</t>
  </si>
</sst>
</file>

<file path=xl/styles.xml><?xml version="1.0" encoding="utf-8"?>
<styleSheet xmlns="http://schemas.openxmlformats.org/spreadsheetml/2006/main" xmlns:mc="http://schemas.openxmlformats.org/markup-compatibility/2006" xmlns:x14ac="http://schemas.microsoft.com/office/spreadsheetml/2009/9/ac" mc:Ignorable="x14ac">
  <numFmts count="62">
    <numFmt numFmtId="43" formatCode="_-* #,##0.00_-;\-* #,##0.00_-;_-* &quot;-&quot;??_-;_-@_-"/>
    <numFmt numFmtId="164" formatCode="_ * #,##0.00_ ;_ * \-#,##0.00_ ;_ * &quot;-&quot;??_ ;_ @_ "/>
    <numFmt numFmtId="165" formatCode="#,##0.00_);[Red]\-#,##0.00_);0.00_);@_)"/>
    <numFmt numFmtId="166" formatCode="* _(#,##0_);[Red]* \(#,##0\);* _(&quot;-&quot;?_);@_)"/>
    <numFmt numFmtId="167" formatCode="* _(#,##0.00_);[Red]* \(#,##0.00\);* _(&quot;-&quot;?_);@_)"/>
    <numFmt numFmtId="168" formatCode="\$\ * _(#,##0_);[Red]\$\ * \(#,##0\);\$\ * _(&quot;-&quot;?_);@_)"/>
    <numFmt numFmtId="169" formatCode="\$\ * _(#,##0.00_);[Red]\$\ * \(#,##0.00\);\$\ * _(&quot;-&quot;?_);@_)"/>
    <numFmt numFmtId="170" formatCode="[$EUR]\ * _(#,##0_);[Red][$EUR]\ * \(#,##0\);[$EUR]\ * _(&quot;-&quot;?_);@_)"/>
    <numFmt numFmtId="171" formatCode="[$EUR]\ * _(#,##0.00_);[Red][$EUR]\ * \(#,##0.00\);[$EUR]\ * _(&quot;-&quot;?_);@_)"/>
    <numFmt numFmtId="172" formatCode="\€\ * _(#,##0_);[Red]\€\ * \(#,##0\);\€\ * _(&quot;-&quot;?_);@_)"/>
    <numFmt numFmtId="173" formatCode="\€\ * _(#,##0.00_);[Red]\€\ * \(#,##0.00\);\€\ * _(&quot;-&quot;?_);@_)"/>
    <numFmt numFmtId="174" formatCode="[$GBP]\ * _(#,##0_);[Red][$GBP]\ * \(#,##0\);[$GBP]\ * _(&quot;-&quot;?_);@_)"/>
    <numFmt numFmtId="175" formatCode="[$GBP]\ * _(#,##0.00_);[Red][$GBP]\ * \(#,##0.00\);[$GBP]\ * _(&quot;-&quot;?_);@_)"/>
    <numFmt numFmtId="176" formatCode="\£\ * _(#,##0_);[Red]\£\ * \(#,##0\);\£\ * _(&quot;-&quot;?_);@_)"/>
    <numFmt numFmtId="177" formatCode="\£\ * _(#,##0.00_);[Red]\£\ * \(#,##0.00\);\£\ * _(&quot;-&quot;?_);@_)"/>
    <numFmt numFmtId="178" formatCode="[$USD]\ * _(#,##0_);[Red][$USD]\ * \(#,##0\);[$USD]\ * _(&quot;-&quot;?_);@_)"/>
    <numFmt numFmtId="179" formatCode="[$USD]\ * _(#,##0.00_);[Red][$USD]\ * \(#,##0.00\);[$USD]\ * _(&quot;-&quot;?_);@_)"/>
    <numFmt numFmtId="180" formatCode="dd\ mmm\ yy_)"/>
    <numFmt numFmtId="181" formatCode="mmm\ yy_)"/>
    <numFmt numFmtId="182" formatCode="yyyy_)"/>
    <numFmt numFmtId="183" formatCode="#,##0_);[Red]\-#,##0_);0_);@_)"/>
    <numFmt numFmtId="184" formatCode="#,###_);[Red]\-#,###_);\-_);@_)"/>
    <numFmt numFmtId="185" formatCode="#,##0.0_);[Red]\-#,##0.0_);\-_);@_)"/>
    <numFmt numFmtId="186" formatCode="#,##0%;[Red]\-#,##0%;\-\%;@_)"/>
    <numFmt numFmtId="187" formatCode="#,##0.00%;[Red]\-#,##0.00%;\-\%;@_)"/>
    <numFmt numFmtId="188" formatCode="#,##0.0_);[Red]\-#,##0.0_);0.0_);@_)"/>
    <numFmt numFmtId="189" formatCode="#,##0.0000_);[Red]\-#,##0.0000_);0.0000_);@_)"/>
    <numFmt numFmtId="190" formatCode="0%;[Red]\-0%"/>
    <numFmt numFmtId="191" formatCode="0.0%;[Red]\-0.0%"/>
    <numFmt numFmtId="192" formatCode="#,##0.00000_);[Red]\-#,##0.00000_);0.00000_);@_)"/>
    <numFmt numFmtId="193" formatCode="#,##0.000;[Red]\-#,##0.000"/>
    <numFmt numFmtId="194" formatCode="#,##0.000_);[Red]\-#,##0.000_);0.000_);@_)"/>
    <numFmt numFmtId="195" formatCode="#,##0.0000_);[Red]\-#,##0.0000_);\-_);@_)"/>
    <numFmt numFmtId="196" formatCode="#,##0.00_);[Red]\-#,##0.00_);\-_);@_)"/>
    <numFmt numFmtId="197" formatCode="#,##0.000_);[Red]\-#,##0.000_);\-_);@_)"/>
    <numFmt numFmtId="198" formatCode="#,##0_);[Red]\-#,##0_);\-_);@_)"/>
    <numFmt numFmtId="199" formatCode="#,###.00_);[Red]\-#,###.00_);\-_);@_)"/>
    <numFmt numFmtId="200" formatCode="#,##0.00%;[Red]\-#,##0.00%;0.00%;@_)"/>
    <numFmt numFmtId="201" formatCode="#,###_);[Red]\-#,###_);0_);@_)"/>
    <numFmt numFmtId="202" formatCode="#,##0_);[Red]\-#,##0_);&quot;-&quot;?_);@_)"/>
    <numFmt numFmtId="203" formatCode="#,##0.00_);[Red]\-#,##0.00_);&quot;-&quot;?_);@_)"/>
    <numFmt numFmtId="204" formatCode="#,##0%;[Red]\-#,##0%;&quot;-&quot;\%;@_)"/>
    <numFmt numFmtId="205" formatCode="#,##0.00%;[Red]\-#,##0.00%;&quot;-&quot;\%;@_)"/>
    <numFmt numFmtId="206" formatCode="0.0%"/>
    <numFmt numFmtId="207" formatCode="#,##0%;[Red]\-#,##0%;0%;@_)"/>
    <numFmt numFmtId="208" formatCode="#,##0.0%;[Red]\-#,##0.0%;0.0%;@_)"/>
    <numFmt numFmtId="209" formatCode="#,###.0_);[Red]\-#,###.0_);\-_);@_)"/>
    <numFmt numFmtId="210" formatCode="0.00%;[Red]\-0.00%"/>
    <numFmt numFmtId="211" formatCode="#,##0.00%;[Red]\-#,##0.00%;\-_);@_)"/>
    <numFmt numFmtId="212" formatCode="[$USD]\ * _(#,##0_);[Red][$USD]\ * \(#,##0\);[$USD]\ * _(\-?_);@_)"/>
    <numFmt numFmtId="213" formatCode="#,##0.0%;[Red]\-#,##0.0%;&quot;-&quot;\%;@_)"/>
    <numFmt numFmtId="214" formatCode="#,##0.000_);[Red]\-#,##0.000_);&quot;-&quot;?_);@_)"/>
    <numFmt numFmtId="215" formatCode="#,##0.0_);[Red]\-#,##0.0_);&quot;-&quot;?_);@_)"/>
    <numFmt numFmtId="216" formatCode="#,##0.00_ ;[Red]\-#,##0.00\ "/>
    <numFmt numFmtId="217" formatCode="#,##0.000_ ;[Red]\-#,##0.000\ "/>
    <numFmt numFmtId="218" formatCode="#,##0.00000_ ;[Red]\-#,##0.00000\ "/>
    <numFmt numFmtId="219" formatCode="_-* #,##0_-;\-* #,##0_-;_-* &quot;-&quot;??_-;_-@_-"/>
    <numFmt numFmtId="220" formatCode="#,##0.000000_);[Red]\-#,##0.000000_);&quot;-&quot;?_);@_)"/>
    <numFmt numFmtId="221" formatCode="_ * #,##0.000_ ;_ * \-#,##0.000_ ;_ * &quot;-&quot;??_ ;_ @_ "/>
    <numFmt numFmtId="222" formatCode="_ * #,##0.00000_ ;_ * \-#,##0.00000_ ;_ * &quot;-&quot;??_ ;_ @_ "/>
    <numFmt numFmtId="223" formatCode="_ * #,##0_ ;_ * \-#,##0_ ;_ * &quot;-&quot;??_ ;_ @_ "/>
    <numFmt numFmtId="224" formatCode="#,##0.000"/>
  </numFmts>
  <fonts count="86" x14ac:knownFonts="1">
    <font>
      <sz val="9"/>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9"/>
      <name val="Arial"/>
      <family val="2"/>
    </font>
    <font>
      <b/>
      <sz val="22"/>
      <name val="Arial"/>
      <family val="2"/>
    </font>
    <font>
      <i/>
      <sz val="9"/>
      <color indexed="55"/>
      <name val="Arial"/>
      <family val="2"/>
    </font>
    <font>
      <b/>
      <sz val="9"/>
      <name val="Arial"/>
      <family val="2"/>
    </font>
    <font>
      <b/>
      <sz val="18"/>
      <name val="Arial"/>
      <family val="2"/>
    </font>
    <font>
      <b/>
      <sz val="14"/>
      <name val="Arial"/>
      <family val="2"/>
    </font>
    <font>
      <b/>
      <sz val="12"/>
      <name val="Arial"/>
      <family val="2"/>
    </font>
    <font>
      <i/>
      <sz val="9"/>
      <color indexed="16"/>
      <name val="Arial"/>
      <family val="2"/>
    </font>
    <font>
      <b/>
      <sz val="11"/>
      <name val="Arial"/>
      <family val="2"/>
    </font>
    <font>
      <sz val="8"/>
      <name val="Arial"/>
      <family val="2"/>
    </font>
    <font>
      <sz val="10"/>
      <name val="Times New Roman"/>
      <family val="1"/>
    </font>
    <font>
      <sz val="10"/>
      <name val="Arial"/>
      <family val="2"/>
    </font>
    <font>
      <sz val="8"/>
      <color indexed="10"/>
      <name val="Times New Roman"/>
      <family val="1"/>
    </font>
    <font>
      <sz val="8"/>
      <color indexed="10"/>
      <name val="Arial"/>
      <family val="2"/>
    </font>
    <font>
      <sz val="8"/>
      <color rgb="FFFF0000"/>
      <name val="Arial"/>
      <family val="2"/>
    </font>
    <font>
      <i/>
      <sz val="9"/>
      <name val="Arial"/>
      <family val="2"/>
    </font>
    <font>
      <sz val="9"/>
      <color rgb="FFFF0000"/>
      <name val="Arial"/>
      <family val="2"/>
    </font>
    <font>
      <b/>
      <sz val="9"/>
      <color rgb="FFFFFFFF"/>
      <name val="Arial"/>
      <family val="2"/>
    </font>
    <font>
      <sz val="9"/>
      <color rgb="FFFFFFFF"/>
      <name val="Arial"/>
      <family val="2"/>
    </font>
    <font>
      <i/>
      <sz val="9"/>
      <color rgb="FFC41230"/>
      <name val="Arial"/>
      <family val="2"/>
    </font>
    <font>
      <i/>
      <sz val="9"/>
      <color rgb="FFFF0000"/>
      <name val="Arial"/>
      <family val="2"/>
    </font>
    <font>
      <b/>
      <sz val="14"/>
      <color theme="1"/>
      <name val="Arial"/>
      <family val="2"/>
    </font>
    <font>
      <b/>
      <sz val="11"/>
      <color theme="1"/>
      <name val="Calibri"/>
      <family val="2"/>
      <scheme val="minor"/>
    </font>
    <font>
      <b/>
      <sz val="22"/>
      <name val="Arial"/>
      <family val="2"/>
    </font>
    <font>
      <sz val="9"/>
      <name val="Arial"/>
      <family val="2"/>
    </font>
    <font>
      <b/>
      <sz val="9"/>
      <color rgb="FFFFFFFF"/>
      <name val="Arial"/>
      <family val="2"/>
    </font>
    <font>
      <b/>
      <sz val="12"/>
      <name val="Arial"/>
      <family val="2"/>
    </font>
    <font>
      <b/>
      <sz val="9"/>
      <name val="Arial"/>
      <family val="2"/>
    </font>
    <font>
      <i/>
      <sz val="9"/>
      <color rgb="FFC41230"/>
      <name val="Arial"/>
      <family val="2"/>
    </font>
    <font>
      <sz val="9"/>
      <color rgb="FFFF0000"/>
      <name val="Arial"/>
      <family val="2"/>
    </font>
    <font>
      <i/>
      <sz val="9"/>
      <color indexed="55"/>
      <name val="Arial"/>
      <family val="2"/>
    </font>
    <font>
      <sz val="9"/>
      <color indexed="10"/>
      <name val="Arial"/>
      <family val="2"/>
    </font>
    <font>
      <i/>
      <sz val="9"/>
      <color rgb="FF92D050"/>
      <name val="Arial"/>
      <family val="2"/>
    </font>
    <font>
      <sz val="8"/>
      <color rgb="FFFF0000"/>
      <name val="Arial"/>
      <family val="2"/>
    </font>
    <font>
      <u/>
      <sz val="8"/>
      <name val="Arial"/>
      <family val="2"/>
    </font>
    <font>
      <u/>
      <sz val="9"/>
      <name val="Arial"/>
      <family val="2"/>
    </font>
    <font>
      <sz val="22"/>
      <name val="Arial"/>
      <family val="2"/>
    </font>
    <font>
      <b/>
      <i/>
      <sz val="22"/>
      <name val="Arial"/>
      <family val="2"/>
    </font>
    <font>
      <sz val="9"/>
      <name val="Arial"/>
      <family val="2"/>
    </font>
    <font>
      <b/>
      <sz val="22"/>
      <name val="Arial"/>
      <family val="2"/>
    </font>
    <font>
      <b/>
      <sz val="14"/>
      <name val="Arial"/>
      <family val="2"/>
    </font>
    <font>
      <b/>
      <sz val="9"/>
      <name val="Arial"/>
      <family val="2"/>
    </font>
    <font>
      <b/>
      <sz val="12"/>
      <name val="Arial"/>
      <family val="2"/>
    </font>
    <font>
      <b/>
      <sz val="9"/>
      <color theme="0"/>
      <name val="Arial"/>
      <family val="2"/>
    </font>
    <font>
      <b/>
      <i/>
      <sz val="9"/>
      <color theme="0"/>
      <name val="Arial"/>
      <family val="2"/>
    </font>
    <font>
      <b/>
      <sz val="22"/>
      <name val="Arial"/>
      <family val="2"/>
    </font>
    <font>
      <sz val="9"/>
      <name val="Arial"/>
      <family val="2"/>
    </font>
    <font>
      <b/>
      <sz val="9"/>
      <color rgb="FFFFFFFF"/>
      <name val="Arial"/>
      <family val="2"/>
    </font>
    <font>
      <b/>
      <sz val="12"/>
      <name val="Arial"/>
      <family val="2"/>
    </font>
    <font>
      <b/>
      <sz val="9"/>
      <name val="Arial"/>
      <family val="2"/>
    </font>
    <font>
      <i/>
      <sz val="9"/>
      <color rgb="FFC41230"/>
      <name val="Arial"/>
      <family val="2"/>
    </font>
    <font>
      <sz val="9"/>
      <color rgb="FFFF0000"/>
      <name val="Arial"/>
      <family val="2"/>
    </font>
    <font>
      <i/>
      <sz val="9"/>
      <name val="Arial"/>
      <family val="2"/>
    </font>
    <font>
      <b/>
      <sz val="9"/>
      <color rgb="FFFF0000"/>
      <name val="Arial"/>
      <family val="2"/>
    </font>
    <font>
      <i/>
      <sz val="9"/>
      <color indexed="55"/>
      <name val="Arial"/>
      <family val="2"/>
    </font>
    <font>
      <i/>
      <sz val="9"/>
      <color rgb="FF92D050"/>
      <name val="Arial"/>
      <family val="2"/>
    </font>
    <font>
      <b/>
      <sz val="22"/>
      <name val="Arial"/>
      <family val="2"/>
    </font>
    <font>
      <sz val="9"/>
      <name val="Arial"/>
      <family val="2"/>
    </font>
    <font>
      <b/>
      <sz val="9"/>
      <color rgb="FFFFFFFF"/>
      <name val="Arial"/>
      <family val="2"/>
    </font>
    <font>
      <i/>
      <sz val="9"/>
      <color indexed="55"/>
      <name val="Arial"/>
      <family val="2"/>
    </font>
    <font>
      <i/>
      <sz val="9"/>
      <color rgb="FFC41230"/>
      <name val="Arial"/>
      <family val="2"/>
    </font>
    <font>
      <b/>
      <sz val="22"/>
      <name val="Arial"/>
      <family val="2"/>
    </font>
    <font>
      <sz val="9"/>
      <name val="Arial"/>
      <family val="2"/>
    </font>
    <font>
      <b/>
      <sz val="14"/>
      <name val="Arial"/>
      <family val="2"/>
    </font>
    <font>
      <b/>
      <sz val="12"/>
      <name val="Arial"/>
      <family val="2"/>
    </font>
    <font>
      <b/>
      <sz val="9"/>
      <color rgb="FFFFFFFF"/>
      <name val="Arial"/>
      <family val="2"/>
    </font>
    <font>
      <i/>
      <sz val="9"/>
      <color rgb="FFC41230"/>
      <name val="Arial"/>
      <family val="2"/>
    </font>
    <font>
      <i/>
      <sz val="9"/>
      <color indexed="55"/>
      <name val="Arial"/>
      <family val="2"/>
    </font>
    <font>
      <b/>
      <sz val="9"/>
      <name val="Arial"/>
      <family val="2"/>
    </font>
    <font>
      <sz val="9"/>
      <color theme="1"/>
      <name val="Arial"/>
      <family val="2"/>
    </font>
    <font>
      <b/>
      <sz val="9"/>
      <color theme="1"/>
      <name val="Arial"/>
      <family val="2"/>
    </font>
    <font>
      <b/>
      <sz val="10"/>
      <name val="Arial"/>
      <family val="2"/>
    </font>
    <font>
      <b/>
      <sz val="22"/>
      <name val="Arial"/>
      <family val="2"/>
    </font>
    <font>
      <sz val="9"/>
      <name val="Arial"/>
      <family val="2"/>
    </font>
    <font>
      <i/>
      <sz val="9"/>
      <color indexed="55"/>
      <name val="Arial"/>
      <family val="2"/>
    </font>
    <font>
      <i/>
      <sz val="9"/>
      <color rgb="FFC41230"/>
      <name val="Arial"/>
      <family val="2"/>
    </font>
    <font>
      <b/>
      <sz val="9"/>
      <color rgb="FFFFFFFF"/>
      <name val="Arial"/>
      <family val="2"/>
    </font>
    <font>
      <b/>
      <sz val="9"/>
      <name val="Arial"/>
      <family val="2"/>
    </font>
    <font>
      <sz val="9"/>
      <color rgb="FFFF0000"/>
      <name val="Arial"/>
      <family val="2"/>
    </font>
    <font>
      <b/>
      <sz val="14"/>
      <name val="Arial"/>
      <family val="2"/>
    </font>
    <font>
      <b/>
      <sz val="12"/>
      <name val="Arial"/>
      <family val="2"/>
    </font>
  </fonts>
  <fills count="28">
    <fill>
      <patternFill patternType="none"/>
    </fill>
    <fill>
      <patternFill patternType="gray125"/>
    </fill>
    <fill>
      <patternFill patternType="solid">
        <fgColor indexed="41"/>
        <bgColor indexed="64"/>
      </patternFill>
    </fill>
    <fill>
      <patternFill patternType="solid">
        <fgColor indexed="13"/>
        <bgColor indexed="64"/>
      </patternFill>
    </fill>
    <fill>
      <patternFill patternType="solid">
        <fgColor indexed="13"/>
        <bgColor indexed="15"/>
      </patternFill>
    </fill>
    <fill>
      <patternFill patternType="solid">
        <fgColor indexed="42"/>
        <bgColor indexed="64"/>
      </patternFill>
    </fill>
    <fill>
      <patternFill patternType="solid">
        <fgColor indexed="11"/>
        <bgColor indexed="64"/>
      </patternFill>
    </fill>
    <fill>
      <patternFill patternType="solid">
        <fgColor indexed="22"/>
        <bgColor indexed="64"/>
      </patternFill>
    </fill>
    <fill>
      <patternFill patternType="solid">
        <fgColor rgb="FF93D7FF"/>
        <bgColor indexed="64"/>
      </patternFill>
    </fill>
    <fill>
      <patternFill patternType="solid">
        <fgColor indexed="5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221F72"/>
        <bgColor rgb="FF221F72"/>
      </patternFill>
    </fill>
    <fill>
      <patternFill patternType="solid">
        <fgColor rgb="FF221F72"/>
        <bgColor indexed="64"/>
      </patternFill>
    </fill>
    <fill>
      <patternFill patternType="solid">
        <fgColor rgb="FFFFFF00"/>
        <bgColor indexed="64"/>
      </patternFill>
    </fill>
    <fill>
      <patternFill patternType="solid">
        <fgColor rgb="FFFFFAB3"/>
        <bgColor indexed="15"/>
      </patternFill>
    </fill>
    <fill>
      <patternFill patternType="solid">
        <fgColor rgb="FFD0FFD0"/>
        <bgColor indexed="64"/>
      </patternFill>
    </fill>
    <fill>
      <patternFill patternType="solid">
        <fgColor rgb="FF00FF00"/>
        <bgColor indexed="64"/>
      </patternFill>
    </fill>
    <fill>
      <patternFill patternType="solid">
        <fgColor rgb="FFB4FF3C"/>
        <bgColor indexed="64"/>
      </patternFill>
    </fill>
    <fill>
      <patternFill patternType="solid">
        <fgColor rgb="FFFFE0A0"/>
        <bgColor indexed="64"/>
      </patternFill>
    </fill>
    <fill>
      <patternFill patternType="solid">
        <fgColor rgb="FFC4D0E9"/>
        <bgColor indexed="64"/>
      </patternFill>
    </fill>
    <fill>
      <patternFill patternType="solid">
        <fgColor theme="0" tint="-0.34998626667073579"/>
        <bgColor indexed="64"/>
      </patternFill>
    </fill>
    <fill>
      <patternFill patternType="solid">
        <fgColor theme="0"/>
        <bgColor indexed="64"/>
      </patternFill>
    </fill>
    <fill>
      <patternFill patternType="solid">
        <fgColor theme="3" tint="0.749961851863155"/>
        <bgColor indexed="64"/>
      </patternFill>
    </fill>
    <fill>
      <patternFill patternType="solid">
        <fgColor theme="1" tint="0.89999084444715716"/>
        <bgColor indexed="64"/>
      </patternFill>
    </fill>
    <fill>
      <patternFill patternType="solid">
        <fgColor rgb="FFFFC000"/>
        <bgColor indexed="64"/>
      </patternFill>
    </fill>
    <fill>
      <patternFill patternType="solid">
        <fgColor rgb="FF002060"/>
        <bgColor indexed="64"/>
      </patternFill>
    </fill>
    <fill>
      <patternFill patternType="solid">
        <fgColor rgb="FFFFFF99"/>
        <bgColor indexed="64"/>
      </patternFill>
    </fill>
  </fills>
  <borders count="23">
    <border>
      <left/>
      <right/>
      <top/>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top/>
      <bottom style="medium">
        <color theme="4"/>
      </bottom>
      <diagonal/>
    </border>
    <border>
      <left style="thick">
        <color indexed="12"/>
      </left>
      <right style="thick">
        <color indexed="12"/>
      </right>
      <top style="thick">
        <color indexed="12"/>
      </top>
      <bottom style="thick">
        <color indexed="12"/>
      </bottom>
      <diagonal/>
    </border>
    <border>
      <left style="dotted">
        <color rgb="FF00C000"/>
      </left>
      <right style="dotted">
        <color rgb="FF00C000"/>
      </right>
      <top style="dotted">
        <color rgb="FF00C000"/>
      </top>
      <bottom style="dotted">
        <color rgb="FF00C000"/>
      </bottom>
      <diagonal/>
    </border>
    <border>
      <left style="thin">
        <color rgb="FF00C000"/>
      </left>
      <right style="thin">
        <color rgb="FF00C000"/>
      </right>
      <top style="thin">
        <color rgb="FF00C000"/>
      </top>
      <bottom style="thin">
        <color rgb="FF00C000"/>
      </bottom>
      <diagonal/>
    </border>
    <border>
      <left style="thin">
        <color rgb="FF0000FF"/>
      </left>
      <right style="thin">
        <color rgb="FF0000FF"/>
      </right>
      <top style="thin">
        <color rgb="FF0000FF"/>
      </top>
      <bottom style="thin">
        <color rgb="FF0000FF"/>
      </bottom>
      <diagonal/>
    </border>
    <border>
      <left/>
      <right/>
      <top style="medium">
        <color rgb="FFC4D0E9"/>
      </top>
      <bottom style="medium">
        <color rgb="FFC4D0E9"/>
      </bottom>
      <diagonal/>
    </border>
    <border>
      <left/>
      <right/>
      <top style="medium">
        <color rgb="FFC4D0E9"/>
      </top>
      <bottom/>
      <diagonal/>
    </border>
    <border>
      <left/>
      <right/>
      <top/>
      <bottom style="medium">
        <color theme="1"/>
      </bottom>
      <diagonal/>
    </border>
    <border>
      <left/>
      <right/>
      <top/>
      <bottom style="thin">
        <color theme="3"/>
      </bottom>
      <diagonal/>
    </border>
    <border>
      <left style="thin">
        <color rgb="FFFF0000"/>
      </left>
      <right style="thin">
        <color rgb="FFFF0000"/>
      </right>
      <top/>
      <bottom/>
      <diagonal/>
    </border>
    <border>
      <left style="thin">
        <color rgb="FFFF0000"/>
      </left>
      <right style="thin">
        <color rgb="FFFF0000"/>
      </right>
      <top style="dotted">
        <color rgb="FF00C000"/>
      </top>
      <bottom style="thin">
        <color rgb="FFFF0000"/>
      </bottom>
      <diagonal/>
    </border>
    <border>
      <left style="thin">
        <color rgb="FFFF0000"/>
      </left>
      <right style="thin">
        <color rgb="FFFF0000"/>
      </right>
      <top style="thin">
        <color rgb="FF00C000"/>
      </top>
      <bottom style="thin">
        <color rgb="FF00C000"/>
      </bottom>
      <diagonal/>
    </border>
    <border>
      <left style="thin">
        <color rgb="FFFF0000"/>
      </left>
      <right style="thin">
        <color rgb="FFFF0000"/>
      </right>
      <top style="thin">
        <color rgb="FF00C000"/>
      </top>
      <bottom style="thin">
        <color rgb="FFFF0000"/>
      </bottom>
      <diagonal/>
    </border>
    <border>
      <left style="thin">
        <color rgb="FFFF0000"/>
      </left>
      <right style="thin">
        <color rgb="FFFF0000"/>
      </right>
      <top style="thin">
        <color rgb="FFFF0000"/>
      </top>
      <bottom/>
      <diagonal/>
    </border>
    <border>
      <left style="thin">
        <color rgb="FFFF0000"/>
      </left>
      <right style="thin">
        <color rgb="FFFF0000"/>
      </right>
      <top style="thin">
        <color rgb="FFFF0000"/>
      </top>
      <bottom style="thin">
        <color indexed="64"/>
      </bottom>
      <diagonal/>
    </border>
    <border>
      <left/>
      <right/>
      <top style="thin">
        <color indexed="8"/>
      </top>
      <bottom/>
      <diagonal/>
    </border>
    <border>
      <left/>
      <right/>
      <top style="thin">
        <color rgb="FFC4D0E9"/>
      </top>
      <bottom/>
      <diagonal/>
    </border>
    <border>
      <left style="thin">
        <color rgb="FF00C000"/>
      </left>
      <right/>
      <top style="thin">
        <color rgb="FF00C000"/>
      </top>
      <bottom style="thin">
        <color rgb="FF00C000"/>
      </bottom>
      <diagonal/>
    </border>
    <border>
      <left style="thin">
        <color indexed="64"/>
      </left>
      <right style="thin">
        <color indexed="64"/>
      </right>
      <top style="thin">
        <color indexed="64"/>
      </top>
      <bottom style="thin">
        <color indexed="64"/>
      </bottom>
      <diagonal/>
    </border>
  </borders>
  <cellStyleXfs count="95">
    <xf numFmtId="0" fontId="0" fillId="0" borderId="0">
      <alignment vertical="center"/>
    </xf>
    <xf numFmtId="0" fontId="5" fillId="0" borderId="0" applyNumberFormat="0" applyAlignment="0">
      <alignment vertical="center"/>
    </xf>
    <xf numFmtId="165" fontId="7" fillId="0" borderId="0" applyNumberFormat="0" applyAlignment="0">
      <alignment vertical="center"/>
    </xf>
    <xf numFmtId="0" fontId="22" fillId="12" borderId="0" applyNumberFormat="0">
      <alignment horizontal="center" vertical="top" wrapText="1"/>
    </xf>
    <xf numFmtId="0" fontId="22" fillId="13" borderId="0" applyNumberFormat="0">
      <alignment horizontal="left" vertical="top" wrapText="1"/>
    </xf>
    <xf numFmtId="0" fontId="22" fillId="13" borderId="0" applyNumberFormat="0">
      <alignment horizontal="centerContinuous" vertical="top"/>
    </xf>
    <xf numFmtId="0" fontId="23" fillId="13" borderId="0" applyNumberFormat="0">
      <alignment horizontal="center" vertical="top" wrapText="1"/>
    </xf>
    <xf numFmtId="166" fontId="5" fillId="0" borderId="0" applyFont="0" applyFill="0" applyBorder="0" applyAlignment="0" applyProtection="0">
      <alignment vertical="center"/>
    </xf>
    <xf numFmtId="167" fontId="5" fillId="0" borderId="0" applyFont="0" applyFill="0" applyBorder="0" applyAlignment="0" applyProtection="0">
      <alignment vertical="center"/>
    </xf>
    <xf numFmtId="168" fontId="5" fillId="0" borderId="0" applyFont="0" applyFill="0" applyBorder="0" applyAlignment="0" applyProtection="0">
      <alignment vertical="center"/>
    </xf>
    <xf numFmtId="169" fontId="5" fillId="0" borderId="0" applyFont="0" applyFill="0" applyBorder="0" applyAlignment="0" applyProtection="0">
      <alignment vertical="center"/>
    </xf>
    <xf numFmtId="170" fontId="5" fillId="0" borderId="0" applyFont="0" applyFill="0" applyBorder="0" applyAlignment="0" applyProtection="0">
      <alignment vertical="center"/>
    </xf>
    <xf numFmtId="171" fontId="5" fillId="0" borderId="0" applyFont="0" applyFill="0" applyBorder="0" applyAlignment="0" applyProtection="0">
      <alignment vertical="center"/>
    </xf>
    <xf numFmtId="172" fontId="5" fillId="0" borderId="0" applyFont="0" applyFill="0" applyBorder="0" applyAlignment="0" applyProtection="0">
      <alignment vertical="center"/>
    </xf>
    <xf numFmtId="173" fontId="5" fillId="0" borderId="0" applyFont="0" applyFill="0" applyBorder="0" applyAlignment="0" applyProtection="0">
      <alignment vertical="center"/>
    </xf>
    <xf numFmtId="174" fontId="5" fillId="0" borderId="0" applyFont="0" applyFill="0" applyBorder="0" applyAlignment="0" applyProtection="0">
      <alignment vertical="center"/>
    </xf>
    <xf numFmtId="175" fontId="5" fillId="0" borderId="0" applyFont="0" applyFill="0" applyBorder="0" applyAlignment="0" applyProtection="0">
      <alignment vertical="center"/>
    </xf>
    <xf numFmtId="176" fontId="5" fillId="0" borderId="0" applyFont="0" applyFill="0" applyBorder="0" applyAlignment="0" applyProtection="0">
      <alignment vertical="center"/>
    </xf>
    <xf numFmtId="177" fontId="5" fillId="0" borderId="0" applyFont="0" applyFill="0" applyBorder="0" applyAlignment="0" applyProtection="0">
      <alignment vertical="center"/>
    </xf>
    <xf numFmtId="178" fontId="5" fillId="0" borderId="0" applyFont="0" applyFill="0" applyBorder="0" applyAlignment="0" applyProtection="0">
      <alignment vertical="center"/>
    </xf>
    <xf numFmtId="179" fontId="5" fillId="0" borderId="0" applyFont="0" applyFill="0" applyBorder="0" applyAlignment="0" applyProtection="0">
      <alignment vertical="center"/>
    </xf>
    <xf numFmtId="180" fontId="5" fillId="0" borderId="0" applyFont="0" applyFill="0" applyBorder="0" applyAlignment="0" applyProtection="0">
      <alignment vertical="center"/>
    </xf>
    <xf numFmtId="181" fontId="5" fillId="0" borderId="0" applyFont="0" applyFill="0" applyBorder="0" applyAlignment="0" applyProtection="0">
      <alignment vertical="center"/>
    </xf>
    <xf numFmtId="182" fontId="5" fillId="0" borderId="0" applyFont="0" applyFill="0" applyBorder="0" applyAlignment="0" applyProtection="0">
      <alignment vertical="center"/>
    </xf>
    <xf numFmtId="0" fontId="6" fillId="0" borderId="0" applyFill="0" applyBorder="0" applyAlignment="0" applyProtection="0">
      <alignment vertical="center"/>
    </xf>
    <xf numFmtId="0" fontId="9" fillId="0" borderId="0" applyFill="0" applyBorder="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horizontal="left" vertical="center"/>
    </xf>
    <xf numFmtId="0" fontId="8" fillId="0" borderId="0" applyNumberFormat="0" applyFill="0" applyBorder="0" applyAlignment="0" applyProtection="0">
      <alignment vertical="center"/>
    </xf>
    <xf numFmtId="0" fontId="5" fillId="14" borderId="0" applyNumberFormat="0" applyFont="0" applyBorder="0" applyAlignment="0" applyProtection="0">
      <alignment vertical="center"/>
    </xf>
    <xf numFmtId="0" fontId="5" fillId="0" borderId="6" applyNumberFormat="0" applyAlignment="0">
      <alignment vertical="center"/>
    </xf>
    <xf numFmtId="0" fontId="5" fillId="0" borderId="7" applyNumberFormat="0" applyAlignment="0">
      <alignment vertical="center"/>
      <protection locked="0"/>
    </xf>
    <xf numFmtId="183" fontId="5" fillId="15" borderId="7" applyNumberFormat="0" applyAlignment="0">
      <alignment vertical="center"/>
      <protection locked="0"/>
    </xf>
    <xf numFmtId="0" fontId="5" fillId="16" borderId="0" applyNumberFormat="0" applyAlignment="0">
      <alignment vertical="center"/>
    </xf>
    <xf numFmtId="0" fontId="5" fillId="17" borderId="0" applyNumberFormat="0" applyAlignment="0">
      <alignment vertical="center"/>
    </xf>
    <xf numFmtId="0" fontId="5" fillId="0" borderId="8" applyNumberFormat="0" applyAlignment="0">
      <alignment vertical="center"/>
      <protection locked="0"/>
    </xf>
    <xf numFmtId="0" fontId="24" fillId="0" borderId="0" applyNumberFormat="0" applyAlignment="0">
      <alignment vertical="center"/>
    </xf>
    <xf numFmtId="0" fontId="5" fillId="0" borderId="0">
      <alignment vertical="center"/>
    </xf>
    <xf numFmtId="0" fontId="14" fillId="0" borderId="0" applyNumberFormat="0" applyFill="0" applyBorder="0" applyAlignment="0" applyProtection="0">
      <alignment vertical="center"/>
    </xf>
    <xf numFmtId="202" fontId="5" fillId="0" borderId="0" applyFont="0" applyFill="0" applyBorder="0" applyAlignment="0" applyProtection="0">
      <alignment vertical="center"/>
    </xf>
    <xf numFmtId="203" fontId="5" fillId="0" borderId="0" applyFont="0" applyFill="0" applyBorder="0" applyAlignment="0" applyProtection="0">
      <alignment vertical="center"/>
    </xf>
    <xf numFmtId="0" fontId="5" fillId="19" borderId="0" applyNumberFormat="0" applyFont="0" applyBorder="0" applyAlignment="0" applyProtection="0">
      <alignment vertical="center"/>
    </xf>
    <xf numFmtId="204" fontId="5" fillId="0" borderId="0" applyFont="0" applyFill="0" applyBorder="0" applyAlignment="0" applyProtection="0">
      <alignment horizontal="right" vertical="center"/>
    </xf>
    <xf numFmtId="205" fontId="5" fillId="0" borderId="0" applyFont="0" applyFill="0" applyBorder="0" applyAlignment="0" applyProtection="0">
      <alignment vertical="center"/>
    </xf>
    <xf numFmtId="0" fontId="8" fillId="0" borderId="0" applyNumberFormat="0" applyFill="0" applyBorder="0">
      <alignment horizontal="left" vertical="center" wrapText="1"/>
    </xf>
    <xf numFmtId="0" fontId="5" fillId="0" borderId="0" applyNumberFormat="0" applyFill="0" applyBorder="0">
      <alignment horizontal="left" vertical="center" wrapText="1" indent="1"/>
    </xf>
    <xf numFmtId="183" fontId="8" fillId="0" borderId="9" applyNumberFormat="0" applyFill="0" applyAlignment="0" applyProtection="0">
      <alignment vertical="center"/>
    </xf>
    <xf numFmtId="183" fontId="5" fillId="0" borderId="10" applyNumberFormat="0" applyFont="0" applyFill="0" applyAlignment="0" applyProtection="0">
      <alignment vertical="center"/>
    </xf>
    <xf numFmtId="0" fontId="5" fillId="7" borderId="0" applyNumberFormat="0" applyFont="0" applyBorder="0" applyAlignment="0" applyProtection="0">
      <alignment vertical="center"/>
    </xf>
    <xf numFmtId="0" fontId="5" fillId="0" borderId="0" applyNumberFormat="0" applyFont="0" applyFill="0" applyAlignment="0" applyProtection="0">
      <alignment vertical="center"/>
    </xf>
    <xf numFmtId="183" fontId="5" fillId="0" borderId="0" applyNumberFormat="0" applyFont="0" applyBorder="0" applyAlignment="0" applyProtection="0">
      <alignment vertical="center"/>
    </xf>
    <xf numFmtId="49" fontId="5" fillId="0" borderId="0" applyFont="0" applyFill="0" applyBorder="0" applyAlignment="0" applyProtection="0">
      <alignment horizontal="center" vertical="center"/>
    </xf>
    <xf numFmtId="183" fontId="8" fillId="0" borderId="0" applyNumberFormat="0" applyFill="0" applyBorder="0" applyAlignment="0" applyProtection="0">
      <alignment vertical="center"/>
    </xf>
    <xf numFmtId="183" fontId="8" fillId="20" borderId="0" applyNumberFormat="0" applyAlignment="0" applyProtection="0">
      <alignment vertical="center"/>
    </xf>
    <xf numFmtId="0" fontId="5" fillId="0" borderId="0" applyNumberFormat="0" applyFont="0" applyBorder="0" applyAlignment="0" applyProtection="0">
      <alignment vertical="center"/>
    </xf>
    <xf numFmtId="0" fontId="5" fillId="0" borderId="0" applyNumberFormat="0" applyFont="0" applyAlignment="0" applyProtection="0">
      <alignment vertical="center"/>
    </xf>
    <xf numFmtId="0" fontId="5" fillId="0" borderId="0">
      <alignment vertical="center"/>
    </xf>
    <xf numFmtId="184" fontId="5" fillId="0" borderId="0" applyFont="0" applyFill="0" applyBorder="0" applyAlignment="0" applyProtection="0">
      <alignment vertical="center"/>
    </xf>
    <xf numFmtId="0" fontId="15" fillId="0" borderId="0"/>
    <xf numFmtId="190" fontId="17" fillId="0" borderId="0" applyNumberFormat="0" applyFill="0" applyBorder="0" applyAlignment="0" applyProtection="0"/>
    <xf numFmtId="9" fontId="5" fillId="0" borderId="0" applyFont="0" applyFill="0" applyBorder="0" applyAlignment="0" applyProtection="0"/>
    <xf numFmtId="0" fontId="4" fillId="0" borderId="0"/>
    <xf numFmtId="9" fontId="4"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166" fontId="5" fillId="0" borderId="0" applyFont="0" applyFill="0" applyBorder="0" applyAlignment="0" applyProtection="0">
      <alignment vertical="center"/>
    </xf>
    <xf numFmtId="0" fontId="5" fillId="18" borderId="0" applyNumberFormat="0" applyAlignment="0">
      <alignment vertical="center"/>
    </xf>
    <xf numFmtId="0" fontId="11" fillId="0" borderId="0" applyNumberFormat="0" applyFill="0" applyBorder="0" applyAlignment="0" applyProtection="0">
      <alignment horizontal="left" vertical="center"/>
    </xf>
    <xf numFmtId="0" fontId="12" fillId="0" borderId="0" applyNumberFormat="0" applyAlignment="0">
      <alignment vertical="center"/>
    </xf>
    <xf numFmtId="0" fontId="5" fillId="6" borderId="0" applyNumberFormat="0" applyAlignment="0">
      <alignment vertical="center"/>
    </xf>
    <xf numFmtId="185" fontId="5" fillId="0" borderId="0" applyFont="0" applyFill="0" applyBorder="0" applyAlignment="0" applyProtection="0">
      <alignment vertical="center"/>
    </xf>
    <xf numFmtId="0" fontId="8" fillId="23" borderId="0" applyNumberFormat="0">
      <alignment horizontal="center" vertical="top" wrapText="1"/>
    </xf>
    <xf numFmtId="0" fontId="26" fillId="23" borderId="11" applyNumberFormat="0" applyAlignment="0" applyProtection="0">
      <alignment vertical="center"/>
    </xf>
    <xf numFmtId="0" fontId="6" fillId="2" borderId="0" applyNumberFormat="0">
      <alignment vertical="center"/>
    </xf>
    <xf numFmtId="212" fontId="5" fillId="0" borderId="3" applyNumberFormat="0" applyAlignment="0">
      <alignment vertical="center"/>
      <protection locked="0"/>
    </xf>
    <xf numFmtId="0" fontId="5" fillId="0" borderId="2" applyNumberFormat="0" applyAlignment="0">
      <alignment vertical="center"/>
      <protection locked="0"/>
    </xf>
    <xf numFmtId="183" fontId="5" fillId="4" borderId="2" applyNumberFormat="0" applyAlignment="0">
      <alignment vertical="center"/>
      <protection locked="0"/>
    </xf>
    <xf numFmtId="198" fontId="5" fillId="0" borderId="0" applyFont="0" applyFill="0" applyBorder="0" applyAlignment="0" applyProtection="0">
      <alignment vertical="center"/>
    </xf>
    <xf numFmtId="0" fontId="5" fillId="0" borderId="1" applyNumberFormat="0" applyAlignment="0">
      <alignment vertical="center"/>
    </xf>
    <xf numFmtId="0" fontId="5" fillId="0" borderId="3" applyNumberFormat="0" applyAlignment="0">
      <alignment vertical="center"/>
      <protection locked="0"/>
    </xf>
    <xf numFmtId="0" fontId="5" fillId="5" borderId="0" applyNumberFormat="0" applyAlignment="0">
      <alignment vertical="center"/>
    </xf>
    <xf numFmtId="207" fontId="5" fillId="0" borderId="0" applyFont="0" applyFill="0" applyBorder="0" applyAlignment="0" applyProtection="0">
      <alignment horizontal="right" vertical="center"/>
    </xf>
    <xf numFmtId="211" fontId="5" fillId="0" borderId="0" applyFont="0" applyFill="0" applyBorder="0" applyAlignment="0" applyProtection="0">
      <alignment vertical="center"/>
    </xf>
    <xf numFmtId="0" fontId="5" fillId="3" borderId="0" applyNumberFormat="0" applyFont="0" applyBorder="0" applyAlignment="0" applyProtection="0">
      <alignment vertical="center"/>
    </xf>
    <xf numFmtId="0" fontId="13" fillId="23" borderId="12" applyNumberFormat="0" applyAlignment="0" applyProtection="0">
      <alignment horizontal="left" vertical="center"/>
    </xf>
    <xf numFmtId="0" fontId="5" fillId="0" borderId="0">
      <alignment vertical="center"/>
    </xf>
    <xf numFmtId="0" fontId="8" fillId="23" borderId="0" applyNumberFormat="0">
      <alignment horizontal="centerContinuous" vertical="top"/>
    </xf>
    <xf numFmtId="207" fontId="5" fillId="0" borderId="0" applyFont="0" applyFill="0" applyBorder="0" applyAlignment="0" applyProtection="0">
      <alignment vertical="center"/>
    </xf>
    <xf numFmtId="183" fontId="5" fillId="0" borderId="0" applyFont="0" applyFill="0" applyBorder="0" applyAlignment="0" applyProtection="0">
      <alignment vertical="center"/>
    </xf>
    <xf numFmtId="0" fontId="8" fillId="2" borderId="0" applyNumberFormat="0">
      <alignment horizontal="center" vertical="top" wrapText="1"/>
    </xf>
    <xf numFmtId="0" fontId="5" fillId="9" borderId="0" applyNumberFormat="0" applyFont="0" applyBorder="0" applyAlignment="0" applyProtection="0">
      <alignment vertical="center"/>
    </xf>
    <xf numFmtId="0" fontId="2" fillId="0" borderId="0"/>
    <xf numFmtId="164" fontId="2" fillId="0" borderId="0" applyFont="0" applyFill="0" applyBorder="0" applyAlignment="0" applyProtection="0"/>
    <xf numFmtId="164" fontId="5" fillId="0" borderId="0" applyFont="0" applyFill="0" applyBorder="0" applyAlignment="0" applyProtection="0"/>
  </cellStyleXfs>
  <cellXfs count="768">
    <xf numFmtId="0" fontId="0" fillId="0" borderId="0" xfId="0">
      <alignment vertical="center"/>
    </xf>
    <xf numFmtId="0" fontId="5" fillId="0" borderId="0" xfId="37">
      <alignment vertical="center"/>
    </xf>
    <xf numFmtId="0" fontId="6" fillId="0" borderId="0" xfId="24" applyFill="1" applyBorder="1">
      <alignment vertical="center"/>
    </xf>
    <xf numFmtId="0" fontId="6" fillId="0" borderId="0" xfId="24" applyFont="1" applyFill="1">
      <alignment vertical="center"/>
    </xf>
    <xf numFmtId="0" fontId="0" fillId="0" borderId="0" xfId="0" applyAlignment="1">
      <alignment vertical="center"/>
    </xf>
    <xf numFmtId="0" fontId="22" fillId="12" borderId="0" xfId="3">
      <alignment horizontal="center" vertical="top" wrapText="1"/>
    </xf>
    <xf numFmtId="0" fontId="5" fillId="0" borderId="8" xfId="35">
      <alignment vertical="center"/>
      <protection locked="0"/>
    </xf>
    <xf numFmtId="0" fontId="5" fillId="0" borderId="6" xfId="30">
      <alignment vertical="center"/>
    </xf>
    <xf numFmtId="0" fontId="24" fillId="0" borderId="0" xfId="36">
      <alignment vertical="center"/>
    </xf>
    <xf numFmtId="38" fontId="7" fillId="0" borderId="0" xfId="2" applyNumberFormat="1" applyAlignment="1">
      <alignment horizontal="center" vertical="center"/>
    </xf>
    <xf numFmtId="0" fontId="8" fillId="0" borderId="0" xfId="56" applyFont="1" applyProtection="1">
      <alignment vertical="center"/>
      <protection locked="0"/>
    </xf>
    <xf numFmtId="0" fontId="0" fillId="0" borderId="0" xfId="56" applyFont="1" applyProtection="1">
      <alignment vertical="center"/>
      <protection locked="0"/>
    </xf>
    <xf numFmtId="0" fontId="0" fillId="0" borderId="0" xfId="56" applyFont="1" applyBorder="1" applyProtection="1">
      <alignment vertical="center"/>
      <protection locked="0"/>
    </xf>
    <xf numFmtId="183" fontId="5" fillId="0" borderId="8" xfId="35" applyNumberFormat="1" applyAlignment="1">
      <protection locked="0"/>
    </xf>
    <xf numFmtId="0" fontId="5" fillId="0" borderId="0" xfId="56" applyFont="1" applyAlignment="1">
      <alignment vertical="center"/>
    </xf>
    <xf numFmtId="0" fontId="12" fillId="0" borderId="0" xfId="36" applyFont="1" applyAlignment="1"/>
    <xf numFmtId="0" fontId="16" fillId="0" borderId="0" xfId="58" applyFont="1"/>
    <xf numFmtId="0" fontId="18" fillId="0" borderId="0" xfId="59" applyNumberFormat="1" applyFont="1"/>
    <xf numFmtId="191" fontId="5" fillId="16" borderId="0" xfId="33" applyNumberFormat="1" applyAlignment="1"/>
    <xf numFmtId="0" fontId="12" fillId="0" borderId="0" xfId="36" applyFont="1" applyAlignment="1">
      <alignment horizontal="left"/>
    </xf>
    <xf numFmtId="191" fontId="5" fillId="15" borderId="7" xfId="32" applyNumberFormat="1" applyFont="1" applyAlignment="1">
      <protection locked="0"/>
    </xf>
    <xf numFmtId="192" fontId="5" fillId="0" borderId="6" xfId="30" applyNumberFormat="1" applyAlignment="1"/>
    <xf numFmtId="0" fontId="19" fillId="0" borderId="0" xfId="38" applyFont="1" applyAlignment="1">
      <alignment horizontal="left"/>
    </xf>
    <xf numFmtId="192" fontId="5" fillId="16" borderId="0" xfId="33" applyNumberFormat="1" applyAlignment="1"/>
    <xf numFmtId="193" fontId="5" fillId="0" borderId="6" xfId="30" applyNumberFormat="1" applyFont="1" applyAlignment="1"/>
    <xf numFmtId="188" fontId="5" fillId="5" borderId="0" xfId="40" applyNumberFormat="1" applyFill="1">
      <alignment vertical="center"/>
    </xf>
    <xf numFmtId="0" fontId="5" fillId="16" borderId="0" xfId="33">
      <alignment vertical="center"/>
    </xf>
    <xf numFmtId="0" fontId="0" fillId="10" borderId="0" xfId="0" applyFill="1">
      <alignment vertical="center"/>
    </xf>
    <xf numFmtId="165" fontId="5" fillId="0" borderId="6" xfId="30" applyNumberFormat="1">
      <alignment vertical="center"/>
    </xf>
    <xf numFmtId="0" fontId="5" fillId="0" borderId="0" xfId="56" applyFont="1">
      <alignment vertical="center"/>
    </xf>
    <xf numFmtId="0" fontId="8" fillId="0" borderId="0" xfId="56" applyFont="1">
      <alignment vertical="center"/>
    </xf>
    <xf numFmtId="0" fontId="5" fillId="0" borderId="0" xfId="56" applyFont="1" applyAlignment="1">
      <alignment horizontal="right" vertical="center"/>
    </xf>
    <xf numFmtId="0" fontId="5" fillId="0" borderId="0" xfId="56" applyFont="1" applyFill="1" applyAlignment="1">
      <alignment horizontal="right" vertical="center"/>
    </xf>
    <xf numFmtId="0" fontId="5" fillId="15" borderId="7" xfId="32" applyNumberFormat="1">
      <alignment vertical="center"/>
      <protection locked="0"/>
    </xf>
    <xf numFmtId="204" fontId="5" fillId="5" borderId="0" xfId="42" applyFill="1" applyAlignment="1">
      <alignment vertical="center"/>
    </xf>
    <xf numFmtId="204" fontId="0" fillId="0" borderId="0" xfId="42" applyFont="1" applyAlignment="1">
      <alignment vertical="center"/>
    </xf>
    <xf numFmtId="0" fontId="7" fillId="0" borderId="0" xfId="2" applyNumberFormat="1">
      <alignment vertical="center"/>
    </xf>
    <xf numFmtId="38" fontId="7" fillId="0" borderId="0" xfId="2" applyNumberFormat="1" applyAlignment="1">
      <alignment horizontal="center" vertical="top"/>
    </xf>
    <xf numFmtId="0" fontId="22" fillId="12" borderId="0" xfId="3" applyAlignment="1">
      <alignment horizontal="center" vertical="top" wrapText="1"/>
    </xf>
    <xf numFmtId="0" fontId="5" fillId="0" borderId="6" xfId="30" applyAlignment="1">
      <alignment horizontal="center" vertical="center"/>
    </xf>
    <xf numFmtId="0" fontId="24" fillId="0" borderId="0" xfId="36" applyAlignment="1">
      <alignment horizontal="left" vertical="top" wrapText="1"/>
    </xf>
    <xf numFmtId="0" fontId="8" fillId="0" borderId="0" xfId="0" applyFont="1">
      <alignment vertical="center"/>
    </xf>
    <xf numFmtId="0" fontId="20" fillId="0" borderId="0" xfId="0" applyFont="1">
      <alignment vertical="center"/>
    </xf>
    <xf numFmtId="202" fontId="5" fillId="0" borderId="3" xfId="39" applyBorder="1" applyProtection="1">
      <alignment vertical="center"/>
      <protection locked="0"/>
    </xf>
    <xf numFmtId="184" fontId="5" fillId="0" borderId="8" xfId="35" applyNumberFormat="1">
      <alignment vertical="center"/>
      <protection locked="0"/>
    </xf>
    <xf numFmtId="195" fontId="5" fillId="0" borderId="3" xfId="40" applyNumberFormat="1" applyBorder="1" applyProtection="1">
      <alignment vertical="center"/>
      <protection locked="0"/>
    </xf>
    <xf numFmtId="202" fontId="5" fillId="5" borderId="0" xfId="39" applyFill="1">
      <alignment vertical="center"/>
    </xf>
    <xf numFmtId="199" fontId="0" fillId="0" borderId="0" xfId="39" applyNumberFormat="1" applyFont="1">
      <alignment vertical="center"/>
    </xf>
    <xf numFmtId="199" fontId="5" fillId="0" borderId="3" xfId="39" applyNumberFormat="1" applyBorder="1" applyProtection="1">
      <alignment vertical="center"/>
      <protection locked="0"/>
    </xf>
    <xf numFmtId="0" fontId="5" fillId="0" borderId="8" xfId="35" applyAlignment="1">
      <alignment vertical="center"/>
      <protection locked="0"/>
    </xf>
    <xf numFmtId="0" fontId="0" fillId="0" borderId="8" xfId="35" applyFont="1" applyAlignment="1">
      <alignment vertical="center"/>
      <protection locked="0"/>
    </xf>
    <xf numFmtId="0" fontId="0" fillId="0" borderId="8" xfId="35" applyFont="1">
      <alignment vertical="center"/>
      <protection locked="0"/>
    </xf>
    <xf numFmtId="0" fontId="11" fillId="0" borderId="0" xfId="0" applyFont="1">
      <alignment vertical="center"/>
    </xf>
    <xf numFmtId="189" fontId="5" fillId="19" borderId="0" xfId="41" applyNumberFormat="1">
      <alignment vertical="center"/>
    </xf>
    <xf numFmtId="183" fontId="5" fillId="0" borderId="6" xfId="30" applyNumberFormat="1" applyAlignment="1"/>
    <xf numFmtId="186" fontId="5" fillId="16" borderId="0" xfId="33" applyNumberFormat="1" applyAlignment="1">
      <alignment vertical="center"/>
    </xf>
    <xf numFmtId="195" fontId="5" fillId="16" borderId="0" xfId="33" applyNumberFormat="1">
      <alignment vertical="center"/>
    </xf>
    <xf numFmtId="199" fontId="5" fillId="0" borderId="6" xfId="30" applyNumberFormat="1" applyAlignment="1">
      <alignment vertical="center"/>
    </xf>
    <xf numFmtId="188" fontId="5" fillId="0" borderId="6" xfId="30" applyNumberFormat="1" applyAlignment="1">
      <alignment vertical="center"/>
    </xf>
    <xf numFmtId="185" fontId="5" fillId="0" borderId="6" xfId="30" applyNumberFormat="1" applyAlignment="1">
      <alignment vertical="center"/>
    </xf>
    <xf numFmtId="185" fontId="5" fillId="0" borderId="8" xfId="35" applyNumberFormat="1">
      <alignment vertical="center"/>
      <protection locked="0"/>
    </xf>
    <xf numFmtId="197" fontId="5" fillId="0" borderId="1" xfId="40" applyNumberFormat="1" applyBorder="1">
      <alignment vertical="center"/>
    </xf>
    <xf numFmtId="184" fontId="7" fillId="0" borderId="0" xfId="2" applyNumberFormat="1" applyAlignment="1">
      <alignment vertical="center"/>
    </xf>
    <xf numFmtId="0" fontId="21" fillId="0" borderId="0" xfId="0" applyFont="1">
      <alignment vertical="center"/>
    </xf>
    <xf numFmtId="184" fontId="5" fillId="0" borderId="6" xfId="30" applyNumberFormat="1">
      <alignment vertical="center"/>
    </xf>
    <xf numFmtId="0" fontId="0" fillId="0" borderId="0" xfId="0" applyFont="1">
      <alignment vertical="center"/>
    </xf>
    <xf numFmtId="0" fontId="21" fillId="0" borderId="0" xfId="0" quotePrefix="1" applyFont="1">
      <alignment vertical="center"/>
    </xf>
    <xf numFmtId="184" fontId="5" fillId="0" borderId="6" xfId="30" applyNumberFormat="1" applyAlignment="1">
      <alignment vertical="center"/>
    </xf>
    <xf numFmtId="184" fontId="8" fillId="0" borderId="0" xfId="52" applyNumberFormat="1">
      <alignment vertical="center"/>
    </xf>
    <xf numFmtId="0" fontId="11" fillId="0" borderId="0" xfId="37" applyFont="1">
      <alignment vertical="center"/>
    </xf>
    <xf numFmtId="0" fontId="0" fillId="0" borderId="7" xfId="31" applyFont="1">
      <alignment vertical="center"/>
      <protection locked="0"/>
    </xf>
    <xf numFmtId="0" fontId="5" fillId="0" borderId="0" xfId="28" applyFont="1">
      <alignment vertical="center"/>
    </xf>
    <xf numFmtId="196" fontId="5" fillId="0" borderId="1" xfId="40" applyNumberFormat="1" applyBorder="1" applyAlignment="1">
      <alignment vertical="center"/>
    </xf>
    <xf numFmtId="197" fontId="5" fillId="0" borderId="0" xfId="40" applyNumberFormat="1">
      <alignment vertical="center"/>
    </xf>
    <xf numFmtId="198" fontId="5" fillId="0" borderId="1" xfId="40" applyNumberFormat="1" applyBorder="1">
      <alignment vertical="center"/>
    </xf>
    <xf numFmtId="197" fontId="5" fillId="0" borderId="6" xfId="30" applyNumberFormat="1">
      <alignment vertical="center"/>
    </xf>
    <xf numFmtId="202" fontId="5" fillId="0" borderId="0" xfId="39">
      <alignment vertical="center"/>
    </xf>
    <xf numFmtId="184" fontId="8" fillId="19" borderId="0" xfId="41" applyNumberFormat="1" applyFont="1">
      <alignment vertical="center"/>
    </xf>
    <xf numFmtId="184" fontId="7" fillId="0" borderId="0" xfId="2" applyNumberFormat="1">
      <alignment vertical="center"/>
    </xf>
    <xf numFmtId="0" fontId="5" fillId="0" borderId="7" xfId="31">
      <alignment vertical="center"/>
      <protection locked="0"/>
    </xf>
    <xf numFmtId="198" fontId="5" fillId="0" borderId="6" xfId="30" applyNumberFormat="1">
      <alignment vertical="center"/>
    </xf>
    <xf numFmtId="0" fontId="0" fillId="0" borderId="0" xfId="0">
      <alignment vertical="center"/>
    </xf>
    <xf numFmtId="0" fontId="8" fillId="0" borderId="0" xfId="28">
      <alignment vertical="center"/>
    </xf>
    <xf numFmtId="0" fontId="8" fillId="0" borderId="0" xfId="37" applyFont="1">
      <alignment vertical="center"/>
    </xf>
    <xf numFmtId="0" fontId="0" fillId="0" borderId="0" xfId="37" applyFont="1">
      <alignment vertical="center"/>
    </xf>
    <xf numFmtId="184" fontId="24" fillId="0" borderId="0" xfId="36" applyNumberFormat="1">
      <alignment vertical="center"/>
    </xf>
    <xf numFmtId="0" fontId="5" fillId="0" borderId="0" xfId="37">
      <alignment vertical="center"/>
    </xf>
    <xf numFmtId="0" fontId="5" fillId="0" borderId="8" xfId="35">
      <alignment vertical="center"/>
      <protection locked="0"/>
    </xf>
    <xf numFmtId="0" fontId="24" fillId="0" borderId="0" xfId="36">
      <alignment vertical="center"/>
    </xf>
    <xf numFmtId="184" fontId="5" fillId="16" borderId="0" xfId="33" applyNumberFormat="1">
      <alignment vertical="center"/>
    </xf>
    <xf numFmtId="0" fontId="5" fillId="11" borderId="8" xfId="35" applyFill="1">
      <alignment vertical="center"/>
      <protection locked="0"/>
    </xf>
    <xf numFmtId="202" fontId="5" fillId="0" borderId="2" xfId="39" applyBorder="1" applyProtection="1">
      <alignment vertical="center"/>
      <protection locked="0"/>
    </xf>
    <xf numFmtId="0" fontId="5" fillId="0" borderId="0" xfId="37" applyFont="1">
      <alignment vertical="center"/>
    </xf>
    <xf numFmtId="198" fontId="5" fillId="19" borderId="0" xfId="41" applyNumberFormat="1" applyFont="1">
      <alignment vertical="center"/>
    </xf>
    <xf numFmtId="202" fontId="5" fillId="0" borderId="1" xfId="39" applyBorder="1">
      <alignment vertical="center"/>
    </xf>
    <xf numFmtId="202" fontId="5" fillId="5" borderId="0" xfId="39" applyFill="1" applyAlignment="1">
      <alignment vertical="center"/>
    </xf>
    <xf numFmtId="0" fontId="21" fillId="0" borderId="0" xfId="37" applyFont="1">
      <alignment vertical="center"/>
    </xf>
    <xf numFmtId="202" fontId="8" fillId="0" borderId="0" xfId="39" applyFont="1">
      <alignment vertical="center"/>
    </xf>
    <xf numFmtId="0" fontId="22" fillId="12" borderId="0" xfId="3">
      <alignment horizontal="center" vertical="top" wrapText="1"/>
    </xf>
    <xf numFmtId="196" fontId="5" fillId="16" borderId="0" xfId="33" applyNumberFormat="1">
      <alignment vertical="center"/>
    </xf>
    <xf numFmtId="202" fontId="0" fillId="0" borderId="0" xfId="39" applyFont="1">
      <alignment vertical="center"/>
    </xf>
    <xf numFmtId="205" fontId="8" fillId="0" borderId="0" xfId="43" applyFont="1">
      <alignment vertical="center"/>
    </xf>
    <xf numFmtId="0" fontId="10" fillId="0" borderId="0" xfId="26">
      <alignment vertical="center"/>
    </xf>
    <xf numFmtId="0" fontId="10" fillId="0" borderId="0" xfId="26" applyAlignment="1">
      <alignment horizontal="left" vertical="top"/>
    </xf>
    <xf numFmtId="0" fontId="0" fillId="0" borderId="0" xfId="0" applyAlignment="1">
      <alignment horizontal="right" vertical="center"/>
    </xf>
    <xf numFmtId="0" fontId="5" fillId="21" borderId="0" xfId="33" applyFill="1">
      <alignment vertical="center"/>
    </xf>
    <xf numFmtId="0" fontId="7" fillId="0" borderId="0" xfId="2" applyNumberFormat="1" applyAlignment="1">
      <alignment vertical="center"/>
    </xf>
    <xf numFmtId="203" fontId="0" fillId="0" borderId="0" xfId="40" applyFont="1">
      <alignment vertical="center"/>
    </xf>
    <xf numFmtId="198" fontId="5" fillId="0" borderId="1" xfId="39" applyNumberFormat="1" applyBorder="1">
      <alignment vertical="center"/>
    </xf>
    <xf numFmtId="9" fontId="5" fillId="10" borderId="0" xfId="60" applyFont="1" applyFill="1" applyAlignment="1">
      <alignment vertical="center"/>
    </xf>
    <xf numFmtId="204" fontId="5" fillId="0" borderId="8" xfId="35" applyNumberFormat="1">
      <alignment vertical="center"/>
      <protection locked="0"/>
    </xf>
    <xf numFmtId="198" fontId="8" fillId="19" borderId="0" xfId="41" applyNumberFormat="1" applyFont="1">
      <alignment vertical="center"/>
    </xf>
    <xf numFmtId="202" fontId="7" fillId="0" borderId="0" xfId="39" applyFont="1">
      <alignment vertical="center"/>
    </xf>
    <xf numFmtId="197" fontId="5" fillId="0" borderId="8" xfId="35" applyNumberFormat="1">
      <alignment vertical="center"/>
      <protection locked="0"/>
    </xf>
    <xf numFmtId="183" fontId="8" fillId="19" borderId="0" xfId="41" applyNumberFormat="1" applyFont="1">
      <alignment vertical="center"/>
    </xf>
    <xf numFmtId="0" fontId="0" fillId="0" borderId="0" xfId="28" applyFont="1">
      <alignment vertical="center"/>
    </xf>
    <xf numFmtId="198" fontId="5" fillId="16" borderId="0" xfId="33" applyNumberFormat="1">
      <alignment vertical="center"/>
    </xf>
    <xf numFmtId="207" fontId="5" fillId="0" borderId="8" xfId="35" applyNumberFormat="1" applyAlignment="1">
      <alignment vertical="center"/>
      <protection locked="0"/>
    </xf>
    <xf numFmtId="207" fontId="5" fillId="15" borderId="7" xfId="32" applyNumberFormat="1" applyAlignment="1">
      <alignment vertical="center"/>
      <protection locked="0"/>
    </xf>
    <xf numFmtId="0" fontId="5" fillId="16" borderId="0" xfId="33" applyAlignment="1">
      <alignment vertical="center"/>
    </xf>
    <xf numFmtId="184" fontId="5" fillId="0" borderId="3" xfId="39" applyNumberFormat="1" applyBorder="1" applyProtection="1">
      <alignment vertical="center"/>
      <protection locked="0"/>
    </xf>
    <xf numFmtId="208" fontId="5" fillId="16" borderId="0" xfId="33" applyNumberFormat="1" applyAlignment="1">
      <alignment vertical="center"/>
    </xf>
    <xf numFmtId="0" fontId="24" fillId="0" borderId="0" xfId="36" applyFill="1">
      <alignment vertical="center"/>
    </xf>
    <xf numFmtId="9" fontId="5" fillId="15" borderId="7" xfId="32" applyNumberFormat="1">
      <alignment vertical="center"/>
      <protection locked="0"/>
    </xf>
    <xf numFmtId="186" fontId="5" fillId="15" borderId="7" xfId="32" applyNumberFormat="1" applyAlignment="1">
      <alignment vertical="center"/>
      <protection locked="0"/>
    </xf>
    <xf numFmtId="202" fontId="0" fillId="0" borderId="0" xfId="39" applyFont="1" applyAlignment="1">
      <alignment vertical="center"/>
    </xf>
    <xf numFmtId="196" fontId="5" fillId="15" borderId="7" xfId="32" applyNumberFormat="1">
      <alignment vertical="center"/>
      <protection locked="0"/>
    </xf>
    <xf numFmtId="0" fontId="11" fillId="0" borderId="0" xfId="28" applyFont="1">
      <alignment vertical="center"/>
    </xf>
    <xf numFmtId="0" fontId="21" fillId="22" borderId="0" xfId="29" applyFont="1" applyFill="1">
      <alignment vertical="center"/>
    </xf>
    <xf numFmtId="0" fontId="25" fillId="0" borderId="0" xfId="0" applyFont="1">
      <alignment vertical="center"/>
    </xf>
    <xf numFmtId="198" fontId="5" fillId="0" borderId="0" xfId="1" applyNumberFormat="1">
      <alignment vertical="center"/>
    </xf>
    <xf numFmtId="0" fontId="14" fillId="0" borderId="0" xfId="38">
      <alignment vertical="center"/>
    </xf>
    <xf numFmtId="0" fontId="22" fillId="13" borderId="0" xfId="5">
      <alignment horizontal="centerContinuous" vertical="top"/>
    </xf>
    <xf numFmtId="166" fontId="5" fillId="19" borderId="0" xfId="41" applyNumberFormat="1" applyAlignment="1">
      <alignment horizontal="right" vertical="center"/>
    </xf>
    <xf numFmtId="184" fontId="0" fillId="19" borderId="0" xfId="41" applyNumberFormat="1" applyFont="1">
      <alignment vertical="center"/>
    </xf>
    <xf numFmtId="184" fontId="0" fillId="19" borderId="0" xfId="41" applyNumberFormat="1" applyFont="1" applyAlignment="1">
      <alignment horizontal="right" vertical="center"/>
    </xf>
    <xf numFmtId="184" fontId="0" fillId="0" borderId="0" xfId="0" applyNumberFormat="1">
      <alignment vertical="center"/>
    </xf>
    <xf numFmtId="0" fontId="8" fillId="0" borderId="0" xfId="0" applyFont="1" applyAlignment="1">
      <alignment horizontal="center" vertical="center"/>
    </xf>
    <xf numFmtId="0" fontId="24" fillId="0" borderId="0" xfId="36" applyAlignment="1">
      <alignment horizontal="left"/>
    </xf>
    <xf numFmtId="188" fontId="5" fillId="0" borderId="2" xfId="39" applyNumberFormat="1" applyBorder="1" applyAlignment="1" applyProtection="1">
      <protection locked="0"/>
    </xf>
    <xf numFmtId="0" fontId="18" fillId="0" borderId="0" xfId="38" applyFont="1">
      <alignment vertical="center"/>
    </xf>
    <xf numFmtId="188" fontId="5" fillId="0" borderId="2" xfId="39" applyNumberFormat="1" applyBorder="1" applyProtection="1">
      <alignment vertical="center"/>
      <protection locked="0"/>
    </xf>
    <xf numFmtId="210" fontId="22" fillId="12" borderId="0" xfId="3" applyNumberFormat="1">
      <alignment horizontal="center" vertical="top" wrapText="1"/>
    </xf>
    <xf numFmtId="0" fontId="22" fillId="13" borderId="0" xfId="5" applyAlignment="1">
      <alignment horizontal="left" vertical="top"/>
    </xf>
    <xf numFmtId="202" fontId="5" fillId="15" borderId="7" xfId="32" applyNumberFormat="1">
      <alignment vertical="center"/>
      <protection locked="0"/>
    </xf>
    <xf numFmtId="0" fontId="6" fillId="0" borderId="0" xfId="74" applyFill="1" applyBorder="1">
      <alignment vertical="center"/>
    </xf>
    <xf numFmtId="0" fontId="6" fillId="0" borderId="0" xfId="74" applyFont="1" applyFill="1">
      <alignment vertical="center"/>
    </xf>
    <xf numFmtId="0" fontId="0" fillId="0" borderId="0" xfId="0" applyFill="1" applyBorder="1">
      <alignment vertical="center"/>
    </xf>
    <xf numFmtId="198" fontId="5" fillId="0" borderId="3" xfId="80" applyNumberFormat="1">
      <alignment vertical="center"/>
      <protection locked="0"/>
    </xf>
    <xf numFmtId="204" fontId="0" fillId="0" borderId="0" xfId="0" applyNumberFormat="1">
      <alignment vertical="center"/>
    </xf>
    <xf numFmtId="198" fontId="5" fillId="0" borderId="1" xfId="79" applyNumberFormat="1">
      <alignment vertical="center"/>
    </xf>
    <xf numFmtId="207" fontId="0" fillId="0" borderId="0" xfId="82" applyFont="1" applyAlignment="1">
      <alignment vertical="center"/>
    </xf>
    <xf numFmtId="166" fontId="7" fillId="0" borderId="0" xfId="2" applyNumberFormat="1">
      <alignment vertical="center"/>
    </xf>
    <xf numFmtId="0" fontId="6" fillId="0" borderId="0" xfId="74" applyFill="1">
      <alignment vertical="center"/>
    </xf>
    <xf numFmtId="0" fontId="6" fillId="0" borderId="0" xfId="74" applyFill="1" applyAlignment="1">
      <alignment horizontal="center" vertical="center"/>
    </xf>
    <xf numFmtId="198" fontId="8" fillId="0" borderId="0" xfId="52" applyNumberFormat="1">
      <alignment vertical="center"/>
    </xf>
    <xf numFmtId="9" fontId="5" fillId="0" borderId="1" xfId="79" applyNumberFormat="1">
      <alignment vertical="center"/>
    </xf>
    <xf numFmtId="0" fontId="5" fillId="0" borderId="3" xfId="80" applyAlignment="1" applyProtection="1">
      <alignment vertical="center"/>
    </xf>
    <xf numFmtId="0" fontId="22" fillId="12" borderId="0" xfId="3">
      <alignment horizontal="center" vertical="top" wrapText="1"/>
    </xf>
    <xf numFmtId="204" fontId="5" fillId="15" borderId="7" xfId="32" applyNumberFormat="1" applyAlignment="1">
      <alignment vertical="center"/>
      <protection locked="0"/>
    </xf>
    <xf numFmtId="202" fontId="5" fillId="0" borderId="6" xfId="39" applyBorder="1">
      <alignment vertical="center"/>
    </xf>
    <xf numFmtId="196" fontId="5" fillId="18" borderId="0" xfId="67" applyNumberFormat="1">
      <alignment vertical="center"/>
    </xf>
    <xf numFmtId="0" fontId="5" fillId="18" borderId="0" xfId="67">
      <alignment vertical="center"/>
    </xf>
    <xf numFmtId="184" fontId="5" fillId="18" borderId="0" xfId="67" applyNumberFormat="1">
      <alignment vertical="center"/>
    </xf>
    <xf numFmtId="9" fontId="5" fillId="18" borderId="0" xfId="67" applyNumberFormat="1" applyAlignment="1">
      <alignment vertical="center"/>
    </xf>
    <xf numFmtId="204" fontId="5" fillId="18" borderId="0" xfId="67" applyNumberFormat="1">
      <alignment vertical="center"/>
    </xf>
    <xf numFmtId="186" fontId="5" fillId="18" borderId="0" xfId="67" applyNumberFormat="1" applyAlignment="1">
      <alignment vertical="center"/>
    </xf>
    <xf numFmtId="202" fontId="0" fillId="19" borderId="0" xfId="41" applyNumberFormat="1" applyFont="1">
      <alignment vertical="center"/>
    </xf>
    <xf numFmtId="202" fontId="5" fillId="19" borderId="0" xfId="41" applyNumberFormat="1" applyAlignment="1">
      <alignment horizontal="right" vertical="center"/>
    </xf>
    <xf numFmtId="0" fontId="22" fillId="12" borderId="0" xfId="3">
      <alignment horizontal="center" vertical="top" wrapText="1"/>
    </xf>
    <xf numFmtId="202" fontId="8" fillId="19" borderId="0" xfId="41" applyNumberFormat="1" applyFont="1">
      <alignment vertical="center"/>
    </xf>
    <xf numFmtId="0" fontId="11" fillId="10" borderId="0" xfId="27" applyFill="1" applyAlignment="1">
      <alignment vertical="center"/>
    </xf>
    <xf numFmtId="197" fontId="8" fillId="19" borderId="0" xfId="41" applyNumberFormat="1" applyFont="1">
      <alignment vertical="center"/>
    </xf>
    <xf numFmtId="0" fontId="22" fillId="12" borderId="0" xfId="3">
      <alignment horizontal="center" vertical="top" wrapText="1"/>
    </xf>
    <xf numFmtId="0" fontId="2" fillId="0" borderId="0" xfId="92" applyFill="1" applyAlignment="1">
      <alignment horizontal="center" vertical="center"/>
    </xf>
    <xf numFmtId="0" fontId="6" fillId="0" borderId="0" xfId="24" applyFill="1">
      <alignment vertical="center"/>
    </xf>
    <xf numFmtId="0" fontId="2" fillId="0" borderId="0" xfId="92"/>
    <xf numFmtId="0" fontId="2" fillId="0" borderId="0" xfId="92" applyAlignment="1">
      <alignment vertical="center"/>
    </xf>
    <xf numFmtId="0" fontId="22" fillId="12" borderId="0" xfId="3" applyBorder="1">
      <alignment horizontal="center" vertical="top" wrapText="1"/>
    </xf>
    <xf numFmtId="0" fontId="11" fillId="0" borderId="0" xfId="27" applyAlignment="1">
      <alignment vertical="center"/>
    </xf>
    <xf numFmtId="0" fontId="8" fillId="0" borderId="0" xfId="92" applyFont="1" applyAlignment="1">
      <alignment horizontal="left" vertical="center" indent="2"/>
    </xf>
    <xf numFmtId="0" fontId="8" fillId="24" borderId="0" xfId="92" applyFont="1" applyFill="1" applyAlignment="1">
      <alignment vertical="center"/>
    </xf>
    <xf numFmtId="0" fontId="2" fillId="24" borderId="0" xfId="92" applyFill="1" applyAlignment="1">
      <alignment vertical="center"/>
    </xf>
    <xf numFmtId="0" fontId="2" fillId="0" borderId="13" xfId="92" applyBorder="1" applyAlignment="1">
      <alignment vertical="center"/>
    </xf>
    <xf numFmtId="202" fontId="5" fillId="0" borderId="7" xfId="39" applyBorder="1" applyProtection="1">
      <alignment vertical="center"/>
      <protection locked="0"/>
    </xf>
    <xf numFmtId="202" fontId="0" fillId="0" borderId="13" xfId="39" applyFont="1" applyBorder="1" applyAlignment="1">
      <alignment vertical="center"/>
    </xf>
    <xf numFmtId="0" fontId="8" fillId="0" borderId="0" xfId="92" applyFont="1" applyAlignment="1">
      <alignment horizontal="left" vertical="center" indent="1"/>
    </xf>
    <xf numFmtId="0" fontId="8" fillId="20" borderId="0" xfId="53" applyNumberFormat="1" applyAlignment="1">
      <alignment horizontal="left" vertical="center" wrapText="1"/>
    </xf>
    <xf numFmtId="0" fontId="8" fillId="20" borderId="0" xfId="53" applyNumberFormat="1">
      <alignment vertical="center"/>
    </xf>
    <xf numFmtId="0" fontId="24" fillId="0" borderId="0" xfId="36" applyAlignment="1">
      <alignment vertical="center"/>
    </xf>
    <xf numFmtId="204" fontId="5" fillId="0" borderId="6" xfId="30" applyNumberFormat="1" applyAlignment="1">
      <alignment vertical="center"/>
    </xf>
    <xf numFmtId="202" fontId="5" fillId="16" borderId="0" xfId="33" applyNumberFormat="1">
      <alignment vertical="center"/>
    </xf>
    <xf numFmtId="202" fontId="5" fillId="0" borderId="6" xfId="30" applyNumberFormat="1">
      <alignment vertical="center"/>
    </xf>
    <xf numFmtId="202" fontId="5" fillId="0" borderId="7" xfId="39" applyBorder="1" applyAlignment="1" applyProtection="1">
      <alignment vertical="center"/>
      <protection locked="0"/>
    </xf>
    <xf numFmtId="205" fontId="5" fillId="0" borderId="6" xfId="43" applyBorder="1" applyAlignment="1">
      <alignment vertical="center"/>
    </xf>
    <xf numFmtId="202" fontId="5" fillId="0" borderId="8" xfId="35" applyNumberFormat="1">
      <alignment vertical="center"/>
      <protection locked="0"/>
    </xf>
    <xf numFmtId="202" fontId="5" fillId="0" borderId="0" xfId="1" applyNumberFormat="1">
      <alignment vertical="center"/>
    </xf>
    <xf numFmtId="198" fontId="5" fillId="15" borderId="7" xfId="32" applyNumberFormat="1" applyAlignment="1">
      <alignment vertical="center"/>
      <protection locked="0"/>
    </xf>
    <xf numFmtId="0" fontId="8" fillId="0" borderId="0" xfId="52" applyNumberFormat="1">
      <alignment vertical="center"/>
    </xf>
    <xf numFmtId="203" fontId="5" fillId="18" borderId="0" xfId="40" applyFill="1">
      <alignment vertical="center"/>
    </xf>
    <xf numFmtId="183" fontId="5" fillId="19" borderId="0" xfId="41" applyNumberFormat="1">
      <alignment vertical="center"/>
    </xf>
    <xf numFmtId="202" fontId="8" fillId="19" borderId="0" xfId="39" applyFont="1" applyFill="1">
      <alignment vertical="center"/>
    </xf>
    <xf numFmtId="0" fontId="5" fillId="0" borderId="7" xfId="31" applyAlignment="1">
      <alignment vertical="center"/>
      <protection locked="0"/>
    </xf>
    <xf numFmtId="197" fontId="5" fillId="0" borderId="0" xfId="1" applyNumberFormat="1">
      <alignment vertical="center"/>
    </xf>
    <xf numFmtId="0" fontId="22" fillId="12" borderId="0" xfId="3">
      <alignment horizontal="center" vertical="top" wrapText="1"/>
    </xf>
    <xf numFmtId="196" fontId="5" fillId="18" borderId="0" xfId="67" applyNumberFormat="1" applyAlignment="1">
      <alignment vertical="center"/>
    </xf>
    <xf numFmtId="196" fontId="5" fillId="16" borderId="0" xfId="33" applyNumberFormat="1" applyAlignment="1">
      <alignment vertical="center"/>
    </xf>
    <xf numFmtId="49" fontId="22" fillId="12" borderId="0" xfId="3" applyNumberFormat="1">
      <alignment horizontal="center" vertical="top" wrapText="1"/>
    </xf>
    <xf numFmtId="202" fontId="5" fillId="0" borderId="6" xfId="39" applyBorder="1" applyAlignment="1"/>
    <xf numFmtId="202" fontId="5" fillId="5" borderId="0" xfId="39" applyFill="1" applyAlignment="1"/>
    <xf numFmtId="202" fontId="5" fillId="0" borderId="0" xfId="1" applyNumberFormat="1" applyAlignment="1"/>
    <xf numFmtId="202" fontId="5" fillId="0" borderId="6" xfId="30" applyNumberFormat="1" applyAlignment="1"/>
    <xf numFmtId="195" fontId="5" fillId="18" borderId="0" xfId="67" applyNumberFormat="1">
      <alignment vertical="center"/>
    </xf>
    <xf numFmtId="203" fontId="5" fillId="0" borderId="0" xfId="40" applyFont="1" applyAlignment="1">
      <alignment vertical="center"/>
    </xf>
    <xf numFmtId="165" fontId="5" fillId="0" borderId="1" xfId="79" applyNumberFormat="1">
      <alignment vertical="center"/>
    </xf>
    <xf numFmtId="0" fontId="24" fillId="0" borderId="0" xfId="36" applyAlignment="1">
      <alignment horizontal="right" vertical="center"/>
    </xf>
    <xf numFmtId="0" fontId="22" fillId="12" borderId="0" xfId="3">
      <alignment horizontal="center" vertical="top" wrapText="1"/>
    </xf>
    <xf numFmtId="204" fontId="5" fillId="18" borderId="0" xfId="67" applyNumberFormat="1" applyAlignment="1">
      <alignment vertical="center"/>
    </xf>
    <xf numFmtId="185" fontId="5" fillId="0" borderId="0" xfId="1" applyNumberFormat="1" applyAlignment="1">
      <alignment vertical="center"/>
    </xf>
    <xf numFmtId="204" fontId="5" fillId="16" borderId="0" xfId="33" applyNumberFormat="1" applyAlignment="1">
      <alignment vertical="center"/>
    </xf>
    <xf numFmtId="196" fontId="5" fillId="0" borderId="0" xfId="1" applyNumberFormat="1" applyAlignment="1">
      <alignment vertical="center"/>
    </xf>
    <xf numFmtId="214" fontId="5" fillId="0" borderId="6" xfId="40" applyNumberFormat="1" applyBorder="1" applyAlignment="1">
      <alignment horizontal="center" vertical="center"/>
    </xf>
    <xf numFmtId="214" fontId="5" fillId="21" borderId="6" xfId="40" applyNumberFormat="1" applyFill="1" applyBorder="1" applyAlignment="1">
      <alignment horizontal="center" vertical="center"/>
    </xf>
    <xf numFmtId="202" fontId="5" fillId="0" borderId="6" xfId="40" applyNumberFormat="1" applyBorder="1" applyAlignment="1">
      <alignment horizontal="center" vertical="center"/>
    </xf>
    <xf numFmtId="202" fontId="5" fillId="18" borderId="0" xfId="67" applyNumberFormat="1">
      <alignment vertical="center"/>
    </xf>
    <xf numFmtId="202" fontId="5" fillId="0" borderId="7" xfId="31" applyNumberFormat="1">
      <alignment vertical="center"/>
      <protection locked="0"/>
    </xf>
    <xf numFmtId="202" fontId="5" fillId="18" borderId="0" xfId="39" applyFill="1">
      <alignment vertical="center"/>
    </xf>
    <xf numFmtId="0" fontId="22" fillId="12" borderId="0" xfId="3">
      <alignment horizontal="center" vertical="top" wrapText="1"/>
    </xf>
    <xf numFmtId="198" fontId="5" fillId="18" borderId="0" xfId="67" applyNumberFormat="1">
      <alignment vertical="center"/>
    </xf>
    <xf numFmtId="203" fontId="5" fillId="0" borderId="6" xfId="40" applyBorder="1">
      <alignment vertical="center"/>
    </xf>
    <xf numFmtId="202" fontId="8" fillId="0" borderId="0" xfId="52" applyNumberFormat="1">
      <alignment vertical="center"/>
    </xf>
    <xf numFmtId="0" fontId="22" fillId="12" borderId="0" xfId="3">
      <alignment horizontal="center" vertical="top" wrapText="1"/>
    </xf>
    <xf numFmtId="204" fontId="5" fillId="11" borderId="2" xfId="42" applyFill="1" applyBorder="1" applyAlignment="1" applyProtection="1">
      <alignment vertical="center"/>
      <protection locked="0"/>
    </xf>
    <xf numFmtId="184" fontId="5" fillId="18" borderId="0" xfId="67" applyNumberFormat="1" applyAlignment="1">
      <alignment horizontal="right" vertical="center"/>
    </xf>
    <xf numFmtId="198" fontId="5" fillId="0" borderId="6" xfId="30" applyNumberFormat="1" applyAlignment="1">
      <alignment vertical="center"/>
    </xf>
    <xf numFmtId="205" fontId="5" fillId="0" borderId="6" xfId="43" applyBorder="1">
      <alignment vertical="center"/>
    </xf>
    <xf numFmtId="213" fontId="5" fillId="18" borderId="0" xfId="67" applyNumberFormat="1" applyAlignment="1">
      <alignment vertical="center"/>
    </xf>
    <xf numFmtId="198" fontId="5" fillId="11" borderId="7" xfId="31" applyNumberFormat="1" applyFill="1">
      <alignment vertical="center"/>
      <protection locked="0"/>
    </xf>
    <xf numFmtId="203" fontId="5" fillId="18" borderId="0" xfId="67" applyNumberFormat="1">
      <alignment vertical="center"/>
    </xf>
    <xf numFmtId="0" fontId="22" fillId="12" borderId="0" xfId="3" applyAlignment="1">
      <alignment horizontal="center" vertical="top" wrapText="1"/>
    </xf>
    <xf numFmtId="165" fontId="5" fillId="0" borderId="7" xfId="31" applyNumberFormat="1">
      <alignment vertical="center"/>
      <protection locked="0"/>
    </xf>
    <xf numFmtId="203" fontId="5" fillId="0" borderId="6" xfId="30" applyNumberFormat="1">
      <alignment vertical="center"/>
    </xf>
    <xf numFmtId="216" fontId="0" fillId="0" borderId="0" xfId="0" applyNumberFormat="1">
      <alignment vertical="center"/>
    </xf>
    <xf numFmtId="218" fontId="0" fillId="0" borderId="0" xfId="0" applyNumberFormat="1">
      <alignment vertical="center"/>
    </xf>
    <xf numFmtId="165" fontId="5" fillId="0" borderId="0" xfId="30" applyNumberFormat="1" applyFill="1" applyBorder="1">
      <alignment vertical="center"/>
    </xf>
    <xf numFmtId="217" fontId="0" fillId="0" borderId="0" xfId="0" applyNumberFormat="1" applyAlignment="1">
      <alignment vertical="center"/>
    </xf>
    <xf numFmtId="203" fontId="5" fillId="0" borderId="2" xfId="40" applyBorder="1" applyAlignment="1" applyProtection="1">
      <protection locked="0"/>
    </xf>
    <xf numFmtId="215" fontId="5" fillId="0" borderId="2" xfId="40" applyNumberFormat="1" applyBorder="1" applyAlignment="1" applyProtection="1">
      <protection locked="0"/>
    </xf>
    <xf numFmtId="203" fontId="5" fillId="0" borderId="7" xfId="40" applyBorder="1" applyAlignment="1" applyProtection="1">
      <protection locked="0"/>
    </xf>
    <xf numFmtId="9" fontId="5" fillId="16" borderId="0" xfId="33" applyNumberFormat="1" applyAlignment="1">
      <alignment vertical="center"/>
    </xf>
    <xf numFmtId="9" fontId="5" fillId="0" borderId="0" xfId="1" applyNumberFormat="1" applyAlignment="1">
      <alignment vertical="center"/>
    </xf>
    <xf numFmtId="0" fontId="5" fillId="0" borderId="15" xfId="31" applyBorder="1">
      <alignment vertical="center"/>
      <protection locked="0"/>
    </xf>
    <xf numFmtId="0" fontId="5" fillId="0" borderId="16" xfId="31" applyBorder="1">
      <alignment vertical="center"/>
      <protection locked="0"/>
    </xf>
    <xf numFmtId="0" fontId="1" fillId="0" borderId="0" xfId="0" applyFont="1" applyFill="1" applyAlignment="1"/>
    <xf numFmtId="0" fontId="1" fillId="0" borderId="0" xfId="0" applyFont="1" applyAlignment="1"/>
    <xf numFmtId="0" fontId="0" fillId="0" borderId="17" xfId="0" applyBorder="1">
      <alignment vertical="center"/>
    </xf>
    <xf numFmtId="198" fontId="5" fillId="0" borderId="7" xfId="31" applyNumberFormat="1">
      <alignment vertical="center"/>
      <protection locked="0"/>
    </xf>
    <xf numFmtId="9" fontId="5" fillId="0" borderId="7" xfId="31" applyNumberFormat="1" applyAlignment="1">
      <alignment vertical="center"/>
      <protection locked="0"/>
    </xf>
    <xf numFmtId="184" fontId="5" fillId="0" borderId="0" xfId="1" applyNumberFormat="1">
      <alignment vertical="center"/>
    </xf>
    <xf numFmtId="0" fontId="5" fillId="0" borderId="0" xfId="28" applyFont="1" applyAlignment="1">
      <alignment horizontal="left" vertical="center" indent="1"/>
    </xf>
    <xf numFmtId="0" fontId="0" fillId="0" borderId="0" xfId="0" applyAlignment="1">
      <alignment horizontal="left" vertical="center" indent="1"/>
    </xf>
    <xf numFmtId="0" fontId="28" fillId="0" borderId="0" xfId="24" applyFont="1" applyFill="1" applyBorder="1">
      <alignment vertical="center"/>
    </xf>
    <xf numFmtId="0" fontId="28" fillId="0" borderId="0" xfId="24" applyFont="1" applyFill="1">
      <alignment vertical="center"/>
    </xf>
    <xf numFmtId="0" fontId="29" fillId="0" borderId="0" xfId="37" applyFont="1">
      <alignment vertical="center"/>
    </xf>
    <xf numFmtId="0" fontId="30" fillId="12" borderId="0" xfId="3" applyFont="1">
      <alignment horizontal="center" vertical="top" wrapText="1"/>
    </xf>
    <xf numFmtId="0" fontId="29" fillId="0" borderId="0" xfId="0" applyFont="1">
      <alignment vertical="center"/>
    </xf>
    <xf numFmtId="0" fontId="31" fillId="10" borderId="0" xfId="27" applyFont="1" applyFill="1" applyAlignment="1">
      <alignment vertical="center"/>
    </xf>
    <xf numFmtId="0" fontId="31" fillId="0" borderId="0" xfId="37" applyFont="1">
      <alignment vertical="center"/>
    </xf>
    <xf numFmtId="0" fontId="32" fillId="0" borderId="0" xfId="37" applyFont="1">
      <alignment vertical="center"/>
    </xf>
    <xf numFmtId="9" fontId="29" fillId="18" borderId="0" xfId="67" applyNumberFormat="1" applyFont="1">
      <alignment vertical="center"/>
    </xf>
    <xf numFmtId="0" fontId="33" fillId="0" borderId="0" xfId="36" applyFont="1">
      <alignment vertical="center"/>
    </xf>
    <xf numFmtId="202" fontId="29" fillId="18" borderId="0" xfId="67" applyNumberFormat="1" applyFont="1">
      <alignment vertical="center"/>
    </xf>
    <xf numFmtId="0" fontId="34" fillId="0" borderId="0" xfId="1" applyFont="1">
      <alignment vertical="center"/>
    </xf>
    <xf numFmtId="0" fontId="29" fillId="18" borderId="0" xfId="67" applyFont="1">
      <alignment vertical="center"/>
    </xf>
    <xf numFmtId="196" fontId="29" fillId="0" borderId="6" xfId="30" applyNumberFormat="1" applyFont="1">
      <alignment vertical="center"/>
    </xf>
    <xf numFmtId="196" fontId="29" fillId="15" borderId="7" xfId="32" applyNumberFormat="1" applyFont="1">
      <alignment vertical="center"/>
      <protection locked="0"/>
    </xf>
    <xf numFmtId="196" fontId="29" fillId="0" borderId="7" xfId="31" applyNumberFormat="1" applyFont="1">
      <alignment vertical="center"/>
      <protection locked="0"/>
    </xf>
    <xf numFmtId="196" fontId="29" fillId="0" borderId="3" xfId="40" applyNumberFormat="1" applyFont="1" applyBorder="1" applyProtection="1">
      <alignment vertical="center"/>
      <protection locked="0"/>
    </xf>
    <xf numFmtId="0" fontId="29" fillId="0" borderId="8" xfId="35" applyNumberFormat="1" applyFont="1">
      <alignment vertical="center"/>
      <protection locked="0"/>
    </xf>
    <xf numFmtId="203" fontId="29" fillId="0" borderId="1" xfId="40" applyFont="1" applyBorder="1">
      <alignment vertical="center"/>
    </xf>
    <xf numFmtId="0" fontId="32" fillId="0" borderId="0" xfId="28" applyFont="1">
      <alignment vertical="center"/>
    </xf>
    <xf numFmtId="196" fontId="29" fillId="0" borderId="0" xfId="40" applyNumberFormat="1" applyFont="1">
      <alignment vertical="center"/>
    </xf>
    <xf numFmtId="202" fontId="35" fillId="0" borderId="0" xfId="2" applyNumberFormat="1" applyFont="1">
      <alignment vertical="center"/>
    </xf>
    <xf numFmtId="215" fontId="29" fillId="18" borderId="0" xfId="67" applyNumberFormat="1" applyFont="1">
      <alignment vertical="center"/>
    </xf>
    <xf numFmtId="215" fontId="29" fillId="18" borderId="0" xfId="40" applyNumberFormat="1" applyFont="1" applyFill="1">
      <alignment vertical="center"/>
    </xf>
    <xf numFmtId="202" fontId="29" fillId="0" borderId="8" xfId="35" applyNumberFormat="1" applyFont="1">
      <alignment vertical="center"/>
      <protection locked="0"/>
    </xf>
    <xf numFmtId="202" fontId="29" fillId="0" borderId="6" xfId="30" applyNumberFormat="1" applyFont="1">
      <alignment vertical="center"/>
    </xf>
    <xf numFmtId="215" fontId="29" fillId="0" borderId="1" xfId="40" applyNumberFormat="1" applyFont="1" applyBorder="1">
      <alignment vertical="center"/>
    </xf>
    <xf numFmtId="215" fontId="29" fillId="0" borderId="0" xfId="39" applyNumberFormat="1" applyFont="1">
      <alignment vertical="center"/>
    </xf>
    <xf numFmtId="215" fontId="29" fillId="0" borderId="0" xfId="37" applyNumberFormat="1" applyFont="1">
      <alignment vertical="center"/>
    </xf>
    <xf numFmtId="215" fontId="32" fillId="0" borderId="0" xfId="52" applyNumberFormat="1" applyFont="1">
      <alignment vertical="center"/>
    </xf>
    <xf numFmtId="203" fontId="29" fillId="0" borderId="3" xfId="40" applyFont="1" applyBorder="1" applyProtection="1">
      <alignment vertical="center"/>
      <protection locked="0"/>
    </xf>
    <xf numFmtId="198" fontId="29" fillId="0" borderId="3" xfId="40" applyNumberFormat="1" applyFont="1" applyBorder="1" applyProtection="1">
      <alignment vertical="center"/>
      <protection locked="0"/>
    </xf>
    <xf numFmtId="202" fontId="29" fillId="0" borderId="1" xfId="39" applyFont="1" applyBorder="1">
      <alignment vertical="center"/>
    </xf>
    <xf numFmtId="202" fontId="29" fillId="0" borderId="0" xfId="39" applyFont="1">
      <alignment vertical="center"/>
    </xf>
    <xf numFmtId="202" fontId="32" fillId="0" borderId="0" xfId="39" applyFont="1">
      <alignment vertical="center"/>
    </xf>
    <xf numFmtId="202" fontId="29" fillId="15" borderId="7" xfId="39" applyFont="1" applyFill="1" applyBorder="1" applyProtection="1">
      <alignment vertical="center"/>
      <protection locked="0"/>
    </xf>
    <xf numFmtId="184" fontId="29" fillId="15" borderId="7" xfId="32" applyNumberFormat="1" applyFont="1">
      <alignment vertical="center"/>
      <protection locked="0"/>
    </xf>
    <xf numFmtId="184" fontId="29" fillId="16" borderId="0" xfId="33" applyNumberFormat="1" applyFont="1">
      <alignment vertical="center"/>
    </xf>
    <xf numFmtId="184" fontId="29" fillId="0" borderId="6" xfId="30" applyNumberFormat="1" applyFont="1">
      <alignment vertical="center"/>
    </xf>
    <xf numFmtId="202" fontId="32" fillId="16" borderId="0" xfId="52" applyNumberFormat="1" applyFont="1" applyFill="1">
      <alignment vertical="center"/>
    </xf>
    <xf numFmtId="202" fontId="29" fillId="16" borderId="0" xfId="33" applyNumberFormat="1" applyFont="1">
      <alignment vertical="center"/>
    </xf>
    <xf numFmtId="184" fontId="35" fillId="0" borderId="0" xfId="2" applyNumberFormat="1" applyFont="1">
      <alignment vertical="center"/>
    </xf>
    <xf numFmtId="205" fontId="29" fillId="18" borderId="0" xfId="67" applyNumberFormat="1" applyFont="1">
      <alignment vertical="center"/>
    </xf>
    <xf numFmtId="187" fontId="29" fillId="0" borderId="8" xfId="35" applyNumberFormat="1" applyFont="1" applyAlignment="1">
      <alignment vertical="center"/>
      <protection locked="0"/>
    </xf>
    <xf numFmtId="184" fontId="29" fillId="18" borderId="0" xfId="67" applyNumberFormat="1" applyFont="1">
      <alignment vertical="center"/>
    </xf>
    <xf numFmtId="0" fontId="29" fillId="18" borderId="0" xfId="67" applyNumberFormat="1" applyFont="1">
      <alignment vertical="center"/>
    </xf>
    <xf numFmtId="0" fontId="32" fillId="0" borderId="0" xfId="0" applyFont="1">
      <alignment vertical="center"/>
    </xf>
    <xf numFmtId="184" fontId="29" fillId="0" borderId="8" xfId="35" applyNumberFormat="1" applyFont="1">
      <alignment vertical="center"/>
      <protection locked="0"/>
    </xf>
    <xf numFmtId="0" fontId="29" fillId="0" borderId="8" xfId="35" applyFont="1">
      <alignment vertical="center"/>
      <protection locked="0"/>
    </xf>
    <xf numFmtId="204" fontId="29" fillId="15" borderId="7" xfId="32" applyNumberFormat="1" applyFont="1" applyAlignment="1">
      <alignment vertical="center"/>
      <protection locked="0"/>
    </xf>
    <xf numFmtId="186" fontId="29" fillId="0" borderId="6" xfId="30" applyNumberFormat="1" applyFont="1" applyAlignment="1">
      <alignment vertical="center"/>
    </xf>
    <xf numFmtId="209" fontId="29" fillId="0" borderId="6" xfId="30" applyNumberFormat="1" applyFont="1">
      <alignment vertical="center"/>
    </xf>
    <xf numFmtId="202" fontId="29" fillId="15" borderId="7" xfId="32" applyNumberFormat="1" applyFont="1" applyAlignment="1">
      <alignment vertical="center"/>
      <protection locked="0"/>
    </xf>
    <xf numFmtId="186" fontId="29" fillId="18" borderId="0" xfId="67" applyNumberFormat="1" applyFont="1" applyAlignment="1">
      <alignment vertical="center"/>
    </xf>
    <xf numFmtId="215" fontId="29" fillId="0" borderId="6" xfId="30" applyNumberFormat="1" applyFont="1">
      <alignment vertical="center"/>
    </xf>
    <xf numFmtId="185" fontId="29" fillId="18" borderId="0" xfId="67" applyNumberFormat="1" applyFont="1">
      <alignment vertical="center"/>
    </xf>
    <xf numFmtId="185" fontId="29" fillId="16" borderId="0" xfId="33" applyNumberFormat="1" applyFont="1">
      <alignment vertical="center"/>
    </xf>
    <xf numFmtId="0" fontId="29" fillId="0" borderId="0" xfId="0" applyFont="1" applyAlignment="1">
      <alignment vertical="center"/>
    </xf>
    <xf numFmtId="0" fontId="34" fillId="0" borderId="0" xfId="0" applyFont="1" applyAlignment="1">
      <alignment vertical="center" wrapText="1"/>
    </xf>
    <xf numFmtId="201" fontId="29" fillId="15" borderId="7" xfId="32" applyNumberFormat="1" applyFont="1">
      <alignment vertical="center"/>
      <protection locked="0"/>
    </xf>
    <xf numFmtId="188" fontId="29" fillId="15" borderId="7" xfId="32" applyNumberFormat="1" applyFont="1">
      <alignment vertical="center"/>
      <protection locked="0"/>
    </xf>
    <xf numFmtId="202" fontId="29" fillId="15" borderId="7" xfId="32" applyNumberFormat="1" applyFont="1">
      <alignment vertical="center"/>
      <protection locked="0"/>
    </xf>
    <xf numFmtId="0" fontId="33" fillId="0" borderId="0" xfId="36" applyFont="1" applyFill="1">
      <alignment vertical="center"/>
    </xf>
    <xf numFmtId="206" fontId="29" fillId="18" borderId="0" xfId="67" applyNumberFormat="1" applyFont="1">
      <alignment vertical="center"/>
    </xf>
    <xf numFmtId="0" fontId="29" fillId="15" borderId="7" xfId="32" applyNumberFormat="1" applyFont="1">
      <alignment vertical="center"/>
      <protection locked="0"/>
    </xf>
    <xf numFmtId="0" fontId="29" fillId="0" borderId="8" xfId="35" applyFont="1" applyAlignment="1">
      <alignment vertical="center"/>
      <protection locked="0"/>
    </xf>
    <xf numFmtId="9" fontId="29" fillId="15" borderId="7" xfId="32" applyNumberFormat="1" applyFont="1">
      <alignment vertical="center"/>
      <protection locked="0"/>
    </xf>
    <xf numFmtId="0" fontId="36" fillId="0" borderId="0" xfId="0" applyFont="1" applyAlignment="1">
      <alignment vertical="center"/>
    </xf>
    <xf numFmtId="206" fontId="29" fillId="0" borderId="3" xfId="43" applyNumberFormat="1" applyFont="1" applyBorder="1" applyProtection="1">
      <alignment vertical="center"/>
      <protection locked="0"/>
    </xf>
    <xf numFmtId="9" fontId="29" fillId="15" borderId="7" xfId="32" applyNumberFormat="1" applyFont="1" applyAlignment="1">
      <alignment vertical="center"/>
      <protection locked="0"/>
    </xf>
    <xf numFmtId="0" fontId="37" fillId="0" borderId="0" xfId="2" applyNumberFormat="1" applyFont="1" applyAlignment="1">
      <alignment vertical="center"/>
    </xf>
    <xf numFmtId="209" fontId="29" fillId="0" borderId="8" xfId="35" applyNumberFormat="1" applyFont="1">
      <alignment vertical="center"/>
      <protection locked="0"/>
    </xf>
    <xf numFmtId="201" fontId="29" fillId="0" borderId="7" xfId="31" applyNumberFormat="1" applyFont="1">
      <alignment vertical="center"/>
      <protection locked="0"/>
    </xf>
    <xf numFmtId="202" fontId="29" fillId="0" borderId="7" xfId="39" applyFont="1" applyBorder="1" applyProtection="1">
      <alignment vertical="center"/>
      <protection locked="0"/>
    </xf>
    <xf numFmtId="199" fontId="29" fillId="0" borderId="8" xfId="35" applyNumberFormat="1" applyFont="1">
      <alignment vertical="center"/>
      <protection locked="0"/>
    </xf>
    <xf numFmtId="0" fontId="29" fillId="0" borderId="3" xfId="54" applyFont="1" applyBorder="1" applyProtection="1">
      <alignment vertical="center"/>
      <protection locked="0"/>
    </xf>
    <xf numFmtId="0" fontId="29" fillId="0" borderId="7" xfId="31" applyFont="1" applyAlignment="1">
      <alignment horizontal="center" vertical="center"/>
      <protection locked="0"/>
    </xf>
    <xf numFmtId="0" fontId="29" fillId="0" borderId="0" xfId="0" applyFont="1" applyAlignment="1">
      <alignment horizontal="center" vertical="center"/>
    </xf>
    <xf numFmtId="0" fontId="29" fillId="0" borderId="0" xfId="0" applyFont="1" applyAlignment="1">
      <alignment horizontal="left" vertical="center" indent="2"/>
    </xf>
    <xf numFmtId="0" fontId="29" fillId="0" borderId="7" xfId="54" applyFont="1" applyBorder="1" applyProtection="1">
      <alignment vertical="center"/>
      <protection locked="0"/>
    </xf>
    <xf numFmtId="202" fontId="29" fillId="16" borderId="0" xfId="39" applyFont="1" applyFill="1">
      <alignment vertical="center"/>
    </xf>
    <xf numFmtId="0" fontId="32" fillId="0" borderId="0" xfId="0" applyFont="1" applyAlignment="1">
      <alignment horizontal="left" vertical="center"/>
    </xf>
    <xf numFmtId="204" fontId="29" fillId="0" borderId="7" xfId="31" applyNumberFormat="1" applyFont="1" applyAlignment="1">
      <alignment vertical="center"/>
      <protection locked="0"/>
    </xf>
    <xf numFmtId="186" fontId="29" fillId="15" borderId="7" xfId="32" applyNumberFormat="1" applyFont="1" applyAlignment="1">
      <alignment vertical="center"/>
      <protection locked="0"/>
    </xf>
    <xf numFmtId="186" fontId="29" fillId="17" borderId="0" xfId="34" applyNumberFormat="1" applyFont="1" applyAlignment="1">
      <alignment vertical="center"/>
    </xf>
    <xf numFmtId="198" fontId="29" fillId="18" borderId="0" xfId="67" applyNumberFormat="1" applyFont="1">
      <alignment vertical="center"/>
    </xf>
    <xf numFmtId="0" fontId="34" fillId="0" borderId="0" xfId="37" applyFont="1">
      <alignment vertical="center"/>
    </xf>
    <xf numFmtId="0" fontId="29" fillId="0" borderId="8" xfId="35" applyFont="1" applyFill="1">
      <alignment vertical="center"/>
      <protection locked="0"/>
    </xf>
    <xf numFmtId="0" fontId="32" fillId="0" borderId="0" xfId="28" applyFont="1" applyFill="1">
      <alignment vertical="center"/>
    </xf>
    <xf numFmtId="0" fontId="29" fillId="0" borderId="0" xfId="0" applyFont="1" applyFill="1">
      <alignment vertical="center"/>
    </xf>
    <xf numFmtId="202" fontId="29" fillId="0" borderId="3" xfId="39" applyFont="1" applyBorder="1" applyProtection="1">
      <alignment vertical="center"/>
      <protection locked="0"/>
    </xf>
    <xf numFmtId="184" fontId="30" fillId="12" borderId="0" xfId="3" applyNumberFormat="1" applyFont="1">
      <alignment horizontal="center" vertical="top" wrapText="1"/>
    </xf>
    <xf numFmtId="202" fontId="29" fillId="0" borderId="7" xfId="31" applyNumberFormat="1" applyFont="1">
      <alignment vertical="center"/>
      <protection locked="0"/>
    </xf>
    <xf numFmtId="202" fontId="29" fillId="0" borderId="3" xfId="39" applyFont="1" applyFill="1" applyBorder="1" applyProtection="1">
      <alignment vertical="center"/>
      <protection locked="0"/>
    </xf>
    <xf numFmtId="0" fontId="29" fillId="0" borderId="0" xfId="28" applyFont="1">
      <alignment vertical="center"/>
    </xf>
    <xf numFmtId="186" fontId="29" fillId="16" borderId="0" xfId="33" applyNumberFormat="1" applyFont="1" applyAlignment="1">
      <alignment vertical="center"/>
    </xf>
    <xf numFmtId="0" fontId="29" fillId="16" borderId="0" xfId="33" applyFont="1">
      <alignment vertical="center"/>
    </xf>
    <xf numFmtId="203" fontId="29" fillId="18" borderId="0" xfId="67" applyNumberFormat="1" applyFont="1">
      <alignment vertical="center"/>
    </xf>
    <xf numFmtId="0" fontId="38" fillId="0" borderId="0" xfId="38" applyFont="1" applyAlignment="1">
      <alignment horizontal="left"/>
    </xf>
    <xf numFmtId="0" fontId="29" fillId="0" borderId="6" xfId="30" applyFont="1">
      <alignment vertical="center"/>
    </xf>
    <xf numFmtId="202" fontId="32" fillId="0" borderId="0" xfId="52" applyNumberFormat="1" applyFont="1">
      <alignment vertical="center"/>
    </xf>
    <xf numFmtId="0" fontId="29" fillId="16" borderId="0" xfId="33" applyFont="1" applyAlignment="1">
      <alignment vertical="center"/>
    </xf>
    <xf numFmtId="9" fontId="29" fillId="10" borderId="0" xfId="60" applyFont="1" applyFill="1" applyAlignment="1">
      <alignment vertical="center"/>
    </xf>
    <xf numFmtId="184" fontId="32" fillId="0" borderId="0" xfId="52" applyNumberFormat="1" applyFont="1">
      <alignment vertical="center"/>
    </xf>
    <xf numFmtId="0" fontId="29" fillId="0" borderId="7" xfId="31" applyFont="1">
      <alignment vertical="center"/>
      <protection locked="0"/>
    </xf>
    <xf numFmtId="202" fontId="29" fillId="0" borderId="6" xfId="39" applyFont="1" applyBorder="1">
      <alignment vertical="center"/>
    </xf>
    <xf numFmtId="205" fontId="5" fillId="0" borderId="6" xfId="30" applyNumberFormat="1">
      <alignment vertical="center"/>
    </xf>
    <xf numFmtId="207" fontId="5" fillId="18" borderId="0" xfId="67" applyNumberFormat="1" applyAlignment="1">
      <alignment vertical="center"/>
    </xf>
    <xf numFmtId="208" fontId="5" fillId="18" borderId="0" xfId="67" applyNumberFormat="1" applyAlignment="1">
      <alignment vertical="center"/>
    </xf>
    <xf numFmtId="194" fontId="5" fillId="0" borderId="6" xfId="30" applyNumberFormat="1" applyAlignment="1">
      <alignment vertical="center"/>
    </xf>
    <xf numFmtId="9" fontId="5" fillId="0" borderId="6" xfId="30" applyNumberFormat="1">
      <alignment vertical="center"/>
    </xf>
    <xf numFmtId="215" fontId="29" fillId="0" borderId="8" xfId="39" applyNumberFormat="1" applyFont="1" applyFill="1" applyBorder="1" applyProtection="1">
      <alignment vertical="center"/>
      <protection locked="0"/>
    </xf>
    <xf numFmtId="215" fontId="29" fillId="0" borderId="3" xfId="39" applyNumberFormat="1" applyFont="1" applyBorder="1" applyProtection="1">
      <alignment vertical="center"/>
      <protection locked="0"/>
    </xf>
    <xf numFmtId="215" fontId="29" fillId="0" borderId="8" xfId="35" applyNumberFormat="1" applyFont="1" applyFill="1">
      <alignment vertical="center"/>
      <protection locked="0"/>
    </xf>
    <xf numFmtId="0" fontId="0" fillId="0" borderId="0" xfId="0" applyAlignment="1">
      <alignment horizontal="center" vertical="center"/>
    </xf>
    <xf numFmtId="0" fontId="0" fillId="0" borderId="0" xfId="0" applyBorder="1">
      <alignment vertical="center"/>
    </xf>
    <xf numFmtId="0" fontId="14" fillId="0" borderId="0" xfId="38" applyFont="1">
      <alignment vertical="center"/>
    </xf>
    <xf numFmtId="0" fontId="8" fillId="14" borderId="0" xfId="29" applyFont="1">
      <alignment vertical="center"/>
    </xf>
    <xf numFmtId="0" fontId="0" fillId="14" borderId="0" xfId="29" applyFont="1">
      <alignment vertical="center"/>
    </xf>
    <xf numFmtId="0" fontId="8" fillId="0" borderId="0" xfId="44" applyAlignment="1">
      <alignment horizontal="left" vertical="center" wrapText="1"/>
    </xf>
    <xf numFmtId="183" fontId="5" fillId="0" borderId="8" xfId="35" applyNumberFormat="1">
      <alignment vertical="center"/>
      <protection locked="0"/>
    </xf>
    <xf numFmtId="0" fontId="8" fillId="0" borderId="0" xfId="44">
      <alignment horizontal="left" vertical="center" wrapText="1"/>
    </xf>
    <xf numFmtId="0" fontId="0" fillId="0" borderId="0" xfId="54" applyFont="1">
      <alignment vertical="center"/>
    </xf>
    <xf numFmtId="0" fontId="5" fillId="0" borderId="0" xfId="45">
      <alignment horizontal="left" vertical="center" wrapText="1" indent="1"/>
    </xf>
    <xf numFmtId="183" fontId="5" fillId="0" borderId="7" xfId="31" applyNumberFormat="1">
      <alignment vertical="center"/>
      <protection locked="0"/>
    </xf>
    <xf numFmtId="183" fontId="5" fillId="15" borderId="7" xfId="32">
      <alignment vertical="center"/>
      <protection locked="0"/>
    </xf>
    <xf numFmtId="183" fontId="5" fillId="0" borderId="6" xfId="30" applyNumberFormat="1">
      <alignment vertical="center"/>
    </xf>
    <xf numFmtId="183" fontId="5" fillId="16" borderId="0" xfId="33" applyNumberFormat="1">
      <alignment vertical="center"/>
    </xf>
    <xf numFmtId="183" fontId="5" fillId="17" borderId="0" xfId="34" applyNumberFormat="1">
      <alignment vertical="center"/>
    </xf>
    <xf numFmtId="183" fontId="5" fillId="0" borderId="0" xfId="1" applyNumberFormat="1">
      <alignment vertical="center"/>
    </xf>
    <xf numFmtId="183" fontId="8" fillId="0" borderId="0" xfId="52">
      <alignment vertical="center"/>
    </xf>
    <xf numFmtId="165" fontId="7" fillId="0" borderId="0" xfId="2">
      <alignment vertical="center"/>
    </xf>
    <xf numFmtId="183" fontId="24" fillId="0" borderId="0" xfId="36" applyNumberFormat="1">
      <alignment vertical="center"/>
    </xf>
    <xf numFmtId="183" fontId="14" fillId="0" borderId="0" xfId="38" applyNumberFormat="1">
      <alignment vertical="center"/>
    </xf>
    <xf numFmtId="183" fontId="5" fillId="14" borderId="0" xfId="29" applyNumberFormat="1">
      <alignment vertical="center"/>
    </xf>
    <xf numFmtId="183" fontId="5" fillId="0" borderId="0" xfId="54" applyNumberFormat="1">
      <alignment vertical="center"/>
    </xf>
    <xf numFmtId="207" fontId="0" fillId="0" borderId="0" xfId="50" applyNumberFormat="1" applyFont="1">
      <alignment vertical="center"/>
    </xf>
    <xf numFmtId="200" fontId="0" fillId="0" borderId="0" xfId="50" applyNumberFormat="1" applyFont="1">
      <alignment vertical="center"/>
    </xf>
    <xf numFmtId="166" fontId="0" fillId="0" borderId="0" xfId="66" applyFont="1">
      <alignment vertical="center"/>
    </xf>
    <xf numFmtId="167" fontId="0" fillId="0" borderId="0" xfId="8" applyFont="1">
      <alignment vertical="center"/>
    </xf>
    <xf numFmtId="183" fontId="0" fillId="7" borderId="0" xfId="48" applyNumberFormat="1" applyFont="1">
      <alignment vertical="center"/>
    </xf>
    <xf numFmtId="207" fontId="0" fillId="7" borderId="0" xfId="48" applyNumberFormat="1" applyFont="1">
      <alignment vertical="center"/>
    </xf>
    <xf numFmtId="205" fontId="0" fillId="0" borderId="0" xfId="43" applyFont="1">
      <alignment vertical="center"/>
    </xf>
    <xf numFmtId="0" fontId="0" fillId="0" borderId="10" xfId="47" applyNumberFormat="1" applyFont="1">
      <alignment vertical="center"/>
    </xf>
    <xf numFmtId="170" fontId="0" fillId="0" borderId="0" xfId="11" applyFont="1">
      <alignment vertical="center"/>
    </xf>
    <xf numFmtId="171" fontId="0" fillId="0" borderId="0" xfId="12" applyFont="1">
      <alignment vertical="center"/>
    </xf>
    <xf numFmtId="172" fontId="0" fillId="0" borderId="0" xfId="13" applyFont="1">
      <alignment vertical="center"/>
    </xf>
    <xf numFmtId="173" fontId="0" fillId="0" borderId="0" xfId="14" applyFont="1">
      <alignment vertical="center"/>
    </xf>
    <xf numFmtId="178" fontId="0" fillId="0" borderId="0" xfId="19" applyFont="1">
      <alignment vertical="center"/>
    </xf>
    <xf numFmtId="179" fontId="0" fillId="0" borderId="0" xfId="20" applyFont="1">
      <alignment vertical="center"/>
    </xf>
    <xf numFmtId="168" fontId="0" fillId="0" borderId="0" xfId="9" applyFont="1">
      <alignment vertical="center"/>
    </xf>
    <xf numFmtId="169" fontId="0" fillId="0" borderId="0" xfId="10" applyFont="1">
      <alignment vertical="center"/>
    </xf>
    <xf numFmtId="174" fontId="0" fillId="0" borderId="0" xfId="15" applyFont="1">
      <alignment vertical="center"/>
    </xf>
    <xf numFmtId="175" fontId="0" fillId="0" borderId="0" xfId="16" applyFont="1">
      <alignment vertical="center"/>
    </xf>
    <xf numFmtId="176" fontId="0" fillId="0" borderId="0" xfId="17" applyFont="1">
      <alignment vertical="center"/>
    </xf>
    <xf numFmtId="177" fontId="0" fillId="0" borderId="0" xfId="18" applyFont="1">
      <alignment vertical="center"/>
    </xf>
    <xf numFmtId="180" fontId="0" fillId="0" borderId="0" xfId="21" applyFont="1">
      <alignment vertical="center"/>
    </xf>
    <xf numFmtId="181" fontId="0" fillId="0" borderId="0" xfId="22" applyFont="1">
      <alignment vertical="center"/>
    </xf>
    <xf numFmtId="182" fontId="0" fillId="0" borderId="0" xfId="23" applyFont="1">
      <alignment vertical="center"/>
    </xf>
    <xf numFmtId="0" fontId="6" fillId="0" borderId="0" xfId="24">
      <alignment vertical="center"/>
    </xf>
    <xf numFmtId="0" fontId="9" fillId="0" borderId="0" xfId="25">
      <alignment vertical="center"/>
    </xf>
    <xf numFmtId="0" fontId="22" fillId="13" borderId="0" xfId="4">
      <alignment horizontal="left" vertical="top" wrapText="1"/>
    </xf>
    <xf numFmtId="0" fontId="23" fillId="13" borderId="0" xfId="6">
      <alignment horizontal="center" vertical="top" wrapText="1"/>
    </xf>
    <xf numFmtId="0" fontId="0" fillId="0" borderId="0" xfId="50" applyNumberFormat="1" applyFont="1">
      <alignment vertical="center"/>
    </xf>
    <xf numFmtId="0" fontId="0" fillId="7" borderId="0" xfId="48" applyFont="1">
      <alignment vertical="center"/>
    </xf>
    <xf numFmtId="0" fontId="8" fillId="0" borderId="9" xfId="46" applyNumberFormat="1" applyAlignment="1">
      <alignment horizontal="left" vertical="center" wrapText="1" indent="1"/>
    </xf>
    <xf numFmtId="0" fontId="8" fillId="0" borderId="9" xfId="46" applyNumberFormat="1">
      <alignment vertical="center"/>
    </xf>
    <xf numFmtId="0" fontId="8" fillId="7" borderId="9" xfId="46" applyNumberFormat="1" applyFill="1">
      <alignment vertical="center"/>
    </xf>
    <xf numFmtId="183" fontId="5" fillId="0" borderId="21" xfId="31" applyNumberFormat="1" applyBorder="1">
      <alignment vertical="center"/>
      <protection locked="0"/>
    </xf>
    <xf numFmtId="183" fontId="8" fillId="20" borderId="0" xfId="53">
      <alignment vertical="center"/>
    </xf>
    <xf numFmtId="0" fontId="8" fillId="19" borderId="0" xfId="41" applyFont="1" applyAlignment="1">
      <alignment horizontal="left" vertical="center" wrapText="1"/>
    </xf>
    <xf numFmtId="0" fontId="8" fillId="19" borderId="0" xfId="41" applyFont="1">
      <alignment vertical="center"/>
    </xf>
    <xf numFmtId="38" fontId="43" fillId="0" borderId="0" xfId="0" applyNumberFormat="1" applyFont="1" applyFill="1" applyBorder="1" applyAlignment="1">
      <alignment horizontal="center" vertical="center"/>
    </xf>
    <xf numFmtId="0" fontId="44" fillId="0" borderId="0" xfId="24" applyFont="1" applyFill="1" applyBorder="1">
      <alignment vertical="center"/>
    </xf>
    <xf numFmtId="0" fontId="43" fillId="0" borderId="19" xfId="0" applyFont="1" applyBorder="1">
      <alignment vertical="center"/>
    </xf>
    <xf numFmtId="0" fontId="45" fillId="0" borderId="0" xfId="26" applyFont="1" applyFill="1" applyAlignment="1">
      <alignment horizontal="left"/>
    </xf>
    <xf numFmtId="0" fontId="43" fillId="0" borderId="0" xfId="0" applyFont="1" applyFill="1">
      <alignment vertical="center"/>
    </xf>
    <xf numFmtId="0" fontId="43" fillId="0" borderId="0" xfId="0" applyFont="1">
      <alignment vertical="center"/>
    </xf>
    <xf numFmtId="0" fontId="46" fillId="0" borderId="0" xfId="44" applyFont="1" applyAlignment="1">
      <alignment horizontal="left" vertical="center" wrapText="1" indent="1"/>
    </xf>
    <xf numFmtId="49" fontId="43" fillId="0" borderId="0" xfId="51" applyFont="1" applyAlignment="1">
      <alignment vertical="center"/>
    </xf>
    <xf numFmtId="0" fontId="47" fillId="0" borderId="0" xfId="27" applyFont="1" applyAlignment="1"/>
    <xf numFmtId="0" fontId="47" fillId="0" borderId="0" xfId="27" applyFont="1" applyAlignment="1">
      <alignment vertical="center"/>
    </xf>
    <xf numFmtId="49" fontId="48" fillId="26" borderId="0" xfId="51" applyFont="1" applyFill="1" applyAlignment="1">
      <alignment vertical="center"/>
    </xf>
    <xf numFmtId="49" fontId="49" fillId="26" borderId="0" xfId="51" applyFont="1" applyFill="1" applyAlignment="1">
      <alignment vertical="center"/>
    </xf>
    <xf numFmtId="49" fontId="43" fillId="0" borderId="0" xfId="51" applyFont="1" applyAlignment="1">
      <alignment horizontal="left" vertical="center" indent="1"/>
    </xf>
    <xf numFmtId="49" fontId="43" fillId="0" borderId="0" xfId="51" applyFont="1" applyAlignment="1">
      <alignment vertical="center" wrapText="1"/>
    </xf>
    <xf numFmtId="49" fontId="49" fillId="26" borderId="0" xfId="51" applyFont="1" applyFill="1" applyAlignment="1">
      <alignment horizontal="left" vertical="center" wrapText="1"/>
    </xf>
    <xf numFmtId="49" fontId="48" fillId="26" borderId="0" xfId="51" applyFont="1" applyFill="1" applyAlignment="1">
      <alignment horizontal="left" vertical="center" wrapText="1"/>
    </xf>
    <xf numFmtId="0" fontId="43" fillId="0" borderId="20" xfId="0" applyFont="1" applyBorder="1">
      <alignment vertical="center"/>
    </xf>
    <xf numFmtId="49" fontId="43" fillId="0" borderId="0" xfId="51" applyFont="1" applyBorder="1" applyAlignment="1">
      <alignment vertical="center"/>
    </xf>
    <xf numFmtId="0" fontId="50" fillId="0" borderId="0" xfId="24" applyFont="1" applyFill="1" applyBorder="1">
      <alignment vertical="center"/>
    </xf>
    <xf numFmtId="0" fontId="50" fillId="0" borderId="0" xfId="24" applyFont="1" applyFill="1">
      <alignment vertical="center"/>
    </xf>
    <xf numFmtId="0" fontId="51" fillId="0" borderId="0" xfId="37" applyFont="1">
      <alignment vertical="center"/>
    </xf>
    <xf numFmtId="0" fontId="52" fillId="12" borderId="0" xfId="3" applyFont="1" applyAlignment="1">
      <alignment horizontal="centerContinuous" vertical="top" wrapText="1"/>
    </xf>
    <xf numFmtId="0" fontId="51" fillId="0" borderId="0" xfId="37" applyFont="1" applyAlignment="1">
      <alignment horizontal="right" vertical="center"/>
    </xf>
    <xf numFmtId="0" fontId="53" fillId="10" borderId="0" xfId="27" applyFont="1" applyFill="1" applyAlignment="1">
      <alignment vertical="center"/>
    </xf>
    <xf numFmtId="0" fontId="51" fillId="0" borderId="0" xfId="0" applyFont="1">
      <alignment vertical="center"/>
    </xf>
    <xf numFmtId="0" fontId="52" fillId="12" borderId="0" xfId="3" applyFont="1">
      <alignment horizontal="center" vertical="top" wrapText="1"/>
    </xf>
    <xf numFmtId="0" fontId="53" fillId="0" borderId="0" xfId="37" applyFont="1">
      <alignment vertical="center"/>
    </xf>
    <xf numFmtId="0" fontId="54" fillId="0" borderId="0" xfId="37" applyFont="1">
      <alignment vertical="center"/>
    </xf>
    <xf numFmtId="186" fontId="51" fillId="18" borderId="0" xfId="67" applyNumberFormat="1" applyFont="1" applyAlignment="1">
      <alignment vertical="center"/>
    </xf>
    <xf numFmtId="196" fontId="51" fillId="18" borderId="0" xfId="67" applyNumberFormat="1" applyFont="1" applyAlignment="1">
      <alignment vertical="center"/>
    </xf>
    <xf numFmtId="202" fontId="51" fillId="0" borderId="1" xfId="39" applyFont="1" applyBorder="1">
      <alignment vertical="center"/>
    </xf>
    <xf numFmtId="202" fontId="51" fillId="16" borderId="0" xfId="33" applyNumberFormat="1" applyFont="1">
      <alignment vertical="center"/>
    </xf>
    <xf numFmtId="202" fontId="51" fillId="18" borderId="0" xfId="67" applyNumberFormat="1" applyFont="1">
      <alignment vertical="center"/>
    </xf>
    <xf numFmtId="0" fontId="55" fillId="0" borderId="0" xfId="36" applyFont="1">
      <alignment vertical="center"/>
    </xf>
    <xf numFmtId="0" fontId="53" fillId="0" borderId="0" xfId="0" applyFont="1">
      <alignment vertical="center"/>
    </xf>
    <xf numFmtId="0" fontId="56" fillId="0" borderId="0" xfId="37" applyFont="1">
      <alignment vertical="center"/>
    </xf>
    <xf numFmtId="196" fontId="51" fillId="0" borderId="0" xfId="37" applyNumberFormat="1" applyFont="1">
      <alignment vertical="center"/>
    </xf>
    <xf numFmtId="202" fontId="51" fillId="0" borderId="0" xfId="39" applyFont="1" applyAlignment="1">
      <alignment vertical="center"/>
    </xf>
    <xf numFmtId="184" fontId="51" fillId="0" borderId="6" xfId="30" applyNumberFormat="1" applyFont="1">
      <alignment vertical="center"/>
    </xf>
    <xf numFmtId="0" fontId="54" fillId="0" borderId="0" xfId="0" applyFont="1">
      <alignment vertical="center"/>
    </xf>
    <xf numFmtId="203" fontId="51" fillId="0" borderId="6" xfId="30" applyNumberFormat="1" applyFont="1">
      <alignment vertical="center"/>
    </xf>
    <xf numFmtId="202" fontId="51" fillId="0" borderId="6" xfId="39" applyFont="1" applyBorder="1">
      <alignment vertical="center"/>
    </xf>
    <xf numFmtId="202" fontId="51" fillId="0" borderId="6" xfId="30" applyNumberFormat="1" applyFont="1">
      <alignment vertical="center"/>
    </xf>
    <xf numFmtId="202" fontId="51" fillId="0" borderId="0" xfId="1" applyNumberFormat="1" applyFont="1">
      <alignment vertical="center"/>
    </xf>
    <xf numFmtId="0" fontId="57" fillId="0" borderId="0" xfId="37" applyFont="1">
      <alignment vertical="center"/>
    </xf>
    <xf numFmtId="202" fontId="58" fillId="19" borderId="0" xfId="41" applyNumberFormat="1" applyFont="1">
      <alignment vertical="center"/>
    </xf>
    <xf numFmtId="202" fontId="54" fillId="0" borderId="0" xfId="52" applyNumberFormat="1" applyFont="1">
      <alignment vertical="center"/>
    </xf>
    <xf numFmtId="184" fontId="51" fillId="18" borderId="0" xfId="67" applyNumberFormat="1" applyFont="1">
      <alignment vertical="center"/>
    </xf>
    <xf numFmtId="202" fontId="51" fillId="0" borderId="0" xfId="39" applyFont="1">
      <alignment vertical="center"/>
    </xf>
    <xf numFmtId="198" fontId="54" fillId="19" borderId="0" xfId="41" applyNumberFormat="1" applyFont="1">
      <alignment vertical="center"/>
    </xf>
    <xf numFmtId="196" fontId="51" fillId="0" borderId="6" xfId="30" applyNumberFormat="1" applyFont="1">
      <alignment vertical="center"/>
    </xf>
    <xf numFmtId="202" fontId="51" fillId="18" borderId="0" xfId="39" applyFont="1" applyFill="1">
      <alignment vertical="center"/>
    </xf>
    <xf numFmtId="0" fontId="58" fillId="19" borderId="0" xfId="41" applyFont="1">
      <alignment vertical="center"/>
    </xf>
    <xf numFmtId="184" fontId="59" fillId="0" borderId="0" xfId="2" applyNumberFormat="1" applyFont="1">
      <alignment vertical="center"/>
    </xf>
    <xf numFmtId="219" fontId="54" fillId="0" borderId="0" xfId="52" applyNumberFormat="1" applyFont="1" applyAlignment="1">
      <alignment vertical="center"/>
    </xf>
    <xf numFmtId="0" fontId="51" fillId="0" borderId="0" xfId="37" applyFont="1" applyAlignment="1">
      <alignment horizontal="left" vertical="center" indent="1"/>
    </xf>
    <xf numFmtId="184" fontId="51" fillId="16" borderId="0" xfId="33" applyNumberFormat="1" applyFont="1">
      <alignment vertical="center"/>
    </xf>
    <xf numFmtId="203" fontId="51" fillId="0" borderId="1" xfId="40" applyFont="1" applyBorder="1">
      <alignment vertical="center"/>
    </xf>
    <xf numFmtId="203" fontId="51" fillId="18" borderId="0" xfId="67" applyNumberFormat="1" applyFont="1">
      <alignment vertical="center"/>
    </xf>
    <xf numFmtId="185" fontId="51" fillId="18" borderId="0" xfId="67" applyNumberFormat="1" applyFont="1">
      <alignment vertical="center"/>
    </xf>
    <xf numFmtId="202" fontId="54" fillId="19" borderId="0" xfId="52" applyNumberFormat="1" applyFont="1" applyFill="1">
      <alignment vertical="center"/>
    </xf>
    <xf numFmtId="196" fontId="51" fillId="18" borderId="0" xfId="67" applyNumberFormat="1" applyFont="1">
      <alignment vertical="center"/>
    </xf>
    <xf numFmtId="166" fontId="51" fillId="16" borderId="0" xfId="7" applyFont="1" applyFill="1">
      <alignment vertical="center"/>
    </xf>
    <xf numFmtId="215" fontId="51" fillId="0" borderId="6" xfId="40" applyNumberFormat="1" applyFont="1" applyBorder="1">
      <alignment vertical="center"/>
    </xf>
    <xf numFmtId="0" fontId="57" fillId="0" borderId="0" xfId="0" applyFont="1">
      <alignment vertical="center"/>
    </xf>
    <xf numFmtId="202" fontId="51" fillId="19" borderId="0" xfId="39" applyFont="1" applyFill="1">
      <alignment vertical="center"/>
    </xf>
    <xf numFmtId="203" fontId="58" fillId="19" borderId="0" xfId="41" applyNumberFormat="1" applyFont="1">
      <alignment vertical="center"/>
    </xf>
    <xf numFmtId="198" fontId="51" fillId="5" borderId="0" xfId="40" applyNumberFormat="1" applyFont="1" applyFill="1">
      <alignment vertical="center"/>
    </xf>
    <xf numFmtId="203" fontId="51" fillId="5" borderId="0" xfId="40" applyFont="1" applyFill="1">
      <alignment vertical="center"/>
    </xf>
    <xf numFmtId="202" fontId="51" fillId="5" borderId="0" xfId="39" applyFont="1" applyFill="1">
      <alignment vertical="center"/>
    </xf>
    <xf numFmtId="203" fontId="51" fillId="0" borderId="0" xfId="40" applyFont="1">
      <alignment vertical="center"/>
    </xf>
    <xf numFmtId="0" fontId="51" fillId="0" borderId="6" xfId="30" applyFont="1">
      <alignment vertical="center"/>
    </xf>
    <xf numFmtId="0" fontId="51" fillId="0" borderId="0" xfId="0" applyFont="1" applyAlignment="1">
      <alignment horizontal="left" vertical="center"/>
    </xf>
    <xf numFmtId="204" fontId="51" fillId="5" borderId="0" xfId="42" applyFont="1" applyFill="1" applyAlignment="1">
      <alignment vertical="center"/>
    </xf>
    <xf numFmtId="185" fontId="51" fillId="0" borderId="6" xfId="30" applyNumberFormat="1" applyFont="1">
      <alignment vertical="center"/>
    </xf>
    <xf numFmtId="185" fontId="51" fillId="0" borderId="1" xfId="39" applyNumberFormat="1" applyFont="1" applyBorder="1">
      <alignment vertical="center"/>
    </xf>
    <xf numFmtId="0" fontId="51" fillId="16" borderId="0" xfId="33" applyFont="1">
      <alignment vertical="center"/>
    </xf>
    <xf numFmtId="186" fontId="51" fillId="16" borderId="0" xfId="33" applyNumberFormat="1" applyFont="1" applyAlignment="1">
      <alignment vertical="center"/>
    </xf>
    <xf numFmtId="0" fontId="54" fillId="0" borderId="0" xfId="28" applyFont="1">
      <alignment vertical="center"/>
    </xf>
    <xf numFmtId="0" fontId="51" fillId="18" borderId="0" xfId="67" applyFont="1">
      <alignment vertical="center"/>
    </xf>
    <xf numFmtId="201" fontId="51" fillId="10" borderId="0" xfId="39" applyNumberFormat="1" applyFont="1" applyFill="1">
      <alignment vertical="center"/>
    </xf>
    <xf numFmtId="201" fontId="51" fillId="5" borderId="0" xfId="39" applyNumberFormat="1" applyFont="1" applyFill="1">
      <alignment vertical="center"/>
    </xf>
    <xf numFmtId="0" fontId="51" fillId="10" borderId="0" xfId="0" applyFont="1" applyFill="1">
      <alignment vertical="center"/>
    </xf>
    <xf numFmtId="202" fontId="51" fillId="0" borderId="3" xfId="39" applyFont="1" applyBorder="1" applyProtection="1">
      <alignment vertical="center"/>
      <protection locked="0"/>
    </xf>
    <xf numFmtId="201" fontId="51" fillId="18" borderId="0" xfId="67" applyNumberFormat="1" applyFont="1">
      <alignment vertical="center"/>
    </xf>
    <xf numFmtId="184" fontId="51" fillId="19" borderId="0" xfId="41" applyNumberFormat="1" applyFont="1">
      <alignment vertical="center"/>
    </xf>
    <xf numFmtId="0" fontId="54" fillId="0" borderId="0" xfId="28" applyFont="1" applyFill="1">
      <alignment vertical="center"/>
    </xf>
    <xf numFmtId="184" fontId="54" fillId="19" borderId="0" xfId="41" applyNumberFormat="1" applyFont="1">
      <alignment vertical="center"/>
    </xf>
    <xf numFmtId="202" fontId="51" fillId="10" borderId="0" xfId="39" applyFont="1" applyFill="1">
      <alignment vertical="center"/>
    </xf>
    <xf numFmtId="202" fontId="54" fillId="19" borderId="0" xfId="41" applyNumberFormat="1" applyFont="1">
      <alignment vertical="center"/>
    </xf>
    <xf numFmtId="184" fontId="52" fillId="12" borderId="0" xfId="3" applyNumberFormat="1" applyFont="1">
      <alignment horizontal="center" vertical="top" wrapText="1"/>
    </xf>
    <xf numFmtId="0" fontId="59" fillId="0" borderId="0" xfId="2" applyNumberFormat="1" applyFont="1">
      <alignment vertical="center"/>
    </xf>
    <xf numFmtId="202" fontId="59" fillId="0" borderId="0" xfId="2" applyNumberFormat="1" applyFont="1">
      <alignment vertical="center"/>
    </xf>
    <xf numFmtId="0" fontId="54" fillId="0" borderId="0" xfId="0" applyFont="1" applyAlignment="1">
      <alignment horizontal="right" vertical="center"/>
    </xf>
    <xf numFmtId="202" fontId="51" fillId="0" borderId="7" xfId="31" applyNumberFormat="1" applyFont="1">
      <alignment vertical="center"/>
      <protection locked="0"/>
    </xf>
    <xf numFmtId="0" fontId="56" fillId="0" borderId="0" xfId="0" applyFont="1">
      <alignment vertical="center"/>
    </xf>
    <xf numFmtId="183" fontId="59" fillId="0" borderId="0" xfId="2" applyNumberFormat="1" applyFont="1">
      <alignment vertical="center"/>
    </xf>
    <xf numFmtId="184" fontId="51" fillId="0" borderId="7" xfId="31" applyNumberFormat="1" applyFont="1" applyAlignment="1">
      <alignment vertical="center"/>
      <protection locked="0"/>
    </xf>
    <xf numFmtId="202" fontId="59" fillId="0" borderId="0" xfId="39" applyFont="1">
      <alignment vertical="center"/>
    </xf>
    <xf numFmtId="202" fontId="51" fillId="19" borderId="0" xfId="41" applyNumberFormat="1" applyFont="1">
      <alignment vertical="center"/>
    </xf>
    <xf numFmtId="204" fontId="51" fillId="18" borderId="0" xfId="67" applyNumberFormat="1" applyFont="1" applyAlignment="1">
      <alignment vertical="center"/>
    </xf>
    <xf numFmtId="204" fontId="51" fillId="16" borderId="0" xfId="33" applyNumberFormat="1" applyFont="1" applyAlignment="1">
      <alignment vertical="center"/>
    </xf>
    <xf numFmtId="204" fontId="51" fillId="0" borderId="6" xfId="30" applyNumberFormat="1" applyFont="1" applyAlignment="1">
      <alignment vertical="center"/>
    </xf>
    <xf numFmtId="204" fontId="51" fillId="0" borderId="0" xfId="1" applyNumberFormat="1" applyFont="1" applyAlignment="1">
      <alignment vertical="center"/>
    </xf>
    <xf numFmtId="0" fontId="53" fillId="0" borderId="0" xfId="68" applyFont="1" applyAlignment="1">
      <alignment vertical="center"/>
    </xf>
    <xf numFmtId="0" fontId="60" fillId="0" borderId="0" xfId="2" applyNumberFormat="1" applyFont="1">
      <alignment vertical="center"/>
    </xf>
    <xf numFmtId="0" fontId="59" fillId="0" borderId="0" xfId="2" applyNumberFormat="1" applyFont="1" applyFill="1">
      <alignment vertical="center"/>
    </xf>
    <xf numFmtId="0" fontId="51" fillId="0" borderId="0" xfId="0" applyFont="1" applyFill="1">
      <alignment vertical="center"/>
    </xf>
    <xf numFmtId="0" fontId="55" fillId="0" borderId="0" xfId="36" applyFont="1" applyFill="1">
      <alignment vertical="center"/>
    </xf>
    <xf numFmtId="184" fontId="51" fillId="0" borderId="0" xfId="1" applyNumberFormat="1" applyFont="1">
      <alignment vertical="center"/>
    </xf>
    <xf numFmtId="0" fontId="58" fillId="0" borderId="0" xfId="0" applyFont="1">
      <alignment vertical="center"/>
    </xf>
    <xf numFmtId="184" fontId="51" fillId="0" borderId="8" xfId="35" applyNumberFormat="1" applyFont="1">
      <alignment vertical="center"/>
      <protection locked="0"/>
    </xf>
    <xf numFmtId="0" fontId="51" fillId="0" borderId="0" xfId="37" applyFont="1" applyAlignment="1">
      <alignment horizontal="left" vertical="center"/>
    </xf>
    <xf numFmtId="202" fontId="51" fillId="0" borderId="8" xfId="39" applyFont="1" applyBorder="1" applyAlignment="1" applyProtection="1">
      <alignment vertical="center"/>
      <protection locked="0"/>
    </xf>
    <xf numFmtId="205" fontId="51" fillId="0" borderId="8" xfId="42" applyNumberFormat="1" applyFont="1" applyBorder="1" applyAlignment="1" applyProtection="1">
      <alignment vertical="center"/>
      <protection locked="0"/>
    </xf>
    <xf numFmtId="202" fontId="51" fillId="0" borderId="6" xfId="30" applyNumberFormat="1" applyFont="1" applyAlignment="1">
      <alignment vertical="center"/>
    </xf>
    <xf numFmtId="202" fontId="51" fillId="11" borderId="8" xfId="39" applyFont="1" applyFill="1" applyBorder="1" applyAlignment="1" applyProtection="1">
      <alignment vertical="center"/>
      <protection locked="0"/>
    </xf>
    <xf numFmtId="202" fontId="51" fillId="0" borderId="8" xfId="39" applyNumberFormat="1" applyFont="1" applyBorder="1" applyAlignment="1" applyProtection="1">
      <alignment vertical="center"/>
      <protection locked="0"/>
    </xf>
    <xf numFmtId="202" fontId="51" fillId="0" borderId="6" xfId="39" applyNumberFormat="1" applyFont="1" applyBorder="1">
      <alignment vertical="center"/>
    </xf>
    <xf numFmtId="0" fontId="54" fillId="0" borderId="0" xfId="37" applyFont="1" applyAlignment="1">
      <alignment horizontal="left" vertical="center"/>
    </xf>
    <xf numFmtId="214" fontId="51" fillId="0" borderId="8" xfId="39" applyNumberFormat="1" applyFont="1" applyBorder="1" applyAlignment="1" applyProtection="1">
      <alignment vertical="center"/>
      <protection locked="0"/>
    </xf>
    <xf numFmtId="214" fontId="51" fillId="0" borderId="6" xfId="30" applyNumberFormat="1" applyFont="1">
      <alignment vertical="center"/>
    </xf>
    <xf numFmtId="214" fontId="51" fillId="0" borderId="8" xfId="39" applyNumberFormat="1" applyFont="1" applyBorder="1" applyProtection="1">
      <alignment vertical="center"/>
      <protection locked="0"/>
    </xf>
    <xf numFmtId="204" fontId="51" fillId="0" borderId="8" xfId="35" applyNumberFormat="1" applyFont="1" applyAlignment="1">
      <alignment vertical="center"/>
      <protection locked="0"/>
    </xf>
    <xf numFmtId="220" fontId="51" fillId="19" borderId="0" xfId="39" applyNumberFormat="1" applyFont="1" applyFill="1">
      <alignment vertical="center"/>
    </xf>
    <xf numFmtId="202" fontId="5" fillId="11" borderId="7" xfId="31" applyNumberFormat="1" applyFill="1">
      <alignment vertical="center"/>
      <protection locked="0"/>
    </xf>
    <xf numFmtId="186" fontId="5" fillId="17" borderId="0" xfId="34" applyNumberFormat="1" applyAlignment="1">
      <alignment vertical="center"/>
    </xf>
    <xf numFmtId="0" fontId="61" fillId="0" borderId="0" xfId="24" applyFont="1" applyFill="1" applyBorder="1">
      <alignment vertical="center"/>
    </xf>
    <xf numFmtId="0" fontId="61" fillId="0" borderId="0" xfId="24" applyFont="1" applyFill="1">
      <alignment vertical="center"/>
    </xf>
    <xf numFmtId="0" fontId="62" fillId="0" borderId="0" xfId="37" applyFont="1">
      <alignment vertical="center"/>
    </xf>
    <xf numFmtId="0" fontId="62" fillId="0" borderId="0" xfId="0" applyFont="1">
      <alignment vertical="center"/>
    </xf>
    <xf numFmtId="202" fontId="62" fillId="0" borderId="3" xfId="39" applyFont="1" applyBorder="1" applyProtection="1">
      <alignment vertical="center"/>
      <protection locked="0"/>
    </xf>
    <xf numFmtId="0" fontId="63" fillId="12" borderId="0" xfId="3" applyFont="1">
      <alignment horizontal="center" vertical="top" wrapText="1"/>
    </xf>
    <xf numFmtId="0" fontId="64" fillId="0" borderId="0" xfId="2" applyNumberFormat="1" applyFont="1">
      <alignment vertical="center"/>
    </xf>
    <xf numFmtId="0" fontId="65" fillId="0" borderId="0" xfId="36" applyFont="1">
      <alignment vertical="center"/>
    </xf>
    <xf numFmtId="0" fontId="66" fillId="0" borderId="0" xfId="24" applyFont="1" applyFill="1" applyBorder="1">
      <alignment vertical="center"/>
    </xf>
    <xf numFmtId="0" fontId="66" fillId="0" borderId="0" xfId="24" applyFont="1" applyFill="1">
      <alignment vertical="center"/>
    </xf>
    <xf numFmtId="0" fontId="67" fillId="0" borderId="0" xfId="0" applyFont="1">
      <alignment vertical="center"/>
    </xf>
    <xf numFmtId="0" fontId="67" fillId="0" borderId="8" xfId="35" applyFont="1">
      <alignment vertical="center"/>
      <protection locked="0"/>
    </xf>
    <xf numFmtId="0" fontId="67" fillId="0" borderId="7" xfId="31" applyFont="1">
      <alignment vertical="center"/>
      <protection locked="0"/>
    </xf>
    <xf numFmtId="0" fontId="68" fillId="0" borderId="0" xfId="26" applyFont="1" applyAlignment="1">
      <alignment horizontal="left" vertical="top"/>
    </xf>
    <xf numFmtId="0" fontId="68" fillId="0" borderId="0" xfId="26" applyFont="1">
      <alignment vertical="center"/>
    </xf>
    <xf numFmtId="0" fontId="69" fillId="0" borderId="0" xfId="37" applyFont="1">
      <alignment vertical="center"/>
    </xf>
    <xf numFmtId="0" fontId="70" fillId="12" borderId="0" xfId="3" applyFont="1">
      <alignment horizontal="center" vertical="top" wrapText="1"/>
    </xf>
    <xf numFmtId="187" fontId="67" fillId="0" borderId="6" xfId="30" applyNumberFormat="1" applyFont="1">
      <alignment vertical="center"/>
    </xf>
    <xf numFmtId="202" fontId="67" fillId="15" borderId="7" xfId="32" applyNumberFormat="1" applyFont="1">
      <alignment vertical="center"/>
      <protection locked="0"/>
    </xf>
    <xf numFmtId="187" fontId="67" fillId="15" borderId="7" xfId="32" applyNumberFormat="1" applyFont="1" applyAlignment="1">
      <alignment vertical="center"/>
      <protection locked="0"/>
    </xf>
    <xf numFmtId="205" fontId="67" fillId="15" borderId="7" xfId="32" applyNumberFormat="1" applyFont="1">
      <alignment vertical="center"/>
      <protection locked="0"/>
    </xf>
    <xf numFmtId="187" fontId="67" fillId="16" borderId="0" xfId="33" applyNumberFormat="1" applyFont="1" applyAlignment="1">
      <alignment vertical="center"/>
    </xf>
    <xf numFmtId="0" fontId="67" fillId="11" borderId="8" xfId="35" applyFont="1" applyFill="1">
      <alignment vertical="center"/>
      <protection locked="0"/>
    </xf>
    <xf numFmtId="0" fontId="71" fillId="0" borderId="0" xfId="36" applyFont="1">
      <alignment vertical="center"/>
    </xf>
    <xf numFmtId="0" fontId="67" fillId="18" borderId="0" xfId="67" applyFont="1">
      <alignment vertical="center"/>
    </xf>
    <xf numFmtId="202" fontId="72" fillId="0" borderId="0" xfId="39" applyFont="1">
      <alignment vertical="center"/>
    </xf>
    <xf numFmtId="184" fontId="67" fillId="0" borderId="7" xfId="31" applyNumberFormat="1" applyFont="1">
      <alignment vertical="center"/>
      <protection locked="0"/>
    </xf>
    <xf numFmtId="204" fontId="67" fillId="0" borderId="0" xfId="42" applyFont="1" applyAlignment="1">
      <alignment vertical="center"/>
    </xf>
    <xf numFmtId="184" fontId="67" fillId="0" borderId="6" xfId="30" applyNumberFormat="1" applyFont="1">
      <alignment vertical="center"/>
    </xf>
    <xf numFmtId="202" fontId="67" fillId="0" borderId="0" xfId="1" applyNumberFormat="1" applyFont="1" applyAlignment="1">
      <alignment vertical="center"/>
    </xf>
    <xf numFmtId="204" fontId="67" fillId="0" borderId="7" xfId="31" applyNumberFormat="1" applyFont="1" applyAlignment="1">
      <alignment vertical="center"/>
      <protection locked="0"/>
    </xf>
    <xf numFmtId="202" fontId="67" fillId="0" borderId="7" xfId="31" applyNumberFormat="1" applyFont="1">
      <alignment vertical="center"/>
      <protection locked="0"/>
    </xf>
    <xf numFmtId="202" fontId="67" fillId="17" borderId="0" xfId="34" applyNumberFormat="1" applyFont="1">
      <alignment vertical="center"/>
    </xf>
    <xf numFmtId="202" fontId="67" fillId="16" borderId="0" xfId="33" applyNumberFormat="1" applyFont="1">
      <alignment vertical="center"/>
    </xf>
    <xf numFmtId="184" fontId="72" fillId="0" borderId="0" xfId="2" applyNumberFormat="1" applyFont="1">
      <alignment vertical="center"/>
    </xf>
    <xf numFmtId="184" fontId="67" fillId="16" borderId="0" xfId="33" applyNumberFormat="1" applyFont="1">
      <alignment vertical="center"/>
    </xf>
    <xf numFmtId="204" fontId="67" fillId="16" borderId="0" xfId="33" applyNumberFormat="1" applyFont="1" applyAlignment="1">
      <alignment vertical="center"/>
    </xf>
    <xf numFmtId="202" fontId="67" fillId="18" borderId="0" xfId="67" applyNumberFormat="1" applyFont="1">
      <alignment vertical="center"/>
    </xf>
    <xf numFmtId="184" fontId="67" fillId="15" borderId="7" xfId="32" applyNumberFormat="1" applyFont="1">
      <alignment vertical="center"/>
      <protection locked="0"/>
    </xf>
    <xf numFmtId="184" fontId="67" fillId="18" borderId="0" xfId="67" applyNumberFormat="1" applyFont="1">
      <alignment vertical="center"/>
    </xf>
    <xf numFmtId="184" fontId="67" fillId="17" borderId="0" xfId="34" applyNumberFormat="1" applyFont="1">
      <alignment vertical="center"/>
    </xf>
    <xf numFmtId="0" fontId="67" fillId="0" borderId="7" xfId="31" applyFont="1" applyFill="1">
      <alignment vertical="center"/>
      <protection locked="0"/>
    </xf>
    <xf numFmtId="0" fontId="67" fillId="18" borderId="0" xfId="67" applyFont="1" applyAlignment="1">
      <alignment vertical="center"/>
    </xf>
    <xf numFmtId="0" fontId="67" fillId="22" borderId="7" xfId="31" applyFont="1" applyFill="1">
      <alignment vertical="center"/>
      <protection locked="0"/>
    </xf>
    <xf numFmtId="0" fontId="73" fillId="0" borderId="0" xfId="0" applyFont="1">
      <alignment vertical="center"/>
    </xf>
    <xf numFmtId="202" fontId="71" fillId="0" borderId="0" xfId="36" applyNumberFormat="1" applyFont="1">
      <alignment vertical="center"/>
    </xf>
    <xf numFmtId="0" fontId="67" fillId="0" borderId="0" xfId="0" applyFont="1" applyAlignment="1">
      <alignment vertical="center"/>
    </xf>
    <xf numFmtId="197" fontId="67" fillId="0" borderId="6" xfId="30" applyNumberFormat="1" applyFont="1">
      <alignment vertical="center"/>
    </xf>
    <xf numFmtId="185" fontId="71" fillId="0" borderId="0" xfId="36" applyNumberFormat="1" applyFont="1">
      <alignment vertical="center"/>
    </xf>
    <xf numFmtId="0" fontId="67" fillId="22" borderId="0" xfId="0" applyFont="1" applyFill="1">
      <alignment vertical="center"/>
    </xf>
    <xf numFmtId="0" fontId="73" fillId="22" borderId="0" xfId="0" applyFont="1" applyFill="1">
      <alignment vertical="center"/>
    </xf>
    <xf numFmtId="10" fontId="67" fillId="0" borderId="7" xfId="31" applyNumberFormat="1" applyFont="1">
      <alignment vertical="center"/>
      <protection locked="0"/>
    </xf>
    <xf numFmtId="10" fontId="73" fillId="19" borderId="0" xfId="41" applyNumberFormat="1" applyFont="1">
      <alignment vertical="center"/>
    </xf>
    <xf numFmtId="0" fontId="67" fillId="11" borderId="0" xfId="67" applyFont="1" applyFill="1" applyAlignment="1">
      <alignment vertical="center"/>
    </xf>
    <xf numFmtId="202" fontId="62" fillId="5" borderId="0" xfId="39" applyFont="1" applyFill="1">
      <alignment vertical="center"/>
    </xf>
    <xf numFmtId="0" fontId="62" fillId="0" borderId="0" xfId="37" applyFont="1" applyAlignment="1">
      <alignment horizontal="left" vertical="center"/>
    </xf>
    <xf numFmtId="205" fontId="5" fillId="0" borderId="0" xfId="43">
      <alignment vertical="center"/>
    </xf>
    <xf numFmtId="0" fontId="13" fillId="0" borderId="0" xfId="28" applyFont="1" applyAlignment="1">
      <alignment vertical="center"/>
    </xf>
    <xf numFmtId="0" fontId="11" fillId="10" borderId="0" xfId="27" applyFill="1" applyAlignment="1">
      <alignment horizontal="left" vertical="center"/>
    </xf>
    <xf numFmtId="202" fontId="74" fillId="19" borderId="18" xfId="39" applyFont="1" applyFill="1" applyBorder="1" applyAlignment="1"/>
    <xf numFmtId="202" fontId="74" fillId="0" borderId="13" xfId="39" applyFont="1" applyBorder="1" applyAlignment="1"/>
    <xf numFmtId="0" fontId="8" fillId="24" borderId="0" xfId="92" applyFont="1" applyFill="1" applyAlignment="1">
      <alignment horizontal="left" vertical="center" indent="1"/>
    </xf>
    <xf numFmtId="0" fontId="27" fillId="0" borderId="0" xfId="0" applyFont="1" applyFill="1" applyBorder="1" applyAlignment="1"/>
    <xf numFmtId="0" fontId="27" fillId="0" borderId="0" xfId="92" applyFont="1" applyBorder="1" applyAlignment="1">
      <alignment vertical="center"/>
    </xf>
    <xf numFmtId="0" fontId="0" fillId="0" borderId="13" xfId="0" applyBorder="1">
      <alignment vertical="center"/>
    </xf>
    <xf numFmtId="202" fontId="75" fillId="19" borderId="18" xfId="39" applyFont="1" applyFill="1" applyBorder="1" applyAlignment="1"/>
    <xf numFmtId="0" fontId="74" fillId="0" borderId="0" xfId="0" applyFont="1" applyFill="1" applyBorder="1" applyAlignment="1">
      <alignment horizontal="left" indent="2"/>
    </xf>
    <xf numFmtId="202" fontId="5" fillId="19" borderId="14" xfId="41" applyNumberFormat="1" applyBorder="1">
      <alignment vertical="center"/>
    </xf>
    <xf numFmtId="0" fontId="24" fillId="0" borderId="0" xfId="36" applyAlignment="1"/>
    <xf numFmtId="0" fontId="77" fillId="0" borderId="0" xfId="24" applyFont="1" applyFill="1" applyBorder="1">
      <alignment vertical="center"/>
    </xf>
    <xf numFmtId="0" fontId="77" fillId="0" borderId="0" xfId="24" applyFont="1" applyFill="1">
      <alignment vertical="center"/>
    </xf>
    <xf numFmtId="0" fontId="78" fillId="0" borderId="0" xfId="0" applyFont="1">
      <alignment vertical="center"/>
    </xf>
    <xf numFmtId="0" fontId="78" fillId="0" borderId="0" xfId="37" applyFont="1">
      <alignment vertical="center"/>
    </xf>
    <xf numFmtId="183" fontId="79" fillId="0" borderId="0" xfId="2" applyNumberFormat="1" applyFont="1">
      <alignment vertical="center"/>
    </xf>
    <xf numFmtId="0" fontId="80" fillId="0" borderId="0" xfId="36" applyFont="1">
      <alignment vertical="center"/>
    </xf>
    <xf numFmtId="0" fontId="81" fillId="12" borderId="0" xfId="3" applyFont="1">
      <alignment horizontal="center" vertical="top" wrapText="1"/>
    </xf>
    <xf numFmtId="0" fontId="82" fillId="0" borderId="0" xfId="28" applyFont="1">
      <alignment vertical="center"/>
    </xf>
    <xf numFmtId="0" fontId="83" fillId="0" borderId="0" xfId="0" applyFont="1">
      <alignment vertical="center"/>
    </xf>
    <xf numFmtId="0" fontId="84" fillId="8" borderId="4" xfId="26" applyFont="1" applyFill="1" applyBorder="1" applyAlignment="1">
      <alignment horizontal="left" vertical="top"/>
    </xf>
    <xf numFmtId="0" fontId="84" fillId="8" borderId="4" xfId="26" applyFont="1" applyFill="1" applyBorder="1">
      <alignment vertical="center"/>
    </xf>
    <xf numFmtId="0" fontId="82" fillId="0" borderId="5" xfId="35" applyFont="1" applyBorder="1" applyAlignment="1">
      <alignment vertical="center" wrapText="1"/>
      <protection locked="0"/>
    </xf>
    <xf numFmtId="166" fontId="78" fillId="0" borderId="0" xfId="7" applyFont="1">
      <alignment vertical="center"/>
    </xf>
    <xf numFmtId="0" fontId="82" fillId="0" borderId="0" xfId="0" applyFont="1">
      <alignment vertical="center"/>
    </xf>
    <xf numFmtId="200" fontId="78" fillId="19" borderId="0" xfId="41" applyNumberFormat="1" applyFont="1">
      <alignment vertical="center"/>
    </xf>
    <xf numFmtId="205" fontId="78" fillId="0" borderId="3" xfId="43" applyFont="1" applyBorder="1" applyProtection="1">
      <alignment vertical="center"/>
      <protection locked="0"/>
    </xf>
    <xf numFmtId="205" fontId="78" fillId="16" borderId="0" xfId="33" applyNumberFormat="1" applyFont="1">
      <alignment vertical="center"/>
    </xf>
    <xf numFmtId="0" fontId="80" fillId="0" borderId="0" xfId="36" applyFont="1" applyFill="1" applyBorder="1">
      <alignment vertical="center"/>
    </xf>
    <xf numFmtId="0" fontId="78" fillId="0" borderId="0" xfId="0" applyFont="1" applyAlignment="1">
      <alignment horizontal="left" vertical="center" indent="1"/>
    </xf>
    <xf numFmtId="187" fontId="78" fillId="0" borderId="6" xfId="30" applyNumberFormat="1" applyFont="1" applyAlignment="1">
      <alignment vertical="center"/>
    </xf>
    <xf numFmtId="0" fontId="78" fillId="0" borderId="0" xfId="0" applyFont="1" applyAlignment="1">
      <alignment horizontal="left" vertical="center" indent="2"/>
    </xf>
    <xf numFmtId="202" fontId="78" fillId="15" borderId="7" xfId="32" applyNumberFormat="1" applyFont="1" applyAlignment="1">
      <alignment vertical="center"/>
      <protection locked="0"/>
    </xf>
    <xf numFmtId="184" fontId="78" fillId="16" borderId="0" xfId="33" applyNumberFormat="1" applyFont="1" applyAlignment="1">
      <alignment vertical="center"/>
    </xf>
    <xf numFmtId="187" fontId="78" fillId="15" borderId="7" xfId="32" applyNumberFormat="1" applyFont="1" applyAlignment="1">
      <alignment vertical="center"/>
      <protection locked="0"/>
    </xf>
    <xf numFmtId="187" fontId="78" fillId="16" borderId="0" xfId="33" applyNumberFormat="1" applyFont="1" applyAlignment="1">
      <alignment vertical="center"/>
    </xf>
    <xf numFmtId="202" fontId="78" fillId="0" borderId="0" xfId="39" applyFont="1">
      <alignment vertical="center"/>
    </xf>
    <xf numFmtId="0" fontId="78" fillId="0" borderId="8" xfId="35" applyFont="1">
      <alignment vertical="center"/>
      <protection locked="0"/>
    </xf>
    <xf numFmtId="0" fontId="78" fillId="16" borderId="0" xfId="33" applyFont="1">
      <alignment vertical="center"/>
    </xf>
    <xf numFmtId="0" fontId="82" fillId="0" borderId="0" xfId="37" applyFont="1">
      <alignment vertical="center"/>
    </xf>
    <xf numFmtId="0" fontId="78" fillId="19" borderId="0" xfId="41" applyFont="1">
      <alignment vertical="center"/>
    </xf>
    <xf numFmtId="0" fontId="78" fillId="0" borderId="0" xfId="38" applyFont="1">
      <alignment vertical="center"/>
    </xf>
    <xf numFmtId="204" fontId="78" fillId="19" borderId="0" xfId="41" applyNumberFormat="1" applyFont="1" applyAlignment="1">
      <alignment vertical="center"/>
    </xf>
    <xf numFmtId="204" fontId="78" fillId="0" borderId="3" xfId="42" applyFont="1" applyBorder="1" applyAlignment="1" applyProtection="1">
      <alignment vertical="center"/>
      <protection locked="0"/>
    </xf>
    <xf numFmtId="0" fontId="85" fillId="0" borderId="0" xfId="37" applyFont="1">
      <alignment vertical="center"/>
    </xf>
    <xf numFmtId="202" fontId="78" fillId="19" borderId="0" xfId="41" applyNumberFormat="1" applyFont="1">
      <alignment vertical="center"/>
    </xf>
    <xf numFmtId="202" fontId="78" fillId="0" borderId="3" xfId="39" applyFont="1" applyBorder="1" applyAlignment="1" applyProtection="1">
      <alignment vertical="center"/>
      <protection locked="0"/>
    </xf>
    <xf numFmtId="187" fontId="78" fillId="19" borderId="0" xfId="41" applyNumberFormat="1" applyFont="1">
      <alignment vertical="center"/>
    </xf>
    <xf numFmtId="203" fontId="78" fillId="19" borderId="0" xfId="41" applyNumberFormat="1" applyFont="1" applyBorder="1">
      <alignment vertical="center"/>
    </xf>
    <xf numFmtId="203" fontId="78" fillId="0" borderId="3" xfId="40" applyFont="1" applyBorder="1" applyProtection="1">
      <alignment vertical="center"/>
      <protection locked="0"/>
    </xf>
    <xf numFmtId="184" fontId="78" fillId="0" borderId="0" xfId="37" applyNumberFormat="1" applyFont="1">
      <alignment vertical="center"/>
    </xf>
    <xf numFmtId="184" fontId="80" fillId="0" borderId="0" xfId="36" applyNumberFormat="1" applyFont="1">
      <alignment vertical="center"/>
    </xf>
    <xf numFmtId="0" fontId="78" fillId="18" borderId="0" xfId="67" applyFont="1">
      <alignment vertical="center"/>
    </xf>
    <xf numFmtId="202" fontId="78" fillId="0" borderId="3" xfId="39" applyFont="1" applyBorder="1" applyProtection="1">
      <alignment vertical="center"/>
      <protection locked="0"/>
    </xf>
    <xf numFmtId="0" fontId="83" fillId="0" borderId="0" xfId="37" applyFont="1">
      <alignment vertical="center"/>
    </xf>
    <xf numFmtId="184" fontId="78" fillId="0" borderId="3" xfId="39" applyNumberFormat="1" applyFont="1" applyBorder="1" applyAlignment="1" applyProtection="1">
      <alignment vertical="center"/>
      <protection locked="0"/>
    </xf>
    <xf numFmtId="202" fontId="78" fillId="19" borderId="0" xfId="41" applyNumberFormat="1" applyFont="1" applyBorder="1">
      <alignment vertical="center"/>
    </xf>
    <xf numFmtId="202" fontId="78" fillId="16" borderId="0" xfId="33" applyNumberFormat="1" applyFont="1">
      <alignment vertical="center"/>
    </xf>
    <xf numFmtId="0" fontId="78" fillId="0" borderId="0" xfId="37" applyFont="1" applyAlignment="1">
      <alignment horizontal="left" vertical="center" indent="1"/>
    </xf>
    <xf numFmtId="202" fontId="78" fillId="0" borderId="8" xfId="35" applyNumberFormat="1" applyFont="1">
      <alignment vertical="center"/>
      <protection locked="0"/>
    </xf>
    <xf numFmtId="0" fontId="80" fillId="0" borderId="0" xfId="36" applyFont="1" applyBorder="1">
      <alignment vertical="center"/>
    </xf>
    <xf numFmtId="205" fontId="78" fillId="19" borderId="0" xfId="41" applyNumberFormat="1" applyFont="1" applyBorder="1">
      <alignment vertical="center"/>
    </xf>
    <xf numFmtId="204" fontId="78" fillId="16" borderId="0" xfId="42" applyFont="1" applyFill="1" applyAlignment="1">
      <alignment vertical="center"/>
    </xf>
    <xf numFmtId="205" fontId="78" fillId="16" borderId="0" xfId="33" applyNumberFormat="1" applyFont="1" applyAlignment="1">
      <alignment vertical="center"/>
    </xf>
    <xf numFmtId="203" fontId="78" fillId="19" borderId="0" xfId="39" applyNumberFormat="1" applyFont="1" applyFill="1" applyBorder="1">
      <alignment vertical="center"/>
    </xf>
    <xf numFmtId="202" fontId="78" fillId="19" borderId="0" xfId="39" applyNumberFormat="1" applyFont="1" applyFill="1" applyBorder="1">
      <alignment vertical="center"/>
    </xf>
    <xf numFmtId="204" fontId="78" fillId="19" borderId="0" xfId="42" applyFont="1" applyFill="1" applyBorder="1" applyAlignment="1">
      <alignment vertical="center"/>
    </xf>
    <xf numFmtId="204" fontId="78" fillId="16" borderId="0" xfId="33" applyNumberFormat="1" applyFont="1" applyAlignment="1">
      <alignment vertical="center"/>
    </xf>
    <xf numFmtId="213" fontId="78" fillId="19" borderId="0" xfId="42" applyNumberFormat="1" applyFont="1" applyFill="1" applyBorder="1" applyAlignment="1">
      <alignment vertical="center"/>
    </xf>
    <xf numFmtId="213" fontId="78" fillId="16" borderId="0" xfId="33" applyNumberFormat="1" applyFont="1" applyAlignment="1">
      <alignment vertical="center"/>
    </xf>
    <xf numFmtId="213" fontId="78" fillId="0" borderId="0" xfId="37" applyNumberFormat="1" applyFont="1">
      <alignment vertical="center"/>
    </xf>
    <xf numFmtId="202" fontId="78" fillId="19" borderId="0" xfId="39" applyFont="1" applyFill="1" applyBorder="1" applyAlignment="1">
      <alignment vertical="center"/>
    </xf>
    <xf numFmtId="202" fontId="78" fillId="16" borderId="0" xfId="39" applyFont="1" applyFill="1" applyAlignment="1">
      <alignment vertical="center"/>
    </xf>
    <xf numFmtId="202" fontId="78" fillId="16" borderId="0" xfId="39" applyFont="1" applyFill="1">
      <alignment vertical="center"/>
    </xf>
    <xf numFmtId="202" fontId="78" fillId="5" borderId="0" xfId="39" applyFont="1" applyFill="1">
      <alignment vertical="center"/>
    </xf>
    <xf numFmtId="204" fontId="78" fillId="16" borderId="0" xfId="42" applyFont="1" applyFill="1" applyAlignment="1" applyProtection="1">
      <alignment vertical="center"/>
      <protection locked="0"/>
    </xf>
    <xf numFmtId="9" fontId="78" fillId="0" borderId="0" xfId="60" applyFont="1" applyAlignment="1">
      <alignment vertical="center"/>
    </xf>
    <xf numFmtId="9" fontId="78" fillId="19" borderId="0" xfId="41" applyNumberFormat="1" applyFont="1" applyBorder="1" applyAlignment="1">
      <alignment vertical="center"/>
    </xf>
    <xf numFmtId="202" fontId="78" fillId="19" borderId="0" xfId="41" applyNumberFormat="1" applyFont="1" applyBorder="1" applyAlignment="1">
      <alignment vertical="center"/>
    </xf>
    <xf numFmtId="202" fontId="80" fillId="0" borderId="0" xfId="36" applyNumberFormat="1" applyFont="1">
      <alignment vertical="center"/>
    </xf>
    <xf numFmtId="205" fontId="78" fillId="19" borderId="0" xfId="43" applyFont="1" applyFill="1">
      <alignment vertical="center"/>
    </xf>
    <xf numFmtId="213" fontId="78" fillId="16" borderId="0" xfId="43" applyNumberFormat="1" applyFont="1" applyFill="1" applyAlignment="1">
      <alignment vertical="center"/>
    </xf>
    <xf numFmtId="202" fontId="78" fillId="18" borderId="0" xfId="39" applyFont="1" applyFill="1">
      <alignment vertical="center"/>
    </xf>
    <xf numFmtId="202" fontId="78" fillId="18" borderId="0" xfId="67" applyNumberFormat="1" applyFont="1">
      <alignment vertical="center"/>
    </xf>
    <xf numFmtId="213" fontId="78" fillId="0" borderId="7" xfId="43" applyNumberFormat="1" applyFont="1" applyBorder="1" applyProtection="1">
      <alignment vertical="center"/>
      <protection locked="0"/>
    </xf>
    <xf numFmtId="205" fontId="78" fillId="0" borderId="6" xfId="43" applyFont="1" applyBorder="1">
      <alignment vertical="center"/>
    </xf>
    <xf numFmtId="213" fontId="78" fillId="11" borderId="7" xfId="43" applyNumberFormat="1" applyFont="1" applyFill="1" applyBorder="1" applyProtection="1">
      <alignment vertical="center"/>
      <protection locked="0"/>
    </xf>
    <xf numFmtId="205" fontId="78" fillId="0" borderId="7" xfId="31" applyNumberFormat="1" applyFont="1">
      <alignment vertical="center"/>
      <protection locked="0"/>
    </xf>
    <xf numFmtId="215" fontId="78" fillId="0" borderId="7" xfId="39" applyNumberFormat="1" applyFont="1" applyBorder="1" applyProtection="1">
      <alignment vertical="center"/>
      <protection locked="0"/>
    </xf>
    <xf numFmtId="215" fontId="78" fillId="16" borderId="0" xfId="33" applyNumberFormat="1" applyFont="1">
      <alignment vertical="center"/>
    </xf>
    <xf numFmtId="0" fontId="82" fillId="0" borderId="0" xfId="37" applyFont="1" applyAlignment="1">
      <alignment horizontal="left" vertical="center" indent="1"/>
    </xf>
    <xf numFmtId="213" fontId="78" fillId="0" borderId="7" xfId="31" applyNumberFormat="1" applyFont="1" applyAlignment="1">
      <alignment vertical="center"/>
      <protection locked="0"/>
    </xf>
    <xf numFmtId="213" fontId="78" fillId="0" borderId="7" xfId="42" applyNumberFormat="1" applyFont="1" applyBorder="1" applyAlignment="1" applyProtection="1">
      <alignment vertical="center"/>
      <protection locked="0"/>
    </xf>
    <xf numFmtId="213" fontId="78" fillId="0" borderId="7" xfId="43" applyNumberFormat="1" applyFont="1" applyBorder="1" applyAlignment="1" applyProtection="1">
      <alignment vertical="center"/>
      <protection locked="0"/>
    </xf>
    <xf numFmtId="202" fontId="78" fillId="0" borderId="7" xfId="31" applyNumberFormat="1" applyFont="1" applyAlignment="1">
      <alignment vertical="center"/>
      <protection locked="0"/>
    </xf>
    <xf numFmtId="202" fontId="78" fillId="0" borderId="7" xfId="39" applyFont="1" applyBorder="1" applyAlignment="1" applyProtection="1">
      <alignment vertical="center"/>
      <protection locked="0"/>
    </xf>
    <xf numFmtId="204" fontId="78" fillId="0" borderId="7" xfId="31" applyNumberFormat="1" applyFont="1" applyAlignment="1">
      <alignment vertical="center"/>
      <protection locked="0"/>
    </xf>
    <xf numFmtId="204" fontId="78" fillId="0" borderId="7" xfId="42" applyFont="1" applyBorder="1" applyAlignment="1" applyProtection="1">
      <alignment vertical="center"/>
      <protection locked="0"/>
    </xf>
    <xf numFmtId="9" fontId="78" fillId="0" borderId="6" xfId="30" applyNumberFormat="1" applyFont="1" applyAlignment="1">
      <alignment vertical="center"/>
    </xf>
    <xf numFmtId="205" fontId="78" fillId="0" borderId="7" xfId="43" applyFont="1" applyBorder="1" applyProtection="1">
      <alignment vertical="center"/>
      <protection locked="0"/>
    </xf>
    <xf numFmtId="204" fontId="78" fillId="0" borderId="7" xfId="43" applyNumberFormat="1" applyFont="1" applyBorder="1" applyProtection="1">
      <alignment vertical="center"/>
      <protection locked="0"/>
    </xf>
    <xf numFmtId="204" fontId="78" fillId="0" borderId="6" xfId="30" applyNumberFormat="1" applyFont="1">
      <alignment vertical="center"/>
    </xf>
    <xf numFmtId="0" fontId="78" fillId="0" borderId="6" xfId="30" applyFont="1">
      <alignment vertical="center"/>
    </xf>
    <xf numFmtId="203" fontId="78" fillId="15" borderId="7" xfId="40" applyFont="1" applyFill="1" applyBorder="1" applyProtection="1">
      <alignment vertical="center"/>
      <protection locked="0"/>
    </xf>
    <xf numFmtId="203" fontId="78" fillId="0" borderId="7" xfId="39" applyNumberFormat="1" applyFont="1" applyBorder="1" applyProtection="1">
      <alignment vertical="center"/>
      <protection locked="0"/>
    </xf>
    <xf numFmtId="202" fontId="78" fillId="0" borderId="7" xfId="39" applyFont="1" applyBorder="1" applyProtection="1">
      <alignment vertical="center"/>
      <protection locked="0"/>
    </xf>
    <xf numFmtId="9" fontId="78" fillId="15" borderId="7" xfId="32" applyNumberFormat="1" applyFont="1" applyAlignment="1">
      <alignment vertical="center"/>
      <protection locked="0"/>
    </xf>
    <xf numFmtId="202" fontId="78" fillId="15" borderId="7" xfId="39" applyFont="1" applyFill="1" applyBorder="1" applyAlignment="1" applyProtection="1">
      <alignment vertical="center"/>
      <protection locked="0"/>
    </xf>
    <xf numFmtId="203" fontId="78" fillId="15" borderId="7" xfId="32" applyNumberFormat="1" applyFont="1" applyAlignment="1">
      <alignment vertical="center"/>
      <protection locked="0"/>
    </xf>
    <xf numFmtId="203" fontId="78" fillId="0" borderId="7" xfId="31" applyNumberFormat="1" applyFont="1" applyAlignment="1">
      <alignment vertical="center"/>
      <protection locked="0"/>
    </xf>
    <xf numFmtId="202" fontId="78" fillId="0" borderId="7" xfId="31" applyNumberFormat="1" applyFont="1">
      <alignment vertical="center"/>
      <protection locked="0"/>
    </xf>
    <xf numFmtId="0" fontId="67" fillId="0" borderId="0" xfId="0" applyFont="1" applyAlignment="1">
      <alignment vertical="top"/>
    </xf>
    <xf numFmtId="202" fontId="62" fillId="0" borderId="0" xfId="37" applyNumberFormat="1" applyFont="1">
      <alignment vertical="center"/>
    </xf>
    <xf numFmtId="0" fontId="0" fillId="0" borderId="0" xfId="37" applyFont="1" applyAlignment="1">
      <alignment horizontal="left" vertical="center"/>
    </xf>
    <xf numFmtId="4" fontId="5" fillId="0" borderId="0" xfId="37" applyNumberFormat="1">
      <alignment vertical="center"/>
    </xf>
    <xf numFmtId="202" fontId="5" fillId="0" borderId="0" xfId="37" applyNumberFormat="1">
      <alignment vertical="center"/>
    </xf>
    <xf numFmtId="0" fontId="22" fillId="12" borderId="0" xfId="3" applyAlignment="1">
      <alignment horizontal="center" vertical="center" wrapText="1"/>
    </xf>
    <xf numFmtId="164" fontId="5" fillId="0" borderId="22" xfId="94" applyBorder="1" applyAlignment="1">
      <alignment vertical="center"/>
    </xf>
    <xf numFmtId="0" fontId="14" fillId="0" borderId="0" xfId="37" applyFont="1">
      <alignment vertical="center"/>
    </xf>
    <xf numFmtId="0" fontId="5" fillId="0" borderId="0" xfId="37" applyAlignment="1">
      <alignment vertical="center"/>
    </xf>
    <xf numFmtId="221" fontId="62" fillId="0" borderId="0" xfId="94" applyNumberFormat="1" applyFont="1" applyAlignment="1">
      <alignment vertical="center"/>
    </xf>
    <xf numFmtId="0" fontId="76" fillId="0" borderId="0" xfId="24" applyFont="1" applyFill="1" applyBorder="1">
      <alignment vertical="center"/>
    </xf>
    <xf numFmtId="4" fontId="62" fillId="0" borderId="0" xfId="37" applyNumberFormat="1" applyFont="1">
      <alignment vertical="center"/>
    </xf>
    <xf numFmtId="222" fontId="8" fillId="0" borderId="0" xfId="94" applyNumberFormat="1" applyFont="1" applyAlignment="1">
      <alignment vertical="center"/>
    </xf>
    <xf numFmtId="0" fontId="22" fillId="12" borderId="0" xfId="3" applyFont="1">
      <alignment horizontal="center" vertical="top" wrapText="1"/>
    </xf>
    <xf numFmtId="0" fontId="76" fillId="0" borderId="0" xfId="24" applyFont="1" applyFill="1">
      <alignment vertical="center"/>
    </xf>
    <xf numFmtId="0" fontId="46" fillId="0" borderId="0" xfId="44" applyFont="1" applyFill="1" applyAlignment="1">
      <alignment horizontal="left" vertical="center" wrapText="1" indent="1"/>
    </xf>
    <xf numFmtId="49" fontId="0" fillId="0" borderId="0" xfId="51" applyFont="1" applyFill="1" applyAlignment="1">
      <alignment vertical="center"/>
    </xf>
    <xf numFmtId="0" fontId="6" fillId="0" borderId="0" xfId="24" applyFill="1" applyBorder="1" applyAlignment="1">
      <alignment horizontal="left" vertical="center"/>
    </xf>
    <xf numFmtId="0" fontId="0" fillId="0" borderId="0" xfId="37" applyFont="1" applyFill="1">
      <alignment vertical="center"/>
    </xf>
    <xf numFmtId="0" fontId="62" fillId="0" borderId="0" xfId="37" applyFont="1" applyFill="1">
      <alignment vertical="center"/>
    </xf>
    <xf numFmtId="203" fontId="62" fillId="0" borderId="0" xfId="37" applyNumberFormat="1" applyFont="1" applyFill="1">
      <alignment vertical="center"/>
    </xf>
    <xf numFmtId="220" fontId="62" fillId="0" borderId="0" xfId="37" applyNumberFormat="1" applyFont="1">
      <alignment vertical="center"/>
    </xf>
    <xf numFmtId="197" fontId="10" fillId="14" borderId="0" xfId="29" applyNumberFormat="1" applyFont="1">
      <alignment vertical="center"/>
    </xf>
    <xf numFmtId="204" fontId="67" fillId="27" borderId="7" xfId="31" applyNumberFormat="1" applyFont="1" applyFill="1" applyAlignment="1">
      <alignment vertical="center"/>
      <protection locked="0"/>
    </xf>
    <xf numFmtId="164" fontId="0" fillId="0" borderId="0" xfId="94" applyFont="1" applyAlignment="1">
      <alignment vertical="center"/>
    </xf>
    <xf numFmtId="164" fontId="0" fillId="0" borderId="0" xfId="0" applyNumberFormat="1">
      <alignment vertical="center"/>
    </xf>
    <xf numFmtId="223" fontId="0" fillId="0" borderId="0" xfId="0" applyNumberFormat="1">
      <alignment vertical="center"/>
    </xf>
    <xf numFmtId="222" fontId="0" fillId="0" borderId="0" xfId="0" applyNumberFormat="1">
      <alignment vertical="center"/>
    </xf>
    <xf numFmtId="224" fontId="67" fillId="0" borderId="0" xfId="0" applyNumberFormat="1" applyFont="1">
      <alignment vertical="center"/>
    </xf>
    <xf numFmtId="206" fontId="67" fillId="0" borderId="0" xfId="60" applyNumberFormat="1" applyFont="1" applyAlignment="1">
      <alignment vertical="center"/>
    </xf>
    <xf numFmtId="203" fontId="8" fillId="0" borderId="6" xfId="40" applyFont="1" applyBorder="1">
      <alignment vertical="center"/>
    </xf>
    <xf numFmtId="197" fontId="8" fillId="0" borderId="0" xfId="40" applyNumberFormat="1" applyFont="1">
      <alignment vertical="center"/>
    </xf>
    <xf numFmtId="49" fontId="43" fillId="0" borderId="0" xfId="51" applyFont="1" applyAlignment="1">
      <alignment horizontal="left" vertical="center" wrapText="1"/>
    </xf>
    <xf numFmtId="49" fontId="0" fillId="0" borderId="0" xfId="51" applyFont="1" applyAlignment="1">
      <alignment horizontal="left" vertical="center" wrapText="1"/>
    </xf>
    <xf numFmtId="0" fontId="51" fillId="0" borderId="0" xfId="0" applyFont="1" applyAlignment="1">
      <alignment vertical="center"/>
    </xf>
    <xf numFmtId="0" fontId="51" fillId="25" borderId="0" xfId="0" applyFont="1" applyFill="1" applyAlignment="1">
      <alignment vertical="center"/>
    </xf>
    <xf numFmtId="0" fontId="70" fillId="13" borderId="0" xfId="5" applyFont="1" applyAlignment="1">
      <alignment horizontal="center" vertical="top"/>
    </xf>
    <xf numFmtId="0" fontId="67" fillId="0" borderId="0" xfId="0" applyFont="1" applyAlignment="1">
      <alignment horizontal="center" vertical="top"/>
    </xf>
    <xf numFmtId="0" fontId="22" fillId="12" borderId="0" xfId="3" applyAlignment="1">
      <alignment horizontal="center" vertical="top" wrapText="1"/>
    </xf>
  </cellXfs>
  <cellStyles count="95">
    <cellStyle name="_x000a_shell=progma" xfId="56"/>
    <cellStyle name="Cálculo" xfId="1" builtinId="22" customBuiltin="1"/>
    <cellStyle name="Checksum" xfId="2"/>
    <cellStyle name="Column label" xfId="3"/>
    <cellStyle name="Column label (left aligned)" xfId="4"/>
    <cellStyle name="Column label (no wrap)" xfId="5"/>
    <cellStyle name="Column label (no wrap) 2" xfId="87"/>
    <cellStyle name="Column label (not bold)" xfId="6"/>
    <cellStyle name="Column label 2" xfId="72"/>
    <cellStyle name="Column label 2 2" xfId="90"/>
    <cellStyle name="Comma 2" xfId="65"/>
    <cellStyle name="Comma 3" xfId="93"/>
    <cellStyle name="Currency (0dp)" xfId="7"/>
    <cellStyle name="Currency (2dp)" xfId="8"/>
    <cellStyle name="Currency Dollar" xfId="9"/>
    <cellStyle name="Currency Dollar (2dp)" xfId="10"/>
    <cellStyle name="Currency EUR" xfId="11"/>
    <cellStyle name="Currency EUR (2dp)" xfId="12"/>
    <cellStyle name="Currency Euro" xfId="13"/>
    <cellStyle name="Currency Euro (2dp)" xfId="14"/>
    <cellStyle name="Currency GBP" xfId="15"/>
    <cellStyle name="Currency GBP (2dp)" xfId="16"/>
    <cellStyle name="Currency Pound" xfId="17"/>
    <cellStyle name="Currency Pound (2dp)" xfId="18"/>
    <cellStyle name="Currency USD" xfId="19"/>
    <cellStyle name="Currency USD (2dp)" xfId="20"/>
    <cellStyle name="Date" xfId="21"/>
    <cellStyle name="Date (Month)" xfId="22"/>
    <cellStyle name="Date (Year)" xfId="23"/>
    <cellStyle name="H0" xfId="24"/>
    <cellStyle name="H0 2" xfId="74"/>
    <cellStyle name="H1" xfId="25"/>
    <cellStyle name="H2" xfId="26"/>
    <cellStyle name="H2 2" xfId="73"/>
    <cellStyle name="H3" xfId="27"/>
    <cellStyle name="H3 2" xfId="68"/>
    <cellStyle name="H3 3" xfId="85"/>
    <cellStyle name="H4" xfId="28"/>
    <cellStyle name="Highlight" xfId="29"/>
    <cellStyle name="Highlight 2" xfId="84"/>
    <cellStyle name="Input calculation" xfId="30"/>
    <cellStyle name="Input calculation 2" xfId="79"/>
    <cellStyle name="Input data" xfId="31"/>
    <cellStyle name="Input data 2" xfId="76"/>
    <cellStyle name="Input estimate" xfId="32"/>
    <cellStyle name="Input estimate 2" xfId="77"/>
    <cellStyle name="Input link" xfId="33"/>
    <cellStyle name="Input link (different workbook)" xfId="34"/>
    <cellStyle name="Input link (different workbook) 2" xfId="70"/>
    <cellStyle name="Input Link (different Worksheet)" xfId="67"/>
    <cellStyle name="Input link 2" xfId="81"/>
    <cellStyle name="Input parameter" xfId="35"/>
    <cellStyle name="Input parameter 2" xfId="80"/>
    <cellStyle name="Input parameter 6" xfId="75"/>
    <cellStyle name="Millares" xfId="94" builtinId="3"/>
    <cellStyle name="Moneda" xfId="66" builtinId="4" customBuiltin="1"/>
    <cellStyle name="Name" xfId="36"/>
    <cellStyle name="Name 2" xfId="69"/>
    <cellStyle name="Normal" xfId="0" builtinId="0" customBuiltin="1"/>
    <cellStyle name="Normal 2" xfId="37"/>
    <cellStyle name="Normal 2 2" xfId="86"/>
    <cellStyle name="Normal 3" xfId="61"/>
    <cellStyle name="Normal 4" xfId="63"/>
    <cellStyle name="Normal 5" xfId="92"/>
    <cellStyle name="Normal_bottom_up_model_corrupt" xfId="58"/>
    <cellStyle name="Notas" xfId="38" builtinId="10" customBuiltin="1"/>
    <cellStyle name="Note_bottom_up_model_corrupt" xfId="59"/>
    <cellStyle name="Number" xfId="39"/>
    <cellStyle name="Number (2dp)" xfId="40"/>
    <cellStyle name="Number (2dp) 2" xfId="71"/>
    <cellStyle name="Number 2" xfId="57"/>
    <cellStyle name="Number 2 2" xfId="89"/>
    <cellStyle name="Number 3" xfId="78"/>
    <cellStyle name="Output 2" xfId="91"/>
    <cellStyle name="Percent 15" xfId="88"/>
    <cellStyle name="Percent 2" xfId="62"/>
    <cellStyle name="Percent 3" xfId="64"/>
    <cellStyle name="Percentage" xfId="42"/>
    <cellStyle name="Percentage (2dp)" xfId="43"/>
    <cellStyle name="Percentage (2dp) 2" xfId="83"/>
    <cellStyle name="Percentage 2" xfId="82"/>
    <cellStyle name="Porcentaje" xfId="60" builtinId="5"/>
    <cellStyle name="Row label" xfId="44"/>
    <cellStyle name="Row label (indent)" xfId="45"/>
    <cellStyle name="Salida" xfId="41" builtinId="21" customBuiltin="1"/>
    <cellStyle name="Sub-total row" xfId="46"/>
    <cellStyle name="Table finish row" xfId="47"/>
    <cellStyle name="Table shading" xfId="48"/>
    <cellStyle name="Table unfinish row" xfId="49"/>
    <cellStyle name="Table unshading" xfId="50"/>
    <cellStyle name="Text" xfId="51"/>
    <cellStyle name="Total" xfId="52" builtinId="25" customBuiltin="1"/>
    <cellStyle name="Total row" xfId="53"/>
    <cellStyle name="Unhighlight" xfId="54"/>
    <cellStyle name="Untotal row" xfId="55"/>
  </cellStyles>
  <dxfs count="365">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color theme="0" tint="-0.34998626667073579"/>
      </font>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color theme="0" tint="-0.14996795556505021"/>
      </font>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ill>
        <patternFill>
          <bgColor rgb="FFFF0000"/>
        </patternFill>
      </fill>
    </dxf>
    <dxf>
      <fill>
        <patternFill>
          <bgColor rgb="FF00FF00"/>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ont>
        <b/>
        <i val="0"/>
      </font>
      <fill>
        <patternFill>
          <bgColor theme="6" tint="0.5999633777886288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0000"/>
        </patternFill>
      </fill>
    </dxf>
    <dxf>
      <fill>
        <patternFill>
          <bgColor rgb="FF00FF00"/>
        </patternFill>
      </fill>
    </dxf>
    <dxf>
      <fill>
        <patternFill>
          <bgColor rgb="FF00FF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ill>
        <patternFill>
          <bgColor rgb="FFFF0000"/>
        </patternFill>
      </fill>
    </dxf>
    <dxf>
      <fill>
        <patternFill>
          <bgColor rgb="FF00FF00"/>
        </patternFill>
      </fill>
    </dxf>
    <dxf>
      <font>
        <color theme="0" tint="-0.34998626667073579"/>
      </font>
    </dxf>
    <dxf>
      <font>
        <color theme="0" tint="-0.34998626667073579"/>
      </font>
    </dxf>
    <dxf>
      <font>
        <color theme="0" tint="-0.34998626667073579"/>
      </font>
    </dxf>
    <dxf>
      <fill>
        <patternFill>
          <bgColor rgb="FFFF0000"/>
        </patternFill>
      </fill>
    </dxf>
    <dxf>
      <fill>
        <patternFill>
          <bgColor rgb="FF00FF00"/>
        </patternFill>
      </fill>
    </dxf>
    <dxf>
      <font>
        <color theme="0" tint="-0.34998626667073579"/>
      </font>
    </dxf>
    <dxf>
      <font>
        <color theme="0" tint="-0.34998626667073579"/>
      </font>
    </dxf>
    <dxf>
      <font>
        <color theme="0" tint="-0.34998626667073579"/>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ill>
        <patternFill>
          <bgColor rgb="FFFFFF99"/>
        </patternFill>
      </fill>
    </dxf>
    <dxf>
      <fill>
        <patternFill>
          <bgColor rgb="FFFFFF99"/>
        </patternFill>
      </fill>
    </dxf>
    <dxf>
      <fill>
        <patternFill>
          <bgColor rgb="FFFFFF99"/>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color rgb="FFFFFF00"/>
      </font>
      <fill>
        <patternFill>
          <bgColor rgb="FFC41230"/>
        </patternFill>
      </fill>
    </dxf>
  </dxfs>
  <tableStyles count="0" defaultTableStyle="TableStyleMedium2" defaultPivotStyle="PivotStyleLight16"/>
  <colors>
    <mruColors>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21.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1212952</xdr:colOff>
      <xdr:row>1</xdr:row>
      <xdr:rowOff>1452</xdr:rowOff>
    </xdr:to>
    <xdr:pic>
      <xdr:nvPicPr>
        <xdr:cNvPr id="3"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12952" cy="5729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1</xdr:col>
      <xdr:colOff>1187450</xdr:colOff>
      <xdr:row>0</xdr:row>
      <xdr:rowOff>419100</xdr:rowOff>
    </xdr:to>
    <xdr:pic>
      <xdr:nvPicPr>
        <xdr:cNvPr id="6" name="Picture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54125" y="0"/>
          <a:ext cx="11874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765691</xdr:colOff>
      <xdr:row>1</xdr:row>
      <xdr:rowOff>1452</xdr:rowOff>
    </xdr:to>
    <xdr:pic>
      <xdr:nvPicPr>
        <xdr:cNvPr id="4" name="Imagen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12952" cy="5729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0</xdr:row>
      <xdr:rowOff>0</xdr:rowOff>
    </xdr:from>
    <xdr:to>
      <xdr:col>2</xdr:col>
      <xdr:colOff>1187450</xdr:colOff>
      <xdr:row>0</xdr:row>
      <xdr:rowOff>419100</xdr:rowOff>
    </xdr:to>
    <xdr:pic>
      <xdr:nvPicPr>
        <xdr:cNvPr id="3" name="Picture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93813" y="0"/>
          <a:ext cx="11874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765277</xdr:colOff>
      <xdr:row>1</xdr:row>
      <xdr:rowOff>1452</xdr:rowOff>
    </xdr:to>
    <xdr:pic>
      <xdr:nvPicPr>
        <xdr:cNvPr id="4" name="Imagen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12952" cy="5729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0</xdr:row>
      <xdr:rowOff>0</xdr:rowOff>
    </xdr:from>
    <xdr:to>
      <xdr:col>3</xdr:col>
      <xdr:colOff>338138</xdr:colOff>
      <xdr:row>0</xdr:row>
      <xdr:rowOff>419100</xdr:rowOff>
    </xdr:to>
    <xdr:pic>
      <xdr:nvPicPr>
        <xdr:cNvPr id="5" name="Picture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93813" y="0"/>
          <a:ext cx="11874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765277</xdr:colOff>
      <xdr:row>1</xdr:row>
      <xdr:rowOff>1452</xdr:rowOff>
    </xdr:to>
    <xdr:pic>
      <xdr:nvPicPr>
        <xdr:cNvPr id="4" name="Imagen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12952" cy="5729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0</xdr:row>
      <xdr:rowOff>0</xdr:rowOff>
    </xdr:from>
    <xdr:to>
      <xdr:col>3</xdr:col>
      <xdr:colOff>338138</xdr:colOff>
      <xdr:row>0</xdr:row>
      <xdr:rowOff>419100</xdr:rowOff>
    </xdr:to>
    <xdr:pic>
      <xdr:nvPicPr>
        <xdr:cNvPr id="5" name="Picture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93813" y="0"/>
          <a:ext cx="11874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765277</xdr:colOff>
      <xdr:row>1</xdr:row>
      <xdr:rowOff>1452</xdr:rowOff>
    </xdr:to>
    <xdr:pic>
      <xdr:nvPicPr>
        <xdr:cNvPr id="4" name="Imagen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12952" cy="5729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0</xdr:row>
      <xdr:rowOff>0</xdr:rowOff>
    </xdr:from>
    <xdr:to>
      <xdr:col>2</xdr:col>
      <xdr:colOff>1187450</xdr:colOff>
      <xdr:row>0</xdr:row>
      <xdr:rowOff>419100</xdr:rowOff>
    </xdr:to>
    <xdr:pic>
      <xdr:nvPicPr>
        <xdr:cNvPr id="3" name="Picture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93813" y="0"/>
          <a:ext cx="11874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479527</xdr:colOff>
      <xdr:row>1</xdr:row>
      <xdr:rowOff>1452</xdr:rowOff>
    </xdr:to>
    <xdr:pic>
      <xdr:nvPicPr>
        <xdr:cNvPr id="4" name="Imagen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12952" cy="5729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539742</xdr:colOff>
      <xdr:row>0</xdr:row>
      <xdr:rowOff>0</xdr:rowOff>
    </xdr:from>
    <xdr:to>
      <xdr:col>2</xdr:col>
      <xdr:colOff>1727192</xdr:colOff>
      <xdr:row>0</xdr:row>
      <xdr:rowOff>419100</xdr:rowOff>
    </xdr:to>
    <xdr:pic>
      <xdr:nvPicPr>
        <xdr:cNvPr id="3" name="Picture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77930" y="0"/>
          <a:ext cx="11874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403327</xdr:colOff>
      <xdr:row>1</xdr:row>
      <xdr:rowOff>1452</xdr:rowOff>
    </xdr:to>
    <xdr:pic>
      <xdr:nvPicPr>
        <xdr:cNvPr id="4" name="Imagen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12952" cy="5729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468314</xdr:colOff>
      <xdr:row>0</xdr:row>
      <xdr:rowOff>0</xdr:rowOff>
    </xdr:from>
    <xdr:to>
      <xdr:col>2</xdr:col>
      <xdr:colOff>1655764</xdr:colOff>
      <xdr:row>0</xdr:row>
      <xdr:rowOff>419100</xdr:rowOff>
    </xdr:to>
    <xdr:pic>
      <xdr:nvPicPr>
        <xdr:cNvPr id="3" name="Picture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77939" y="0"/>
          <a:ext cx="11874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317602</xdr:colOff>
      <xdr:row>1</xdr:row>
      <xdr:rowOff>1452</xdr:rowOff>
    </xdr:to>
    <xdr:pic>
      <xdr:nvPicPr>
        <xdr:cNvPr id="4" name="Imagen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12952" cy="5729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341318</xdr:colOff>
      <xdr:row>0</xdr:row>
      <xdr:rowOff>0</xdr:rowOff>
    </xdr:from>
    <xdr:to>
      <xdr:col>2</xdr:col>
      <xdr:colOff>1528768</xdr:colOff>
      <xdr:row>0</xdr:row>
      <xdr:rowOff>419100</xdr:rowOff>
    </xdr:to>
    <xdr:pic>
      <xdr:nvPicPr>
        <xdr:cNvPr id="3" name="Picture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0318" y="0"/>
          <a:ext cx="11874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765277</xdr:colOff>
      <xdr:row>1</xdr:row>
      <xdr:rowOff>1452</xdr:rowOff>
    </xdr:to>
    <xdr:pic>
      <xdr:nvPicPr>
        <xdr:cNvPr id="4" name="Imagen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12952" cy="5729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0</xdr:row>
      <xdr:rowOff>0</xdr:rowOff>
    </xdr:from>
    <xdr:to>
      <xdr:col>3</xdr:col>
      <xdr:colOff>338138</xdr:colOff>
      <xdr:row>0</xdr:row>
      <xdr:rowOff>419100</xdr:rowOff>
    </xdr:to>
    <xdr:pic>
      <xdr:nvPicPr>
        <xdr:cNvPr id="5" name="Picture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93813" y="0"/>
          <a:ext cx="11874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765277</xdr:colOff>
      <xdr:row>1</xdr:row>
      <xdr:rowOff>0</xdr:rowOff>
    </xdr:to>
    <xdr:pic>
      <xdr:nvPicPr>
        <xdr:cNvPr id="3"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12952" cy="5729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0</xdr:row>
      <xdr:rowOff>0</xdr:rowOff>
    </xdr:from>
    <xdr:to>
      <xdr:col>2</xdr:col>
      <xdr:colOff>1187450</xdr:colOff>
      <xdr:row>0</xdr:row>
      <xdr:rowOff>419100</xdr:rowOff>
    </xdr:to>
    <xdr:pic>
      <xdr:nvPicPr>
        <xdr:cNvPr id="4" name="Picture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93813" y="0"/>
          <a:ext cx="11874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317602</xdr:colOff>
      <xdr:row>1</xdr:row>
      <xdr:rowOff>1452</xdr:rowOff>
    </xdr:to>
    <xdr:pic>
      <xdr:nvPicPr>
        <xdr:cNvPr id="4" name="Imagen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12952" cy="5729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381000</xdr:colOff>
      <xdr:row>0</xdr:row>
      <xdr:rowOff>0</xdr:rowOff>
    </xdr:from>
    <xdr:to>
      <xdr:col>2</xdr:col>
      <xdr:colOff>1568450</xdr:colOff>
      <xdr:row>0</xdr:row>
      <xdr:rowOff>419100</xdr:rowOff>
    </xdr:to>
    <xdr:pic>
      <xdr:nvPicPr>
        <xdr:cNvPr id="3" name="Picture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70000" y="0"/>
          <a:ext cx="11874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1031977</xdr:colOff>
      <xdr:row>1</xdr:row>
      <xdr:rowOff>1452</xdr:rowOff>
    </xdr:to>
    <xdr:pic>
      <xdr:nvPicPr>
        <xdr:cNvPr id="3"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12952" cy="5729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1111247</xdr:colOff>
      <xdr:row>0</xdr:row>
      <xdr:rowOff>0</xdr:rowOff>
    </xdr:from>
    <xdr:to>
      <xdr:col>2</xdr:col>
      <xdr:colOff>528635</xdr:colOff>
      <xdr:row>0</xdr:row>
      <xdr:rowOff>419100</xdr:rowOff>
    </xdr:to>
    <xdr:pic>
      <xdr:nvPicPr>
        <xdr:cNvPr id="6" name="Picture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93810" y="0"/>
          <a:ext cx="11874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765277</xdr:colOff>
      <xdr:row>1</xdr:row>
      <xdr:rowOff>1452</xdr:rowOff>
    </xdr:to>
    <xdr:pic>
      <xdr:nvPicPr>
        <xdr:cNvPr id="4" name="Imagen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12952" cy="5729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0</xdr:row>
      <xdr:rowOff>0</xdr:rowOff>
    </xdr:from>
    <xdr:to>
      <xdr:col>3</xdr:col>
      <xdr:colOff>338138</xdr:colOff>
      <xdr:row>0</xdr:row>
      <xdr:rowOff>419100</xdr:rowOff>
    </xdr:to>
    <xdr:pic>
      <xdr:nvPicPr>
        <xdr:cNvPr id="3" name="Picture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93813" y="0"/>
          <a:ext cx="11874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766010</xdr:colOff>
      <xdr:row>0</xdr:row>
      <xdr:rowOff>571493</xdr:rowOff>
    </xdr:to>
    <xdr:pic>
      <xdr:nvPicPr>
        <xdr:cNvPr id="6" name="Imagen 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10510" cy="5714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765277</xdr:colOff>
      <xdr:row>1</xdr:row>
      <xdr:rowOff>0</xdr:rowOff>
    </xdr:to>
    <xdr:pic>
      <xdr:nvPicPr>
        <xdr:cNvPr id="3"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12952" cy="5729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0</xdr:row>
      <xdr:rowOff>0</xdr:rowOff>
    </xdr:from>
    <xdr:to>
      <xdr:col>2</xdr:col>
      <xdr:colOff>1187450</xdr:colOff>
      <xdr:row>0</xdr:row>
      <xdr:rowOff>419100</xdr:rowOff>
    </xdr:to>
    <xdr:pic>
      <xdr:nvPicPr>
        <xdr:cNvPr id="4" name="Picture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93813" y="0"/>
          <a:ext cx="11874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317602</xdr:colOff>
      <xdr:row>1</xdr:row>
      <xdr:rowOff>1452</xdr:rowOff>
    </xdr:to>
    <xdr:pic>
      <xdr:nvPicPr>
        <xdr:cNvPr id="3"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12952" cy="5729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412755</xdr:colOff>
      <xdr:row>0</xdr:row>
      <xdr:rowOff>0</xdr:rowOff>
    </xdr:from>
    <xdr:to>
      <xdr:col>3</xdr:col>
      <xdr:colOff>750892</xdr:colOff>
      <xdr:row>0</xdr:row>
      <xdr:rowOff>419100</xdr:rowOff>
    </xdr:to>
    <xdr:pic>
      <xdr:nvPicPr>
        <xdr:cNvPr id="4" name="Picture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01755" y="0"/>
          <a:ext cx="11874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765277</xdr:colOff>
      <xdr:row>1</xdr:row>
      <xdr:rowOff>1452</xdr:rowOff>
    </xdr:to>
    <xdr:pic>
      <xdr:nvPicPr>
        <xdr:cNvPr id="4" name="Imagen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12952" cy="5729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7938</xdr:colOff>
      <xdr:row>0</xdr:row>
      <xdr:rowOff>0</xdr:rowOff>
    </xdr:from>
    <xdr:to>
      <xdr:col>3</xdr:col>
      <xdr:colOff>322263</xdr:colOff>
      <xdr:row>0</xdr:row>
      <xdr:rowOff>419100</xdr:rowOff>
    </xdr:to>
    <xdr:pic>
      <xdr:nvPicPr>
        <xdr:cNvPr id="3" name="Picture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25563" y="0"/>
          <a:ext cx="11874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765277</xdr:colOff>
      <xdr:row>1</xdr:row>
      <xdr:rowOff>0</xdr:rowOff>
    </xdr:to>
    <xdr:pic>
      <xdr:nvPicPr>
        <xdr:cNvPr id="3"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12952" cy="5729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0</xdr:row>
      <xdr:rowOff>0</xdr:rowOff>
    </xdr:from>
    <xdr:to>
      <xdr:col>2</xdr:col>
      <xdr:colOff>1187450</xdr:colOff>
      <xdr:row>0</xdr:row>
      <xdr:rowOff>419100</xdr:rowOff>
    </xdr:to>
    <xdr:pic>
      <xdr:nvPicPr>
        <xdr:cNvPr id="4" name="Picture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93813" y="0"/>
          <a:ext cx="11874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1212952</xdr:colOff>
      <xdr:row>1</xdr:row>
      <xdr:rowOff>1452</xdr:rowOff>
    </xdr:to>
    <xdr:pic>
      <xdr:nvPicPr>
        <xdr:cNvPr id="3"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12952" cy="5729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1301743</xdr:colOff>
      <xdr:row>0</xdr:row>
      <xdr:rowOff>0</xdr:rowOff>
    </xdr:from>
    <xdr:to>
      <xdr:col>1</xdr:col>
      <xdr:colOff>123818</xdr:colOff>
      <xdr:row>0</xdr:row>
      <xdr:rowOff>419100</xdr:rowOff>
    </xdr:to>
    <xdr:pic>
      <xdr:nvPicPr>
        <xdr:cNvPr id="4" name="Picture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01743" y="0"/>
          <a:ext cx="11874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765277</xdr:colOff>
      <xdr:row>1</xdr:row>
      <xdr:rowOff>1452</xdr:rowOff>
    </xdr:to>
    <xdr:pic>
      <xdr:nvPicPr>
        <xdr:cNvPr id="3"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12952" cy="5729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0</xdr:row>
      <xdr:rowOff>0</xdr:rowOff>
    </xdr:from>
    <xdr:to>
      <xdr:col>2</xdr:col>
      <xdr:colOff>1187450</xdr:colOff>
      <xdr:row>0</xdr:row>
      <xdr:rowOff>419100</xdr:rowOff>
    </xdr:to>
    <xdr:pic>
      <xdr:nvPicPr>
        <xdr:cNvPr id="4" name="Picture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93813" y="0"/>
          <a:ext cx="11874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765277</xdr:colOff>
      <xdr:row>1</xdr:row>
      <xdr:rowOff>0</xdr:rowOff>
    </xdr:to>
    <xdr:pic>
      <xdr:nvPicPr>
        <xdr:cNvPr id="3"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12952" cy="5729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0</xdr:row>
      <xdr:rowOff>0</xdr:rowOff>
    </xdr:from>
    <xdr:to>
      <xdr:col>2</xdr:col>
      <xdr:colOff>1187450</xdr:colOff>
      <xdr:row>0</xdr:row>
      <xdr:rowOff>419100</xdr:rowOff>
    </xdr:to>
    <xdr:pic>
      <xdr:nvPicPr>
        <xdr:cNvPr id="4" name="Picture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93813" y="0"/>
          <a:ext cx="11874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9" tint="0.39997558519241921"/>
    <outlinePr summaryBelow="0"/>
    <pageSetUpPr autoPageBreaks="0"/>
  </sheetPr>
  <dimension ref="A1:G54"/>
  <sheetViews>
    <sheetView showGridLines="0" defaultGridColor="0" colorId="22" zoomScale="120" zoomScaleNormal="120" zoomScaleSheetLayoutView="75" workbookViewId="0">
      <pane ySplit="19" topLeftCell="A20" activePane="bottomLeft" state="frozen"/>
      <selection activeCell="A45" sqref="A45"/>
      <selection pane="bottomLeft" activeCell="B5" sqref="B5"/>
    </sheetView>
  </sheetViews>
  <sheetFormatPr baseColWidth="10" defaultColWidth="12.7109375" defaultRowHeight="12" x14ac:dyDescent="0.2"/>
  <cols>
    <col min="1" max="1" width="18.85546875" style="440" customWidth="1"/>
    <col min="2" max="2" width="19.85546875" style="440" customWidth="1"/>
    <col min="3" max="4" width="16.7109375" style="440" customWidth="1"/>
    <col min="5" max="5" width="34.5703125" style="440" customWidth="1"/>
    <col min="6" max="6" width="17.7109375" style="438" bestFit="1" customWidth="1"/>
    <col min="7" max="7" width="67.140625" style="438" customWidth="1"/>
    <col min="8" max="16384" width="12.7109375" style="438"/>
  </cols>
  <sheetData>
    <row r="1" spans="1:5" s="433" customFormat="1" ht="45" customHeight="1" x14ac:dyDescent="0.2">
      <c r="C1" s="434" t="s">
        <v>1865</v>
      </c>
    </row>
    <row r="2" spans="1:5" s="435" customFormat="1" ht="12" customHeight="1" x14ac:dyDescent="0.2"/>
    <row r="3" spans="1:5" s="437" customFormat="1" ht="18" x14ac:dyDescent="0.25">
      <c r="A3" s="436" t="s">
        <v>1866</v>
      </c>
      <c r="C3" s="438"/>
    </row>
    <row r="4" spans="1:5" ht="6" customHeight="1" x14ac:dyDescent="0.2">
      <c r="A4" s="438"/>
      <c r="B4" s="438"/>
      <c r="C4" s="438"/>
      <c r="D4" s="438"/>
      <c r="E4" s="438"/>
    </row>
    <row r="5" spans="1:5" x14ac:dyDescent="0.2">
      <c r="A5" s="439" t="s">
        <v>1867</v>
      </c>
      <c r="B5" s="440" t="s">
        <v>1874</v>
      </c>
      <c r="C5" s="438"/>
      <c r="D5" s="438"/>
      <c r="E5" s="438"/>
    </row>
    <row r="6" spans="1:5" x14ac:dyDescent="0.2">
      <c r="A6" s="439" t="s">
        <v>1868</v>
      </c>
      <c r="B6" s="440" t="s">
        <v>1875</v>
      </c>
      <c r="C6" s="438"/>
      <c r="D6" s="438"/>
      <c r="E6" s="438"/>
    </row>
    <row r="7" spans="1:5" ht="6" customHeight="1" x14ac:dyDescent="0.2">
      <c r="A7" s="438"/>
      <c r="B7" s="438"/>
      <c r="C7" s="438"/>
      <c r="D7" s="438"/>
      <c r="E7" s="438"/>
    </row>
    <row r="8" spans="1:5" x14ac:dyDescent="0.2">
      <c r="A8" s="439" t="s">
        <v>1869</v>
      </c>
      <c r="B8" s="440" t="s">
        <v>1736</v>
      </c>
      <c r="C8" s="438"/>
      <c r="D8" s="438"/>
      <c r="E8" s="438"/>
    </row>
    <row r="9" spans="1:5" x14ac:dyDescent="0.2">
      <c r="A9" s="439" t="s">
        <v>1870</v>
      </c>
      <c r="B9" s="440" t="s">
        <v>1740</v>
      </c>
      <c r="C9" s="438"/>
      <c r="D9" s="438"/>
      <c r="E9" s="438"/>
    </row>
    <row r="10" spans="1:5" hidden="1" x14ac:dyDescent="0.2">
      <c r="A10" s="439"/>
      <c r="B10" s="440" t="s">
        <v>1737</v>
      </c>
      <c r="C10" s="438"/>
      <c r="D10" s="438"/>
      <c r="E10" s="438"/>
    </row>
    <row r="11" spans="1:5" hidden="1" x14ac:dyDescent="0.2">
      <c r="A11" s="439"/>
      <c r="B11" s="440" t="s">
        <v>1738</v>
      </c>
      <c r="C11" s="438"/>
      <c r="D11" s="438"/>
      <c r="E11" s="438"/>
    </row>
    <row r="12" spans="1:5" hidden="1" x14ac:dyDescent="0.2">
      <c r="A12" s="439"/>
      <c r="B12" s="440" t="s">
        <v>1739</v>
      </c>
      <c r="C12" s="438"/>
      <c r="D12" s="438"/>
      <c r="E12" s="438"/>
    </row>
    <row r="13" spans="1:5" hidden="1" x14ac:dyDescent="0.2">
      <c r="A13" s="439"/>
      <c r="B13" s="440" t="s">
        <v>1740</v>
      </c>
      <c r="C13" s="438"/>
      <c r="D13" s="438"/>
      <c r="E13" s="438"/>
    </row>
    <row r="14" spans="1:5" x14ac:dyDescent="0.2">
      <c r="A14" s="744" t="s">
        <v>1871</v>
      </c>
      <c r="B14" s="745" t="s">
        <v>1987</v>
      </c>
      <c r="C14" s="437"/>
      <c r="D14" s="438"/>
      <c r="E14" s="438"/>
    </row>
    <row r="15" spans="1:5" customFormat="1" x14ac:dyDescent="0.2"/>
    <row r="16" spans="1:5" ht="6" customHeight="1" x14ac:dyDescent="0.2">
      <c r="A16" s="439"/>
      <c r="C16" s="438"/>
      <c r="D16" s="438"/>
      <c r="E16" s="438"/>
    </row>
    <row r="17" spans="1:7" s="437" customFormat="1" ht="18" x14ac:dyDescent="0.25">
      <c r="A17" s="436" t="s">
        <v>1865</v>
      </c>
      <c r="C17" s="438"/>
    </row>
    <row r="18" spans="1:7" ht="6" customHeight="1" x14ac:dyDescent="0.2">
      <c r="A18" s="438"/>
      <c r="B18" s="438"/>
      <c r="C18" s="438"/>
      <c r="D18" s="438"/>
      <c r="E18" s="438"/>
    </row>
    <row r="19" spans="1:7" ht="15.75" x14ac:dyDescent="0.25">
      <c r="A19" s="441" t="s">
        <v>1872</v>
      </c>
      <c r="B19" s="441" t="s">
        <v>1873</v>
      </c>
      <c r="C19" s="442"/>
      <c r="F19" s="441" t="s">
        <v>1870</v>
      </c>
      <c r="G19" s="441"/>
    </row>
    <row r="20" spans="1:7" ht="15.75" x14ac:dyDescent="0.25">
      <c r="A20" s="443" t="s">
        <v>1879</v>
      </c>
      <c r="B20" s="444"/>
      <c r="C20" s="443"/>
      <c r="D20" s="443"/>
      <c r="E20" s="443"/>
      <c r="F20" s="443"/>
      <c r="G20" s="441"/>
    </row>
    <row r="21" spans="1:7" ht="15.75" x14ac:dyDescent="0.25">
      <c r="A21" s="445" t="s">
        <v>387</v>
      </c>
      <c r="B21" s="446" t="s">
        <v>1876</v>
      </c>
      <c r="C21" s="446"/>
      <c r="D21" s="446"/>
      <c r="E21" s="446"/>
      <c r="F21" s="440" t="s">
        <v>1740</v>
      </c>
      <c r="G21" s="441"/>
    </row>
    <row r="22" spans="1:7" ht="15.75" x14ac:dyDescent="0.25">
      <c r="A22" s="445" t="s">
        <v>1742</v>
      </c>
      <c r="B22" s="446" t="s">
        <v>1877</v>
      </c>
      <c r="C22" s="446"/>
      <c r="D22" s="446"/>
      <c r="E22" s="446"/>
      <c r="F22" s="440" t="s">
        <v>1740</v>
      </c>
      <c r="G22" s="441"/>
    </row>
    <row r="23" spans="1:7" ht="15.75" x14ac:dyDescent="0.25">
      <c r="A23" s="443" t="s">
        <v>1929</v>
      </c>
      <c r="B23" s="447"/>
      <c r="C23" s="448"/>
      <c r="D23" s="448"/>
      <c r="E23" s="448"/>
      <c r="F23" s="443"/>
      <c r="G23" s="441"/>
    </row>
    <row r="24" spans="1:7" ht="15.6" customHeight="1" x14ac:dyDescent="0.2">
      <c r="A24" s="445" t="s">
        <v>1878</v>
      </c>
      <c r="B24" s="761" t="s">
        <v>1892</v>
      </c>
      <c r="C24" s="761"/>
      <c r="D24" s="761"/>
      <c r="E24" s="761"/>
      <c r="F24" s="440" t="s">
        <v>1740</v>
      </c>
      <c r="G24" s="628"/>
    </row>
    <row r="25" spans="1:7" ht="23.1" customHeight="1" x14ac:dyDescent="0.25">
      <c r="A25" s="445" t="s">
        <v>1910</v>
      </c>
      <c r="B25" s="761" t="s">
        <v>1909</v>
      </c>
      <c r="C25" s="761"/>
      <c r="D25" s="761"/>
      <c r="E25" s="761"/>
      <c r="F25" s="440" t="s">
        <v>1740</v>
      </c>
      <c r="G25" s="441"/>
    </row>
    <row r="26" spans="1:7" ht="15.75" x14ac:dyDescent="0.25">
      <c r="A26" s="443" t="s">
        <v>1928</v>
      </c>
      <c r="B26" s="447"/>
      <c r="C26" s="448"/>
      <c r="D26" s="448"/>
      <c r="E26" s="448"/>
      <c r="F26" s="443"/>
      <c r="G26" s="441"/>
    </row>
    <row r="27" spans="1:7" ht="15.6" customHeight="1" x14ac:dyDescent="0.25">
      <c r="A27" s="445" t="s">
        <v>1880</v>
      </c>
      <c r="B27" s="761" t="s">
        <v>1893</v>
      </c>
      <c r="C27" s="761"/>
      <c r="D27" s="761"/>
      <c r="E27" s="761"/>
      <c r="F27" s="440" t="s">
        <v>1740</v>
      </c>
      <c r="G27" s="441"/>
    </row>
    <row r="28" spans="1:7" ht="22.15" customHeight="1" x14ac:dyDescent="0.25">
      <c r="A28" s="445" t="s">
        <v>1881</v>
      </c>
      <c r="B28" s="761" t="s">
        <v>1894</v>
      </c>
      <c r="C28" s="761"/>
      <c r="D28" s="761"/>
      <c r="E28" s="761"/>
      <c r="F28" s="440" t="s">
        <v>1740</v>
      </c>
      <c r="G28" s="441"/>
    </row>
    <row r="29" spans="1:7" ht="15.75" x14ac:dyDescent="0.25">
      <c r="A29" s="443" t="s">
        <v>1931</v>
      </c>
      <c r="B29" s="447"/>
      <c r="C29" s="448"/>
      <c r="D29" s="448"/>
      <c r="E29" s="448"/>
      <c r="F29" s="443"/>
      <c r="G29" s="441"/>
    </row>
    <row r="30" spans="1:7" ht="16.5" customHeight="1" x14ac:dyDescent="0.25">
      <c r="A30" s="445" t="s">
        <v>1882</v>
      </c>
      <c r="B30" s="761" t="s">
        <v>1895</v>
      </c>
      <c r="C30" s="761"/>
      <c r="D30" s="761"/>
      <c r="E30" s="761"/>
      <c r="F30" s="440" t="s">
        <v>1740</v>
      </c>
      <c r="G30" s="441"/>
    </row>
    <row r="31" spans="1:7" ht="35.1" customHeight="1" x14ac:dyDescent="0.25">
      <c r="A31" s="445" t="s">
        <v>1883</v>
      </c>
      <c r="B31" s="761" t="s">
        <v>1896</v>
      </c>
      <c r="C31" s="761"/>
      <c r="D31" s="761"/>
      <c r="E31" s="761"/>
      <c r="F31" s="440" t="s">
        <v>1740</v>
      </c>
      <c r="G31" s="441"/>
    </row>
    <row r="32" spans="1:7" ht="18" customHeight="1" x14ac:dyDescent="0.25">
      <c r="A32" s="445" t="s">
        <v>1884</v>
      </c>
      <c r="B32" s="761" t="s">
        <v>1897</v>
      </c>
      <c r="C32" s="761"/>
      <c r="D32" s="761"/>
      <c r="E32" s="761"/>
      <c r="F32" s="440" t="s">
        <v>1740</v>
      </c>
      <c r="G32" s="441"/>
    </row>
    <row r="33" spans="1:7" ht="24.6" customHeight="1" x14ac:dyDescent="0.25">
      <c r="A33" s="445" t="s">
        <v>1885</v>
      </c>
      <c r="B33" s="761" t="s">
        <v>1898</v>
      </c>
      <c r="C33" s="761"/>
      <c r="D33" s="761"/>
      <c r="E33" s="761"/>
      <c r="F33" s="440" t="s">
        <v>1740</v>
      </c>
      <c r="G33" s="441"/>
    </row>
    <row r="34" spans="1:7" ht="33" customHeight="1" x14ac:dyDescent="0.25">
      <c r="A34" s="445" t="s">
        <v>1886</v>
      </c>
      <c r="B34" s="761" t="s">
        <v>1899</v>
      </c>
      <c r="C34" s="761"/>
      <c r="D34" s="761"/>
      <c r="E34" s="761"/>
      <c r="F34" s="440" t="s">
        <v>1740</v>
      </c>
      <c r="G34" s="441"/>
    </row>
    <row r="35" spans="1:7" ht="26.1" customHeight="1" x14ac:dyDescent="0.25">
      <c r="A35" s="445" t="s">
        <v>1887</v>
      </c>
      <c r="B35" s="761" t="s">
        <v>1900</v>
      </c>
      <c r="C35" s="761"/>
      <c r="D35" s="761"/>
      <c r="E35" s="761"/>
      <c r="F35" s="440" t="s">
        <v>1740</v>
      </c>
      <c r="G35" s="441"/>
    </row>
    <row r="36" spans="1:7" ht="30.6" customHeight="1" x14ac:dyDescent="0.25">
      <c r="A36" s="445" t="s">
        <v>1888</v>
      </c>
      <c r="B36" s="761" t="s">
        <v>1901</v>
      </c>
      <c r="C36" s="761"/>
      <c r="D36" s="761"/>
      <c r="E36" s="761"/>
      <c r="F36" s="440" t="s">
        <v>1740</v>
      </c>
      <c r="G36" s="441"/>
    </row>
    <row r="37" spans="1:7" ht="23.1" customHeight="1" x14ac:dyDescent="0.25">
      <c r="A37" s="445" t="s">
        <v>1889</v>
      </c>
      <c r="B37" s="761" t="s">
        <v>1902</v>
      </c>
      <c r="C37" s="761"/>
      <c r="D37" s="761"/>
      <c r="E37" s="761"/>
      <c r="F37" s="440" t="s">
        <v>1740</v>
      </c>
      <c r="G37" s="441"/>
    </row>
    <row r="38" spans="1:7" ht="23.1" customHeight="1" x14ac:dyDescent="0.25">
      <c r="A38" s="445" t="s">
        <v>1924</v>
      </c>
      <c r="B38" s="762" t="s">
        <v>1986</v>
      </c>
      <c r="C38" s="761"/>
      <c r="D38" s="761"/>
      <c r="E38" s="761"/>
      <c r="F38" s="440" t="s">
        <v>1740</v>
      </c>
      <c r="G38" s="441"/>
    </row>
    <row r="39" spans="1:7" ht="15.75" x14ac:dyDescent="0.25">
      <c r="A39" s="443" t="s">
        <v>1927</v>
      </c>
      <c r="B39" s="447"/>
      <c r="C39" s="448"/>
      <c r="D39" s="448"/>
      <c r="E39" s="448"/>
      <c r="F39" s="443"/>
      <c r="G39" s="441"/>
    </row>
    <row r="40" spans="1:7" ht="24.6" customHeight="1" x14ac:dyDescent="0.25">
      <c r="A40" s="445" t="s">
        <v>1890</v>
      </c>
      <c r="B40" s="761" t="s">
        <v>1903</v>
      </c>
      <c r="C40" s="761"/>
      <c r="D40" s="761"/>
      <c r="E40" s="761"/>
      <c r="F40" s="440" t="s">
        <v>1740</v>
      </c>
      <c r="G40" s="441"/>
    </row>
    <row r="41" spans="1:7" ht="15.75" x14ac:dyDescent="0.25">
      <c r="A41" s="445" t="s">
        <v>65</v>
      </c>
      <c r="B41" s="761" t="s">
        <v>1904</v>
      </c>
      <c r="C41" s="761"/>
      <c r="D41" s="761"/>
      <c r="E41" s="761"/>
      <c r="F41" s="440" t="s">
        <v>1740</v>
      </c>
      <c r="G41" s="441"/>
    </row>
    <row r="42" spans="1:7" ht="39" customHeight="1" x14ac:dyDescent="0.2">
      <c r="A42" s="445" t="s">
        <v>1891</v>
      </c>
      <c r="B42" s="761" t="s">
        <v>1905</v>
      </c>
      <c r="C42" s="761"/>
      <c r="D42" s="761"/>
      <c r="E42" s="761"/>
      <c r="F42" s="440" t="s">
        <v>1740</v>
      </c>
      <c r="G42" s="628"/>
    </row>
    <row r="43" spans="1:7" ht="15.75" x14ac:dyDescent="0.25">
      <c r="A43" s="449"/>
      <c r="B43" s="449"/>
      <c r="C43" s="449"/>
      <c r="D43" s="449"/>
      <c r="E43" s="449"/>
      <c r="F43" s="449"/>
      <c r="G43" s="441"/>
    </row>
    <row r="44" spans="1:7" ht="15.75" x14ac:dyDescent="0.25">
      <c r="A44" s="450"/>
      <c r="B44" s="450"/>
      <c r="C44" s="450"/>
      <c r="D44" s="450"/>
      <c r="E44" s="450"/>
      <c r="G44" s="441"/>
    </row>
    <row r="54" spans="3:3" s="440" customFormat="1" x14ac:dyDescent="0.2">
      <c r="C54" s="450"/>
    </row>
  </sheetData>
  <mergeCells count="16">
    <mergeCell ref="B25:E25"/>
    <mergeCell ref="B27:E27"/>
    <mergeCell ref="B24:E24"/>
    <mergeCell ref="B28:E28"/>
    <mergeCell ref="B42:E42"/>
    <mergeCell ref="B41:E41"/>
    <mergeCell ref="B40:E40"/>
    <mergeCell ref="B37:E37"/>
    <mergeCell ref="B36:E36"/>
    <mergeCell ref="B35:E35"/>
    <mergeCell ref="B34:E34"/>
    <mergeCell ref="B33:E33"/>
    <mergeCell ref="B32:E32"/>
    <mergeCell ref="B31:E31"/>
    <mergeCell ref="B30:E30"/>
    <mergeCell ref="B38:E38"/>
  </mergeCells>
  <dataValidations count="1">
    <dataValidation type="list" allowBlank="1" sqref="B9 F20:F42">
      <formula1>$B$10:$B$13</formula1>
    </dataValidation>
  </dataValidations>
  <pageMargins left="0.70866141732283472" right="0.70866141732283472" top="0.51181102362204722" bottom="0.51181102362204722" header="0.51181102362204722" footer="0.35433070866141736"/>
  <pageSetup paperSize="9" orientation="landscape" horizontalDpi="4294967292" verticalDpi="4294967292" r:id="rId1"/>
  <headerFooter alignWithMargins="0">
    <oddFooter xml:space="preserve">&amp;L&amp;F : &amp;A&amp;CPrinted at &amp;T on &amp;D&amp;RCommercial in confidence © Analysys Mason </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autoPageBreaks="0"/>
  </sheetPr>
  <dimension ref="A1:L806"/>
  <sheetViews>
    <sheetView showGridLines="0" defaultGridColor="0" colorId="22" zoomScale="120" zoomScaleNormal="120" workbookViewId="0">
      <pane xSplit="6" ySplit="3" topLeftCell="G4" activePane="bottomRight" state="frozen"/>
      <selection pane="topRight"/>
      <selection pane="bottomLeft"/>
      <selection pane="bottomRight" activeCell="G4" sqref="G4"/>
    </sheetView>
  </sheetViews>
  <sheetFormatPr baseColWidth="10" defaultColWidth="12.7109375" defaultRowHeight="12" outlineLevelRow="1" x14ac:dyDescent="0.2"/>
  <cols>
    <col min="1" max="1" width="6.7109375" style="81" customWidth="1"/>
    <col min="2" max="2" width="12.7109375" style="81"/>
    <col min="3" max="3" width="19.7109375" style="81" customWidth="1"/>
    <col min="4" max="4" width="51.7109375" style="81" customWidth="1"/>
    <col min="5" max="6" width="12.7109375" style="81"/>
    <col min="7" max="8" width="14.7109375" style="81" customWidth="1"/>
    <col min="9" max="9" width="16.28515625" style="81" customWidth="1"/>
    <col min="10" max="11" width="14.7109375" style="81" customWidth="1"/>
    <col min="12" max="16384" width="12.7109375" style="81"/>
  </cols>
  <sheetData>
    <row r="1" spans="1:12" s="2" customFormat="1" ht="45" customHeight="1" x14ac:dyDescent="0.2">
      <c r="D1" s="3" t="s">
        <v>721</v>
      </c>
      <c r="L1" s="2" t="s">
        <v>0</v>
      </c>
    </row>
    <row r="2" spans="1:12" x14ac:dyDescent="0.2">
      <c r="F2" s="98" t="s">
        <v>3</v>
      </c>
    </row>
    <row r="3" spans="1:12" x14ac:dyDescent="0.2">
      <c r="F3" s="81" t="str">
        <f>IF(SUM(F4:F790)&lt;&gt;0,"ERROR","Correcto")</f>
        <v>Correcto</v>
      </c>
    </row>
    <row r="5" spans="1:12" customFormat="1" ht="15.75" x14ac:dyDescent="0.2">
      <c r="A5" s="171" t="s">
        <v>722</v>
      </c>
      <c r="B5" s="171"/>
      <c r="C5" s="171"/>
      <c r="D5" s="171"/>
      <c r="E5" s="171"/>
      <c r="F5" s="171"/>
      <c r="G5" s="171"/>
      <c r="H5" s="171"/>
      <c r="I5" s="171"/>
      <c r="J5" s="171"/>
      <c r="K5" s="171"/>
    </row>
    <row r="7" spans="1:12" x14ac:dyDescent="0.2">
      <c r="C7" s="41" t="s">
        <v>723</v>
      </c>
    </row>
    <row r="8" spans="1:12" x14ac:dyDescent="0.2">
      <c r="D8" s="98" t="s">
        <v>645</v>
      </c>
      <c r="E8" s="98" t="s">
        <v>635</v>
      </c>
    </row>
    <row r="9" spans="1:12" x14ac:dyDescent="0.2">
      <c r="D9" s="162" t="str">
        <f t="array" ref="D9:D58">Network.services.list</f>
        <v>2G - Tráfico de voz on-net</v>
      </c>
      <c r="E9" s="162" t="str">
        <f t="array" ref="E9:E58">Network.services.list.units</f>
        <v>minutos</v>
      </c>
      <c r="G9" s="163">
        <f t="array" ref="G9:G58">Services.demand</f>
        <v>3378712583.9453816</v>
      </c>
    </row>
    <row r="10" spans="1:12" outlineLevel="1" x14ac:dyDescent="0.2">
      <c r="D10" s="162" t="str">
        <v>2G - Tráfico de voz saliente a fijo</v>
      </c>
      <c r="E10" s="162" t="str">
        <v>minutos</v>
      </c>
      <c r="G10" s="163">
        <v>211915828.2273019</v>
      </c>
    </row>
    <row r="11" spans="1:12" outlineLevel="1" x14ac:dyDescent="0.2">
      <c r="D11" s="162" t="str">
        <v>2G - Tráfico de voz saliente a móvil</v>
      </c>
      <c r="E11" s="162" t="str">
        <v>minutos</v>
      </c>
      <c r="G11" s="163">
        <v>1837583986.1340411</v>
      </c>
    </row>
    <row r="12" spans="1:12" outlineLevel="1" x14ac:dyDescent="0.2">
      <c r="D12" s="162" t="str">
        <v>2G - Tráfico de voz saliente a internacional</v>
      </c>
      <c r="E12" s="162" t="str">
        <v>minutos</v>
      </c>
      <c r="G12" s="163">
        <v>17962225.721637532</v>
      </c>
    </row>
    <row r="13" spans="1:12" outlineLevel="1" x14ac:dyDescent="0.2">
      <c r="D13" s="162" t="str">
        <v>2G - Tráfico de voz entrante desde fijo</v>
      </c>
      <c r="E13" s="162" t="str">
        <v>minutos</v>
      </c>
      <c r="G13" s="163">
        <v>100079529.33759733</v>
      </c>
    </row>
    <row r="14" spans="1:12" outlineLevel="1" x14ac:dyDescent="0.2">
      <c r="D14" s="162" t="str">
        <v>2G - Tráfico de voz entrante desde móvil</v>
      </c>
      <c r="E14" s="162" t="str">
        <v>minutos</v>
      </c>
      <c r="G14" s="163">
        <v>1837583986.1340413</v>
      </c>
    </row>
    <row r="15" spans="1:12" outlineLevel="1" x14ac:dyDescent="0.2">
      <c r="D15" s="162" t="str">
        <v>2G - Tráfico de voz entrante desde internacional</v>
      </c>
      <c r="E15" s="162" t="str">
        <v>minutos</v>
      </c>
      <c r="G15" s="163">
        <v>31520108.388904903</v>
      </c>
    </row>
    <row r="16" spans="1:12" outlineLevel="1" x14ac:dyDescent="0.2">
      <c r="D16" s="162" t="str">
        <v>3G - Tráfico de voz on-net</v>
      </c>
      <c r="E16" s="162" t="str">
        <v>minutos</v>
      </c>
      <c r="G16" s="163">
        <v>10136137751.836145</v>
      </c>
    </row>
    <row r="17" spans="4:7" outlineLevel="1" x14ac:dyDescent="0.2">
      <c r="D17" s="162" t="str">
        <v>3G - Tráfico de voz saliente a fijo</v>
      </c>
      <c r="E17" s="162" t="str">
        <v>minutos</v>
      </c>
      <c r="G17" s="163">
        <v>635747484.68190575</v>
      </c>
    </row>
    <row r="18" spans="4:7" outlineLevel="1" x14ac:dyDescent="0.2">
      <c r="D18" s="162" t="str">
        <v>3G - Tráfico de voz saliente a móvil</v>
      </c>
      <c r="E18" s="162" t="str">
        <v>minutos</v>
      </c>
      <c r="G18" s="163">
        <v>5512751958.4021235</v>
      </c>
    </row>
    <row r="19" spans="4:7" outlineLevel="1" x14ac:dyDescent="0.2">
      <c r="D19" s="162" t="str">
        <v>3G - Tráfico de voz saliente a internacional</v>
      </c>
      <c r="E19" s="162" t="str">
        <v>minutos</v>
      </c>
      <c r="G19" s="163">
        <v>53886677.164912596</v>
      </c>
    </row>
    <row r="20" spans="4:7" outlineLevel="1" x14ac:dyDescent="0.2">
      <c r="D20" s="162" t="str">
        <v>3G - Tráfico de voz entrante desde fijo</v>
      </c>
      <c r="E20" s="162" t="str">
        <v>minutos</v>
      </c>
      <c r="G20" s="163">
        <v>300238588.01279199</v>
      </c>
    </row>
    <row r="21" spans="4:7" outlineLevel="1" x14ac:dyDescent="0.2">
      <c r="D21" s="162" t="str">
        <v>3G - Tráfico de voz entrante desde móvil</v>
      </c>
      <c r="E21" s="162" t="str">
        <v>minutos</v>
      </c>
      <c r="G21" s="163">
        <v>5512751958.4021244</v>
      </c>
    </row>
    <row r="22" spans="4:7" outlineLevel="1" x14ac:dyDescent="0.2">
      <c r="D22" s="162" t="str">
        <v>3G - Tráfico de voz entrante desde internacional</v>
      </c>
      <c r="E22" s="162" t="str">
        <v>minutos</v>
      </c>
      <c r="G22" s="163">
        <v>94560325.166714713</v>
      </c>
    </row>
    <row r="23" spans="4:7" outlineLevel="1" x14ac:dyDescent="0.2">
      <c r="D23" s="162" t="str">
        <v>4G - Tráfico de voz on-net</v>
      </c>
      <c r="E23" s="162" t="str">
        <v>minutos</v>
      </c>
      <c r="G23" s="163">
        <v>0</v>
      </c>
    </row>
    <row r="24" spans="4:7" outlineLevel="1" x14ac:dyDescent="0.2">
      <c r="D24" s="162" t="str">
        <v>4G - Tráfico de voz saliente a fijo</v>
      </c>
      <c r="E24" s="162" t="str">
        <v>minutos</v>
      </c>
      <c r="G24" s="163">
        <v>0</v>
      </c>
    </row>
    <row r="25" spans="4:7" outlineLevel="1" x14ac:dyDescent="0.2">
      <c r="D25" s="162" t="str">
        <v>4G - Tráfico de voz saliente a móvil</v>
      </c>
      <c r="E25" s="162" t="str">
        <v>minutos</v>
      </c>
      <c r="G25" s="163">
        <v>0</v>
      </c>
    </row>
    <row r="26" spans="4:7" outlineLevel="1" x14ac:dyDescent="0.2">
      <c r="D26" s="162" t="str">
        <v>4G - Tráfico de voz saliente a internacional</v>
      </c>
      <c r="E26" s="162" t="str">
        <v>minutos</v>
      </c>
      <c r="G26" s="163">
        <v>0</v>
      </c>
    </row>
    <row r="27" spans="4:7" outlineLevel="1" x14ac:dyDescent="0.2">
      <c r="D27" s="162" t="str">
        <v>4G - Tráfico de voz entrante desde fijo</v>
      </c>
      <c r="E27" s="162" t="str">
        <v>minutos</v>
      </c>
      <c r="G27" s="163">
        <v>0</v>
      </c>
    </row>
    <row r="28" spans="4:7" outlineLevel="1" x14ac:dyDescent="0.2">
      <c r="D28" s="162" t="str">
        <v>4G - Tráfico de voz entrante desde móvil</v>
      </c>
      <c r="E28" s="162" t="str">
        <v>minutos</v>
      </c>
      <c r="G28" s="163">
        <v>0</v>
      </c>
    </row>
    <row r="29" spans="4:7" outlineLevel="1" x14ac:dyDescent="0.2">
      <c r="D29" s="162" t="str">
        <v>4G - Tráfico de voz entrante desde internacional</v>
      </c>
      <c r="E29" s="162" t="str">
        <v>minutos</v>
      </c>
      <c r="G29" s="163">
        <v>0</v>
      </c>
    </row>
    <row r="30" spans="4:7" outlineLevel="1" x14ac:dyDescent="0.2">
      <c r="D30" s="162" t="str">
        <v>2G - SMSs on-net</v>
      </c>
      <c r="E30" s="162" t="str">
        <v>SMS</v>
      </c>
      <c r="G30" s="163">
        <v>467255840.72455692</v>
      </c>
    </row>
    <row r="31" spans="4:7" outlineLevel="1" x14ac:dyDescent="0.2">
      <c r="D31" s="162" t="str">
        <v>2G - SMS salientes</v>
      </c>
      <c r="E31" s="162" t="str">
        <v>SMS</v>
      </c>
      <c r="G31" s="163">
        <v>388105567.31469476</v>
      </c>
    </row>
    <row r="32" spans="4:7" outlineLevel="1" x14ac:dyDescent="0.2">
      <c r="D32" s="162" t="str">
        <v>2G - SMS entrantes</v>
      </c>
      <c r="E32" s="162" t="str">
        <v>SMS</v>
      </c>
      <c r="G32" s="163">
        <v>353681926.04408157</v>
      </c>
    </row>
    <row r="33" spans="4:7" outlineLevel="1" x14ac:dyDescent="0.2">
      <c r="D33" s="162" t="str">
        <v>3G - SMSs on-net</v>
      </c>
      <c r="E33" s="162" t="str">
        <v>SMS</v>
      </c>
      <c r="G33" s="163">
        <v>1401767522.1736708</v>
      </c>
    </row>
    <row r="34" spans="4:7" outlineLevel="1" x14ac:dyDescent="0.2">
      <c r="D34" s="162" t="str">
        <v>3G - SMS salientes</v>
      </c>
      <c r="E34" s="162" t="str">
        <v>SMS</v>
      </c>
      <c r="G34" s="163">
        <v>1164316701.9440842</v>
      </c>
    </row>
    <row r="35" spans="4:7" outlineLevel="1" x14ac:dyDescent="0.2">
      <c r="D35" s="162" t="str">
        <v>3G - SMS entrantes</v>
      </c>
      <c r="E35" s="162" t="str">
        <v>SMS</v>
      </c>
      <c r="G35" s="163">
        <v>1061045778.1322447</v>
      </c>
    </row>
    <row r="36" spans="4:7" outlineLevel="1" x14ac:dyDescent="0.2">
      <c r="D36" s="162" t="str">
        <v>4G - SMSs on-net</v>
      </c>
      <c r="E36" s="162" t="str">
        <v>SMS</v>
      </c>
      <c r="G36" s="163">
        <v>0</v>
      </c>
    </row>
    <row r="37" spans="4:7" outlineLevel="1" x14ac:dyDescent="0.2">
      <c r="D37" s="162" t="str">
        <v>4G - SMS salientes</v>
      </c>
      <c r="E37" s="162" t="str">
        <v>SMS</v>
      </c>
      <c r="G37" s="163">
        <v>0</v>
      </c>
    </row>
    <row r="38" spans="4:7" outlineLevel="1" x14ac:dyDescent="0.2">
      <c r="D38" s="162" t="str">
        <v>4G - SMS entrantes</v>
      </c>
      <c r="E38" s="162" t="str">
        <v>SMS</v>
      </c>
      <c r="G38" s="163">
        <v>0</v>
      </c>
    </row>
    <row r="39" spans="4:7" outlineLevel="1" x14ac:dyDescent="0.2">
      <c r="D39" s="162" t="str">
        <v>GPRS data Mbytes</v>
      </c>
      <c r="E39" s="162" t="str">
        <v>Mbytes</v>
      </c>
      <c r="G39" s="163">
        <v>30992071983.579018</v>
      </c>
    </row>
    <row r="40" spans="4:7" outlineLevel="1" x14ac:dyDescent="0.2">
      <c r="D40" s="162" t="str">
        <v>R99 data Mbytes</v>
      </c>
      <c r="E40" s="162" t="str">
        <v>Mbytes</v>
      </c>
      <c r="G40" s="163">
        <v>1549603599.1789508</v>
      </c>
    </row>
    <row r="41" spans="4:7" outlineLevel="1" x14ac:dyDescent="0.2">
      <c r="D41" s="162" t="str">
        <v>HSDPA data Mbytes</v>
      </c>
      <c r="E41" s="162" t="str">
        <v>Mbytes</v>
      </c>
      <c r="G41" s="163">
        <v>60744461087.814873</v>
      </c>
    </row>
    <row r="42" spans="4:7" outlineLevel="1" x14ac:dyDescent="0.2">
      <c r="D42" s="162" t="str">
        <v>HSUPA data Mbytes</v>
      </c>
      <c r="E42" s="162" t="str">
        <v>Mbytes</v>
      </c>
      <c r="G42" s="163">
        <v>15186115271.953714</v>
      </c>
    </row>
    <row r="43" spans="4:7" outlineLevel="1" x14ac:dyDescent="0.2">
      <c r="D43" s="162" t="str">
        <v>LTE data Mbytes</v>
      </c>
      <c r="E43" s="162" t="str">
        <v>Mbytes</v>
      </c>
      <c r="G43" s="163">
        <v>46488107975.368523</v>
      </c>
    </row>
    <row r="44" spans="4:7" outlineLevel="1" x14ac:dyDescent="0.2">
      <c r="D44" s="162" t="str">
        <v>spare</v>
      </c>
      <c r="E44" s="162" t="str">
        <v>spare</v>
      </c>
      <c r="G44" s="163">
        <v>0</v>
      </c>
    </row>
    <row r="45" spans="4:7" outlineLevel="1" x14ac:dyDescent="0.2">
      <c r="D45" s="162" t="str">
        <v>Suscriptores de solo voz (media del año)</v>
      </c>
      <c r="E45" s="162" t="str">
        <v>suscriptores</v>
      </c>
      <c r="G45" s="163">
        <v>5816039.3333333302</v>
      </c>
    </row>
    <row r="46" spans="4:7" outlineLevel="1" x14ac:dyDescent="0.2">
      <c r="D46" s="162" t="str">
        <v>Suscriptores de voz y datos (media del año)</v>
      </c>
      <c r="E46" s="162" t="str">
        <v>suscriptores</v>
      </c>
      <c r="G46" s="163">
        <v>5671666.666666666</v>
      </c>
    </row>
    <row r="47" spans="4:7" outlineLevel="1" x14ac:dyDescent="0.2">
      <c r="D47" s="162" t="str">
        <v>spare</v>
      </c>
      <c r="E47" s="162" t="str">
        <v>spare</v>
      </c>
      <c r="G47" s="163">
        <v>0</v>
      </c>
    </row>
    <row r="48" spans="4:7" outlineLevel="1" x14ac:dyDescent="0.2">
      <c r="D48" s="162" t="str">
        <v>spare</v>
      </c>
      <c r="E48" s="162" t="str">
        <v>spare</v>
      </c>
      <c r="G48" s="163">
        <v>0</v>
      </c>
    </row>
    <row r="49" spans="1:11" outlineLevel="1" x14ac:dyDescent="0.2">
      <c r="D49" s="162" t="str">
        <v>spare</v>
      </c>
      <c r="E49" s="162" t="str">
        <v>spare</v>
      </c>
      <c r="G49" s="163">
        <v>0</v>
      </c>
    </row>
    <row r="50" spans="1:11" outlineLevel="1" x14ac:dyDescent="0.2">
      <c r="D50" s="162" t="str">
        <v>spare</v>
      </c>
      <c r="E50" s="162" t="str">
        <v>spare</v>
      </c>
      <c r="G50" s="163">
        <v>0</v>
      </c>
    </row>
    <row r="51" spans="1:11" outlineLevel="1" x14ac:dyDescent="0.2">
      <c r="D51" s="162" t="str">
        <v>spare</v>
      </c>
      <c r="E51" s="162" t="str">
        <v>spare</v>
      </c>
      <c r="G51" s="163">
        <v>0</v>
      </c>
    </row>
    <row r="52" spans="1:11" outlineLevel="1" x14ac:dyDescent="0.2">
      <c r="D52" s="162" t="str">
        <v>spare</v>
      </c>
      <c r="E52" s="162" t="str">
        <v>spare</v>
      </c>
      <c r="G52" s="163">
        <v>0</v>
      </c>
    </row>
    <row r="53" spans="1:11" outlineLevel="1" x14ac:dyDescent="0.2">
      <c r="D53" s="162" t="str">
        <v>spare</v>
      </c>
      <c r="E53" s="162" t="str">
        <v>spare</v>
      </c>
      <c r="G53" s="163">
        <v>0</v>
      </c>
    </row>
    <row r="54" spans="1:11" outlineLevel="1" x14ac:dyDescent="0.2">
      <c r="D54" s="162" t="str">
        <v>spare</v>
      </c>
      <c r="E54" s="162" t="str">
        <v>spare</v>
      </c>
      <c r="G54" s="163">
        <v>0</v>
      </c>
    </row>
    <row r="55" spans="1:11" outlineLevel="1" x14ac:dyDescent="0.2">
      <c r="D55" s="162" t="str">
        <v>spare</v>
      </c>
      <c r="E55" s="162" t="str">
        <v>spare</v>
      </c>
      <c r="G55" s="163">
        <v>0</v>
      </c>
    </row>
    <row r="56" spans="1:11" outlineLevel="1" x14ac:dyDescent="0.2">
      <c r="D56" s="162" t="str">
        <v>spare</v>
      </c>
      <c r="E56" s="162" t="str">
        <v>spare</v>
      </c>
      <c r="G56" s="163">
        <v>0</v>
      </c>
    </row>
    <row r="57" spans="1:11" outlineLevel="1" x14ac:dyDescent="0.2">
      <c r="D57" s="162" t="str">
        <v>spare</v>
      </c>
      <c r="E57" s="162" t="str">
        <v>spare</v>
      </c>
      <c r="G57" s="163">
        <v>0</v>
      </c>
    </row>
    <row r="58" spans="1:11" x14ac:dyDescent="0.2">
      <c r="D58" s="162" t="str">
        <v>spare</v>
      </c>
      <c r="E58" s="162" t="str">
        <v>spare</v>
      </c>
      <c r="G58" s="163">
        <v>0</v>
      </c>
    </row>
    <row r="61" spans="1:11" customFormat="1" ht="15.75" x14ac:dyDescent="0.2">
      <c r="A61" s="171" t="s">
        <v>724</v>
      </c>
      <c r="B61" s="171"/>
      <c r="C61" s="171"/>
      <c r="D61" s="171"/>
      <c r="E61" s="171"/>
      <c r="F61" s="171"/>
      <c r="G61" s="171"/>
      <c r="H61" s="171"/>
      <c r="I61" s="171"/>
      <c r="J61" s="171"/>
      <c r="K61" s="171"/>
    </row>
    <row r="63" spans="1:11" ht="15.75" x14ac:dyDescent="0.2">
      <c r="B63" s="52" t="s">
        <v>725</v>
      </c>
    </row>
    <row r="64" spans="1:11" ht="64.5" customHeight="1" x14ac:dyDescent="0.2">
      <c r="G64" s="98" t="s">
        <v>727</v>
      </c>
      <c r="H64" s="98" t="s">
        <v>728</v>
      </c>
      <c r="I64" s="98" t="s">
        <v>729</v>
      </c>
      <c r="J64" s="231" t="s">
        <v>730</v>
      </c>
    </row>
    <row r="65" spans="2:11" x14ac:dyDescent="0.2">
      <c r="D65" s="49" t="s">
        <v>411</v>
      </c>
      <c r="G65" s="163">
        <f>CTRL.BH.days.per.year</f>
        <v>365</v>
      </c>
      <c r="H65" s="368">
        <f>CTRL._.weekly.traffic.BH.days</f>
        <v>1</v>
      </c>
      <c r="I65" s="369">
        <f>CTRL._.voice.in.voice.BH</f>
        <v>0.08</v>
      </c>
      <c r="J65" s="369">
        <f>CTRL._.voice.in.data.BH</f>
        <v>0.05</v>
      </c>
      <c r="K65" s="63"/>
    </row>
    <row r="66" spans="2:11" x14ac:dyDescent="0.2">
      <c r="D66" s="49" t="s">
        <v>5</v>
      </c>
      <c r="G66" s="95">
        <f>G65</f>
        <v>365</v>
      </c>
      <c r="H66" s="34">
        <f>H65</f>
        <v>1</v>
      </c>
      <c r="I66" s="121">
        <f>I67</f>
        <v>0.06</v>
      </c>
      <c r="J66" s="121">
        <f>J67</f>
        <v>7.4999999999999997E-2</v>
      </c>
    </row>
    <row r="67" spans="2:11" x14ac:dyDescent="0.2">
      <c r="D67" s="50" t="s">
        <v>417</v>
      </c>
      <c r="G67" s="95">
        <f>G66</f>
        <v>365</v>
      </c>
      <c r="H67" s="34">
        <f>H66</f>
        <v>1</v>
      </c>
      <c r="I67" s="369">
        <f>CTRL._.data.in.voice.BH</f>
        <v>0.06</v>
      </c>
      <c r="J67" s="369">
        <f>CTRL._.data.in.data.BH</f>
        <v>7.4999999999999997E-2</v>
      </c>
    </row>
    <row r="70" spans="2:11" ht="15.75" x14ac:dyDescent="0.2">
      <c r="B70" s="52" t="s">
        <v>726</v>
      </c>
    </row>
    <row r="72" spans="2:11" x14ac:dyDescent="0.2">
      <c r="C72" s="41" t="s">
        <v>731</v>
      </c>
    </row>
    <row r="73" spans="2:11" x14ac:dyDescent="0.2">
      <c r="D73" s="162" t="str">
        <f t="array" ref="D73:D86">Voice.services.list</f>
        <v>2G - Tráfico de voz on-net</v>
      </c>
      <c r="E73" s="162" t="str">
        <f t="array" ref="E73:E86">Voice.services.list.units</f>
        <v>minutos</v>
      </c>
      <c r="G73" s="80">
        <f t="array" ref="G73:G86">$G$9:$G$22/$G$65*$H$65*$I$65/minutes.per.hour</f>
        <v>12342.329073773084</v>
      </c>
    </row>
    <row r="74" spans="2:11" outlineLevel="1" x14ac:dyDescent="0.2">
      <c r="D74" s="162" t="str">
        <v>2G - Tráfico de voz saliente a fijo</v>
      </c>
      <c r="E74" s="162" t="str">
        <v>minutos</v>
      </c>
      <c r="G74" s="80">
        <v>774.12174694904809</v>
      </c>
    </row>
    <row r="75" spans="2:11" outlineLevel="1" x14ac:dyDescent="0.2">
      <c r="D75" s="162" t="str">
        <v>2G - Tráfico de voz saliente a móvil</v>
      </c>
      <c r="E75" s="162" t="str">
        <v>minutos</v>
      </c>
      <c r="G75" s="80">
        <v>6712.6355657864515</v>
      </c>
    </row>
    <row r="76" spans="2:11" outlineLevel="1" x14ac:dyDescent="0.2">
      <c r="D76" s="162" t="str">
        <v>2G - Tráfico de voz saliente a internacional</v>
      </c>
      <c r="E76" s="162" t="str">
        <v>minutos</v>
      </c>
      <c r="G76" s="80">
        <v>65.615436426073174</v>
      </c>
    </row>
    <row r="77" spans="2:11" outlineLevel="1" x14ac:dyDescent="0.2">
      <c r="D77" s="162" t="str">
        <v>2G - Tráfico de voz entrante desde fijo</v>
      </c>
      <c r="E77" s="162" t="str">
        <v>minutos</v>
      </c>
      <c r="G77" s="80">
        <v>365.58732178117748</v>
      </c>
    </row>
    <row r="78" spans="2:11" outlineLevel="1" x14ac:dyDescent="0.2">
      <c r="D78" s="162" t="str">
        <v>2G - Tráfico de voz entrante desde móvil</v>
      </c>
      <c r="E78" s="162" t="str">
        <v>minutos</v>
      </c>
      <c r="G78" s="80">
        <v>6712.6355657864524</v>
      </c>
    </row>
    <row r="79" spans="2:11" outlineLevel="1" x14ac:dyDescent="0.2">
      <c r="D79" s="163" t="str">
        <v>2G - Tráfico de voz entrante desde internacional</v>
      </c>
      <c r="E79" s="163" t="str">
        <v>minutos</v>
      </c>
      <c r="G79" s="80">
        <v>115.14194845262065</v>
      </c>
    </row>
    <row r="80" spans="2:11" outlineLevel="1" x14ac:dyDescent="0.2">
      <c r="D80" s="163" t="str">
        <v>3G - Tráfico de voz on-net</v>
      </c>
      <c r="E80" s="163" t="str">
        <v>minutos</v>
      </c>
      <c r="G80" s="80">
        <v>37026.98722131925</v>
      </c>
    </row>
    <row r="81" spans="1:7" outlineLevel="1" x14ac:dyDescent="0.2">
      <c r="D81" s="162" t="str">
        <v>3G - Tráfico de voz saliente a fijo</v>
      </c>
      <c r="E81" s="162" t="str">
        <v>minutos</v>
      </c>
      <c r="G81" s="80">
        <v>2322.3652408471444</v>
      </c>
    </row>
    <row r="82" spans="1:7" outlineLevel="1" x14ac:dyDescent="0.2">
      <c r="D82" s="162" t="str">
        <v>3G - Tráfico de voz saliente a móvil</v>
      </c>
      <c r="E82" s="162" t="str">
        <v>minutos</v>
      </c>
      <c r="G82" s="80">
        <v>20137.906697359354</v>
      </c>
    </row>
    <row r="83" spans="1:7" outlineLevel="1" x14ac:dyDescent="0.2">
      <c r="D83" s="162" t="str">
        <v>3G - Tráfico de voz saliente a internacional</v>
      </c>
      <c r="E83" s="162" t="str">
        <v>minutos</v>
      </c>
      <c r="G83" s="80">
        <v>196.84630927821951</v>
      </c>
    </row>
    <row r="84" spans="1:7" outlineLevel="1" x14ac:dyDescent="0.2">
      <c r="D84" s="162" t="str">
        <v>3G - Tráfico de voz entrante desde fijo</v>
      </c>
      <c r="E84" s="162" t="str">
        <v>minutos</v>
      </c>
      <c r="G84" s="80">
        <v>1096.7619653435324</v>
      </c>
    </row>
    <row r="85" spans="1:7" outlineLevel="1" x14ac:dyDescent="0.2">
      <c r="D85" s="162" t="str">
        <v>3G - Tráfico de voz entrante desde móvil</v>
      </c>
      <c r="E85" s="162" t="str">
        <v>minutos</v>
      </c>
      <c r="G85" s="80">
        <v>20137.906697359358</v>
      </c>
    </row>
    <row r="86" spans="1:7" x14ac:dyDescent="0.2">
      <c r="D86" s="162" t="str">
        <v>3G - Tráfico de voz entrante desde internacional</v>
      </c>
      <c r="E86" s="162" t="str">
        <v>minutos</v>
      </c>
      <c r="G86" s="80">
        <v>345.42584535786199</v>
      </c>
    </row>
    <row r="87" spans="1:7" x14ac:dyDescent="0.2">
      <c r="A87"/>
    </row>
    <row r="88" spans="1:7" x14ac:dyDescent="0.2">
      <c r="A88"/>
      <c r="D88" s="162" t="str">
        <f t="array" ref="D88:D94">VoLTE.services.list</f>
        <v>4G - Tráfico de voz on-net</v>
      </c>
      <c r="E88" s="162" t="str">
        <f t="array" ref="E88:E94">VoLTE.services.list.units</f>
        <v>minutos</v>
      </c>
      <c r="G88" s="192">
        <f t="array" ref="G88:G94">$G$23:$G$29/$G$65*$H$65*$I$65/minutes.per.hour</f>
        <v>0</v>
      </c>
    </row>
    <row r="89" spans="1:7" outlineLevel="1" x14ac:dyDescent="0.2">
      <c r="A89"/>
      <c r="D89" s="162" t="str">
        <v>4G - Tráfico de voz saliente a fijo</v>
      </c>
      <c r="E89" s="162" t="str">
        <v>minutos</v>
      </c>
      <c r="G89" s="192">
        <v>0</v>
      </c>
    </row>
    <row r="90" spans="1:7" outlineLevel="1" x14ac:dyDescent="0.2">
      <c r="A90"/>
      <c r="D90" s="162" t="str">
        <v>4G - Tráfico de voz saliente a móvil</v>
      </c>
      <c r="E90" s="162" t="str">
        <v>minutos</v>
      </c>
      <c r="G90" s="192">
        <v>0</v>
      </c>
    </row>
    <row r="91" spans="1:7" outlineLevel="1" x14ac:dyDescent="0.2">
      <c r="A91"/>
      <c r="D91" s="162" t="str">
        <v>4G - Tráfico de voz saliente a internacional</v>
      </c>
      <c r="E91" s="162" t="str">
        <v>minutos</v>
      </c>
      <c r="G91" s="192">
        <v>0</v>
      </c>
    </row>
    <row r="92" spans="1:7" outlineLevel="1" x14ac:dyDescent="0.2">
      <c r="A92"/>
      <c r="D92" s="162" t="str">
        <v>4G - Tráfico de voz entrante desde fijo</v>
      </c>
      <c r="E92" s="162" t="str">
        <v>minutos</v>
      </c>
      <c r="G92" s="192">
        <v>0</v>
      </c>
    </row>
    <row r="93" spans="1:7" outlineLevel="1" x14ac:dyDescent="0.2">
      <c r="A93"/>
      <c r="D93" s="162" t="str">
        <v>4G - Tráfico de voz entrante desde móvil</v>
      </c>
      <c r="E93" s="162" t="str">
        <v>minutos</v>
      </c>
      <c r="G93" s="192">
        <v>0</v>
      </c>
    </row>
    <row r="94" spans="1:7" x14ac:dyDescent="0.2">
      <c r="A94"/>
      <c r="D94" s="162" t="str">
        <v>4G - Tráfico de voz entrante desde internacional</v>
      </c>
      <c r="E94" s="162" t="str">
        <v>minutos</v>
      </c>
      <c r="G94" s="192">
        <v>0</v>
      </c>
    </row>
    <row r="95" spans="1:7" x14ac:dyDescent="0.2">
      <c r="A95"/>
    </row>
    <row r="96" spans="1:7" x14ac:dyDescent="0.2">
      <c r="A96"/>
      <c r="C96" s="41" t="s">
        <v>732</v>
      </c>
    </row>
    <row r="97" spans="1:7" x14ac:dyDescent="0.2">
      <c r="A97"/>
      <c r="D97" s="162" t="str">
        <f t="array" ref="D97:D110">Voice.services.list</f>
        <v>2G - Tráfico de voz on-net</v>
      </c>
      <c r="E97" s="162" t="str">
        <f t="array" ref="E97:E110">Voice.services.list.units</f>
        <v>minutos</v>
      </c>
      <c r="G97" s="108">
        <f t="array" ref="G97:G110">$G$9:$G$22/$G$65*$H$65*$J$65/minutes.per.hour</f>
        <v>7713.9556711081777</v>
      </c>
    </row>
    <row r="98" spans="1:7" outlineLevel="1" x14ac:dyDescent="0.2">
      <c r="A98"/>
      <c r="D98" s="162" t="str">
        <v>2G - Tráfico de voz saliente a fijo</v>
      </c>
      <c r="E98" s="162" t="str">
        <v>minutos</v>
      </c>
      <c r="G98" s="108">
        <v>483.8260918431551</v>
      </c>
    </row>
    <row r="99" spans="1:7" outlineLevel="1" x14ac:dyDescent="0.2">
      <c r="A99"/>
      <c r="D99" s="162" t="str">
        <v>2G - Tráfico de voz saliente a móvil</v>
      </c>
      <c r="E99" s="162" t="str">
        <v>minutos</v>
      </c>
      <c r="G99" s="108">
        <v>4195.3972286165326</v>
      </c>
    </row>
    <row r="100" spans="1:7" outlineLevel="1" x14ac:dyDescent="0.2">
      <c r="A100"/>
      <c r="D100" s="162" t="str">
        <v>2G - Tráfico de voz saliente a internacional</v>
      </c>
      <c r="E100" s="162" t="str">
        <v>minutos</v>
      </c>
      <c r="G100" s="108">
        <v>41.009647766295743</v>
      </c>
    </row>
    <row r="101" spans="1:7" outlineLevel="1" x14ac:dyDescent="0.2">
      <c r="A101"/>
      <c r="D101" s="162" t="str">
        <v>2G - Tráfico de voz entrante desde fijo</v>
      </c>
      <c r="E101" s="162" t="str">
        <v>minutos</v>
      </c>
      <c r="G101" s="108">
        <v>228.49207611323592</v>
      </c>
    </row>
    <row r="102" spans="1:7" outlineLevel="1" x14ac:dyDescent="0.2">
      <c r="A102"/>
      <c r="D102" s="162" t="str">
        <v>2G - Tráfico de voz entrante desde móvil</v>
      </c>
      <c r="E102" s="162" t="str">
        <v>minutos</v>
      </c>
      <c r="G102" s="108">
        <v>4195.3972286165326</v>
      </c>
    </row>
    <row r="103" spans="1:7" outlineLevel="1" x14ac:dyDescent="0.2">
      <c r="A103"/>
      <c r="D103" s="163" t="str">
        <v>2G - Tráfico de voz entrante desde internacional</v>
      </c>
      <c r="E103" s="163" t="str">
        <v>minutos</v>
      </c>
      <c r="G103" s="108">
        <v>71.963717782887912</v>
      </c>
    </row>
    <row r="104" spans="1:7" outlineLevel="1" x14ac:dyDescent="0.2">
      <c r="A104"/>
      <c r="D104" s="163" t="str">
        <v>3G - Tráfico de voz on-net</v>
      </c>
      <c r="E104" s="163" t="str">
        <v>minutos</v>
      </c>
      <c r="G104" s="108">
        <v>23141.867013324532</v>
      </c>
    </row>
    <row r="105" spans="1:7" outlineLevel="1" x14ac:dyDescent="0.2">
      <c r="A105"/>
      <c r="D105" s="162" t="str">
        <v>3G - Tráfico de voz saliente a fijo</v>
      </c>
      <c r="E105" s="162" t="str">
        <v>minutos</v>
      </c>
      <c r="G105" s="108">
        <v>1451.4782755294652</v>
      </c>
    </row>
    <row r="106" spans="1:7" outlineLevel="1" x14ac:dyDescent="0.2">
      <c r="A106"/>
      <c r="D106" s="162" t="str">
        <v>3G - Tráfico de voz saliente a móvil</v>
      </c>
      <c r="E106" s="162" t="str">
        <v>minutos</v>
      </c>
      <c r="G106" s="108">
        <v>12586.191685849599</v>
      </c>
    </row>
    <row r="107" spans="1:7" outlineLevel="1" x14ac:dyDescent="0.2">
      <c r="A107"/>
      <c r="D107" s="162" t="str">
        <v>3G - Tráfico de voz saliente a internacional</v>
      </c>
      <c r="E107" s="162" t="str">
        <v>minutos</v>
      </c>
      <c r="G107" s="108">
        <v>123.0289432988872</v>
      </c>
    </row>
    <row r="108" spans="1:7" outlineLevel="1" x14ac:dyDescent="0.2">
      <c r="A108"/>
      <c r="D108" s="162" t="str">
        <v>3G - Tráfico de voz entrante desde fijo</v>
      </c>
      <c r="E108" s="162" t="str">
        <v>minutos</v>
      </c>
      <c r="G108" s="108">
        <v>685.47622833970786</v>
      </c>
    </row>
    <row r="109" spans="1:7" outlineLevel="1" x14ac:dyDescent="0.2">
      <c r="A109"/>
      <c r="D109" s="162" t="str">
        <v>3G - Tráfico de voz entrante desde móvil</v>
      </c>
      <c r="E109" s="162" t="str">
        <v>minutos</v>
      </c>
      <c r="G109" s="108">
        <v>12586.191685849599</v>
      </c>
    </row>
    <row r="110" spans="1:7" x14ac:dyDescent="0.2">
      <c r="A110"/>
      <c r="D110" s="162" t="str">
        <v>3G - Tráfico de voz entrante desde internacional</v>
      </c>
      <c r="E110" s="162" t="str">
        <v>minutos</v>
      </c>
      <c r="G110" s="108">
        <v>215.89115334866375</v>
      </c>
    </row>
    <row r="111" spans="1:7" x14ac:dyDescent="0.2">
      <c r="A111"/>
    </row>
    <row r="112" spans="1:7" x14ac:dyDescent="0.2">
      <c r="A112"/>
      <c r="D112" s="162" t="str">
        <f t="array" ref="D112:D118">VoLTE.services.list</f>
        <v>4G - Tráfico de voz on-net</v>
      </c>
      <c r="E112" s="162" t="str">
        <f t="array" ref="E112:E118">VoLTE.services.list.units</f>
        <v>minutos</v>
      </c>
      <c r="G112" s="192">
        <f t="array" ref="G112:G118">$G$23:$G$29/$G$65*$H$65*$J$65/minutes.per.hour</f>
        <v>0</v>
      </c>
    </row>
    <row r="113" spans="1:7" outlineLevel="1" x14ac:dyDescent="0.2">
      <c r="A113"/>
      <c r="D113" s="162" t="str">
        <v>4G - Tráfico de voz saliente a fijo</v>
      </c>
      <c r="E113" s="162" t="str">
        <v>minutos</v>
      </c>
      <c r="G113" s="192">
        <v>0</v>
      </c>
    </row>
    <row r="114" spans="1:7" outlineLevel="1" x14ac:dyDescent="0.2">
      <c r="A114"/>
      <c r="D114" s="162" t="str">
        <v>4G - Tráfico de voz saliente a móvil</v>
      </c>
      <c r="E114" s="162" t="str">
        <v>minutos</v>
      </c>
      <c r="G114" s="192">
        <v>0</v>
      </c>
    </row>
    <row r="115" spans="1:7" outlineLevel="1" x14ac:dyDescent="0.2">
      <c r="A115"/>
      <c r="D115" s="162" t="str">
        <v>4G - Tráfico de voz saliente a internacional</v>
      </c>
      <c r="E115" s="162" t="str">
        <v>minutos</v>
      </c>
      <c r="G115" s="192">
        <v>0</v>
      </c>
    </row>
    <row r="116" spans="1:7" outlineLevel="1" x14ac:dyDescent="0.2">
      <c r="A116"/>
      <c r="D116" s="162" t="str">
        <v>4G - Tráfico de voz entrante desde fijo</v>
      </c>
      <c r="E116" s="162" t="str">
        <v>minutos</v>
      </c>
      <c r="G116" s="192">
        <v>0</v>
      </c>
    </row>
    <row r="117" spans="1:7" outlineLevel="1" x14ac:dyDescent="0.2">
      <c r="A117"/>
      <c r="D117" s="162" t="str">
        <v>4G - Tráfico de voz entrante desde móvil</v>
      </c>
      <c r="E117" s="162" t="str">
        <v>minutos</v>
      </c>
      <c r="G117" s="192">
        <v>0</v>
      </c>
    </row>
    <row r="118" spans="1:7" x14ac:dyDescent="0.2">
      <c r="A118"/>
      <c r="D118" s="162" t="str">
        <v>4G - Tráfico de voz entrante desde internacional</v>
      </c>
      <c r="E118" s="162" t="str">
        <v>minutos</v>
      </c>
      <c r="G118" s="192">
        <v>0</v>
      </c>
    </row>
    <row r="119" spans="1:7" x14ac:dyDescent="0.2">
      <c r="A119"/>
    </row>
    <row r="120" spans="1:7" x14ac:dyDescent="0.2">
      <c r="C120" s="198" t="s">
        <v>733</v>
      </c>
      <c r="G120" s="199">
        <f>LTE.voice.rate</f>
        <v>12.65</v>
      </c>
    </row>
    <row r="122" spans="1:7" x14ac:dyDescent="0.2">
      <c r="C122" s="41" t="s">
        <v>734</v>
      </c>
    </row>
    <row r="123" spans="1:7" x14ac:dyDescent="0.2">
      <c r="D123" s="162" t="str">
        <f t="array" ref="D123:D129">VoLTE.services.list</f>
        <v>4G - Tráfico de voz on-net</v>
      </c>
      <c r="E123" s="162" t="str">
        <f t="array" ref="E123:E129">VoLTE.services.list.units</f>
        <v>minutos</v>
      </c>
      <c r="G123" s="192">
        <f t="array" ref="G123:G129">$G$23:$G$29*(seconds.per.minute*$G$120/Kbits.per.Mbits)/$G$65*$H$65*$I$65/seconds.per.hour</f>
        <v>0</v>
      </c>
    </row>
    <row r="124" spans="1:7" outlineLevel="1" x14ac:dyDescent="0.2">
      <c r="D124" s="162" t="str">
        <v>4G - Tráfico de voz saliente a fijo</v>
      </c>
      <c r="E124" s="162" t="str">
        <v>minutos</v>
      </c>
      <c r="G124" s="192">
        <v>0</v>
      </c>
    </row>
    <row r="125" spans="1:7" outlineLevel="1" x14ac:dyDescent="0.2">
      <c r="D125" s="162" t="str">
        <v>4G - Tráfico de voz saliente a móvil</v>
      </c>
      <c r="E125" s="162" t="str">
        <v>minutos</v>
      </c>
      <c r="G125" s="192">
        <v>0</v>
      </c>
    </row>
    <row r="126" spans="1:7" outlineLevel="1" x14ac:dyDescent="0.2">
      <c r="D126" s="162" t="str">
        <v>4G - Tráfico de voz saliente a internacional</v>
      </c>
      <c r="E126" s="162" t="str">
        <v>minutos</v>
      </c>
      <c r="G126" s="192">
        <v>0</v>
      </c>
    </row>
    <row r="127" spans="1:7" outlineLevel="1" x14ac:dyDescent="0.2">
      <c r="D127" s="162" t="str">
        <v>4G - Tráfico de voz entrante desde fijo</v>
      </c>
      <c r="E127" s="162" t="str">
        <v>minutos</v>
      </c>
      <c r="G127" s="192">
        <v>0</v>
      </c>
    </row>
    <row r="128" spans="1:7" outlineLevel="1" x14ac:dyDescent="0.2">
      <c r="D128" s="162" t="str">
        <v>4G - Tráfico de voz entrante desde móvil</v>
      </c>
      <c r="E128" s="162" t="str">
        <v>minutos</v>
      </c>
      <c r="G128" s="192">
        <v>0</v>
      </c>
    </row>
    <row r="129" spans="1:11" x14ac:dyDescent="0.2">
      <c r="A129"/>
      <c r="D129" s="162" t="str">
        <v>4G - Tráfico de voz entrante desde internacional</v>
      </c>
      <c r="E129" s="162" t="str">
        <v>minutos</v>
      </c>
      <c r="G129" s="192">
        <v>0</v>
      </c>
    </row>
    <row r="130" spans="1:11" x14ac:dyDescent="0.2">
      <c r="A130"/>
    </row>
    <row r="131" spans="1:11" x14ac:dyDescent="0.2">
      <c r="A131"/>
      <c r="C131" s="41" t="s">
        <v>735</v>
      </c>
    </row>
    <row r="132" spans="1:11" x14ac:dyDescent="0.2">
      <c r="A132"/>
      <c r="D132" s="162" t="str">
        <f t="array" ref="D132:D138">VoLTE.services.list</f>
        <v>4G - Tráfico de voz on-net</v>
      </c>
      <c r="E132" s="162" t="str">
        <f t="array" ref="E132:E138">VoLTE.services.list.units</f>
        <v>minutos</v>
      </c>
      <c r="G132" s="192">
        <f t="array" ref="G132:G138">$G$23:$G$29*(seconds.per.minute*$G$120/Kbits.per.Mbits)/$G$65*$H$65*$J$65/seconds.per.hour</f>
        <v>0</v>
      </c>
    </row>
    <row r="133" spans="1:11" outlineLevel="1" x14ac:dyDescent="0.2">
      <c r="A133"/>
      <c r="D133" s="162" t="str">
        <v>4G - Tráfico de voz saliente a fijo</v>
      </c>
      <c r="E133" s="162" t="str">
        <v>minutos</v>
      </c>
      <c r="G133" s="192">
        <v>0</v>
      </c>
    </row>
    <row r="134" spans="1:11" outlineLevel="1" x14ac:dyDescent="0.2">
      <c r="A134"/>
      <c r="D134" s="162" t="str">
        <v>4G - Tráfico de voz saliente a móvil</v>
      </c>
      <c r="E134" s="162" t="str">
        <v>minutos</v>
      </c>
      <c r="G134" s="192">
        <v>0</v>
      </c>
    </row>
    <row r="135" spans="1:11" outlineLevel="1" x14ac:dyDescent="0.2">
      <c r="A135"/>
      <c r="D135" s="162" t="str">
        <v>4G - Tráfico de voz saliente a internacional</v>
      </c>
      <c r="E135" s="162" t="str">
        <v>minutos</v>
      </c>
      <c r="G135" s="192">
        <v>0</v>
      </c>
    </row>
    <row r="136" spans="1:11" outlineLevel="1" x14ac:dyDescent="0.2">
      <c r="A136"/>
      <c r="D136" s="162" t="str">
        <v>4G - Tráfico de voz entrante desde fijo</v>
      </c>
      <c r="E136" s="162" t="str">
        <v>minutos</v>
      </c>
      <c r="G136" s="192">
        <v>0</v>
      </c>
    </row>
    <row r="137" spans="1:11" outlineLevel="1" x14ac:dyDescent="0.2">
      <c r="A137"/>
      <c r="D137" s="162" t="str">
        <v>4G - Tráfico de voz entrante desde móvil</v>
      </c>
      <c r="E137" s="162" t="str">
        <v>minutos</v>
      </c>
      <c r="G137" s="192">
        <v>0</v>
      </c>
    </row>
    <row r="138" spans="1:11" x14ac:dyDescent="0.2">
      <c r="A138"/>
      <c r="D138" s="162" t="str">
        <v>4G - Tráfico de voz entrante desde internacional</v>
      </c>
      <c r="E138" s="162" t="str">
        <v>minutos</v>
      </c>
      <c r="G138" s="192">
        <v>0</v>
      </c>
    </row>
    <row r="139" spans="1:11" x14ac:dyDescent="0.2">
      <c r="A139"/>
    </row>
    <row r="140" spans="1:11" x14ac:dyDescent="0.2">
      <c r="A140"/>
    </row>
    <row r="142" spans="1:11" x14ac:dyDescent="0.2">
      <c r="C142" s="41" t="s">
        <v>736</v>
      </c>
    </row>
    <row r="143" spans="1:11" ht="51.75" customHeight="1" x14ac:dyDescent="0.2">
      <c r="G143" s="98" t="s">
        <v>737</v>
      </c>
      <c r="H143" s="98" t="s">
        <v>738</v>
      </c>
      <c r="I143" s="98" t="s">
        <v>739</v>
      </c>
      <c r="J143" s="98" t="s">
        <v>740</v>
      </c>
      <c r="K143" s="367">
        <f>(SUMPRODUCT(Ring.Time.Per.Minute,G73:G79)+SUMPRODUCT(Ring.Time.Per.Minute,G80:G86))/SUM(G73:G86)</f>
        <v>0.10294203155309248</v>
      </c>
    </row>
    <row r="144" spans="1:11" x14ac:dyDescent="0.2">
      <c r="C144" s="195">
        <v>1</v>
      </c>
      <c r="D144" s="7" t="str">
        <f t="shared" ref="D144:D150" si="0">INDEX(Mobile.market.services.list,C144,)</f>
        <v>Tráfico de voz on-net</v>
      </c>
      <c r="G144" s="126">
        <v>1.3</v>
      </c>
      <c r="H144" s="126">
        <f t="array" ref="H144:H150">7/60</f>
        <v>0.11666666666666667</v>
      </c>
      <c r="I144" s="120">
        <v>2</v>
      </c>
      <c r="J144" s="370">
        <f t="shared" ref="J144:J150" si="1">IF(G153=0,0,1/G153*G144*H144)</f>
        <v>8.9215686274509806E-2</v>
      </c>
    </row>
    <row r="145" spans="3:10" x14ac:dyDescent="0.2">
      <c r="C145" s="195">
        <v>2</v>
      </c>
      <c r="D145" s="7" t="str">
        <f t="shared" si="0"/>
        <v>Tráfico de voz saliente a fijo</v>
      </c>
      <c r="G145" s="126">
        <v>1.3</v>
      </c>
      <c r="H145" s="126">
        <v>0.11666666666666667</v>
      </c>
      <c r="I145" s="120">
        <v>1</v>
      </c>
      <c r="J145" s="370">
        <f t="shared" si="1"/>
        <v>9.4791666666666663E-2</v>
      </c>
    </row>
    <row r="146" spans="3:10" x14ac:dyDescent="0.2">
      <c r="C146" s="195">
        <v>3</v>
      </c>
      <c r="D146" s="7" t="str">
        <f t="shared" si="0"/>
        <v>Tráfico de voz saliente a móvil</v>
      </c>
      <c r="G146" s="126">
        <v>1.3</v>
      </c>
      <c r="H146" s="126">
        <v>0.11666666666666667</v>
      </c>
      <c r="I146" s="120">
        <v>1</v>
      </c>
      <c r="J146" s="370">
        <f t="shared" si="1"/>
        <v>0.11666666666666667</v>
      </c>
    </row>
    <row r="147" spans="3:10" x14ac:dyDescent="0.2">
      <c r="C147" s="195">
        <v>4</v>
      </c>
      <c r="D147" s="7" t="str">
        <f t="shared" si="0"/>
        <v>Tráfico de voz saliente a internacional</v>
      </c>
      <c r="G147" s="126">
        <v>1.3</v>
      </c>
      <c r="H147" s="126">
        <v>0.11666666666666667</v>
      </c>
      <c r="I147" s="120">
        <v>1</v>
      </c>
      <c r="J147" s="370">
        <f t="shared" si="1"/>
        <v>7.2222222222222229E-2</v>
      </c>
    </row>
    <row r="148" spans="3:10" x14ac:dyDescent="0.2">
      <c r="C148" s="195">
        <v>5</v>
      </c>
      <c r="D148" s="7" t="str">
        <f t="shared" si="0"/>
        <v>Tráfico de voz entrante desde fijo</v>
      </c>
      <c r="G148" s="126">
        <v>1.3</v>
      </c>
      <c r="H148" s="126">
        <v>0.11666666666666667</v>
      </c>
      <c r="I148" s="120">
        <v>1</v>
      </c>
      <c r="J148" s="370">
        <f t="shared" si="1"/>
        <v>9.4791666666666663E-2</v>
      </c>
    </row>
    <row r="149" spans="3:10" x14ac:dyDescent="0.2">
      <c r="C149" s="195">
        <v>6</v>
      </c>
      <c r="D149" s="7" t="str">
        <f t="shared" si="0"/>
        <v>Tráfico de voz entrante desde móvil</v>
      </c>
      <c r="G149" s="126">
        <v>1.3</v>
      </c>
      <c r="H149" s="126">
        <v>0.11666666666666667</v>
      </c>
      <c r="I149" s="120">
        <v>1</v>
      </c>
      <c r="J149" s="370">
        <f t="shared" si="1"/>
        <v>0.11666666666666667</v>
      </c>
    </row>
    <row r="150" spans="3:10" x14ac:dyDescent="0.2">
      <c r="C150" s="195">
        <v>7</v>
      </c>
      <c r="D150" s="7" t="str">
        <f t="shared" si="0"/>
        <v>Tráfico de voz entrante desde internacional</v>
      </c>
      <c r="G150" s="126">
        <v>1.3</v>
      </c>
      <c r="H150" s="126">
        <v>0.11666666666666667</v>
      </c>
      <c r="I150" s="43">
        <v>1</v>
      </c>
      <c r="J150" s="370">
        <f t="shared" si="1"/>
        <v>7.2222222222222229E-2</v>
      </c>
    </row>
    <row r="151" spans="3:10" x14ac:dyDescent="0.2">
      <c r="I151" s="88" t="s">
        <v>33</v>
      </c>
      <c r="J151" s="88" t="s">
        <v>34</v>
      </c>
    </row>
    <row r="152" spans="3:10" x14ac:dyDescent="0.2">
      <c r="C152" s="41" t="s">
        <v>741</v>
      </c>
    </row>
    <row r="153" spans="3:10" x14ac:dyDescent="0.2">
      <c r="D153" s="119" t="str">
        <f t="array" ref="D153:D159">D144:D150</f>
        <v>Tráfico de voz on-net</v>
      </c>
      <c r="G153" s="161">
        <f t="array" ref="G153:G159">Call.durations</f>
        <v>1.7</v>
      </c>
      <c r="H153"/>
    </row>
    <row r="154" spans="3:10" x14ac:dyDescent="0.2">
      <c r="D154" s="119" t="str">
        <v>Tráfico de voz saliente a fijo</v>
      </c>
      <c r="G154" s="161">
        <v>1.6</v>
      </c>
    </row>
    <row r="155" spans="3:10" x14ac:dyDescent="0.2">
      <c r="D155" s="119" t="str">
        <v>Tráfico de voz saliente a móvil</v>
      </c>
      <c r="G155" s="161">
        <v>1.3</v>
      </c>
    </row>
    <row r="156" spans="3:10" x14ac:dyDescent="0.2">
      <c r="D156" s="26" t="str">
        <v>Tráfico de voz saliente a internacional</v>
      </c>
      <c r="G156" s="161">
        <v>2.1</v>
      </c>
    </row>
    <row r="157" spans="3:10" x14ac:dyDescent="0.2">
      <c r="D157" s="26" t="str">
        <v>Tráfico de voz entrante desde fijo</v>
      </c>
      <c r="G157" s="161">
        <v>1.6</v>
      </c>
    </row>
    <row r="158" spans="3:10" x14ac:dyDescent="0.2">
      <c r="D158" s="26" t="str">
        <v>Tráfico de voz entrante desde móvil</v>
      </c>
      <c r="G158" s="161">
        <v>1.3</v>
      </c>
    </row>
    <row r="159" spans="3:10" x14ac:dyDescent="0.2">
      <c r="D159" s="26" t="str">
        <v>Tráfico de voz entrante desde internacional</v>
      </c>
      <c r="G159" s="161">
        <v>2.1</v>
      </c>
    </row>
    <row r="161" spans="3:7" x14ac:dyDescent="0.2">
      <c r="C161" s="41" t="s">
        <v>742</v>
      </c>
    </row>
    <row r="162" spans="3:7" x14ac:dyDescent="0.2">
      <c r="D162" s="162" t="str">
        <f t="array" ref="D162:D175">Voice.services.list</f>
        <v>2G - Tráfico de voz on-net</v>
      </c>
      <c r="G162" s="192">
        <f t="array" ref="G162:G168">IF(G73:G79=0,0,(G73:G79*(1+1/$G$153:$G$159*$G$144:$G$150*$H$144:$H$150))*Radio.Erlangs.per.Erlang)</f>
        <v>26886.916864631166</v>
      </c>
    </row>
    <row r="163" spans="3:7" outlineLevel="1" x14ac:dyDescent="0.2">
      <c r="D163" s="162" t="str">
        <v>2G - Tráfico de voz saliente a fijo</v>
      </c>
      <c r="G163" s="192">
        <v>847.5020375452599</v>
      </c>
    </row>
    <row r="164" spans="3:7" outlineLevel="1" x14ac:dyDescent="0.2">
      <c r="D164" s="162" t="str">
        <v>2G - Tráfico de voz saliente a móvil</v>
      </c>
      <c r="G164" s="192">
        <v>7495.7763817948708</v>
      </c>
    </row>
    <row r="165" spans="3:7" outlineLevel="1" x14ac:dyDescent="0.2">
      <c r="D165" s="162" t="str">
        <v>2G - Tráfico de voz saliente a internacional</v>
      </c>
      <c r="G165" s="192">
        <v>70.354329056845117</v>
      </c>
    </row>
    <row r="166" spans="3:7" outlineLevel="1" x14ac:dyDescent="0.2">
      <c r="D166" s="162" t="str">
        <v>2G - Tráfico de voz entrante desde fijo</v>
      </c>
      <c r="G166" s="192">
        <v>400.24195332501824</v>
      </c>
    </row>
    <row r="167" spans="3:7" outlineLevel="1" x14ac:dyDescent="0.2">
      <c r="D167" s="162" t="str">
        <v>2G - Tráfico de voz entrante desde móvil</v>
      </c>
      <c r="G167" s="192">
        <v>7495.7763817948717</v>
      </c>
    </row>
    <row r="168" spans="3:7" x14ac:dyDescent="0.2">
      <c r="D168" s="163" t="str">
        <v>2G - Tráfico de voz entrante desde internacional</v>
      </c>
      <c r="G168" s="192">
        <v>123.45775584086547</v>
      </c>
    </row>
    <row r="169" spans="3:7" x14ac:dyDescent="0.2">
      <c r="D169" s="163" t="str">
        <v>3G - Tráfico de voz on-net</v>
      </c>
      <c r="G169" s="196">
        <f t="array" ref="G169:G175">IF(G80:G86=0,0,(G80:G86*(1+1/$G$153:$G$159*$G$144:$G$150*$H$144:$H$150))*Radio.Erlangs.per.Erlang)</f>
        <v>80660.750593893492</v>
      </c>
    </row>
    <row r="170" spans="3:7" outlineLevel="1" x14ac:dyDescent="0.2">
      <c r="D170" s="162" t="str">
        <v>3G - Tráfico de voz saliente a fijo</v>
      </c>
      <c r="G170" s="196">
        <v>2542.50611263578</v>
      </c>
    </row>
    <row r="171" spans="3:7" outlineLevel="1" x14ac:dyDescent="0.2">
      <c r="D171" s="162" t="str">
        <v>3G - Tráfico de voz saliente a móvil</v>
      </c>
      <c r="G171" s="196">
        <v>22487.329145384614</v>
      </c>
    </row>
    <row r="172" spans="3:7" outlineLevel="1" x14ac:dyDescent="0.2">
      <c r="D172" s="162" t="str">
        <v>3G - Tráfico de voz saliente a internacional</v>
      </c>
      <c r="G172" s="196">
        <v>211.06298717053537</v>
      </c>
    </row>
    <row r="173" spans="3:7" outlineLevel="1" x14ac:dyDescent="0.2">
      <c r="D173" s="162" t="str">
        <v>3G - Tráfico de voz entrante desde fijo</v>
      </c>
      <c r="G173" s="196">
        <v>1200.7258599750546</v>
      </c>
    </row>
    <row r="174" spans="3:7" outlineLevel="1" x14ac:dyDescent="0.2">
      <c r="D174" s="162" t="str">
        <v>3G - Tráfico de voz entrante desde móvil</v>
      </c>
      <c r="G174" s="196">
        <v>22487.329145384618</v>
      </c>
    </row>
    <row r="175" spans="3:7" x14ac:dyDescent="0.2">
      <c r="D175" s="162" t="str">
        <v>3G - Tráfico de voz entrante desde internacional</v>
      </c>
      <c r="G175" s="196">
        <v>370.37326752259645</v>
      </c>
    </row>
    <row r="177" spans="3:8" x14ac:dyDescent="0.2">
      <c r="C177" s="41" t="s">
        <v>743</v>
      </c>
      <c r="H177"/>
    </row>
    <row r="178" spans="3:8" x14ac:dyDescent="0.2">
      <c r="D178" s="162" t="str">
        <f t="array" ref="D178:D191">Voice.services.list</f>
        <v>2G - Tráfico de voz on-net</v>
      </c>
      <c r="G178" s="192">
        <f t="array" ref="G178:G184">IF(G97:G103=0,0,(G97:G103*(1+1/$G$153:$G$159*$G$144:$G$150*$H$144:$H$150))*Radio.Erlangs.per.Erlang)</f>
        <v>16804.32304039448</v>
      </c>
      <c r="H178"/>
    </row>
    <row r="179" spans="3:8" outlineLevel="1" x14ac:dyDescent="0.2">
      <c r="D179" s="162" t="str">
        <v>2G - Tráfico de voz saliente a fijo</v>
      </c>
      <c r="G179" s="192">
        <v>529.68877346578745</v>
      </c>
      <c r="H179"/>
    </row>
    <row r="180" spans="3:8" outlineLevel="1" x14ac:dyDescent="0.2">
      <c r="D180" s="162" t="str">
        <v>2G - Tráfico de voz saliente a móvil</v>
      </c>
      <c r="G180" s="192">
        <v>4684.8602386217945</v>
      </c>
      <c r="H180"/>
    </row>
    <row r="181" spans="3:8" outlineLevel="1" x14ac:dyDescent="0.2">
      <c r="D181" s="162" t="str">
        <v>2G - Tráfico de voz saliente a internacional</v>
      </c>
      <c r="G181" s="192">
        <v>43.971455660528214</v>
      </c>
      <c r="H181"/>
    </row>
    <row r="182" spans="3:8" outlineLevel="1" x14ac:dyDescent="0.2">
      <c r="D182" s="162" t="str">
        <v>2G - Tráfico de voz entrante desde fijo</v>
      </c>
      <c r="G182" s="192">
        <v>250.15122082813639</v>
      </c>
      <c r="H182"/>
    </row>
    <row r="183" spans="3:8" outlineLevel="1" x14ac:dyDescent="0.2">
      <c r="D183" s="162" t="str">
        <v>2G - Tráfico de voz entrante desde móvil</v>
      </c>
      <c r="G183" s="192">
        <v>4684.8602386217945</v>
      </c>
      <c r="H183"/>
    </row>
    <row r="184" spans="3:8" x14ac:dyDescent="0.2">
      <c r="D184" s="163" t="str">
        <v>2G - Tráfico de voz entrante desde internacional</v>
      </c>
      <c r="G184" s="192">
        <v>77.161097400540925</v>
      </c>
      <c r="H184"/>
    </row>
    <row r="185" spans="3:8" x14ac:dyDescent="0.2">
      <c r="D185" s="163" t="str">
        <v>3G - Tráfico de voz on-net</v>
      </c>
      <c r="G185" s="196">
        <f t="array" ref="G185:G191">IF(G104:G110=0,0,(G104:G110*(1+1/$G$153:$G$159*$G$144:$G$150*$H$144:$H$150))*Radio.Erlangs.per.Erlang)</f>
        <v>50412.969121183436</v>
      </c>
      <c r="H185"/>
    </row>
    <row r="186" spans="3:8" outlineLevel="1" x14ac:dyDescent="0.2">
      <c r="D186" s="162" t="str">
        <v>3G - Tráfico de voz saliente a fijo</v>
      </c>
      <c r="G186" s="196">
        <v>1589.0663203973625</v>
      </c>
      <c r="H186"/>
    </row>
    <row r="187" spans="3:8" outlineLevel="1" x14ac:dyDescent="0.2">
      <c r="D187" s="162" t="str">
        <v>3G - Tráfico de voz saliente a móvil</v>
      </c>
      <c r="G187" s="196">
        <v>14054.580715865386</v>
      </c>
      <c r="H187"/>
    </row>
    <row r="188" spans="3:8" outlineLevel="1" x14ac:dyDescent="0.2">
      <c r="D188" s="162" t="str">
        <v>3G - Tráfico de voz saliente a internacional</v>
      </c>
      <c r="G188" s="196">
        <v>131.91436698158461</v>
      </c>
      <c r="H188"/>
    </row>
    <row r="189" spans="3:8" outlineLevel="1" x14ac:dyDescent="0.2">
      <c r="D189" s="162" t="str">
        <v>3G - Tráfico de voz entrante desde fijo</v>
      </c>
      <c r="G189" s="196">
        <v>750.45366248440928</v>
      </c>
      <c r="H189"/>
    </row>
    <row r="190" spans="3:8" outlineLevel="1" x14ac:dyDescent="0.2">
      <c r="D190" s="162" t="str">
        <v>3G - Tráfico de voz entrante desde móvil</v>
      </c>
      <c r="G190" s="196">
        <v>14054.580715865386</v>
      </c>
      <c r="H190"/>
    </row>
    <row r="191" spans="3:8" x14ac:dyDescent="0.2">
      <c r="D191" s="162" t="str">
        <v>3G - Tráfico de voz entrante desde internacional</v>
      </c>
      <c r="G191" s="196">
        <v>231.48329220162279</v>
      </c>
      <c r="H191"/>
    </row>
    <row r="192" spans="3:8" x14ac:dyDescent="0.2">
      <c r="H192"/>
    </row>
    <row r="193" spans="3:7" x14ac:dyDescent="0.2">
      <c r="C193" s="198" t="s">
        <v>744</v>
      </c>
    </row>
    <row r="194" spans="3:7" x14ac:dyDescent="0.2">
      <c r="D194" s="162" t="str">
        <f t="array" ref="D194:D200">VoLTE.services.list</f>
        <v>4G - Tráfico de voz on-net</v>
      </c>
      <c r="E194" s="162" t="str">
        <f t="array" ref="E194:E200">VoLTE.services.list.units</f>
        <v>minutos</v>
      </c>
      <c r="G194" s="192">
        <f t="array" ref="G194:G200">G88:G94*Radio.Erlangs.per.Erlang</f>
        <v>0</v>
      </c>
    </row>
    <row r="195" spans="3:7" outlineLevel="1" x14ac:dyDescent="0.2">
      <c r="D195" s="162" t="str">
        <v>4G - Tráfico de voz saliente a fijo</v>
      </c>
      <c r="E195" s="162" t="str">
        <v>minutos</v>
      </c>
      <c r="G195" s="192">
        <v>0</v>
      </c>
    </row>
    <row r="196" spans="3:7" outlineLevel="1" x14ac:dyDescent="0.2">
      <c r="D196" s="162" t="str">
        <v>4G - Tráfico de voz saliente a móvil</v>
      </c>
      <c r="E196" s="162" t="str">
        <v>minutos</v>
      </c>
      <c r="G196" s="192">
        <v>0</v>
      </c>
    </row>
    <row r="197" spans="3:7" outlineLevel="1" x14ac:dyDescent="0.2">
      <c r="D197" s="162" t="str">
        <v>4G - Tráfico de voz saliente a internacional</v>
      </c>
      <c r="E197" s="162" t="str">
        <v>minutos</v>
      </c>
      <c r="G197" s="192">
        <v>0</v>
      </c>
    </row>
    <row r="198" spans="3:7" outlineLevel="1" x14ac:dyDescent="0.2">
      <c r="D198" s="162" t="str">
        <v>4G - Tráfico de voz entrante desde fijo</v>
      </c>
      <c r="E198" s="162" t="str">
        <v>minutos</v>
      </c>
      <c r="G198" s="192">
        <v>0</v>
      </c>
    </row>
    <row r="199" spans="3:7" outlineLevel="1" x14ac:dyDescent="0.2">
      <c r="D199" s="162" t="str">
        <v>4G - Tráfico de voz entrante desde móvil</v>
      </c>
      <c r="E199" s="162" t="str">
        <v>minutos</v>
      </c>
      <c r="G199" s="192">
        <v>0</v>
      </c>
    </row>
    <row r="200" spans="3:7" x14ac:dyDescent="0.2">
      <c r="D200" s="162" t="str">
        <v>4G - Tráfico de voz entrante desde internacional</v>
      </c>
      <c r="E200" s="162" t="str">
        <v>minutos</v>
      </c>
      <c r="G200" s="192">
        <v>0</v>
      </c>
    </row>
    <row r="202" spans="3:7" x14ac:dyDescent="0.2">
      <c r="C202" s="198" t="s">
        <v>745</v>
      </c>
    </row>
    <row r="203" spans="3:7" x14ac:dyDescent="0.2">
      <c r="D203" s="162" t="str">
        <f t="array" ref="D203:D209">VoLTE.services.list</f>
        <v>4G - Tráfico de voz on-net</v>
      </c>
      <c r="E203" s="162" t="str">
        <f t="array" ref="E203:E209">VoLTE.services.list.units</f>
        <v>minutos</v>
      </c>
      <c r="G203" s="192">
        <f t="array" ref="G203:G209">G112:G118*Radio.Erlangs.per.Erlang</f>
        <v>0</v>
      </c>
    </row>
    <row r="204" spans="3:7" outlineLevel="1" x14ac:dyDescent="0.2">
      <c r="D204" s="162" t="str">
        <v>4G - Tráfico de voz saliente a fijo</v>
      </c>
      <c r="E204" s="162" t="str">
        <v>minutos</v>
      </c>
      <c r="G204" s="192">
        <v>0</v>
      </c>
    </row>
    <row r="205" spans="3:7" outlineLevel="1" x14ac:dyDescent="0.2">
      <c r="D205" s="162" t="str">
        <v>4G - Tráfico de voz saliente a móvil</v>
      </c>
      <c r="E205" s="162" t="str">
        <v>minutos</v>
      </c>
      <c r="G205" s="192">
        <v>0</v>
      </c>
    </row>
    <row r="206" spans="3:7" outlineLevel="1" x14ac:dyDescent="0.2">
      <c r="D206" s="162" t="str">
        <v>4G - Tráfico de voz saliente a internacional</v>
      </c>
      <c r="E206" s="162" t="str">
        <v>minutos</v>
      </c>
      <c r="G206" s="192">
        <v>0</v>
      </c>
    </row>
    <row r="207" spans="3:7" outlineLevel="1" x14ac:dyDescent="0.2">
      <c r="D207" s="162" t="str">
        <v>4G - Tráfico de voz entrante desde fijo</v>
      </c>
      <c r="E207" s="162" t="str">
        <v>minutos</v>
      </c>
      <c r="G207" s="192">
        <v>0</v>
      </c>
    </row>
    <row r="208" spans="3:7" outlineLevel="1" x14ac:dyDescent="0.2">
      <c r="D208" s="162" t="str">
        <v>4G - Tráfico de voz entrante desde móvil</v>
      </c>
      <c r="E208" s="162" t="str">
        <v>minutos</v>
      </c>
      <c r="G208" s="192">
        <v>0</v>
      </c>
    </row>
    <row r="209" spans="3:7" x14ac:dyDescent="0.2">
      <c r="D209" s="162" t="str">
        <v>4G - Tráfico de voz entrante desde internacional</v>
      </c>
      <c r="E209" s="162" t="str">
        <v>minutos</v>
      </c>
      <c r="G209" s="192">
        <v>0</v>
      </c>
    </row>
    <row r="211" spans="3:7" x14ac:dyDescent="0.2">
      <c r="C211" s="198" t="s">
        <v>746</v>
      </c>
    </row>
    <row r="212" spans="3:7" x14ac:dyDescent="0.2">
      <c r="D212" s="162" t="str">
        <f t="array" ref="D212:D218">VoLTE.services.list</f>
        <v>4G - Tráfico de voz on-net</v>
      </c>
      <c r="E212"/>
      <c r="G212" s="192">
        <f t="array" ref="G212:G218">G123:G129*Radio.Erlangs.per.Erlang</f>
        <v>0</v>
      </c>
    </row>
    <row r="213" spans="3:7" outlineLevel="1" x14ac:dyDescent="0.2">
      <c r="D213" s="162" t="str">
        <v>4G - Tráfico de voz saliente a fijo</v>
      </c>
      <c r="E213"/>
      <c r="G213" s="192">
        <v>0</v>
      </c>
    </row>
    <row r="214" spans="3:7" outlineLevel="1" x14ac:dyDescent="0.2">
      <c r="D214" s="162" t="str">
        <v>4G - Tráfico de voz saliente a móvil</v>
      </c>
      <c r="E214"/>
      <c r="G214" s="192">
        <v>0</v>
      </c>
    </row>
    <row r="215" spans="3:7" outlineLevel="1" x14ac:dyDescent="0.2">
      <c r="D215" s="162" t="str">
        <v>4G - Tráfico de voz saliente a internacional</v>
      </c>
      <c r="E215"/>
      <c r="G215" s="192">
        <v>0</v>
      </c>
    </row>
    <row r="216" spans="3:7" outlineLevel="1" x14ac:dyDescent="0.2">
      <c r="D216" s="162" t="str">
        <v>4G - Tráfico de voz entrante desde fijo</v>
      </c>
      <c r="E216"/>
      <c r="G216" s="192">
        <v>0</v>
      </c>
    </row>
    <row r="217" spans="3:7" outlineLevel="1" x14ac:dyDescent="0.2">
      <c r="D217" s="162" t="str">
        <v>4G - Tráfico de voz entrante desde móvil</v>
      </c>
      <c r="E217"/>
      <c r="G217" s="192">
        <v>0</v>
      </c>
    </row>
    <row r="218" spans="3:7" x14ac:dyDescent="0.2">
      <c r="D218" s="162" t="str">
        <v>4G - Tráfico de voz entrante desde internacional</v>
      </c>
      <c r="E218"/>
      <c r="G218" s="192">
        <v>0</v>
      </c>
    </row>
    <row r="219" spans="3:7" customFormat="1" x14ac:dyDescent="0.2">
      <c r="C219" s="81"/>
    </row>
    <row r="220" spans="3:7" x14ac:dyDescent="0.2">
      <c r="C220" s="198" t="s">
        <v>747</v>
      </c>
    </row>
    <row r="221" spans="3:7" x14ac:dyDescent="0.2">
      <c r="D221" s="162" t="str">
        <f t="array" ref="D221:D227">VoLTE.services.list</f>
        <v>4G - Tráfico de voz on-net</v>
      </c>
      <c r="G221" s="192">
        <f t="array" ref="G221:G227">G132:G138*Radio.Erlangs.per.Erlang</f>
        <v>0</v>
      </c>
    </row>
    <row r="222" spans="3:7" outlineLevel="1" x14ac:dyDescent="0.2">
      <c r="D222" s="162" t="str">
        <v>4G - Tráfico de voz saliente a fijo</v>
      </c>
      <c r="G222" s="192">
        <v>0</v>
      </c>
    </row>
    <row r="223" spans="3:7" outlineLevel="1" x14ac:dyDescent="0.2">
      <c r="D223" s="162" t="str">
        <v>4G - Tráfico de voz saliente a móvil</v>
      </c>
      <c r="G223" s="192">
        <v>0</v>
      </c>
    </row>
    <row r="224" spans="3:7" outlineLevel="1" x14ac:dyDescent="0.2">
      <c r="D224" s="162" t="str">
        <v>4G - Tráfico de voz saliente a internacional</v>
      </c>
      <c r="G224" s="192">
        <v>0</v>
      </c>
    </row>
    <row r="225" spans="2:7" outlineLevel="1" x14ac:dyDescent="0.2">
      <c r="D225" s="162" t="str">
        <v>4G - Tráfico de voz entrante desde fijo</v>
      </c>
      <c r="G225" s="192">
        <v>0</v>
      </c>
    </row>
    <row r="226" spans="2:7" outlineLevel="1" x14ac:dyDescent="0.2">
      <c r="D226" s="162" t="str">
        <v>4G - Tráfico de voz entrante desde móvil</v>
      </c>
      <c r="G226" s="192">
        <v>0</v>
      </c>
    </row>
    <row r="227" spans="2:7" x14ac:dyDescent="0.2">
      <c r="D227" s="162" t="str">
        <v>4G - Tráfico de voz entrante desde internacional</v>
      </c>
      <c r="G227" s="192">
        <v>0</v>
      </c>
    </row>
    <row r="228" spans="2:7" customFormat="1" x14ac:dyDescent="0.2"/>
    <row r="229" spans="2:7" customFormat="1" x14ac:dyDescent="0.2"/>
    <row r="230" spans="2:7" ht="15.75" x14ac:dyDescent="0.2">
      <c r="B230" s="52" t="s">
        <v>748</v>
      </c>
    </row>
    <row r="232" spans="2:7" x14ac:dyDescent="0.2">
      <c r="C232" s="41" t="s">
        <v>749</v>
      </c>
    </row>
    <row r="233" spans="2:7" x14ac:dyDescent="0.2">
      <c r="D233" s="162" t="str">
        <f t="array" ref="D233:D241">SMS.services.list</f>
        <v>2G - SMSs on-net</v>
      </c>
      <c r="G233" s="64">
        <f t="array" ref="G233:G241">G$30:G$38/G$66*H$66*I$66</f>
        <v>76809.179297187438</v>
      </c>
    </row>
    <row r="234" spans="2:7" outlineLevel="1" x14ac:dyDescent="0.2">
      <c r="D234" s="162" t="str">
        <v>2G - SMS salientes</v>
      </c>
      <c r="G234" s="64">
        <v>63798.175448990922</v>
      </c>
    </row>
    <row r="235" spans="2:7" outlineLevel="1" x14ac:dyDescent="0.2">
      <c r="D235" s="162" t="str">
        <v>2G - SMS entrantes</v>
      </c>
      <c r="G235" s="64">
        <v>58139.494692177788</v>
      </c>
    </row>
    <row r="236" spans="2:7" outlineLevel="1" x14ac:dyDescent="0.2">
      <c r="D236" s="162" t="str">
        <v>3G - SMSs on-net</v>
      </c>
      <c r="G236" s="64">
        <v>230427.5378915623</v>
      </c>
    </row>
    <row r="237" spans="2:7" outlineLevel="1" x14ac:dyDescent="0.2">
      <c r="D237" s="162" t="str">
        <v>3G - SMS salientes</v>
      </c>
      <c r="G237" s="64">
        <v>191394.52634697274</v>
      </c>
    </row>
    <row r="238" spans="2:7" outlineLevel="1" x14ac:dyDescent="0.2">
      <c r="D238" s="162" t="str">
        <v>3G - SMS entrantes</v>
      </c>
      <c r="G238" s="64">
        <v>174418.48407653338</v>
      </c>
    </row>
    <row r="239" spans="2:7" outlineLevel="1" x14ac:dyDescent="0.2">
      <c r="D239" s="163" t="str">
        <v>4G - SMSs on-net</v>
      </c>
      <c r="G239" s="64">
        <v>0</v>
      </c>
    </row>
    <row r="240" spans="2:7" outlineLevel="1" x14ac:dyDescent="0.2">
      <c r="D240" s="163" t="str">
        <v>4G - SMS salientes</v>
      </c>
      <c r="G240" s="64">
        <v>0</v>
      </c>
    </row>
    <row r="241" spans="2:7" x14ac:dyDescent="0.2">
      <c r="D241" s="163" t="str">
        <v>4G - SMS entrantes</v>
      </c>
      <c r="G241" s="64">
        <v>0</v>
      </c>
    </row>
    <row r="243" spans="2:7" x14ac:dyDescent="0.2">
      <c r="C243" s="41" t="s">
        <v>750</v>
      </c>
    </row>
    <row r="244" spans="2:7" x14ac:dyDescent="0.2">
      <c r="D244" s="162" t="str">
        <f t="array" ref="D244:D252">SMS.services.list</f>
        <v>2G - SMSs on-net</v>
      </c>
      <c r="G244" s="64">
        <f t="array" ref="G244:G252">G$30:G$38/G$66*H$66*J$66</f>
        <v>96011.474121484294</v>
      </c>
    </row>
    <row r="245" spans="2:7" outlineLevel="1" x14ac:dyDescent="0.2">
      <c r="D245" s="162" t="str">
        <v>2G - SMS salientes</v>
      </c>
      <c r="G245" s="64">
        <v>79747.719311238659</v>
      </c>
    </row>
    <row r="246" spans="2:7" outlineLevel="1" x14ac:dyDescent="0.2">
      <c r="D246" s="162" t="str">
        <v>2G - SMS entrantes</v>
      </c>
      <c r="G246" s="64">
        <v>72674.368365222239</v>
      </c>
    </row>
    <row r="247" spans="2:7" outlineLevel="1" x14ac:dyDescent="0.2">
      <c r="D247" s="162" t="str">
        <v>3G - SMSs on-net</v>
      </c>
      <c r="G247" s="64">
        <v>288034.42236445291</v>
      </c>
    </row>
    <row r="248" spans="2:7" outlineLevel="1" x14ac:dyDescent="0.2">
      <c r="D248" s="162" t="str">
        <v>3G - SMS salientes</v>
      </c>
      <c r="G248" s="64">
        <v>239243.15793371591</v>
      </c>
    </row>
    <row r="249" spans="2:7" outlineLevel="1" x14ac:dyDescent="0.2">
      <c r="D249" s="162" t="str">
        <v>3G - SMS entrantes</v>
      </c>
      <c r="G249" s="64">
        <v>218023.10509566672</v>
      </c>
    </row>
    <row r="250" spans="2:7" outlineLevel="1" x14ac:dyDescent="0.2">
      <c r="D250" s="163" t="str">
        <v>4G - SMSs on-net</v>
      </c>
      <c r="G250" s="64">
        <v>0</v>
      </c>
    </row>
    <row r="251" spans="2:7" outlineLevel="1" x14ac:dyDescent="0.2">
      <c r="D251" s="163" t="str">
        <v>4G - SMS salientes</v>
      </c>
      <c r="G251" s="64">
        <v>0</v>
      </c>
    </row>
    <row r="252" spans="2:7" x14ac:dyDescent="0.2">
      <c r="D252" s="163" t="str">
        <v>4G - SMS entrantes</v>
      </c>
      <c r="G252" s="64">
        <v>0</v>
      </c>
    </row>
    <row r="255" spans="2:7" ht="15.75" x14ac:dyDescent="0.2">
      <c r="B255" s="52" t="s">
        <v>751</v>
      </c>
    </row>
    <row r="257" spans="3:8" x14ac:dyDescent="0.2">
      <c r="C257" s="41" t="s">
        <v>775</v>
      </c>
    </row>
    <row r="258" spans="3:8" x14ac:dyDescent="0.2">
      <c r="D258" s="162" t="str">
        <f t="array" ref="D258:D263">Data.services.list</f>
        <v>GPRS data Mbytes</v>
      </c>
      <c r="G258" s="118">
        <v>0.7</v>
      </c>
      <c r="H258" s="42" t="s">
        <v>21</v>
      </c>
    </row>
    <row r="259" spans="3:8" x14ac:dyDescent="0.2">
      <c r="D259" s="162" t="str">
        <v>R99 data Mbytes</v>
      </c>
      <c r="G259" s="118">
        <v>0.75</v>
      </c>
      <c r="H259" s="42" t="s">
        <v>21</v>
      </c>
    </row>
    <row r="260" spans="3:8" x14ac:dyDescent="0.2">
      <c r="D260" s="162" t="str">
        <v>HSDPA data Mbytes</v>
      </c>
      <c r="G260" s="117">
        <v>1</v>
      </c>
      <c r="H260" s="42" t="s">
        <v>21</v>
      </c>
    </row>
    <row r="261" spans="3:8" x14ac:dyDescent="0.2">
      <c r="D261" s="162" t="str">
        <v>HSUPA data Mbytes</v>
      </c>
      <c r="G261" s="117">
        <v>1</v>
      </c>
      <c r="H261" s="42" t="s">
        <v>22</v>
      </c>
    </row>
    <row r="262" spans="3:8" x14ac:dyDescent="0.2">
      <c r="D262" s="163" t="str">
        <v>LTE data Mbytes</v>
      </c>
      <c r="G262" s="118">
        <v>0.8</v>
      </c>
      <c r="H262" s="42" t="s">
        <v>21</v>
      </c>
    </row>
    <row r="263" spans="3:8" x14ac:dyDescent="0.2">
      <c r="D263" s="163" t="str">
        <v>spare</v>
      </c>
      <c r="G263" s="232">
        <v>0</v>
      </c>
    </row>
    <row r="264" spans="3:8" x14ac:dyDescent="0.2">
      <c r="G264" s="88" t="s">
        <v>159</v>
      </c>
    </row>
    <row r="265" spans="3:8" x14ac:dyDescent="0.2">
      <c r="C265" s="41" t="s">
        <v>752</v>
      </c>
    </row>
    <row r="266" spans="3:8" x14ac:dyDescent="0.2">
      <c r="D266" s="202" t="s">
        <v>768</v>
      </c>
      <c r="G266" s="80">
        <f t="array" ref="G266:G271">G$39:G$44/G$67*H$67*I$67*G$258:G$263/seconds.per.hour*Bits.per.byte</f>
        <v>7924.9133839288797</v>
      </c>
    </row>
    <row r="267" spans="3:8" x14ac:dyDescent="0.2">
      <c r="D267" s="202" t="s">
        <v>769</v>
      </c>
      <c r="G267" s="80">
        <v>424.54893128190434</v>
      </c>
    </row>
    <row r="268" spans="3:8" x14ac:dyDescent="0.2">
      <c r="D268" s="202" t="s">
        <v>770</v>
      </c>
      <c r="G268" s="80">
        <v>22189.757475000864</v>
      </c>
    </row>
    <row r="269" spans="3:8" x14ac:dyDescent="0.2">
      <c r="D269" s="202" t="s">
        <v>771</v>
      </c>
      <c r="G269" s="80">
        <v>5547.4393687502152</v>
      </c>
    </row>
    <row r="270" spans="3:8" x14ac:dyDescent="0.2">
      <c r="D270" s="202" t="s">
        <v>772</v>
      </c>
      <c r="G270" s="80">
        <v>13585.565801020939</v>
      </c>
    </row>
    <row r="271" spans="3:8" x14ac:dyDescent="0.2">
      <c r="D271" s="202" t="s">
        <v>1</v>
      </c>
      <c r="G271" s="80">
        <v>0</v>
      </c>
    </row>
    <row r="273" spans="1:11" x14ac:dyDescent="0.2">
      <c r="C273" s="41" t="s">
        <v>753</v>
      </c>
    </row>
    <row r="274" spans="1:11" x14ac:dyDescent="0.2">
      <c r="D274" s="26" t="str">
        <f t="array" ref="D274:D279">D$266:D$271</f>
        <v>Total downlink GPRS Mbit/s en la hora cargada de voz</v>
      </c>
      <c r="G274" s="80">
        <f t="array" ref="G274:G279">G$39:G$44/G$67*H$67*J$67*G$258:G$263/seconds.per.hour*Bits.per.byte</f>
        <v>9906.1417299110999</v>
      </c>
    </row>
    <row r="275" spans="1:11" x14ac:dyDescent="0.2">
      <c r="D275" s="26" t="str">
        <v>Total downlink R99 Mbit/s en la hora cargada de voz</v>
      </c>
      <c r="G275" s="80">
        <v>530.6861641023803</v>
      </c>
    </row>
    <row r="276" spans="1:11" x14ac:dyDescent="0.2">
      <c r="D276" s="26" t="str">
        <v>Total downlink HSDPA Mbit/s en la hora cargada de voz</v>
      </c>
      <c r="G276" s="80">
        <v>27737.19684375108</v>
      </c>
    </row>
    <row r="277" spans="1:11" x14ac:dyDescent="0.2">
      <c r="D277" s="26" t="str">
        <v>Total uplink HSUPA Mbit/s en la hora cargada de voz</v>
      </c>
      <c r="G277" s="80">
        <v>6934.2992109377692</v>
      </c>
    </row>
    <row r="278" spans="1:11" x14ac:dyDescent="0.2">
      <c r="D278" s="26" t="str">
        <v>Total downlink LTE Mbit/s en la hora cargada de voz</v>
      </c>
      <c r="G278" s="80">
        <v>16981.957251276173</v>
      </c>
    </row>
    <row r="279" spans="1:11" x14ac:dyDescent="0.2">
      <c r="D279" s="26" t="str">
        <v>spare</v>
      </c>
      <c r="G279" s="80">
        <v>0</v>
      </c>
    </row>
    <row r="282" spans="1:11" ht="15.75" x14ac:dyDescent="0.2">
      <c r="A282" s="171" t="s">
        <v>754</v>
      </c>
      <c r="B282" s="171"/>
      <c r="C282" s="171"/>
      <c r="D282" s="171"/>
      <c r="E282" s="171"/>
      <c r="F282" s="171"/>
      <c r="G282" s="171"/>
      <c r="H282" s="171"/>
      <c r="I282" s="171"/>
      <c r="J282" s="171"/>
      <c r="K282" s="171"/>
    </row>
    <row r="284" spans="1:11" x14ac:dyDescent="0.2">
      <c r="C284" s="82" t="s">
        <v>755</v>
      </c>
    </row>
    <row r="285" spans="1:11" x14ac:dyDescent="0.2">
      <c r="D285" s="81" t="s">
        <v>96</v>
      </c>
      <c r="G285" s="111">
        <f>SUM(G162:G168)</f>
        <v>43320.025703988904</v>
      </c>
      <c r="H285" s="88" t="s">
        <v>158</v>
      </c>
    </row>
    <row r="286" spans="1:11" x14ac:dyDescent="0.2">
      <c r="D286" s="81" t="s">
        <v>97</v>
      </c>
      <c r="G286" s="111">
        <f>SUM(G169:G175)</f>
        <v>129960.07711196668</v>
      </c>
      <c r="H286" s="88" t="s">
        <v>157</v>
      </c>
    </row>
    <row r="289" spans="1:11" ht="15.75" x14ac:dyDescent="0.2">
      <c r="A289" s="171" t="s">
        <v>756</v>
      </c>
      <c r="B289" s="171"/>
      <c r="C289" s="171"/>
      <c r="D289" s="171"/>
      <c r="E289" s="171"/>
      <c r="F289" s="171"/>
      <c r="G289" s="171"/>
      <c r="H289" s="171"/>
      <c r="I289" s="171"/>
      <c r="J289" s="171"/>
      <c r="K289" s="171"/>
    </row>
    <row r="291" spans="1:11" x14ac:dyDescent="0.2">
      <c r="C291" s="82" t="s">
        <v>757</v>
      </c>
    </row>
    <row r="292" spans="1:11" x14ac:dyDescent="0.2">
      <c r="D292" s="81" t="s">
        <v>6</v>
      </c>
      <c r="G292" s="111">
        <f>G274</f>
        <v>9906.1417299110999</v>
      </c>
      <c r="H292" s="88" t="s">
        <v>156</v>
      </c>
    </row>
    <row r="295" spans="1:11" ht="15.75" x14ac:dyDescent="0.2">
      <c r="A295" s="171" t="s">
        <v>762</v>
      </c>
      <c r="B295" s="171"/>
      <c r="C295" s="171"/>
      <c r="D295" s="171"/>
      <c r="E295" s="171"/>
      <c r="F295" s="171"/>
      <c r="G295" s="171"/>
      <c r="H295" s="171"/>
      <c r="I295" s="171"/>
      <c r="J295" s="171"/>
      <c r="K295" s="171"/>
    </row>
    <row r="297" spans="1:11" x14ac:dyDescent="0.2">
      <c r="B297" s="82" t="s">
        <v>760</v>
      </c>
      <c r="E297" s="41" t="s">
        <v>758</v>
      </c>
    </row>
    <row r="298" spans="1:11" x14ac:dyDescent="0.2">
      <c r="C298" s="81" t="s">
        <v>99</v>
      </c>
      <c r="G298" s="64">
        <f>SUM(G169:G175)</f>
        <v>129960.07711196668</v>
      </c>
    </row>
    <row r="299" spans="1:11" x14ac:dyDescent="0.2">
      <c r="C299" s="81" t="s">
        <v>7</v>
      </c>
      <c r="E299" s="162">
        <f>1/UMTS.channel.rate</f>
        <v>62.5</v>
      </c>
      <c r="G299" s="64">
        <f>G267*E299</f>
        <v>26534.308205119021</v>
      </c>
    </row>
    <row r="300" spans="1:11" x14ac:dyDescent="0.2">
      <c r="G300" s="68">
        <f>SUM(G298:G299)</f>
        <v>156494.38531708569</v>
      </c>
    </row>
    <row r="302" spans="1:11" x14ac:dyDescent="0.2">
      <c r="B302" s="82" t="s">
        <v>761</v>
      </c>
      <c r="E302" s="82" t="s">
        <v>759</v>
      </c>
    </row>
    <row r="303" spans="1:11" x14ac:dyDescent="0.2">
      <c r="C303" s="81" t="s">
        <v>99</v>
      </c>
      <c r="G303" s="64">
        <f>SUM(G185:G191)</f>
        <v>81225.048194979187</v>
      </c>
    </row>
    <row r="304" spans="1:11" x14ac:dyDescent="0.2">
      <c r="C304" s="81" t="s">
        <v>7</v>
      </c>
      <c r="E304" s="162">
        <f>1/UMTS.channel.rate</f>
        <v>62.5</v>
      </c>
      <c r="G304" s="64">
        <f>G275*E304</f>
        <v>33167.885256398768</v>
      </c>
    </row>
    <row r="305" spans="1:11" x14ac:dyDescent="0.2">
      <c r="G305" s="68">
        <f>SUM(G303:G304)</f>
        <v>114392.93345137796</v>
      </c>
    </row>
    <row r="307" spans="1:11" x14ac:dyDescent="0.2">
      <c r="B307" s="82" t="s">
        <v>765</v>
      </c>
      <c r="G307" s="77">
        <f>MAX(G300,G305)</f>
        <v>156494.38531708569</v>
      </c>
      <c r="H307" s="88" t="s">
        <v>155</v>
      </c>
    </row>
    <row r="308" spans="1:11" x14ac:dyDescent="0.2">
      <c r="C308" s="71" t="s">
        <v>763</v>
      </c>
      <c r="G308" s="200">
        <f>IF(G$307=G$300,G298,G303)</f>
        <v>129960.07711196668</v>
      </c>
      <c r="H308" s="88" t="s">
        <v>154</v>
      </c>
    </row>
    <row r="309" spans="1:11" x14ac:dyDescent="0.2">
      <c r="C309" s="71" t="s">
        <v>764</v>
      </c>
      <c r="G309" s="200">
        <f>IF(G$307=G$300,G299,G304)</f>
        <v>26534.308205119021</v>
      </c>
      <c r="H309" s="88" t="s">
        <v>153</v>
      </c>
    </row>
    <row r="312" spans="1:11" ht="15.75" x14ac:dyDescent="0.2">
      <c r="A312" s="171" t="s">
        <v>766</v>
      </c>
      <c r="B312" s="171"/>
      <c r="C312" s="171"/>
      <c r="D312" s="171"/>
      <c r="E312" s="171"/>
      <c r="F312" s="171"/>
      <c r="G312" s="171"/>
      <c r="H312" s="171"/>
      <c r="I312" s="171"/>
      <c r="J312" s="171"/>
      <c r="K312" s="171"/>
    </row>
    <row r="314" spans="1:11" x14ac:dyDescent="0.2">
      <c r="C314" s="26" t="str">
        <f t="array" ref="C314:C315">D276:D277</f>
        <v>Total downlink HSDPA Mbit/s en la hora cargada de voz</v>
      </c>
      <c r="G314" s="116">
        <f t="array" ref="G314:G315">G276:G277</f>
        <v>27737.19684375108</v>
      </c>
      <c r="H314" s="88" t="s">
        <v>152</v>
      </c>
    </row>
    <row r="315" spans="1:11" x14ac:dyDescent="0.2">
      <c r="C315" s="26" t="str">
        <v>Total uplink HSUPA Mbit/s en la hora cargada de voz</v>
      </c>
      <c r="G315" s="116">
        <v>6934.2992109377692</v>
      </c>
      <c r="H315" s="88" t="s">
        <v>151</v>
      </c>
    </row>
    <row r="318" spans="1:11" ht="15.75" x14ac:dyDescent="0.2">
      <c r="A318" s="171" t="s">
        <v>767</v>
      </c>
      <c r="B318" s="171"/>
      <c r="C318" s="171"/>
      <c r="D318" s="171"/>
      <c r="E318" s="171"/>
      <c r="F318" s="171"/>
      <c r="G318" s="171"/>
      <c r="H318" s="171"/>
      <c r="I318" s="171"/>
      <c r="J318" s="171"/>
      <c r="K318" s="171"/>
    </row>
    <row r="320" spans="1:11" x14ac:dyDescent="0.2">
      <c r="C320" s="81" t="s">
        <v>773</v>
      </c>
      <c r="G320" s="80">
        <f>SUM(G132:G138)</f>
        <v>0</v>
      </c>
    </row>
    <row r="322" spans="1:11" x14ac:dyDescent="0.2">
      <c r="C322" s="89" t="str">
        <f>D278</f>
        <v>Total downlink LTE Mbit/s en la hora cargada de voz</v>
      </c>
      <c r="D322" s="89"/>
      <c r="G322" s="116">
        <f>G278</f>
        <v>16981.957251276173</v>
      </c>
    </row>
    <row r="324" spans="1:11" x14ac:dyDescent="0.2">
      <c r="B324" s="82" t="s">
        <v>774</v>
      </c>
      <c r="G324" s="111">
        <f>G320+G322</f>
        <v>16981.957251276173</v>
      </c>
      <c r="H324" s="88" t="s">
        <v>441</v>
      </c>
    </row>
    <row r="327" spans="1:11" ht="15.75" x14ac:dyDescent="0.2">
      <c r="A327" s="171" t="s">
        <v>778</v>
      </c>
      <c r="B327" s="171"/>
      <c r="C327" s="171"/>
      <c r="D327" s="171"/>
      <c r="E327" s="171"/>
      <c r="F327" s="171"/>
      <c r="G327" s="171"/>
      <c r="H327" s="171"/>
      <c r="I327" s="171"/>
      <c r="J327" s="171"/>
      <c r="K327" s="171"/>
    </row>
    <row r="329" spans="1:11" x14ac:dyDescent="0.2">
      <c r="B329" s="41" t="s">
        <v>779</v>
      </c>
    </row>
    <row r="330" spans="1:11" x14ac:dyDescent="0.2">
      <c r="C330" s="162" t="str">
        <f t="array" ref="C330:C335">Data.services.list</f>
        <v>GPRS data Mbytes</v>
      </c>
      <c r="G330" s="109">
        <v>1</v>
      </c>
    </row>
    <row r="331" spans="1:11" x14ac:dyDescent="0.2">
      <c r="C331" s="162" t="str">
        <v>R99 data Mbytes</v>
      </c>
      <c r="G331" s="164">
        <f>1+Release99.soft.handover</f>
        <v>1.2</v>
      </c>
    </row>
    <row r="332" spans="1:11" x14ac:dyDescent="0.2">
      <c r="C332" s="162" t="str">
        <v>HSDPA data Mbytes</v>
      </c>
      <c r="G332" s="165">
        <f>1/HSPA.peak.to.effective</f>
        <v>2.5</v>
      </c>
      <c r="H332" s="63" t="s">
        <v>811</v>
      </c>
    </row>
    <row r="333" spans="1:11" x14ac:dyDescent="0.2">
      <c r="C333" s="162" t="str">
        <v>HSUPA data Mbytes</v>
      </c>
      <c r="G333" s="110">
        <v>0</v>
      </c>
      <c r="H333" s="63" t="s">
        <v>831</v>
      </c>
    </row>
    <row r="334" spans="1:11" x14ac:dyDescent="0.2">
      <c r="C334" s="163" t="str">
        <v>LTE data Mbytes</v>
      </c>
      <c r="G334" s="165">
        <f>1/LTE.peak.to.effective</f>
        <v>2.5</v>
      </c>
      <c r="H334" s="63" t="s">
        <v>810</v>
      </c>
    </row>
    <row r="335" spans="1:11" x14ac:dyDescent="0.2">
      <c r="C335" s="163" t="str">
        <v>spare</v>
      </c>
      <c r="G335" s="109">
        <v>0</v>
      </c>
    </row>
    <row r="337" spans="2:7" x14ac:dyDescent="0.2">
      <c r="B337" s="82" t="s">
        <v>780</v>
      </c>
      <c r="G337" s="155">
        <f>SUMPRODUCT(G266:G271,G330:G335)</f>
        <v>97872.680291521669</v>
      </c>
    </row>
    <row r="338" spans="2:7" x14ac:dyDescent="0.2">
      <c r="C338" s="71" t="s">
        <v>782</v>
      </c>
      <c r="G338" s="108">
        <f>G266*G330</f>
        <v>7924.9133839288797</v>
      </c>
    </row>
    <row r="339" spans="2:7" x14ac:dyDescent="0.2">
      <c r="C339" s="115" t="s">
        <v>783</v>
      </c>
      <c r="G339" s="108">
        <f>G267*G331</f>
        <v>509.45871753828521</v>
      </c>
    </row>
    <row r="340" spans="2:7" x14ac:dyDescent="0.2">
      <c r="C340" s="115" t="s">
        <v>784</v>
      </c>
      <c r="G340" s="108">
        <f>SUMPRODUCT(G268:G269,G332:G333)</f>
        <v>55474.393687502161</v>
      </c>
    </row>
    <row r="341" spans="2:7" x14ac:dyDescent="0.2">
      <c r="C341" s="115" t="s">
        <v>785</v>
      </c>
      <c r="G341" s="108">
        <f>G270*G334</f>
        <v>33963.914502552347</v>
      </c>
    </row>
    <row r="342" spans="2:7" x14ac:dyDescent="0.2">
      <c r="F342" s="78">
        <f>G342</f>
        <v>0</v>
      </c>
      <c r="G342" s="112">
        <f>IF(ABS(G337-SUM(G338:G341))&lt;epsilon,0,1)</f>
        <v>0</v>
      </c>
    </row>
    <row r="344" spans="2:7" x14ac:dyDescent="0.2">
      <c r="B344" s="82" t="s">
        <v>781</v>
      </c>
      <c r="G344" s="155">
        <f>SUMPRODUCT(G274:G279,G330:G335)</f>
        <v>122340.85036440208</v>
      </c>
    </row>
    <row r="345" spans="2:7" x14ac:dyDescent="0.2">
      <c r="C345" s="71" t="s">
        <v>782</v>
      </c>
      <c r="G345" s="108">
        <f>G274*G330</f>
        <v>9906.1417299110999</v>
      </c>
    </row>
    <row r="346" spans="2:7" x14ac:dyDescent="0.2">
      <c r="C346" s="115" t="s">
        <v>783</v>
      </c>
      <c r="G346" s="108">
        <f>G275*G331</f>
        <v>636.82339692285632</v>
      </c>
    </row>
    <row r="347" spans="2:7" x14ac:dyDescent="0.2">
      <c r="C347" s="115" t="s">
        <v>784</v>
      </c>
      <c r="G347" s="108">
        <f>SUMPRODUCT(G276:G277,G332:G333)</f>
        <v>69342.992109377694</v>
      </c>
    </row>
    <row r="348" spans="2:7" x14ac:dyDescent="0.2">
      <c r="C348" s="115" t="s">
        <v>785</v>
      </c>
      <c r="G348" s="108">
        <f>G278*G334</f>
        <v>42454.893128190437</v>
      </c>
    </row>
    <row r="349" spans="2:7" x14ac:dyDescent="0.2">
      <c r="F349" s="78">
        <f>G349</f>
        <v>0</v>
      </c>
      <c r="G349" s="112">
        <f>IF(ABS(G344-SUM(G345:G348))&lt;epsilon,0,1)</f>
        <v>0</v>
      </c>
    </row>
    <row r="351" spans="2:7" x14ac:dyDescent="0.2">
      <c r="B351" s="41" t="s">
        <v>787</v>
      </c>
    </row>
    <row r="352" spans="2:7" x14ac:dyDescent="0.2">
      <c r="C352" s="162" t="str">
        <f t="array" ref="C352:C365">Voice.services.list</f>
        <v>2G - Tráfico de voz on-net</v>
      </c>
      <c r="G352" s="109">
        <f t="array" ref="G352:G358">100%</f>
        <v>1</v>
      </c>
    </row>
    <row r="353" spans="1:7" outlineLevel="1" x14ac:dyDescent="0.2">
      <c r="C353" s="162" t="str">
        <v>2G - Tráfico de voz saliente a fijo</v>
      </c>
      <c r="G353" s="109">
        <v>1</v>
      </c>
    </row>
    <row r="354" spans="1:7" outlineLevel="1" x14ac:dyDescent="0.2">
      <c r="C354" s="162" t="str">
        <v>2G - Tráfico de voz saliente a móvil</v>
      </c>
      <c r="G354" s="109">
        <v>1</v>
      </c>
    </row>
    <row r="355" spans="1:7" outlineLevel="1" x14ac:dyDescent="0.2">
      <c r="C355" s="162" t="str">
        <v>2G - Tráfico de voz saliente a internacional</v>
      </c>
      <c r="G355" s="109">
        <v>1</v>
      </c>
    </row>
    <row r="356" spans="1:7" outlineLevel="1" x14ac:dyDescent="0.2">
      <c r="C356" s="162" t="str">
        <v>2G - Tráfico de voz entrante desde fijo</v>
      </c>
      <c r="G356" s="109">
        <v>1</v>
      </c>
    </row>
    <row r="357" spans="1:7" outlineLevel="1" x14ac:dyDescent="0.2">
      <c r="C357" s="162" t="str">
        <v>2G - Tráfico de voz entrante desde móvil</v>
      </c>
      <c r="G357" s="109">
        <v>1</v>
      </c>
    </row>
    <row r="358" spans="1:7" x14ac:dyDescent="0.2">
      <c r="C358" s="163" t="str">
        <v>2G - Tráfico de voz entrante desde internacional</v>
      </c>
      <c r="G358" s="109">
        <v>1</v>
      </c>
    </row>
    <row r="359" spans="1:7" x14ac:dyDescent="0.2">
      <c r="C359" s="163" t="str">
        <v>3G - Tráfico de voz on-net</v>
      </c>
      <c r="G359" s="164">
        <f t="array" ref="G359:G365">1+Release99.soft.handover</f>
        <v>1.2</v>
      </c>
    </row>
    <row r="360" spans="1:7" outlineLevel="1" x14ac:dyDescent="0.2">
      <c r="C360" s="162" t="str">
        <v>3G - Tráfico de voz saliente a fijo</v>
      </c>
      <c r="G360" s="164">
        <v>1.2</v>
      </c>
    </row>
    <row r="361" spans="1:7" outlineLevel="1" x14ac:dyDescent="0.2">
      <c r="C361" s="162" t="str">
        <v>3G - Tráfico de voz saliente a móvil</v>
      </c>
      <c r="G361" s="164">
        <v>1.2</v>
      </c>
    </row>
    <row r="362" spans="1:7" outlineLevel="1" x14ac:dyDescent="0.2">
      <c r="C362" s="162" t="str">
        <v>3G - Tráfico de voz saliente a internacional</v>
      </c>
      <c r="G362" s="164">
        <v>1.2</v>
      </c>
    </row>
    <row r="363" spans="1:7" outlineLevel="1" x14ac:dyDescent="0.2">
      <c r="C363" s="162" t="str">
        <v>3G - Tráfico de voz entrante desde fijo</v>
      </c>
      <c r="G363" s="164">
        <v>1.2</v>
      </c>
    </row>
    <row r="364" spans="1:7" outlineLevel="1" x14ac:dyDescent="0.2">
      <c r="C364" s="162" t="str">
        <v>3G - Tráfico de voz entrante desde móvil</v>
      </c>
      <c r="G364" s="164">
        <v>1.2</v>
      </c>
    </row>
    <row r="365" spans="1:7" x14ac:dyDescent="0.2">
      <c r="C365" s="162" t="str">
        <v>3G - Tráfico de voz entrante desde internacional</v>
      </c>
      <c r="G365" s="164">
        <v>1.2</v>
      </c>
    </row>
    <row r="366" spans="1:7" customFormat="1" x14ac:dyDescent="0.2">
      <c r="A366" s="81"/>
      <c r="B366" s="81"/>
      <c r="C366" s="81"/>
      <c r="D366" s="81"/>
    </row>
    <row r="367" spans="1:7" x14ac:dyDescent="0.2">
      <c r="C367" s="162" t="str">
        <f t="array" ref="C367:C373">VoLTE.services.list</f>
        <v>4G - Tráfico de voz on-net</v>
      </c>
      <c r="G367" s="109">
        <f t="array" ref="G367:G373">100%</f>
        <v>1</v>
      </c>
    </row>
    <row r="368" spans="1:7" outlineLevel="1" x14ac:dyDescent="0.2">
      <c r="C368" s="162" t="str">
        <v>4G - Tráfico de voz saliente a fijo</v>
      </c>
      <c r="G368" s="109">
        <v>1</v>
      </c>
    </row>
    <row r="369" spans="2:7" outlineLevel="1" x14ac:dyDescent="0.2">
      <c r="C369" s="162" t="str">
        <v>4G - Tráfico de voz saliente a móvil</v>
      </c>
      <c r="G369" s="109">
        <v>1</v>
      </c>
    </row>
    <row r="370" spans="2:7" outlineLevel="1" x14ac:dyDescent="0.2">
      <c r="C370" s="162" t="str">
        <v>4G - Tráfico de voz saliente a internacional</v>
      </c>
      <c r="G370" s="109">
        <v>1</v>
      </c>
    </row>
    <row r="371" spans="2:7" outlineLevel="1" x14ac:dyDescent="0.2">
      <c r="C371" s="162" t="str">
        <v>4G - Tráfico de voz entrante desde fijo</v>
      </c>
      <c r="G371" s="109">
        <v>1</v>
      </c>
    </row>
    <row r="372" spans="2:7" outlineLevel="1" x14ac:dyDescent="0.2">
      <c r="C372" s="162" t="str">
        <v>4G - Tráfico de voz entrante desde móvil</v>
      </c>
      <c r="G372" s="109">
        <v>1</v>
      </c>
    </row>
    <row r="373" spans="2:7" x14ac:dyDescent="0.2">
      <c r="C373" s="162" t="str">
        <v>4G - Tráfico de voz entrante desde internacional</v>
      </c>
      <c r="G373" s="109">
        <v>1</v>
      </c>
    </row>
    <row r="375" spans="2:7" x14ac:dyDescent="0.2">
      <c r="B375" s="41" t="s">
        <v>786</v>
      </c>
    </row>
    <row r="376" spans="2:7" x14ac:dyDescent="0.2">
      <c r="C376" s="162" t="str">
        <f t="array" ref="C376:C389">Voice.services.list</f>
        <v>2G - Tráfico de voz on-net</v>
      </c>
      <c r="G376" s="75">
        <f t="array" ref="G376:G382">Backhaul.rate.ATM/Kbits.per.Mbits</f>
        <v>3.7890624999999997E-2</v>
      </c>
    </row>
    <row r="377" spans="2:7" outlineLevel="1" x14ac:dyDescent="0.2">
      <c r="C377" s="162" t="str">
        <v>2G - Tráfico de voz saliente a fijo</v>
      </c>
      <c r="G377" s="75">
        <v>3.7890624999999997E-2</v>
      </c>
    </row>
    <row r="378" spans="2:7" outlineLevel="1" x14ac:dyDescent="0.2">
      <c r="C378" s="162" t="str">
        <v>2G - Tráfico de voz saliente a móvil</v>
      </c>
      <c r="G378" s="75">
        <v>3.7890624999999997E-2</v>
      </c>
    </row>
    <row r="379" spans="2:7" outlineLevel="1" x14ac:dyDescent="0.2">
      <c r="C379" s="162" t="str">
        <v>2G - Tráfico de voz saliente a internacional</v>
      </c>
      <c r="G379" s="75">
        <v>3.7890624999999997E-2</v>
      </c>
    </row>
    <row r="380" spans="2:7" outlineLevel="1" x14ac:dyDescent="0.2">
      <c r="C380" s="162" t="str">
        <v>2G - Tráfico de voz entrante desde fijo</v>
      </c>
      <c r="G380" s="75">
        <v>3.7890624999999997E-2</v>
      </c>
    </row>
    <row r="381" spans="2:7" outlineLevel="1" x14ac:dyDescent="0.2">
      <c r="C381" s="162" t="str">
        <v>2G - Tráfico de voz entrante desde móvil</v>
      </c>
      <c r="G381" s="75">
        <v>3.7890624999999997E-2</v>
      </c>
    </row>
    <row r="382" spans="2:7" x14ac:dyDescent="0.2">
      <c r="C382" s="163" t="str">
        <v>2G - Tráfico de voz entrante desde internacional</v>
      </c>
      <c r="G382" s="75">
        <v>3.7890624999999997E-2</v>
      </c>
    </row>
    <row r="383" spans="2:7" x14ac:dyDescent="0.2">
      <c r="C383" s="163" t="str">
        <v>3G - Tráfico de voz on-net</v>
      </c>
      <c r="G383" s="203">
        <f t="array" ref="G383:G389">Backhaul.rate.Ethernet/Kbits.per.Mbits</f>
        <v>3.7890624999999997E-2</v>
      </c>
    </row>
    <row r="384" spans="2:7" outlineLevel="1" x14ac:dyDescent="0.2">
      <c r="C384" s="162" t="str">
        <v>3G - Tráfico de voz saliente a fijo</v>
      </c>
      <c r="G384" s="203">
        <v>3.7890624999999997E-2</v>
      </c>
    </row>
    <row r="385" spans="1:7" outlineLevel="1" x14ac:dyDescent="0.2">
      <c r="C385" s="162" t="str">
        <v>3G - Tráfico de voz saliente a móvil</v>
      </c>
      <c r="G385" s="203">
        <v>3.7890624999999997E-2</v>
      </c>
    </row>
    <row r="386" spans="1:7" outlineLevel="1" x14ac:dyDescent="0.2">
      <c r="C386" s="162" t="str">
        <v>3G - Tráfico de voz saliente a internacional</v>
      </c>
      <c r="G386" s="203">
        <v>3.7890624999999997E-2</v>
      </c>
    </row>
    <row r="387" spans="1:7" outlineLevel="1" x14ac:dyDescent="0.2">
      <c r="C387" s="162" t="str">
        <v>3G - Tráfico de voz entrante desde fijo</v>
      </c>
      <c r="G387" s="203">
        <v>3.7890624999999997E-2</v>
      </c>
    </row>
    <row r="388" spans="1:7" outlineLevel="1" x14ac:dyDescent="0.2">
      <c r="C388" s="162" t="str">
        <v>3G - Tráfico de voz entrante desde móvil</v>
      </c>
      <c r="G388" s="203">
        <v>3.7890624999999997E-2</v>
      </c>
    </row>
    <row r="389" spans="1:7" x14ac:dyDescent="0.2">
      <c r="C389" s="162" t="str">
        <v>3G - Tráfico de voz entrante desde internacional</v>
      </c>
      <c r="G389" s="203">
        <v>3.7890624999999997E-2</v>
      </c>
    </row>
    <row r="390" spans="1:7" customFormat="1" x14ac:dyDescent="0.2">
      <c r="A390" s="81"/>
      <c r="B390" s="81"/>
      <c r="C390" s="81"/>
      <c r="D390" s="81"/>
    </row>
    <row r="391" spans="1:7" x14ac:dyDescent="0.2">
      <c r="C391" s="162" t="str">
        <f t="array" ref="C391:C397">VoLTE.services.list</f>
        <v>4G - Tráfico de voz on-net</v>
      </c>
      <c r="G391" s="75">
        <f t="array" ref="G391:G397">Backhaul.rate.Ethernet/Kbits.per.Mbits</f>
        <v>3.7890624999999997E-2</v>
      </c>
    </row>
    <row r="392" spans="1:7" outlineLevel="1" x14ac:dyDescent="0.2">
      <c r="C392" s="162" t="str">
        <v>4G - Tráfico de voz saliente a fijo</v>
      </c>
      <c r="G392" s="75">
        <v>3.7890624999999997E-2</v>
      </c>
    </row>
    <row r="393" spans="1:7" outlineLevel="1" x14ac:dyDescent="0.2">
      <c r="C393" s="162" t="str">
        <v>4G - Tráfico de voz saliente a móvil</v>
      </c>
      <c r="G393" s="75">
        <v>3.7890624999999997E-2</v>
      </c>
    </row>
    <row r="394" spans="1:7" outlineLevel="1" x14ac:dyDescent="0.2">
      <c r="C394" s="162" t="str">
        <v>4G - Tráfico de voz saliente a internacional</v>
      </c>
      <c r="G394" s="75">
        <v>3.7890624999999997E-2</v>
      </c>
    </row>
    <row r="395" spans="1:7" outlineLevel="1" x14ac:dyDescent="0.2">
      <c r="C395" s="162" t="str">
        <v>4G - Tráfico de voz entrante desde fijo</v>
      </c>
      <c r="G395" s="75">
        <v>3.7890624999999997E-2</v>
      </c>
    </row>
    <row r="396" spans="1:7" outlineLevel="1" x14ac:dyDescent="0.2">
      <c r="C396" s="162" t="str">
        <v>4G - Tráfico de voz entrante desde móvil</v>
      </c>
      <c r="G396" s="75">
        <v>3.7890624999999997E-2</v>
      </c>
    </row>
    <row r="397" spans="1:7" x14ac:dyDescent="0.2">
      <c r="C397" s="162" t="str">
        <v>4G - Tráfico de voz entrante desde internacional</v>
      </c>
      <c r="G397" s="75">
        <v>3.7890624999999997E-2</v>
      </c>
    </row>
    <row r="399" spans="1:7" x14ac:dyDescent="0.2">
      <c r="B399" s="82" t="s">
        <v>788</v>
      </c>
      <c r="G399" s="155">
        <f>SUMPRODUCT(G162:G175,G$352:G$365,G$376:G$389)+SUMPRODUCT(G194:G200,G$367:G$373,G$391:G$397)</f>
        <v>7550.5451051249393</v>
      </c>
    </row>
    <row r="400" spans="1:7" x14ac:dyDescent="0.2">
      <c r="C400" s="71" t="s">
        <v>790</v>
      </c>
      <c r="G400" s="108">
        <f>SUMPRODUCT(G162:G168,G$352:G$358,G$376:G$382)</f>
        <v>1641.4228489402039</v>
      </c>
    </row>
    <row r="401" spans="1:7" x14ac:dyDescent="0.2">
      <c r="C401" s="71" t="s">
        <v>791</v>
      </c>
      <c r="G401" s="108">
        <f>SUMPRODUCT(G169:G175,G$359:G$365,G$383:G$389)</f>
        <v>5909.1222561847353</v>
      </c>
    </row>
    <row r="402" spans="1:7" x14ac:dyDescent="0.2">
      <c r="C402" s="71" t="s">
        <v>792</v>
      </c>
      <c r="G402" s="108">
        <f t="array" ref="G402">SUMPRODUCT(G194:G200,G$367:G$373,G$391:G$397)</f>
        <v>0</v>
      </c>
    </row>
    <row r="403" spans="1:7" x14ac:dyDescent="0.2">
      <c r="F403" s="78">
        <f>G403</f>
        <v>0</v>
      </c>
      <c r="G403" s="112">
        <f>IF(ABS(G399-SUM(G400:G402))&lt;epsilon,0,1)</f>
        <v>0</v>
      </c>
    </row>
    <row r="405" spans="1:7" x14ac:dyDescent="0.2">
      <c r="B405" s="82" t="s">
        <v>789</v>
      </c>
      <c r="G405" s="155">
        <f>SUMPRODUCT(G178:G191,G$352:G$365,G$376:G$389)+SUMPRODUCT(G203:G209,G$367:G$373,G$391:G$397)</f>
        <v>4719.0906907030876</v>
      </c>
    </row>
    <row r="406" spans="1:7" x14ac:dyDescent="0.2">
      <c r="C406" s="71" t="s">
        <v>790</v>
      </c>
      <c r="G406" s="108">
        <f>SUMPRODUCT(G178:G184,G$352:G$358,G$376:G$382)</f>
        <v>1025.8892805876276</v>
      </c>
    </row>
    <row r="407" spans="1:7" x14ac:dyDescent="0.2">
      <c r="C407" s="71" t="s">
        <v>791</v>
      </c>
      <c r="G407" s="108">
        <f>SUMPRODUCT(G185:G191,G$359:G$365,G$383:G$389)</f>
        <v>3693.20141011546</v>
      </c>
    </row>
    <row r="408" spans="1:7" x14ac:dyDescent="0.2">
      <c r="A408"/>
      <c r="C408" s="71" t="s">
        <v>792</v>
      </c>
      <c r="G408" s="108">
        <f>SUMPRODUCT(G203:G209,G$367:G$373,G$391:G$397)</f>
        <v>0</v>
      </c>
    </row>
    <row r="409" spans="1:7" x14ac:dyDescent="0.2">
      <c r="A409"/>
      <c r="F409" s="78">
        <f>G409</f>
        <v>0</v>
      </c>
      <c r="G409" s="112">
        <f>IF(ABS(G405-SUM(G406:G408))&lt;epsilon,0,1)</f>
        <v>0</v>
      </c>
    </row>
    <row r="410" spans="1:7" x14ac:dyDescent="0.2">
      <c r="A410"/>
    </row>
    <row r="411" spans="1:7" x14ac:dyDescent="0.2">
      <c r="A411"/>
      <c r="B411" s="82" t="s">
        <v>793</v>
      </c>
      <c r="G411" s="155">
        <f>G337+G399</f>
        <v>105423.22539664661</v>
      </c>
    </row>
    <row r="412" spans="1:7" x14ac:dyDescent="0.2">
      <c r="A412"/>
      <c r="C412" s="71" t="s">
        <v>790</v>
      </c>
      <c r="G412" s="108">
        <f>G338+G400</f>
        <v>9566.3362328690837</v>
      </c>
    </row>
    <row r="413" spans="1:7" x14ac:dyDescent="0.2">
      <c r="A413"/>
      <c r="C413" s="71" t="s">
        <v>791</v>
      </c>
      <c r="G413" s="108">
        <f>G339+(G401+G340)</f>
        <v>61892.974661225184</v>
      </c>
    </row>
    <row r="414" spans="1:7" x14ac:dyDescent="0.2">
      <c r="A414"/>
      <c r="C414" s="71" t="s">
        <v>792</v>
      </c>
      <c r="G414" s="108">
        <f>G341+G402</f>
        <v>33963.914502552347</v>
      </c>
    </row>
    <row r="415" spans="1:7" x14ac:dyDescent="0.2">
      <c r="A415"/>
      <c r="F415" s="78">
        <f>G415</f>
        <v>0</v>
      </c>
      <c r="G415" s="112">
        <f>IF(ABS(G411-SUM(G412:G414))&lt;epsilon,0,1)</f>
        <v>0</v>
      </c>
    </row>
    <row r="416" spans="1:7" x14ac:dyDescent="0.2">
      <c r="A416"/>
    </row>
    <row r="417" spans="1:8" x14ac:dyDescent="0.2">
      <c r="A417"/>
      <c r="B417" s="82" t="s">
        <v>794</v>
      </c>
      <c r="G417" s="155">
        <f>G344+G405</f>
        <v>127059.94105510517</v>
      </c>
    </row>
    <row r="418" spans="1:8" x14ac:dyDescent="0.2">
      <c r="A418"/>
      <c r="C418" s="71" t="s">
        <v>790</v>
      </c>
      <c r="G418" s="108">
        <f>G345+G406</f>
        <v>10932.031010498727</v>
      </c>
    </row>
    <row r="419" spans="1:8" x14ac:dyDescent="0.2">
      <c r="A419"/>
      <c r="C419" s="71" t="s">
        <v>791</v>
      </c>
      <c r="G419" s="108">
        <f>G346+(G407+G347)</f>
        <v>73673.016916416018</v>
      </c>
    </row>
    <row r="420" spans="1:8" x14ac:dyDescent="0.2">
      <c r="A420"/>
      <c r="C420" s="71" t="s">
        <v>792</v>
      </c>
      <c r="G420" s="108">
        <f>G348+G408</f>
        <v>42454.893128190437</v>
      </c>
    </row>
    <row r="421" spans="1:8" x14ac:dyDescent="0.2">
      <c r="F421" s="78">
        <f>G421</f>
        <v>0</v>
      </c>
      <c r="G421" s="112">
        <f>IF(ABS(G417-SUM(G418:G420))&lt;epsilon,0,1)</f>
        <v>0</v>
      </c>
    </row>
    <row r="423" spans="1:8" x14ac:dyDescent="0.2">
      <c r="B423" s="82" t="s">
        <v>795</v>
      </c>
      <c r="G423" s="111">
        <f>MAX(G411,G417)</f>
        <v>127059.94105510517</v>
      </c>
      <c r="H423" s="88" t="s">
        <v>150</v>
      </c>
    </row>
    <row r="425" spans="1:8" x14ac:dyDescent="0.2">
      <c r="C425" s="71" t="s">
        <v>790</v>
      </c>
      <c r="G425" s="114">
        <f>IF(G$423=G$411,G412,G418)</f>
        <v>10932.031010498727</v>
      </c>
      <c r="H425" s="88" t="s">
        <v>149</v>
      </c>
    </row>
    <row r="426" spans="1:8" x14ac:dyDescent="0.2">
      <c r="C426" s="71" t="s">
        <v>791</v>
      </c>
      <c r="G426" s="114">
        <f>IF(G$423=G$411,G413,G419)</f>
        <v>73673.016916416018</v>
      </c>
      <c r="H426" s="88" t="s">
        <v>148</v>
      </c>
    </row>
    <row r="427" spans="1:8" x14ac:dyDescent="0.2">
      <c r="C427" s="71" t="s">
        <v>792</v>
      </c>
      <c r="G427" s="114">
        <f>IF(G$423=G$411,G414,G420)</f>
        <v>42454.893128190437</v>
      </c>
      <c r="H427" s="88" t="s">
        <v>446</v>
      </c>
    </row>
    <row r="428" spans="1:8" x14ac:dyDescent="0.2">
      <c r="F428" s="78">
        <f>G428</f>
        <v>0</v>
      </c>
      <c r="G428" s="112">
        <f>IF(ABS(G423-SUM(G425:G427))&lt;epsilon,0,1)</f>
        <v>0</v>
      </c>
    </row>
    <row r="429" spans="1:8" x14ac:dyDescent="0.2">
      <c r="C429" s="71" t="s">
        <v>796</v>
      </c>
      <c r="G429" s="114">
        <f>IF(G$425=G$412,G400,G406)</f>
        <v>1025.8892805876276</v>
      </c>
      <c r="H429" s="88" t="s">
        <v>147</v>
      </c>
    </row>
    <row r="430" spans="1:8" x14ac:dyDescent="0.2">
      <c r="C430" s="71" t="s">
        <v>797</v>
      </c>
      <c r="G430" s="114">
        <f>IF(G$426=G$413,G401,G407)</f>
        <v>3693.20141011546</v>
      </c>
      <c r="H430" s="88" t="s">
        <v>146</v>
      </c>
    </row>
    <row r="431" spans="1:8" x14ac:dyDescent="0.2">
      <c r="C431" s="71" t="s">
        <v>802</v>
      </c>
      <c r="G431" s="114">
        <f>IF(G$426=G$413,G402,G408)</f>
        <v>0</v>
      </c>
      <c r="H431" s="88" t="s">
        <v>447</v>
      </c>
    </row>
    <row r="432" spans="1:8" x14ac:dyDescent="0.2">
      <c r="C432" s="71" t="s">
        <v>798</v>
      </c>
      <c r="G432" s="114">
        <f>IF(G$425=G$412,G338,G345)</f>
        <v>9906.1417299110999</v>
      </c>
      <c r="H432" s="88" t="s">
        <v>145</v>
      </c>
    </row>
    <row r="433" spans="1:11" x14ac:dyDescent="0.2">
      <c r="C433" s="115" t="s">
        <v>799</v>
      </c>
      <c r="G433" s="114">
        <f>IF(G$426=G$413,G339,G346)</f>
        <v>636.82339692285632</v>
      </c>
      <c r="H433" s="88" t="s">
        <v>144</v>
      </c>
    </row>
    <row r="434" spans="1:11" x14ac:dyDescent="0.2">
      <c r="C434" s="115" t="s">
        <v>800</v>
      </c>
      <c r="G434" s="114">
        <f>IF(G$426=G$413,G340,G347)</f>
        <v>69342.992109377694</v>
      </c>
      <c r="H434" s="88" t="s">
        <v>143</v>
      </c>
    </row>
    <row r="435" spans="1:11" x14ac:dyDescent="0.2">
      <c r="C435" s="71" t="s">
        <v>801</v>
      </c>
      <c r="G435" s="114">
        <f>IF(G$426=G$413,G341,G348)</f>
        <v>42454.893128190437</v>
      </c>
      <c r="H435" s="88" t="s">
        <v>448</v>
      </c>
    </row>
    <row r="436" spans="1:11" x14ac:dyDescent="0.2">
      <c r="F436" s="78">
        <f>G436</f>
        <v>0</v>
      </c>
      <c r="G436" s="112">
        <f>IF(ABS(G423-SUM(G429:G435))&lt;epsilon,0,1)</f>
        <v>0</v>
      </c>
    </row>
    <row r="438" spans="1:11" ht="15.75" x14ac:dyDescent="0.2">
      <c r="A438" s="171" t="s">
        <v>832</v>
      </c>
      <c r="B438" s="171"/>
      <c r="C438" s="171"/>
      <c r="D438" s="171"/>
      <c r="E438" s="171"/>
      <c r="F438" s="171"/>
      <c r="G438" s="171"/>
      <c r="H438" s="171"/>
      <c r="I438" s="171"/>
      <c r="J438" s="171"/>
      <c r="K438" s="171"/>
    </row>
    <row r="440" spans="1:11" x14ac:dyDescent="0.2">
      <c r="B440" s="41" t="s">
        <v>779</v>
      </c>
    </row>
    <row r="441" spans="1:11" x14ac:dyDescent="0.2">
      <c r="C441" s="162" t="str">
        <f t="array" ref="C441:C446">Data.services.list</f>
        <v>GPRS data Mbytes</v>
      </c>
      <c r="G441" s="110">
        <v>1</v>
      </c>
      <c r="H441" s="63"/>
    </row>
    <row r="442" spans="1:11" x14ac:dyDescent="0.2">
      <c r="C442" s="162" t="str">
        <v>R99 data Mbytes</v>
      </c>
      <c r="G442" s="110">
        <v>0</v>
      </c>
      <c r="H442" s="63" t="s">
        <v>803</v>
      </c>
    </row>
    <row r="443" spans="1:11" x14ac:dyDescent="0.2">
      <c r="C443" s="162" t="str">
        <v>HSDPA data Mbytes</v>
      </c>
      <c r="G443" s="110">
        <v>0</v>
      </c>
      <c r="H443" s="63" t="s">
        <v>803</v>
      </c>
    </row>
    <row r="444" spans="1:11" x14ac:dyDescent="0.2">
      <c r="C444" s="162" t="str">
        <v>HSUPA data Mbytes</v>
      </c>
      <c r="G444" s="110">
        <v>0</v>
      </c>
      <c r="H444" s="63" t="s">
        <v>803</v>
      </c>
    </row>
    <row r="445" spans="1:11" x14ac:dyDescent="0.2">
      <c r="C445" s="163" t="str">
        <v>LTE data Mbytes</v>
      </c>
      <c r="G445" s="109">
        <v>0</v>
      </c>
    </row>
    <row r="446" spans="1:11" x14ac:dyDescent="0.2">
      <c r="C446" s="163" t="str">
        <v>spare</v>
      </c>
      <c r="G446" s="109">
        <v>0</v>
      </c>
    </row>
    <row r="449" spans="2:8" x14ac:dyDescent="0.2">
      <c r="B449" s="82" t="s">
        <v>812</v>
      </c>
      <c r="G449" s="94">
        <f>SUMPRODUCT(G266:G271,G$441:G$446)</f>
        <v>7924.9133839288797</v>
      </c>
    </row>
    <row r="450" spans="2:8" x14ac:dyDescent="0.2">
      <c r="C450" s="63"/>
    </row>
    <row r="452" spans="2:8" x14ac:dyDescent="0.2">
      <c r="B452" s="82" t="s">
        <v>813</v>
      </c>
      <c r="G452" s="77">
        <f>SUMPRODUCT(G274:G279,G$441:G$446)</f>
        <v>9906.1417299110999</v>
      </c>
      <c r="H452" s="88" t="s">
        <v>142</v>
      </c>
    </row>
    <row r="453" spans="2:8" x14ac:dyDescent="0.2">
      <c r="C453" s="63"/>
    </row>
    <row r="455" spans="2:8" x14ac:dyDescent="0.2">
      <c r="B455" s="82" t="s">
        <v>786</v>
      </c>
    </row>
    <row r="456" spans="2:8" x14ac:dyDescent="0.2">
      <c r="C456" s="162" t="str">
        <f t="array" ref="C456:C469">Voice.services.list</f>
        <v>2G - Tráfico de voz on-net</v>
      </c>
      <c r="G456" s="75">
        <f t="array" ref="G456:G462">Backhaul.rate.ATM/Kbits.per.Mbits</f>
        <v>3.7890624999999997E-2</v>
      </c>
    </row>
    <row r="457" spans="2:8" outlineLevel="1" x14ac:dyDescent="0.2">
      <c r="C457" s="162" t="str">
        <v>2G - Tráfico de voz saliente a fijo</v>
      </c>
      <c r="G457" s="75">
        <v>3.7890624999999997E-2</v>
      </c>
    </row>
    <row r="458" spans="2:8" outlineLevel="1" x14ac:dyDescent="0.2">
      <c r="C458" s="162" t="str">
        <v>2G - Tráfico de voz saliente a móvil</v>
      </c>
      <c r="G458" s="75">
        <v>3.7890624999999997E-2</v>
      </c>
    </row>
    <row r="459" spans="2:8" outlineLevel="1" x14ac:dyDescent="0.2">
      <c r="C459" s="162" t="str">
        <v>2G - Tráfico de voz saliente a internacional</v>
      </c>
      <c r="G459" s="75">
        <v>3.7890624999999997E-2</v>
      </c>
    </row>
    <row r="460" spans="2:8" outlineLevel="1" x14ac:dyDescent="0.2">
      <c r="C460" s="162" t="str">
        <v>2G - Tráfico de voz entrante desde fijo</v>
      </c>
      <c r="G460" s="75">
        <v>3.7890624999999997E-2</v>
      </c>
    </row>
    <row r="461" spans="2:8" outlineLevel="1" x14ac:dyDescent="0.2">
      <c r="C461" s="162" t="str">
        <v>2G - Tráfico de voz entrante desde móvil</v>
      </c>
      <c r="G461" s="75">
        <v>3.7890624999999997E-2</v>
      </c>
    </row>
    <row r="462" spans="2:8" x14ac:dyDescent="0.2">
      <c r="C462" s="163" t="str">
        <v>2G - Tráfico de voz entrante desde internacional</v>
      </c>
      <c r="G462" s="75">
        <v>3.7890624999999997E-2</v>
      </c>
    </row>
    <row r="463" spans="2:8" x14ac:dyDescent="0.2">
      <c r="C463" s="163" t="str">
        <v>3G - Tráfico de voz on-net</v>
      </c>
      <c r="G463" s="113">
        <f t="array" ref="G463:G469">0</f>
        <v>0</v>
      </c>
      <c r="H463" s="63" t="s">
        <v>803</v>
      </c>
    </row>
    <row r="464" spans="2:8" outlineLevel="1" x14ac:dyDescent="0.2">
      <c r="C464" s="162" t="str">
        <v>3G - Tráfico de voz saliente a fijo</v>
      </c>
      <c r="G464" s="113">
        <v>0</v>
      </c>
      <c r="H464" s="63" t="s">
        <v>803</v>
      </c>
    </row>
    <row r="465" spans="2:8" outlineLevel="1" x14ac:dyDescent="0.2">
      <c r="C465" s="162" t="str">
        <v>3G - Tráfico de voz saliente a móvil</v>
      </c>
      <c r="G465" s="113">
        <v>0</v>
      </c>
      <c r="H465" s="63" t="s">
        <v>803</v>
      </c>
    </row>
    <row r="466" spans="2:8" outlineLevel="1" x14ac:dyDescent="0.2">
      <c r="C466" s="162" t="str">
        <v>3G - Tráfico de voz saliente a internacional</v>
      </c>
      <c r="G466" s="113">
        <v>0</v>
      </c>
      <c r="H466" s="63" t="s">
        <v>803</v>
      </c>
    </row>
    <row r="467" spans="2:8" outlineLevel="1" x14ac:dyDescent="0.2">
      <c r="C467" s="162" t="str">
        <v>3G - Tráfico de voz entrante desde fijo</v>
      </c>
      <c r="G467" s="113">
        <v>0</v>
      </c>
      <c r="H467" s="63" t="s">
        <v>803</v>
      </c>
    </row>
    <row r="468" spans="2:8" outlineLevel="1" x14ac:dyDescent="0.2">
      <c r="C468" s="162" t="str">
        <v>3G - Tráfico de voz entrante desde móvil</v>
      </c>
      <c r="G468" s="113">
        <v>0</v>
      </c>
      <c r="H468" s="63" t="s">
        <v>803</v>
      </c>
    </row>
    <row r="469" spans="2:8" x14ac:dyDescent="0.2">
      <c r="C469" s="162" t="str">
        <v>3G - Tráfico de voz entrante desde internacional</v>
      </c>
      <c r="G469" s="113">
        <v>0</v>
      </c>
      <c r="H469" s="63" t="s">
        <v>803</v>
      </c>
    </row>
    <row r="472" spans="2:8" x14ac:dyDescent="0.2">
      <c r="B472" s="82" t="s">
        <v>804</v>
      </c>
      <c r="G472" s="64">
        <f>SUMPRODUCT(G162:G175,G$456:G$469)</f>
        <v>1641.4228489402039</v>
      </c>
    </row>
    <row r="475" spans="2:8" x14ac:dyDescent="0.2">
      <c r="B475" s="82" t="s">
        <v>805</v>
      </c>
      <c r="G475" s="64">
        <f>SUMPRODUCT(G178:G191,G$456:G$469)</f>
        <v>1025.8892805876276</v>
      </c>
    </row>
    <row r="478" spans="2:8" x14ac:dyDescent="0.2">
      <c r="B478" s="82" t="s">
        <v>818</v>
      </c>
      <c r="G478" s="77">
        <f>MAX(G472,G475)</f>
        <v>1641.4228489402039</v>
      </c>
      <c r="H478" s="88" t="s">
        <v>141</v>
      </c>
    </row>
    <row r="480" spans="2:8" x14ac:dyDescent="0.2">
      <c r="B480" s="82"/>
    </row>
    <row r="481" spans="1:11" x14ac:dyDescent="0.2">
      <c r="B481" s="82" t="s">
        <v>806</v>
      </c>
      <c r="G481" s="94">
        <f>G449+G472</f>
        <v>9566.3362328690837</v>
      </c>
    </row>
    <row r="482" spans="1:11" x14ac:dyDescent="0.2">
      <c r="C482" s="63"/>
    </row>
    <row r="484" spans="1:11" x14ac:dyDescent="0.2">
      <c r="B484" s="82" t="s">
        <v>807</v>
      </c>
      <c r="G484" s="94">
        <f>G452+G475</f>
        <v>10932.031010498727</v>
      </c>
    </row>
    <row r="485" spans="1:11" x14ac:dyDescent="0.2">
      <c r="C485" s="63"/>
    </row>
    <row r="487" spans="1:11" x14ac:dyDescent="0.2">
      <c r="B487" s="82" t="s">
        <v>822</v>
      </c>
      <c r="G487" s="77">
        <f>MAX(G481,G484,)</f>
        <v>10932.031010498727</v>
      </c>
      <c r="H487" s="88" t="s">
        <v>140</v>
      </c>
    </row>
    <row r="489" spans="1:11" x14ac:dyDescent="0.2">
      <c r="C489" s="71" t="s">
        <v>808</v>
      </c>
      <c r="G489" s="170">
        <f>IF(G$487=G$481,G472,G475)</f>
        <v>1025.8892805876276</v>
      </c>
      <c r="H489" s="88" t="s">
        <v>139</v>
      </c>
    </row>
    <row r="490" spans="1:11" x14ac:dyDescent="0.2">
      <c r="C490" s="81" t="s">
        <v>809</v>
      </c>
      <c r="G490" s="170">
        <f>IF(G$487=G$481,G449,G452)</f>
        <v>9906.1417299110999</v>
      </c>
      <c r="H490" s="88" t="s">
        <v>138</v>
      </c>
    </row>
    <row r="491" spans="1:11" x14ac:dyDescent="0.2">
      <c r="F491" s="78">
        <f>G491</f>
        <v>0</v>
      </c>
      <c r="G491" s="112">
        <f>IF(ABS(G487-(G489+G490))&lt;epsilon,0,1)</f>
        <v>0</v>
      </c>
    </row>
    <row r="493" spans="1:11" ht="15.75" x14ac:dyDescent="0.2">
      <c r="A493" s="171" t="s">
        <v>833</v>
      </c>
      <c r="B493" s="171"/>
      <c r="C493" s="171"/>
      <c r="D493" s="171"/>
      <c r="E493" s="171"/>
      <c r="F493" s="171"/>
      <c r="G493" s="171"/>
      <c r="H493" s="171"/>
      <c r="I493" s="171"/>
      <c r="J493" s="171"/>
      <c r="K493" s="171"/>
    </row>
    <row r="495" spans="1:11" x14ac:dyDescent="0.2">
      <c r="B495" s="41" t="s">
        <v>779</v>
      </c>
    </row>
    <row r="496" spans="1:11" x14ac:dyDescent="0.2">
      <c r="C496" s="162" t="str">
        <f t="array" ref="C496:C501">Data.services.list</f>
        <v>GPRS data Mbytes</v>
      </c>
      <c r="G496" s="110">
        <v>0</v>
      </c>
      <c r="H496" s="63" t="s">
        <v>830</v>
      </c>
    </row>
    <row r="497" spans="2:8" x14ac:dyDescent="0.2">
      <c r="C497" s="162" t="str">
        <v>R99 data Mbytes</v>
      </c>
      <c r="G497" s="164">
        <f>1+Release99.soft.handover</f>
        <v>1.2</v>
      </c>
    </row>
    <row r="498" spans="2:8" x14ac:dyDescent="0.2">
      <c r="C498" s="162" t="str">
        <v>HSDPA data Mbytes</v>
      </c>
      <c r="G498" s="165">
        <f>1/HSPA.peak.to.effective</f>
        <v>2.5</v>
      </c>
      <c r="H498" s="63" t="s">
        <v>811</v>
      </c>
    </row>
    <row r="499" spans="2:8" x14ac:dyDescent="0.2">
      <c r="C499" s="162" t="str">
        <v>HSUPA data Mbytes</v>
      </c>
      <c r="G499" s="110">
        <v>0</v>
      </c>
      <c r="H499" s="63" t="s">
        <v>831</v>
      </c>
    </row>
    <row r="500" spans="2:8" x14ac:dyDescent="0.2">
      <c r="C500" s="163" t="str">
        <v>LTE data Mbytes</v>
      </c>
      <c r="G500" s="109">
        <v>0</v>
      </c>
    </row>
    <row r="501" spans="2:8" x14ac:dyDescent="0.2">
      <c r="C501" s="163" t="str">
        <v>spare</v>
      </c>
      <c r="G501" s="109">
        <v>0</v>
      </c>
    </row>
    <row r="504" spans="2:8" x14ac:dyDescent="0.2">
      <c r="B504" s="82" t="s">
        <v>814</v>
      </c>
      <c r="G504" s="230">
        <f>SUMPRODUCT(G266:G271,G$496:G$501)</f>
        <v>55983.852405040445</v>
      </c>
    </row>
    <row r="505" spans="2:8" x14ac:dyDescent="0.2">
      <c r="C505" s="81" t="s">
        <v>816</v>
      </c>
      <c r="G505" s="160">
        <f>G267*G$497</f>
        <v>509.45871753828521</v>
      </c>
    </row>
    <row r="506" spans="2:8" x14ac:dyDescent="0.2">
      <c r="C506" s="81" t="s">
        <v>817</v>
      </c>
      <c r="G506" s="94">
        <f>SUMPRODUCT(G268:G269,G$498:G$499)</f>
        <v>55474.393687502161</v>
      </c>
    </row>
    <row r="508" spans="2:8" x14ac:dyDescent="0.2">
      <c r="B508" s="82" t="s">
        <v>815</v>
      </c>
      <c r="G508" s="68">
        <f>SUMPRODUCT(G274:G279,G$496:G$501)</f>
        <v>69979.815506300554</v>
      </c>
      <c r="H508"/>
    </row>
    <row r="509" spans="2:8" x14ac:dyDescent="0.2">
      <c r="C509" s="81" t="s">
        <v>816</v>
      </c>
      <c r="G509" s="94">
        <f>G275*G497</f>
        <v>636.82339692285632</v>
      </c>
    </row>
    <row r="510" spans="2:8" x14ac:dyDescent="0.2">
      <c r="C510" s="81" t="s">
        <v>817</v>
      </c>
      <c r="G510" s="160">
        <f>SUMPRODUCT(G276:G277,G$498:G$499)</f>
        <v>69342.992109377694</v>
      </c>
    </row>
    <row r="512" spans="2:8" x14ac:dyDescent="0.2">
      <c r="B512" s="41" t="s">
        <v>1668</v>
      </c>
    </row>
    <row r="513" spans="2:8" x14ac:dyDescent="0.2">
      <c r="C513" s="162" t="str">
        <f t="array" ref="C513:C526">Voice.services.list</f>
        <v>2G - Tráfico de voz on-net</v>
      </c>
      <c r="G513" s="113">
        <f t="array" ref="G513:G519">0</f>
        <v>0</v>
      </c>
      <c r="H513" s="63" t="s">
        <v>830</v>
      </c>
    </row>
    <row r="514" spans="2:8" outlineLevel="1" x14ac:dyDescent="0.2">
      <c r="C514" s="162" t="str">
        <v>2G - Tráfico de voz saliente a fijo</v>
      </c>
      <c r="G514" s="113">
        <v>0</v>
      </c>
      <c r="H514" s="63" t="s">
        <v>830</v>
      </c>
    </row>
    <row r="515" spans="2:8" outlineLevel="1" x14ac:dyDescent="0.2">
      <c r="C515" s="162" t="str">
        <v>2G - Tráfico de voz saliente a móvil</v>
      </c>
      <c r="G515" s="113">
        <v>0</v>
      </c>
      <c r="H515" s="63" t="s">
        <v>830</v>
      </c>
    </row>
    <row r="516" spans="2:8" outlineLevel="1" x14ac:dyDescent="0.2">
      <c r="C516" s="162" t="str">
        <v>2G - Tráfico de voz saliente a internacional</v>
      </c>
      <c r="G516" s="113">
        <v>0</v>
      </c>
      <c r="H516" s="63" t="s">
        <v>830</v>
      </c>
    </row>
    <row r="517" spans="2:8" outlineLevel="1" x14ac:dyDescent="0.2">
      <c r="C517" s="162" t="str">
        <v>2G - Tráfico de voz entrante desde fijo</v>
      </c>
      <c r="G517" s="113">
        <v>0</v>
      </c>
      <c r="H517" s="63" t="s">
        <v>830</v>
      </c>
    </row>
    <row r="518" spans="2:8" outlineLevel="1" x14ac:dyDescent="0.2">
      <c r="C518" s="162" t="str">
        <v>2G - Tráfico de voz entrante desde móvil</v>
      </c>
      <c r="G518" s="113">
        <v>0</v>
      </c>
      <c r="H518" s="63" t="s">
        <v>830</v>
      </c>
    </row>
    <row r="519" spans="2:8" x14ac:dyDescent="0.2">
      <c r="C519" s="163" t="str">
        <v>2G - Tráfico de voz entrante desde internacional</v>
      </c>
      <c r="G519" s="113">
        <v>0</v>
      </c>
      <c r="H519" s="63" t="s">
        <v>830</v>
      </c>
    </row>
    <row r="520" spans="2:8" x14ac:dyDescent="0.2">
      <c r="C520" s="163" t="str">
        <v>3G - Tráfico de voz on-net</v>
      </c>
      <c r="G520" s="164">
        <f t="array" ref="G520:G526">1+Release99.soft.handover</f>
        <v>1.2</v>
      </c>
    </row>
    <row r="521" spans="2:8" outlineLevel="1" x14ac:dyDescent="0.2">
      <c r="C521" s="162" t="str">
        <v>3G - Tráfico de voz saliente a fijo</v>
      </c>
      <c r="G521" s="164">
        <v>1.2</v>
      </c>
    </row>
    <row r="522" spans="2:8" outlineLevel="1" x14ac:dyDescent="0.2">
      <c r="C522" s="162" t="str">
        <v>3G - Tráfico de voz saliente a móvil</v>
      </c>
      <c r="G522" s="164">
        <v>1.2</v>
      </c>
    </row>
    <row r="523" spans="2:8" outlineLevel="1" x14ac:dyDescent="0.2">
      <c r="C523" s="162" t="str">
        <v>3G - Tráfico de voz saliente a internacional</v>
      </c>
      <c r="G523" s="164">
        <v>1.2</v>
      </c>
    </row>
    <row r="524" spans="2:8" outlineLevel="1" x14ac:dyDescent="0.2">
      <c r="C524" s="162" t="str">
        <v>3G - Tráfico de voz entrante desde fijo</v>
      </c>
      <c r="G524" s="164">
        <v>1.2</v>
      </c>
    </row>
    <row r="525" spans="2:8" outlineLevel="1" x14ac:dyDescent="0.2">
      <c r="C525" s="162" t="str">
        <v>3G - Tráfico de voz entrante desde móvil</v>
      </c>
      <c r="G525" s="164">
        <v>1.2</v>
      </c>
    </row>
    <row r="526" spans="2:8" x14ac:dyDescent="0.2">
      <c r="C526" s="162" t="str">
        <v>3G - Tráfico de voz entrante desde internacional</v>
      </c>
      <c r="G526" s="164">
        <v>1.2</v>
      </c>
    </row>
    <row r="528" spans="2:8" x14ac:dyDescent="0.2">
      <c r="B528" s="41" t="s">
        <v>1668</v>
      </c>
    </row>
    <row r="529" spans="2:8" x14ac:dyDescent="0.2">
      <c r="C529" s="162" t="str">
        <f t="array" ref="C529:C542">Voice.services.list</f>
        <v>2G - Tráfico de voz on-net</v>
      </c>
      <c r="G529" s="113">
        <f t="array" ref="G529:G535">0</f>
        <v>0</v>
      </c>
      <c r="H529" s="63" t="s">
        <v>830</v>
      </c>
    </row>
    <row r="530" spans="2:8" outlineLevel="1" x14ac:dyDescent="0.2">
      <c r="C530" s="162" t="str">
        <v>2G - Tráfico de voz saliente a fijo</v>
      </c>
      <c r="G530" s="113">
        <v>0</v>
      </c>
      <c r="H530" s="63" t="s">
        <v>830</v>
      </c>
    </row>
    <row r="531" spans="2:8" outlineLevel="1" x14ac:dyDescent="0.2">
      <c r="C531" s="162" t="str">
        <v>2G - Tráfico de voz saliente a móvil</v>
      </c>
      <c r="G531" s="113">
        <v>0</v>
      </c>
      <c r="H531" s="63" t="s">
        <v>830</v>
      </c>
    </row>
    <row r="532" spans="2:8" outlineLevel="1" x14ac:dyDescent="0.2">
      <c r="C532" s="162" t="str">
        <v>2G - Tráfico de voz saliente a internacional</v>
      </c>
      <c r="G532" s="113">
        <v>0</v>
      </c>
      <c r="H532" s="63" t="s">
        <v>830</v>
      </c>
    </row>
    <row r="533" spans="2:8" outlineLevel="1" x14ac:dyDescent="0.2">
      <c r="C533" s="162" t="str">
        <v>2G - Tráfico de voz entrante desde fijo</v>
      </c>
      <c r="G533" s="113">
        <v>0</v>
      </c>
      <c r="H533" s="63" t="s">
        <v>830</v>
      </c>
    </row>
    <row r="534" spans="2:8" outlineLevel="1" x14ac:dyDescent="0.2">
      <c r="C534" s="162" t="str">
        <v>2G - Tráfico de voz entrante desde móvil</v>
      </c>
      <c r="G534" s="113">
        <v>0</v>
      </c>
      <c r="H534" s="63" t="s">
        <v>830</v>
      </c>
    </row>
    <row r="535" spans="2:8" x14ac:dyDescent="0.2">
      <c r="C535" s="163" t="str">
        <v>2G - Tráfico de voz entrante desde internacional</v>
      </c>
      <c r="G535" s="113">
        <v>0</v>
      </c>
      <c r="H535" s="63" t="s">
        <v>830</v>
      </c>
    </row>
    <row r="536" spans="2:8" x14ac:dyDescent="0.2">
      <c r="C536" s="163" t="str">
        <v>3G - Tráfico de voz on-net</v>
      </c>
      <c r="G536" s="257">
        <v>1</v>
      </c>
    </row>
    <row r="537" spans="2:8" outlineLevel="1" x14ac:dyDescent="0.2">
      <c r="C537" s="162" t="str">
        <v>3G - Tráfico de voz saliente a fijo</v>
      </c>
      <c r="G537" s="257">
        <v>1</v>
      </c>
    </row>
    <row r="538" spans="2:8" outlineLevel="1" x14ac:dyDescent="0.2">
      <c r="C538" s="162" t="str">
        <v>3G - Tráfico de voz saliente a móvil</v>
      </c>
      <c r="G538" s="257">
        <v>1</v>
      </c>
    </row>
    <row r="539" spans="2:8" outlineLevel="1" x14ac:dyDescent="0.2">
      <c r="C539" s="162" t="str">
        <v>3G - Tráfico de voz saliente a internacional</v>
      </c>
      <c r="G539" s="257">
        <v>1</v>
      </c>
    </row>
    <row r="540" spans="2:8" outlineLevel="1" x14ac:dyDescent="0.2">
      <c r="C540" s="162" t="str">
        <v>3G - Tráfico de voz entrante desde fijo</v>
      </c>
      <c r="G540" s="257">
        <v>1</v>
      </c>
    </row>
    <row r="541" spans="2:8" outlineLevel="1" x14ac:dyDescent="0.2">
      <c r="C541" s="162" t="str">
        <v>3G - Tráfico de voz entrante desde móvil</v>
      </c>
      <c r="G541" s="257">
        <v>1</v>
      </c>
    </row>
    <row r="542" spans="2:8" x14ac:dyDescent="0.2">
      <c r="C542" s="162" t="str">
        <v>3G - Tráfico de voz entrante desde internacional</v>
      </c>
      <c r="G542" s="257">
        <v>1</v>
      </c>
    </row>
    <row r="544" spans="2:8" x14ac:dyDescent="0.2">
      <c r="B544" s="82" t="s">
        <v>786</v>
      </c>
    </row>
    <row r="545" spans="3:8" x14ac:dyDescent="0.2">
      <c r="C545" s="162" t="str">
        <f t="array" ref="C545:C558">Voice.services.list</f>
        <v>2G - Tráfico de voz on-net</v>
      </c>
      <c r="G545" s="113">
        <f t="array" ref="G545:G551">0</f>
        <v>0</v>
      </c>
      <c r="H545" s="63" t="s">
        <v>830</v>
      </c>
    </row>
    <row r="546" spans="3:8" outlineLevel="1" x14ac:dyDescent="0.2">
      <c r="C546" s="162" t="str">
        <v>2G - Tráfico de voz saliente a fijo</v>
      </c>
      <c r="G546" s="113">
        <v>0</v>
      </c>
      <c r="H546" s="63" t="s">
        <v>830</v>
      </c>
    </row>
    <row r="547" spans="3:8" outlineLevel="1" x14ac:dyDescent="0.2">
      <c r="C547" s="162" t="str">
        <v>2G - Tráfico de voz saliente a móvil</v>
      </c>
      <c r="G547" s="113">
        <v>0</v>
      </c>
      <c r="H547" s="63" t="s">
        <v>830</v>
      </c>
    </row>
    <row r="548" spans="3:8" outlineLevel="1" x14ac:dyDescent="0.2">
      <c r="C548" s="162" t="str">
        <v>2G - Tráfico de voz saliente a internacional</v>
      </c>
      <c r="G548" s="113">
        <v>0</v>
      </c>
      <c r="H548" s="63" t="s">
        <v>830</v>
      </c>
    </row>
    <row r="549" spans="3:8" outlineLevel="1" x14ac:dyDescent="0.2">
      <c r="C549" s="162" t="str">
        <v>2G - Tráfico de voz entrante desde fijo</v>
      </c>
      <c r="G549" s="113">
        <v>0</v>
      </c>
      <c r="H549" s="63" t="s">
        <v>830</v>
      </c>
    </row>
    <row r="550" spans="3:8" outlineLevel="1" x14ac:dyDescent="0.2">
      <c r="C550" s="162" t="str">
        <v>2G - Tráfico de voz entrante desde móvil</v>
      </c>
      <c r="G550" s="113">
        <v>0</v>
      </c>
      <c r="H550" s="63" t="s">
        <v>830</v>
      </c>
    </row>
    <row r="551" spans="3:8" x14ac:dyDescent="0.2">
      <c r="C551" s="163" t="str">
        <v>2G - Tráfico de voz entrante desde internacional</v>
      </c>
      <c r="G551" s="113">
        <v>0</v>
      </c>
      <c r="H551" s="63" t="s">
        <v>830</v>
      </c>
    </row>
    <row r="552" spans="3:8" x14ac:dyDescent="0.2">
      <c r="C552" s="163" t="str">
        <v>3G - Tráfico de voz on-net</v>
      </c>
      <c r="G552" s="75">
        <f t="array" ref="G552:G558">Backhaul.rate.Ethernet/Kbits.per.Mbits</f>
        <v>3.7890624999999997E-2</v>
      </c>
    </row>
    <row r="553" spans="3:8" outlineLevel="1" x14ac:dyDescent="0.2">
      <c r="C553" s="162" t="str">
        <v>3G - Tráfico de voz saliente a fijo</v>
      </c>
      <c r="G553" s="75">
        <v>3.7890624999999997E-2</v>
      </c>
    </row>
    <row r="554" spans="3:8" outlineLevel="1" x14ac:dyDescent="0.2">
      <c r="C554" s="162" t="str">
        <v>3G - Tráfico de voz saliente a móvil</v>
      </c>
      <c r="G554" s="75">
        <v>3.7890624999999997E-2</v>
      </c>
    </row>
    <row r="555" spans="3:8" outlineLevel="1" x14ac:dyDescent="0.2">
      <c r="C555" s="162" t="str">
        <v>3G - Tráfico de voz saliente a internacional</v>
      </c>
      <c r="G555" s="75">
        <v>3.7890624999999997E-2</v>
      </c>
    </row>
    <row r="556" spans="3:8" outlineLevel="1" x14ac:dyDescent="0.2">
      <c r="C556" s="162" t="str">
        <v>3G - Tráfico de voz entrante desde fijo</v>
      </c>
      <c r="G556" s="75">
        <v>3.7890624999999997E-2</v>
      </c>
    </row>
    <row r="557" spans="3:8" outlineLevel="1" x14ac:dyDescent="0.2">
      <c r="C557" s="162" t="str">
        <v>3G - Tráfico de voz entrante desde móvil</v>
      </c>
      <c r="G557" s="75">
        <v>3.7890624999999997E-2</v>
      </c>
    </row>
    <row r="558" spans="3:8" x14ac:dyDescent="0.2">
      <c r="C558" s="162" t="str">
        <v>3G - Tráfico de voz entrante desde internacional</v>
      </c>
      <c r="G558" s="75">
        <v>3.7890624999999997E-2</v>
      </c>
    </row>
    <row r="561" spans="2:10" x14ac:dyDescent="0.2">
      <c r="B561" s="82" t="s">
        <v>804</v>
      </c>
      <c r="J561" s="82"/>
    </row>
    <row r="562" spans="2:10" x14ac:dyDescent="0.2">
      <c r="C562" s="81" t="s">
        <v>1669</v>
      </c>
      <c r="G562" s="94">
        <f>SUMPRODUCT(G$162:G$175,G$513:G$526,G$545:G$558)</f>
        <v>5909.1222561847353</v>
      </c>
    </row>
    <row r="563" spans="2:10" x14ac:dyDescent="0.2">
      <c r="C563" s="81" t="s">
        <v>1670</v>
      </c>
      <c r="G563" s="94">
        <f>SUMPRODUCT(G$162:G$175,G$529:G$542,G$545:G$558)</f>
        <v>4924.2685468206118</v>
      </c>
    </row>
    <row r="565" spans="2:10" x14ac:dyDescent="0.2">
      <c r="B565" s="82" t="s">
        <v>805</v>
      </c>
      <c r="J565" s="82"/>
    </row>
    <row r="566" spans="2:10" x14ac:dyDescent="0.2">
      <c r="B566" s="82"/>
      <c r="C566" s="81" t="s">
        <v>1669</v>
      </c>
      <c r="G566" s="94">
        <f>SUMPRODUCT(G$178:G$191,G$513:G$526,G$545:G$558)</f>
        <v>3693.20141011546</v>
      </c>
      <c r="J566" s="82"/>
    </row>
    <row r="567" spans="2:10" x14ac:dyDescent="0.2">
      <c r="C567" s="81" t="s">
        <v>1670</v>
      </c>
      <c r="G567" s="94">
        <f>SUMPRODUCT(G$178:G$191,G$529:G$542,G$545:G$558)</f>
        <v>3077.6678417628827</v>
      </c>
    </row>
    <row r="569" spans="2:10" x14ac:dyDescent="0.2">
      <c r="B569" s="82" t="s">
        <v>818</v>
      </c>
      <c r="J569" s="82"/>
    </row>
    <row r="570" spans="2:10" x14ac:dyDescent="0.2">
      <c r="B570" s="82"/>
      <c r="C570" s="81" t="s">
        <v>1669</v>
      </c>
      <c r="G570" s="258">
        <f>MAX(G562,G566)</f>
        <v>5909.1222561847353</v>
      </c>
      <c r="H570"/>
      <c r="J570" s="82"/>
    </row>
    <row r="571" spans="2:10" x14ac:dyDescent="0.2">
      <c r="C571" s="81" t="s">
        <v>1670</v>
      </c>
      <c r="G571" s="258">
        <f>MAX(G563,G567)</f>
        <v>4924.2685468206118</v>
      </c>
      <c r="H571" s="88"/>
    </row>
    <row r="572" spans="2:10" x14ac:dyDescent="0.2">
      <c r="J572" s="82"/>
    </row>
    <row r="573" spans="2:10" x14ac:dyDescent="0.2">
      <c r="B573" s="82" t="s">
        <v>819</v>
      </c>
      <c r="J573" s="82"/>
    </row>
    <row r="574" spans="2:10" x14ac:dyDescent="0.2">
      <c r="C574" s="81" t="s">
        <v>1669</v>
      </c>
      <c r="G574" s="192">
        <f t="array" ref="G574:G575">G504+G562:G563</f>
        <v>61892.974661225177</v>
      </c>
    </row>
    <row r="575" spans="2:10" x14ac:dyDescent="0.2">
      <c r="C575" s="81" t="s">
        <v>1670</v>
      </c>
      <c r="G575" s="192">
        <v>60908.120951861056</v>
      </c>
    </row>
    <row r="577" spans="1:10" x14ac:dyDescent="0.2">
      <c r="B577" s="82" t="s">
        <v>820</v>
      </c>
      <c r="J577" s="82"/>
    </row>
    <row r="578" spans="1:10" x14ac:dyDescent="0.2">
      <c r="C578" s="81" t="s">
        <v>1669</v>
      </c>
      <c r="G578" s="192">
        <f t="array" ref="G578:G579">G508+G566:G567</f>
        <v>73673.016916416018</v>
      </c>
    </row>
    <row r="579" spans="1:10" x14ac:dyDescent="0.2">
      <c r="C579" s="81" t="s">
        <v>1670</v>
      </c>
      <c r="G579" s="192">
        <v>73057.483348063441</v>
      </c>
    </row>
    <row r="581" spans="1:10" x14ac:dyDescent="0.2">
      <c r="A581"/>
      <c r="B581" s="82" t="s">
        <v>821</v>
      </c>
      <c r="J581" s="82"/>
    </row>
    <row r="582" spans="1:10" x14ac:dyDescent="0.2">
      <c r="A582"/>
      <c r="C582" s="81" t="s">
        <v>1669</v>
      </c>
      <c r="G582" s="77">
        <f>MAX(G574,G578,)</f>
        <v>73673.016916416018</v>
      </c>
      <c r="H582" s="88" t="s">
        <v>137</v>
      </c>
    </row>
    <row r="583" spans="1:10" x14ac:dyDescent="0.2">
      <c r="A583"/>
      <c r="C583" s="259" t="s">
        <v>808</v>
      </c>
      <c r="G583" s="201">
        <f>IF(G$582=G$574,G562,G566)</f>
        <v>3693.20141011546</v>
      </c>
      <c r="H583" s="88" t="s">
        <v>136</v>
      </c>
    </row>
    <row r="584" spans="1:10" x14ac:dyDescent="0.2">
      <c r="A584"/>
      <c r="C584" s="260" t="s">
        <v>809</v>
      </c>
      <c r="G584" s="201">
        <f>IF(G$582=G$574,G504,G508)</f>
        <v>69979.815506300554</v>
      </c>
      <c r="H584" s="88" t="s">
        <v>135</v>
      </c>
    </row>
    <row r="585" spans="1:10" x14ac:dyDescent="0.2">
      <c r="A585"/>
      <c r="D585" s="81" t="s">
        <v>816</v>
      </c>
      <c r="G585" s="201">
        <f>IF(G$582=G$574,G505,G509)</f>
        <v>636.82339692285632</v>
      </c>
      <c r="H585" s="88" t="s">
        <v>134</v>
      </c>
    </row>
    <row r="586" spans="1:10" x14ac:dyDescent="0.2">
      <c r="A586"/>
      <c r="D586" s="81" t="s">
        <v>817</v>
      </c>
      <c r="G586" s="201">
        <f>IF(G$582=G$574,G506,G510)</f>
        <v>69342.992109377694</v>
      </c>
      <c r="H586" s="88" t="s">
        <v>133</v>
      </c>
    </row>
    <row r="587" spans="1:10" x14ac:dyDescent="0.2">
      <c r="A587"/>
      <c r="F587" s="78">
        <f>G587</f>
        <v>0</v>
      </c>
      <c r="G587" s="112">
        <f>IF(ABS(G582-(G583+SUM(G585:G586)))&lt;epsilon,0,1)</f>
        <v>0</v>
      </c>
    </row>
    <row r="588" spans="1:10" x14ac:dyDescent="0.2">
      <c r="A588"/>
    </row>
    <row r="589" spans="1:10" x14ac:dyDescent="0.2">
      <c r="C589" s="81" t="s">
        <v>1670</v>
      </c>
      <c r="G589" s="77">
        <f>MAX(G575,G579,)</f>
        <v>73057.483348063441</v>
      </c>
      <c r="H589" s="88" t="s">
        <v>1671</v>
      </c>
    </row>
    <row r="590" spans="1:10" x14ac:dyDescent="0.2">
      <c r="C590" s="259" t="s">
        <v>808</v>
      </c>
      <c r="G590" s="201">
        <f>IF(G$589=G$575,G563,G567)</f>
        <v>3077.6678417628827</v>
      </c>
      <c r="H590" s="88" t="s">
        <v>1672</v>
      </c>
    </row>
    <row r="591" spans="1:10" x14ac:dyDescent="0.2">
      <c r="C591" s="260" t="s">
        <v>809</v>
      </c>
      <c r="G591" s="201">
        <f>IF(G$589=G$575,G504,G508)</f>
        <v>69979.815506300554</v>
      </c>
      <c r="H591" s="88" t="s">
        <v>1673</v>
      </c>
    </row>
    <row r="592" spans="1:10" x14ac:dyDescent="0.2">
      <c r="D592" s="81" t="s">
        <v>816</v>
      </c>
      <c r="G592" s="201">
        <f t="shared" ref="G592:G593" si="2">IF(G$589=G$575,G505,G509)</f>
        <v>636.82339692285632</v>
      </c>
      <c r="H592" s="88" t="s">
        <v>1674</v>
      </c>
    </row>
    <row r="593" spans="1:11" x14ac:dyDescent="0.2">
      <c r="D593" s="81" t="s">
        <v>817</v>
      </c>
      <c r="G593" s="201">
        <f t="shared" si="2"/>
        <v>69342.992109377694</v>
      </c>
      <c r="H593" s="88" t="s">
        <v>1675</v>
      </c>
    </row>
    <row r="594" spans="1:11" x14ac:dyDescent="0.2">
      <c r="F594" s="78">
        <f>G594</f>
        <v>0</v>
      </c>
      <c r="G594" s="112">
        <f>IF(ABS(G589-(G590+SUM(G592:G593)))&lt;epsilon,0,1)</f>
        <v>0</v>
      </c>
    </row>
    <row r="596" spans="1:11" ht="15.75" x14ac:dyDescent="0.2">
      <c r="A596" s="171" t="s">
        <v>834</v>
      </c>
      <c r="B596" s="171"/>
      <c r="C596" s="171"/>
      <c r="D596" s="171"/>
      <c r="E596" s="171"/>
      <c r="F596" s="171"/>
      <c r="G596" s="171"/>
      <c r="H596" s="171"/>
      <c r="I596" s="171"/>
      <c r="J596" s="171"/>
      <c r="K596" s="171"/>
    </row>
    <row r="598" spans="1:11" x14ac:dyDescent="0.2">
      <c r="B598" s="82" t="s">
        <v>823</v>
      </c>
    </row>
    <row r="599" spans="1:11" x14ac:dyDescent="0.2">
      <c r="C599" s="162" t="str">
        <f t="array" ref="C599:C612">Voice.services.list</f>
        <v>2G - Tráfico de voz on-net</v>
      </c>
      <c r="G599" s="192">
        <f t="array" ref="G599:G605">IF(G162:G168=0,0,G162:G168/Radio.Erlangs.per.Erlang)</f>
        <v>13443.458432315583</v>
      </c>
    </row>
    <row r="600" spans="1:11" outlineLevel="1" x14ac:dyDescent="0.2">
      <c r="C600" s="162" t="str">
        <v>2G - Tráfico de voz saliente a fijo</v>
      </c>
      <c r="G600" s="192">
        <v>847.5020375452599</v>
      </c>
    </row>
    <row r="601" spans="1:11" outlineLevel="1" x14ac:dyDescent="0.2">
      <c r="C601" s="162" t="str">
        <v>2G - Tráfico de voz saliente a móvil</v>
      </c>
      <c r="G601" s="192">
        <v>7495.7763817948708</v>
      </c>
    </row>
    <row r="602" spans="1:11" outlineLevel="1" x14ac:dyDescent="0.2">
      <c r="C602" s="162" t="str">
        <v>2G - Tráfico de voz saliente a internacional</v>
      </c>
      <c r="G602" s="192">
        <v>70.354329056845117</v>
      </c>
    </row>
    <row r="603" spans="1:11" outlineLevel="1" x14ac:dyDescent="0.2">
      <c r="C603" s="162" t="str">
        <v>2G - Tráfico de voz entrante desde fijo</v>
      </c>
      <c r="G603" s="192">
        <v>400.24195332501824</v>
      </c>
    </row>
    <row r="604" spans="1:11" outlineLevel="1" x14ac:dyDescent="0.2">
      <c r="C604" s="162" t="str">
        <v>2G - Tráfico de voz entrante desde móvil</v>
      </c>
      <c r="G604" s="192">
        <v>7495.7763817948717</v>
      </c>
    </row>
    <row r="605" spans="1:11" x14ac:dyDescent="0.2">
      <c r="C605" s="163" t="str">
        <v>2G - Tráfico de voz entrante desde internacional</v>
      </c>
      <c r="G605" s="192">
        <v>123.45775584086547</v>
      </c>
    </row>
    <row r="606" spans="1:11" x14ac:dyDescent="0.2">
      <c r="C606" s="163" t="str">
        <v>3G - Tráfico de voz on-net</v>
      </c>
      <c r="G606" s="196">
        <f t="array" ref="G606:G612">IF(G169:G175=0,0,G169:G175/Radio.Erlangs.per.Erlang)</f>
        <v>40330.375296946746</v>
      </c>
    </row>
    <row r="607" spans="1:11" outlineLevel="1" x14ac:dyDescent="0.2">
      <c r="C607" s="162" t="str">
        <v>3G - Tráfico de voz saliente a fijo</v>
      </c>
      <c r="G607" s="196">
        <v>2542.50611263578</v>
      </c>
    </row>
    <row r="608" spans="1:11" outlineLevel="1" x14ac:dyDescent="0.2">
      <c r="C608" s="162" t="str">
        <v>3G - Tráfico de voz saliente a móvil</v>
      </c>
      <c r="G608" s="196">
        <v>22487.329145384614</v>
      </c>
    </row>
    <row r="609" spans="2:7" outlineLevel="1" x14ac:dyDescent="0.2">
      <c r="C609" s="162" t="str">
        <v>3G - Tráfico de voz saliente a internacional</v>
      </c>
      <c r="G609" s="196">
        <v>211.06298717053537</v>
      </c>
    </row>
    <row r="610" spans="2:7" outlineLevel="1" x14ac:dyDescent="0.2">
      <c r="C610" s="162" t="str">
        <v>3G - Tráfico de voz entrante desde fijo</v>
      </c>
      <c r="G610" s="196">
        <v>1200.7258599750546</v>
      </c>
    </row>
    <row r="611" spans="2:7" outlineLevel="1" x14ac:dyDescent="0.2">
      <c r="C611" s="162" t="str">
        <v>3G - Tráfico de voz entrante desde móvil</v>
      </c>
      <c r="G611" s="196">
        <v>22487.329145384618</v>
      </c>
    </row>
    <row r="612" spans="2:7" x14ac:dyDescent="0.2">
      <c r="C612" s="162" t="str">
        <v>3G - Tráfico de voz entrante desde internacional</v>
      </c>
      <c r="G612" s="196">
        <v>370.37326752259645</v>
      </c>
    </row>
    <row r="613" spans="2:7" x14ac:dyDescent="0.2">
      <c r="C613" s="26" t="str">
        <f t="array" ref="C613:C619">VoLTE.services.list</f>
        <v>4G - Tráfico de voz on-net</v>
      </c>
      <c r="E613" s="81" t="s">
        <v>824</v>
      </c>
      <c r="G613" s="192">
        <f t="array" ref="G613:G619">IF(G194:G200=0,0,G194:G200/Radio.Erlangs.per.Erlang)</f>
        <v>0</v>
      </c>
    </row>
    <row r="614" spans="2:7" outlineLevel="1" x14ac:dyDescent="0.2">
      <c r="C614" s="26" t="str">
        <v>4G - Tráfico de voz saliente a fijo</v>
      </c>
      <c r="E614" s="81" t="s">
        <v>824</v>
      </c>
      <c r="G614" s="192">
        <v>0</v>
      </c>
    </row>
    <row r="615" spans="2:7" outlineLevel="1" x14ac:dyDescent="0.2">
      <c r="C615" s="26" t="str">
        <v>4G - Tráfico de voz saliente a móvil</v>
      </c>
      <c r="E615" s="81" t="s">
        <v>824</v>
      </c>
      <c r="G615" s="192">
        <v>0</v>
      </c>
    </row>
    <row r="616" spans="2:7" outlineLevel="1" x14ac:dyDescent="0.2">
      <c r="C616" s="26" t="str">
        <v>4G - Tráfico de voz saliente a internacional</v>
      </c>
      <c r="E616" s="81" t="s">
        <v>824</v>
      </c>
      <c r="G616" s="192">
        <v>0</v>
      </c>
    </row>
    <row r="617" spans="2:7" outlineLevel="1" x14ac:dyDescent="0.2">
      <c r="C617" s="26" t="str">
        <v>4G - Tráfico de voz entrante desde fijo</v>
      </c>
      <c r="E617" s="81" t="s">
        <v>824</v>
      </c>
      <c r="G617" s="192">
        <v>0</v>
      </c>
    </row>
    <row r="618" spans="2:7" outlineLevel="1" x14ac:dyDescent="0.2">
      <c r="C618" s="26" t="str">
        <v>4G - Tráfico de voz entrante desde móvil</v>
      </c>
      <c r="E618" s="81" t="s">
        <v>824</v>
      </c>
      <c r="G618" s="192">
        <v>0</v>
      </c>
    </row>
    <row r="619" spans="2:7" x14ac:dyDescent="0.2">
      <c r="C619" s="26" t="str">
        <v>4G - Tráfico de voz entrante desde internacional</v>
      </c>
      <c r="E619" s="81" t="s">
        <v>824</v>
      </c>
      <c r="G619" s="192">
        <v>0</v>
      </c>
    </row>
    <row r="621" spans="2:7" x14ac:dyDescent="0.2">
      <c r="B621" s="82" t="s">
        <v>825</v>
      </c>
    </row>
    <row r="622" spans="2:7" x14ac:dyDescent="0.2">
      <c r="C622" s="162" t="str">
        <f t="array" ref="C622:C635">Voice.services.list</f>
        <v>2G - Tráfico de voz on-net</v>
      </c>
      <c r="G622" s="192">
        <f t="array" ref="G622:G628">IF(G178:G184=0,0,G178:G184/Radio.Erlangs.per.Erlang)</f>
        <v>8402.16152019724</v>
      </c>
    </row>
    <row r="623" spans="2:7" outlineLevel="1" x14ac:dyDescent="0.2">
      <c r="C623" s="162" t="str">
        <v>2G - Tráfico de voz saliente a fijo</v>
      </c>
      <c r="G623" s="192">
        <v>529.68877346578745</v>
      </c>
    </row>
    <row r="624" spans="2:7" outlineLevel="1" x14ac:dyDescent="0.2">
      <c r="C624" s="162" t="str">
        <v>2G - Tráfico de voz saliente a móvil</v>
      </c>
      <c r="G624" s="192">
        <v>4684.8602386217945</v>
      </c>
    </row>
    <row r="625" spans="3:7" outlineLevel="1" x14ac:dyDescent="0.2">
      <c r="C625" s="162" t="str">
        <v>2G - Tráfico de voz saliente a internacional</v>
      </c>
      <c r="G625" s="192">
        <v>43.971455660528214</v>
      </c>
    </row>
    <row r="626" spans="3:7" outlineLevel="1" x14ac:dyDescent="0.2">
      <c r="C626" s="162" t="str">
        <v>2G - Tráfico de voz entrante desde fijo</v>
      </c>
      <c r="G626" s="192">
        <v>250.15122082813639</v>
      </c>
    </row>
    <row r="627" spans="3:7" outlineLevel="1" x14ac:dyDescent="0.2">
      <c r="C627" s="162" t="str">
        <v>2G - Tráfico de voz entrante desde móvil</v>
      </c>
      <c r="G627" s="192">
        <v>4684.8602386217945</v>
      </c>
    </row>
    <row r="628" spans="3:7" x14ac:dyDescent="0.2">
      <c r="C628" s="163" t="str">
        <v>2G - Tráfico de voz entrante desde internacional</v>
      </c>
      <c r="G628" s="192">
        <v>77.161097400540925</v>
      </c>
    </row>
    <row r="629" spans="3:7" x14ac:dyDescent="0.2">
      <c r="C629" s="163" t="str">
        <v>3G - Tráfico de voz on-net</v>
      </c>
      <c r="G629" s="196">
        <f t="array" ref="G629:G635">IF(G185:G191=0,0,G185:G191/Radio.Erlangs.per.Erlang)</f>
        <v>25206.484560591718</v>
      </c>
    </row>
    <row r="630" spans="3:7" outlineLevel="1" x14ac:dyDescent="0.2">
      <c r="C630" s="162" t="str">
        <v>3G - Tráfico de voz saliente a fijo</v>
      </c>
      <c r="G630" s="196">
        <v>1589.0663203973625</v>
      </c>
    </row>
    <row r="631" spans="3:7" outlineLevel="1" x14ac:dyDescent="0.2">
      <c r="C631" s="162" t="str">
        <v>3G - Tráfico de voz saliente a móvil</v>
      </c>
      <c r="G631" s="196">
        <v>14054.580715865386</v>
      </c>
    </row>
    <row r="632" spans="3:7" outlineLevel="1" x14ac:dyDescent="0.2">
      <c r="C632" s="162" t="str">
        <v>3G - Tráfico de voz saliente a internacional</v>
      </c>
      <c r="G632" s="196">
        <v>131.91436698158461</v>
      </c>
    </row>
    <row r="633" spans="3:7" outlineLevel="1" x14ac:dyDescent="0.2">
      <c r="C633" s="162" t="str">
        <v>3G - Tráfico de voz entrante desde fijo</v>
      </c>
      <c r="G633" s="196">
        <v>750.45366248440928</v>
      </c>
    </row>
    <row r="634" spans="3:7" outlineLevel="1" x14ac:dyDescent="0.2">
      <c r="C634" s="162" t="str">
        <v>3G - Tráfico de voz entrante desde móvil</v>
      </c>
      <c r="G634" s="196">
        <v>14054.580715865386</v>
      </c>
    </row>
    <row r="635" spans="3:7" x14ac:dyDescent="0.2">
      <c r="C635" s="162" t="str">
        <v>3G - Tráfico de voz entrante desde internacional</v>
      </c>
      <c r="G635" s="196">
        <v>231.48329220162279</v>
      </c>
    </row>
    <row r="636" spans="3:7" x14ac:dyDescent="0.2">
      <c r="C636" s="26" t="str">
        <f t="array" ref="C636:C642">VoLTE.services.list</f>
        <v>4G - Tráfico de voz on-net</v>
      </c>
      <c r="E636" s="81" t="s">
        <v>824</v>
      </c>
      <c r="G636" s="192">
        <f t="array" ref="G636:G642">IF(G203:G209=0,0,G203:G209/Radio.Erlangs.per.Erlang)</f>
        <v>0</v>
      </c>
    </row>
    <row r="637" spans="3:7" outlineLevel="1" x14ac:dyDescent="0.2">
      <c r="C637" s="26" t="str">
        <v>4G - Tráfico de voz saliente a fijo</v>
      </c>
      <c r="E637" s="81" t="s">
        <v>824</v>
      </c>
      <c r="G637" s="192">
        <v>0</v>
      </c>
    </row>
    <row r="638" spans="3:7" outlineLevel="1" x14ac:dyDescent="0.2">
      <c r="C638" s="26" t="str">
        <v>4G - Tráfico de voz saliente a móvil</v>
      </c>
      <c r="E638" s="81" t="s">
        <v>824</v>
      </c>
      <c r="G638" s="192">
        <v>0</v>
      </c>
    </row>
    <row r="639" spans="3:7" outlineLevel="1" x14ac:dyDescent="0.2">
      <c r="C639" s="26" t="str">
        <v>4G - Tráfico de voz saliente a internacional</v>
      </c>
      <c r="E639" s="81" t="s">
        <v>824</v>
      </c>
      <c r="G639" s="192">
        <v>0</v>
      </c>
    </row>
    <row r="640" spans="3:7" outlineLevel="1" x14ac:dyDescent="0.2">
      <c r="C640" s="26" t="str">
        <v>4G - Tráfico de voz entrante desde fijo</v>
      </c>
      <c r="E640" s="81" t="s">
        <v>824</v>
      </c>
      <c r="G640" s="192">
        <v>0</v>
      </c>
    </row>
    <row r="641" spans="2:7" outlineLevel="1" x14ac:dyDescent="0.2">
      <c r="C641" s="26" t="str">
        <v>4G - Tráfico de voz entrante desde móvil</v>
      </c>
      <c r="E641" s="81" t="s">
        <v>824</v>
      </c>
      <c r="G641" s="192">
        <v>0</v>
      </c>
    </row>
    <row r="642" spans="2:7" x14ac:dyDescent="0.2">
      <c r="C642" s="26" t="str">
        <v>4G - Tráfico de voz entrante desde internacional</v>
      </c>
      <c r="E642" s="81" t="s">
        <v>824</v>
      </c>
      <c r="G642" s="192">
        <v>0</v>
      </c>
    </row>
    <row r="644" spans="2:7" x14ac:dyDescent="0.2">
      <c r="B644" s="82" t="s">
        <v>786</v>
      </c>
    </row>
    <row r="645" spans="2:7" x14ac:dyDescent="0.2">
      <c r="C645" s="162" t="str">
        <f t="array" ref="C645:C658">Voice.services.list</f>
        <v>2G - Tráfico de voz on-net</v>
      </c>
      <c r="G645" s="75">
        <f t="array" ref="G645:G665">core.channel.rate/Kbits.per.Mbits</f>
        <v>3.7890624999999997E-2</v>
      </c>
    </row>
    <row r="646" spans="2:7" outlineLevel="1" x14ac:dyDescent="0.2">
      <c r="C646" s="162" t="str">
        <v>2G - Tráfico de voz saliente a fijo</v>
      </c>
      <c r="G646" s="75">
        <v>3.7890624999999997E-2</v>
      </c>
    </row>
    <row r="647" spans="2:7" outlineLevel="1" x14ac:dyDescent="0.2">
      <c r="C647" s="162" t="str">
        <v>2G - Tráfico de voz saliente a móvil</v>
      </c>
      <c r="G647" s="75">
        <v>3.7890624999999997E-2</v>
      </c>
    </row>
    <row r="648" spans="2:7" outlineLevel="1" x14ac:dyDescent="0.2">
      <c r="C648" s="162" t="str">
        <v>2G - Tráfico de voz saliente a internacional</v>
      </c>
      <c r="G648" s="75">
        <v>3.7890624999999997E-2</v>
      </c>
    </row>
    <row r="649" spans="2:7" outlineLevel="1" x14ac:dyDescent="0.2">
      <c r="C649" s="162" t="str">
        <v>2G - Tráfico de voz entrante desde fijo</v>
      </c>
      <c r="G649" s="75">
        <v>3.7890624999999997E-2</v>
      </c>
    </row>
    <row r="650" spans="2:7" outlineLevel="1" x14ac:dyDescent="0.2">
      <c r="C650" s="162" t="str">
        <v>2G - Tráfico de voz entrante desde móvil</v>
      </c>
      <c r="G650" s="75">
        <v>3.7890624999999997E-2</v>
      </c>
    </row>
    <row r="651" spans="2:7" x14ac:dyDescent="0.2">
      <c r="C651" s="163" t="str">
        <v>2G - Tráfico de voz entrante desde internacional</v>
      </c>
      <c r="G651" s="75">
        <v>3.7890624999999997E-2</v>
      </c>
    </row>
    <row r="652" spans="2:7" x14ac:dyDescent="0.2">
      <c r="C652" s="163" t="str">
        <v>3G - Tráfico de voz on-net</v>
      </c>
      <c r="G652" s="75">
        <v>3.7890624999999997E-2</v>
      </c>
    </row>
    <row r="653" spans="2:7" outlineLevel="1" x14ac:dyDescent="0.2">
      <c r="C653" s="162" t="str">
        <v>3G - Tráfico de voz saliente a fijo</v>
      </c>
      <c r="G653" s="75">
        <v>3.7890624999999997E-2</v>
      </c>
    </row>
    <row r="654" spans="2:7" outlineLevel="1" x14ac:dyDescent="0.2">
      <c r="C654" s="162" t="str">
        <v>3G - Tráfico de voz saliente a móvil</v>
      </c>
      <c r="G654" s="75">
        <v>3.7890624999999997E-2</v>
      </c>
    </row>
    <row r="655" spans="2:7" outlineLevel="1" x14ac:dyDescent="0.2">
      <c r="C655" s="162" t="str">
        <v>3G - Tráfico de voz saliente a internacional</v>
      </c>
      <c r="G655" s="75">
        <v>3.7890624999999997E-2</v>
      </c>
    </row>
    <row r="656" spans="2:7" outlineLevel="1" x14ac:dyDescent="0.2">
      <c r="C656" s="162" t="str">
        <v>3G - Tráfico de voz entrante desde fijo</v>
      </c>
      <c r="G656" s="75">
        <v>3.7890624999999997E-2</v>
      </c>
    </row>
    <row r="657" spans="2:7" outlineLevel="1" x14ac:dyDescent="0.2">
      <c r="C657" s="162" t="str">
        <v>3G - Tráfico de voz entrante desde móvil</v>
      </c>
      <c r="G657" s="75">
        <v>3.7890624999999997E-2</v>
      </c>
    </row>
    <row r="658" spans="2:7" x14ac:dyDescent="0.2">
      <c r="C658" s="162" t="str">
        <v>3G - Tráfico de voz entrante desde internacional</v>
      </c>
      <c r="G658" s="75">
        <v>3.7890624999999997E-2</v>
      </c>
    </row>
    <row r="659" spans="2:7" x14ac:dyDescent="0.2">
      <c r="C659" s="26" t="str">
        <f t="array" ref="C659:C665">VoLTE.services.list</f>
        <v>4G - Tráfico de voz on-net</v>
      </c>
      <c r="G659" s="75">
        <v>3.7890624999999997E-2</v>
      </c>
    </row>
    <row r="660" spans="2:7" outlineLevel="1" x14ac:dyDescent="0.2">
      <c r="C660" s="26" t="str">
        <v>4G - Tráfico de voz saliente a fijo</v>
      </c>
      <c r="G660" s="75">
        <v>3.7890624999999997E-2</v>
      </c>
    </row>
    <row r="661" spans="2:7" outlineLevel="1" x14ac:dyDescent="0.2">
      <c r="C661" s="26" t="str">
        <v>4G - Tráfico de voz saliente a móvil</v>
      </c>
      <c r="G661" s="75">
        <v>3.7890624999999997E-2</v>
      </c>
    </row>
    <row r="662" spans="2:7" outlineLevel="1" x14ac:dyDescent="0.2">
      <c r="C662" s="26" t="str">
        <v>4G - Tráfico de voz saliente a internacional</v>
      </c>
      <c r="G662" s="75">
        <v>3.7890624999999997E-2</v>
      </c>
    </row>
    <row r="663" spans="2:7" outlineLevel="1" x14ac:dyDescent="0.2">
      <c r="C663" s="26" t="str">
        <v>4G - Tráfico de voz entrante desde fijo</v>
      </c>
      <c r="G663" s="75">
        <v>3.7890624999999997E-2</v>
      </c>
    </row>
    <row r="664" spans="2:7" outlineLevel="1" x14ac:dyDescent="0.2">
      <c r="C664" s="26" t="str">
        <v>4G - Tráfico de voz entrante desde móvil</v>
      </c>
      <c r="G664" s="75">
        <v>3.7890624999999997E-2</v>
      </c>
    </row>
    <row r="665" spans="2:7" x14ac:dyDescent="0.2">
      <c r="C665" s="26" t="str">
        <v>4G - Tráfico de voz entrante desde internacional</v>
      </c>
      <c r="G665" s="75">
        <v>3.7890624999999997E-2</v>
      </c>
    </row>
    <row r="667" spans="2:7" x14ac:dyDescent="0.2">
      <c r="B667" s="82" t="s">
        <v>826</v>
      </c>
    </row>
    <row r="668" spans="2:7" x14ac:dyDescent="0.2">
      <c r="C668" s="162" t="str">
        <f t="array" ref="C668:C681">Voice.services.list</f>
        <v>2G - Tráfico de voz on-net</v>
      </c>
      <c r="G668" s="166">
        <f t="array" ref="G668:G688">Proportion.Core.to.Core.Voice</f>
        <v>0.25</v>
      </c>
    </row>
    <row r="669" spans="2:7" outlineLevel="1" x14ac:dyDescent="0.2">
      <c r="C669" s="162" t="str">
        <v>2G - Tráfico de voz saliente a fijo</v>
      </c>
      <c r="G669" s="166">
        <v>0.15</v>
      </c>
    </row>
    <row r="670" spans="2:7" outlineLevel="1" x14ac:dyDescent="0.2">
      <c r="C670" s="162" t="str">
        <v>2G - Tráfico de voz saliente a móvil</v>
      </c>
      <c r="G670" s="166">
        <v>0.15</v>
      </c>
    </row>
    <row r="671" spans="2:7" outlineLevel="1" x14ac:dyDescent="0.2">
      <c r="C671" s="162" t="str">
        <v>2G - Tráfico de voz saliente a internacional</v>
      </c>
      <c r="G671" s="166">
        <v>0.15</v>
      </c>
    </row>
    <row r="672" spans="2:7" outlineLevel="1" x14ac:dyDescent="0.2">
      <c r="C672" s="162" t="str">
        <v>2G - Tráfico de voz entrante desde fijo</v>
      </c>
      <c r="G672" s="166">
        <v>0.15</v>
      </c>
    </row>
    <row r="673" spans="3:7" outlineLevel="1" x14ac:dyDescent="0.2">
      <c r="C673" s="162" t="str">
        <v>2G - Tráfico de voz entrante desde móvil</v>
      </c>
      <c r="G673" s="166">
        <v>0.15</v>
      </c>
    </row>
    <row r="674" spans="3:7" x14ac:dyDescent="0.2">
      <c r="C674" s="163" t="str">
        <v>2G - Tráfico de voz entrante desde internacional</v>
      </c>
      <c r="G674" s="166">
        <v>0.15</v>
      </c>
    </row>
    <row r="675" spans="3:7" x14ac:dyDescent="0.2">
      <c r="C675" s="163" t="str">
        <v>3G - Tráfico de voz on-net</v>
      </c>
      <c r="G675" s="166">
        <v>0.25</v>
      </c>
    </row>
    <row r="676" spans="3:7" outlineLevel="1" x14ac:dyDescent="0.2">
      <c r="C676" s="162" t="str">
        <v>3G - Tráfico de voz saliente a fijo</v>
      </c>
      <c r="G676" s="166">
        <v>0.15</v>
      </c>
    </row>
    <row r="677" spans="3:7" outlineLevel="1" x14ac:dyDescent="0.2">
      <c r="C677" s="162" t="str">
        <v>3G - Tráfico de voz saliente a móvil</v>
      </c>
      <c r="G677" s="166">
        <v>0.15</v>
      </c>
    </row>
    <row r="678" spans="3:7" outlineLevel="1" x14ac:dyDescent="0.2">
      <c r="C678" s="162" t="str">
        <v>3G - Tráfico de voz saliente a internacional</v>
      </c>
      <c r="G678" s="166">
        <v>0.15</v>
      </c>
    </row>
    <row r="679" spans="3:7" outlineLevel="1" x14ac:dyDescent="0.2">
      <c r="C679" s="162" t="str">
        <v>3G - Tráfico de voz entrante desde fijo</v>
      </c>
      <c r="G679" s="166">
        <v>0.15</v>
      </c>
    </row>
    <row r="680" spans="3:7" outlineLevel="1" x14ac:dyDescent="0.2">
      <c r="C680" s="162" t="str">
        <v>3G - Tráfico de voz entrante desde móvil</v>
      </c>
      <c r="G680" s="166">
        <v>0.15</v>
      </c>
    </row>
    <row r="681" spans="3:7" x14ac:dyDescent="0.2">
      <c r="C681" s="162" t="str">
        <v>3G - Tráfico de voz entrante desde internacional</v>
      </c>
      <c r="G681" s="166">
        <v>0.15</v>
      </c>
    </row>
    <row r="682" spans="3:7" x14ac:dyDescent="0.2">
      <c r="C682" s="26" t="str">
        <f t="array" ref="C682:C688">VoLTE.services.list</f>
        <v>4G - Tráfico de voz on-net</v>
      </c>
      <c r="G682" s="166">
        <v>0.25</v>
      </c>
    </row>
    <row r="683" spans="3:7" outlineLevel="1" x14ac:dyDescent="0.2">
      <c r="C683" s="26" t="str">
        <v>4G - Tráfico de voz saliente a fijo</v>
      </c>
      <c r="G683" s="166">
        <v>0.15</v>
      </c>
    </row>
    <row r="684" spans="3:7" outlineLevel="1" x14ac:dyDescent="0.2">
      <c r="C684" s="26" t="str">
        <v>4G - Tráfico de voz saliente a móvil</v>
      </c>
      <c r="G684" s="166">
        <v>0.15</v>
      </c>
    </row>
    <row r="685" spans="3:7" outlineLevel="1" x14ac:dyDescent="0.2">
      <c r="C685" s="26" t="str">
        <v>4G - Tráfico de voz saliente a internacional</v>
      </c>
      <c r="G685" s="166">
        <v>0.15</v>
      </c>
    </row>
    <row r="686" spans="3:7" outlineLevel="1" x14ac:dyDescent="0.2">
      <c r="C686" s="26" t="str">
        <v>4G - Tráfico de voz entrante desde fijo</v>
      </c>
      <c r="G686" s="166">
        <v>0.15</v>
      </c>
    </row>
    <row r="687" spans="3:7" outlineLevel="1" x14ac:dyDescent="0.2">
      <c r="C687" s="26" t="str">
        <v>4G - Tráfico de voz entrante desde móvil</v>
      </c>
      <c r="G687" s="166">
        <v>0.15</v>
      </c>
    </row>
    <row r="688" spans="3:7" x14ac:dyDescent="0.2">
      <c r="C688" s="26" t="str">
        <v>4G - Tráfico de voz entrante desde internacional</v>
      </c>
      <c r="G688" s="166">
        <v>0.15</v>
      </c>
    </row>
    <row r="690" spans="2:8" x14ac:dyDescent="0.2">
      <c r="B690" s="82" t="s">
        <v>827</v>
      </c>
      <c r="G690" s="111">
        <f>SUMPRODUCT(G599:G619,$G$645:$G$665,$G$668:$G$688)</f>
        <v>882.97750093173102</v>
      </c>
      <c r="H690" s="88" t="s">
        <v>132</v>
      </c>
    </row>
    <row r="692" spans="2:8" x14ac:dyDescent="0.2">
      <c r="B692" s="82" t="s">
        <v>828</v>
      </c>
      <c r="G692" s="108">
        <f>SUMPRODUCT(G622:G642,$G$645:$G$665,$G$668:$G$688)</f>
        <v>551.86093808233193</v>
      </c>
    </row>
    <row r="694" spans="2:8" x14ac:dyDescent="0.2">
      <c r="B694" s="82" t="s">
        <v>829</v>
      </c>
    </row>
    <row r="695" spans="2:8" x14ac:dyDescent="0.2">
      <c r="C695" s="162" t="str">
        <f t="array" ref="C695:C700">Data.services.list</f>
        <v>GPRS data Mbytes</v>
      </c>
      <c r="G695" s="166">
        <f>Proportion.Core.to.Core.Data</f>
        <v>0.15</v>
      </c>
    </row>
    <row r="696" spans="2:8" x14ac:dyDescent="0.2">
      <c r="C696" s="162" t="str">
        <v>R99 data Mbytes</v>
      </c>
      <c r="G696" s="166">
        <f>Proportion.Core.to.Core.Data</f>
        <v>0.15</v>
      </c>
    </row>
    <row r="697" spans="2:8" x14ac:dyDescent="0.2">
      <c r="C697" s="162" t="str">
        <v>HSDPA data Mbytes</v>
      </c>
      <c r="G697" s="166">
        <f>Proportion.Core.to.Core.Data</f>
        <v>0.15</v>
      </c>
    </row>
    <row r="698" spans="2:8" x14ac:dyDescent="0.2">
      <c r="C698" s="162" t="str">
        <v>HSUPA data Mbytes</v>
      </c>
      <c r="G698" s="110">
        <v>0</v>
      </c>
      <c r="H698" s="63" t="s">
        <v>831</v>
      </c>
    </row>
    <row r="699" spans="2:8" x14ac:dyDescent="0.2">
      <c r="C699" s="163" t="str">
        <v>LTE data Mbytes</v>
      </c>
      <c r="G699" s="166">
        <f>Proportion.Core.to.Core.Data</f>
        <v>0.15</v>
      </c>
    </row>
    <row r="700" spans="2:8" x14ac:dyDescent="0.2">
      <c r="C700" s="163" t="str">
        <v>spare</v>
      </c>
      <c r="G700" s="109">
        <v>0</v>
      </c>
    </row>
    <row r="702" spans="2:8" x14ac:dyDescent="0.2">
      <c r="B702" s="82" t="s">
        <v>835</v>
      </c>
      <c r="G702" s="108">
        <f>SUMPRODUCT(G266:G271,G$695:G$700)</f>
        <v>6618.7178386848882</v>
      </c>
    </row>
    <row r="704" spans="2:8" x14ac:dyDescent="0.2">
      <c r="B704" s="82" t="s">
        <v>836</v>
      </c>
      <c r="G704" s="108">
        <f>SUMPRODUCT(G274:G279,G$695:G$700)</f>
        <v>8273.3972983561089</v>
      </c>
    </row>
    <row r="706" spans="1:11" x14ac:dyDescent="0.2">
      <c r="B706" s="82" t="s">
        <v>837</v>
      </c>
      <c r="G706" s="111">
        <f>MAX(G702,G704)</f>
        <v>8273.3972983561089</v>
      </c>
      <c r="H706" s="88" t="s">
        <v>131</v>
      </c>
    </row>
    <row r="708" spans="1:11" x14ac:dyDescent="0.2">
      <c r="B708" s="82" t="s">
        <v>838</v>
      </c>
      <c r="G708" s="108">
        <f>G690+G702</f>
        <v>7501.6953396166191</v>
      </c>
    </row>
    <row r="710" spans="1:11" x14ac:dyDescent="0.2">
      <c r="B710" s="82" t="s">
        <v>839</v>
      </c>
      <c r="G710" s="108">
        <f>G692+G704</f>
        <v>8825.2582364384416</v>
      </c>
    </row>
    <row r="712" spans="1:11" x14ac:dyDescent="0.2">
      <c r="B712" s="82" t="s">
        <v>840</v>
      </c>
      <c r="G712" s="111">
        <f>MAX(G708,G710)</f>
        <v>8825.2582364384416</v>
      </c>
      <c r="H712" s="88" t="s">
        <v>130</v>
      </c>
    </row>
    <row r="715" spans="1:11" ht="15.75" x14ac:dyDescent="0.2">
      <c r="A715" s="171" t="s">
        <v>841</v>
      </c>
      <c r="B715" s="171"/>
      <c r="C715" s="171"/>
      <c r="D715" s="171"/>
      <c r="E715" s="171"/>
      <c r="F715" s="171"/>
      <c r="G715" s="171"/>
      <c r="H715" s="171"/>
      <c r="I715" s="171"/>
      <c r="J715" s="171"/>
      <c r="K715" s="171"/>
    </row>
    <row r="717" spans="1:11" ht="15.75" x14ac:dyDescent="0.2">
      <c r="B717" s="52" t="s">
        <v>842</v>
      </c>
    </row>
    <row r="719" spans="1:11" x14ac:dyDescent="0.2">
      <c r="C719" s="82" t="s">
        <v>843</v>
      </c>
      <c r="G719" s="89">
        <f>G46</f>
        <v>5671666.666666666</v>
      </c>
    </row>
    <row r="721" spans="2:9" x14ac:dyDescent="0.2">
      <c r="C721" s="82" t="s">
        <v>844</v>
      </c>
      <c r="G721" s="159">
        <v>0.25</v>
      </c>
      <c r="H721" s="88" t="s">
        <v>129</v>
      </c>
      <c r="I721" s="81" t="s">
        <v>846</v>
      </c>
    </row>
    <row r="722" spans="2:9" x14ac:dyDescent="0.2">
      <c r="G722" s="107"/>
    </row>
    <row r="723" spans="2:9" x14ac:dyDescent="0.2">
      <c r="C723" s="82" t="s">
        <v>845</v>
      </c>
      <c r="G723" s="159">
        <v>0.4</v>
      </c>
      <c r="H723" s="88" t="s">
        <v>128</v>
      </c>
      <c r="I723" s="81" t="s">
        <v>847</v>
      </c>
    </row>
    <row r="725" spans="2:9" ht="15.75" x14ac:dyDescent="0.2">
      <c r="B725" s="52" t="s">
        <v>848</v>
      </c>
    </row>
    <row r="727" spans="2:9" x14ac:dyDescent="0.2">
      <c r="C727" s="82" t="s">
        <v>849</v>
      </c>
    </row>
    <row r="728" spans="2:9" x14ac:dyDescent="0.2">
      <c r="D728" s="162" t="str">
        <f t="array" ref="D728:D741">Voice.services.list</f>
        <v>2G - Tráfico de voz on-net</v>
      </c>
      <c r="G728" s="192">
        <f t="array" ref="G728:G734">IF(G$153:G$159=0,0,G9:G15/G$153:G$159*G$144:G$150)/G$65*H$65*I$65</f>
        <v>566295.0986790004</v>
      </c>
    </row>
    <row r="729" spans="2:9" x14ac:dyDescent="0.2">
      <c r="D729" s="162" t="str">
        <v>2G - Tráfico de voz saliente a fijo</v>
      </c>
      <c r="G729" s="192">
        <v>37738.435163766087</v>
      </c>
    </row>
    <row r="730" spans="2:9" x14ac:dyDescent="0.2">
      <c r="D730" s="162" t="str">
        <v>2G - Tráfico de voz saliente a móvil</v>
      </c>
      <c r="G730" s="192">
        <v>402758.1339471871</v>
      </c>
    </row>
    <row r="731" spans="2:9" x14ac:dyDescent="0.2">
      <c r="D731" s="162" t="str">
        <v>2G - Tráfico de voz saliente a internacional</v>
      </c>
      <c r="G731" s="192">
        <v>2437.144781539861</v>
      </c>
    </row>
    <row r="732" spans="2:9" x14ac:dyDescent="0.2">
      <c r="D732" s="162" t="str">
        <v>2G - Tráfico de voz entrante desde fijo</v>
      </c>
      <c r="G732" s="192">
        <v>17822.3819368324</v>
      </c>
    </row>
    <row r="733" spans="2:9" x14ac:dyDescent="0.2">
      <c r="D733" s="162" t="str">
        <v>2G - Tráfico de voz entrante desde móvil</v>
      </c>
      <c r="G733" s="192">
        <v>402758.13394718716</v>
      </c>
    </row>
    <row r="734" spans="2:9" x14ac:dyDescent="0.2">
      <c r="D734" s="163" t="str">
        <v>2G - Tráfico de voz entrante desde internacional</v>
      </c>
      <c r="G734" s="192">
        <v>4276.7009425259102</v>
      </c>
    </row>
    <row r="735" spans="2:9" x14ac:dyDescent="0.2">
      <c r="D735" s="163" t="str">
        <v>3G - Tráfico de voz on-net</v>
      </c>
      <c r="G735" s="196">
        <f t="array" ref="G735:G741">IF(G$153:G$159=0,0,G16:G22/G$153:G$159*G$144:G$150)/G$65*H$65*I$65</f>
        <v>1698885.2960370011</v>
      </c>
    </row>
    <row r="736" spans="2:9" x14ac:dyDescent="0.2">
      <c r="D736" s="162" t="str">
        <v>3G - Tráfico de voz saliente a fijo</v>
      </c>
      <c r="G736" s="196">
        <v>113215.30549129829</v>
      </c>
    </row>
    <row r="737" spans="4:7" x14ac:dyDescent="0.2">
      <c r="D737" s="162" t="str">
        <v>3G - Tráfico de voz saliente a móvil</v>
      </c>
      <c r="G737" s="196">
        <v>1208274.4018415613</v>
      </c>
    </row>
    <row r="738" spans="4:7" x14ac:dyDescent="0.2">
      <c r="D738" s="162" t="str">
        <v>3G - Tráfico de voz saliente a internacional</v>
      </c>
      <c r="G738" s="196">
        <v>7311.4343446195826</v>
      </c>
    </row>
    <row r="739" spans="4:7" x14ac:dyDescent="0.2">
      <c r="D739" s="162" t="str">
        <v>3G - Tráfico de voz entrante desde fijo</v>
      </c>
      <c r="G739" s="196">
        <v>53467.145810497197</v>
      </c>
    </row>
    <row r="740" spans="4:7" x14ac:dyDescent="0.2">
      <c r="D740" s="162" t="str">
        <v>3G - Tráfico de voz entrante desde móvil</v>
      </c>
      <c r="G740" s="196">
        <v>1208274.4018415615</v>
      </c>
    </row>
    <row r="741" spans="4:7" x14ac:dyDescent="0.2">
      <c r="D741" s="162" t="str">
        <v>3G - Tráfico de voz entrante desde internacional</v>
      </c>
      <c r="G741" s="196">
        <v>12830.102827577732</v>
      </c>
    </row>
    <row r="742" spans="4:7" x14ac:dyDescent="0.2">
      <c r="D742" s="26" t="str">
        <f t="array" ref="D742:D748">VoLTE.services.list</f>
        <v>4G - Tráfico de voz on-net</v>
      </c>
      <c r="G742" s="192">
        <f t="array" ref="G742:G748">IF(G$153:G$159=0,0,G23:G29/G$153:G$159*G$144:G$150)/G$65*H$65*I$65</f>
        <v>0</v>
      </c>
    </row>
    <row r="743" spans="4:7" x14ac:dyDescent="0.2">
      <c r="D743" s="26" t="str">
        <v>4G - Tráfico de voz saliente a fijo</v>
      </c>
      <c r="G743" s="192">
        <v>0</v>
      </c>
    </row>
    <row r="744" spans="4:7" x14ac:dyDescent="0.2">
      <c r="D744" s="26" t="str">
        <v>4G - Tráfico de voz saliente a móvil</v>
      </c>
      <c r="G744" s="192">
        <v>0</v>
      </c>
    </row>
    <row r="745" spans="4:7" x14ac:dyDescent="0.2">
      <c r="D745" s="26" t="str">
        <v>4G - Tráfico de voz saliente a internacional</v>
      </c>
      <c r="G745" s="192">
        <v>0</v>
      </c>
    </row>
    <row r="746" spans="4:7" x14ac:dyDescent="0.2">
      <c r="D746" s="26" t="str">
        <v>4G - Tráfico de voz entrante desde fijo</v>
      </c>
      <c r="G746" s="192">
        <v>0</v>
      </c>
    </row>
    <row r="747" spans="4:7" x14ac:dyDescent="0.2">
      <c r="D747" s="26" t="str">
        <v>4G - Tráfico de voz entrante desde móvil</v>
      </c>
      <c r="G747" s="192">
        <v>0</v>
      </c>
    </row>
    <row r="748" spans="4:7" x14ac:dyDescent="0.2">
      <c r="D748" s="26" t="str">
        <v>4G - Tráfico de voz entrante desde internacional</v>
      </c>
      <c r="G748" s="192">
        <v>0</v>
      </c>
    </row>
    <row r="750" spans="4:7" x14ac:dyDescent="0.2">
      <c r="D750" s="82" t="s">
        <v>126</v>
      </c>
      <c r="G750" s="68">
        <f>SUM(G728:G734)</f>
        <v>1434086.029398039</v>
      </c>
    </row>
    <row r="751" spans="4:7" x14ac:dyDescent="0.2">
      <c r="D751" s="82" t="s">
        <v>125</v>
      </c>
      <c r="G751" s="68">
        <f>SUM(G735:G741)</f>
        <v>4302258.088194116</v>
      </c>
    </row>
    <row r="752" spans="4:7" x14ac:dyDescent="0.2">
      <c r="D752" s="82" t="s">
        <v>449</v>
      </c>
      <c r="G752" s="68">
        <f>SUM(G742:G748)</f>
        <v>0</v>
      </c>
    </row>
    <row r="754" spans="2:7" x14ac:dyDescent="0.2">
      <c r="C754" s="82" t="s">
        <v>127</v>
      </c>
    </row>
    <row r="755" spans="2:7" x14ac:dyDescent="0.2">
      <c r="D755" s="82" t="s">
        <v>126</v>
      </c>
      <c r="E755" s="63" t="s">
        <v>852</v>
      </c>
      <c r="G755" s="97">
        <f>SUM(G233:G235)</f>
        <v>198746.84943835618</v>
      </c>
    </row>
    <row r="756" spans="2:7" x14ac:dyDescent="0.2">
      <c r="D756" s="82" t="s">
        <v>125</v>
      </c>
      <c r="E756" s="63" t="s">
        <v>852</v>
      </c>
      <c r="G756" s="97">
        <f>SUM(G236:G238)</f>
        <v>596240.54831506836</v>
      </c>
    </row>
    <row r="757" spans="2:7" x14ac:dyDescent="0.2">
      <c r="D757" s="82" t="s">
        <v>449</v>
      </c>
      <c r="E757" s="63" t="s">
        <v>852</v>
      </c>
      <c r="G757" s="97">
        <f>SUM(G239:G241)</f>
        <v>0</v>
      </c>
    </row>
    <row r="760" spans="2:7" ht="15.75" x14ac:dyDescent="0.2">
      <c r="B760" s="179" t="s">
        <v>850</v>
      </c>
    </row>
    <row r="761" spans="2:7" x14ac:dyDescent="0.2">
      <c r="B761"/>
      <c r="C761"/>
    </row>
    <row r="762" spans="2:7" x14ac:dyDescent="0.2">
      <c r="B762"/>
      <c r="C762"/>
      <c r="D762" s="82" t="s">
        <v>855</v>
      </c>
      <c r="G762" s="35">
        <f>1-G763</f>
        <v>1</v>
      </c>
    </row>
    <row r="763" spans="2:7" x14ac:dyDescent="0.2">
      <c r="B763"/>
      <c r="C763"/>
      <c r="D763" s="82" t="s">
        <v>854</v>
      </c>
      <c r="G763" s="159">
        <v>0</v>
      </c>
    </row>
    <row r="764" spans="2:7" x14ac:dyDescent="0.2">
      <c r="B764"/>
      <c r="C764"/>
    </row>
    <row r="765" spans="2:7" x14ac:dyDescent="0.2">
      <c r="B765"/>
      <c r="C765"/>
      <c r="D765" s="82" t="s">
        <v>856</v>
      </c>
      <c r="G765" s="192">
        <f>SUM(G600:G605,G607:G612,G614:G619)</f>
        <v>65732.435357430935</v>
      </c>
    </row>
    <row r="769" spans="1:7" ht="15.75" x14ac:dyDescent="0.2">
      <c r="B769" s="127" t="s">
        <v>851</v>
      </c>
      <c r="E769" s="82" t="s">
        <v>853</v>
      </c>
    </row>
    <row r="770" spans="1:7" x14ac:dyDescent="0.2">
      <c r="A770"/>
      <c r="D770" s="162" t="str">
        <f t="array" ref="D770:D802">Servers.List</f>
        <v>Asset spare</v>
      </c>
      <c r="E770" s="162" t="str">
        <f t="array" ref="E770:E802">Servers.Units</f>
        <v>Spare</v>
      </c>
      <c r="G770" s="256">
        <v>0</v>
      </c>
    </row>
    <row r="771" spans="1:7" x14ac:dyDescent="0.2">
      <c r="A771"/>
      <c r="D771" s="162" t="str">
        <v>MSS</v>
      </c>
      <c r="E771" s="162" t="str">
        <v>BHCA</v>
      </c>
      <c r="F771" s="96"/>
      <c r="G771" s="74">
        <f>G750+G751+G755+G756</f>
        <v>6531331.5153455799</v>
      </c>
    </row>
    <row r="772" spans="1:7" x14ac:dyDescent="0.2">
      <c r="A772"/>
      <c r="D772" s="162" t="str">
        <v>MGW</v>
      </c>
      <c r="E772" s="162" t="str">
        <v>BHE</v>
      </c>
      <c r="F772" s="96"/>
      <c r="G772" s="80">
        <f>SUM(G$599:G$612)</f>
        <v>119506.26908669324</v>
      </c>
    </row>
    <row r="773" spans="1:7" x14ac:dyDescent="0.2">
      <c r="A773"/>
      <c r="D773" s="162" t="str">
        <v>SGSN</v>
      </c>
      <c r="E773" s="162" t="str">
        <v>SAU</v>
      </c>
      <c r="F773" s="96"/>
      <c r="G773" s="74">
        <f>G$719*SAU.per.sub</f>
        <v>2268666.6666666665</v>
      </c>
    </row>
    <row r="774" spans="1:7" x14ac:dyDescent="0.2">
      <c r="A774"/>
      <c r="D774" s="162" t="str">
        <v>GGSN</v>
      </c>
      <c r="E774" s="162" t="str">
        <v>PDP</v>
      </c>
      <c r="F774" s="96"/>
      <c r="G774" s="74">
        <f>G$719*PDP.context.per.sub</f>
        <v>1417916.6666666665</v>
      </c>
    </row>
    <row r="775" spans="1:7" x14ac:dyDescent="0.2">
      <c r="A775"/>
      <c r="D775" s="162" t="str">
        <v>LTE MME</v>
      </c>
      <c r="E775" s="162" t="str">
        <v>Mbit/s</v>
      </c>
      <c r="F775" s="96"/>
      <c r="G775" s="116">
        <f>Network.load.LTE</f>
        <v>16981.957251276173</v>
      </c>
    </row>
    <row r="776" spans="1:7" x14ac:dyDescent="0.2">
      <c r="A776"/>
      <c r="D776" s="162" t="str">
        <v>LTE SGW</v>
      </c>
      <c r="E776" s="162" t="str">
        <v>Mbit/s</v>
      </c>
      <c r="G776" s="116">
        <f>Network.load.LTE</f>
        <v>16981.957251276173</v>
      </c>
    </row>
    <row r="777" spans="1:7" x14ac:dyDescent="0.2">
      <c r="A777"/>
      <c r="D777" s="162" t="str">
        <v>HLR</v>
      </c>
      <c r="E777" s="162" t="str">
        <v>Subs</v>
      </c>
      <c r="G777" s="74">
        <f t="shared" ref="G777:G780" si="3">$G$45+$G$46</f>
        <v>11487705.999999996</v>
      </c>
    </row>
    <row r="778" spans="1:7" x14ac:dyDescent="0.2">
      <c r="A778"/>
      <c r="D778" s="162" t="str">
        <v>AUC</v>
      </c>
      <c r="E778" s="162" t="str">
        <v>Subs</v>
      </c>
      <c r="G778" s="74">
        <f t="shared" si="3"/>
        <v>11487705.999999996</v>
      </c>
    </row>
    <row r="779" spans="1:7" x14ac:dyDescent="0.2">
      <c r="A779"/>
      <c r="D779" s="162" t="str">
        <v>EIR</v>
      </c>
      <c r="E779" s="162" t="str">
        <v>Subs</v>
      </c>
      <c r="G779" s="74">
        <f t="shared" si="3"/>
        <v>11487705.999999996</v>
      </c>
    </row>
    <row r="780" spans="1:7" x14ac:dyDescent="0.2">
      <c r="A780"/>
      <c r="D780" s="162" t="str">
        <v>IN (SCP+SMP)</v>
      </c>
      <c r="E780" s="162" t="str">
        <v>Subs</v>
      </c>
      <c r="G780" s="74">
        <f t="shared" si="3"/>
        <v>11487705.999999996</v>
      </c>
    </row>
    <row r="781" spans="1:7" x14ac:dyDescent="0.2">
      <c r="A781"/>
      <c r="D781" s="162" t="str">
        <v>Asset spare</v>
      </c>
      <c r="E781" s="162" t="str">
        <v>Spare</v>
      </c>
      <c r="G781" s="256">
        <v>0</v>
      </c>
    </row>
    <row r="782" spans="1:7" x14ac:dyDescent="0.2">
      <c r="A782"/>
      <c r="D782" s="162" t="str">
        <v>Asset spare</v>
      </c>
      <c r="E782" s="162" t="str">
        <v>Spare</v>
      </c>
      <c r="G782" s="256">
        <v>0</v>
      </c>
    </row>
    <row r="783" spans="1:7" x14ac:dyDescent="0.2">
      <c r="A783"/>
      <c r="D783" s="162" t="str">
        <v>SMSC</v>
      </c>
      <c r="E783" s="162" t="str">
        <v>SMS/s</v>
      </c>
      <c r="G783" s="234">
        <f>MAX(SUM(G233:G241),SUM(G244:G252))/seconds.per.hour</f>
        <v>276.03729088660577</v>
      </c>
    </row>
    <row r="784" spans="1:7" x14ac:dyDescent="0.2">
      <c r="A784"/>
      <c r="D784" s="162" t="str">
        <v>MMSC</v>
      </c>
      <c r="E784" s="162" t="str">
        <v>1 unit</v>
      </c>
      <c r="G784" s="197">
        <v>1</v>
      </c>
    </row>
    <row r="785" spans="1:7" x14ac:dyDescent="0.2">
      <c r="A785"/>
      <c r="D785" s="162" t="str">
        <v>Asset spare</v>
      </c>
      <c r="E785" s="162" t="str">
        <v>Spare</v>
      </c>
      <c r="G785" s="256">
        <v>0</v>
      </c>
    </row>
    <row r="786" spans="1:7" x14ac:dyDescent="0.2">
      <c r="A786"/>
      <c r="D786" s="162" t="str">
        <v>MSC/MGW STM1 ports for voice traffic</v>
      </c>
      <c r="E786" s="162" t="str">
        <v>Circuits</v>
      </c>
      <c r="G786" s="80">
        <f>SUM(G$599:G$612)</f>
        <v>119506.26908669324</v>
      </c>
    </row>
    <row r="787" spans="1:7" x14ac:dyDescent="0.2">
      <c r="A787"/>
      <c r="D787" s="162" t="str">
        <v>PoI STM1 Gateway</v>
      </c>
      <c r="E787" s="162" t="str">
        <v>BHE</v>
      </c>
      <c r="G787" s="80">
        <f t="array" ref="G787:G788">G$765*G762:G763</f>
        <v>65732.435357430935</v>
      </c>
    </row>
    <row r="788" spans="1:7" x14ac:dyDescent="0.2">
      <c r="A788"/>
      <c r="D788" s="162" t="str">
        <v>I-SBC</v>
      </c>
      <c r="E788" s="162" t="str">
        <v>Mbit/s</v>
      </c>
      <c r="G788" s="80">
        <v>0</v>
      </c>
    </row>
    <row r="789" spans="1:7" x14ac:dyDescent="0.2">
      <c r="A789"/>
      <c r="D789" s="162" t="str">
        <v>Asset spare</v>
      </c>
      <c r="E789" s="162" t="str">
        <v>Spare</v>
      </c>
      <c r="G789" s="256">
        <v>0</v>
      </c>
    </row>
    <row r="790" spans="1:7" x14ac:dyDescent="0.2">
      <c r="A790"/>
      <c r="D790" s="162" t="str">
        <v>MSS software</v>
      </c>
      <c r="E790" s="162" t="str">
        <v>BHCA</v>
      </c>
      <c r="G790" s="228">
        <f>G771</f>
        <v>6531331.5153455799</v>
      </c>
    </row>
    <row r="791" spans="1:7" x14ac:dyDescent="0.2">
      <c r="A791"/>
      <c r="D791" s="162" t="str">
        <v>SGSN software</v>
      </c>
      <c r="E791" s="162" t="str">
        <v>SAU</v>
      </c>
      <c r="G791" s="116">
        <f t="array" ref="G791:G795">G773:G777</f>
        <v>2268666.6666666665</v>
      </c>
    </row>
    <row r="792" spans="1:7" x14ac:dyDescent="0.2">
      <c r="A792"/>
      <c r="D792" s="162" t="str">
        <v>GGSN software</v>
      </c>
      <c r="E792" s="162" t="str">
        <v>PDP</v>
      </c>
      <c r="G792" s="116">
        <v>1417916.6666666665</v>
      </c>
    </row>
    <row r="793" spans="1:7" x14ac:dyDescent="0.2">
      <c r="A793"/>
      <c r="D793" s="162" t="str">
        <v>MME software</v>
      </c>
      <c r="E793" s="162" t="str">
        <v>Mbit/s</v>
      </c>
      <c r="G793" s="116">
        <v>16981.957251276173</v>
      </c>
    </row>
    <row r="794" spans="1:7" x14ac:dyDescent="0.2">
      <c r="A794"/>
      <c r="D794" s="162" t="str">
        <v>SGW software</v>
      </c>
      <c r="E794" s="162" t="str">
        <v>Mbit/s</v>
      </c>
      <c r="G794" s="116">
        <v>16981.957251276173</v>
      </c>
    </row>
    <row r="795" spans="1:7" x14ac:dyDescent="0.2">
      <c r="A795"/>
      <c r="D795" s="162" t="str">
        <v>HLR software</v>
      </c>
      <c r="E795" s="162" t="str">
        <v>Subs</v>
      </c>
      <c r="G795" s="116">
        <v>11487705.999999996</v>
      </c>
    </row>
    <row r="796" spans="1:7" x14ac:dyDescent="0.2">
      <c r="A796"/>
      <c r="D796" s="162" t="str">
        <v>Call server – hardware</v>
      </c>
      <c r="E796" s="162" t="str">
        <v>BHCA</v>
      </c>
      <c r="G796" s="228">
        <f>G$752</f>
        <v>0</v>
      </c>
    </row>
    <row r="797" spans="1:7" x14ac:dyDescent="0.2">
      <c r="A797"/>
      <c r="D797" s="162" t="str">
        <v>Call server – software</v>
      </c>
      <c r="E797" s="162" t="str">
        <v>BHCA</v>
      </c>
      <c r="G797" s="116">
        <f>G796</f>
        <v>0</v>
      </c>
    </row>
    <row r="798" spans="1:7" x14ac:dyDescent="0.2">
      <c r="A798"/>
      <c r="D798" s="162" t="str">
        <v>Telephony Application Server (TAS)</v>
      </c>
      <c r="E798" s="162" t="str">
        <v>BHCA</v>
      </c>
      <c r="G798" s="228">
        <f>G$752</f>
        <v>0</v>
      </c>
    </row>
    <row r="799" spans="1:7" x14ac:dyDescent="0.2">
      <c r="A799"/>
      <c r="D799" s="162" t="str">
        <v>Session border controller (SBC) – hardware</v>
      </c>
      <c r="E799" s="162" t="str">
        <v>BH voice Mbit/s</v>
      </c>
      <c r="G799" s="80">
        <f t="array" ref="G799">SUM(G123:G129)</f>
        <v>0</v>
      </c>
    </row>
    <row r="800" spans="1:7" x14ac:dyDescent="0.2">
      <c r="A800"/>
      <c r="D800" s="162" t="str">
        <v>Session border controller (SBC) – software</v>
      </c>
      <c r="E800" s="162" t="str">
        <v>BH voice Mbit/s</v>
      </c>
      <c r="G800" s="116">
        <f>G799</f>
        <v>0</v>
      </c>
    </row>
    <row r="801" spans="1:7" x14ac:dyDescent="0.2">
      <c r="A801"/>
      <c r="D801" s="162" t="str">
        <v>PCC</v>
      </c>
      <c r="E801" s="162" t="str">
        <v>BHCA</v>
      </c>
      <c r="G801" s="228">
        <f>G$752</f>
        <v>0</v>
      </c>
    </row>
    <row r="802" spans="1:7" x14ac:dyDescent="0.2">
      <c r="A802"/>
      <c r="D802" s="162" t="str">
        <v>MGCF</v>
      </c>
      <c r="E802" s="162" t="str">
        <v>BHCA</v>
      </c>
      <c r="G802" s="228">
        <f>G$752</f>
        <v>0</v>
      </c>
    </row>
    <row r="803" spans="1:7" x14ac:dyDescent="0.2">
      <c r="A803"/>
      <c r="G803" s="88" t="s">
        <v>124</v>
      </c>
    </row>
    <row r="804" spans="1:7" x14ac:dyDescent="0.2">
      <c r="A804"/>
    </row>
    <row r="805" spans="1:7" x14ac:dyDescent="0.2">
      <c r="A805"/>
    </row>
    <row r="806" spans="1:7" x14ac:dyDescent="0.2">
      <c r="A806"/>
    </row>
  </sheetData>
  <conditionalFormatting sqref="F3">
    <cfRule type="cellIs" dxfId="255" priority="5" operator="notEqual">
      <formula>"ERROR"</formula>
    </cfRule>
    <cfRule type="cellIs" dxfId="254" priority="6" operator="equal">
      <formula>"ERROR"</formula>
    </cfRule>
  </conditionalFormatting>
  <conditionalFormatting sqref="D144:D150">
    <cfRule type="cellIs" dxfId="253" priority="4" operator="equal">
      <formula>"spare"</formula>
    </cfRule>
  </conditionalFormatting>
  <conditionalFormatting sqref="D274:D279">
    <cfRule type="cellIs" dxfId="252" priority="2" operator="equal">
      <formula>"spare"</formula>
    </cfRule>
  </conditionalFormatting>
  <conditionalFormatting sqref="D770:E802">
    <cfRule type="cellIs" dxfId="251" priority="1" operator="equal">
      <formula>"spare"</formula>
    </cfRule>
  </conditionalFormatting>
  <pageMargins left="0.70866141732283472" right="0.70866141732283472" top="0.51181102362204722" bottom="0.51181102362204722" header="0.51181102362204722" footer="0.35433070866141736"/>
  <pageSetup paperSize="9" orientation="landscape" horizontalDpi="4294967292" verticalDpi="4294967292" r:id="rId1"/>
  <headerFooter alignWithMargins="0">
    <oddFooter xml:space="preserve">&amp;L&amp;F : &amp;A&amp;CPrinted at &amp;T on &amp;D&amp;RCommercial in confidence © Analysys Mason </oddFooter>
  </headerFooter>
  <ignoredErrors>
    <ignoredError sqref="G463:G469 G513:G519 G545:G551 H144:H150 G529:G535" unlockedFormula="1"/>
    <ignoredError sqref="G797" 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autoPageBreaks="0"/>
  </sheetPr>
  <dimension ref="B1:Q29"/>
  <sheetViews>
    <sheetView showGridLines="0" defaultGridColor="0" colorId="22" zoomScale="120" zoomScaleNormal="120" workbookViewId="0">
      <pane xSplit="6" ySplit="1" topLeftCell="G2" activePane="bottomRight" state="frozen"/>
      <selection pane="topRight"/>
      <selection pane="bottomLeft"/>
      <selection pane="bottomRight" activeCell="G2" sqref="G2"/>
    </sheetView>
  </sheetViews>
  <sheetFormatPr baseColWidth="10" defaultColWidth="12.7109375" defaultRowHeight="12" x14ac:dyDescent="0.2"/>
  <cols>
    <col min="1" max="1" width="6.7109375" style="81" customWidth="1"/>
    <col min="2" max="10" width="12.7109375" style="81"/>
    <col min="11" max="16" width="12.7109375" style="81" customWidth="1"/>
    <col min="17" max="16384" width="12.7109375" style="81"/>
  </cols>
  <sheetData>
    <row r="1" spans="2:17" s="2" customFormat="1" ht="45" customHeight="1" x14ac:dyDescent="0.2">
      <c r="E1" s="3" t="s">
        <v>867</v>
      </c>
      <c r="L1" s="2" t="s">
        <v>0</v>
      </c>
    </row>
    <row r="3" spans="2:17" ht="15.75" x14ac:dyDescent="0.2">
      <c r="B3" s="127" t="s">
        <v>868</v>
      </c>
      <c r="C3" s="129"/>
      <c r="H3" s="63"/>
    </row>
    <row r="4" spans="2:17" x14ac:dyDescent="0.2">
      <c r="H4" s="63"/>
      <c r="J4" s="128"/>
    </row>
    <row r="5" spans="2:17" ht="26.25" customHeight="1" x14ac:dyDescent="0.2">
      <c r="G5" s="216" t="str">
        <f t="array" ref="G5:P5">TRANSPOSE(Geotypes)</f>
        <v>Muy denso</v>
      </c>
      <c r="H5" s="216" t="str">
        <v>Denso</v>
      </c>
      <c r="I5" s="216" t="str">
        <v>Poco denso</v>
      </c>
      <c r="J5" s="216" t="str">
        <v>Otro</v>
      </c>
      <c r="K5" s="216" t="str">
        <v>Microceldas</v>
      </c>
      <c r="L5" s="216" t="str">
        <v>spare</v>
      </c>
      <c r="M5" s="216" t="str">
        <v>spare</v>
      </c>
      <c r="N5" s="216" t="str">
        <v>spare</v>
      </c>
      <c r="O5" s="216" t="str">
        <v>spare</v>
      </c>
      <c r="P5" s="216" t="str">
        <v>spare</v>
      </c>
    </row>
    <row r="6" spans="2:17" x14ac:dyDescent="0.2">
      <c r="C6" s="87" t="s">
        <v>870</v>
      </c>
      <c r="G6" s="166">
        <f t="array" ref="G6:G7">Utilisation.radio.assets</f>
        <v>0.8</v>
      </c>
      <c r="H6" s="55">
        <f t="shared" ref="H6:P9" si="0">$G6</f>
        <v>0.8</v>
      </c>
      <c r="I6" s="55">
        <f t="shared" si="0"/>
        <v>0.8</v>
      </c>
      <c r="J6" s="55">
        <f t="shared" si="0"/>
        <v>0.8</v>
      </c>
      <c r="K6" s="55">
        <f t="shared" si="0"/>
        <v>0.8</v>
      </c>
      <c r="L6" s="55">
        <f t="shared" si="0"/>
        <v>0.8</v>
      </c>
      <c r="M6" s="55">
        <f t="shared" si="0"/>
        <v>0.8</v>
      </c>
      <c r="N6" s="55">
        <f t="shared" si="0"/>
        <v>0.8</v>
      </c>
      <c r="O6" s="55">
        <f t="shared" si="0"/>
        <v>0.8</v>
      </c>
      <c r="P6" s="55">
        <f t="shared" si="0"/>
        <v>0.8</v>
      </c>
      <c r="Q6" s="88" t="s">
        <v>293</v>
      </c>
    </row>
    <row r="7" spans="2:17" x14ac:dyDescent="0.2">
      <c r="C7" s="87" t="s">
        <v>604</v>
      </c>
      <c r="G7" s="166">
        <v>0.8</v>
      </c>
      <c r="H7" s="55">
        <f t="shared" si="0"/>
        <v>0.8</v>
      </c>
      <c r="I7" s="55">
        <f t="shared" si="0"/>
        <v>0.8</v>
      </c>
      <c r="J7" s="55">
        <f t="shared" si="0"/>
        <v>0.8</v>
      </c>
      <c r="K7" s="55">
        <f t="shared" si="0"/>
        <v>0.8</v>
      </c>
      <c r="L7" s="55">
        <f t="shared" si="0"/>
        <v>0.8</v>
      </c>
      <c r="M7" s="55">
        <f t="shared" si="0"/>
        <v>0.8</v>
      </c>
      <c r="N7" s="55">
        <f t="shared" si="0"/>
        <v>0.8</v>
      </c>
      <c r="O7" s="55">
        <f t="shared" si="0"/>
        <v>0.8</v>
      </c>
      <c r="P7" s="55">
        <f t="shared" si="0"/>
        <v>0.8</v>
      </c>
      <c r="Q7" s="88" t="s">
        <v>292</v>
      </c>
    </row>
    <row r="8" spans="2:17" x14ac:dyDescent="0.2">
      <c r="C8" s="87" t="s">
        <v>871</v>
      </c>
      <c r="G8" s="55">
        <f>G6</f>
        <v>0.8</v>
      </c>
      <c r="H8" s="55">
        <f t="shared" si="0"/>
        <v>0.8</v>
      </c>
      <c r="I8" s="55">
        <f t="shared" si="0"/>
        <v>0.8</v>
      </c>
      <c r="J8" s="55">
        <f t="shared" si="0"/>
        <v>0.8</v>
      </c>
      <c r="K8" s="55">
        <f t="shared" si="0"/>
        <v>0.8</v>
      </c>
      <c r="L8" s="55">
        <f t="shared" si="0"/>
        <v>0.8</v>
      </c>
      <c r="M8" s="55">
        <f t="shared" si="0"/>
        <v>0.8</v>
      </c>
      <c r="N8" s="55">
        <f t="shared" si="0"/>
        <v>0.8</v>
      </c>
      <c r="O8" s="55">
        <f t="shared" si="0"/>
        <v>0.8</v>
      </c>
      <c r="P8" s="55">
        <f t="shared" si="0"/>
        <v>0.8</v>
      </c>
      <c r="Q8" s="88" t="s">
        <v>291</v>
      </c>
    </row>
    <row r="9" spans="2:17" x14ac:dyDescent="0.2">
      <c r="C9" s="87" t="s">
        <v>872</v>
      </c>
      <c r="G9" s="55">
        <f>G7</f>
        <v>0.8</v>
      </c>
      <c r="H9" s="55">
        <f t="shared" si="0"/>
        <v>0.8</v>
      </c>
      <c r="I9" s="55">
        <f t="shared" si="0"/>
        <v>0.8</v>
      </c>
      <c r="J9" s="55">
        <f t="shared" si="0"/>
        <v>0.8</v>
      </c>
      <c r="K9" s="55">
        <f t="shared" si="0"/>
        <v>0.8</v>
      </c>
      <c r="L9" s="55">
        <f t="shared" si="0"/>
        <v>0.8</v>
      </c>
      <c r="M9" s="55">
        <f t="shared" si="0"/>
        <v>0.8</v>
      </c>
      <c r="N9" s="55">
        <f t="shared" si="0"/>
        <v>0.8</v>
      </c>
      <c r="O9" s="55">
        <f t="shared" si="0"/>
        <v>0.8</v>
      </c>
      <c r="P9" s="55">
        <f t="shared" si="0"/>
        <v>0.8</v>
      </c>
      <c r="Q9" s="88" t="s">
        <v>290</v>
      </c>
    </row>
    <row r="10" spans="2:17" customFormat="1" x14ac:dyDescent="0.2"/>
    <row r="11" spans="2:17" customFormat="1" x14ac:dyDescent="0.2"/>
    <row r="12" spans="2:17" ht="15.75" x14ac:dyDescent="0.2">
      <c r="B12" s="127" t="s">
        <v>869</v>
      </c>
    </row>
    <row r="14" spans="2:17" ht="24" x14ac:dyDescent="0.2">
      <c r="C14" s="98" t="s">
        <v>287</v>
      </c>
      <c r="G14" s="231" t="s">
        <v>313</v>
      </c>
    </row>
    <row r="15" spans="2:17" x14ac:dyDescent="0.2">
      <c r="C15" s="87" t="s">
        <v>873</v>
      </c>
      <c r="G15" s="159">
        <v>0.8</v>
      </c>
      <c r="H15" s="88" t="s">
        <v>289</v>
      </c>
    </row>
    <row r="16" spans="2:17" x14ac:dyDescent="0.2">
      <c r="C16" s="87" t="s">
        <v>874</v>
      </c>
      <c r="G16" s="159">
        <v>0.8</v>
      </c>
      <c r="H16" s="88" t="s">
        <v>288</v>
      </c>
    </row>
    <row r="17" spans="3:10" x14ac:dyDescent="0.2">
      <c r="C17" s="49" t="s">
        <v>875</v>
      </c>
      <c r="G17" s="159">
        <v>0.8</v>
      </c>
      <c r="H17" s="88" t="s">
        <v>286</v>
      </c>
    </row>
    <row r="18" spans="3:10" x14ac:dyDescent="0.2">
      <c r="C18" s="49" t="s">
        <v>876</v>
      </c>
      <c r="G18" s="159">
        <v>0.8</v>
      </c>
      <c r="H18" s="88" t="s">
        <v>285</v>
      </c>
    </row>
    <row r="19" spans="3:10" x14ac:dyDescent="0.2">
      <c r="C19" s="49" t="s">
        <v>877</v>
      </c>
      <c r="G19" s="159">
        <v>0.8</v>
      </c>
      <c r="H19" s="88" t="s">
        <v>284</v>
      </c>
    </row>
    <row r="20" spans="3:10" x14ac:dyDescent="0.2">
      <c r="C20" s="49" t="s">
        <v>878</v>
      </c>
      <c r="G20" s="159">
        <v>0.8</v>
      </c>
      <c r="H20" s="88" t="s">
        <v>283</v>
      </c>
    </row>
    <row r="21" spans="3:10" x14ac:dyDescent="0.2">
      <c r="C21" s="49" t="s">
        <v>879</v>
      </c>
      <c r="G21" s="159">
        <v>0.8</v>
      </c>
      <c r="H21" s="88" t="s">
        <v>282</v>
      </c>
    </row>
    <row r="22" spans="3:10" x14ac:dyDescent="0.2">
      <c r="C22" s="49" t="s">
        <v>281</v>
      </c>
      <c r="G22" s="159">
        <v>0.8</v>
      </c>
      <c r="H22" s="88" t="s">
        <v>280</v>
      </c>
      <c r="J22" s="63" t="s">
        <v>881</v>
      </c>
    </row>
    <row r="23" spans="3:10" x14ac:dyDescent="0.2">
      <c r="C23" s="49" t="s">
        <v>880</v>
      </c>
      <c r="G23" s="159">
        <v>0.8</v>
      </c>
      <c r="H23" s="88" t="s">
        <v>279</v>
      </c>
      <c r="J23" s="63" t="s">
        <v>882</v>
      </c>
    </row>
    <row r="24" spans="3:10" x14ac:dyDescent="0.2">
      <c r="C24" s="49" t="s">
        <v>168</v>
      </c>
      <c r="G24" s="159">
        <v>0.8</v>
      </c>
      <c r="H24" s="88" t="s">
        <v>278</v>
      </c>
      <c r="J24" s="63" t="s">
        <v>883</v>
      </c>
    </row>
    <row r="25" spans="3:10" x14ac:dyDescent="0.2">
      <c r="C25" s="87" t="s">
        <v>277</v>
      </c>
      <c r="G25" s="159">
        <v>0.8</v>
      </c>
      <c r="H25" s="88" t="s">
        <v>276</v>
      </c>
      <c r="J25" s="63"/>
    </row>
    <row r="26" spans="3:10" x14ac:dyDescent="0.2">
      <c r="C26" s="87" t="s">
        <v>275</v>
      </c>
      <c r="G26" s="124">
        <v>1</v>
      </c>
      <c r="H26" s="122" t="s">
        <v>274</v>
      </c>
    </row>
    <row r="27" spans="3:10" x14ac:dyDescent="0.2">
      <c r="C27" s="87" t="s">
        <v>514</v>
      </c>
      <c r="G27" s="124">
        <v>1</v>
      </c>
      <c r="H27" s="122" t="s">
        <v>515</v>
      </c>
    </row>
    <row r="28" spans="3:10" x14ac:dyDescent="0.2">
      <c r="C28" s="90" t="s">
        <v>92</v>
      </c>
      <c r="G28" s="232">
        <v>1</v>
      </c>
    </row>
    <row r="29" spans="3:10" x14ac:dyDescent="0.2">
      <c r="C29" s="90" t="s">
        <v>92</v>
      </c>
      <c r="G29" s="232">
        <v>1</v>
      </c>
    </row>
  </sheetData>
  <pageMargins left="0.70866141732283472" right="0.70866141732283472" top="0.51181102362204722" bottom="0.51181102362204722" header="0.51181102362204722" footer="0.35433070866141736"/>
  <pageSetup paperSize="9" orientation="landscape" horizontalDpi="4294967292" verticalDpi="4294967292" r:id="rId1"/>
  <headerFooter alignWithMargins="0">
    <oddFooter xml:space="preserve">&amp;L&amp;F : &amp;A&amp;CPrinted at &amp;T on &amp;D&amp;RCommercial in confidence © Analysys Mason </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autoPageBreaks="0"/>
  </sheetPr>
  <dimension ref="A1:AV773"/>
  <sheetViews>
    <sheetView showGridLines="0" defaultGridColor="0" colorId="22" zoomScale="120" zoomScaleNormal="120" workbookViewId="0">
      <pane xSplit="6" ySplit="3" topLeftCell="G4" activePane="bottomRight" state="frozen"/>
      <selection pane="topRight"/>
      <selection pane="bottomLeft"/>
      <selection pane="bottomRight" activeCell="G4" sqref="G4"/>
    </sheetView>
  </sheetViews>
  <sheetFormatPr baseColWidth="10" defaultColWidth="12.7109375" defaultRowHeight="12" outlineLevelCol="1" x14ac:dyDescent="0.2"/>
  <cols>
    <col min="1" max="1" width="6.7109375" style="263" customWidth="1"/>
    <col min="2" max="5" width="12.7109375" style="263"/>
    <col min="6" max="6" width="12.7109375" style="265"/>
    <col min="7" max="9" width="12.7109375" style="263"/>
    <col min="10" max="16" width="12.7109375" style="263" customWidth="1"/>
    <col min="17" max="18" width="12.7109375" style="263"/>
    <col min="19" max="45" width="12.7109375" style="263" hidden="1" customWidth="1" outlineLevel="1"/>
    <col min="46" max="46" width="12.7109375" style="263" collapsed="1"/>
    <col min="47" max="16384" width="12.7109375" style="263"/>
  </cols>
  <sheetData>
    <row r="1" spans="1:20" s="261" customFormat="1" ht="45" customHeight="1" x14ac:dyDescent="0.2">
      <c r="E1" s="262" t="s">
        <v>857</v>
      </c>
      <c r="K1" s="739"/>
      <c r="M1" s="261" t="s">
        <v>0</v>
      </c>
    </row>
    <row r="2" spans="1:20" x14ac:dyDescent="0.2">
      <c r="F2" s="264" t="s">
        <v>3</v>
      </c>
    </row>
    <row r="3" spans="1:20" x14ac:dyDescent="0.2">
      <c r="F3" s="265" t="str">
        <f>IF(SUM(F4:F732)&lt;&gt;0,"ERROR","Correcto")</f>
        <v>Correcto</v>
      </c>
    </row>
    <row r="4" spans="1:20" x14ac:dyDescent="0.2">
      <c r="F4" s="263"/>
    </row>
    <row r="5" spans="1:20" s="265" customFormat="1" ht="15.75" x14ac:dyDescent="0.2">
      <c r="A5" s="266" t="s">
        <v>858</v>
      </c>
      <c r="B5" s="266"/>
      <c r="C5" s="266"/>
      <c r="D5" s="266"/>
      <c r="E5" s="266"/>
      <c r="F5" s="266"/>
      <c r="G5" s="266"/>
      <c r="H5" s="266"/>
      <c r="I5" s="266"/>
      <c r="J5" s="266"/>
      <c r="K5" s="266"/>
      <c r="L5" s="266"/>
      <c r="M5" s="266"/>
      <c r="N5" s="266"/>
      <c r="O5" s="266"/>
      <c r="P5" s="266"/>
      <c r="Q5" s="266"/>
      <c r="R5" s="266"/>
      <c r="S5" s="266"/>
      <c r="T5" s="266"/>
    </row>
    <row r="6" spans="1:20" x14ac:dyDescent="0.2">
      <c r="F6" s="263"/>
    </row>
    <row r="7" spans="1:20" ht="15.75" x14ac:dyDescent="0.2">
      <c r="B7" s="267" t="s">
        <v>859</v>
      </c>
      <c r="F7" s="263"/>
      <c r="G7" s="265"/>
      <c r="H7" s="265"/>
      <c r="I7" s="265"/>
      <c r="J7" s="265"/>
      <c r="K7" s="265"/>
      <c r="S7" s="265"/>
    </row>
    <row r="8" spans="1:20" x14ac:dyDescent="0.2">
      <c r="F8" s="263"/>
      <c r="G8" s="264" t="str">
        <f t="array" ref="G8:P8">TRANSPOSE(Geotypes)</f>
        <v>Muy denso</v>
      </c>
      <c r="H8" s="264" t="str">
        <v>Denso</v>
      </c>
      <c r="I8" s="264" t="str">
        <v>Poco denso</v>
      </c>
      <c r="J8" s="264" t="str">
        <v>Otro</v>
      </c>
      <c r="K8" s="264" t="str">
        <v>Microceldas</v>
      </c>
      <c r="L8" s="264" t="str">
        <v>spare</v>
      </c>
      <c r="M8" s="264" t="str">
        <v>spare</v>
      </c>
      <c r="N8" s="264" t="str">
        <v>spare</v>
      </c>
      <c r="O8" s="264" t="str">
        <v>spare</v>
      </c>
      <c r="P8" s="264" t="str">
        <v>spare</v>
      </c>
      <c r="S8" s="265"/>
    </row>
    <row r="9" spans="1:20" ht="12" customHeight="1" x14ac:dyDescent="0.2">
      <c r="C9" s="268" t="s">
        <v>860</v>
      </c>
      <c r="S9" s="265"/>
    </row>
    <row r="10" spans="1:20" x14ac:dyDescent="0.2">
      <c r="B10" s="265"/>
      <c r="D10" s="263" t="s">
        <v>863</v>
      </c>
      <c r="E10" s="265"/>
      <c r="G10" s="269">
        <f t="array" ref="G10:P10">TRANSPOSE(CTRL.2G.coverage)</f>
        <v>0.97599999999999998</v>
      </c>
      <c r="H10" s="269">
        <v>0.69699999999999995</v>
      </c>
      <c r="I10" s="269">
        <v>0.44500000000000001</v>
      </c>
      <c r="J10" s="269">
        <v>3.9E-2</v>
      </c>
      <c r="K10" s="269">
        <v>0</v>
      </c>
      <c r="L10" s="269">
        <v>0</v>
      </c>
      <c r="M10" s="269">
        <v>0</v>
      </c>
      <c r="N10" s="269">
        <v>0</v>
      </c>
      <c r="O10" s="269">
        <v>0</v>
      </c>
      <c r="P10" s="269">
        <v>0</v>
      </c>
      <c r="Q10" s="270" t="s">
        <v>273</v>
      </c>
      <c r="S10" s="265"/>
    </row>
    <row r="11" spans="1:20" x14ac:dyDescent="0.2">
      <c r="B11" s="265"/>
      <c r="S11" s="265"/>
    </row>
    <row r="12" spans="1:20" x14ac:dyDescent="0.2">
      <c r="B12" s="265"/>
      <c r="C12" s="268" t="s">
        <v>861</v>
      </c>
      <c r="S12" s="265"/>
    </row>
    <row r="13" spans="1:20" ht="12" customHeight="1" x14ac:dyDescent="0.2">
      <c r="B13" s="265"/>
      <c r="C13" s="265"/>
      <c r="D13" s="263" t="s">
        <v>863</v>
      </c>
      <c r="G13" s="269">
        <f t="array" ref="G13:P13">TRANSPOSE(CTRL.3G.coverage)</f>
        <v>0.83799999999999997</v>
      </c>
      <c r="H13" s="269">
        <v>0.501</v>
      </c>
      <c r="I13" s="269">
        <v>0.16700000000000001</v>
      </c>
      <c r="J13" s="269">
        <v>8.0000000000000002E-3</v>
      </c>
      <c r="K13" s="269">
        <v>0</v>
      </c>
      <c r="L13" s="269">
        <v>0</v>
      </c>
      <c r="M13" s="269">
        <v>0</v>
      </c>
      <c r="N13" s="269">
        <v>0</v>
      </c>
      <c r="O13" s="269">
        <v>0</v>
      </c>
      <c r="P13" s="269">
        <v>0</v>
      </c>
      <c r="Q13" s="270" t="s">
        <v>272</v>
      </c>
      <c r="S13" s="265"/>
    </row>
    <row r="14" spans="1:20" x14ac:dyDescent="0.2">
      <c r="B14" s="265"/>
      <c r="E14" s="265"/>
      <c r="S14" s="265"/>
    </row>
    <row r="15" spans="1:20" x14ac:dyDescent="0.2">
      <c r="B15" s="265"/>
      <c r="C15" s="268" t="s">
        <v>862</v>
      </c>
      <c r="G15" s="265"/>
      <c r="S15" s="265"/>
    </row>
    <row r="16" spans="1:20" ht="12" customHeight="1" x14ac:dyDescent="0.2">
      <c r="B16" s="265"/>
      <c r="C16" s="265"/>
      <c r="D16" s="263" t="s">
        <v>863</v>
      </c>
      <c r="G16" s="269">
        <f t="array" ref="G16:P16">TRANSPOSE(CTRL.4G.coverage)</f>
        <v>0.73599999999999999</v>
      </c>
      <c r="H16" s="269">
        <v>0.33100000000000002</v>
      </c>
      <c r="I16" s="269">
        <v>8.7999999999999995E-2</v>
      </c>
      <c r="J16" s="269">
        <v>2E-3</v>
      </c>
      <c r="K16" s="269">
        <v>0</v>
      </c>
      <c r="L16" s="269">
        <v>0</v>
      </c>
      <c r="M16" s="269">
        <v>0</v>
      </c>
      <c r="N16" s="269">
        <v>0</v>
      </c>
      <c r="O16" s="269">
        <v>0</v>
      </c>
      <c r="P16" s="269">
        <v>0</v>
      </c>
      <c r="Q16" s="270" t="s">
        <v>471</v>
      </c>
      <c r="S16" s="265"/>
    </row>
    <row r="17" spans="1:19" x14ac:dyDescent="0.2">
      <c r="C17" s="265"/>
      <c r="E17" s="265"/>
      <c r="S17" s="265"/>
    </row>
    <row r="18" spans="1:19" x14ac:dyDescent="0.2">
      <c r="C18" s="268" t="s">
        <v>1363</v>
      </c>
      <c r="G18" s="265"/>
      <c r="H18" s="265"/>
      <c r="I18" s="265"/>
    </row>
    <row r="19" spans="1:19" x14ac:dyDescent="0.2">
      <c r="D19" s="263" t="s">
        <v>118</v>
      </c>
      <c r="G19" s="265"/>
      <c r="H19" s="265"/>
      <c r="I19" s="265"/>
      <c r="K19" s="271">
        <f t="array" ref="K19:K21">CTRL.microcells.for.coverage</f>
        <v>200</v>
      </c>
    </row>
    <row r="20" spans="1:19" x14ac:dyDescent="0.2">
      <c r="D20" s="263" t="s">
        <v>117</v>
      </c>
      <c r="G20" s="265"/>
      <c r="H20" s="265"/>
      <c r="I20" s="265"/>
      <c r="K20" s="271">
        <v>200</v>
      </c>
    </row>
    <row r="21" spans="1:19" x14ac:dyDescent="0.2">
      <c r="D21" s="263" t="s">
        <v>421</v>
      </c>
      <c r="G21" s="265"/>
      <c r="H21" s="265"/>
      <c r="I21" s="265"/>
      <c r="K21" s="271">
        <v>100</v>
      </c>
    </row>
    <row r="22" spans="1:19" x14ac:dyDescent="0.2">
      <c r="G22" s="265"/>
      <c r="H22" s="265"/>
      <c r="I22" s="265"/>
      <c r="K22" s="270" t="s">
        <v>987</v>
      </c>
    </row>
    <row r="23" spans="1:19" x14ac:dyDescent="0.2">
      <c r="G23" s="265"/>
      <c r="H23" s="265"/>
      <c r="I23" s="265"/>
    </row>
    <row r="24" spans="1:19" ht="15.75" x14ac:dyDescent="0.2">
      <c r="A24" s="272"/>
      <c r="B24" s="267" t="s">
        <v>865</v>
      </c>
      <c r="G24" s="265"/>
      <c r="H24" s="265"/>
      <c r="I24" s="265"/>
      <c r="L24" s="265"/>
      <c r="M24" s="265"/>
      <c r="N24" s="265"/>
      <c r="O24" s="265"/>
      <c r="P24" s="265"/>
    </row>
    <row r="25" spans="1:19" s="265" customFormat="1" x14ac:dyDescent="0.2">
      <c r="C25" s="263"/>
    </row>
    <row r="26" spans="1:19" s="265" customFormat="1" x14ac:dyDescent="0.2">
      <c r="C26" s="268" t="s">
        <v>864</v>
      </c>
      <c r="G26" s="264" t="str">
        <f t="array" ref="G26:P26">TRANSPOSE(Geotypes)</f>
        <v>Muy denso</v>
      </c>
      <c r="H26" s="264" t="str">
        <v>Denso</v>
      </c>
      <c r="I26" s="264" t="str">
        <v>Poco denso</v>
      </c>
      <c r="J26" s="264" t="str">
        <v>Otro</v>
      </c>
      <c r="K26" s="264" t="str">
        <v>Microceldas</v>
      </c>
      <c r="L26" s="264" t="str">
        <v>spare</v>
      </c>
      <c r="M26" s="264" t="str">
        <v>spare</v>
      </c>
      <c r="N26" s="264" t="str">
        <v>spare</v>
      </c>
      <c r="O26" s="264" t="str">
        <v>spare</v>
      </c>
      <c r="P26" s="264" t="str">
        <v>spare</v>
      </c>
      <c r="R26" s="264" t="s">
        <v>271</v>
      </c>
    </row>
    <row r="27" spans="1:19" customFormat="1" x14ac:dyDescent="0.2"/>
    <row r="28" spans="1:19" s="265" customFormat="1" x14ac:dyDescent="0.2">
      <c r="E28" s="273" t="str">
        <f t="array" ref="E28:E32">Frequencies2&amp;" MHz"</f>
        <v>850 MHz</v>
      </c>
      <c r="G28" s="274">
        <f t="shared" ref="G28:P28" si="0">G$29/$R$29*$R28</f>
        <v>1.37</v>
      </c>
      <c r="H28" s="274">
        <f t="shared" si="0"/>
        <v>6.6</v>
      </c>
      <c r="I28" s="274">
        <f t="shared" si="0"/>
        <v>12.5</v>
      </c>
      <c r="J28" s="274">
        <f t="shared" si="0"/>
        <v>14</v>
      </c>
      <c r="K28" s="274">
        <f t="shared" si="0"/>
        <v>1</v>
      </c>
      <c r="L28" s="274">
        <f t="shared" si="0"/>
        <v>0</v>
      </c>
      <c r="M28" s="274">
        <f t="shared" si="0"/>
        <v>0</v>
      </c>
      <c r="N28" s="274">
        <f t="shared" si="0"/>
        <v>0</v>
      </c>
      <c r="O28" s="274">
        <f t="shared" si="0"/>
        <v>0</v>
      </c>
      <c r="P28" s="274">
        <f t="shared" si="0"/>
        <v>0</v>
      </c>
      <c r="R28" s="275">
        <v>1</v>
      </c>
    </row>
    <row r="29" spans="1:19" s="265" customFormat="1" x14ac:dyDescent="0.2">
      <c r="E29" s="273" t="str">
        <v>900 MHz</v>
      </c>
      <c r="G29" s="275">
        <v>1.37</v>
      </c>
      <c r="H29" s="275">
        <v>6.6</v>
      </c>
      <c r="I29" s="275">
        <v>12.5</v>
      </c>
      <c r="J29" s="275">
        <v>14</v>
      </c>
      <c r="K29" s="275">
        <v>1</v>
      </c>
      <c r="L29" s="275">
        <v>0</v>
      </c>
      <c r="M29" s="275">
        <v>0</v>
      </c>
      <c r="N29" s="275">
        <v>0</v>
      </c>
      <c r="O29" s="275">
        <v>0</v>
      </c>
      <c r="P29" s="275">
        <v>0</v>
      </c>
      <c r="R29" s="276">
        <v>1</v>
      </c>
    </row>
    <row r="30" spans="1:19" s="265" customFormat="1" x14ac:dyDescent="0.2">
      <c r="E30" s="273" t="str">
        <v>1900 MHz</v>
      </c>
      <c r="G30" s="274">
        <f t="shared" ref="G30:P31" si="1">G$29/$R$29*$R30</f>
        <v>1.1645000000000001</v>
      </c>
      <c r="H30" s="274">
        <f t="shared" si="1"/>
        <v>5.6099999999999994</v>
      </c>
      <c r="I30" s="274">
        <f t="shared" si="1"/>
        <v>10.625</v>
      </c>
      <c r="J30" s="274">
        <f t="shared" si="1"/>
        <v>11.9</v>
      </c>
      <c r="K30" s="274">
        <f t="shared" si="1"/>
        <v>0.85</v>
      </c>
      <c r="L30" s="274">
        <f t="shared" si="1"/>
        <v>0</v>
      </c>
      <c r="M30" s="274">
        <f t="shared" si="1"/>
        <v>0</v>
      </c>
      <c r="N30" s="274">
        <f t="shared" si="1"/>
        <v>0</v>
      </c>
      <c r="O30" s="274">
        <f t="shared" si="1"/>
        <v>0</v>
      </c>
      <c r="P30" s="274">
        <f t="shared" si="1"/>
        <v>0</v>
      </c>
      <c r="R30" s="275">
        <v>0.85</v>
      </c>
    </row>
    <row r="31" spans="1:19" s="265" customFormat="1" x14ac:dyDescent="0.2">
      <c r="E31" s="273" t="str">
        <v>1700/2100 (AWS) MHz</v>
      </c>
      <c r="G31" s="274">
        <f t="shared" si="1"/>
        <v>0.82200000000000006</v>
      </c>
      <c r="H31" s="274">
        <f t="shared" si="1"/>
        <v>3.9599999999999995</v>
      </c>
      <c r="I31" s="274">
        <f t="shared" si="1"/>
        <v>7.5</v>
      </c>
      <c r="J31" s="274">
        <f t="shared" si="1"/>
        <v>8.4</v>
      </c>
      <c r="K31" s="274">
        <f t="shared" si="1"/>
        <v>0.6</v>
      </c>
      <c r="L31" s="274">
        <f t="shared" si="1"/>
        <v>0</v>
      </c>
      <c r="M31" s="274">
        <f t="shared" si="1"/>
        <v>0</v>
      </c>
      <c r="N31" s="274">
        <f t="shared" si="1"/>
        <v>0</v>
      </c>
      <c r="O31" s="274">
        <f t="shared" si="1"/>
        <v>0</v>
      </c>
      <c r="P31" s="274">
        <f t="shared" si="1"/>
        <v>0</v>
      </c>
      <c r="R31" s="275">
        <v>0.6</v>
      </c>
    </row>
    <row r="32" spans="1:19" s="265" customFormat="1" x14ac:dyDescent="0.2">
      <c r="E32" s="273" t="str">
        <v>Spare MHz</v>
      </c>
      <c r="G32" s="277">
        <v>0</v>
      </c>
      <c r="H32" s="277">
        <v>0</v>
      </c>
      <c r="I32" s="277">
        <v>0</v>
      </c>
      <c r="J32" s="277">
        <v>0</v>
      </c>
      <c r="K32" s="277">
        <v>0</v>
      </c>
      <c r="L32" s="277">
        <v>0</v>
      </c>
      <c r="M32" s="277">
        <v>0</v>
      </c>
      <c r="N32" s="277">
        <v>0</v>
      </c>
      <c r="O32" s="277">
        <v>0</v>
      </c>
      <c r="P32" s="277">
        <v>0</v>
      </c>
      <c r="R32" s="277">
        <v>0</v>
      </c>
    </row>
    <row r="33" spans="2:16" s="265" customFormat="1" x14ac:dyDescent="0.2"/>
    <row r="34" spans="2:16" x14ac:dyDescent="0.2">
      <c r="C34" s="268" t="s">
        <v>270</v>
      </c>
      <c r="G34" s="278">
        <v>2.6</v>
      </c>
      <c r="H34" s="265"/>
    </row>
    <row r="36" spans="2:16" x14ac:dyDescent="0.2">
      <c r="C36" s="268" t="s">
        <v>866</v>
      </c>
    </row>
    <row r="37" spans="2:16" customFormat="1" x14ac:dyDescent="0.2"/>
    <row r="38" spans="2:16" x14ac:dyDescent="0.2">
      <c r="E38" s="273" t="str">
        <f t="array" ref="E38:E42">Frequencies2&amp;" MHz"</f>
        <v>850 MHz</v>
      </c>
      <c r="G38" s="279">
        <f t="array" ref="G38:P42">G28:P32^2*G34</f>
        <v>4.8799400000000004</v>
      </c>
      <c r="H38" s="279">
        <v>113.25599999999999</v>
      </c>
      <c r="I38" s="279">
        <v>406.25</v>
      </c>
      <c r="J38" s="279">
        <v>509.6</v>
      </c>
      <c r="K38" s="279">
        <v>2.6</v>
      </c>
      <c r="L38" s="279">
        <v>0</v>
      </c>
      <c r="M38" s="279">
        <v>0</v>
      </c>
      <c r="N38" s="279">
        <v>0</v>
      </c>
      <c r="O38" s="279">
        <v>0</v>
      </c>
      <c r="P38" s="279">
        <v>0</v>
      </c>
    </row>
    <row r="39" spans="2:16" x14ac:dyDescent="0.2">
      <c r="E39" s="273" t="str">
        <v>900 MHz</v>
      </c>
      <c r="G39" s="279">
        <v>4.8799400000000004</v>
      </c>
      <c r="H39" s="279">
        <v>113.25599999999999</v>
      </c>
      <c r="I39" s="279">
        <v>406.25</v>
      </c>
      <c r="J39" s="279">
        <v>509.6</v>
      </c>
      <c r="K39" s="279">
        <v>2.6</v>
      </c>
      <c r="L39" s="279">
        <v>0</v>
      </c>
      <c r="M39" s="279">
        <v>0</v>
      </c>
      <c r="N39" s="279">
        <v>0</v>
      </c>
      <c r="O39" s="279">
        <v>0</v>
      </c>
      <c r="P39" s="279">
        <v>0</v>
      </c>
    </row>
    <row r="40" spans="2:16" x14ac:dyDescent="0.2">
      <c r="E40" s="273" t="str">
        <v>1900 MHz</v>
      </c>
      <c r="G40" s="279">
        <v>3.5257566500000008</v>
      </c>
      <c r="H40" s="279">
        <v>81.827459999999988</v>
      </c>
      <c r="I40" s="279">
        <v>293.515625</v>
      </c>
      <c r="J40" s="279">
        <v>368.18600000000004</v>
      </c>
      <c r="K40" s="279">
        <v>1.8784999999999998</v>
      </c>
      <c r="L40" s="279">
        <v>0</v>
      </c>
      <c r="M40" s="279">
        <v>0</v>
      </c>
      <c r="N40" s="279">
        <v>0</v>
      </c>
      <c r="O40" s="279">
        <v>0</v>
      </c>
      <c r="P40" s="279">
        <v>0</v>
      </c>
    </row>
    <row r="41" spans="2:16" x14ac:dyDescent="0.2">
      <c r="E41" s="273" t="str">
        <v>1700/2100 (AWS) MHz</v>
      </c>
      <c r="G41" s="279">
        <v>1.7567784000000002</v>
      </c>
      <c r="H41" s="279">
        <v>40.772159999999992</v>
      </c>
      <c r="I41" s="279">
        <v>146.25</v>
      </c>
      <c r="J41" s="279">
        <v>183.45600000000002</v>
      </c>
      <c r="K41" s="279">
        <v>0.93599999999999994</v>
      </c>
      <c r="L41" s="279">
        <v>0</v>
      </c>
      <c r="M41" s="279">
        <v>0</v>
      </c>
      <c r="N41" s="279">
        <v>0</v>
      </c>
      <c r="O41" s="279">
        <v>0</v>
      </c>
      <c r="P41" s="279">
        <v>0</v>
      </c>
    </row>
    <row r="42" spans="2:16" x14ac:dyDescent="0.2">
      <c r="E42" s="273" t="str">
        <v>Spare MHz</v>
      </c>
      <c r="G42" s="279">
        <v>0</v>
      </c>
      <c r="H42" s="279">
        <v>0</v>
      </c>
      <c r="I42" s="279">
        <v>0</v>
      </c>
      <c r="J42" s="279">
        <v>0</v>
      </c>
      <c r="K42" s="279">
        <v>0</v>
      </c>
      <c r="L42" s="279">
        <v>0</v>
      </c>
      <c r="M42" s="279">
        <v>0</v>
      </c>
      <c r="N42" s="279">
        <v>0</v>
      </c>
      <c r="O42" s="279">
        <v>0</v>
      </c>
      <c r="P42" s="279">
        <v>0</v>
      </c>
    </row>
    <row r="45" spans="2:16" ht="15.75" x14ac:dyDescent="0.2">
      <c r="B45" s="267" t="s">
        <v>994</v>
      </c>
      <c r="G45" s="265"/>
    </row>
    <row r="46" spans="2:16" s="265" customFormat="1" x14ac:dyDescent="0.2"/>
    <row r="47" spans="2:16" x14ac:dyDescent="0.2">
      <c r="C47" s="280" t="s">
        <v>995</v>
      </c>
      <c r="G47" s="264" t="str">
        <f t="array" ref="G47:P47">TRANSPOSE(Geotypes)</f>
        <v>Muy denso</v>
      </c>
      <c r="H47" s="264" t="str">
        <v>Denso</v>
      </c>
      <c r="I47" s="264" t="str">
        <v>Poco denso</v>
      </c>
      <c r="J47" s="264" t="str">
        <v>Otro</v>
      </c>
      <c r="K47" s="264" t="str">
        <v>Microceldas</v>
      </c>
      <c r="L47" s="264" t="str">
        <v>spare</v>
      </c>
      <c r="M47" s="264" t="str">
        <v>spare</v>
      </c>
      <c r="N47" s="264" t="str">
        <v>spare</v>
      </c>
      <c r="O47" s="264" t="str">
        <v>spare</v>
      </c>
      <c r="P47" s="264" t="str">
        <v>spare</v>
      </c>
    </row>
    <row r="48" spans="2:16" x14ac:dyDescent="0.2">
      <c r="C48" s="280"/>
    </row>
    <row r="49" spans="2:17" x14ac:dyDescent="0.2">
      <c r="C49" s="280"/>
      <c r="D49" s="268" t="s">
        <v>118</v>
      </c>
      <c r="G49" s="273">
        <f t="array" ref="G49:P49">TRANSPOSE(CTRL.spectrum.coverage.GSM)</f>
        <v>850</v>
      </c>
      <c r="H49" s="273">
        <v>850</v>
      </c>
      <c r="I49" s="273">
        <v>850</v>
      </c>
      <c r="J49" s="273">
        <v>850</v>
      </c>
      <c r="K49" s="273">
        <v>850</v>
      </c>
      <c r="L49" s="273" t="str">
        <v>Spare</v>
      </c>
      <c r="M49" s="273" t="str">
        <v>Spare</v>
      </c>
      <c r="N49" s="273" t="str">
        <v>Spare</v>
      </c>
      <c r="O49" s="273" t="str">
        <v>Spare</v>
      </c>
      <c r="P49" s="273" t="str">
        <v>Spare</v>
      </c>
    </row>
    <row r="51" spans="2:17" x14ac:dyDescent="0.2">
      <c r="C51" s="280"/>
      <c r="D51" s="268" t="s">
        <v>117</v>
      </c>
      <c r="G51" s="273">
        <f t="array" ref="G51:P51">TRANSPOSE(CTRL.spectrum.coverage.UMTS)</f>
        <v>850</v>
      </c>
      <c r="H51" s="273">
        <v>850</v>
      </c>
      <c r="I51" s="273">
        <v>850</v>
      </c>
      <c r="J51" s="273">
        <v>850</v>
      </c>
      <c r="K51" s="273">
        <v>850</v>
      </c>
      <c r="L51" s="273" t="str">
        <v>Spare</v>
      </c>
      <c r="M51" s="273" t="str">
        <v>Spare</v>
      </c>
      <c r="N51" s="273" t="str">
        <v>Spare</v>
      </c>
      <c r="O51" s="273" t="str">
        <v>Spare</v>
      </c>
      <c r="P51" s="273" t="str">
        <v>Spare</v>
      </c>
    </row>
    <row r="52" spans="2:17" x14ac:dyDescent="0.2">
      <c r="G52" s="265"/>
      <c r="H52" s="265"/>
      <c r="I52" s="265"/>
      <c r="J52" s="265"/>
      <c r="K52" s="265"/>
      <c r="L52" s="265"/>
      <c r="M52" s="265"/>
      <c r="N52" s="265"/>
      <c r="O52" s="265"/>
      <c r="P52" s="265"/>
    </row>
    <row r="53" spans="2:17" x14ac:dyDescent="0.2">
      <c r="C53" s="280"/>
      <c r="D53" s="268" t="s">
        <v>421</v>
      </c>
      <c r="G53" s="273" t="str">
        <f t="array" ref="G53:P53">TRANSPOSE(CTRL.spectrum.coverage.LTE)</f>
        <v>1700/2100 (AWS)</v>
      </c>
      <c r="H53" s="273" t="str">
        <v>1700/2100 (AWS)</v>
      </c>
      <c r="I53" s="273" t="str">
        <v>1700/2100 (AWS)</v>
      </c>
      <c r="J53" s="273" t="str">
        <v>1700/2100 (AWS)</v>
      </c>
      <c r="K53" s="273" t="str">
        <v>1700/2100 (AWS)</v>
      </c>
      <c r="L53" s="273" t="str">
        <v>1700/2100 (AWS)</v>
      </c>
      <c r="M53" s="273" t="str">
        <v>1700/2100 (AWS)</v>
      </c>
      <c r="N53" s="273" t="str">
        <v>1700/2100 (AWS)</v>
      </c>
      <c r="O53" s="273" t="str">
        <v>1700/2100 (AWS)</v>
      </c>
      <c r="P53" s="273" t="str">
        <v>1700/2100 (AWS)</v>
      </c>
    </row>
    <row r="55" spans="2:17" x14ac:dyDescent="0.2">
      <c r="C55" s="268" t="s">
        <v>996</v>
      </c>
    </row>
    <row r="57" spans="2:17" x14ac:dyDescent="0.2">
      <c r="D57" s="268" t="s">
        <v>118</v>
      </c>
      <c r="G57" s="281">
        <f t="shared" ref="G57:P57" si="2">INDEX(G$38:G$42,MATCH(G49,Frequencies2,0),)</f>
        <v>4.8799400000000004</v>
      </c>
      <c r="H57" s="281">
        <f t="shared" si="2"/>
        <v>113.25599999999999</v>
      </c>
      <c r="I57" s="281">
        <f t="shared" si="2"/>
        <v>406.25</v>
      </c>
      <c r="J57" s="281">
        <f t="shared" si="2"/>
        <v>509.6</v>
      </c>
      <c r="K57" s="281">
        <f t="shared" si="2"/>
        <v>2.6</v>
      </c>
      <c r="L57" s="281">
        <f t="shared" si="2"/>
        <v>0</v>
      </c>
      <c r="M57" s="281">
        <f t="shared" si="2"/>
        <v>0</v>
      </c>
      <c r="N57" s="281">
        <f t="shared" si="2"/>
        <v>0</v>
      </c>
      <c r="O57" s="281">
        <f t="shared" si="2"/>
        <v>0</v>
      </c>
      <c r="P57" s="281">
        <f t="shared" si="2"/>
        <v>0</v>
      </c>
      <c r="Q57" s="270" t="s">
        <v>269</v>
      </c>
    </row>
    <row r="58" spans="2:17" x14ac:dyDescent="0.2">
      <c r="G58" s="281"/>
      <c r="H58" s="281"/>
      <c r="I58" s="281"/>
      <c r="J58" s="281"/>
      <c r="K58" s="265"/>
      <c r="L58" s="281"/>
      <c r="M58" s="281"/>
      <c r="N58" s="281"/>
      <c r="O58" s="281"/>
      <c r="P58" s="281"/>
    </row>
    <row r="59" spans="2:17" x14ac:dyDescent="0.2">
      <c r="D59" s="268" t="s">
        <v>117</v>
      </c>
      <c r="G59" s="281">
        <f t="shared" ref="G59:P59" si="3">INDEX(G$38:G$42,MATCH(G51,Frequencies2,0),)</f>
        <v>4.8799400000000004</v>
      </c>
      <c r="H59" s="281">
        <f t="shared" si="3"/>
        <v>113.25599999999999</v>
      </c>
      <c r="I59" s="281">
        <f t="shared" si="3"/>
        <v>406.25</v>
      </c>
      <c r="J59" s="281">
        <f t="shared" si="3"/>
        <v>509.6</v>
      </c>
      <c r="K59" s="281">
        <f t="shared" si="3"/>
        <v>2.6</v>
      </c>
      <c r="L59" s="281">
        <f t="shared" si="3"/>
        <v>0</v>
      </c>
      <c r="M59" s="281">
        <f t="shared" si="3"/>
        <v>0</v>
      </c>
      <c r="N59" s="281">
        <f t="shared" si="3"/>
        <v>0</v>
      </c>
      <c r="O59" s="281">
        <f t="shared" si="3"/>
        <v>0</v>
      </c>
      <c r="P59" s="281">
        <f t="shared" si="3"/>
        <v>0</v>
      </c>
      <c r="Q59" s="270" t="s">
        <v>268</v>
      </c>
    </row>
    <row r="60" spans="2:17" x14ac:dyDescent="0.2">
      <c r="G60" s="281"/>
      <c r="H60" s="281"/>
      <c r="I60" s="281"/>
      <c r="J60" s="281"/>
      <c r="K60" s="281"/>
      <c r="L60" s="281"/>
      <c r="M60" s="281"/>
      <c r="N60" s="281"/>
      <c r="O60" s="281"/>
      <c r="P60" s="281"/>
    </row>
    <row r="61" spans="2:17" x14ac:dyDescent="0.2">
      <c r="D61" s="268" t="s">
        <v>421</v>
      </c>
      <c r="G61" s="281">
        <f t="shared" ref="G61:P61" si="4">INDEX(G$38:G$42,MATCH(G53,Frequencies2,0),)</f>
        <v>1.7567784000000002</v>
      </c>
      <c r="H61" s="281">
        <f t="shared" si="4"/>
        <v>40.772159999999992</v>
      </c>
      <c r="I61" s="281">
        <f t="shared" si="4"/>
        <v>146.25</v>
      </c>
      <c r="J61" s="281">
        <f t="shared" si="4"/>
        <v>183.45600000000002</v>
      </c>
      <c r="K61" s="281">
        <f t="shared" si="4"/>
        <v>0.93599999999999994</v>
      </c>
      <c r="L61" s="281">
        <f t="shared" si="4"/>
        <v>0</v>
      </c>
      <c r="M61" s="281">
        <f t="shared" si="4"/>
        <v>0</v>
      </c>
      <c r="N61" s="281">
        <f t="shared" si="4"/>
        <v>0</v>
      </c>
      <c r="O61" s="281">
        <f t="shared" si="4"/>
        <v>0</v>
      </c>
      <c r="P61" s="281">
        <f t="shared" si="4"/>
        <v>0</v>
      </c>
      <c r="Q61" s="270" t="s">
        <v>472</v>
      </c>
    </row>
    <row r="64" spans="2:17" ht="15.75" x14ac:dyDescent="0.2">
      <c r="B64" s="267" t="s">
        <v>997</v>
      </c>
      <c r="G64" s="265"/>
    </row>
    <row r="65" spans="1:20" s="265" customFormat="1" x14ac:dyDescent="0.2"/>
    <row r="66" spans="1:20" x14ac:dyDescent="0.2">
      <c r="A66" s="265"/>
      <c r="B66" s="265"/>
      <c r="C66" s="280" t="s">
        <v>1612</v>
      </c>
      <c r="G66" s="264" t="str">
        <f t="array" ref="G66:P66">TRANSPOSE(Geotypes)</f>
        <v>Muy denso</v>
      </c>
      <c r="H66" s="264" t="str">
        <v>Denso</v>
      </c>
      <c r="I66" s="264" t="str">
        <v>Poco denso</v>
      </c>
      <c r="J66" s="264" t="str">
        <v>Otro</v>
      </c>
      <c r="K66" s="264" t="str">
        <v>Microceldas</v>
      </c>
      <c r="L66" s="264" t="str">
        <v>spare</v>
      </c>
      <c r="M66" s="264" t="str">
        <v>spare</v>
      </c>
      <c r="N66" s="264" t="str">
        <v>spare</v>
      </c>
      <c r="O66" s="264" t="str">
        <v>spare</v>
      </c>
      <c r="P66" s="264" t="str">
        <v>spare</v>
      </c>
    </row>
    <row r="67" spans="1:20" x14ac:dyDescent="0.2">
      <c r="A67" s="265"/>
      <c r="C67" s="280"/>
    </row>
    <row r="68" spans="1:20" x14ac:dyDescent="0.2">
      <c r="A68" s="265"/>
      <c r="C68" s="280"/>
      <c r="D68" s="268" t="s">
        <v>118</v>
      </c>
      <c r="G68" s="273">
        <f t="array" ref="G68:P68">TRANSPOSE(CTRL.spectrum.capacity.GSM)</f>
        <v>1900</v>
      </c>
      <c r="H68" s="273">
        <v>1900</v>
      </c>
      <c r="I68" s="273">
        <v>1900</v>
      </c>
      <c r="J68" s="273">
        <v>1900</v>
      </c>
      <c r="K68" s="273">
        <v>1900</v>
      </c>
      <c r="L68" s="273" t="str">
        <v>Spare</v>
      </c>
      <c r="M68" s="273" t="str">
        <v>Spare</v>
      </c>
      <c r="N68" s="273" t="str">
        <v>Spare</v>
      </c>
      <c r="O68" s="273" t="str">
        <v>Spare</v>
      </c>
      <c r="P68" s="273" t="str">
        <v>Spare</v>
      </c>
    </row>
    <row r="69" spans="1:20" x14ac:dyDescent="0.2">
      <c r="A69" s="265"/>
    </row>
    <row r="70" spans="1:20" x14ac:dyDescent="0.2">
      <c r="A70" s="265"/>
      <c r="C70" s="280"/>
      <c r="D70" s="268" t="s">
        <v>117</v>
      </c>
      <c r="G70" s="273">
        <f t="array" ref="G70:P70">TRANSPOSE(CTRL.spectrum.capacity.UMTS)</f>
        <v>1900</v>
      </c>
      <c r="H70" s="273">
        <v>1900</v>
      </c>
      <c r="I70" s="273">
        <v>1900</v>
      </c>
      <c r="J70" s="273">
        <v>1900</v>
      </c>
      <c r="K70" s="273">
        <v>1900</v>
      </c>
      <c r="L70" s="273" t="str">
        <v>Spare</v>
      </c>
      <c r="M70" s="273" t="str">
        <v>Spare</v>
      </c>
      <c r="N70" s="273" t="str">
        <v>Spare</v>
      </c>
      <c r="O70" s="273" t="str">
        <v>Spare</v>
      </c>
      <c r="P70" s="273" t="str">
        <v>Spare</v>
      </c>
    </row>
    <row r="71" spans="1:20" x14ac:dyDescent="0.2">
      <c r="A71" s="265"/>
      <c r="G71" s="265"/>
      <c r="H71" s="265"/>
      <c r="I71" s="265"/>
      <c r="J71" s="265"/>
      <c r="K71" s="265"/>
      <c r="L71" s="265"/>
      <c r="M71" s="265"/>
      <c r="N71" s="265"/>
      <c r="O71" s="265"/>
      <c r="P71" s="265"/>
    </row>
    <row r="72" spans="1:20" x14ac:dyDescent="0.2">
      <c r="A72" s="265"/>
      <c r="C72" s="280"/>
      <c r="D72" s="268" t="s">
        <v>421</v>
      </c>
      <c r="E72" s="263" t="s">
        <v>998</v>
      </c>
      <c r="G72" s="273" t="str">
        <f t="array" ref="G72:P72">TRANSPOSE(CTRL.spectrum.capacity.LTE.first.band)</f>
        <v>Spare</v>
      </c>
      <c r="H72" s="273" t="str">
        <v>Spare</v>
      </c>
      <c r="I72" s="273" t="str">
        <v>Spare</v>
      </c>
      <c r="J72" s="273" t="str">
        <v>Spare</v>
      </c>
      <c r="K72" s="273" t="str">
        <v>Spare</v>
      </c>
      <c r="L72" s="273" t="str">
        <v>Spare</v>
      </c>
      <c r="M72" s="273" t="str">
        <v>Spare</v>
      </c>
      <c r="N72" s="273" t="str">
        <v>Spare</v>
      </c>
      <c r="O72" s="273" t="str">
        <v>Spare</v>
      </c>
      <c r="P72" s="273" t="str">
        <v>Spare</v>
      </c>
    </row>
    <row r="73" spans="1:20" x14ac:dyDescent="0.2">
      <c r="A73" s="265"/>
      <c r="E73" s="263" t="s">
        <v>999</v>
      </c>
      <c r="G73" s="273" t="str">
        <f t="array" ref="G73:P73">TRANSPOSE(CTRL.spectrum.capacity.LTE.second.band)</f>
        <v>Spare</v>
      </c>
      <c r="H73" s="273" t="str">
        <v>Spare</v>
      </c>
      <c r="I73" s="273" t="str">
        <v>Spare</v>
      </c>
      <c r="J73" s="273" t="str">
        <v>Spare</v>
      </c>
      <c r="K73" s="273" t="str">
        <v>Spare</v>
      </c>
      <c r="L73" s="273" t="str">
        <v>Spare</v>
      </c>
      <c r="M73" s="273" t="str">
        <v>Spare</v>
      </c>
      <c r="N73" s="273" t="str">
        <v>Spare</v>
      </c>
      <c r="O73" s="273" t="str">
        <v>Spare</v>
      </c>
      <c r="P73" s="273" t="str">
        <v>Spare</v>
      </c>
    </row>
    <row r="74" spans="1:20" x14ac:dyDescent="0.2">
      <c r="A74" s="265"/>
      <c r="E74" s="263" t="s">
        <v>1000</v>
      </c>
      <c r="G74" s="273" t="str">
        <f t="array" ref="G74:P74">TRANSPOSE(CTRL.spectrum.capacity.LTE.third.band)</f>
        <v>Spare</v>
      </c>
      <c r="H74" s="273" t="str">
        <v>Spare</v>
      </c>
      <c r="I74" s="273" t="str">
        <v>Spare</v>
      </c>
      <c r="J74" s="273" t="str">
        <v>Spare</v>
      </c>
      <c r="K74" s="273" t="str">
        <v>Spare</v>
      </c>
      <c r="L74" s="273" t="str">
        <v>Spare</v>
      </c>
      <c r="M74" s="273" t="str">
        <v>Spare</v>
      </c>
      <c r="N74" s="273" t="str">
        <v>Spare</v>
      </c>
      <c r="O74" s="273" t="str">
        <v>Spare</v>
      </c>
      <c r="P74" s="273" t="str">
        <v>Spare</v>
      </c>
    </row>
    <row r="75" spans="1:20" x14ac:dyDescent="0.2">
      <c r="E75" s="263" t="s">
        <v>1001</v>
      </c>
      <c r="G75" s="273" t="str">
        <f t="array" ref="G75:P75">TRANSPOSE(CTRL.spectrum.capacity.LTE.fourth.band)</f>
        <v>Spare</v>
      </c>
      <c r="H75" s="273" t="str">
        <v>Spare</v>
      </c>
      <c r="I75" s="273" t="str">
        <v>Spare</v>
      </c>
      <c r="J75" s="273" t="str">
        <v>Spare</v>
      </c>
      <c r="K75" s="273" t="str">
        <v>Spare</v>
      </c>
      <c r="L75" s="273" t="str">
        <v>Spare</v>
      </c>
      <c r="M75" s="273" t="str">
        <v>Spare</v>
      </c>
      <c r="N75" s="273" t="str">
        <v>Spare</v>
      </c>
      <c r="O75" s="273" t="str">
        <v>Spare</v>
      </c>
      <c r="P75" s="273" t="str">
        <v>Spare</v>
      </c>
    </row>
    <row r="76" spans="1:20" x14ac:dyDescent="0.2">
      <c r="E76" s="265"/>
    </row>
    <row r="79" spans="1:20" s="265" customFormat="1" ht="15.75" x14ac:dyDescent="0.2">
      <c r="A79" s="266" t="s">
        <v>1002</v>
      </c>
      <c r="B79" s="266"/>
      <c r="C79" s="266"/>
      <c r="D79" s="266"/>
      <c r="E79" s="266"/>
      <c r="F79" s="266"/>
      <c r="G79" s="266"/>
      <c r="H79" s="266"/>
      <c r="I79" s="266"/>
      <c r="J79" s="266"/>
      <c r="K79" s="266"/>
      <c r="L79" s="266"/>
      <c r="M79" s="266"/>
      <c r="N79" s="266"/>
      <c r="O79" s="266"/>
      <c r="P79" s="266"/>
      <c r="Q79" s="266"/>
      <c r="R79" s="266"/>
      <c r="S79" s="266"/>
      <c r="T79" s="266"/>
    </row>
    <row r="81" spans="1:16" x14ac:dyDescent="0.2">
      <c r="C81" s="268" t="s">
        <v>1003</v>
      </c>
      <c r="G81" s="282">
        <v>1</v>
      </c>
      <c r="H81" s="282">
        <f>1+G81</f>
        <v>2</v>
      </c>
      <c r="I81" s="282">
        <f t="shared" ref="I81:P81" si="5">1+H81</f>
        <v>3</v>
      </c>
      <c r="J81" s="282">
        <f t="shared" si="5"/>
        <v>4</v>
      </c>
      <c r="K81" s="282">
        <f t="shared" si="5"/>
        <v>5</v>
      </c>
      <c r="L81" s="282">
        <f t="shared" si="5"/>
        <v>6</v>
      </c>
      <c r="M81" s="282">
        <f t="shared" si="5"/>
        <v>7</v>
      </c>
      <c r="N81" s="282">
        <f t="shared" si="5"/>
        <v>8</v>
      </c>
      <c r="O81" s="282">
        <f t="shared" si="5"/>
        <v>9</v>
      </c>
      <c r="P81" s="282">
        <f t="shared" si="5"/>
        <v>10</v>
      </c>
    </row>
    <row r="82" spans="1:16" x14ac:dyDescent="0.2">
      <c r="A82" s="265"/>
      <c r="G82" s="264" t="str">
        <f t="array" ref="G82:P82">TRANSPOSE(Geotypes)</f>
        <v>Muy denso</v>
      </c>
      <c r="H82" s="264" t="str">
        <v>Denso</v>
      </c>
      <c r="I82" s="264" t="str">
        <v>Poco denso</v>
      </c>
      <c r="J82" s="264" t="str">
        <v>Otro</v>
      </c>
      <c r="K82" s="264" t="str">
        <v>Microceldas</v>
      </c>
      <c r="L82" s="264" t="str">
        <v>spare</v>
      </c>
      <c r="M82" s="264" t="str">
        <v>spare</v>
      </c>
      <c r="N82" s="264" t="str">
        <v>spare</v>
      </c>
      <c r="O82" s="264" t="str">
        <v>spare</v>
      </c>
      <c r="P82" s="264" t="str">
        <v>spare</v>
      </c>
    </row>
    <row r="83" spans="1:16" s="265" customFormat="1" x14ac:dyDescent="0.2">
      <c r="D83" s="268" t="s">
        <v>1004</v>
      </c>
    </row>
    <row r="84" spans="1:16" customFormat="1" x14ac:dyDescent="0.2"/>
    <row r="85" spans="1:16" s="265" customFormat="1" x14ac:dyDescent="0.2">
      <c r="E85" s="273">
        <f t="array" ref="E85:E89">Frequencies2</f>
        <v>850</v>
      </c>
      <c r="G85" s="283">
        <f t="array" ref="G85:P85">TRANSPOSE(CTRL.spectrum.available.second.band)</f>
        <v>12.5</v>
      </c>
      <c r="H85" s="283">
        <v>12.5</v>
      </c>
      <c r="I85" s="283">
        <v>12.5</v>
      </c>
      <c r="J85" s="283">
        <v>12.5</v>
      </c>
      <c r="K85" s="283">
        <v>12.5</v>
      </c>
      <c r="L85" s="283">
        <v>0</v>
      </c>
      <c r="M85" s="283">
        <v>0</v>
      </c>
      <c r="N85" s="283">
        <v>0</v>
      </c>
      <c r="O85" s="283">
        <v>0</v>
      </c>
      <c r="P85" s="283">
        <v>0</v>
      </c>
    </row>
    <row r="86" spans="1:16" s="265" customFormat="1" x14ac:dyDescent="0.2">
      <c r="E86" s="273">
        <v>900</v>
      </c>
      <c r="G86" s="283">
        <f t="array" ref="G86:P86">TRANSPOSE(CTRL.spectrum.available.third.band)</f>
        <v>0</v>
      </c>
      <c r="H86" s="283">
        <v>0</v>
      </c>
      <c r="I86" s="283">
        <v>0</v>
      </c>
      <c r="J86" s="283">
        <v>0</v>
      </c>
      <c r="K86" s="283">
        <v>0</v>
      </c>
      <c r="L86" s="283">
        <v>0</v>
      </c>
      <c r="M86" s="283">
        <v>0</v>
      </c>
      <c r="N86" s="283">
        <v>0</v>
      </c>
      <c r="O86" s="283">
        <v>0</v>
      </c>
      <c r="P86" s="283">
        <v>0</v>
      </c>
    </row>
    <row r="87" spans="1:16" s="265" customFormat="1" x14ac:dyDescent="0.2">
      <c r="E87" s="273">
        <v>1900</v>
      </c>
      <c r="G87" s="283">
        <f t="array" ref="G87:P87">TRANSPOSE(CTRL.spectrum.available.fourth.band)</f>
        <v>20</v>
      </c>
      <c r="H87" s="283">
        <v>20</v>
      </c>
      <c r="I87" s="283">
        <v>20</v>
      </c>
      <c r="J87" s="283">
        <v>20</v>
      </c>
      <c r="K87" s="283">
        <v>20</v>
      </c>
      <c r="L87" s="283">
        <v>0</v>
      </c>
      <c r="M87" s="283">
        <v>0</v>
      </c>
      <c r="N87" s="283">
        <v>0</v>
      </c>
      <c r="O87" s="283">
        <v>0</v>
      </c>
      <c r="P87" s="283">
        <v>0</v>
      </c>
    </row>
    <row r="88" spans="1:16" s="265" customFormat="1" x14ac:dyDescent="0.2">
      <c r="E88" s="273" t="str">
        <v>1700/2100 (AWS)</v>
      </c>
      <c r="G88" s="284">
        <f t="array" ref="G88:P88">TRANSPOSE(CTRL.spectrum.available.fifth.band)</f>
        <v>12.5</v>
      </c>
      <c r="H88" s="283">
        <v>12.5</v>
      </c>
      <c r="I88" s="283">
        <v>12.5</v>
      </c>
      <c r="J88" s="283">
        <v>12.5</v>
      </c>
      <c r="K88" s="283">
        <v>12.5</v>
      </c>
      <c r="L88" s="283">
        <v>0</v>
      </c>
      <c r="M88" s="283">
        <v>0</v>
      </c>
      <c r="N88" s="283">
        <v>0</v>
      </c>
      <c r="O88" s="283">
        <v>0</v>
      </c>
      <c r="P88" s="283">
        <v>0</v>
      </c>
    </row>
    <row r="89" spans="1:16" s="265" customFormat="1" x14ac:dyDescent="0.2">
      <c r="E89" s="273" t="str">
        <v>Spare</v>
      </c>
      <c r="G89" s="283">
        <f t="array" ref="G89:P89">TRANSPOSE(CTRL.spectrum.available.sixth.band)</f>
        <v>0</v>
      </c>
      <c r="H89" s="283">
        <v>0</v>
      </c>
      <c r="I89" s="283">
        <v>0</v>
      </c>
      <c r="J89" s="283">
        <v>0</v>
      </c>
      <c r="K89" s="283">
        <v>0</v>
      </c>
      <c r="L89" s="283">
        <v>0</v>
      </c>
      <c r="M89" s="283">
        <v>0</v>
      </c>
      <c r="N89" s="283">
        <v>0</v>
      </c>
      <c r="O89" s="283">
        <v>0</v>
      </c>
      <c r="P89" s="283">
        <v>0</v>
      </c>
    </row>
    <row r="90" spans="1:16" s="265" customFormat="1" x14ac:dyDescent="0.2"/>
    <row r="91" spans="1:16" s="265" customFormat="1" x14ac:dyDescent="0.2">
      <c r="D91" s="268" t="s">
        <v>1005</v>
      </c>
    </row>
    <row r="92" spans="1:16" customFormat="1" x14ac:dyDescent="0.2"/>
    <row r="93" spans="1:16" s="265" customFormat="1" x14ac:dyDescent="0.2">
      <c r="E93" s="273">
        <f t="array" ref="E93:E97">Frequencies2</f>
        <v>850</v>
      </c>
      <c r="G93" s="283">
        <f t="array" ref="G93:P93">TRANSPOSE(CTRL.spectrum.second.band.used.for.2G)</f>
        <v>5</v>
      </c>
      <c r="H93" s="283">
        <v>5</v>
      </c>
      <c r="I93" s="283">
        <v>5</v>
      </c>
      <c r="J93" s="283">
        <v>5</v>
      </c>
      <c r="K93" s="283">
        <v>5</v>
      </c>
      <c r="L93" s="283">
        <v>0</v>
      </c>
      <c r="M93" s="283">
        <v>0</v>
      </c>
      <c r="N93" s="283">
        <v>0</v>
      </c>
      <c r="O93" s="283">
        <v>0</v>
      </c>
      <c r="P93" s="283">
        <v>0</v>
      </c>
    </row>
    <row r="94" spans="1:16" s="265" customFormat="1" x14ac:dyDescent="0.2">
      <c r="E94" s="273">
        <v>900</v>
      </c>
      <c r="G94" s="283">
        <f t="array" ref="G94:P94">TRANSPOSE(CTRL.spectrum.third.band.used.for.2G)</f>
        <v>0</v>
      </c>
      <c r="H94" s="283">
        <v>0</v>
      </c>
      <c r="I94" s="283">
        <v>0</v>
      </c>
      <c r="J94" s="283">
        <v>0</v>
      </c>
      <c r="K94" s="283">
        <v>0</v>
      </c>
      <c r="L94" s="283">
        <v>0</v>
      </c>
      <c r="M94" s="283">
        <v>0</v>
      </c>
      <c r="N94" s="283">
        <v>0</v>
      </c>
      <c r="O94" s="283">
        <v>0</v>
      </c>
      <c r="P94" s="283">
        <v>0</v>
      </c>
    </row>
    <row r="95" spans="1:16" s="265" customFormat="1" x14ac:dyDescent="0.2">
      <c r="E95" s="273">
        <v>1900</v>
      </c>
      <c r="G95" s="283">
        <f t="array" ref="G95:P95">TRANSPOSE(CTRL.spectrum.fourth.band.used.for.2G)</f>
        <v>10</v>
      </c>
      <c r="H95" s="283">
        <v>10</v>
      </c>
      <c r="I95" s="283">
        <v>10</v>
      </c>
      <c r="J95" s="283">
        <v>10</v>
      </c>
      <c r="K95" s="283">
        <v>10</v>
      </c>
      <c r="L95" s="283">
        <v>0</v>
      </c>
      <c r="M95" s="283">
        <v>0</v>
      </c>
      <c r="N95" s="283">
        <v>0</v>
      </c>
      <c r="O95" s="283">
        <v>0</v>
      </c>
      <c r="P95" s="283">
        <v>0</v>
      </c>
    </row>
    <row r="96" spans="1:16" s="265" customFormat="1" x14ac:dyDescent="0.2">
      <c r="E96" s="273" t="str">
        <v>1700/2100 (AWS)</v>
      </c>
      <c r="G96" s="285">
        <v>0</v>
      </c>
      <c r="H96" s="285">
        <v>0</v>
      </c>
      <c r="I96" s="285">
        <v>0</v>
      </c>
      <c r="J96" s="285">
        <v>0</v>
      </c>
      <c r="K96" s="285">
        <v>0</v>
      </c>
      <c r="L96" s="285">
        <v>0</v>
      </c>
      <c r="M96" s="285">
        <v>0</v>
      </c>
      <c r="N96" s="285">
        <v>0</v>
      </c>
      <c r="O96" s="285">
        <v>0</v>
      </c>
      <c r="P96" s="285">
        <v>0</v>
      </c>
    </row>
    <row r="97" spans="4:16" s="265" customFormat="1" x14ac:dyDescent="0.2">
      <c r="E97" s="273" t="str">
        <v>Spare</v>
      </c>
      <c r="G97" s="285">
        <v>0</v>
      </c>
      <c r="H97" s="285">
        <v>0</v>
      </c>
      <c r="I97" s="285">
        <v>0</v>
      </c>
      <c r="J97" s="285">
        <v>0</v>
      </c>
      <c r="K97" s="285">
        <v>0</v>
      </c>
      <c r="L97" s="285">
        <v>0</v>
      </c>
      <c r="M97" s="285">
        <v>0</v>
      </c>
      <c r="N97" s="285">
        <v>0</v>
      </c>
      <c r="O97" s="285">
        <v>0</v>
      </c>
      <c r="P97" s="285">
        <v>0</v>
      </c>
    </row>
    <row r="98" spans="4:16" s="265" customFormat="1" x14ac:dyDescent="0.2"/>
    <row r="99" spans="4:16" s="265" customFormat="1" x14ac:dyDescent="0.2">
      <c r="D99" s="268" t="s">
        <v>1006</v>
      </c>
    </row>
    <row r="100" spans="4:16" customFormat="1" x14ac:dyDescent="0.2"/>
    <row r="101" spans="4:16" s="265" customFormat="1" x14ac:dyDescent="0.2">
      <c r="E101" s="273">
        <f t="array" ref="E101:E105">Frequencies2</f>
        <v>850</v>
      </c>
      <c r="G101" s="283">
        <f t="array" ref="G101:P101">TRANSPOSE(CTRL.spectrum.second.band.used.for.3G)</f>
        <v>7.5</v>
      </c>
      <c r="H101" s="283">
        <v>7.5</v>
      </c>
      <c r="I101" s="283">
        <v>7.5</v>
      </c>
      <c r="J101" s="283">
        <v>7.5</v>
      </c>
      <c r="K101" s="283">
        <v>7.5</v>
      </c>
      <c r="L101" s="283">
        <v>0</v>
      </c>
      <c r="M101" s="283">
        <v>0</v>
      </c>
      <c r="N101" s="283">
        <v>0</v>
      </c>
      <c r="O101" s="283">
        <v>0</v>
      </c>
      <c r="P101" s="283">
        <v>0</v>
      </c>
    </row>
    <row r="102" spans="4:16" s="265" customFormat="1" x14ac:dyDescent="0.2">
      <c r="E102" s="273">
        <v>900</v>
      </c>
      <c r="G102" s="283">
        <f t="array" ref="G102:P102">TRANSPOSE(CTRL.spectrum.third.band.used.for.3G)</f>
        <v>0</v>
      </c>
      <c r="H102" s="283">
        <v>0</v>
      </c>
      <c r="I102" s="283">
        <v>0</v>
      </c>
      <c r="J102" s="283">
        <v>0</v>
      </c>
      <c r="K102" s="283">
        <v>0</v>
      </c>
      <c r="L102" s="283">
        <v>0</v>
      </c>
      <c r="M102" s="283">
        <v>0</v>
      </c>
      <c r="N102" s="283">
        <v>0</v>
      </c>
      <c r="O102" s="283">
        <v>0</v>
      </c>
      <c r="P102" s="283">
        <v>0</v>
      </c>
    </row>
    <row r="103" spans="4:16" s="265" customFormat="1" x14ac:dyDescent="0.2">
      <c r="E103" s="273">
        <v>1900</v>
      </c>
      <c r="G103" s="283">
        <f t="array" ref="G103:P103">TRANSPOSE(CTRL.spectrum.fourth.band.used.for.3G)</f>
        <v>10</v>
      </c>
      <c r="H103" s="283">
        <v>10</v>
      </c>
      <c r="I103" s="283">
        <v>10</v>
      </c>
      <c r="J103" s="283">
        <v>10</v>
      </c>
      <c r="K103" s="283">
        <v>10</v>
      </c>
      <c r="L103" s="283">
        <v>0</v>
      </c>
      <c r="M103" s="283">
        <v>0</v>
      </c>
      <c r="N103" s="283">
        <v>0</v>
      </c>
      <c r="O103" s="283">
        <v>0</v>
      </c>
      <c r="P103" s="283">
        <v>0</v>
      </c>
    </row>
    <row r="104" spans="4:16" s="265" customFormat="1" x14ac:dyDescent="0.2">
      <c r="E104" s="273" t="str">
        <v>1700/2100 (AWS)</v>
      </c>
      <c r="G104" s="285">
        <v>0</v>
      </c>
      <c r="H104" s="285">
        <v>0</v>
      </c>
      <c r="I104" s="285">
        <v>0</v>
      </c>
      <c r="J104" s="285">
        <v>0</v>
      </c>
      <c r="K104" s="285">
        <v>0</v>
      </c>
      <c r="L104" s="285">
        <v>0</v>
      </c>
      <c r="M104" s="285">
        <v>0</v>
      </c>
      <c r="N104" s="285">
        <v>0</v>
      </c>
      <c r="O104" s="285">
        <v>0</v>
      </c>
      <c r="P104" s="285">
        <v>0</v>
      </c>
    </row>
    <row r="105" spans="4:16" s="265" customFormat="1" x14ac:dyDescent="0.2">
      <c r="E105" s="273" t="str">
        <v>Spare</v>
      </c>
      <c r="G105" s="285">
        <v>0</v>
      </c>
      <c r="H105" s="285">
        <v>0</v>
      </c>
      <c r="I105" s="285">
        <v>0</v>
      </c>
      <c r="J105" s="285">
        <v>0</v>
      </c>
      <c r="K105" s="285">
        <v>0</v>
      </c>
      <c r="L105" s="285">
        <v>0</v>
      </c>
      <c r="M105" s="285">
        <v>0</v>
      </c>
      <c r="N105" s="285">
        <v>0</v>
      </c>
      <c r="O105" s="285">
        <v>0</v>
      </c>
      <c r="P105" s="285">
        <v>0</v>
      </c>
    </row>
    <row r="106" spans="4:16" s="265" customFormat="1" x14ac:dyDescent="0.2"/>
    <row r="107" spans="4:16" s="265" customFormat="1" x14ac:dyDescent="0.2">
      <c r="D107" s="268" t="s">
        <v>1007</v>
      </c>
    </row>
    <row r="108" spans="4:16" customFormat="1" x14ac:dyDescent="0.2"/>
    <row r="109" spans="4:16" s="265" customFormat="1" x14ac:dyDescent="0.2">
      <c r="E109" s="273">
        <f t="array" ref="E109:E113">Frequencies2</f>
        <v>850</v>
      </c>
      <c r="G109" s="286">
        <f t="array" ref="G109:P113">G85:P89-(G93:P97+G101:P105)</f>
        <v>0</v>
      </c>
      <c r="H109" s="286">
        <v>0</v>
      </c>
      <c r="I109" s="286">
        <v>0</v>
      </c>
      <c r="J109" s="286">
        <v>0</v>
      </c>
      <c r="K109" s="286">
        <v>0</v>
      </c>
      <c r="L109" s="286">
        <v>0</v>
      </c>
      <c r="M109" s="286">
        <v>0</v>
      </c>
      <c r="N109" s="286">
        <v>0</v>
      </c>
      <c r="O109" s="286">
        <v>0</v>
      </c>
      <c r="P109" s="286">
        <v>0</v>
      </c>
    </row>
    <row r="110" spans="4:16" s="265" customFormat="1" x14ac:dyDescent="0.2">
      <c r="E110" s="273">
        <v>900</v>
      </c>
      <c r="G110" s="286">
        <v>0</v>
      </c>
      <c r="H110" s="286">
        <v>0</v>
      </c>
      <c r="I110" s="286">
        <v>0</v>
      </c>
      <c r="J110" s="286">
        <v>0</v>
      </c>
      <c r="K110" s="286">
        <v>0</v>
      </c>
      <c r="L110" s="286">
        <v>0</v>
      </c>
      <c r="M110" s="286">
        <v>0</v>
      </c>
      <c r="N110" s="286">
        <v>0</v>
      </c>
      <c r="O110" s="286">
        <v>0</v>
      </c>
      <c r="P110" s="286">
        <v>0</v>
      </c>
    </row>
    <row r="111" spans="4:16" s="265" customFormat="1" x14ac:dyDescent="0.2">
      <c r="E111" s="273">
        <v>1900</v>
      </c>
      <c r="G111" s="286">
        <v>0</v>
      </c>
      <c r="H111" s="286">
        <v>0</v>
      </c>
      <c r="I111" s="286">
        <v>0</v>
      </c>
      <c r="J111" s="286">
        <v>0</v>
      </c>
      <c r="K111" s="286">
        <v>0</v>
      </c>
      <c r="L111" s="286">
        <v>0</v>
      </c>
      <c r="M111" s="286">
        <v>0</v>
      </c>
      <c r="N111" s="286">
        <v>0</v>
      </c>
      <c r="O111" s="286">
        <v>0</v>
      </c>
      <c r="P111" s="286">
        <v>0</v>
      </c>
    </row>
    <row r="112" spans="4:16" s="265" customFormat="1" x14ac:dyDescent="0.2">
      <c r="E112" s="273" t="str">
        <v>1700/2100 (AWS)</v>
      </c>
      <c r="G112" s="286">
        <v>12.5</v>
      </c>
      <c r="H112" s="286">
        <v>12.5</v>
      </c>
      <c r="I112" s="286">
        <v>12.5</v>
      </c>
      <c r="J112" s="286">
        <v>12.5</v>
      </c>
      <c r="K112" s="286">
        <v>12.5</v>
      </c>
      <c r="L112" s="286">
        <v>0</v>
      </c>
      <c r="M112" s="286">
        <v>0</v>
      </c>
      <c r="N112" s="286">
        <v>0</v>
      </c>
      <c r="O112" s="286">
        <v>0</v>
      </c>
      <c r="P112" s="286">
        <v>0</v>
      </c>
    </row>
    <row r="113" spans="1:17" s="265" customFormat="1" x14ac:dyDescent="0.2">
      <c r="E113" s="273" t="str">
        <v>Spare</v>
      </c>
      <c r="G113" s="286">
        <v>0</v>
      </c>
      <c r="H113" s="286">
        <v>0</v>
      </c>
      <c r="I113" s="286">
        <v>0</v>
      </c>
      <c r="J113" s="286">
        <v>0</v>
      </c>
      <c r="K113" s="286">
        <v>0</v>
      </c>
      <c r="L113" s="286">
        <v>0</v>
      </c>
      <c r="M113" s="286">
        <v>0</v>
      </c>
      <c r="N113" s="286">
        <v>0</v>
      </c>
      <c r="O113" s="286">
        <v>0</v>
      </c>
      <c r="P113" s="286">
        <v>0</v>
      </c>
    </row>
    <row r="114" spans="1:17" s="265" customFormat="1" x14ac:dyDescent="0.2"/>
    <row r="115" spans="1:17" s="265" customFormat="1" x14ac:dyDescent="0.2"/>
    <row r="116" spans="1:17" x14ac:dyDescent="0.2">
      <c r="A116" s="265"/>
      <c r="D116" s="268" t="s">
        <v>1008</v>
      </c>
      <c r="G116" s="287">
        <f t="array" ref="G116:P116">INDEX(G$93:P$97,MATCH(G49:P49,E$93:E$97,0),G$81:P$81)</f>
        <v>5</v>
      </c>
      <c r="H116" s="287">
        <v>5</v>
      </c>
      <c r="I116" s="287">
        <v>5</v>
      </c>
      <c r="J116" s="287">
        <v>5</v>
      </c>
      <c r="K116" s="287">
        <v>5</v>
      </c>
      <c r="L116" s="287">
        <v>0</v>
      </c>
      <c r="M116" s="287">
        <v>0</v>
      </c>
      <c r="N116" s="287">
        <v>0</v>
      </c>
      <c r="O116" s="287">
        <v>0</v>
      </c>
      <c r="P116" s="287">
        <v>0</v>
      </c>
      <c r="Q116" s="270" t="s">
        <v>267</v>
      </c>
    </row>
    <row r="117" spans="1:17" x14ac:dyDescent="0.2">
      <c r="A117" s="265"/>
      <c r="D117" s="265"/>
      <c r="G117" s="288"/>
      <c r="H117" s="288"/>
      <c r="I117" s="288"/>
      <c r="J117" s="288"/>
      <c r="K117" s="288"/>
      <c r="L117" s="288"/>
      <c r="M117" s="288"/>
      <c r="N117" s="288"/>
      <c r="O117" s="288"/>
      <c r="P117" s="288"/>
    </row>
    <row r="118" spans="1:17" x14ac:dyDescent="0.2">
      <c r="A118" s="265"/>
      <c r="D118" s="268" t="s">
        <v>1009</v>
      </c>
      <c r="G118" s="287">
        <f t="array" ref="G118:P118">INDEX(G$93:P$97,MATCH(G68:P68,E$93:E$97,0),G$81:P$81)</f>
        <v>10</v>
      </c>
      <c r="H118" s="287">
        <v>10</v>
      </c>
      <c r="I118" s="287">
        <v>10</v>
      </c>
      <c r="J118" s="287">
        <v>10</v>
      </c>
      <c r="K118" s="287">
        <v>10</v>
      </c>
      <c r="L118" s="287">
        <v>0</v>
      </c>
      <c r="M118" s="287">
        <v>0</v>
      </c>
      <c r="N118" s="287">
        <v>0</v>
      </c>
      <c r="O118" s="287">
        <v>0</v>
      </c>
      <c r="P118" s="287">
        <v>0</v>
      </c>
      <c r="Q118" s="270" t="s">
        <v>266</v>
      </c>
    </row>
    <row r="119" spans="1:17" x14ac:dyDescent="0.2">
      <c r="A119" s="265"/>
      <c r="D119" s="265"/>
      <c r="G119" s="288"/>
      <c r="H119" s="288"/>
      <c r="I119" s="288"/>
      <c r="J119" s="288"/>
      <c r="K119" s="288"/>
      <c r="L119" s="288"/>
      <c r="M119" s="288"/>
      <c r="N119" s="288"/>
      <c r="O119" s="288"/>
      <c r="P119" s="288"/>
    </row>
    <row r="120" spans="1:17" x14ac:dyDescent="0.2">
      <c r="A120" s="265"/>
      <c r="D120" s="268" t="s">
        <v>1010</v>
      </c>
      <c r="G120" s="287">
        <f t="array" ref="G120:P120">INDEX(G$101:P$105,MATCH(G51:P51,E$101:E$105,0),G$81:P$81)</f>
        <v>7.5</v>
      </c>
      <c r="H120" s="287">
        <v>7.5</v>
      </c>
      <c r="I120" s="287">
        <v>7.5</v>
      </c>
      <c r="J120" s="287">
        <v>7.5</v>
      </c>
      <c r="K120" s="287">
        <v>7.5</v>
      </c>
      <c r="L120" s="287">
        <v>0</v>
      </c>
      <c r="M120" s="287">
        <v>0</v>
      </c>
      <c r="N120" s="287">
        <v>0</v>
      </c>
      <c r="O120" s="287">
        <v>0</v>
      </c>
      <c r="P120" s="287">
        <v>0</v>
      </c>
      <c r="Q120" s="270" t="s">
        <v>265</v>
      </c>
    </row>
    <row r="121" spans="1:17" x14ac:dyDescent="0.2">
      <c r="A121" s="265"/>
      <c r="D121" s="265"/>
      <c r="G121" s="288"/>
      <c r="H121" s="288"/>
      <c r="I121" s="288"/>
      <c r="J121" s="288"/>
      <c r="K121" s="288"/>
      <c r="L121" s="288"/>
      <c r="M121" s="288"/>
      <c r="N121" s="288"/>
      <c r="O121" s="288"/>
      <c r="P121" s="288"/>
    </row>
    <row r="122" spans="1:17" x14ac:dyDescent="0.2">
      <c r="A122" s="265"/>
      <c r="D122" s="268" t="s">
        <v>1011</v>
      </c>
      <c r="G122" s="287">
        <f t="array" ref="G122:P122">IF(ISNA(MATCH(G70:P70,E$101:E$105,0)),0,INDEX(G$101:P$105,MATCH(G70:P70,E$101:E$105,0),G$81:P$81))</f>
        <v>10</v>
      </c>
      <c r="H122" s="287">
        <v>10</v>
      </c>
      <c r="I122" s="287">
        <v>10</v>
      </c>
      <c r="J122" s="287">
        <v>10</v>
      </c>
      <c r="K122" s="287">
        <v>10</v>
      </c>
      <c r="L122" s="287">
        <v>0</v>
      </c>
      <c r="M122" s="287">
        <v>0</v>
      </c>
      <c r="N122" s="287">
        <v>0</v>
      </c>
      <c r="O122" s="287">
        <v>0</v>
      </c>
      <c r="P122" s="287">
        <v>0</v>
      </c>
      <c r="Q122" s="270" t="s">
        <v>264</v>
      </c>
    </row>
    <row r="123" spans="1:17" x14ac:dyDescent="0.2">
      <c r="A123" s="265"/>
      <c r="D123" s="265"/>
      <c r="G123" s="289"/>
      <c r="H123" s="289"/>
      <c r="I123" s="289"/>
      <c r="J123" s="289"/>
      <c r="K123" s="289"/>
      <c r="L123" s="289"/>
      <c r="M123" s="289"/>
      <c r="N123" s="289"/>
      <c r="O123" s="289"/>
      <c r="P123" s="289"/>
    </row>
    <row r="124" spans="1:17" x14ac:dyDescent="0.2">
      <c r="A124" s="265"/>
      <c r="D124" s="268" t="s">
        <v>1012</v>
      </c>
      <c r="G124" s="287">
        <f t="array" ref="G124:P124">INDEX(G$85:P$89,MATCH(G53:P53,E$85:E$89,0),G$81:P$81)</f>
        <v>12.5</v>
      </c>
      <c r="H124" s="287">
        <v>12.5</v>
      </c>
      <c r="I124" s="287">
        <v>12.5</v>
      </c>
      <c r="J124" s="287">
        <v>12.5</v>
      </c>
      <c r="K124" s="287">
        <v>12.5</v>
      </c>
      <c r="L124" s="287">
        <v>0</v>
      </c>
      <c r="M124" s="287">
        <v>0</v>
      </c>
      <c r="N124" s="287">
        <v>0</v>
      </c>
      <c r="O124" s="287">
        <v>0</v>
      </c>
      <c r="P124" s="287">
        <v>0</v>
      </c>
      <c r="Q124" s="270" t="s">
        <v>461</v>
      </c>
    </row>
    <row r="125" spans="1:17" x14ac:dyDescent="0.2">
      <c r="A125" s="265"/>
      <c r="D125" s="265"/>
      <c r="G125" s="288"/>
      <c r="H125" s="288"/>
      <c r="I125" s="288"/>
      <c r="J125" s="288"/>
      <c r="K125" s="288"/>
      <c r="L125" s="288"/>
      <c r="M125" s="288"/>
      <c r="N125" s="288"/>
      <c r="O125" s="288"/>
      <c r="P125" s="288"/>
    </row>
    <row r="126" spans="1:17" x14ac:dyDescent="0.2">
      <c r="A126" s="265"/>
      <c r="D126" s="268" t="s">
        <v>1013</v>
      </c>
      <c r="G126" s="290">
        <f t="array" ref="G126:P126">G127:P127+G128:P128+G129:P129+G130:P130</f>
        <v>0</v>
      </c>
      <c r="H126" s="290">
        <v>0</v>
      </c>
      <c r="I126" s="290">
        <v>0</v>
      </c>
      <c r="J126" s="290">
        <v>0</v>
      </c>
      <c r="K126" s="290">
        <v>0</v>
      </c>
      <c r="L126" s="290">
        <v>0</v>
      </c>
      <c r="M126" s="290">
        <v>0</v>
      </c>
      <c r="N126" s="290">
        <v>0</v>
      </c>
      <c r="O126" s="290">
        <v>0</v>
      </c>
      <c r="P126" s="290">
        <v>0</v>
      </c>
      <c r="Q126" s="270" t="s">
        <v>462</v>
      </c>
    </row>
    <row r="127" spans="1:17" x14ac:dyDescent="0.2">
      <c r="A127" s="265"/>
      <c r="D127" s="265"/>
      <c r="E127" s="263" t="s">
        <v>1613</v>
      </c>
      <c r="G127" s="287">
        <f t="array" ref="G127:P127">IF(ISNA(MATCH(G72:P72,E$109:E$113,0)),0,INDEX(G$109:P$113,MATCH(G72:P72,E$109:E$113,0),G$81:P$81))</f>
        <v>0</v>
      </c>
      <c r="H127" s="287">
        <v>0</v>
      </c>
      <c r="I127" s="287">
        <v>0</v>
      </c>
      <c r="J127" s="287">
        <v>0</v>
      </c>
      <c r="K127" s="287">
        <v>0</v>
      </c>
      <c r="L127" s="287">
        <v>0</v>
      </c>
      <c r="M127" s="287">
        <v>0</v>
      </c>
      <c r="N127" s="287">
        <v>0</v>
      </c>
      <c r="O127" s="287">
        <v>0</v>
      </c>
      <c r="P127" s="287">
        <v>0</v>
      </c>
    </row>
    <row r="128" spans="1:17" x14ac:dyDescent="0.2">
      <c r="A128" s="265"/>
      <c r="D128" s="265"/>
      <c r="E128" s="263" t="s">
        <v>1614</v>
      </c>
      <c r="G128" s="287">
        <f t="array" ref="G128:P128">IF(ISNA(MATCH(G73:P73,E$109:E$113,0)),0,INDEX(G$109:P$113,MATCH(G73:P73,E$109:E$113,0),G$81:P$81))</f>
        <v>0</v>
      </c>
      <c r="H128" s="287">
        <v>0</v>
      </c>
      <c r="I128" s="287">
        <v>0</v>
      </c>
      <c r="J128" s="287">
        <v>0</v>
      </c>
      <c r="K128" s="287">
        <v>0</v>
      </c>
      <c r="L128" s="287">
        <v>0</v>
      </c>
      <c r="M128" s="287">
        <v>0</v>
      </c>
      <c r="N128" s="287">
        <v>0</v>
      </c>
      <c r="O128" s="287">
        <v>0</v>
      </c>
      <c r="P128" s="287">
        <v>0</v>
      </c>
    </row>
    <row r="129" spans="1:16" x14ac:dyDescent="0.2">
      <c r="A129" s="265"/>
      <c r="D129" s="265"/>
      <c r="E129" s="263" t="s">
        <v>1615</v>
      </c>
      <c r="G129" s="287">
        <f t="array" ref="G129:P129">IF(ISNA(MATCH(G74:P74,E$109:E$113,0)),0,INDEX(G$109:P$113,MATCH(G74:P74,E$109:E$113,0),G$81:P$81))</f>
        <v>0</v>
      </c>
      <c r="H129" s="287">
        <v>0</v>
      </c>
      <c r="I129" s="287">
        <v>0</v>
      </c>
      <c r="J129" s="287">
        <v>0</v>
      </c>
      <c r="K129" s="287">
        <v>0</v>
      </c>
      <c r="L129" s="287">
        <v>0</v>
      </c>
      <c r="M129" s="287">
        <v>0</v>
      </c>
      <c r="N129" s="287">
        <v>0</v>
      </c>
      <c r="O129" s="287">
        <v>0</v>
      </c>
      <c r="P129" s="287">
        <v>0</v>
      </c>
    </row>
    <row r="130" spans="1:16" x14ac:dyDescent="0.2">
      <c r="A130" s="265"/>
      <c r="D130" s="265"/>
      <c r="E130" s="263" t="s">
        <v>1616</v>
      </c>
      <c r="G130" s="287">
        <f t="array" ref="G130:P130">IF(ISNA(MATCH(G75:P75,E$109:E$113,0)),0,INDEX(G$109:P$113,MATCH(G75:P75,E$109:E$113,0),G$81:P$81))</f>
        <v>0</v>
      </c>
      <c r="H130" s="287">
        <v>0</v>
      </c>
      <c r="I130" s="287">
        <v>0</v>
      </c>
      <c r="J130" s="287">
        <v>0</v>
      </c>
      <c r="K130" s="287">
        <v>0</v>
      </c>
      <c r="L130" s="287">
        <v>0</v>
      </c>
      <c r="M130" s="287">
        <v>0</v>
      </c>
      <c r="N130" s="287">
        <v>0</v>
      </c>
      <c r="O130" s="287">
        <v>0</v>
      </c>
      <c r="P130" s="287">
        <v>0</v>
      </c>
    </row>
    <row r="131" spans="1:16" x14ac:dyDescent="0.2">
      <c r="D131" s="265"/>
    </row>
    <row r="132" spans="1:16" x14ac:dyDescent="0.2">
      <c r="C132" s="268" t="s">
        <v>1014</v>
      </c>
    </row>
    <row r="133" spans="1:16" x14ac:dyDescent="0.2">
      <c r="G133" s="264" t="s">
        <v>263</v>
      </c>
      <c r="H133" s="265"/>
      <c r="I133" s="265"/>
    </row>
    <row r="134" spans="1:16" x14ac:dyDescent="0.2">
      <c r="D134" s="263" t="s">
        <v>118</v>
      </c>
      <c r="G134" s="291">
        <v>0.2</v>
      </c>
      <c r="H134" s="270" t="s">
        <v>262</v>
      </c>
    </row>
    <row r="135" spans="1:16" x14ac:dyDescent="0.2">
      <c r="D135" s="263" t="s">
        <v>117</v>
      </c>
      <c r="F135" s="263"/>
      <c r="G135" s="292">
        <v>5</v>
      </c>
      <c r="H135" s="270" t="s">
        <v>261</v>
      </c>
    </row>
    <row r="136" spans="1:16" x14ac:dyDescent="0.2">
      <c r="D136" s="263" t="s">
        <v>421</v>
      </c>
      <c r="F136" s="263"/>
      <c r="G136" s="292">
        <v>5</v>
      </c>
      <c r="H136" s="270" t="s">
        <v>460</v>
      </c>
    </row>
    <row r="138" spans="1:16" x14ac:dyDescent="0.2">
      <c r="C138" s="280" t="s">
        <v>1015</v>
      </c>
    </row>
    <row r="139" spans="1:16" x14ac:dyDescent="0.2">
      <c r="G139" s="264" t="str">
        <f t="array" ref="G139:P139">TRANSPOSE(Geotypes)</f>
        <v>Muy denso</v>
      </c>
      <c r="H139" s="264" t="str">
        <v>Denso</v>
      </c>
      <c r="I139" s="264" t="str">
        <v>Poco denso</v>
      </c>
      <c r="J139" s="264" t="str">
        <v>Otro</v>
      </c>
      <c r="K139" s="264" t="str">
        <v>Microceldas</v>
      </c>
      <c r="L139" s="264" t="str">
        <v>spare</v>
      </c>
      <c r="M139" s="264" t="str">
        <v>spare</v>
      </c>
      <c r="N139" s="264" t="str">
        <v>spare</v>
      </c>
      <c r="O139" s="264" t="str">
        <v>spare</v>
      </c>
      <c r="P139" s="264" t="str">
        <v>spare</v>
      </c>
    </row>
    <row r="140" spans="1:16" x14ac:dyDescent="0.2">
      <c r="D140" s="268" t="s">
        <v>1008</v>
      </c>
      <c r="G140" s="293">
        <f t="array" ref="G140:P140">Spectrum.GSM.Coverage/Channel.size.GSM</f>
        <v>25</v>
      </c>
      <c r="H140" s="293">
        <v>25</v>
      </c>
      <c r="I140" s="293">
        <v>25</v>
      </c>
      <c r="J140" s="293">
        <v>25</v>
      </c>
      <c r="K140" s="293">
        <v>25</v>
      </c>
      <c r="L140" s="293">
        <v>0</v>
      </c>
      <c r="M140" s="293">
        <v>0</v>
      </c>
      <c r="N140" s="293">
        <v>0</v>
      </c>
      <c r="O140" s="293">
        <v>0</v>
      </c>
      <c r="P140" s="293">
        <v>0</v>
      </c>
    </row>
    <row r="141" spans="1:16" x14ac:dyDescent="0.2">
      <c r="D141" s="265"/>
    </row>
    <row r="142" spans="1:16" x14ac:dyDescent="0.2">
      <c r="D142" s="268" t="s">
        <v>1009</v>
      </c>
      <c r="G142" s="293">
        <f t="array" ref="G142:P142">Spectrum.GSM.Capacity/Channel.size.GSM</f>
        <v>50</v>
      </c>
      <c r="H142" s="293">
        <v>50</v>
      </c>
      <c r="I142" s="293">
        <v>50</v>
      </c>
      <c r="J142" s="293">
        <v>50</v>
      </c>
      <c r="K142" s="293">
        <v>50</v>
      </c>
      <c r="L142" s="293">
        <v>0</v>
      </c>
      <c r="M142" s="293">
        <v>0</v>
      </c>
      <c r="N142" s="293">
        <v>0</v>
      </c>
      <c r="O142" s="293">
        <v>0</v>
      </c>
      <c r="P142" s="293">
        <v>0</v>
      </c>
    </row>
    <row r="143" spans="1:16" x14ac:dyDescent="0.2">
      <c r="D143" s="265"/>
      <c r="G143" s="294"/>
      <c r="H143" s="294"/>
      <c r="I143" s="294"/>
      <c r="J143" s="294"/>
      <c r="K143" s="294"/>
      <c r="L143" s="294"/>
      <c r="M143" s="294"/>
      <c r="N143" s="294"/>
      <c r="O143" s="294"/>
      <c r="P143" s="294"/>
    </row>
    <row r="144" spans="1:16" x14ac:dyDescent="0.2">
      <c r="D144" s="268" t="s">
        <v>1010</v>
      </c>
      <c r="G144" s="293">
        <f t="array" ref="G144:P144">Spectrum.UMTS.Coverage/Channel.size.UMTS</f>
        <v>1.5</v>
      </c>
      <c r="H144" s="293">
        <v>1.5</v>
      </c>
      <c r="I144" s="293">
        <v>1.5</v>
      </c>
      <c r="J144" s="293">
        <v>1.5</v>
      </c>
      <c r="K144" s="293">
        <v>1.5</v>
      </c>
      <c r="L144" s="293">
        <v>0</v>
      </c>
      <c r="M144" s="293">
        <v>0</v>
      </c>
      <c r="N144" s="293">
        <v>0</v>
      </c>
      <c r="O144" s="293">
        <v>0</v>
      </c>
      <c r="P144" s="293">
        <v>0</v>
      </c>
    </row>
    <row r="145" spans="3:16" x14ac:dyDescent="0.2">
      <c r="D145" s="265"/>
      <c r="G145" s="294"/>
      <c r="H145" s="294"/>
      <c r="I145" s="294"/>
      <c r="J145" s="294"/>
      <c r="K145" s="294"/>
      <c r="L145" s="294"/>
      <c r="M145" s="294"/>
      <c r="N145" s="294"/>
      <c r="O145" s="294"/>
      <c r="P145" s="294"/>
    </row>
    <row r="146" spans="3:16" x14ac:dyDescent="0.2">
      <c r="D146" s="268" t="s">
        <v>1011</v>
      </c>
      <c r="G146" s="293">
        <f t="array" ref="G146:P146">Spectrum.UMTS.Capacity/Channel.size.UMTS</f>
        <v>2</v>
      </c>
      <c r="H146" s="293">
        <v>2</v>
      </c>
      <c r="I146" s="293">
        <v>2</v>
      </c>
      <c r="J146" s="293">
        <v>2</v>
      </c>
      <c r="K146" s="293">
        <v>2</v>
      </c>
      <c r="L146" s="293">
        <v>0</v>
      </c>
      <c r="M146" s="293">
        <v>0</v>
      </c>
      <c r="N146" s="293">
        <v>0</v>
      </c>
      <c r="O146" s="293">
        <v>0</v>
      </c>
      <c r="P146" s="293">
        <v>0</v>
      </c>
    </row>
    <row r="147" spans="3:16" x14ac:dyDescent="0.2">
      <c r="D147" s="265"/>
      <c r="G147" s="294"/>
      <c r="H147" s="294"/>
      <c r="I147" s="294"/>
      <c r="J147" s="294"/>
      <c r="K147" s="294"/>
      <c r="L147" s="294"/>
      <c r="M147" s="294"/>
      <c r="N147" s="294"/>
      <c r="O147" s="294"/>
      <c r="P147" s="294"/>
    </row>
    <row r="148" spans="3:16" x14ac:dyDescent="0.2">
      <c r="D148" s="268" t="s">
        <v>1012</v>
      </c>
      <c r="G148" s="293">
        <f t="array" ref="G148:P148">Spectrum.LTE.Coverage/Channel.size.LTE</f>
        <v>2.5</v>
      </c>
      <c r="H148" s="293">
        <v>2.5</v>
      </c>
      <c r="I148" s="293">
        <v>2.5</v>
      </c>
      <c r="J148" s="293">
        <v>2.5</v>
      </c>
      <c r="K148" s="293">
        <v>2.5</v>
      </c>
      <c r="L148" s="293">
        <v>0</v>
      </c>
      <c r="M148" s="293">
        <v>0</v>
      </c>
      <c r="N148" s="293">
        <v>0</v>
      </c>
      <c r="O148" s="293">
        <v>0</v>
      </c>
      <c r="P148" s="293">
        <v>0</v>
      </c>
    </row>
    <row r="149" spans="3:16" x14ac:dyDescent="0.2">
      <c r="D149" s="265"/>
      <c r="G149" s="294"/>
      <c r="H149" s="294"/>
      <c r="I149" s="294"/>
      <c r="J149" s="294"/>
      <c r="K149" s="294"/>
      <c r="L149" s="294"/>
      <c r="M149" s="294"/>
      <c r="N149" s="294"/>
      <c r="O149" s="294"/>
      <c r="P149" s="294"/>
    </row>
    <row r="150" spans="3:16" x14ac:dyDescent="0.2">
      <c r="D150" s="268" t="s">
        <v>1013</v>
      </c>
      <c r="G150" s="295">
        <f t="array" ref="G150:P150">G151:P151+G152:P152+G153:P153+G154:P154</f>
        <v>0</v>
      </c>
      <c r="H150" s="295">
        <v>0</v>
      </c>
      <c r="I150" s="295">
        <v>0</v>
      </c>
      <c r="J150" s="295">
        <v>0</v>
      </c>
      <c r="K150" s="295">
        <v>0</v>
      </c>
      <c r="L150" s="295">
        <v>0</v>
      </c>
      <c r="M150" s="295">
        <v>0</v>
      </c>
      <c r="N150" s="295">
        <v>0</v>
      </c>
      <c r="O150" s="295">
        <v>0</v>
      </c>
      <c r="P150" s="295">
        <v>0</v>
      </c>
    </row>
    <row r="151" spans="3:16" x14ac:dyDescent="0.2">
      <c r="D151" s="265"/>
      <c r="E151" s="263" t="s">
        <v>1617</v>
      </c>
      <c r="G151" s="286">
        <f t="array" ref="G151:P154">G127:P130/Channel.size.LTE</f>
        <v>0</v>
      </c>
      <c r="H151" s="286">
        <v>0</v>
      </c>
      <c r="I151" s="286">
        <v>0</v>
      </c>
      <c r="J151" s="286">
        <v>0</v>
      </c>
      <c r="K151" s="286">
        <v>0</v>
      </c>
      <c r="L151" s="286">
        <v>0</v>
      </c>
      <c r="M151" s="286">
        <v>0</v>
      </c>
      <c r="N151" s="286">
        <v>0</v>
      </c>
      <c r="O151" s="286">
        <v>0</v>
      </c>
      <c r="P151" s="286">
        <v>0</v>
      </c>
    </row>
    <row r="152" spans="3:16" x14ac:dyDescent="0.2">
      <c r="D152" s="265"/>
      <c r="E152" s="263" t="s">
        <v>1618</v>
      </c>
      <c r="G152" s="286">
        <v>0</v>
      </c>
      <c r="H152" s="286">
        <v>0</v>
      </c>
      <c r="I152" s="286">
        <v>0</v>
      </c>
      <c r="J152" s="286">
        <v>0</v>
      </c>
      <c r="K152" s="286">
        <v>0</v>
      </c>
      <c r="L152" s="286">
        <v>0</v>
      </c>
      <c r="M152" s="286">
        <v>0</v>
      </c>
      <c r="N152" s="286">
        <v>0</v>
      </c>
      <c r="O152" s="286">
        <v>0</v>
      </c>
      <c r="P152" s="286">
        <v>0</v>
      </c>
    </row>
    <row r="153" spans="3:16" x14ac:dyDescent="0.2">
      <c r="D153" s="265"/>
      <c r="E153" s="263" t="s">
        <v>1619</v>
      </c>
      <c r="G153" s="286">
        <v>0</v>
      </c>
      <c r="H153" s="286">
        <v>0</v>
      </c>
      <c r="I153" s="286">
        <v>0</v>
      </c>
      <c r="J153" s="286">
        <v>0</v>
      </c>
      <c r="K153" s="286">
        <v>0</v>
      </c>
      <c r="L153" s="286">
        <v>0</v>
      </c>
      <c r="M153" s="286">
        <v>0</v>
      </c>
      <c r="N153" s="286">
        <v>0</v>
      </c>
      <c r="O153" s="286">
        <v>0</v>
      </c>
      <c r="P153" s="286">
        <v>0</v>
      </c>
    </row>
    <row r="154" spans="3:16" x14ac:dyDescent="0.2">
      <c r="D154" s="265"/>
      <c r="E154" s="263" t="s">
        <v>1620</v>
      </c>
      <c r="G154" s="286">
        <v>0</v>
      </c>
      <c r="H154" s="286">
        <v>0</v>
      </c>
      <c r="I154" s="286">
        <v>0</v>
      </c>
      <c r="J154" s="286">
        <v>0</v>
      </c>
      <c r="K154" s="286">
        <v>0</v>
      </c>
      <c r="L154" s="286">
        <v>0</v>
      </c>
      <c r="M154" s="286">
        <v>0</v>
      </c>
      <c r="N154" s="286">
        <v>0</v>
      </c>
      <c r="O154" s="286">
        <v>0</v>
      </c>
      <c r="P154" s="286">
        <v>0</v>
      </c>
    </row>
    <row r="155" spans="3:16" x14ac:dyDescent="0.2">
      <c r="D155" s="265"/>
      <c r="G155" s="294"/>
      <c r="H155" s="294"/>
      <c r="I155" s="294"/>
      <c r="J155" s="294"/>
      <c r="K155" s="294"/>
      <c r="L155" s="294"/>
      <c r="M155" s="294"/>
      <c r="N155" s="294"/>
      <c r="O155" s="294"/>
      <c r="P155" s="294"/>
    </row>
    <row r="156" spans="3:16" x14ac:dyDescent="0.2">
      <c r="D156" s="265"/>
      <c r="G156" s="294"/>
      <c r="H156" s="294"/>
      <c r="I156" s="294"/>
      <c r="J156" s="294"/>
      <c r="K156" s="294"/>
      <c r="L156" s="294"/>
      <c r="M156" s="294"/>
      <c r="N156" s="294"/>
      <c r="O156" s="294"/>
      <c r="P156" s="294"/>
    </row>
    <row r="157" spans="3:16" x14ac:dyDescent="0.2">
      <c r="C157" s="268" t="s">
        <v>1016</v>
      </c>
      <c r="G157" s="265"/>
    </row>
    <row r="158" spans="3:16" x14ac:dyDescent="0.2">
      <c r="G158" s="264" t="str">
        <f t="array" ref="G158:P158">TRANSPOSE(Geotypes)</f>
        <v>Muy denso</v>
      </c>
      <c r="H158" s="264" t="str">
        <v>Denso</v>
      </c>
      <c r="I158" s="264" t="str">
        <v>Poco denso</v>
      </c>
      <c r="J158" s="264" t="str">
        <v>Otro</v>
      </c>
      <c r="K158" s="264" t="str">
        <v>Microceldas</v>
      </c>
      <c r="L158" s="264" t="str">
        <v>spare</v>
      </c>
      <c r="M158" s="264" t="str">
        <v>spare</v>
      </c>
      <c r="N158" s="264" t="str">
        <v>spare</v>
      </c>
      <c r="O158" s="264" t="str">
        <v>spare</v>
      </c>
      <c r="P158" s="264" t="str">
        <v>spare</v>
      </c>
    </row>
    <row r="159" spans="3:16" x14ac:dyDescent="0.2">
      <c r="D159" s="268" t="s">
        <v>1017</v>
      </c>
      <c r="G159" s="296">
        <v>1</v>
      </c>
      <c r="H159" s="296">
        <v>1</v>
      </c>
      <c r="I159" s="296">
        <v>1</v>
      </c>
      <c r="J159" s="296">
        <v>1</v>
      </c>
      <c r="K159" s="296">
        <v>1</v>
      </c>
      <c r="L159" s="296">
        <v>1</v>
      </c>
      <c r="M159" s="296">
        <v>1</v>
      </c>
      <c r="N159" s="296">
        <v>1</v>
      </c>
      <c r="O159" s="296">
        <v>1</v>
      </c>
      <c r="P159" s="296">
        <v>1</v>
      </c>
    </row>
    <row r="160" spans="3:16" x14ac:dyDescent="0.2">
      <c r="D160" s="265"/>
    </row>
    <row r="161" spans="3:17" x14ac:dyDescent="0.2">
      <c r="D161" s="268" t="s">
        <v>1018</v>
      </c>
      <c r="G161" s="297">
        <v>0</v>
      </c>
      <c r="H161" s="297">
        <v>0</v>
      </c>
      <c r="I161" s="297">
        <v>0</v>
      </c>
      <c r="J161" s="297">
        <v>0</v>
      </c>
      <c r="K161" s="297">
        <v>0</v>
      </c>
      <c r="L161" s="297">
        <v>0</v>
      </c>
      <c r="M161" s="297">
        <v>0</v>
      </c>
      <c r="N161" s="297">
        <v>0</v>
      </c>
      <c r="O161" s="297">
        <v>0</v>
      </c>
      <c r="P161" s="297">
        <v>0</v>
      </c>
    </row>
    <row r="163" spans="3:17" x14ac:dyDescent="0.2">
      <c r="C163" s="268" t="s">
        <v>1021</v>
      </c>
    </row>
    <row r="164" spans="3:17" x14ac:dyDescent="0.2">
      <c r="G164" s="264" t="str">
        <f t="array" ref="G164:P164">TRANSPOSE(Geotypes)</f>
        <v>Muy denso</v>
      </c>
      <c r="H164" s="264" t="str">
        <v>Denso</v>
      </c>
      <c r="I164" s="264" t="str">
        <v>Poco denso</v>
      </c>
      <c r="J164" s="264" t="str">
        <v>Otro</v>
      </c>
      <c r="K164" s="264" t="str">
        <v>Microceldas</v>
      </c>
      <c r="L164" s="264" t="str">
        <v>spare</v>
      </c>
      <c r="M164" s="264" t="str">
        <v>spare</v>
      </c>
      <c r="N164" s="264" t="str">
        <v>spare</v>
      </c>
      <c r="O164" s="264" t="str">
        <v>spare</v>
      </c>
      <c r="P164" s="264" t="str">
        <v>spare</v>
      </c>
    </row>
    <row r="165" spans="3:17" x14ac:dyDescent="0.2">
      <c r="D165" s="268" t="s">
        <v>1008</v>
      </c>
      <c r="G165" s="298">
        <f t="array" ref="G165:P165">G140:P140</f>
        <v>25</v>
      </c>
      <c r="H165" s="298">
        <v>25</v>
      </c>
      <c r="I165" s="298">
        <v>25</v>
      </c>
      <c r="J165" s="298">
        <v>25</v>
      </c>
      <c r="K165" s="298">
        <v>25</v>
      </c>
      <c r="L165" s="298">
        <v>0</v>
      </c>
      <c r="M165" s="298">
        <v>0</v>
      </c>
      <c r="N165" s="298">
        <v>0</v>
      </c>
      <c r="O165" s="298">
        <v>0</v>
      </c>
      <c r="P165" s="298">
        <v>0</v>
      </c>
      <c r="Q165" s="270" t="s">
        <v>260</v>
      </c>
    </row>
    <row r="166" spans="3:17" x14ac:dyDescent="0.2">
      <c r="D166" s="265"/>
      <c r="E166" s="265"/>
    </row>
    <row r="167" spans="3:17" x14ac:dyDescent="0.2">
      <c r="D167" s="268" t="s">
        <v>1009</v>
      </c>
      <c r="G167" s="298">
        <f t="array" ref="G167:P167">G142:P142</f>
        <v>50</v>
      </c>
      <c r="H167" s="298">
        <v>50</v>
      </c>
      <c r="I167" s="298">
        <v>50</v>
      </c>
      <c r="J167" s="298">
        <v>50</v>
      </c>
      <c r="K167" s="298">
        <v>50</v>
      </c>
      <c r="L167" s="298">
        <v>0</v>
      </c>
      <c r="M167" s="298">
        <v>0</v>
      </c>
      <c r="N167" s="298">
        <v>0</v>
      </c>
      <c r="O167" s="298">
        <v>0</v>
      </c>
      <c r="P167" s="298">
        <v>0</v>
      </c>
      <c r="Q167" s="270" t="s">
        <v>259</v>
      </c>
    </row>
    <row r="168" spans="3:17" x14ac:dyDescent="0.2">
      <c r="D168" s="265"/>
      <c r="G168" s="294"/>
      <c r="H168" s="294"/>
      <c r="I168" s="294"/>
      <c r="J168" s="294"/>
      <c r="K168" s="294"/>
      <c r="L168" s="294"/>
      <c r="M168" s="294"/>
      <c r="N168" s="294"/>
      <c r="O168" s="294"/>
      <c r="P168" s="294"/>
    </row>
    <row r="169" spans="3:17" x14ac:dyDescent="0.2">
      <c r="D169" s="268" t="s">
        <v>1010</v>
      </c>
      <c r="G169" s="299">
        <f t="array" ref="G169:P169">IF(G144:P144&gt;0,G159:P159,0)</f>
        <v>1</v>
      </c>
      <c r="H169" s="299">
        <v>1</v>
      </c>
      <c r="I169" s="299">
        <v>1</v>
      </c>
      <c r="J169" s="299">
        <v>1</v>
      </c>
      <c r="K169" s="299">
        <v>1</v>
      </c>
      <c r="L169" s="299">
        <v>0</v>
      </c>
      <c r="M169" s="299">
        <v>0</v>
      </c>
      <c r="N169" s="299">
        <v>0</v>
      </c>
      <c r="O169" s="299">
        <v>0</v>
      </c>
      <c r="P169" s="299">
        <v>0</v>
      </c>
      <c r="Q169" s="270" t="s">
        <v>258</v>
      </c>
    </row>
    <row r="170" spans="3:17" x14ac:dyDescent="0.2">
      <c r="D170" s="265"/>
      <c r="G170" s="294"/>
      <c r="H170" s="294"/>
      <c r="I170" s="294"/>
      <c r="J170" s="294"/>
      <c r="K170" s="294"/>
      <c r="L170" s="294"/>
      <c r="M170" s="294"/>
      <c r="N170" s="294"/>
      <c r="O170" s="294"/>
      <c r="P170" s="294"/>
    </row>
    <row r="171" spans="3:17" x14ac:dyDescent="0.2">
      <c r="D171" s="268" t="s">
        <v>1011</v>
      </c>
      <c r="G171" s="299">
        <f t="array" ref="G171:P171">IF(G146:P146&gt;0,G161:P161,0)</f>
        <v>0</v>
      </c>
      <c r="H171" s="299">
        <v>0</v>
      </c>
      <c r="I171" s="299">
        <v>0</v>
      </c>
      <c r="J171" s="299">
        <v>0</v>
      </c>
      <c r="K171" s="299">
        <v>0</v>
      </c>
      <c r="L171" s="299">
        <v>0</v>
      </c>
      <c r="M171" s="299">
        <v>0</v>
      </c>
      <c r="N171" s="299">
        <v>0</v>
      </c>
      <c r="O171" s="299">
        <v>0</v>
      </c>
      <c r="P171" s="299">
        <v>0</v>
      </c>
      <c r="Q171" s="270" t="s">
        <v>257</v>
      </c>
    </row>
    <row r="172" spans="3:17" x14ac:dyDescent="0.2">
      <c r="D172" s="265"/>
      <c r="G172" s="294"/>
      <c r="H172" s="294"/>
      <c r="I172" s="294"/>
      <c r="J172" s="294"/>
      <c r="K172" s="294"/>
      <c r="L172" s="294"/>
      <c r="M172" s="294"/>
      <c r="N172" s="294"/>
      <c r="O172" s="294"/>
      <c r="P172" s="294"/>
    </row>
    <row r="173" spans="3:17" x14ac:dyDescent="0.2">
      <c r="D173" s="268" t="s">
        <v>1019</v>
      </c>
      <c r="G173" s="299">
        <f t="array" ref="G173:P173">G144:P144-G169:P169</f>
        <v>0.5</v>
      </c>
      <c r="H173" s="299">
        <v>0.5</v>
      </c>
      <c r="I173" s="299">
        <v>0.5</v>
      </c>
      <c r="J173" s="299">
        <v>0.5</v>
      </c>
      <c r="K173" s="299">
        <v>0.5</v>
      </c>
      <c r="L173" s="299">
        <v>0</v>
      </c>
      <c r="M173" s="299">
        <v>0</v>
      </c>
      <c r="N173" s="299">
        <v>0</v>
      </c>
      <c r="O173" s="299">
        <v>0</v>
      </c>
      <c r="P173" s="299">
        <v>0</v>
      </c>
      <c r="Q173" s="270" t="s">
        <v>256</v>
      </c>
    </row>
    <row r="174" spans="3:17" x14ac:dyDescent="0.2">
      <c r="D174" s="265"/>
      <c r="G174" s="294"/>
      <c r="H174" s="294"/>
      <c r="I174" s="294"/>
      <c r="J174" s="294"/>
      <c r="K174" s="294"/>
      <c r="L174" s="294"/>
      <c r="M174" s="294"/>
      <c r="N174" s="294"/>
      <c r="O174" s="294"/>
      <c r="P174" s="294"/>
    </row>
    <row r="175" spans="3:17" x14ac:dyDescent="0.2">
      <c r="D175" s="268" t="s">
        <v>1020</v>
      </c>
      <c r="G175" s="299">
        <f t="array" ref="G175:P175">G146:P146-G171:P171</f>
        <v>2</v>
      </c>
      <c r="H175" s="299">
        <v>2</v>
      </c>
      <c r="I175" s="299">
        <v>2</v>
      </c>
      <c r="J175" s="299">
        <v>2</v>
      </c>
      <c r="K175" s="299">
        <v>2</v>
      </c>
      <c r="L175" s="299">
        <v>0</v>
      </c>
      <c r="M175" s="299">
        <v>0</v>
      </c>
      <c r="N175" s="299">
        <v>0</v>
      </c>
      <c r="O175" s="299">
        <v>0</v>
      </c>
      <c r="P175" s="299">
        <v>0</v>
      </c>
      <c r="Q175" s="270" t="s">
        <v>255</v>
      </c>
    </row>
    <row r="176" spans="3:17" x14ac:dyDescent="0.2">
      <c r="E176" s="265"/>
    </row>
    <row r="177" spans="1:20" x14ac:dyDescent="0.2">
      <c r="D177" s="268" t="s">
        <v>1012</v>
      </c>
      <c r="G177" s="298">
        <f t="array" ref="G177:P177">G148:P148</f>
        <v>2.5</v>
      </c>
      <c r="H177" s="298">
        <v>2.5</v>
      </c>
      <c r="I177" s="298">
        <v>2.5</v>
      </c>
      <c r="J177" s="298">
        <v>2.5</v>
      </c>
      <c r="K177" s="298">
        <v>2.5</v>
      </c>
      <c r="L177" s="298">
        <v>0</v>
      </c>
      <c r="M177" s="298">
        <v>0</v>
      </c>
      <c r="N177" s="298">
        <v>0</v>
      </c>
      <c r="O177" s="298">
        <v>0</v>
      </c>
      <c r="P177" s="298">
        <v>0</v>
      </c>
      <c r="Q177" s="270" t="s">
        <v>463</v>
      </c>
    </row>
    <row r="178" spans="1:20" x14ac:dyDescent="0.2">
      <c r="D178" s="265"/>
      <c r="G178" s="294"/>
      <c r="H178" s="294"/>
      <c r="I178" s="294"/>
      <c r="J178" s="294"/>
      <c r="K178" s="294"/>
      <c r="L178" s="294"/>
      <c r="M178" s="294"/>
      <c r="N178" s="294"/>
      <c r="O178" s="294"/>
      <c r="P178" s="294"/>
    </row>
    <row r="179" spans="1:20" x14ac:dyDescent="0.2">
      <c r="D179" s="268" t="s">
        <v>1013</v>
      </c>
      <c r="G179" s="300">
        <f t="array" ref="G179:P183">G150:P154</f>
        <v>0</v>
      </c>
      <c r="H179" s="300">
        <v>0</v>
      </c>
      <c r="I179" s="300">
        <v>0</v>
      </c>
      <c r="J179" s="300">
        <v>0</v>
      </c>
      <c r="K179" s="300">
        <v>0</v>
      </c>
      <c r="L179" s="300">
        <v>0</v>
      </c>
      <c r="M179" s="300">
        <v>0</v>
      </c>
      <c r="N179" s="300">
        <v>0</v>
      </c>
      <c r="O179" s="300">
        <v>0</v>
      </c>
      <c r="P179" s="300">
        <v>0</v>
      </c>
      <c r="Q179" s="270" t="s">
        <v>464</v>
      </c>
    </row>
    <row r="180" spans="1:20" x14ac:dyDescent="0.2">
      <c r="D180" s="265"/>
      <c r="E180" s="263" t="s">
        <v>1617</v>
      </c>
      <c r="G180" s="301">
        <v>0</v>
      </c>
      <c r="H180" s="301">
        <v>0</v>
      </c>
      <c r="I180" s="301">
        <v>0</v>
      </c>
      <c r="J180" s="301">
        <v>0</v>
      </c>
      <c r="K180" s="301">
        <v>0</v>
      </c>
      <c r="L180" s="301">
        <v>0</v>
      </c>
      <c r="M180" s="301">
        <v>0</v>
      </c>
      <c r="N180" s="301">
        <v>0</v>
      </c>
      <c r="O180" s="301">
        <v>0</v>
      </c>
      <c r="P180" s="301">
        <v>0</v>
      </c>
      <c r="Q180" s="270" t="s">
        <v>1606</v>
      </c>
    </row>
    <row r="181" spans="1:20" x14ac:dyDescent="0.2">
      <c r="D181" s="265"/>
      <c r="E181" s="263" t="s">
        <v>1618</v>
      </c>
      <c r="G181" s="301">
        <v>0</v>
      </c>
      <c r="H181" s="301">
        <v>0</v>
      </c>
      <c r="I181" s="301">
        <v>0</v>
      </c>
      <c r="J181" s="301">
        <v>0</v>
      </c>
      <c r="K181" s="301">
        <v>0</v>
      </c>
      <c r="L181" s="301">
        <v>0</v>
      </c>
      <c r="M181" s="301">
        <v>0</v>
      </c>
      <c r="N181" s="301">
        <v>0</v>
      </c>
      <c r="O181" s="301">
        <v>0</v>
      </c>
      <c r="P181" s="301">
        <v>0</v>
      </c>
      <c r="Q181" s="270" t="s">
        <v>1607</v>
      </c>
    </row>
    <row r="182" spans="1:20" x14ac:dyDescent="0.2">
      <c r="D182" s="265"/>
      <c r="E182" s="263" t="s">
        <v>1619</v>
      </c>
      <c r="G182" s="301">
        <v>0</v>
      </c>
      <c r="H182" s="301">
        <v>0</v>
      </c>
      <c r="I182" s="301">
        <v>0</v>
      </c>
      <c r="J182" s="301">
        <v>0</v>
      </c>
      <c r="K182" s="301">
        <v>0</v>
      </c>
      <c r="L182" s="301">
        <v>0</v>
      </c>
      <c r="M182" s="301">
        <v>0</v>
      </c>
      <c r="N182" s="301">
        <v>0</v>
      </c>
      <c r="O182" s="301">
        <v>0</v>
      </c>
      <c r="P182" s="301">
        <v>0</v>
      </c>
      <c r="Q182" s="270" t="s">
        <v>1608</v>
      </c>
    </row>
    <row r="183" spans="1:20" x14ac:dyDescent="0.2">
      <c r="D183" s="265"/>
      <c r="E183" s="263" t="s">
        <v>1620</v>
      </c>
      <c r="G183" s="301">
        <v>0</v>
      </c>
      <c r="H183" s="301">
        <v>0</v>
      </c>
      <c r="I183" s="301">
        <v>0</v>
      </c>
      <c r="J183" s="301">
        <v>0</v>
      </c>
      <c r="K183" s="301">
        <v>0</v>
      </c>
      <c r="L183" s="301">
        <v>0</v>
      </c>
      <c r="M183" s="301">
        <v>0</v>
      </c>
      <c r="N183" s="301">
        <v>0</v>
      </c>
      <c r="O183" s="301">
        <v>0</v>
      </c>
      <c r="P183" s="301">
        <v>0</v>
      </c>
      <c r="Q183" s="270" t="s">
        <v>1609</v>
      </c>
    </row>
    <row r="184" spans="1:20" x14ac:dyDescent="0.2">
      <c r="E184" s="265"/>
    </row>
    <row r="185" spans="1:20" x14ac:dyDescent="0.2">
      <c r="E185" s="265"/>
    </row>
    <row r="187" spans="1:20" s="265" customFormat="1" ht="15.75" x14ac:dyDescent="0.2">
      <c r="A187" s="266" t="s">
        <v>1022</v>
      </c>
      <c r="B187" s="266"/>
      <c r="C187" s="266"/>
      <c r="D187" s="266"/>
      <c r="E187" s="266"/>
      <c r="F187" s="266"/>
      <c r="G187" s="266"/>
      <c r="H187" s="266"/>
      <c r="I187" s="266"/>
      <c r="J187" s="266"/>
      <c r="K187" s="266"/>
      <c r="L187" s="266"/>
      <c r="M187" s="266"/>
      <c r="N187" s="266"/>
      <c r="O187" s="266"/>
      <c r="P187" s="266"/>
      <c r="Q187" s="266"/>
      <c r="R187" s="266"/>
      <c r="S187" s="266"/>
      <c r="T187" s="266"/>
    </row>
    <row r="189" spans="1:20" x14ac:dyDescent="0.2">
      <c r="A189" s="265"/>
      <c r="B189" s="265"/>
      <c r="C189" s="280" t="s">
        <v>1023</v>
      </c>
      <c r="F189" s="263"/>
      <c r="G189" s="264" t="str">
        <f t="array" ref="G189:P189">TRANSPOSE(Geotypes)</f>
        <v>Muy denso</v>
      </c>
      <c r="H189" s="264" t="str">
        <v>Denso</v>
      </c>
      <c r="I189" s="264" t="str">
        <v>Poco denso</v>
      </c>
      <c r="J189" s="264" t="str">
        <v>Otro</v>
      </c>
      <c r="K189" s="264" t="str">
        <v>Microceldas</v>
      </c>
      <c r="L189" s="264" t="str">
        <v>spare</v>
      </c>
      <c r="M189" s="264" t="str">
        <v>spare</v>
      </c>
      <c r="N189" s="264" t="str">
        <v>spare</v>
      </c>
      <c r="O189" s="264" t="str">
        <v>spare</v>
      </c>
      <c r="P189" s="264" t="str">
        <v>spare</v>
      </c>
    </row>
    <row r="190" spans="1:20" x14ac:dyDescent="0.2">
      <c r="A190" s="265"/>
      <c r="B190" s="265"/>
      <c r="D190" s="265"/>
      <c r="F190" s="263"/>
    </row>
    <row r="191" spans="1:20" x14ac:dyDescent="0.2">
      <c r="A191" s="265"/>
      <c r="B191" s="265"/>
      <c r="D191" s="268" t="s">
        <v>411</v>
      </c>
      <c r="F191" s="263"/>
    </row>
    <row r="192" spans="1:20" x14ac:dyDescent="0.2">
      <c r="A192" s="265"/>
      <c r="B192" s="265"/>
      <c r="E192" s="273" t="str">
        <f t="array" ref="E192:E195">Radio.technologies</f>
        <v>GSM</v>
      </c>
      <c r="F192" s="302">
        <f t="array" ref="F192">IF(OR(SUM(G192:P192)=1,SUM(G192:P192)=0),0,1)</f>
        <v>0</v>
      </c>
      <c r="G192" s="303">
        <f t="array" ref="G192:P192">TRANSPOSE(CTRL.voice.distribution.2G)</f>
        <v>0.7</v>
      </c>
      <c r="H192" s="303">
        <v>0.18</v>
      </c>
      <c r="I192" s="303">
        <v>7.0000000000000007E-2</v>
      </c>
      <c r="J192" s="303">
        <v>0</v>
      </c>
      <c r="K192" s="303">
        <v>5.0000000000000044E-2</v>
      </c>
      <c r="L192" s="303">
        <v>0</v>
      </c>
      <c r="M192" s="303">
        <v>0</v>
      </c>
      <c r="N192" s="303">
        <v>0</v>
      </c>
      <c r="O192" s="303">
        <v>0</v>
      </c>
      <c r="P192" s="303">
        <v>0</v>
      </c>
    </row>
    <row r="193" spans="1:20" x14ac:dyDescent="0.2">
      <c r="A193" s="265"/>
      <c r="B193" s="265"/>
      <c r="E193" s="273" t="str">
        <v>UMTS</v>
      </c>
      <c r="F193" s="302">
        <f t="array" ref="F193">IF(OR(SUM(G193:P193)=1,SUM(G193:P193)=0),0,1)</f>
        <v>0</v>
      </c>
      <c r="G193" s="303">
        <f t="array" ref="G193:P193">TRANSPOSE(CTRL.voice.distribution.3G)</f>
        <v>0.7</v>
      </c>
      <c r="H193" s="303">
        <v>0.2</v>
      </c>
      <c r="I193" s="303">
        <v>0.05</v>
      </c>
      <c r="J193" s="303">
        <v>0</v>
      </c>
      <c r="K193" s="303">
        <v>5.0000000000000044E-2</v>
      </c>
      <c r="L193" s="303">
        <v>0</v>
      </c>
      <c r="M193" s="303">
        <v>0</v>
      </c>
      <c r="N193" s="303">
        <v>0</v>
      </c>
      <c r="O193" s="303">
        <v>0</v>
      </c>
      <c r="P193" s="303">
        <v>0</v>
      </c>
    </row>
    <row r="194" spans="1:20" x14ac:dyDescent="0.2">
      <c r="A194" s="265"/>
      <c r="B194" s="265"/>
      <c r="E194" s="273" t="str">
        <v>HSPA</v>
      </c>
      <c r="F194" s="302">
        <f t="array" ref="F194">IF(OR(SUM(G194:P194)=1,SUM(G194:P194)=0),0,1)</f>
        <v>0</v>
      </c>
      <c r="G194" s="304">
        <v>0</v>
      </c>
      <c r="H194" s="304">
        <v>0</v>
      </c>
      <c r="I194" s="304">
        <v>0</v>
      </c>
      <c r="J194" s="304">
        <v>0</v>
      </c>
      <c r="K194" s="304">
        <v>0</v>
      </c>
      <c r="L194" s="304">
        <v>0</v>
      </c>
      <c r="M194" s="304">
        <v>0</v>
      </c>
      <c r="N194" s="304">
        <v>0</v>
      </c>
      <c r="O194" s="304">
        <v>0</v>
      </c>
      <c r="P194" s="304">
        <v>0</v>
      </c>
    </row>
    <row r="195" spans="1:20" x14ac:dyDescent="0.2">
      <c r="A195" s="265"/>
      <c r="B195" s="265"/>
      <c r="E195" s="273" t="str">
        <v>LTE</v>
      </c>
      <c r="F195" s="302">
        <f t="array" ref="F195">IF(OR(SUM(G195:P195)=1,SUM(G195:P195)=0),0,1)</f>
        <v>0</v>
      </c>
      <c r="G195" s="303">
        <f t="array" ref="G195:P195">TRANSPOSE(CTRL.voice.distribution.4G)</f>
        <v>0</v>
      </c>
      <c r="H195" s="303">
        <v>0</v>
      </c>
      <c r="I195" s="303">
        <v>0</v>
      </c>
      <c r="J195" s="303">
        <v>0</v>
      </c>
      <c r="K195" s="303">
        <v>0</v>
      </c>
      <c r="L195" s="303">
        <v>0</v>
      </c>
      <c r="M195" s="303">
        <v>0</v>
      </c>
      <c r="N195" s="303">
        <v>0</v>
      </c>
      <c r="O195" s="303">
        <v>0</v>
      </c>
      <c r="P195" s="303">
        <v>0</v>
      </c>
    </row>
    <row r="196" spans="1:20" x14ac:dyDescent="0.2">
      <c r="A196" s="265"/>
      <c r="B196" s="265"/>
      <c r="F196" s="263"/>
    </row>
    <row r="197" spans="1:20" x14ac:dyDescent="0.2">
      <c r="A197" s="265"/>
      <c r="B197" s="265"/>
      <c r="D197" s="268" t="s">
        <v>417</v>
      </c>
      <c r="F197" s="263"/>
    </row>
    <row r="198" spans="1:20" x14ac:dyDescent="0.2">
      <c r="A198" s="265"/>
      <c r="B198" s="265"/>
      <c r="E198" s="273" t="str">
        <f t="array" ref="E198:E201">Radio.technologies</f>
        <v>GSM</v>
      </c>
      <c r="F198" s="302">
        <f t="array" ref="F198">IF(OR(SUM(G198:P198)=1,SUM(G198:P198)=0),0,1)</f>
        <v>0</v>
      </c>
      <c r="G198" s="303">
        <f t="array" ref="G198:P198">TRANSPOSE(CTRL.data.distribution.2G)</f>
        <v>0.67</v>
      </c>
      <c r="H198" s="303">
        <v>0.2</v>
      </c>
      <c r="I198" s="303">
        <v>0.1</v>
      </c>
      <c r="J198" s="303">
        <v>0</v>
      </c>
      <c r="K198" s="303">
        <v>2.9999999999999916E-2</v>
      </c>
      <c r="L198" s="303">
        <v>0</v>
      </c>
      <c r="M198" s="303">
        <v>0</v>
      </c>
      <c r="N198" s="303">
        <v>0</v>
      </c>
      <c r="O198" s="303">
        <v>0</v>
      </c>
      <c r="P198" s="303">
        <v>0</v>
      </c>
      <c r="Q198" s="270" t="s">
        <v>254</v>
      </c>
    </row>
    <row r="199" spans="1:20" x14ac:dyDescent="0.2">
      <c r="A199" s="265"/>
      <c r="B199" s="265"/>
      <c r="E199" s="273" t="str">
        <v>UMTS</v>
      </c>
      <c r="F199" s="302">
        <f t="array" ref="F199">IF(OR(SUM(G199:P199)=1,SUM(G199:P199)=0),0,1)</f>
        <v>0</v>
      </c>
      <c r="G199" s="303">
        <f t="array" ref="G199:P199">TRANSPOSE(CTRL.data.distribution.3G)</f>
        <v>0.67</v>
      </c>
      <c r="H199" s="303">
        <v>0.2</v>
      </c>
      <c r="I199" s="303">
        <v>0.1</v>
      </c>
      <c r="J199" s="303">
        <v>0</v>
      </c>
      <c r="K199" s="303">
        <v>2.9999999999999916E-2</v>
      </c>
      <c r="L199" s="303">
        <v>0</v>
      </c>
      <c r="M199" s="303">
        <v>0</v>
      </c>
      <c r="N199" s="303">
        <v>0</v>
      </c>
      <c r="O199" s="303">
        <v>0</v>
      </c>
      <c r="P199" s="303">
        <v>0</v>
      </c>
    </row>
    <row r="200" spans="1:20" x14ac:dyDescent="0.2">
      <c r="A200" s="265"/>
      <c r="B200" s="265"/>
      <c r="E200" s="273" t="str">
        <v>HSPA</v>
      </c>
      <c r="F200" s="302">
        <f t="array" ref="F200">IF(OR(SUM(G200:P200)=1,SUM(G200:P200)=0),0,1)</f>
        <v>0</v>
      </c>
      <c r="G200" s="303">
        <f t="array" ref="G200:P200">TRANSPOSE(CTRL.data.distribution.3G)</f>
        <v>0.67</v>
      </c>
      <c r="H200" s="303">
        <v>0.2</v>
      </c>
      <c r="I200" s="303">
        <v>0.1</v>
      </c>
      <c r="J200" s="303">
        <v>0</v>
      </c>
      <c r="K200" s="303">
        <v>2.9999999999999916E-2</v>
      </c>
      <c r="L200" s="303">
        <v>0</v>
      </c>
      <c r="M200" s="303">
        <v>0</v>
      </c>
      <c r="N200" s="303">
        <v>0</v>
      </c>
      <c r="O200" s="303">
        <v>0</v>
      </c>
      <c r="P200" s="303">
        <v>0</v>
      </c>
    </row>
    <row r="201" spans="1:20" x14ac:dyDescent="0.2">
      <c r="A201" s="265"/>
      <c r="B201" s="265"/>
      <c r="E201" s="273" t="str">
        <v>LTE</v>
      </c>
      <c r="F201" s="302">
        <f t="array" ref="F201">IF(OR(SUM(G201:P201)=1,SUM(G201:P201)=0),0,1)</f>
        <v>0</v>
      </c>
      <c r="G201" s="303">
        <f t="array" ref="G201:P201">TRANSPOSE(CTRL.data.distribution.4G)</f>
        <v>0.8</v>
      </c>
      <c r="H201" s="303">
        <v>0.13</v>
      </c>
      <c r="I201" s="303">
        <v>0.05</v>
      </c>
      <c r="J201" s="303">
        <v>0</v>
      </c>
      <c r="K201" s="303">
        <v>1.9999999999999907E-2</v>
      </c>
      <c r="L201" s="303">
        <v>0</v>
      </c>
      <c r="M201" s="303">
        <v>0</v>
      </c>
      <c r="N201" s="303">
        <v>0</v>
      </c>
      <c r="O201" s="303">
        <v>0</v>
      </c>
      <c r="P201" s="303">
        <v>0</v>
      </c>
    </row>
    <row r="202" spans="1:20" x14ac:dyDescent="0.2">
      <c r="A202" s="265"/>
      <c r="B202" s="265"/>
      <c r="C202" s="265"/>
    </row>
    <row r="203" spans="1:20" x14ac:dyDescent="0.2">
      <c r="C203" s="265"/>
    </row>
    <row r="205" spans="1:20" s="265" customFormat="1" ht="15.75" x14ac:dyDescent="0.2">
      <c r="A205" s="266" t="s">
        <v>1024</v>
      </c>
      <c r="B205" s="266"/>
      <c r="C205" s="266"/>
      <c r="D205" s="266"/>
      <c r="E205" s="266"/>
      <c r="F205" s="266"/>
      <c r="G205" s="266"/>
      <c r="H205" s="266"/>
      <c r="I205" s="266"/>
      <c r="J205" s="266"/>
      <c r="K205" s="266"/>
      <c r="L205" s="266"/>
      <c r="M205" s="266"/>
      <c r="N205" s="266"/>
      <c r="O205" s="266"/>
      <c r="P205" s="266"/>
      <c r="Q205" s="266"/>
      <c r="R205" s="266"/>
      <c r="S205" s="266"/>
      <c r="T205" s="266"/>
    </row>
    <row r="207" spans="1:20" ht="15.75" x14ac:dyDescent="0.2">
      <c r="B207" s="267" t="s">
        <v>1025</v>
      </c>
    </row>
    <row r="208" spans="1:20" x14ac:dyDescent="0.2">
      <c r="A208" s="265"/>
    </row>
    <row r="209" spans="1:17" x14ac:dyDescent="0.2">
      <c r="A209" s="265"/>
      <c r="C209" s="268" t="s">
        <v>1026</v>
      </c>
      <c r="F209" s="263"/>
      <c r="G209" s="305">
        <f>Network.voice.BHE.2G</f>
        <v>43320.025703988904</v>
      </c>
      <c r="H209" s="265"/>
    </row>
    <row r="210" spans="1:17" x14ac:dyDescent="0.2">
      <c r="A210" s="265"/>
      <c r="F210" s="263"/>
    </row>
    <row r="211" spans="1:17" x14ac:dyDescent="0.2">
      <c r="A211" s="265"/>
      <c r="F211" s="263"/>
      <c r="G211" s="264" t="str">
        <f t="array" ref="G211:P211">TRANSPOSE(Geotypes)</f>
        <v>Muy denso</v>
      </c>
      <c r="H211" s="264" t="str">
        <v>Denso</v>
      </c>
      <c r="I211" s="264" t="str">
        <v>Poco denso</v>
      </c>
      <c r="J211" s="264" t="str">
        <v>Otro</v>
      </c>
      <c r="K211" s="264" t="str">
        <v>Microceldas</v>
      </c>
      <c r="L211" s="264" t="str">
        <v>spare</v>
      </c>
      <c r="M211" s="264" t="str">
        <v>spare</v>
      </c>
      <c r="N211" s="264" t="str">
        <v>spare</v>
      </c>
      <c r="O211" s="264" t="str">
        <v>spare</v>
      </c>
      <c r="P211" s="264" t="str">
        <v>spare</v>
      </c>
    </row>
    <row r="212" spans="1:17" x14ac:dyDescent="0.2">
      <c r="A212" s="265"/>
      <c r="C212" s="268" t="s">
        <v>1027</v>
      </c>
      <c r="F212" s="263"/>
      <c r="G212" s="299">
        <f t="array" ref="G212:P212">G209*G$192:P$192</f>
        <v>30324.017992792229</v>
      </c>
      <c r="H212" s="299">
        <v>7797.6046267180027</v>
      </c>
      <c r="I212" s="299">
        <v>3032.4017992792237</v>
      </c>
      <c r="J212" s="299">
        <v>0</v>
      </c>
      <c r="K212" s="299">
        <v>2166.001285199447</v>
      </c>
      <c r="L212" s="299">
        <v>0</v>
      </c>
      <c r="M212" s="299">
        <v>0</v>
      </c>
      <c r="N212" s="299">
        <v>0</v>
      </c>
      <c r="O212" s="299">
        <v>0</v>
      </c>
      <c r="P212" s="299">
        <v>0</v>
      </c>
      <c r="Q212" s="270" t="s">
        <v>253</v>
      </c>
    </row>
    <row r="213" spans="1:17" x14ac:dyDescent="0.2">
      <c r="A213" s="265"/>
    </row>
    <row r="214" spans="1:17" ht="15.75" x14ac:dyDescent="0.2">
      <c r="B214" s="267" t="s">
        <v>1028</v>
      </c>
    </row>
    <row r="216" spans="1:17" x14ac:dyDescent="0.2">
      <c r="C216" s="268" t="s">
        <v>1364</v>
      </c>
      <c r="G216" s="306">
        <f>GSM.reuse.factor.used</f>
        <v>9</v>
      </c>
      <c r="H216" s="270" t="s">
        <v>252</v>
      </c>
      <c r="I216" s="265"/>
    </row>
    <row r="218" spans="1:17" x14ac:dyDescent="0.2">
      <c r="C218" s="268" t="s">
        <v>1365</v>
      </c>
      <c r="G218" s="265"/>
    </row>
    <row r="219" spans="1:17" x14ac:dyDescent="0.2">
      <c r="G219" s="264" t="str">
        <f t="array" ref="G219:P219">TRANSPOSE(Geotypes)</f>
        <v>Muy denso</v>
      </c>
      <c r="H219" s="264" t="str">
        <v>Denso</v>
      </c>
      <c r="I219" s="264" t="str">
        <v>Poco denso</v>
      </c>
      <c r="J219" s="264" t="str">
        <v>Otro</v>
      </c>
      <c r="K219" s="264" t="str">
        <v>Microceldas</v>
      </c>
      <c r="L219" s="264" t="str">
        <v>spare</v>
      </c>
      <c r="M219" s="264" t="str">
        <v>spare</v>
      </c>
      <c r="N219" s="264" t="str">
        <v>spare</v>
      </c>
      <c r="O219" s="264" t="str">
        <v>spare</v>
      </c>
      <c r="P219" s="264" t="str">
        <v>spare</v>
      </c>
    </row>
    <row r="220" spans="1:17" s="265" customFormat="1" x14ac:dyDescent="0.2">
      <c r="D220" s="307" t="s">
        <v>1366</v>
      </c>
    </row>
    <row r="221" spans="1:17" x14ac:dyDescent="0.2">
      <c r="A221" s="265"/>
      <c r="B221" s="265"/>
      <c r="C221" s="265"/>
      <c r="D221" s="308">
        <v>1</v>
      </c>
      <c r="E221" s="309" t="s">
        <v>251</v>
      </c>
      <c r="G221" s="310">
        <v>0</v>
      </c>
      <c r="H221" s="310">
        <v>0</v>
      </c>
      <c r="I221" s="310">
        <v>0</v>
      </c>
      <c r="J221" s="310">
        <v>0</v>
      </c>
      <c r="K221" s="310">
        <v>1</v>
      </c>
      <c r="L221" s="310">
        <v>0</v>
      </c>
      <c r="M221" s="310">
        <v>0</v>
      </c>
      <c r="N221" s="310">
        <v>0</v>
      </c>
      <c r="O221" s="310">
        <v>0</v>
      </c>
      <c r="P221" s="310">
        <v>0</v>
      </c>
    </row>
    <row r="222" spans="1:17" x14ac:dyDescent="0.2">
      <c r="D222" s="308">
        <v>2</v>
      </c>
      <c r="E222" s="309" t="s">
        <v>250</v>
      </c>
      <c r="G222" s="310">
        <v>0</v>
      </c>
      <c r="H222" s="310">
        <v>0</v>
      </c>
      <c r="I222" s="310">
        <v>0</v>
      </c>
      <c r="J222" s="310">
        <v>0</v>
      </c>
      <c r="K222" s="310">
        <v>0</v>
      </c>
      <c r="L222" s="310">
        <v>0</v>
      </c>
      <c r="M222" s="310">
        <v>0</v>
      </c>
      <c r="N222" s="310">
        <v>0</v>
      </c>
      <c r="O222" s="310">
        <v>0</v>
      </c>
      <c r="P222" s="310">
        <v>0</v>
      </c>
    </row>
    <row r="223" spans="1:17" x14ac:dyDescent="0.2">
      <c r="D223" s="308">
        <v>3</v>
      </c>
      <c r="E223" s="309" t="s">
        <v>249</v>
      </c>
      <c r="G223" s="311">
        <f t="array" ref="G223:P223">1-G221:P221-G222:P222</f>
        <v>1</v>
      </c>
      <c r="H223" s="311">
        <v>1</v>
      </c>
      <c r="I223" s="311">
        <v>1</v>
      </c>
      <c r="J223" s="311">
        <v>1</v>
      </c>
      <c r="K223" s="311">
        <v>0</v>
      </c>
      <c r="L223" s="311">
        <v>1</v>
      </c>
      <c r="M223" s="311">
        <v>1</v>
      </c>
      <c r="N223" s="311">
        <v>1</v>
      </c>
      <c r="O223" s="311">
        <v>1</v>
      </c>
      <c r="P223" s="311">
        <v>1</v>
      </c>
    </row>
    <row r="224" spans="1:17" x14ac:dyDescent="0.2">
      <c r="Q224" s="270" t="s">
        <v>248</v>
      </c>
    </row>
    <row r="226" spans="1:17" x14ac:dyDescent="0.2">
      <c r="D226" s="268" t="s">
        <v>1367</v>
      </c>
      <c r="G226" s="312">
        <f t="shared" ref="G226:P226" si="6">SUMPRODUCT(G221:G223,$D221:$D223)</f>
        <v>3</v>
      </c>
      <c r="H226" s="312">
        <f t="shared" si="6"/>
        <v>3</v>
      </c>
      <c r="I226" s="312">
        <f t="shared" si="6"/>
        <v>3</v>
      </c>
      <c r="J226" s="312">
        <f t="shared" si="6"/>
        <v>3</v>
      </c>
      <c r="K226" s="312">
        <f t="shared" si="6"/>
        <v>1</v>
      </c>
      <c r="L226" s="312">
        <f t="shared" si="6"/>
        <v>3</v>
      </c>
      <c r="M226" s="312">
        <f t="shared" si="6"/>
        <v>3</v>
      </c>
      <c r="N226" s="312">
        <f t="shared" si="6"/>
        <v>3</v>
      </c>
      <c r="O226" s="312">
        <f t="shared" si="6"/>
        <v>3</v>
      </c>
      <c r="P226" s="312">
        <f t="shared" si="6"/>
        <v>3</v>
      </c>
      <c r="Q226" s="270" t="s">
        <v>247</v>
      </c>
    </row>
    <row r="228" spans="1:17" x14ac:dyDescent="0.2">
      <c r="C228" s="268" t="s">
        <v>1373</v>
      </c>
      <c r="G228" s="265"/>
      <c r="H228" s="265"/>
      <c r="I228" s="265"/>
    </row>
    <row r="229" spans="1:17" x14ac:dyDescent="0.2">
      <c r="A229" s="265"/>
      <c r="B229" s="265"/>
      <c r="C229" s="265"/>
      <c r="E229" s="309" t="s">
        <v>1368</v>
      </c>
      <c r="G229" s="313">
        <v>8</v>
      </c>
      <c r="H229" s="313">
        <v>8</v>
      </c>
      <c r="I229" s="313">
        <v>8</v>
      </c>
      <c r="J229" s="313">
        <v>8</v>
      </c>
      <c r="K229" s="313">
        <v>8</v>
      </c>
      <c r="L229" s="313">
        <v>8</v>
      </c>
      <c r="M229" s="313">
        <v>8</v>
      </c>
      <c r="N229" s="313">
        <v>8</v>
      </c>
      <c r="O229" s="313">
        <v>8</v>
      </c>
      <c r="P229" s="313">
        <v>8</v>
      </c>
    </row>
    <row r="230" spans="1:17" x14ac:dyDescent="0.2">
      <c r="E230" s="309" t="s">
        <v>1369</v>
      </c>
      <c r="G230" s="314">
        <f t="array" ref="G230:P230">Utilisation.BTS</f>
        <v>0.8</v>
      </c>
      <c r="H230" s="314">
        <v>0.8</v>
      </c>
      <c r="I230" s="314">
        <v>0.8</v>
      </c>
      <c r="J230" s="314">
        <v>0.8</v>
      </c>
      <c r="K230" s="314">
        <v>0.8</v>
      </c>
      <c r="L230" s="314">
        <v>0.8</v>
      </c>
      <c r="M230" s="314">
        <v>0.8</v>
      </c>
      <c r="N230" s="314">
        <v>0.8</v>
      </c>
      <c r="O230" s="314">
        <v>0.8</v>
      </c>
      <c r="P230" s="314">
        <v>0.8</v>
      </c>
    </row>
    <row r="231" spans="1:17" x14ac:dyDescent="0.2">
      <c r="A231" s="265"/>
      <c r="E231" s="309" t="s">
        <v>1370</v>
      </c>
      <c r="G231" s="312">
        <f t="array" ref="G231:P231">G229:P229*G230:P230</f>
        <v>6.4</v>
      </c>
      <c r="H231" s="312">
        <v>6.4</v>
      </c>
      <c r="I231" s="312">
        <v>6.4</v>
      </c>
      <c r="J231" s="312">
        <v>6.4</v>
      </c>
      <c r="K231" s="312">
        <v>6.4</v>
      </c>
      <c r="L231" s="312">
        <v>6.4</v>
      </c>
      <c r="M231" s="312">
        <v>6.4</v>
      </c>
      <c r="N231" s="312">
        <v>6.4</v>
      </c>
      <c r="O231" s="312">
        <v>6.4</v>
      </c>
      <c r="P231" s="312">
        <v>6.4</v>
      </c>
      <c r="Q231" s="270" t="s">
        <v>246</v>
      </c>
    </row>
    <row r="234" spans="1:17" x14ac:dyDescent="0.2">
      <c r="A234" s="265"/>
      <c r="C234" s="268" t="s">
        <v>1372</v>
      </c>
    </row>
    <row r="235" spans="1:17" x14ac:dyDescent="0.2">
      <c r="A235" s="265"/>
      <c r="J235" s="294"/>
    </row>
    <row r="236" spans="1:17" x14ac:dyDescent="0.2">
      <c r="A236" s="265"/>
      <c r="D236" s="268" t="s">
        <v>1371</v>
      </c>
      <c r="G236" s="315">
        <f t="array" ref="G236:P236">Channels.GSM.Coverage/GSM.reuse</f>
        <v>2.7777777777777777</v>
      </c>
      <c r="H236" s="315">
        <v>2.7777777777777777</v>
      </c>
      <c r="I236" s="315">
        <v>2.7777777777777777</v>
      </c>
      <c r="J236" s="315">
        <v>2.7777777777777777</v>
      </c>
      <c r="K236" s="315">
        <v>2.7777777777777777</v>
      </c>
      <c r="L236" s="315">
        <v>0</v>
      </c>
      <c r="M236" s="315">
        <v>0</v>
      </c>
      <c r="N236" s="315">
        <v>0</v>
      </c>
      <c r="O236" s="315">
        <v>0</v>
      </c>
      <c r="P236" s="315">
        <v>0</v>
      </c>
    </row>
    <row r="237" spans="1:17" x14ac:dyDescent="0.2">
      <c r="A237" s="265"/>
      <c r="B237" s="265"/>
    </row>
    <row r="238" spans="1:17" x14ac:dyDescent="0.2">
      <c r="A238" s="265"/>
      <c r="B238" s="265"/>
      <c r="D238" s="268" t="s">
        <v>1375</v>
      </c>
      <c r="G238" s="315">
        <f t="array" ref="G238:P238">Channels.GSM.Capacity/GSM.reuse</f>
        <v>5.5555555555555554</v>
      </c>
      <c r="H238" s="315">
        <v>5.5555555555555554</v>
      </c>
      <c r="I238" s="315">
        <v>5.5555555555555554</v>
      </c>
      <c r="J238" s="315">
        <v>5.5555555555555554</v>
      </c>
      <c r="K238" s="315">
        <v>5.5555555555555554</v>
      </c>
      <c r="L238" s="315">
        <v>0</v>
      </c>
      <c r="M238" s="315">
        <v>0</v>
      </c>
      <c r="N238" s="315">
        <v>0</v>
      </c>
      <c r="O238" s="315">
        <v>0</v>
      </c>
      <c r="P238" s="315">
        <v>0</v>
      </c>
    </row>
    <row r="239" spans="1:17" x14ac:dyDescent="0.2">
      <c r="A239" s="265"/>
      <c r="B239" s="265"/>
    </row>
    <row r="240" spans="1:17" x14ac:dyDescent="0.2">
      <c r="A240" s="265"/>
      <c r="C240" s="268" t="s">
        <v>1374</v>
      </c>
    </row>
    <row r="242" spans="3:17" x14ac:dyDescent="0.2">
      <c r="D242" s="268" t="s">
        <v>1371</v>
      </c>
      <c r="G242" s="312">
        <f t="shared" ref="G242:P242" si="7">MIN(G231,G236)</f>
        <v>2.7777777777777777</v>
      </c>
      <c r="H242" s="312">
        <f t="shared" si="7"/>
        <v>2.7777777777777777</v>
      </c>
      <c r="I242" s="312">
        <f t="shared" si="7"/>
        <v>2.7777777777777777</v>
      </c>
      <c r="J242" s="312">
        <f t="shared" si="7"/>
        <v>2.7777777777777777</v>
      </c>
      <c r="K242" s="312">
        <f t="shared" si="7"/>
        <v>2.7777777777777777</v>
      </c>
      <c r="L242" s="312">
        <f t="shared" si="7"/>
        <v>0</v>
      </c>
      <c r="M242" s="312">
        <f t="shared" si="7"/>
        <v>0</v>
      </c>
      <c r="N242" s="312">
        <f t="shared" si="7"/>
        <v>0</v>
      </c>
      <c r="O242" s="312">
        <f t="shared" si="7"/>
        <v>0</v>
      </c>
      <c r="P242" s="312">
        <f t="shared" si="7"/>
        <v>0</v>
      </c>
      <c r="Q242" s="270" t="s">
        <v>245</v>
      </c>
    </row>
    <row r="244" spans="3:17" x14ac:dyDescent="0.2">
      <c r="D244" s="268" t="s">
        <v>1375</v>
      </c>
      <c r="G244" s="312">
        <f t="shared" ref="G244:P244" si="8">MIN(G231,G238)</f>
        <v>5.5555555555555554</v>
      </c>
      <c r="H244" s="312">
        <f t="shared" si="8"/>
        <v>5.5555555555555554</v>
      </c>
      <c r="I244" s="312">
        <f t="shared" si="8"/>
        <v>5.5555555555555554</v>
      </c>
      <c r="J244" s="312">
        <f t="shared" si="8"/>
        <v>5.5555555555555554</v>
      </c>
      <c r="K244" s="312">
        <f t="shared" si="8"/>
        <v>5.5555555555555554</v>
      </c>
      <c r="L244" s="312">
        <f t="shared" si="8"/>
        <v>0</v>
      </c>
      <c r="M244" s="312">
        <f t="shared" si="8"/>
        <v>0</v>
      </c>
      <c r="N244" s="312">
        <f t="shared" si="8"/>
        <v>0</v>
      </c>
      <c r="O244" s="312">
        <f t="shared" si="8"/>
        <v>0</v>
      </c>
      <c r="P244" s="312">
        <f t="shared" si="8"/>
        <v>0</v>
      </c>
      <c r="Q244" s="270" t="s">
        <v>244</v>
      </c>
    </row>
    <row r="245" spans="3:17" x14ac:dyDescent="0.2">
      <c r="D245" s="268"/>
    </row>
    <row r="246" spans="3:17" x14ac:dyDescent="0.2">
      <c r="D246" s="268" t="s">
        <v>1552</v>
      </c>
      <c r="G246" s="312">
        <f t="shared" ref="G246:P246" si="9">MIN(G231,G236+G238)</f>
        <v>6.4</v>
      </c>
      <c r="H246" s="312">
        <f t="shared" si="9"/>
        <v>6.4</v>
      </c>
      <c r="I246" s="312">
        <f t="shared" si="9"/>
        <v>6.4</v>
      </c>
      <c r="J246" s="312">
        <f t="shared" si="9"/>
        <v>6.4</v>
      </c>
      <c r="K246" s="312">
        <f t="shared" si="9"/>
        <v>6.4</v>
      </c>
      <c r="L246" s="312">
        <f t="shared" si="9"/>
        <v>0</v>
      </c>
      <c r="M246" s="312">
        <f t="shared" si="9"/>
        <v>0</v>
      </c>
      <c r="N246" s="312">
        <f t="shared" si="9"/>
        <v>0</v>
      </c>
      <c r="O246" s="312">
        <f t="shared" si="9"/>
        <v>0</v>
      </c>
      <c r="P246" s="312">
        <f t="shared" si="9"/>
        <v>0</v>
      </c>
      <c r="Q246" s="270" t="s">
        <v>1258</v>
      </c>
    </row>
    <row r="249" spans="3:17" x14ac:dyDescent="0.2">
      <c r="C249" s="268" t="s">
        <v>1376</v>
      </c>
    </row>
    <row r="251" spans="3:17" x14ac:dyDescent="0.2">
      <c r="D251" s="268" t="s">
        <v>1371</v>
      </c>
      <c r="G251" s="316">
        <f>Minimum.TRX.per.sector</f>
        <v>1</v>
      </c>
      <c r="H251" s="317">
        <f>G251</f>
        <v>1</v>
      </c>
      <c r="I251" s="317">
        <f t="shared" ref="I251:P251" si="10">H251</f>
        <v>1</v>
      </c>
      <c r="J251" s="317">
        <f t="shared" si="10"/>
        <v>1</v>
      </c>
      <c r="K251" s="317">
        <f t="shared" si="10"/>
        <v>1</v>
      </c>
      <c r="L251" s="317">
        <f t="shared" si="10"/>
        <v>1</v>
      </c>
      <c r="M251" s="317">
        <f t="shared" si="10"/>
        <v>1</v>
      </c>
      <c r="N251" s="317">
        <f t="shared" si="10"/>
        <v>1</v>
      </c>
      <c r="O251" s="317">
        <f t="shared" si="10"/>
        <v>1</v>
      </c>
      <c r="P251" s="317">
        <f t="shared" si="10"/>
        <v>1</v>
      </c>
      <c r="Q251" s="270" t="s">
        <v>243</v>
      </c>
    </row>
    <row r="253" spans="3:17" x14ac:dyDescent="0.2">
      <c r="D253" s="268" t="s">
        <v>1375</v>
      </c>
      <c r="G253" s="316">
        <f>Minimum.TRX.per.sector</f>
        <v>1</v>
      </c>
      <c r="H253" s="317">
        <f>G253</f>
        <v>1</v>
      </c>
      <c r="I253" s="317">
        <f t="shared" ref="I253" si="11">H253</f>
        <v>1</v>
      </c>
      <c r="J253" s="317">
        <f t="shared" ref="J253" si="12">I253</f>
        <v>1</v>
      </c>
      <c r="K253" s="317">
        <f t="shared" ref="K253" si="13">J253</f>
        <v>1</v>
      </c>
      <c r="L253" s="317">
        <f t="shared" ref="L253" si="14">K253</f>
        <v>1</v>
      </c>
      <c r="M253" s="317">
        <f t="shared" ref="M253" si="15">L253</f>
        <v>1</v>
      </c>
      <c r="N253" s="317">
        <f t="shared" ref="N253" si="16">M253</f>
        <v>1</v>
      </c>
      <c r="O253" s="317">
        <f t="shared" ref="O253" si="17">N253</f>
        <v>1</v>
      </c>
      <c r="P253" s="317">
        <f t="shared" ref="P253" si="18">O253</f>
        <v>1</v>
      </c>
      <c r="Q253" s="270" t="s">
        <v>242</v>
      </c>
    </row>
    <row r="256" spans="3:17" x14ac:dyDescent="0.2">
      <c r="C256" s="280" t="s">
        <v>1379</v>
      </c>
      <c r="D256" s="318"/>
      <c r="E256" s="265"/>
      <c r="G256" s="265"/>
      <c r="H256" s="265"/>
      <c r="L256" s="265"/>
    </row>
    <row r="257" spans="1:20" ht="48" x14ac:dyDescent="0.2">
      <c r="C257" s="265"/>
      <c r="D257" s="318"/>
      <c r="E257" s="265"/>
      <c r="G257" s="264" t="s">
        <v>1932</v>
      </c>
      <c r="H257" s="264" t="s">
        <v>1377</v>
      </c>
      <c r="I257" s="319" t="s">
        <v>1378</v>
      </c>
      <c r="K257" s="265"/>
      <c r="L257" s="265"/>
    </row>
    <row r="258" spans="1:20" x14ac:dyDescent="0.2">
      <c r="C258" s="265"/>
      <c r="D258" s="265"/>
      <c r="E258" s="265"/>
      <c r="G258" s="320">
        <v>18</v>
      </c>
      <c r="H258" s="321">
        <v>0.5</v>
      </c>
      <c r="I258" s="265"/>
      <c r="K258" s="265"/>
      <c r="L258" s="265"/>
    </row>
    <row r="259" spans="1:20" x14ac:dyDescent="0.2">
      <c r="C259" s="265"/>
      <c r="D259" s="265"/>
      <c r="E259" s="265"/>
      <c r="G259" s="270" t="s">
        <v>241</v>
      </c>
      <c r="H259" s="270" t="s">
        <v>240</v>
      </c>
      <c r="I259" s="265"/>
      <c r="L259" s="265"/>
    </row>
    <row r="260" spans="1:20" x14ac:dyDescent="0.2">
      <c r="C260" s="265"/>
      <c r="D260" s="265"/>
      <c r="E260" s="265"/>
      <c r="I260" s="265"/>
      <c r="J260" s="265"/>
      <c r="K260" s="265"/>
      <c r="L260" s="265"/>
      <c r="M260" s="265"/>
      <c r="N260" s="265"/>
      <c r="O260" s="265"/>
      <c r="P260" s="265"/>
    </row>
    <row r="261" spans="1:20" ht="24" x14ac:dyDescent="0.2">
      <c r="D261" s="265"/>
      <c r="E261" s="265"/>
      <c r="G261" s="264" t="s">
        <v>1381</v>
      </c>
      <c r="H261" s="264" t="s">
        <v>1382</v>
      </c>
      <c r="I261" s="264" t="s">
        <v>1383</v>
      </c>
      <c r="J261" s="264" t="s">
        <v>1380</v>
      </c>
      <c r="K261" s="265"/>
      <c r="L261" s="265"/>
      <c r="M261" s="265"/>
      <c r="N261" s="265"/>
      <c r="O261" s="265"/>
      <c r="P261" s="265"/>
    </row>
    <row r="262" spans="1:20" x14ac:dyDescent="0.2">
      <c r="C262" s="265"/>
      <c r="D262" s="265"/>
      <c r="E262" s="265"/>
      <c r="G262" s="322">
        <v>16</v>
      </c>
      <c r="H262" s="322">
        <v>24</v>
      </c>
      <c r="I262" s="322">
        <v>64</v>
      </c>
      <c r="J262" s="279">
        <f>I262/H262</f>
        <v>2.6666666666666665</v>
      </c>
      <c r="K262" s="265"/>
      <c r="L262" s="265"/>
      <c r="M262" s="265"/>
      <c r="N262" s="265"/>
      <c r="O262" s="265"/>
      <c r="P262" s="265"/>
    </row>
    <row r="263" spans="1:20" x14ac:dyDescent="0.2">
      <c r="G263" s="270" t="s">
        <v>239</v>
      </c>
      <c r="H263" s="270" t="s">
        <v>27</v>
      </c>
      <c r="I263" s="270" t="s">
        <v>238</v>
      </c>
      <c r="J263" s="323" t="s">
        <v>237</v>
      </c>
    </row>
    <row r="266" spans="1:20" x14ac:dyDescent="0.2">
      <c r="C266" s="280" t="s">
        <v>601</v>
      </c>
      <c r="G266" s="324">
        <f>GSM.Blocking.Rate.Used</f>
        <v>0.02</v>
      </c>
      <c r="H266" s="270" t="s">
        <v>236</v>
      </c>
    </row>
    <row r="270" spans="1:20" s="265" customFormat="1" ht="15.75" x14ac:dyDescent="0.2">
      <c r="A270" s="266" t="s">
        <v>1384</v>
      </c>
      <c r="B270" s="266"/>
      <c r="C270" s="266"/>
      <c r="D270" s="266"/>
      <c r="E270" s="266"/>
      <c r="F270" s="266"/>
      <c r="G270" s="266"/>
      <c r="H270" s="266"/>
      <c r="I270" s="266"/>
      <c r="J270" s="266"/>
      <c r="K270" s="266"/>
      <c r="L270" s="266"/>
      <c r="M270" s="266"/>
      <c r="N270" s="266"/>
      <c r="O270" s="266"/>
      <c r="P270" s="266"/>
      <c r="Q270" s="266"/>
      <c r="R270" s="266"/>
      <c r="S270" s="266"/>
      <c r="T270" s="266"/>
    </row>
    <row r="272" spans="1:20" ht="15.75" x14ac:dyDescent="0.2">
      <c r="A272" s="265"/>
      <c r="B272" s="267" t="s">
        <v>1385</v>
      </c>
    </row>
    <row r="273" spans="1:17" x14ac:dyDescent="0.2">
      <c r="A273" s="265"/>
    </row>
    <row r="274" spans="1:17" x14ac:dyDescent="0.2">
      <c r="A274" s="265"/>
      <c r="C274" s="268" t="s">
        <v>1553</v>
      </c>
      <c r="F274" s="263"/>
    </row>
    <row r="275" spans="1:17" x14ac:dyDescent="0.2">
      <c r="A275" s="265"/>
      <c r="D275" s="263" t="s">
        <v>1386</v>
      </c>
      <c r="F275" s="263"/>
      <c r="G275" s="271">
        <f>Network.peak.UMTS.BHE</f>
        <v>156494.38531708569</v>
      </c>
      <c r="H275" s="265"/>
      <c r="I275" s="265"/>
      <c r="J275" s="265"/>
      <c r="K275" s="265"/>
      <c r="L275" s="265"/>
      <c r="M275" s="265"/>
      <c r="N275" s="265"/>
      <c r="O275" s="265"/>
      <c r="P275" s="265"/>
    </row>
    <row r="276" spans="1:17" x14ac:dyDescent="0.2">
      <c r="A276" s="265"/>
      <c r="F276" s="263"/>
      <c r="H276" s="265"/>
      <c r="I276" s="265"/>
      <c r="J276" s="265"/>
      <c r="K276" s="265"/>
      <c r="L276" s="265"/>
      <c r="M276" s="265"/>
      <c r="N276" s="265"/>
      <c r="O276" s="265"/>
      <c r="P276" s="265"/>
    </row>
    <row r="277" spans="1:17" x14ac:dyDescent="0.2">
      <c r="A277" s="265"/>
      <c r="D277" s="263" t="s">
        <v>763</v>
      </c>
      <c r="F277" s="263"/>
      <c r="G277" s="271">
        <f>Network.peak.UMTS.voice.BHE</f>
        <v>129960.07711196668</v>
      </c>
      <c r="H277" s="265"/>
      <c r="I277" s="265"/>
      <c r="J277" s="265"/>
      <c r="K277" s="265"/>
      <c r="L277" s="265"/>
      <c r="M277" s="265"/>
      <c r="N277" s="265"/>
      <c r="O277" s="265"/>
      <c r="P277" s="265"/>
    </row>
    <row r="278" spans="1:17" x14ac:dyDescent="0.2">
      <c r="A278" s="265"/>
      <c r="D278" s="263" t="s">
        <v>764</v>
      </c>
      <c r="F278" s="263"/>
      <c r="G278" s="271">
        <f>Network.peak.UMTS.data.BHE</f>
        <v>26534.308205119021</v>
      </c>
      <c r="H278" s="265"/>
      <c r="I278" s="265"/>
      <c r="J278" s="265"/>
      <c r="K278" s="265"/>
      <c r="L278" s="265"/>
      <c r="M278" s="265"/>
      <c r="N278" s="265"/>
      <c r="O278" s="265"/>
      <c r="P278" s="265"/>
    </row>
    <row r="279" spans="1:17" x14ac:dyDescent="0.2">
      <c r="A279" s="265"/>
      <c r="F279" s="263"/>
    </row>
    <row r="280" spans="1:17" x14ac:dyDescent="0.2">
      <c r="A280" s="265"/>
      <c r="C280" s="268" t="s">
        <v>1554</v>
      </c>
      <c r="F280" s="263"/>
    </row>
    <row r="281" spans="1:17" x14ac:dyDescent="0.2">
      <c r="A281" s="265"/>
      <c r="F281" s="263"/>
      <c r="G281" s="264" t="str">
        <f t="array" ref="G281:P281">TRANSPOSE(Geotypes)</f>
        <v>Muy denso</v>
      </c>
      <c r="H281" s="264" t="str">
        <v>Denso</v>
      </c>
      <c r="I281" s="264" t="str">
        <v>Poco denso</v>
      </c>
      <c r="J281" s="264" t="str">
        <v>Otro</v>
      </c>
      <c r="K281" s="264" t="str">
        <v>Microceldas</v>
      </c>
      <c r="L281" s="264" t="str">
        <v>spare</v>
      </c>
      <c r="M281" s="264" t="str">
        <v>spare</v>
      </c>
      <c r="N281" s="264" t="str">
        <v>spare</v>
      </c>
      <c r="O281" s="264" t="str">
        <v>spare</v>
      </c>
      <c r="P281" s="264" t="str">
        <v>spare</v>
      </c>
    </row>
    <row r="282" spans="1:17" x14ac:dyDescent="0.2">
      <c r="A282" s="265"/>
      <c r="F282" s="263"/>
      <c r="G282" s="299">
        <f t="array" ref="G282:P282">G277*G$193:P$193+G278*G$199:P$199</f>
        <v>108750.04047580643</v>
      </c>
      <c r="H282" s="299">
        <v>31298.877063417138</v>
      </c>
      <c r="I282" s="299">
        <v>9151.4346761102352</v>
      </c>
      <c r="J282" s="299">
        <v>0</v>
      </c>
      <c r="K282" s="299">
        <v>7294.0331017519075</v>
      </c>
      <c r="L282" s="299">
        <v>0</v>
      </c>
      <c r="M282" s="299">
        <v>0</v>
      </c>
      <c r="N282" s="299">
        <v>0</v>
      </c>
      <c r="O282" s="299">
        <v>0</v>
      </c>
      <c r="P282" s="299">
        <v>0</v>
      </c>
      <c r="Q282" s="270" t="s">
        <v>235</v>
      </c>
    </row>
    <row r="283" spans="1:17" x14ac:dyDescent="0.2">
      <c r="A283" s="265"/>
    </row>
    <row r="284" spans="1:17" x14ac:dyDescent="0.2">
      <c r="A284" s="265"/>
      <c r="D284" s="263" t="s">
        <v>763</v>
      </c>
      <c r="F284" s="263"/>
      <c r="G284" s="299">
        <f t="array" ref="G284:P284">G277*G$193:P$193</f>
        <v>90972.053978376673</v>
      </c>
      <c r="H284" s="299">
        <v>25992.015422393335</v>
      </c>
      <c r="I284" s="299">
        <v>6498.0038555983338</v>
      </c>
      <c r="J284" s="299">
        <v>0</v>
      </c>
      <c r="K284" s="299">
        <v>6498.0038555983392</v>
      </c>
      <c r="L284" s="299">
        <v>0</v>
      </c>
      <c r="M284" s="299">
        <v>0</v>
      </c>
      <c r="N284" s="299">
        <v>0</v>
      </c>
      <c r="O284" s="299">
        <v>0</v>
      </c>
      <c r="P284" s="299">
        <v>0</v>
      </c>
      <c r="Q284" s="270" t="s">
        <v>1271</v>
      </c>
    </row>
    <row r="285" spans="1:17" x14ac:dyDescent="0.2">
      <c r="A285" s="265"/>
      <c r="D285" s="263" t="s">
        <v>764</v>
      </c>
      <c r="F285" s="263"/>
      <c r="G285" s="299">
        <f t="array" ref="G285:P285">G278*G$199:P$199</f>
        <v>17777.986497429745</v>
      </c>
      <c r="H285" s="299">
        <v>5306.8616410238046</v>
      </c>
      <c r="I285" s="299">
        <v>2653.4308205119023</v>
      </c>
      <c r="J285" s="299">
        <v>0</v>
      </c>
      <c r="K285" s="299">
        <v>796.02924615356835</v>
      </c>
      <c r="L285" s="299">
        <v>0</v>
      </c>
      <c r="M285" s="299">
        <v>0</v>
      </c>
      <c r="N285" s="299">
        <v>0</v>
      </c>
      <c r="O285" s="299">
        <v>0</v>
      </c>
      <c r="P285" s="299">
        <v>0</v>
      </c>
      <c r="Q285" s="270" t="s">
        <v>1272</v>
      </c>
    </row>
    <row r="286" spans="1:17" x14ac:dyDescent="0.2">
      <c r="A286" s="265"/>
      <c r="F286" s="263"/>
    </row>
    <row r="288" spans="1:17" ht="15.75" x14ac:dyDescent="0.2">
      <c r="B288" s="267" t="s">
        <v>1388</v>
      </c>
    </row>
    <row r="290" spans="3:17" x14ac:dyDescent="0.2">
      <c r="C290" s="268" t="s">
        <v>1389</v>
      </c>
      <c r="G290" s="296">
        <v>3</v>
      </c>
      <c r="H290" s="296">
        <v>3</v>
      </c>
      <c r="I290" s="296">
        <v>3</v>
      </c>
      <c r="J290" s="296">
        <v>3</v>
      </c>
      <c r="K290" s="296">
        <v>1</v>
      </c>
      <c r="L290" s="296">
        <v>0</v>
      </c>
      <c r="M290" s="296">
        <v>0</v>
      </c>
      <c r="N290" s="296">
        <v>0</v>
      </c>
      <c r="O290" s="296">
        <v>0</v>
      </c>
      <c r="P290" s="296">
        <v>0</v>
      </c>
      <c r="Q290" s="270" t="s">
        <v>1320</v>
      </c>
    </row>
    <row r="292" spans="3:17" x14ac:dyDescent="0.2">
      <c r="C292" s="280" t="s">
        <v>1555</v>
      </c>
      <c r="D292" s="265"/>
      <c r="E292" s="265"/>
      <c r="G292" s="325">
        <v>1.6E-2</v>
      </c>
      <c r="H292" s="270" t="s">
        <v>26</v>
      </c>
      <c r="I292" s="265"/>
      <c r="J292" s="265"/>
      <c r="K292" s="265"/>
      <c r="L292" s="265"/>
    </row>
    <row r="293" spans="3:17" x14ac:dyDescent="0.2">
      <c r="C293" s="265"/>
      <c r="D293" s="265"/>
      <c r="E293" s="265"/>
      <c r="G293" s="265"/>
      <c r="H293" s="265"/>
      <c r="K293" s="265"/>
      <c r="L293" s="265"/>
    </row>
    <row r="294" spans="3:17" x14ac:dyDescent="0.2">
      <c r="C294" s="280" t="s">
        <v>1390</v>
      </c>
      <c r="D294" s="265"/>
      <c r="E294" s="265"/>
      <c r="G294" s="265"/>
      <c r="H294" s="265"/>
      <c r="I294" s="265"/>
      <c r="J294" s="270"/>
      <c r="K294" s="265"/>
      <c r="L294" s="265"/>
    </row>
    <row r="295" spans="3:17" x14ac:dyDescent="0.2">
      <c r="C295" s="265"/>
      <c r="D295" s="326" t="s">
        <v>35</v>
      </c>
      <c r="E295" s="265"/>
      <c r="G295" s="327">
        <v>0.2</v>
      </c>
      <c r="H295" s="270" t="s">
        <v>37</v>
      </c>
      <c r="I295" s="318"/>
      <c r="J295" s="328" t="s">
        <v>1705</v>
      </c>
    </row>
    <row r="296" spans="3:17" x14ac:dyDescent="0.2">
      <c r="C296" s="265"/>
      <c r="D296" s="326" t="s">
        <v>36</v>
      </c>
      <c r="E296" s="265"/>
      <c r="G296" s="327">
        <v>0.1</v>
      </c>
      <c r="H296" s="270" t="s">
        <v>38</v>
      </c>
      <c r="I296" s="318"/>
      <c r="J296" s="328" t="s">
        <v>1704</v>
      </c>
    </row>
    <row r="297" spans="3:17" x14ac:dyDescent="0.2">
      <c r="C297" s="265"/>
      <c r="D297" s="265"/>
      <c r="E297" s="265"/>
      <c r="G297" s="265"/>
      <c r="H297" s="265"/>
      <c r="I297" s="265"/>
      <c r="J297" s="265"/>
    </row>
    <row r="298" spans="3:17" x14ac:dyDescent="0.2">
      <c r="C298" s="280" t="s">
        <v>1392</v>
      </c>
      <c r="D298" s="265"/>
      <c r="E298" s="265"/>
      <c r="G298" s="325">
        <v>16</v>
      </c>
      <c r="H298" s="270" t="s">
        <v>234</v>
      </c>
      <c r="I298" s="265"/>
      <c r="J298" s="328" t="s">
        <v>1706</v>
      </c>
    </row>
    <row r="299" spans="3:17" x14ac:dyDescent="0.2">
      <c r="C299" s="265"/>
      <c r="D299" s="265"/>
      <c r="E299" s="265"/>
      <c r="G299" s="265"/>
      <c r="H299" s="265"/>
      <c r="I299" s="265"/>
      <c r="J299" s="265"/>
    </row>
    <row r="300" spans="3:17" x14ac:dyDescent="0.2">
      <c r="C300" s="280" t="s">
        <v>1393</v>
      </c>
      <c r="D300" s="265"/>
      <c r="E300" s="265"/>
      <c r="G300" s="325">
        <v>48</v>
      </c>
      <c r="H300" s="270" t="s">
        <v>233</v>
      </c>
      <c r="I300" s="265"/>
      <c r="J300" s="328" t="s">
        <v>1706</v>
      </c>
    </row>
    <row r="301" spans="3:17" x14ac:dyDescent="0.2">
      <c r="C301" s="265"/>
      <c r="D301" s="265"/>
      <c r="E301" s="265"/>
      <c r="G301" s="265"/>
      <c r="H301" s="270"/>
      <c r="I301" s="265"/>
      <c r="J301" s="265"/>
    </row>
    <row r="302" spans="3:17" x14ac:dyDescent="0.2">
      <c r="C302" s="280" t="s">
        <v>1394</v>
      </c>
      <c r="D302" s="265"/>
      <c r="E302" s="265"/>
      <c r="G302" s="325">
        <v>384</v>
      </c>
      <c r="H302" s="270" t="s">
        <v>232</v>
      </c>
      <c r="I302" s="265"/>
      <c r="J302" s="328" t="s">
        <v>1706</v>
      </c>
    </row>
    <row r="303" spans="3:17" x14ac:dyDescent="0.2">
      <c r="C303" s="265"/>
      <c r="D303" s="265"/>
      <c r="E303" s="265"/>
      <c r="G303" s="265"/>
      <c r="H303" s="265"/>
      <c r="I303" s="265"/>
      <c r="J303" s="265"/>
    </row>
    <row r="304" spans="3:17" x14ac:dyDescent="0.2">
      <c r="C304" s="280" t="s">
        <v>1556</v>
      </c>
      <c r="D304" s="265"/>
      <c r="E304" s="265"/>
      <c r="G304" s="329">
        <v>0.02</v>
      </c>
      <c r="H304" s="270" t="s">
        <v>1259</v>
      </c>
      <c r="I304" s="265"/>
      <c r="J304" s="265"/>
    </row>
    <row r="305" spans="1:20" x14ac:dyDescent="0.2">
      <c r="C305" s="265"/>
      <c r="D305" s="265"/>
      <c r="E305" s="265"/>
      <c r="G305" s="265"/>
      <c r="H305" s="265"/>
      <c r="I305" s="265"/>
      <c r="J305" s="265"/>
    </row>
    <row r="306" spans="1:20" x14ac:dyDescent="0.2">
      <c r="C306" s="268" t="s">
        <v>1391</v>
      </c>
      <c r="G306" s="325">
        <v>16</v>
      </c>
      <c r="H306" s="270" t="s">
        <v>231</v>
      </c>
    </row>
    <row r="310" spans="1:20" s="265" customFormat="1" ht="15.75" x14ac:dyDescent="0.2">
      <c r="A310" s="266" t="s">
        <v>1395</v>
      </c>
      <c r="B310" s="266"/>
      <c r="C310" s="266"/>
      <c r="D310" s="266"/>
      <c r="E310" s="266"/>
      <c r="F310" s="266"/>
      <c r="G310" s="266"/>
      <c r="H310" s="266"/>
      <c r="I310" s="266"/>
      <c r="J310" s="266"/>
      <c r="K310" s="266"/>
      <c r="L310" s="266"/>
      <c r="M310" s="266"/>
      <c r="N310" s="266"/>
      <c r="O310" s="266"/>
      <c r="P310" s="266"/>
      <c r="Q310" s="266"/>
      <c r="R310" s="266"/>
      <c r="S310" s="266"/>
      <c r="T310" s="266"/>
    </row>
    <row r="312" spans="1:20" ht="15.75" x14ac:dyDescent="0.2">
      <c r="B312" s="267" t="s">
        <v>1396</v>
      </c>
    </row>
    <row r="313" spans="1:20" x14ac:dyDescent="0.2">
      <c r="A313" s="265"/>
    </row>
    <row r="314" spans="1:20" x14ac:dyDescent="0.2">
      <c r="A314" s="265"/>
      <c r="C314" s="268" t="s">
        <v>1397</v>
      </c>
      <c r="F314" s="263"/>
      <c r="G314" s="305">
        <f>Network.load.HSDPA</f>
        <v>27737.19684375108</v>
      </c>
      <c r="H314" s="265"/>
    </row>
    <row r="315" spans="1:20" x14ac:dyDescent="0.2">
      <c r="A315" s="265"/>
      <c r="F315" s="263"/>
    </row>
    <row r="316" spans="1:20" x14ac:dyDescent="0.2">
      <c r="A316" s="265"/>
      <c r="F316" s="263"/>
      <c r="G316" s="264" t="str">
        <f t="array" ref="G316:P316">TRANSPOSE(Geotypes)</f>
        <v>Muy denso</v>
      </c>
      <c r="H316" s="264" t="str">
        <v>Denso</v>
      </c>
      <c r="I316" s="264" t="str">
        <v>Poco denso</v>
      </c>
      <c r="J316" s="264" t="str">
        <v>Otro</v>
      </c>
      <c r="K316" s="264" t="str">
        <v>Microceldas</v>
      </c>
      <c r="L316" s="264" t="str">
        <v>spare</v>
      </c>
      <c r="M316" s="264" t="str">
        <v>spare</v>
      </c>
      <c r="N316" s="264" t="str">
        <v>spare</v>
      </c>
      <c r="O316" s="264" t="str">
        <v>spare</v>
      </c>
      <c r="P316" s="264" t="str">
        <v>spare</v>
      </c>
    </row>
    <row r="317" spans="1:20" x14ac:dyDescent="0.2">
      <c r="A317" s="265"/>
      <c r="C317" s="268" t="s">
        <v>1398</v>
      </c>
      <c r="F317" s="263"/>
      <c r="G317" s="293">
        <f t="array" ref="G317:P317">G314*G$200:P$200</f>
        <v>18583.921885313226</v>
      </c>
      <c r="H317" s="293">
        <v>5547.4393687502161</v>
      </c>
      <c r="I317" s="293">
        <v>2773.719684375108</v>
      </c>
      <c r="J317" s="293">
        <v>0</v>
      </c>
      <c r="K317" s="293">
        <v>832.11590531253012</v>
      </c>
      <c r="L317" s="293">
        <v>0</v>
      </c>
      <c r="M317" s="293">
        <v>0</v>
      </c>
      <c r="N317" s="293">
        <v>0</v>
      </c>
      <c r="O317" s="293">
        <v>0</v>
      </c>
      <c r="P317" s="293">
        <v>0</v>
      </c>
      <c r="Q317" s="270" t="s">
        <v>230</v>
      </c>
    </row>
    <row r="318" spans="1:20" x14ac:dyDescent="0.2">
      <c r="A318" s="265"/>
      <c r="F318" s="263"/>
    </row>
    <row r="319" spans="1:20" x14ac:dyDescent="0.2">
      <c r="A319" s="265"/>
      <c r="C319" s="268" t="s">
        <v>1399</v>
      </c>
      <c r="F319" s="263"/>
      <c r="G319" s="305">
        <f>Network.load.HSUPA</f>
        <v>6934.2992109377692</v>
      </c>
      <c r="H319" s="265"/>
    </row>
    <row r="320" spans="1:20" x14ac:dyDescent="0.2">
      <c r="A320" s="265"/>
      <c r="F320" s="263"/>
    </row>
    <row r="321" spans="1:17" x14ac:dyDescent="0.2">
      <c r="A321" s="265"/>
      <c r="F321" s="263"/>
      <c r="G321" s="264" t="str">
        <f t="array" ref="G321:P321">TRANSPOSE(Geotypes)</f>
        <v>Muy denso</v>
      </c>
      <c r="H321" s="264" t="str">
        <v>Denso</v>
      </c>
      <c r="I321" s="264" t="str">
        <v>Poco denso</v>
      </c>
      <c r="J321" s="264" t="str">
        <v>Otro</v>
      </c>
      <c r="K321" s="264" t="str">
        <v>Microceldas</v>
      </c>
      <c r="L321" s="264" t="str">
        <v>spare</v>
      </c>
      <c r="M321" s="264" t="str">
        <v>spare</v>
      </c>
      <c r="N321" s="264" t="str">
        <v>spare</v>
      </c>
      <c r="O321" s="264" t="str">
        <v>spare</v>
      </c>
      <c r="P321" s="264" t="str">
        <v>spare</v>
      </c>
    </row>
    <row r="322" spans="1:17" x14ac:dyDescent="0.2">
      <c r="A322" s="265"/>
      <c r="C322" s="268" t="s">
        <v>1400</v>
      </c>
      <c r="F322" s="263"/>
      <c r="G322" s="293">
        <f t="array" ref="G322:P322">G319*G$200:P$200</f>
        <v>4645.9804713283056</v>
      </c>
      <c r="H322" s="293">
        <v>1386.859842187554</v>
      </c>
      <c r="I322" s="293">
        <v>693.42992109377701</v>
      </c>
      <c r="J322" s="293">
        <v>0</v>
      </c>
      <c r="K322" s="293">
        <v>208.0289763281325</v>
      </c>
      <c r="L322" s="293">
        <v>0</v>
      </c>
      <c r="M322" s="293">
        <v>0</v>
      </c>
      <c r="N322" s="293">
        <v>0</v>
      </c>
      <c r="O322" s="293">
        <v>0</v>
      </c>
      <c r="P322" s="293">
        <v>0</v>
      </c>
      <c r="Q322" s="270" t="s">
        <v>229</v>
      </c>
    </row>
    <row r="325" spans="1:17" ht="15.75" x14ac:dyDescent="0.2">
      <c r="B325" s="267" t="s">
        <v>1401</v>
      </c>
    </row>
    <row r="327" spans="1:17" x14ac:dyDescent="0.2">
      <c r="C327" s="280" t="s">
        <v>1402</v>
      </c>
      <c r="D327" s="265"/>
      <c r="E327" s="265"/>
      <c r="G327" s="330">
        <v>0.4</v>
      </c>
      <c r="H327" s="270" t="s">
        <v>228</v>
      </c>
      <c r="I327" s="265"/>
      <c r="J327" s="328" t="s">
        <v>227</v>
      </c>
      <c r="K327" s="265"/>
    </row>
    <row r="328" spans="1:17" x14ac:dyDescent="0.2">
      <c r="C328" s="265"/>
      <c r="D328" s="265"/>
      <c r="E328" s="265"/>
      <c r="H328" s="265"/>
      <c r="J328" s="265"/>
      <c r="K328" s="265"/>
      <c r="L328" s="331"/>
    </row>
    <row r="329" spans="1:17" x14ac:dyDescent="0.2">
      <c r="C329" s="265"/>
      <c r="D329" s="265"/>
      <c r="E329" s="265"/>
      <c r="H329" s="265"/>
      <c r="J329" s="265"/>
      <c r="K329" s="265"/>
      <c r="L329" s="331"/>
    </row>
    <row r="330" spans="1:17" ht="15.75" x14ac:dyDescent="0.2">
      <c r="B330" s="267" t="s">
        <v>8</v>
      </c>
      <c r="C330" s="265"/>
      <c r="D330" s="265"/>
      <c r="H330" s="265"/>
      <c r="J330" s="265"/>
      <c r="K330" s="265"/>
      <c r="L330" s="331"/>
    </row>
    <row r="331" spans="1:17" x14ac:dyDescent="0.2">
      <c r="C331" s="265"/>
      <c r="D331" s="265"/>
      <c r="H331" s="265"/>
      <c r="J331" s="265"/>
      <c r="K331" s="265"/>
      <c r="L331" s="331"/>
    </row>
    <row r="332" spans="1:17" x14ac:dyDescent="0.2">
      <c r="C332" s="280" t="s">
        <v>1403</v>
      </c>
      <c r="D332" s="265"/>
      <c r="G332" s="264" t="s">
        <v>181</v>
      </c>
      <c r="H332" s="265"/>
      <c r="I332" s="265"/>
      <c r="J332" s="265"/>
      <c r="K332" s="265"/>
      <c r="L332" s="265"/>
    </row>
    <row r="333" spans="1:17" x14ac:dyDescent="0.2">
      <c r="C333" s="265"/>
      <c r="D333" s="265"/>
      <c r="E333" s="265"/>
      <c r="G333" s="309">
        <v>1.8</v>
      </c>
      <c r="H333" s="265"/>
      <c r="I333" s="265"/>
      <c r="L333" s="265"/>
    </row>
    <row r="334" spans="1:17" x14ac:dyDescent="0.2">
      <c r="C334" s="265"/>
      <c r="D334" s="265"/>
      <c r="E334" s="265"/>
      <c r="G334" s="309">
        <v>3.6</v>
      </c>
      <c r="H334" s="265"/>
      <c r="I334" s="265"/>
      <c r="L334" s="265"/>
    </row>
    <row r="335" spans="1:17" x14ac:dyDescent="0.2">
      <c r="C335" s="265"/>
      <c r="D335" s="265"/>
      <c r="G335" s="309">
        <v>7.2</v>
      </c>
      <c r="H335" s="265"/>
      <c r="I335" s="265"/>
      <c r="L335" s="265"/>
    </row>
    <row r="336" spans="1:17" x14ac:dyDescent="0.2">
      <c r="C336" s="265"/>
      <c r="D336" s="265"/>
      <c r="G336" s="309">
        <v>10.1</v>
      </c>
      <c r="H336" s="265"/>
      <c r="I336" s="265"/>
      <c r="L336" s="265"/>
    </row>
    <row r="337" spans="2:17" x14ac:dyDescent="0.2">
      <c r="C337" s="265"/>
      <c r="D337" s="265"/>
      <c r="G337" s="309">
        <v>14.4</v>
      </c>
      <c r="H337" s="265"/>
      <c r="I337" s="265"/>
      <c r="L337" s="265"/>
    </row>
    <row r="338" spans="2:17" x14ac:dyDescent="0.2">
      <c r="C338" s="265"/>
      <c r="D338" s="265"/>
      <c r="E338" s="265"/>
      <c r="G338" s="309">
        <v>21.1</v>
      </c>
      <c r="H338" s="265"/>
      <c r="I338" s="265"/>
      <c r="L338" s="265"/>
    </row>
    <row r="339" spans="2:17" x14ac:dyDescent="0.2">
      <c r="C339" s="265"/>
      <c r="D339" s="265"/>
      <c r="E339" s="265"/>
      <c r="G339" s="270" t="s">
        <v>20</v>
      </c>
      <c r="H339" s="265"/>
      <c r="I339" s="265"/>
      <c r="L339" s="265"/>
    </row>
    <row r="340" spans="2:17" x14ac:dyDescent="0.2">
      <c r="C340" s="265"/>
      <c r="D340" s="265"/>
      <c r="E340" s="265"/>
      <c r="L340" s="265"/>
    </row>
    <row r="341" spans="2:17" x14ac:dyDescent="0.2">
      <c r="C341" s="307" t="s">
        <v>1557</v>
      </c>
      <c r="G341" s="332">
        <v>21.1</v>
      </c>
      <c r="H341" s="332">
        <v>21.1</v>
      </c>
      <c r="I341" s="332">
        <v>21.1</v>
      </c>
      <c r="J341" s="332">
        <v>21.1</v>
      </c>
      <c r="K341" s="332">
        <v>21.1</v>
      </c>
      <c r="L341" s="332">
        <v>21.1</v>
      </c>
      <c r="M341" s="332">
        <v>21.1</v>
      </c>
      <c r="N341" s="332">
        <v>21.1</v>
      </c>
      <c r="O341" s="332">
        <v>21.1</v>
      </c>
      <c r="P341" s="332">
        <v>21.1</v>
      </c>
      <c r="Q341" s="270" t="s">
        <v>226</v>
      </c>
    </row>
    <row r="342" spans="2:17" x14ac:dyDescent="0.2">
      <c r="E342" s="265"/>
    </row>
    <row r="343" spans="2:17" x14ac:dyDescent="0.2">
      <c r="G343" s="264" t="str">
        <f t="array" ref="G343:P343">TRANSPOSE(Geotypes)</f>
        <v>Muy denso</v>
      </c>
      <c r="H343" s="264" t="str">
        <v>Denso</v>
      </c>
      <c r="I343" s="264" t="str">
        <v>Poco denso</v>
      </c>
      <c r="J343" s="264" t="str">
        <v>Otro</v>
      </c>
      <c r="K343" s="264" t="str">
        <v>Microceldas</v>
      </c>
      <c r="L343" s="264" t="str">
        <v>spare</v>
      </c>
      <c r="M343" s="264" t="str">
        <v>spare</v>
      </c>
      <c r="N343" s="264" t="str">
        <v>spare</v>
      </c>
      <c r="O343" s="264" t="str">
        <v>spare</v>
      </c>
      <c r="P343" s="264" t="str">
        <v>spare</v>
      </c>
    </row>
    <row r="344" spans="2:17" x14ac:dyDescent="0.2">
      <c r="C344" s="268" t="s">
        <v>1558</v>
      </c>
      <c r="D344" s="265"/>
      <c r="G344" s="333">
        <v>1</v>
      </c>
      <c r="H344" s="333">
        <v>1</v>
      </c>
      <c r="I344" s="333">
        <v>1</v>
      </c>
      <c r="J344" s="333">
        <v>1</v>
      </c>
      <c r="K344" s="333">
        <v>1</v>
      </c>
      <c r="L344" s="334">
        <v>0</v>
      </c>
      <c r="M344" s="334">
        <v>0</v>
      </c>
      <c r="N344" s="334">
        <v>0</v>
      </c>
      <c r="O344" s="334">
        <v>0</v>
      </c>
      <c r="P344" s="334">
        <v>0</v>
      </c>
      <c r="Q344" s="270" t="s">
        <v>225</v>
      </c>
    </row>
    <row r="347" spans="2:17" ht="15.75" x14ac:dyDescent="0.2">
      <c r="B347" s="267" t="s">
        <v>9</v>
      </c>
    </row>
    <row r="349" spans="2:17" x14ac:dyDescent="0.2">
      <c r="C349" s="280" t="s">
        <v>1404</v>
      </c>
      <c r="D349" s="265"/>
      <c r="E349" s="265"/>
      <c r="G349" s="264" t="s">
        <v>181</v>
      </c>
      <c r="H349" s="265"/>
      <c r="I349" s="265"/>
      <c r="L349" s="265"/>
    </row>
    <row r="350" spans="2:17" x14ac:dyDescent="0.2">
      <c r="C350" s="265"/>
      <c r="D350" s="265"/>
      <c r="E350" s="265"/>
      <c r="G350" s="309">
        <v>0.73</v>
      </c>
      <c r="H350" s="265"/>
      <c r="I350" s="265"/>
      <c r="L350" s="265"/>
    </row>
    <row r="351" spans="2:17" x14ac:dyDescent="0.2">
      <c r="C351" s="265"/>
      <c r="D351" s="265"/>
      <c r="E351" s="265"/>
      <c r="G351" s="309">
        <v>1.46</v>
      </c>
      <c r="H351" s="265"/>
      <c r="I351" s="265"/>
      <c r="L351" s="265"/>
    </row>
    <row r="352" spans="2:17" x14ac:dyDescent="0.2">
      <c r="C352" s="265"/>
      <c r="D352" s="265"/>
      <c r="E352" s="265"/>
      <c r="G352" s="309">
        <v>2</v>
      </c>
      <c r="H352" s="265"/>
      <c r="I352" s="265"/>
      <c r="L352" s="265"/>
    </row>
    <row r="353" spans="1:20" x14ac:dyDescent="0.2">
      <c r="C353" s="265"/>
      <c r="D353" s="265"/>
      <c r="E353" s="265"/>
      <c r="G353" s="309">
        <v>2.93</v>
      </c>
      <c r="H353" s="265"/>
      <c r="I353" s="265"/>
      <c r="L353" s="265"/>
    </row>
    <row r="354" spans="1:20" x14ac:dyDescent="0.2">
      <c r="C354" s="265"/>
      <c r="D354" s="265"/>
      <c r="E354" s="265"/>
      <c r="G354" s="309">
        <v>5.76</v>
      </c>
      <c r="H354" s="265"/>
      <c r="I354" s="265"/>
      <c r="L354" s="265"/>
    </row>
    <row r="355" spans="1:20" x14ac:dyDescent="0.2">
      <c r="C355" s="265"/>
      <c r="D355" s="265"/>
      <c r="E355" s="265"/>
      <c r="G355" s="309">
        <v>11.5</v>
      </c>
      <c r="H355" s="265"/>
      <c r="I355" s="265"/>
      <c r="L355" s="265"/>
    </row>
    <row r="356" spans="1:20" x14ac:dyDescent="0.2">
      <c r="C356" s="265"/>
      <c r="D356" s="265"/>
      <c r="E356" s="265"/>
      <c r="G356" s="270" t="s">
        <v>224</v>
      </c>
      <c r="H356" s="265"/>
      <c r="I356" s="265"/>
      <c r="L356" s="265"/>
    </row>
    <row r="358" spans="1:20" x14ac:dyDescent="0.2">
      <c r="C358" s="307" t="s">
        <v>1405</v>
      </c>
      <c r="G358" s="335">
        <v>5.76</v>
      </c>
      <c r="H358" s="335">
        <v>5.76</v>
      </c>
      <c r="I358" s="335">
        <v>5.76</v>
      </c>
      <c r="J358" s="335">
        <v>5.76</v>
      </c>
      <c r="K358" s="335">
        <v>5.76</v>
      </c>
      <c r="L358" s="335">
        <v>5.76</v>
      </c>
      <c r="M358" s="335">
        <v>5.76</v>
      </c>
      <c r="N358" s="335">
        <v>5.76</v>
      </c>
      <c r="O358" s="335">
        <v>5.76</v>
      </c>
      <c r="P358" s="335">
        <v>5.76</v>
      </c>
      <c r="Q358" s="270" t="s">
        <v>223</v>
      </c>
    </row>
    <row r="360" spans="1:20" x14ac:dyDescent="0.2">
      <c r="G360" s="264" t="str">
        <f t="array" ref="G360:P360">TRANSPOSE(Geotypes)</f>
        <v>Muy denso</v>
      </c>
      <c r="H360" s="264" t="str">
        <v>Denso</v>
      </c>
      <c r="I360" s="264" t="str">
        <v>Poco denso</v>
      </c>
      <c r="J360" s="264" t="str">
        <v>Otro</v>
      </c>
      <c r="K360" s="264" t="str">
        <v>Microceldas</v>
      </c>
      <c r="L360" s="264" t="str">
        <v>spare</v>
      </c>
      <c r="M360" s="264" t="str">
        <v>spare</v>
      </c>
      <c r="N360" s="264" t="str">
        <v>spare</v>
      </c>
      <c r="O360" s="264" t="str">
        <v>spare</v>
      </c>
      <c r="P360" s="264" t="str">
        <v>spare</v>
      </c>
    </row>
    <row r="361" spans="1:20" x14ac:dyDescent="0.2">
      <c r="C361" s="268" t="s">
        <v>1559</v>
      </c>
      <c r="G361" s="333">
        <v>1</v>
      </c>
      <c r="H361" s="333">
        <v>1</v>
      </c>
      <c r="I361" s="333">
        <v>1</v>
      </c>
      <c r="J361" s="333">
        <v>1</v>
      </c>
      <c r="K361" s="334">
        <v>1</v>
      </c>
      <c r="L361" s="334">
        <v>0</v>
      </c>
      <c r="M361" s="334">
        <v>0</v>
      </c>
      <c r="N361" s="334">
        <v>0</v>
      </c>
      <c r="O361" s="334">
        <v>0</v>
      </c>
      <c r="P361" s="334">
        <v>0</v>
      </c>
      <c r="Q361" s="270" t="s">
        <v>222</v>
      </c>
    </row>
    <row r="365" spans="1:20" s="265" customFormat="1" ht="15.75" x14ac:dyDescent="0.2">
      <c r="A365" s="266" t="s">
        <v>1560</v>
      </c>
      <c r="B365" s="266"/>
      <c r="C365" s="266"/>
      <c r="D365" s="266"/>
      <c r="E365" s="266"/>
      <c r="F365" s="266"/>
      <c r="G365" s="266"/>
      <c r="H365" s="266"/>
      <c r="I365" s="266"/>
      <c r="J365" s="266"/>
      <c r="K365" s="266"/>
      <c r="L365" s="266"/>
      <c r="M365" s="266"/>
      <c r="N365" s="266"/>
      <c r="O365" s="266"/>
      <c r="P365" s="266"/>
      <c r="Q365" s="266"/>
      <c r="R365" s="266"/>
      <c r="S365" s="266"/>
      <c r="T365" s="266"/>
    </row>
    <row r="367" spans="1:20" ht="15.75" x14ac:dyDescent="0.2">
      <c r="B367" s="267" t="s">
        <v>1406</v>
      </c>
    </row>
    <row r="368" spans="1:20" x14ac:dyDescent="0.2">
      <c r="A368" s="265"/>
    </row>
    <row r="369" spans="1:17" x14ac:dyDescent="0.2">
      <c r="A369" s="265"/>
      <c r="C369" s="268" t="s">
        <v>1561</v>
      </c>
      <c r="F369" s="263"/>
      <c r="G369" s="305">
        <f>Network.load.LTE</f>
        <v>16981.957251276173</v>
      </c>
      <c r="H369" s="265"/>
    </row>
    <row r="370" spans="1:17" x14ac:dyDescent="0.2">
      <c r="A370" s="265"/>
      <c r="F370" s="263"/>
    </row>
    <row r="371" spans="1:17" x14ac:dyDescent="0.2">
      <c r="A371" s="265"/>
      <c r="F371" s="263"/>
      <c r="G371" s="264" t="str">
        <f t="array" ref="G371:P371">TRANSPOSE(Geotypes)</f>
        <v>Muy denso</v>
      </c>
      <c r="H371" s="264" t="str">
        <v>Denso</v>
      </c>
      <c r="I371" s="264" t="str">
        <v>Poco denso</v>
      </c>
      <c r="J371" s="264" t="str">
        <v>Otro</v>
      </c>
      <c r="K371" s="264" t="str">
        <v>Microceldas</v>
      </c>
      <c r="L371" s="264" t="str">
        <v>spare</v>
      </c>
      <c r="M371" s="264" t="str">
        <v>spare</v>
      </c>
      <c r="N371" s="264" t="str">
        <v>spare</v>
      </c>
      <c r="O371" s="264" t="str">
        <v>spare</v>
      </c>
      <c r="P371" s="264" t="str">
        <v>spare</v>
      </c>
    </row>
    <row r="372" spans="1:17" x14ac:dyDescent="0.2">
      <c r="A372" s="265"/>
      <c r="C372" s="268" t="s">
        <v>1562</v>
      </c>
      <c r="F372" s="263"/>
      <c r="G372" s="293">
        <f t="array" ref="G372:P372">G369*G$201:P$201</f>
        <v>13585.565801020939</v>
      </c>
      <c r="H372" s="293">
        <v>2207.6544426659025</v>
      </c>
      <c r="I372" s="293">
        <v>849.09786256380869</v>
      </c>
      <c r="J372" s="293">
        <v>0</v>
      </c>
      <c r="K372" s="293">
        <v>339.63914502552188</v>
      </c>
      <c r="L372" s="293">
        <v>0</v>
      </c>
      <c r="M372" s="293">
        <v>0</v>
      </c>
      <c r="N372" s="293">
        <v>0</v>
      </c>
      <c r="O372" s="293">
        <v>0</v>
      </c>
      <c r="P372" s="293">
        <v>0</v>
      </c>
      <c r="Q372" s="270" t="s">
        <v>424</v>
      </c>
    </row>
    <row r="373" spans="1:17" x14ac:dyDescent="0.2">
      <c r="A373" s="265"/>
      <c r="F373" s="263"/>
    </row>
    <row r="374" spans="1:17" x14ac:dyDescent="0.2">
      <c r="A374" s="265"/>
      <c r="F374" s="263"/>
    </row>
    <row r="375" spans="1:17" ht="15.75" x14ac:dyDescent="0.2">
      <c r="B375" s="267" t="s">
        <v>1407</v>
      </c>
    </row>
    <row r="377" spans="1:17" x14ac:dyDescent="0.2">
      <c r="C377" s="268" t="s">
        <v>1563</v>
      </c>
      <c r="G377" s="296">
        <v>3</v>
      </c>
      <c r="H377" s="296">
        <v>3</v>
      </c>
      <c r="I377" s="296">
        <v>3</v>
      </c>
      <c r="J377" s="296">
        <v>3</v>
      </c>
      <c r="K377" s="296">
        <v>1</v>
      </c>
      <c r="L377" s="296">
        <v>0</v>
      </c>
      <c r="M377" s="296">
        <v>0</v>
      </c>
      <c r="N377" s="296">
        <v>0</v>
      </c>
      <c r="O377" s="296">
        <v>0</v>
      </c>
      <c r="P377" s="296">
        <v>0</v>
      </c>
      <c r="Q377" s="270" t="s">
        <v>1324</v>
      </c>
    </row>
    <row r="379" spans="1:17" x14ac:dyDescent="0.2">
      <c r="C379" s="280" t="s">
        <v>1402</v>
      </c>
      <c r="D379" s="265"/>
      <c r="E379" s="265"/>
      <c r="G379" s="330">
        <v>0.4</v>
      </c>
      <c r="H379" s="270" t="s">
        <v>423</v>
      </c>
      <c r="I379" s="265"/>
      <c r="J379" s="328" t="s">
        <v>227</v>
      </c>
      <c r="K379" s="265"/>
    </row>
    <row r="380" spans="1:17" x14ac:dyDescent="0.2">
      <c r="C380" s="265"/>
      <c r="D380" s="265"/>
      <c r="E380" s="265"/>
      <c r="H380" s="265"/>
      <c r="J380" s="265"/>
      <c r="K380" s="265"/>
      <c r="L380" s="331"/>
    </row>
    <row r="381" spans="1:17" x14ac:dyDescent="0.2">
      <c r="C381" s="265"/>
      <c r="D381" s="265"/>
      <c r="E381" s="265"/>
      <c r="H381" s="265"/>
      <c r="J381" s="265"/>
      <c r="K381" s="265"/>
      <c r="L381" s="331"/>
    </row>
    <row r="382" spans="1:17" ht="15.75" x14ac:dyDescent="0.2">
      <c r="B382" s="267" t="s">
        <v>421</v>
      </c>
      <c r="C382" s="265"/>
      <c r="D382" s="265"/>
      <c r="E382" s="265"/>
      <c r="H382" s="265"/>
      <c r="J382" s="265"/>
      <c r="K382" s="265"/>
      <c r="L382" s="331"/>
    </row>
    <row r="383" spans="1:17" x14ac:dyDescent="0.2">
      <c r="C383" s="265"/>
      <c r="D383" s="265"/>
      <c r="E383" s="265"/>
      <c r="H383" s="265"/>
      <c r="J383" s="265"/>
      <c r="K383" s="265"/>
      <c r="L383" s="331"/>
    </row>
    <row r="384" spans="1:17" x14ac:dyDescent="0.2">
      <c r="C384" s="280" t="s">
        <v>1564</v>
      </c>
      <c r="D384" s="265"/>
      <c r="E384" s="265"/>
      <c r="G384" s="264" t="s">
        <v>181</v>
      </c>
      <c r="H384" s="264" t="s">
        <v>1688</v>
      </c>
      <c r="I384" s="264" t="s">
        <v>1689</v>
      </c>
      <c r="J384" s="264" t="s">
        <v>1690</v>
      </c>
      <c r="K384" s="264" t="s">
        <v>428</v>
      </c>
      <c r="L384" s="265"/>
    </row>
    <row r="385" spans="2:17" x14ac:dyDescent="0.2">
      <c r="C385" s="265"/>
      <c r="D385" s="265"/>
      <c r="E385" s="265"/>
      <c r="G385" s="336">
        <v>10.8</v>
      </c>
      <c r="H385" s="337" t="s">
        <v>429</v>
      </c>
      <c r="I385" s="337" t="s">
        <v>430</v>
      </c>
      <c r="J385" s="337">
        <v>3</v>
      </c>
      <c r="K385" s="337" t="s">
        <v>431</v>
      </c>
      <c r="L385" s="265"/>
    </row>
    <row r="386" spans="2:17" x14ac:dyDescent="0.2">
      <c r="C386" s="265"/>
      <c r="D386" s="265"/>
      <c r="E386" s="265"/>
      <c r="G386" s="336">
        <v>16.2</v>
      </c>
      <c r="H386" s="337" t="s">
        <v>432</v>
      </c>
      <c r="I386" s="337" t="s">
        <v>430</v>
      </c>
      <c r="J386" s="337">
        <v>4.5</v>
      </c>
      <c r="K386" s="337" t="s">
        <v>431</v>
      </c>
      <c r="L386" s="265"/>
    </row>
    <row r="387" spans="2:17" x14ac:dyDescent="0.2">
      <c r="C387" s="265"/>
      <c r="D387" s="265"/>
      <c r="E387" s="265"/>
      <c r="G387" s="336">
        <v>21.6</v>
      </c>
      <c r="H387" s="337" t="s">
        <v>432</v>
      </c>
      <c r="I387" s="337" t="s">
        <v>433</v>
      </c>
      <c r="J387" s="337">
        <v>6</v>
      </c>
      <c r="K387" s="337" t="s">
        <v>431</v>
      </c>
      <c r="L387" s="265"/>
    </row>
    <row r="388" spans="2:17" x14ac:dyDescent="0.2">
      <c r="C388" s="265"/>
      <c r="D388" s="265"/>
      <c r="E388" s="265"/>
      <c r="G388" s="336">
        <v>32.4</v>
      </c>
      <c r="H388" s="337" t="s">
        <v>432</v>
      </c>
      <c r="I388" s="337" t="s">
        <v>430</v>
      </c>
      <c r="J388" s="337">
        <v>9</v>
      </c>
      <c r="K388" s="337" t="s">
        <v>434</v>
      </c>
      <c r="L388" s="265"/>
    </row>
    <row r="389" spans="2:17" x14ac:dyDescent="0.2">
      <c r="C389" s="265"/>
      <c r="D389" s="265"/>
      <c r="E389" s="265"/>
      <c r="G389" s="336">
        <v>43.2</v>
      </c>
      <c r="H389" s="337" t="s">
        <v>432</v>
      </c>
      <c r="I389" s="337" t="s">
        <v>433</v>
      </c>
      <c r="J389" s="337">
        <v>12</v>
      </c>
      <c r="K389" s="337" t="s">
        <v>434</v>
      </c>
      <c r="L389" s="265"/>
    </row>
    <row r="390" spans="2:17" x14ac:dyDescent="0.2">
      <c r="C390" s="265"/>
      <c r="D390" s="265"/>
      <c r="E390" s="265"/>
      <c r="G390" s="336">
        <v>86.4</v>
      </c>
      <c r="H390" s="337" t="s">
        <v>432</v>
      </c>
      <c r="I390" s="337" t="s">
        <v>433</v>
      </c>
      <c r="J390" s="337">
        <v>24</v>
      </c>
      <c r="K390" s="337" t="s">
        <v>435</v>
      </c>
      <c r="L390" s="265"/>
    </row>
    <row r="391" spans="2:17" x14ac:dyDescent="0.2">
      <c r="C391" s="265"/>
      <c r="D391" s="265"/>
      <c r="E391" s="265"/>
      <c r="G391" s="270" t="s">
        <v>425</v>
      </c>
      <c r="H391" s="338"/>
      <c r="I391" s="338"/>
      <c r="J391" s="338"/>
      <c r="K391" s="338"/>
      <c r="L391" s="265"/>
    </row>
    <row r="392" spans="2:17" x14ac:dyDescent="0.2">
      <c r="C392" s="265"/>
      <c r="D392" s="265"/>
      <c r="E392" s="265"/>
      <c r="L392" s="265"/>
    </row>
    <row r="393" spans="2:17" x14ac:dyDescent="0.2">
      <c r="C393" s="307" t="s">
        <v>1565</v>
      </c>
      <c r="G393" s="332">
        <v>32.4</v>
      </c>
      <c r="H393" s="332">
        <v>32.4</v>
      </c>
      <c r="I393" s="332">
        <v>32.4</v>
      </c>
      <c r="J393" s="332">
        <v>32.4</v>
      </c>
      <c r="K393" s="332">
        <v>32.4</v>
      </c>
      <c r="L393" s="332">
        <v>32.4</v>
      </c>
      <c r="M393" s="332">
        <v>32.4</v>
      </c>
      <c r="N393" s="332">
        <v>32.4</v>
      </c>
      <c r="O393" s="332">
        <v>32.4</v>
      </c>
      <c r="P393" s="332">
        <v>32.4</v>
      </c>
      <c r="Q393" s="270" t="s">
        <v>426</v>
      </c>
    </row>
    <row r="394" spans="2:17" x14ac:dyDescent="0.2">
      <c r="E394" s="265"/>
    </row>
    <row r="395" spans="2:17" x14ac:dyDescent="0.2">
      <c r="G395" s="264" t="str">
        <f t="array" ref="G395:P395">TRANSPOSE(Geotypes)</f>
        <v>Muy denso</v>
      </c>
      <c r="H395" s="264" t="str">
        <v>Denso</v>
      </c>
      <c r="I395" s="264" t="str">
        <v>Poco denso</v>
      </c>
      <c r="J395" s="264" t="str">
        <v>Otro</v>
      </c>
      <c r="K395" s="264" t="str">
        <v>Microceldas</v>
      </c>
      <c r="L395" s="264" t="str">
        <v>spare</v>
      </c>
      <c r="M395" s="264" t="str">
        <v>spare</v>
      </c>
      <c r="N395" s="264" t="str">
        <v>spare</v>
      </c>
      <c r="O395" s="264" t="str">
        <v>spare</v>
      </c>
      <c r="P395" s="264" t="str">
        <v>spare</v>
      </c>
    </row>
    <row r="396" spans="2:17" x14ac:dyDescent="0.2">
      <c r="C396" s="268" t="s">
        <v>1566</v>
      </c>
      <c r="G396" s="333">
        <v>1</v>
      </c>
      <c r="H396" s="333">
        <v>1</v>
      </c>
      <c r="I396" s="333">
        <v>1</v>
      </c>
      <c r="J396" s="333">
        <v>1</v>
      </c>
      <c r="K396" s="334">
        <v>1</v>
      </c>
      <c r="L396" s="334">
        <v>0</v>
      </c>
      <c r="M396" s="334">
        <v>0</v>
      </c>
      <c r="N396" s="334">
        <v>0</v>
      </c>
      <c r="O396" s="334">
        <v>0</v>
      </c>
      <c r="P396" s="334">
        <v>0</v>
      </c>
      <c r="Q396" s="270" t="s">
        <v>427</v>
      </c>
    </row>
    <row r="399" spans="2:17" ht="15.75" x14ac:dyDescent="0.2">
      <c r="B399" s="267" t="s">
        <v>437</v>
      </c>
    </row>
    <row r="400" spans="2:17" s="265" customFormat="1" x14ac:dyDescent="0.2"/>
    <row r="401" spans="1:20" x14ac:dyDescent="0.2">
      <c r="A401" s="265"/>
      <c r="B401" s="265"/>
      <c r="C401" s="339" t="s">
        <v>1567</v>
      </c>
      <c r="D401" s="265"/>
      <c r="E401" s="265"/>
      <c r="G401" s="340">
        <v>12.65</v>
      </c>
      <c r="H401" s="270" t="s">
        <v>436</v>
      </c>
    </row>
    <row r="405" spans="1:20" s="265" customFormat="1" ht="15.75" x14ac:dyDescent="0.2">
      <c r="A405" s="266" t="s">
        <v>1408</v>
      </c>
      <c r="B405" s="266"/>
      <c r="C405" s="266"/>
      <c r="D405" s="266"/>
      <c r="E405" s="266"/>
      <c r="F405" s="266"/>
      <c r="G405" s="266"/>
      <c r="H405" s="266"/>
      <c r="I405" s="266"/>
      <c r="J405" s="266"/>
      <c r="K405" s="266"/>
      <c r="L405" s="266"/>
      <c r="M405" s="266"/>
      <c r="N405" s="266"/>
      <c r="O405" s="266"/>
      <c r="P405" s="266"/>
      <c r="Q405" s="266"/>
      <c r="R405" s="266"/>
      <c r="S405" s="266"/>
      <c r="T405" s="266"/>
    </row>
    <row r="407" spans="1:20" x14ac:dyDescent="0.2">
      <c r="C407" s="268" t="s">
        <v>1409</v>
      </c>
      <c r="G407" s="264" t="str">
        <f t="array" ref="G407:P407">TRANSPOSE(Geotypes)</f>
        <v>Muy denso</v>
      </c>
      <c r="H407" s="264" t="str">
        <v>Denso</v>
      </c>
      <c r="I407" s="264" t="str">
        <v>Poco denso</v>
      </c>
      <c r="J407" s="264" t="str">
        <v>Otro</v>
      </c>
      <c r="K407" s="264" t="str">
        <v>Microceldas</v>
      </c>
      <c r="L407" s="264" t="str">
        <v>spare</v>
      </c>
      <c r="M407" s="264" t="str">
        <v>spare</v>
      </c>
      <c r="N407" s="264" t="str">
        <v>spare</v>
      </c>
      <c r="O407" s="264" t="str">
        <v>spare</v>
      </c>
      <c r="P407" s="264" t="str">
        <v>spare</v>
      </c>
    </row>
    <row r="408" spans="1:20" x14ac:dyDescent="0.2">
      <c r="D408" s="263" t="s">
        <v>1410</v>
      </c>
      <c r="G408" s="341">
        <f t="array" ref="G408:P408">G229:P229</f>
        <v>8</v>
      </c>
      <c r="H408" s="341">
        <v>8</v>
      </c>
      <c r="I408" s="341">
        <v>8</v>
      </c>
      <c r="J408" s="341">
        <v>8</v>
      </c>
      <c r="K408" s="341">
        <v>8</v>
      </c>
      <c r="L408" s="341">
        <v>8</v>
      </c>
      <c r="M408" s="341">
        <v>8</v>
      </c>
      <c r="N408" s="341">
        <v>8</v>
      </c>
      <c r="O408" s="341">
        <v>8</v>
      </c>
      <c r="P408" s="341">
        <v>8</v>
      </c>
    </row>
    <row r="409" spans="1:20" x14ac:dyDescent="0.2">
      <c r="D409" s="263" t="s">
        <v>1411</v>
      </c>
      <c r="G409" s="296">
        <v>4</v>
      </c>
      <c r="H409" s="296">
        <v>4</v>
      </c>
      <c r="I409" s="296">
        <v>4</v>
      </c>
      <c r="J409" s="296">
        <v>4</v>
      </c>
      <c r="K409" s="296">
        <v>4</v>
      </c>
      <c r="L409" s="296">
        <v>4</v>
      </c>
      <c r="M409" s="296">
        <v>4</v>
      </c>
      <c r="N409" s="296">
        <v>4</v>
      </c>
      <c r="O409" s="296">
        <v>4</v>
      </c>
      <c r="P409" s="296">
        <v>4</v>
      </c>
    </row>
    <row r="410" spans="1:20" x14ac:dyDescent="0.2">
      <c r="D410" s="263" t="s">
        <v>1412</v>
      </c>
      <c r="G410" s="296">
        <v>4</v>
      </c>
      <c r="H410" s="296">
        <v>4</v>
      </c>
      <c r="I410" s="296">
        <v>4</v>
      </c>
      <c r="J410" s="296">
        <v>4</v>
      </c>
      <c r="K410" s="296">
        <v>4</v>
      </c>
      <c r="L410" s="296">
        <v>4</v>
      </c>
      <c r="M410" s="296">
        <v>4</v>
      </c>
      <c r="N410" s="296">
        <v>4</v>
      </c>
      <c r="O410" s="296">
        <v>4</v>
      </c>
      <c r="P410" s="296">
        <v>4</v>
      </c>
    </row>
    <row r="411" spans="1:20" x14ac:dyDescent="0.2">
      <c r="Q411" s="270" t="s">
        <v>1332</v>
      </c>
    </row>
    <row r="414" spans="1:20" s="265" customFormat="1" ht="15.75" x14ac:dyDescent="0.2">
      <c r="A414" s="266" t="s">
        <v>1413</v>
      </c>
      <c r="B414" s="266"/>
      <c r="C414" s="266"/>
      <c r="D414" s="266"/>
      <c r="E414" s="266"/>
      <c r="F414" s="266"/>
      <c r="G414" s="266"/>
      <c r="H414" s="266"/>
      <c r="I414" s="266"/>
      <c r="J414" s="266"/>
      <c r="K414" s="266"/>
      <c r="L414" s="266"/>
      <c r="M414" s="266"/>
      <c r="N414" s="266"/>
      <c r="O414" s="266"/>
      <c r="P414" s="266"/>
      <c r="Q414" s="266"/>
      <c r="R414" s="266"/>
      <c r="S414" s="266"/>
      <c r="T414" s="266"/>
    </row>
    <row r="416" spans="1:20" s="265" customFormat="1" x14ac:dyDescent="0.2">
      <c r="B416" s="268" t="s">
        <v>1415</v>
      </c>
    </row>
    <row r="417" spans="1:20" s="265" customFormat="1" x14ac:dyDescent="0.2">
      <c r="G417" s="264" t="str">
        <f t="array" ref="G417:P417">TRANSPOSE(Geotypes)</f>
        <v>Muy denso</v>
      </c>
      <c r="H417" s="264" t="str">
        <v>Denso</v>
      </c>
      <c r="I417" s="264" t="str">
        <v>Poco denso</v>
      </c>
      <c r="J417" s="264" t="str">
        <v>Otro</v>
      </c>
      <c r="K417" s="264" t="str">
        <v>Microceldas</v>
      </c>
      <c r="L417" s="264" t="str">
        <v>spare</v>
      </c>
      <c r="M417" s="264" t="str">
        <v>spare</v>
      </c>
      <c r="N417" s="264" t="str">
        <v>spare</v>
      </c>
      <c r="O417" s="264" t="str">
        <v>spare</v>
      </c>
      <c r="P417" s="264" t="str">
        <v>spare</v>
      </c>
    </row>
    <row r="418" spans="1:20" s="265" customFormat="1" x14ac:dyDescent="0.2"/>
    <row r="419" spans="1:20" x14ac:dyDescent="0.2">
      <c r="A419"/>
      <c r="B419"/>
      <c r="C419" s="342" t="s">
        <v>479</v>
      </c>
      <c r="D419"/>
      <c r="E419"/>
      <c r="F419"/>
      <c r="G419" s="343">
        <v>1</v>
      </c>
      <c r="H419" s="343">
        <v>1</v>
      </c>
      <c r="I419" s="343">
        <v>1</v>
      </c>
      <c r="J419" s="343">
        <v>1</v>
      </c>
      <c r="K419" s="343">
        <v>1</v>
      </c>
      <c r="L419" s="343">
        <v>1</v>
      </c>
      <c r="M419" s="343">
        <v>1</v>
      </c>
      <c r="N419" s="343">
        <v>1</v>
      </c>
      <c r="O419" s="343">
        <v>1</v>
      </c>
      <c r="P419" s="343">
        <v>1</v>
      </c>
      <c r="Q419" s="270" t="s">
        <v>221</v>
      </c>
    </row>
    <row r="420" spans="1:20" x14ac:dyDescent="0.2">
      <c r="A420" s="265"/>
      <c r="B420" s="265"/>
      <c r="C420" s="265"/>
      <c r="D420" s="265"/>
      <c r="E420" s="265"/>
      <c r="G420" s="265"/>
      <c r="H420" s="265"/>
      <c r="I420" s="265"/>
      <c r="J420" s="265"/>
      <c r="K420" s="265"/>
      <c r="L420" s="265"/>
      <c r="M420" s="265"/>
      <c r="N420" s="265"/>
      <c r="O420" s="265"/>
      <c r="P420" s="265"/>
      <c r="Q420" s="270"/>
    </row>
    <row r="421" spans="1:20" x14ac:dyDescent="0.2">
      <c r="A421" s="265"/>
      <c r="B421" s="265"/>
      <c r="D421" s="265"/>
      <c r="E421" s="265"/>
      <c r="G421" s="265"/>
      <c r="H421" s="265"/>
      <c r="I421" s="265"/>
      <c r="J421" s="265"/>
      <c r="K421" s="265"/>
      <c r="L421" s="265"/>
      <c r="M421" s="265"/>
      <c r="N421" s="265"/>
      <c r="O421" s="265"/>
      <c r="P421" s="265"/>
      <c r="Q421" s="270"/>
    </row>
    <row r="422" spans="1:20" x14ac:dyDescent="0.2">
      <c r="A422"/>
      <c r="B422"/>
      <c r="C422" s="342" t="s">
        <v>421</v>
      </c>
      <c r="D422"/>
      <c r="E422"/>
      <c r="G422" s="343">
        <v>1</v>
      </c>
      <c r="H422" s="343">
        <v>1</v>
      </c>
      <c r="I422" s="343">
        <v>1</v>
      </c>
      <c r="J422" s="343">
        <v>1</v>
      </c>
      <c r="K422" s="343">
        <v>1</v>
      </c>
      <c r="L422" s="343">
        <v>1</v>
      </c>
      <c r="M422" s="343">
        <v>1</v>
      </c>
      <c r="N422" s="343">
        <v>1</v>
      </c>
      <c r="O422" s="343">
        <v>1</v>
      </c>
      <c r="P422" s="343">
        <v>1</v>
      </c>
      <c r="Q422" s="270" t="s">
        <v>482</v>
      </c>
    </row>
    <row r="423" spans="1:20" x14ac:dyDescent="0.2">
      <c r="A423" s="265"/>
    </row>
    <row r="424" spans="1:20" x14ac:dyDescent="0.2">
      <c r="A424" s="265"/>
      <c r="E424" s="265"/>
    </row>
    <row r="425" spans="1:20" x14ac:dyDescent="0.2">
      <c r="A425" s="265"/>
      <c r="C425" s="268" t="s">
        <v>1414</v>
      </c>
      <c r="G425" s="345">
        <v>0.81931873434172631</v>
      </c>
      <c r="H425" s="345">
        <v>0.80383618657669287</v>
      </c>
      <c r="I425" s="345">
        <v>0.85132197638877172</v>
      </c>
      <c r="J425" s="345">
        <v>0.85211600673085353</v>
      </c>
      <c r="K425" s="559">
        <v>0.99103560611981756</v>
      </c>
      <c r="L425" s="344">
        <v>0</v>
      </c>
      <c r="M425" s="344">
        <v>0</v>
      </c>
      <c r="N425" s="344">
        <v>0</v>
      </c>
      <c r="O425" s="344">
        <v>0</v>
      </c>
      <c r="P425" s="344">
        <v>0</v>
      </c>
      <c r="Q425" s="270" t="s">
        <v>220</v>
      </c>
    </row>
    <row r="426" spans="1:20" x14ac:dyDescent="0.2">
      <c r="F426" s="263"/>
    </row>
    <row r="429" spans="1:20" s="265" customFormat="1" ht="15.75" x14ac:dyDescent="0.2">
      <c r="A429" s="266" t="s">
        <v>1327</v>
      </c>
      <c r="B429" s="266"/>
      <c r="C429" s="266"/>
      <c r="D429" s="266"/>
      <c r="E429" s="266"/>
      <c r="F429" s="266"/>
      <c r="G429" s="266"/>
      <c r="H429" s="266"/>
      <c r="I429" s="266"/>
      <c r="J429" s="266"/>
      <c r="K429" s="266"/>
      <c r="L429" s="266"/>
      <c r="M429" s="266"/>
      <c r="N429" s="266"/>
      <c r="O429" s="266"/>
      <c r="P429" s="266"/>
      <c r="Q429" s="266"/>
      <c r="R429" s="266"/>
      <c r="S429" s="266"/>
      <c r="T429" s="266"/>
    </row>
    <row r="431" spans="1:20" ht="15.75" x14ac:dyDescent="0.2">
      <c r="B431" s="267" t="s">
        <v>1081</v>
      </c>
    </row>
    <row r="433" spans="1:17" x14ac:dyDescent="0.2">
      <c r="A433" s="265"/>
      <c r="C433" s="268" t="s">
        <v>1082</v>
      </c>
      <c r="F433" s="263"/>
      <c r="G433" s="305">
        <f>Network.Total.Backhaul.Mbit.s</f>
        <v>127059.94105510517</v>
      </c>
      <c r="H433" s="265"/>
    </row>
    <row r="434" spans="1:17" x14ac:dyDescent="0.2">
      <c r="A434" s="265"/>
      <c r="C434" s="265"/>
      <c r="F434" s="263"/>
    </row>
    <row r="435" spans="1:17" x14ac:dyDescent="0.2">
      <c r="A435" s="265"/>
      <c r="C435" s="265"/>
      <c r="D435" s="263" t="s">
        <v>1083</v>
      </c>
      <c r="F435" s="263"/>
      <c r="G435" s="346">
        <f>Network.Total.2G.voice.Backhaul.Mbit.s</f>
        <v>1025.8892805876276</v>
      </c>
      <c r="H435" s="347"/>
    </row>
    <row r="436" spans="1:17" x14ac:dyDescent="0.2">
      <c r="A436" s="265"/>
      <c r="C436" s="265"/>
      <c r="D436" s="263" t="s">
        <v>1038</v>
      </c>
      <c r="F436" s="263"/>
      <c r="G436" s="346">
        <f>Network.Total.3G.voice.Backhaul.Mbit.s</f>
        <v>3693.20141011546</v>
      </c>
      <c r="H436" s="347"/>
    </row>
    <row r="437" spans="1:17" x14ac:dyDescent="0.2">
      <c r="A437" s="265"/>
      <c r="C437" s="265"/>
      <c r="D437" s="263" t="s">
        <v>1084</v>
      </c>
      <c r="F437" s="263"/>
      <c r="G437" s="346">
        <f>Network.Total.2G.data.Backhaul.Mbit.s</f>
        <v>9906.1417299110999</v>
      </c>
      <c r="H437" s="347"/>
    </row>
    <row r="438" spans="1:17" x14ac:dyDescent="0.2">
      <c r="A438" s="265"/>
      <c r="C438" s="265"/>
      <c r="D438" s="263" t="s">
        <v>1085</v>
      </c>
      <c r="F438" s="263"/>
      <c r="G438" s="346">
        <f>Network.Total.3G.R99.data.Backhaul.Mbit.s</f>
        <v>636.82339692285632</v>
      </c>
      <c r="H438" s="347"/>
    </row>
    <row r="439" spans="1:17" x14ac:dyDescent="0.2">
      <c r="A439" s="265"/>
      <c r="C439" s="265"/>
      <c r="D439" s="263" t="s">
        <v>1039</v>
      </c>
      <c r="F439" s="263"/>
      <c r="G439" s="346">
        <f>Network.Total.3G.HSPA.data.Backhaul.Mbit.s</f>
        <v>69342.992109377694</v>
      </c>
      <c r="H439" s="347"/>
    </row>
    <row r="440" spans="1:17" x14ac:dyDescent="0.2">
      <c r="A440" s="265"/>
      <c r="C440" s="265"/>
      <c r="D440" s="263" t="s">
        <v>1260</v>
      </c>
      <c r="F440" s="263"/>
      <c r="G440" s="346">
        <f>Network.Total.LTE.data.Backhaul.Mbit.s</f>
        <v>42454.893128190437</v>
      </c>
      <c r="H440" s="347"/>
    </row>
    <row r="441" spans="1:17" x14ac:dyDescent="0.2">
      <c r="A441" s="265"/>
      <c r="C441" s="265"/>
      <c r="F441" s="263"/>
    </row>
    <row r="442" spans="1:17" x14ac:dyDescent="0.2">
      <c r="A442" s="265"/>
      <c r="C442" s="268" t="s">
        <v>1086</v>
      </c>
      <c r="F442" s="263"/>
    </row>
    <row r="443" spans="1:17" x14ac:dyDescent="0.2">
      <c r="A443" s="265"/>
      <c r="F443" s="263"/>
      <c r="G443" s="264" t="str">
        <f t="array" ref="G443:P443">TRANSPOSE(Geotypes)</f>
        <v>Muy denso</v>
      </c>
      <c r="H443" s="264" t="str">
        <v>Denso</v>
      </c>
      <c r="I443" s="264" t="str">
        <v>Poco denso</v>
      </c>
      <c r="J443" s="264" t="str">
        <v>Otro</v>
      </c>
      <c r="K443" s="264" t="str">
        <v>Microceldas</v>
      </c>
      <c r="L443" s="264" t="str">
        <v>spare</v>
      </c>
      <c r="M443" s="264" t="str">
        <v>spare</v>
      </c>
      <c r="N443" s="264" t="str">
        <v>spare</v>
      </c>
      <c r="O443" s="264" t="str">
        <v>spare</v>
      </c>
      <c r="P443" s="264" t="str">
        <v>spare</v>
      </c>
    </row>
    <row r="444" spans="1:17" x14ac:dyDescent="0.2">
      <c r="A444" s="265"/>
      <c r="C444" s="265"/>
      <c r="F444" s="263"/>
      <c r="G444" s="299">
        <f t="array" ref="G444:P444">IF(G433=0,0,G435*G192:P192+G436*G193:P193+G437*G198:P198+G438*G199:P199+G439*G200:P200+G440*G201:P201)</f>
        <v>90790.869334306321</v>
      </c>
      <c r="H444" s="299">
        <v>22419.627906435955</v>
      </c>
      <c r="I444" s="299">
        <v>10367.812700177596</v>
      </c>
      <c r="J444" s="299">
        <v>0</v>
      </c>
      <c r="K444" s="299">
        <v>3481.6311141853025</v>
      </c>
      <c r="L444" s="299">
        <v>0</v>
      </c>
      <c r="M444" s="299">
        <v>0</v>
      </c>
      <c r="N444" s="299">
        <v>0</v>
      </c>
      <c r="O444" s="299">
        <v>0</v>
      </c>
      <c r="P444" s="299">
        <v>0</v>
      </c>
      <c r="Q444" s="270" t="s">
        <v>219</v>
      </c>
    </row>
    <row r="445" spans="1:17" x14ac:dyDescent="0.2">
      <c r="A445" s="265"/>
      <c r="F445" s="263"/>
    </row>
    <row r="446" spans="1:17" x14ac:dyDescent="0.2">
      <c r="A446" s="265"/>
    </row>
    <row r="447" spans="1:17" ht="15.75" x14ac:dyDescent="0.2">
      <c r="B447" s="267" t="s">
        <v>1925</v>
      </c>
    </row>
    <row r="449" spans="3:13" x14ac:dyDescent="0.2">
      <c r="C449" s="268" t="s">
        <v>1087</v>
      </c>
      <c r="G449" s="265"/>
    </row>
    <row r="450" spans="3:13" x14ac:dyDescent="0.2">
      <c r="D450" s="273" t="str">
        <f t="array" ref="D450:D452">LMA.technologies</f>
        <v>Líneas alquiladas</v>
      </c>
      <c r="E450" s="265"/>
      <c r="G450" s="314">
        <f t="array" ref="G450:G452">LMA.technologies.used</f>
        <v>9.4999999999999998E-3</v>
      </c>
    </row>
    <row r="451" spans="3:13" x14ac:dyDescent="0.2">
      <c r="D451" s="273" t="str">
        <v>Microondas</v>
      </c>
      <c r="E451" s="265"/>
      <c r="G451" s="314">
        <v>0.60299999999999998</v>
      </c>
    </row>
    <row r="452" spans="3:13" x14ac:dyDescent="0.2">
      <c r="D452" s="273" t="str">
        <v>Fibra</v>
      </c>
      <c r="E452" s="265"/>
      <c r="G452" s="314">
        <v>0.38750000000000007</v>
      </c>
    </row>
    <row r="453" spans="3:13" x14ac:dyDescent="0.2">
      <c r="G453" s="270" t="s">
        <v>218</v>
      </c>
    </row>
    <row r="455" spans="3:13" x14ac:dyDescent="0.2">
      <c r="C455" s="280" t="s">
        <v>1088</v>
      </c>
    </row>
    <row r="456" spans="3:13" x14ac:dyDescent="0.2">
      <c r="C456" s="280"/>
      <c r="D456" s="273" t="str">
        <f t="array" ref="D456:D459">Type.of.radio.sites</f>
        <v>2G sites</v>
      </c>
      <c r="G456" s="273" t="str">
        <f t="array" ref="G456:G459">LMA.transmission.protocol.used</f>
        <v>ATM / SDH / PDH</v>
      </c>
      <c r="H456" s="270"/>
    </row>
    <row r="457" spans="3:13" x14ac:dyDescent="0.2">
      <c r="C457" s="280"/>
      <c r="D457" s="273" t="str">
        <v>3G sites</v>
      </c>
      <c r="G457" s="273" t="str">
        <v>Ethernet</v>
      </c>
      <c r="H457" s="270"/>
    </row>
    <row r="458" spans="3:13" x14ac:dyDescent="0.2">
      <c r="C458" s="280"/>
      <c r="D458" s="273" t="str">
        <v>4G sites</v>
      </c>
      <c r="G458" s="273" t="str">
        <v>Ethernet</v>
      </c>
      <c r="H458" s="270"/>
    </row>
    <row r="459" spans="3:13" x14ac:dyDescent="0.2">
      <c r="C459" s="280"/>
      <c r="D459" s="273" t="str">
        <v>Multi-technologies sites</v>
      </c>
      <c r="G459" s="273" t="str">
        <v>Ethernet</v>
      </c>
      <c r="H459" s="270"/>
    </row>
    <row r="460" spans="3:13" x14ac:dyDescent="0.2">
      <c r="G460" s="270" t="s">
        <v>217</v>
      </c>
      <c r="K460" s="265"/>
    </row>
    <row r="461" spans="3:13" x14ac:dyDescent="0.2">
      <c r="K461" s="265"/>
    </row>
    <row r="462" spans="3:13" ht="24" x14ac:dyDescent="0.2">
      <c r="C462" s="268" t="s">
        <v>1089</v>
      </c>
      <c r="G462" s="264" t="str">
        <f>INDEX(Protocols,1,)</f>
        <v>ATM / SDH / PDH</v>
      </c>
      <c r="H462" s="264" t="str">
        <f>INDEX(Protocols,2,)</f>
        <v>Ethernet</v>
      </c>
      <c r="K462" s="265"/>
      <c r="L462" s="265"/>
      <c r="M462" s="265"/>
    </row>
    <row r="463" spans="3:13" x14ac:dyDescent="0.2">
      <c r="C463" s="268"/>
      <c r="D463" s="263" t="s">
        <v>1090</v>
      </c>
      <c r="G463" s="372">
        <v>2.048</v>
      </c>
      <c r="H463" s="372">
        <v>10</v>
      </c>
      <c r="K463" s="265"/>
      <c r="L463" s="265"/>
      <c r="M463" s="265"/>
    </row>
    <row r="464" spans="3:13" x14ac:dyDescent="0.2">
      <c r="G464" s="372">
        <v>8.4499999999999993</v>
      </c>
      <c r="H464" s="372">
        <v>30</v>
      </c>
      <c r="K464" s="265"/>
      <c r="L464" s="265"/>
      <c r="M464" s="265"/>
    </row>
    <row r="465" spans="1:17" x14ac:dyDescent="0.2">
      <c r="G465" s="372">
        <v>34.369999999999997</v>
      </c>
      <c r="H465" s="372">
        <v>100</v>
      </c>
      <c r="K465" s="265"/>
      <c r="L465" s="265"/>
      <c r="M465" s="265"/>
    </row>
    <row r="466" spans="1:17" x14ac:dyDescent="0.2">
      <c r="G466" s="323" t="s">
        <v>216</v>
      </c>
      <c r="H466" s="323" t="s">
        <v>215</v>
      </c>
      <c r="K466" s="265"/>
      <c r="L466" s="265"/>
      <c r="M466" s="265"/>
    </row>
    <row r="467" spans="1:17" x14ac:dyDescent="0.2">
      <c r="A467" s="265"/>
    </row>
    <row r="468" spans="1:17" x14ac:dyDescent="0.2">
      <c r="A468" s="265"/>
    </row>
    <row r="469" spans="1:17" x14ac:dyDescent="0.2">
      <c r="A469" s="265"/>
      <c r="G469" s="264" t="str">
        <f t="array" ref="G469:P469">TRANSPOSE(Geotypes)</f>
        <v>Muy denso</v>
      </c>
      <c r="H469" s="264" t="str">
        <v>Denso</v>
      </c>
      <c r="I469" s="264" t="str">
        <v>Poco denso</v>
      </c>
      <c r="J469" s="264" t="str">
        <v>Otro</v>
      </c>
      <c r="K469" s="264" t="str">
        <v>Microceldas</v>
      </c>
      <c r="L469" s="264" t="str">
        <v>spare</v>
      </c>
      <c r="M469" s="264" t="str">
        <v>spare</v>
      </c>
      <c r="N469" s="264" t="str">
        <v>spare</v>
      </c>
      <c r="O469" s="264" t="str">
        <v>spare</v>
      </c>
      <c r="P469" s="264" t="str">
        <v>spare</v>
      </c>
      <c r="Q469" s="265"/>
    </row>
    <row r="470" spans="1:17" x14ac:dyDescent="0.2">
      <c r="A470" s="265"/>
      <c r="C470" s="268" t="s">
        <v>1091</v>
      </c>
      <c r="G470" s="314">
        <f t="array" ref="G470:P470">TRANSPOSE(Radio.sites.proportion.connected.via.hubs)</f>
        <v>0.8</v>
      </c>
      <c r="H470" s="314">
        <v>0.8</v>
      </c>
      <c r="I470" s="314">
        <v>0.8</v>
      </c>
      <c r="J470" s="314">
        <v>0.8</v>
      </c>
      <c r="K470" s="314">
        <v>0</v>
      </c>
      <c r="L470" s="314">
        <v>0</v>
      </c>
      <c r="M470" s="314">
        <v>0</v>
      </c>
      <c r="N470" s="314">
        <v>0</v>
      </c>
      <c r="O470" s="314">
        <v>0</v>
      </c>
      <c r="P470" s="314">
        <v>0</v>
      </c>
      <c r="Q470" s="270" t="s">
        <v>87</v>
      </c>
    </row>
    <row r="471" spans="1:17" x14ac:dyDescent="0.2">
      <c r="A471" s="265"/>
    </row>
    <row r="472" spans="1:17" x14ac:dyDescent="0.2">
      <c r="A472" s="265"/>
      <c r="C472" s="268" t="s">
        <v>1092</v>
      </c>
      <c r="G472" s="305">
        <f t="array" ref="G472:P472">TRANSPOSE(Radio.sites.per.hub.inputs)</f>
        <v>5</v>
      </c>
      <c r="H472" s="305">
        <v>5</v>
      </c>
      <c r="I472" s="305">
        <v>5</v>
      </c>
      <c r="J472" s="305">
        <v>5</v>
      </c>
      <c r="K472" s="305">
        <v>0</v>
      </c>
      <c r="L472" s="305">
        <v>0</v>
      </c>
      <c r="M472" s="305">
        <v>0</v>
      </c>
      <c r="N472" s="305">
        <v>0</v>
      </c>
      <c r="O472" s="305">
        <v>0</v>
      </c>
      <c r="P472" s="305">
        <v>0</v>
      </c>
      <c r="Q472" s="270" t="s">
        <v>88</v>
      </c>
    </row>
    <row r="473" spans="1:17" x14ac:dyDescent="0.2">
      <c r="A473" s="265"/>
    </row>
    <row r="474" spans="1:17" x14ac:dyDescent="0.2">
      <c r="A474" s="265"/>
      <c r="C474" s="268" t="s">
        <v>1093</v>
      </c>
      <c r="G474" s="314">
        <f t="array" ref="G474:P474">TRANSPOSE(LMA.hub.colocation.inputs)</f>
        <v>0.1</v>
      </c>
      <c r="H474" s="314">
        <v>0.1</v>
      </c>
      <c r="I474" s="314">
        <v>0.1</v>
      </c>
      <c r="J474" s="314">
        <v>0.1</v>
      </c>
      <c r="K474" s="314">
        <v>0</v>
      </c>
      <c r="L474" s="314">
        <v>0</v>
      </c>
      <c r="M474" s="314">
        <v>0</v>
      </c>
      <c r="N474" s="314">
        <v>0</v>
      </c>
      <c r="O474" s="314">
        <v>0</v>
      </c>
      <c r="P474" s="314">
        <v>0</v>
      </c>
      <c r="Q474" s="270" t="s">
        <v>89</v>
      </c>
    </row>
    <row r="475" spans="1:17" x14ac:dyDescent="0.2">
      <c r="A475" s="265"/>
    </row>
    <row r="476" spans="1:17" x14ac:dyDescent="0.2">
      <c r="A476" s="265"/>
      <c r="C476" s="268" t="s">
        <v>1094</v>
      </c>
      <c r="G476" s="305">
        <f t="array" ref="G476:P476">TRANSPOSE(Hubs.per.link.inputs)</f>
        <v>1</v>
      </c>
      <c r="H476" s="305">
        <v>1</v>
      </c>
      <c r="I476" s="305">
        <v>1</v>
      </c>
      <c r="J476" s="305">
        <v>1</v>
      </c>
      <c r="K476" s="305">
        <v>0</v>
      </c>
      <c r="L476" s="305">
        <v>0</v>
      </c>
      <c r="M476" s="305">
        <v>0</v>
      </c>
      <c r="N476" s="305">
        <v>0</v>
      </c>
      <c r="O476" s="305">
        <v>0</v>
      </c>
      <c r="P476" s="305">
        <v>0</v>
      </c>
      <c r="Q476" s="270" t="s">
        <v>90</v>
      </c>
    </row>
    <row r="477" spans="1:17" x14ac:dyDescent="0.2">
      <c r="A477" s="265"/>
    </row>
    <row r="478" spans="1:17" x14ac:dyDescent="0.2">
      <c r="A478" s="265"/>
    </row>
    <row r="479" spans="1:17" x14ac:dyDescent="0.2">
      <c r="A479" s="265"/>
      <c r="C479" s="268" t="s">
        <v>1095</v>
      </c>
      <c r="G479" s="273" t="str">
        <f>Backhaul.technology.used</f>
        <v>Dark fibre</v>
      </c>
      <c r="H479" s="270" t="s">
        <v>214</v>
      </c>
      <c r="I479" s="265"/>
      <c r="J479" s="265"/>
      <c r="K479" s="265"/>
      <c r="L479" s="265"/>
      <c r="M479" s="265"/>
      <c r="N479" s="265"/>
      <c r="O479" s="265"/>
      <c r="P479" s="265"/>
    </row>
    <row r="480" spans="1:17" x14ac:dyDescent="0.2">
      <c r="A480" s="265"/>
      <c r="H480" s="265"/>
      <c r="I480" s="265"/>
      <c r="J480" s="265"/>
      <c r="K480" s="265"/>
      <c r="L480" s="265"/>
      <c r="M480" s="265"/>
      <c r="N480" s="265"/>
      <c r="O480" s="265"/>
      <c r="P480" s="265"/>
    </row>
    <row r="481" spans="1:47" x14ac:dyDescent="0.2">
      <c r="A481" s="265"/>
      <c r="C481" s="349" t="s">
        <v>1096</v>
      </c>
      <c r="D481" s="350"/>
      <c r="E481" s="350"/>
      <c r="F481" s="350"/>
      <c r="G481" s="273" t="str">
        <f>Backhaul.transmission.protocol.used</f>
        <v>Ethernet</v>
      </c>
      <c r="H481" s="270" t="s">
        <v>213</v>
      </c>
      <c r="I481" s="265"/>
      <c r="J481" s="265"/>
      <c r="K481" s="265"/>
      <c r="L481" s="265"/>
      <c r="M481" s="265"/>
      <c r="N481" s="265"/>
      <c r="O481" s="265"/>
      <c r="P481" s="265"/>
    </row>
    <row r="482" spans="1:47" x14ac:dyDescent="0.2">
      <c r="A482" s="265"/>
      <c r="H482" s="265"/>
      <c r="I482" s="265"/>
      <c r="J482" s="265"/>
      <c r="K482" s="265"/>
      <c r="L482" s="265"/>
      <c r="M482" s="265"/>
      <c r="N482" s="265"/>
      <c r="O482" s="265"/>
      <c r="P482" s="265"/>
    </row>
    <row r="483" spans="1:47" x14ac:dyDescent="0.2">
      <c r="H483" s="265"/>
      <c r="I483" s="265"/>
      <c r="J483" s="265"/>
      <c r="K483" s="265"/>
      <c r="L483" s="265"/>
      <c r="M483" s="265"/>
      <c r="N483" s="265"/>
      <c r="O483" s="265"/>
      <c r="P483" s="265"/>
    </row>
    <row r="484" spans="1:47" x14ac:dyDescent="0.2">
      <c r="H484" s="265"/>
      <c r="I484" s="265"/>
      <c r="J484" s="265"/>
      <c r="K484" s="265"/>
      <c r="L484" s="265"/>
      <c r="M484" s="265"/>
      <c r="N484" s="265"/>
      <c r="O484" s="265"/>
      <c r="P484" s="265"/>
    </row>
    <row r="485" spans="1:47" ht="15.75" x14ac:dyDescent="0.2">
      <c r="A485" s="265"/>
      <c r="B485" s="267" t="s">
        <v>1097</v>
      </c>
      <c r="H485" s="265"/>
      <c r="I485" s="265"/>
      <c r="J485" s="265"/>
      <c r="K485" s="265"/>
      <c r="L485" s="265"/>
      <c r="M485" s="265"/>
      <c r="N485" s="265"/>
      <c r="O485" s="265"/>
      <c r="P485" s="265"/>
    </row>
    <row r="486" spans="1:47" ht="24" x14ac:dyDescent="0.2">
      <c r="A486" s="265"/>
      <c r="C486" s="349" t="s">
        <v>1098</v>
      </c>
      <c r="G486" s="264" t="str">
        <f>INDEX(Protocols,1,)</f>
        <v>ATM / SDH / PDH</v>
      </c>
      <c r="H486" s="264" t="str">
        <f>INDEX(Protocols,2,)</f>
        <v>Ethernet</v>
      </c>
      <c r="I486" s="265"/>
      <c r="J486" s="265"/>
      <c r="K486" s="265"/>
      <c r="L486" s="265"/>
      <c r="M486" s="265"/>
      <c r="N486" s="265"/>
      <c r="O486" s="265"/>
      <c r="P486" s="265"/>
      <c r="AU486" s="349"/>
    </row>
    <row r="487" spans="1:47" x14ac:dyDescent="0.2">
      <c r="A487" s="265"/>
      <c r="G487" s="372">
        <v>8.4499999999999993</v>
      </c>
      <c r="H487" s="351">
        <v>10</v>
      </c>
      <c r="I487" s="265"/>
      <c r="J487" s="265"/>
      <c r="K487" s="265"/>
      <c r="L487" s="265"/>
      <c r="M487" s="265"/>
      <c r="N487" s="265"/>
      <c r="O487" s="265"/>
      <c r="P487" s="265"/>
    </row>
    <row r="488" spans="1:47" x14ac:dyDescent="0.2">
      <c r="A488" s="265"/>
      <c r="G488" s="372">
        <v>34.369999999999997</v>
      </c>
      <c r="H488" s="351">
        <v>100</v>
      </c>
      <c r="I488" s="265"/>
      <c r="J488" s="265"/>
      <c r="K488" s="265"/>
      <c r="L488" s="265"/>
      <c r="M488" s="265"/>
      <c r="N488" s="265"/>
      <c r="O488" s="265"/>
      <c r="P488" s="265"/>
    </row>
    <row r="489" spans="1:47" x14ac:dyDescent="0.2">
      <c r="A489" s="265"/>
      <c r="G489" s="373">
        <v>155.52000000000001</v>
      </c>
      <c r="H489" s="351">
        <v>1024</v>
      </c>
      <c r="I489" s="265"/>
      <c r="J489" s="265"/>
      <c r="K489" s="265"/>
      <c r="L489" s="265"/>
      <c r="M489" s="265"/>
      <c r="N489" s="265"/>
      <c r="O489" s="265"/>
      <c r="P489" s="265"/>
    </row>
    <row r="490" spans="1:47" x14ac:dyDescent="0.2">
      <c r="A490" s="265"/>
      <c r="G490" s="323" t="s">
        <v>212</v>
      </c>
      <c r="H490" s="323" t="s">
        <v>211</v>
      </c>
      <c r="I490" s="265"/>
      <c r="J490" s="265"/>
      <c r="K490" s="265"/>
      <c r="L490" s="265"/>
      <c r="M490" s="265"/>
      <c r="N490" s="265"/>
      <c r="O490" s="265"/>
      <c r="P490" s="265"/>
    </row>
    <row r="491" spans="1:47" x14ac:dyDescent="0.2">
      <c r="A491" s="265"/>
    </row>
    <row r="492" spans="1:47" ht="15.75" x14ac:dyDescent="0.2">
      <c r="A492" s="265"/>
      <c r="B492" s="267" t="s">
        <v>1099</v>
      </c>
      <c r="H492" s="265"/>
      <c r="I492" s="265"/>
      <c r="J492" s="265"/>
      <c r="K492" s="265"/>
      <c r="L492" s="265"/>
      <c r="M492" s="265"/>
      <c r="N492" s="265"/>
      <c r="O492" s="265"/>
      <c r="P492" s="265"/>
      <c r="AU492" s="268"/>
    </row>
    <row r="493" spans="1:47" x14ac:dyDescent="0.2">
      <c r="A493" s="265"/>
      <c r="C493" s="268" t="s">
        <v>1100</v>
      </c>
      <c r="G493" s="265"/>
      <c r="J493" s="265"/>
      <c r="K493" s="265"/>
      <c r="L493" s="265"/>
      <c r="M493" s="265"/>
      <c r="N493" s="265"/>
      <c r="O493" s="265"/>
      <c r="P493" s="265"/>
    </row>
    <row r="494" spans="1:47" x14ac:dyDescent="0.2">
      <c r="A494" s="265"/>
      <c r="G494" s="352" t="str">
        <f t="array" ref="G494:P494">TRANSPOSE(Geotypes)</f>
        <v>Muy denso</v>
      </c>
      <c r="H494" s="352" t="str">
        <v>Denso</v>
      </c>
      <c r="I494" s="352" t="str">
        <v>Poco denso</v>
      </c>
      <c r="J494" s="264" t="str">
        <v>Otro</v>
      </c>
      <c r="K494" s="264" t="str">
        <v>Microceldas</v>
      </c>
      <c r="L494" s="264" t="str">
        <v>spare</v>
      </c>
      <c r="M494" s="264" t="str">
        <v>spare</v>
      </c>
      <c r="N494" s="264" t="str">
        <v>spare</v>
      </c>
      <c r="O494" s="264" t="str">
        <v>spare</v>
      </c>
      <c r="P494" s="264" t="str">
        <v>spare</v>
      </c>
      <c r="AU494" s="268"/>
    </row>
    <row r="495" spans="1:47" x14ac:dyDescent="0.2">
      <c r="A495" s="265"/>
      <c r="B495" s="265"/>
      <c r="D495" s="263" t="s">
        <v>1101</v>
      </c>
      <c r="G495" s="322">
        <v>5</v>
      </c>
      <c r="H495" s="322">
        <v>10</v>
      </c>
      <c r="I495" s="322">
        <v>50</v>
      </c>
      <c r="J495" s="322">
        <v>50</v>
      </c>
      <c r="K495" s="353">
        <v>0</v>
      </c>
      <c r="L495" s="353">
        <v>0</v>
      </c>
      <c r="M495" s="353">
        <v>0</v>
      </c>
      <c r="N495" s="353">
        <v>0</v>
      </c>
      <c r="O495" s="353">
        <v>0</v>
      </c>
      <c r="P495" s="353">
        <v>0</v>
      </c>
      <c r="Q495" s="270" t="s">
        <v>210</v>
      </c>
    </row>
    <row r="496" spans="1:47" x14ac:dyDescent="0.2">
      <c r="A496" s="265"/>
    </row>
    <row r="497" spans="1:48" ht="24" x14ac:dyDescent="0.2">
      <c r="A497" s="265"/>
      <c r="C497" s="349" t="s">
        <v>1102</v>
      </c>
      <c r="D497" s="350"/>
      <c r="E497" s="350"/>
      <c r="F497" s="350"/>
      <c r="G497" s="264" t="s">
        <v>187</v>
      </c>
      <c r="H497" s="264" t="s">
        <v>186</v>
      </c>
      <c r="AT497" s="267"/>
    </row>
    <row r="498" spans="1:48" x14ac:dyDescent="0.2">
      <c r="A498" s="265"/>
      <c r="C498" s="350"/>
      <c r="D498" s="350"/>
      <c r="E498" s="350"/>
      <c r="F498" s="350"/>
      <c r="G498" s="373">
        <v>155.52000000000001</v>
      </c>
      <c r="H498" s="351">
        <v>1024</v>
      </c>
      <c r="AU498" s="268"/>
    </row>
    <row r="499" spans="1:48" x14ac:dyDescent="0.2">
      <c r="A499" s="265"/>
      <c r="C499" s="350"/>
      <c r="D499" s="350"/>
      <c r="E499" s="350"/>
      <c r="F499" s="350"/>
      <c r="G499" s="374">
        <v>622.08000000000004</v>
      </c>
      <c r="H499" s="354">
        <v>2048</v>
      </c>
    </row>
    <row r="500" spans="1:48" x14ac:dyDescent="0.2">
      <c r="A500" s="265"/>
      <c r="C500" s="350"/>
      <c r="D500" s="350"/>
      <c r="E500" s="350"/>
      <c r="F500" s="350"/>
      <c r="G500" s="374">
        <v>2488.3200000000002</v>
      </c>
      <c r="H500" s="354">
        <v>10240</v>
      </c>
    </row>
    <row r="501" spans="1:48" x14ac:dyDescent="0.2">
      <c r="A501" s="265"/>
      <c r="C501" s="350"/>
      <c r="D501" s="350"/>
      <c r="E501" s="350"/>
      <c r="F501" s="350"/>
      <c r="G501" s="323" t="s">
        <v>209</v>
      </c>
      <c r="H501" s="323" t="s">
        <v>208</v>
      </c>
    </row>
    <row r="502" spans="1:48" x14ac:dyDescent="0.2">
      <c r="A502" s="265"/>
      <c r="G502" s="265"/>
      <c r="J502" s="265"/>
    </row>
    <row r="503" spans="1:48" x14ac:dyDescent="0.2">
      <c r="A503" s="265"/>
      <c r="J503" s="265"/>
    </row>
    <row r="504" spans="1:48" x14ac:dyDescent="0.2">
      <c r="A504" s="265"/>
      <c r="J504" s="265"/>
    </row>
    <row r="505" spans="1:48" s="265" customFormat="1" ht="15.75" x14ac:dyDescent="0.2">
      <c r="A505" s="266" t="s">
        <v>1328</v>
      </c>
      <c r="B505" s="266"/>
      <c r="C505" s="266"/>
      <c r="D505" s="266"/>
      <c r="E505" s="266"/>
      <c r="F505" s="266"/>
      <c r="G505" s="266"/>
      <c r="H505" s="266"/>
      <c r="I505" s="266"/>
      <c r="J505" s="266"/>
      <c r="K505" s="266"/>
      <c r="L505" s="266"/>
      <c r="M505" s="266"/>
      <c r="N505" s="266"/>
      <c r="O505" s="266"/>
      <c r="P505" s="266"/>
      <c r="Q505" s="266"/>
      <c r="R505" s="266"/>
      <c r="S505" s="266"/>
      <c r="T505" s="266"/>
      <c r="U505" s="266"/>
      <c r="V505" s="266"/>
      <c r="W505" s="266"/>
      <c r="X505" s="266"/>
      <c r="Y505" s="266"/>
      <c r="Z505" s="266"/>
      <c r="AA505" s="266"/>
      <c r="AB505" s="266"/>
      <c r="AC505" s="266"/>
      <c r="AD505" s="266"/>
      <c r="AE505" s="266"/>
      <c r="AF505" s="266"/>
      <c r="AG505" s="266"/>
      <c r="AH505" s="266"/>
      <c r="AI505" s="266"/>
      <c r="AJ505" s="266"/>
      <c r="AK505" s="266"/>
      <c r="AL505" s="266"/>
      <c r="AM505" s="266"/>
      <c r="AN505" s="266"/>
      <c r="AO505" s="266"/>
      <c r="AP505" s="266"/>
      <c r="AQ505" s="266"/>
      <c r="AR505" s="266"/>
      <c r="AS505" s="266"/>
      <c r="AT505" s="266"/>
      <c r="AU505" s="266"/>
      <c r="AV505" s="266"/>
    </row>
    <row r="507" spans="1:48" ht="15.75" x14ac:dyDescent="0.2">
      <c r="B507" s="267" t="s">
        <v>1029</v>
      </c>
    </row>
    <row r="508" spans="1:48" x14ac:dyDescent="0.2">
      <c r="G508" s="265"/>
    </row>
    <row r="509" spans="1:48" x14ac:dyDescent="0.2">
      <c r="C509" s="268" t="s">
        <v>1687</v>
      </c>
    </row>
    <row r="510" spans="1:48" ht="24" x14ac:dyDescent="0.2">
      <c r="G510" s="352" t="str">
        <f t="array" ref="G510:AT510">TRANSPOSE(Core.nodes)</f>
        <v>Abancay</v>
      </c>
      <c r="H510" s="352" t="str">
        <v>Arequipa</v>
      </c>
      <c r="I510" s="352" t="str">
        <v>Ayacucho</v>
      </c>
      <c r="J510" s="264" t="str">
        <v>Cajamarca</v>
      </c>
      <c r="K510" s="264" t="str">
        <v>Callao</v>
      </c>
      <c r="L510" s="264" t="str">
        <v>Cerro de Pasco</v>
      </c>
      <c r="M510" s="264" t="str">
        <v>Chachapoyas</v>
      </c>
      <c r="N510" s="264" t="str">
        <v>Chiclayo</v>
      </c>
      <c r="O510" s="264" t="str">
        <v>Cusco</v>
      </c>
      <c r="P510" s="264" t="str">
        <v>Huancavelica</v>
      </c>
      <c r="Q510" s="264" t="str">
        <v>Huancayo</v>
      </c>
      <c r="R510" s="264" t="str">
        <v>Huaraz</v>
      </c>
      <c r="S510" s="264" t="str">
        <v>Ica</v>
      </c>
      <c r="T510" s="264" t="str">
        <v>Iquitos</v>
      </c>
      <c r="U510" s="264" t="str">
        <v>Lima</v>
      </c>
      <c r="V510" s="264" t="str">
        <v>Moquegua</v>
      </c>
      <c r="W510" s="264" t="str">
        <v>Piura</v>
      </c>
      <c r="X510" s="264" t="str">
        <v>Pucallpa</v>
      </c>
      <c r="Y510" s="264" t="str">
        <v>Puerto Maldonado</v>
      </c>
      <c r="Z510" s="264" t="str">
        <v>Puno</v>
      </c>
      <c r="AA510" s="264" t="str">
        <v>Tacna</v>
      </c>
      <c r="AB510" s="264" t="str">
        <v>Tarapoto</v>
      </c>
      <c r="AC510" s="264" t="str">
        <v>Tingo Maria</v>
      </c>
      <c r="AD510" s="264" t="str">
        <v>Trujillo</v>
      </c>
      <c r="AE510" s="264" t="str">
        <v>Tumbes</v>
      </c>
      <c r="AF510" s="264" t="str">
        <v>spare</v>
      </c>
      <c r="AG510" s="264" t="str">
        <v>spare</v>
      </c>
      <c r="AH510" s="264" t="str">
        <v>spare</v>
      </c>
      <c r="AI510" s="264" t="str">
        <v>spare</v>
      </c>
      <c r="AJ510" s="264" t="str">
        <v>spare</v>
      </c>
      <c r="AK510" s="264" t="str">
        <v>spare</v>
      </c>
      <c r="AL510" s="264" t="str">
        <v>spare</v>
      </c>
      <c r="AM510" s="264" t="str">
        <v>spare</v>
      </c>
      <c r="AN510" s="264" t="str">
        <v>spare</v>
      </c>
      <c r="AO510" s="264" t="str">
        <v>spare</v>
      </c>
      <c r="AP510" s="264" t="str">
        <v>spare</v>
      </c>
      <c r="AQ510" s="264" t="str">
        <v>spare</v>
      </c>
      <c r="AR510" s="264" t="str">
        <v>spare</v>
      </c>
      <c r="AS510" s="264" t="str">
        <v>spare</v>
      </c>
      <c r="AT510" s="264" t="str">
        <v>spare</v>
      </c>
    </row>
    <row r="511" spans="1:48" x14ac:dyDescent="0.2">
      <c r="A511" s="265"/>
      <c r="B511" s="265"/>
      <c r="D511" s="263" t="s">
        <v>207</v>
      </c>
      <c r="E511" s="265"/>
      <c r="G511" s="271" t="str">
        <f t="array" ref="G511:AT511">TRANSPOSE(CTRL.BSC.sites)</f>
        <v>Arequipa</v>
      </c>
      <c r="H511" s="271" t="str">
        <v>Arequipa</v>
      </c>
      <c r="I511" s="271" t="str">
        <v>Arequipa</v>
      </c>
      <c r="J511" s="271" t="str">
        <v>Trujillo</v>
      </c>
      <c r="K511" s="271" t="str">
        <v>Lima</v>
      </c>
      <c r="L511" s="271" t="str">
        <v>Trujillo</v>
      </c>
      <c r="M511" s="271" t="str">
        <v>Trujillo</v>
      </c>
      <c r="N511" s="271" t="str">
        <v>Trujillo</v>
      </c>
      <c r="O511" s="271" t="str">
        <v>Arequipa</v>
      </c>
      <c r="P511" s="271" t="str">
        <v>Arequipa</v>
      </c>
      <c r="Q511" s="271" t="str">
        <v>Lima</v>
      </c>
      <c r="R511" s="271" t="str">
        <v>Trujillo</v>
      </c>
      <c r="S511" s="271" t="str">
        <v>Arequipa</v>
      </c>
      <c r="T511" s="271" t="str">
        <v>Iquitos</v>
      </c>
      <c r="U511" s="271" t="str">
        <v>Lima</v>
      </c>
      <c r="V511" s="271" t="str">
        <v>Arequipa</v>
      </c>
      <c r="W511" s="271" t="str">
        <v>Trujillo</v>
      </c>
      <c r="X511" s="271" t="str">
        <v>Trujillo</v>
      </c>
      <c r="Y511" s="271" t="str">
        <v>Arequipa</v>
      </c>
      <c r="Z511" s="271" t="str">
        <v>Arequipa</v>
      </c>
      <c r="AA511" s="271" t="str">
        <v>Arequipa</v>
      </c>
      <c r="AB511" s="271" t="str">
        <v>Trujillo</v>
      </c>
      <c r="AC511" s="271" t="str">
        <v>Trujillo</v>
      </c>
      <c r="AD511" s="271" t="str">
        <v>Trujillo</v>
      </c>
      <c r="AE511" s="271" t="str">
        <v>Trujillo</v>
      </c>
      <c r="AF511" s="271">
        <v>0</v>
      </c>
      <c r="AG511" s="271">
        <v>0</v>
      </c>
      <c r="AH511" s="271">
        <v>0</v>
      </c>
      <c r="AI511" s="271">
        <v>0</v>
      </c>
      <c r="AJ511" s="271">
        <v>0</v>
      </c>
      <c r="AK511" s="271">
        <v>0</v>
      </c>
      <c r="AL511" s="271">
        <v>0</v>
      </c>
      <c r="AM511" s="271">
        <v>0</v>
      </c>
      <c r="AN511" s="271">
        <v>0</v>
      </c>
      <c r="AO511" s="271">
        <v>0</v>
      </c>
      <c r="AP511" s="271">
        <v>0</v>
      </c>
      <c r="AQ511" s="271">
        <v>0</v>
      </c>
      <c r="AR511" s="271">
        <v>0</v>
      </c>
      <c r="AS511" s="271">
        <v>0</v>
      </c>
      <c r="AT511" s="271">
        <v>0</v>
      </c>
      <c r="AU511" s="270" t="s">
        <v>206</v>
      </c>
    </row>
    <row r="512" spans="1:48" x14ac:dyDescent="0.2">
      <c r="A512" s="265"/>
      <c r="D512" s="263" t="s">
        <v>205</v>
      </c>
      <c r="E512" s="265"/>
      <c r="G512" s="271" t="str">
        <f t="array" ref="G512:AT512">TRANSPOSE(CTRL.RNC.sites)</f>
        <v>Arequipa</v>
      </c>
      <c r="H512" s="271" t="str">
        <v>Arequipa</v>
      </c>
      <c r="I512" s="271" t="str">
        <v>Arequipa</v>
      </c>
      <c r="J512" s="271" t="str">
        <v>Trujillo</v>
      </c>
      <c r="K512" s="271" t="str">
        <v>Lima</v>
      </c>
      <c r="L512" s="271" t="str">
        <v>Trujillo</v>
      </c>
      <c r="M512" s="271" t="str">
        <v>Trujillo</v>
      </c>
      <c r="N512" s="271" t="str">
        <v>Trujillo</v>
      </c>
      <c r="O512" s="271" t="str">
        <v>Arequipa</v>
      </c>
      <c r="P512" s="271" t="str">
        <v>Arequipa</v>
      </c>
      <c r="Q512" s="271" t="str">
        <v>Lima</v>
      </c>
      <c r="R512" s="271" t="str">
        <v>Trujillo</v>
      </c>
      <c r="S512" s="271" t="str">
        <v>Arequipa</v>
      </c>
      <c r="T512" s="271" t="str">
        <v>Iquitos</v>
      </c>
      <c r="U512" s="271" t="str">
        <v>Lima</v>
      </c>
      <c r="V512" s="271" t="str">
        <v>Arequipa</v>
      </c>
      <c r="W512" s="271" t="str">
        <v>Trujillo</v>
      </c>
      <c r="X512" s="271" t="str">
        <v>Trujillo</v>
      </c>
      <c r="Y512" s="271" t="str">
        <v>Arequipa</v>
      </c>
      <c r="Z512" s="271" t="str">
        <v>Arequipa</v>
      </c>
      <c r="AA512" s="271" t="str">
        <v>Arequipa</v>
      </c>
      <c r="AB512" s="271" t="str">
        <v>Trujillo</v>
      </c>
      <c r="AC512" s="271" t="str">
        <v>Trujillo</v>
      </c>
      <c r="AD512" s="271" t="str">
        <v>Trujillo</v>
      </c>
      <c r="AE512" s="271" t="str">
        <v>Trujillo</v>
      </c>
      <c r="AF512" s="271">
        <v>0</v>
      </c>
      <c r="AG512" s="271">
        <v>0</v>
      </c>
      <c r="AH512" s="271">
        <v>0</v>
      </c>
      <c r="AI512" s="271">
        <v>0</v>
      </c>
      <c r="AJ512" s="271">
        <v>0</v>
      </c>
      <c r="AK512" s="271">
        <v>0</v>
      </c>
      <c r="AL512" s="271">
        <v>0</v>
      </c>
      <c r="AM512" s="271">
        <v>0</v>
      </c>
      <c r="AN512" s="271">
        <v>0</v>
      </c>
      <c r="AO512" s="271">
        <v>0</v>
      </c>
      <c r="AP512" s="271">
        <v>0</v>
      </c>
      <c r="AQ512" s="271">
        <v>0</v>
      </c>
      <c r="AR512" s="271">
        <v>0</v>
      </c>
      <c r="AS512" s="271">
        <v>0</v>
      </c>
      <c r="AT512" s="271">
        <v>0</v>
      </c>
      <c r="AU512" s="270" t="s">
        <v>204</v>
      </c>
    </row>
    <row r="513" spans="1:47" x14ac:dyDescent="0.2">
      <c r="A513" s="265"/>
    </row>
    <row r="514" spans="1:47" x14ac:dyDescent="0.2">
      <c r="A514" s="265"/>
    </row>
    <row r="515" spans="1:47" x14ac:dyDescent="0.2">
      <c r="A515" s="265"/>
      <c r="C515" s="268" t="s">
        <v>1652</v>
      </c>
    </row>
    <row r="516" spans="1:47" x14ac:dyDescent="0.2">
      <c r="A516" s="265"/>
      <c r="D516" s="263" t="s">
        <v>1653</v>
      </c>
      <c r="G516" s="303">
        <f t="array" ref="G516:AT516">TRANSPOSE(Distribution.of.traffic.voice.core)</f>
        <v>1.4791243725629717E-2</v>
      </c>
      <c r="H516" s="303">
        <v>4.1875863421676443E-2</v>
      </c>
      <c r="I516" s="303">
        <v>2.4071299453341292E-2</v>
      </c>
      <c r="J516" s="303">
        <v>5.0161322278411045E-2</v>
      </c>
      <c r="K516" s="303">
        <v>3.1961082904525734E-2</v>
      </c>
      <c r="L516" s="303">
        <v>1.0208706697763519E-2</v>
      </c>
      <c r="M516" s="303">
        <v>1.3753379997840263E-2</v>
      </c>
      <c r="N516" s="303">
        <v>4.045094160398531E-2</v>
      </c>
      <c r="O516" s="303">
        <v>4.3172859566058666E-2</v>
      </c>
      <c r="P516" s="303">
        <v>1.6431670545961029E-2</v>
      </c>
      <c r="Q516" s="303">
        <v>4.3155877324759763E-2</v>
      </c>
      <c r="R516" s="303">
        <v>3.8516047767331037E-2</v>
      </c>
      <c r="S516" s="303">
        <v>2.5849459101192344E-2</v>
      </c>
      <c r="T516" s="303">
        <v>3.2573344984136388E-2</v>
      </c>
      <c r="U516" s="303">
        <v>0.30474603166304637</v>
      </c>
      <c r="V516" s="303">
        <v>5.8577194652721281E-3</v>
      </c>
      <c r="W516" s="303">
        <v>6.5479376041446768E-2</v>
      </c>
      <c r="X516" s="303">
        <v>1.5955915399593762E-2</v>
      </c>
      <c r="Y516" s="303">
        <v>3.9629556383114313E-3</v>
      </c>
      <c r="Z516" s="303">
        <v>4.645183830959275E-2</v>
      </c>
      <c r="AA516" s="303">
        <v>1.0438237373153745E-2</v>
      </c>
      <c r="AB516" s="303">
        <v>2.6683896490535104E-2</v>
      </c>
      <c r="AC516" s="303">
        <v>2.7632125713294698E-2</v>
      </c>
      <c r="AD516" s="303">
        <v>5.848810098340157E-2</v>
      </c>
      <c r="AE516" s="303">
        <v>7.3307035497391275E-3</v>
      </c>
      <c r="AF516" s="303">
        <v>0</v>
      </c>
      <c r="AG516" s="303">
        <v>0</v>
      </c>
      <c r="AH516" s="303">
        <v>0</v>
      </c>
      <c r="AI516" s="303">
        <v>0</v>
      </c>
      <c r="AJ516" s="303">
        <v>0</v>
      </c>
      <c r="AK516" s="303">
        <v>0</v>
      </c>
      <c r="AL516" s="303">
        <v>0</v>
      </c>
      <c r="AM516" s="303">
        <v>0</v>
      </c>
      <c r="AN516" s="303">
        <v>0</v>
      </c>
      <c r="AO516" s="303">
        <v>0</v>
      </c>
      <c r="AP516" s="303">
        <v>0</v>
      </c>
      <c r="AQ516" s="303">
        <v>0</v>
      </c>
      <c r="AR516" s="303">
        <v>0</v>
      </c>
      <c r="AS516" s="303">
        <v>0</v>
      </c>
      <c r="AT516" s="303">
        <v>0</v>
      </c>
    </row>
    <row r="517" spans="1:47" x14ac:dyDescent="0.2">
      <c r="A517" s="265"/>
      <c r="D517" s="263" t="s">
        <v>1654</v>
      </c>
      <c r="G517" s="303">
        <f t="array" ref="G517:AT517">TRANSPOSE(Distribution.of.traffic.data.core)</f>
        <v>1.4791243725629717E-2</v>
      </c>
      <c r="H517" s="303">
        <v>4.1875863421676443E-2</v>
      </c>
      <c r="I517" s="303">
        <v>2.4071299453341292E-2</v>
      </c>
      <c r="J517" s="303">
        <v>5.0161322278411045E-2</v>
      </c>
      <c r="K517" s="303">
        <v>3.1961082904525734E-2</v>
      </c>
      <c r="L517" s="303">
        <v>1.0208706697763519E-2</v>
      </c>
      <c r="M517" s="303">
        <v>1.3753379997840263E-2</v>
      </c>
      <c r="N517" s="303">
        <v>4.045094160398531E-2</v>
      </c>
      <c r="O517" s="303">
        <v>4.3172859566058666E-2</v>
      </c>
      <c r="P517" s="303">
        <v>1.6431670545961029E-2</v>
      </c>
      <c r="Q517" s="303">
        <v>4.3155877324759763E-2</v>
      </c>
      <c r="R517" s="303">
        <v>3.8516047767331037E-2</v>
      </c>
      <c r="S517" s="303">
        <v>2.5849459101192344E-2</v>
      </c>
      <c r="T517" s="303">
        <v>3.2573344984136388E-2</v>
      </c>
      <c r="U517" s="303">
        <v>0.30474603166304637</v>
      </c>
      <c r="V517" s="303">
        <v>5.8577194652721281E-3</v>
      </c>
      <c r="W517" s="303">
        <v>6.5479376041446768E-2</v>
      </c>
      <c r="X517" s="303">
        <v>1.5955915399593762E-2</v>
      </c>
      <c r="Y517" s="303">
        <v>3.9629556383114313E-3</v>
      </c>
      <c r="Z517" s="303">
        <v>4.645183830959275E-2</v>
      </c>
      <c r="AA517" s="303">
        <v>1.0438237373153745E-2</v>
      </c>
      <c r="AB517" s="303">
        <v>2.6683896490535104E-2</v>
      </c>
      <c r="AC517" s="303">
        <v>2.7632125713294698E-2</v>
      </c>
      <c r="AD517" s="303">
        <v>5.848810098340157E-2</v>
      </c>
      <c r="AE517" s="303">
        <v>7.3307035497391275E-3</v>
      </c>
      <c r="AF517" s="303">
        <v>0</v>
      </c>
      <c r="AG517" s="303">
        <v>0</v>
      </c>
      <c r="AH517" s="303">
        <v>0</v>
      </c>
      <c r="AI517" s="303">
        <v>0</v>
      </c>
      <c r="AJ517" s="303">
        <v>0</v>
      </c>
      <c r="AK517" s="303">
        <v>0</v>
      </c>
      <c r="AL517" s="303">
        <v>0</v>
      </c>
      <c r="AM517" s="303">
        <v>0</v>
      </c>
      <c r="AN517" s="303">
        <v>0</v>
      </c>
      <c r="AO517" s="303">
        <v>0</v>
      </c>
      <c r="AP517" s="303">
        <v>0</v>
      </c>
      <c r="AQ517" s="303">
        <v>0</v>
      </c>
      <c r="AR517" s="303">
        <v>0</v>
      </c>
      <c r="AS517" s="303">
        <v>0</v>
      </c>
      <c r="AT517" s="303">
        <v>0</v>
      </c>
    </row>
    <row r="518" spans="1:47" x14ac:dyDescent="0.2">
      <c r="A518" s="265"/>
    </row>
    <row r="519" spans="1:47" x14ac:dyDescent="0.2">
      <c r="A519" s="265"/>
    </row>
    <row r="520" spans="1:47" ht="38.25" customHeight="1" x14ac:dyDescent="0.2">
      <c r="A520" s="265"/>
      <c r="C520" s="280" t="s">
        <v>1030</v>
      </c>
      <c r="G520" s="264" t="s">
        <v>1594</v>
      </c>
    </row>
    <row r="521" spans="1:47" x14ac:dyDescent="0.2">
      <c r="D521" s="263" t="s">
        <v>1031</v>
      </c>
      <c r="G521" s="278">
        <v>2100</v>
      </c>
    </row>
    <row r="522" spans="1:47" x14ac:dyDescent="0.2">
      <c r="G522" s="278">
        <v>4200</v>
      </c>
    </row>
    <row r="523" spans="1:47" x14ac:dyDescent="0.2">
      <c r="G523" s="278">
        <v>8000</v>
      </c>
    </row>
    <row r="524" spans="1:47" x14ac:dyDescent="0.2">
      <c r="G524" s="270" t="s">
        <v>73</v>
      </c>
    </row>
    <row r="525" spans="1:47" x14ac:dyDescent="0.2">
      <c r="G525" s="265"/>
    </row>
    <row r="526" spans="1:47" x14ac:dyDescent="0.2">
      <c r="A526" s="265"/>
      <c r="D526" s="263" t="s">
        <v>1032</v>
      </c>
      <c r="G526" s="271">
        <f>BSC.capacity.used</f>
        <v>4200</v>
      </c>
      <c r="H526" s="270" t="s">
        <v>203</v>
      </c>
      <c r="I526" s="265"/>
      <c r="J526" s="265"/>
      <c r="K526" s="265"/>
      <c r="L526" s="265"/>
      <c r="M526" s="265"/>
      <c r="N526" s="265"/>
      <c r="O526" s="265"/>
      <c r="P526" s="265"/>
      <c r="Q526" s="265"/>
      <c r="R526" s="265"/>
      <c r="S526" s="265"/>
      <c r="T526" s="265"/>
      <c r="U526" s="265"/>
      <c r="V526" s="265"/>
      <c r="W526" s="265"/>
      <c r="X526" s="265"/>
      <c r="Y526" s="265"/>
      <c r="Z526" s="265"/>
      <c r="AA526" s="265"/>
      <c r="AB526" s="265"/>
      <c r="AC526" s="265"/>
      <c r="AD526" s="265"/>
      <c r="AE526" s="265"/>
      <c r="AF526" s="265"/>
      <c r="AG526" s="265"/>
      <c r="AH526" s="265"/>
      <c r="AI526" s="265"/>
      <c r="AJ526" s="265"/>
      <c r="AK526" s="265"/>
      <c r="AL526" s="265"/>
      <c r="AM526" s="265"/>
      <c r="AN526" s="265"/>
      <c r="AO526" s="265"/>
      <c r="AP526" s="265"/>
      <c r="AQ526" s="265"/>
      <c r="AR526" s="265"/>
      <c r="AS526" s="265"/>
      <c r="AT526" s="265"/>
      <c r="AU526" s="265"/>
    </row>
    <row r="527" spans="1:47" x14ac:dyDescent="0.2">
      <c r="A527" s="265"/>
      <c r="D527" s="265"/>
      <c r="G527" s="265"/>
      <c r="H527" s="270"/>
    </row>
    <row r="528" spans="1:47" x14ac:dyDescent="0.2">
      <c r="G528" s="265"/>
    </row>
    <row r="529" spans="1:8" ht="36" x14ac:dyDescent="0.2">
      <c r="C529" s="280" t="s">
        <v>1592</v>
      </c>
      <c r="G529" s="264" t="s">
        <v>1593</v>
      </c>
    </row>
    <row r="530" spans="1:8" x14ac:dyDescent="0.2">
      <c r="D530" s="263" t="s">
        <v>1031</v>
      </c>
      <c r="G530" s="278">
        <v>1600</v>
      </c>
    </row>
    <row r="531" spans="1:8" x14ac:dyDescent="0.2">
      <c r="G531" s="278">
        <v>2600</v>
      </c>
    </row>
    <row r="532" spans="1:8" x14ac:dyDescent="0.2">
      <c r="G532" s="278">
        <v>5000</v>
      </c>
    </row>
    <row r="533" spans="1:8" x14ac:dyDescent="0.2">
      <c r="G533" s="270" t="s">
        <v>74</v>
      </c>
    </row>
    <row r="535" spans="1:8" x14ac:dyDescent="0.2">
      <c r="A535" s="265"/>
      <c r="D535" s="263" t="s">
        <v>1032</v>
      </c>
      <c r="G535" s="273">
        <f>RNC.capacity.used</f>
        <v>2600</v>
      </c>
      <c r="H535" s="270" t="s">
        <v>202</v>
      </c>
    </row>
    <row r="538" spans="1:8" ht="15.75" x14ac:dyDescent="0.2">
      <c r="B538" s="267" t="s">
        <v>1033</v>
      </c>
    </row>
    <row r="539" spans="1:8" x14ac:dyDescent="0.2">
      <c r="H539" s="265"/>
    </row>
    <row r="540" spans="1:8" x14ac:dyDescent="0.2">
      <c r="A540" s="265"/>
      <c r="C540" s="280" t="s">
        <v>822</v>
      </c>
      <c r="D540" s="265"/>
      <c r="F540" s="263"/>
      <c r="G540" s="305">
        <f>Network.Total.BSC.Mbit.s</f>
        <v>10932.031010498727</v>
      </c>
      <c r="H540" s="265"/>
    </row>
    <row r="541" spans="1:8" x14ac:dyDescent="0.2">
      <c r="A541" s="265"/>
      <c r="C541" s="265"/>
      <c r="D541" s="265"/>
      <c r="F541" s="263"/>
      <c r="H541" s="265"/>
    </row>
    <row r="542" spans="1:8" x14ac:dyDescent="0.2">
      <c r="A542" s="265"/>
      <c r="C542" s="265"/>
      <c r="D542" s="355" t="s">
        <v>808</v>
      </c>
      <c r="F542" s="263"/>
      <c r="G542" s="305">
        <f>Network.Total.voice.BSC.Mbit.s</f>
        <v>1025.8892805876276</v>
      </c>
      <c r="H542" s="265"/>
    </row>
    <row r="543" spans="1:8" x14ac:dyDescent="0.2">
      <c r="A543" s="265"/>
      <c r="C543" s="265"/>
      <c r="D543" s="265" t="s">
        <v>809</v>
      </c>
      <c r="F543" s="263"/>
      <c r="G543" s="305">
        <f>Network.Total.data.BSC.Mbit.s</f>
        <v>9906.1417299110999</v>
      </c>
      <c r="H543" s="265"/>
    </row>
    <row r="544" spans="1:8" x14ac:dyDescent="0.2">
      <c r="A544" s="265"/>
      <c r="D544" s="265"/>
      <c r="F544" s="263"/>
      <c r="G544" s="265"/>
      <c r="H544" s="265"/>
    </row>
    <row r="545" spans="1:47" x14ac:dyDescent="0.2">
      <c r="A545" s="265"/>
      <c r="B545" s="265"/>
      <c r="F545" s="263"/>
    </row>
    <row r="546" spans="1:47" x14ac:dyDescent="0.2">
      <c r="A546" s="265"/>
      <c r="C546" s="280" t="s">
        <v>822</v>
      </c>
      <c r="F546" s="263"/>
    </row>
    <row r="547" spans="1:47" ht="24" x14ac:dyDescent="0.2">
      <c r="A547" s="265"/>
      <c r="F547" s="263"/>
      <c r="G547" s="352" t="str">
        <f t="array" ref="G547:AT547">TRANSPOSE(Core.nodes)</f>
        <v>Abancay</v>
      </c>
      <c r="H547" s="352" t="str">
        <v>Arequipa</v>
      </c>
      <c r="I547" s="352" t="str">
        <v>Ayacucho</v>
      </c>
      <c r="J547" s="264" t="str">
        <v>Cajamarca</v>
      </c>
      <c r="K547" s="264" t="str">
        <v>Callao</v>
      </c>
      <c r="L547" s="264" t="str">
        <v>Cerro de Pasco</v>
      </c>
      <c r="M547" s="264" t="str">
        <v>Chachapoyas</v>
      </c>
      <c r="N547" s="264" t="str">
        <v>Chiclayo</v>
      </c>
      <c r="O547" s="264" t="str">
        <v>Cusco</v>
      </c>
      <c r="P547" s="264" t="str">
        <v>Huancavelica</v>
      </c>
      <c r="Q547" s="264" t="str">
        <v>Huancayo</v>
      </c>
      <c r="R547" s="264" t="str">
        <v>Huaraz</v>
      </c>
      <c r="S547" s="264" t="str">
        <v>Ica</v>
      </c>
      <c r="T547" s="264" t="str">
        <v>Iquitos</v>
      </c>
      <c r="U547" s="264" t="str">
        <v>Lima</v>
      </c>
      <c r="V547" s="264" t="str">
        <v>Moquegua</v>
      </c>
      <c r="W547" s="264" t="str">
        <v>Piura</v>
      </c>
      <c r="X547" s="264" t="str">
        <v>Pucallpa</v>
      </c>
      <c r="Y547" s="264" t="str">
        <v>Puerto Maldonado</v>
      </c>
      <c r="Z547" s="264" t="str">
        <v>Puno</v>
      </c>
      <c r="AA547" s="264" t="str">
        <v>Tacna</v>
      </c>
      <c r="AB547" s="264" t="str">
        <v>Tarapoto</v>
      </c>
      <c r="AC547" s="264" t="str">
        <v>Tingo Maria</v>
      </c>
      <c r="AD547" s="264" t="str">
        <v>Trujillo</v>
      </c>
      <c r="AE547" s="264" t="str">
        <v>Tumbes</v>
      </c>
      <c r="AF547" s="264" t="str">
        <v>spare</v>
      </c>
      <c r="AG547" s="264" t="str">
        <v>spare</v>
      </c>
      <c r="AH547" s="264" t="str">
        <v>spare</v>
      </c>
      <c r="AI547" s="264" t="str">
        <v>spare</v>
      </c>
      <c r="AJ547" s="264" t="str">
        <v>spare</v>
      </c>
      <c r="AK547" s="264" t="str">
        <v>spare</v>
      </c>
      <c r="AL547" s="264" t="str">
        <v>spare</v>
      </c>
      <c r="AM547" s="264" t="str">
        <v>spare</v>
      </c>
      <c r="AN547" s="264" t="str">
        <v>spare</v>
      </c>
      <c r="AO547" s="264" t="str">
        <v>spare</v>
      </c>
      <c r="AP547" s="264" t="str">
        <v>spare</v>
      </c>
      <c r="AQ547" s="264" t="str">
        <v>spare</v>
      </c>
      <c r="AR547" s="264" t="str">
        <v>spare</v>
      </c>
      <c r="AS547" s="264" t="str">
        <v>spare</v>
      </c>
      <c r="AT547" s="264" t="str">
        <v>spare</v>
      </c>
    </row>
    <row r="548" spans="1:47" x14ac:dyDescent="0.2">
      <c r="A548" s="265"/>
      <c r="D548" s="355" t="s">
        <v>808</v>
      </c>
      <c r="G548" s="286">
        <f t="array" ref="G548:AT549">G542:G543*SUMIF(Locations.BSC,G547:AT547,G$516:AT$517)</f>
        <v>0</v>
      </c>
      <c r="H548" s="286">
        <v>238.93284151226325</v>
      </c>
      <c r="I548" s="286">
        <v>0</v>
      </c>
      <c r="J548" s="286">
        <v>0</v>
      </c>
      <c r="K548" s="286">
        <v>0</v>
      </c>
      <c r="L548" s="286">
        <v>0</v>
      </c>
      <c r="M548" s="286">
        <v>0</v>
      </c>
      <c r="N548" s="286">
        <v>0</v>
      </c>
      <c r="O548" s="286">
        <v>0</v>
      </c>
      <c r="P548" s="286">
        <v>0</v>
      </c>
      <c r="Q548" s="286">
        <v>0</v>
      </c>
      <c r="R548" s="286">
        <v>0</v>
      </c>
      <c r="S548" s="286">
        <v>0</v>
      </c>
      <c r="T548" s="286">
        <v>33.416645452108284</v>
      </c>
      <c r="U548" s="286">
        <v>389.69737147428816</v>
      </c>
      <c r="V548" s="286">
        <v>0</v>
      </c>
      <c r="W548" s="286">
        <v>0</v>
      </c>
      <c r="X548" s="286">
        <v>0</v>
      </c>
      <c r="Y548" s="286">
        <v>0</v>
      </c>
      <c r="Z548" s="286">
        <v>0</v>
      </c>
      <c r="AA548" s="286">
        <v>0</v>
      </c>
      <c r="AB548" s="286">
        <v>0</v>
      </c>
      <c r="AC548" s="286">
        <v>0</v>
      </c>
      <c r="AD548" s="286">
        <v>363.84242214896796</v>
      </c>
      <c r="AE548" s="286">
        <v>0</v>
      </c>
      <c r="AF548" s="286">
        <v>0</v>
      </c>
      <c r="AG548" s="286">
        <v>0</v>
      </c>
      <c r="AH548" s="286">
        <v>0</v>
      </c>
      <c r="AI548" s="286">
        <v>0</v>
      </c>
      <c r="AJ548" s="286">
        <v>0</v>
      </c>
      <c r="AK548" s="286">
        <v>0</v>
      </c>
      <c r="AL548" s="286">
        <v>0</v>
      </c>
      <c r="AM548" s="286">
        <v>0</v>
      </c>
      <c r="AN548" s="286">
        <v>0</v>
      </c>
      <c r="AO548" s="286">
        <v>0</v>
      </c>
      <c r="AP548" s="286">
        <v>0</v>
      </c>
      <c r="AQ548" s="286">
        <v>0</v>
      </c>
      <c r="AR548" s="286">
        <v>0</v>
      </c>
      <c r="AS548" s="286">
        <v>0</v>
      </c>
      <c r="AT548" s="286">
        <v>0</v>
      </c>
      <c r="AU548" s="270" t="s">
        <v>551</v>
      </c>
    </row>
    <row r="549" spans="1:47" x14ac:dyDescent="0.2">
      <c r="A549" s="265"/>
      <c r="D549" s="355" t="s">
        <v>809</v>
      </c>
      <c r="G549" s="286">
        <v>0</v>
      </c>
      <c r="H549" s="286">
        <v>2307.1715795637406</v>
      </c>
      <c r="I549" s="286">
        <v>0</v>
      </c>
      <c r="J549" s="286">
        <v>0</v>
      </c>
      <c r="K549" s="286">
        <v>0</v>
      </c>
      <c r="L549" s="286">
        <v>0</v>
      </c>
      <c r="M549" s="286">
        <v>0</v>
      </c>
      <c r="N549" s="286">
        <v>0</v>
      </c>
      <c r="O549" s="286">
        <v>0</v>
      </c>
      <c r="P549" s="286">
        <v>0</v>
      </c>
      <c r="Q549" s="286">
        <v>0</v>
      </c>
      <c r="R549" s="286">
        <v>0</v>
      </c>
      <c r="S549" s="286">
        <v>0</v>
      </c>
      <c r="T549" s="286">
        <v>322.6761720301439</v>
      </c>
      <c r="U549" s="286">
        <v>3762.9766356335103</v>
      </c>
      <c r="V549" s="286">
        <v>0</v>
      </c>
      <c r="W549" s="286">
        <v>0</v>
      </c>
      <c r="X549" s="286">
        <v>0</v>
      </c>
      <c r="Y549" s="286">
        <v>0</v>
      </c>
      <c r="Z549" s="286">
        <v>0</v>
      </c>
      <c r="AA549" s="286">
        <v>0</v>
      </c>
      <c r="AB549" s="286">
        <v>0</v>
      </c>
      <c r="AC549" s="286">
        <v>0</v>
      </c>
      <c r="AD549" s="286">
        <v>3513.3173426837056</v>
      </c>
      <c r="AE549" s="286">
        <v>0</v>
      </c>
      <c r="AF549" s="286">
        <v>0</v>
      </c>
      <c r="AG549" s="286">
        <v>0</v>
      </c>
      <c r="AH549" s="286">
        <v>0</v>
      </c>
      <c r="AI549" s="286">
        <v>0</v>
      </c>
      <c r="AJ549" s="286">
        <v>0</v>
      </c>
      <c r="AK549" s="286">
        <v>0</v>
      </c>
      <c r="AL549" s="286">
        <v>0</v>
      </c>
      <c r="AM549" s="286">
        <v>0</v>
      </c>
      <c r="AN549" s="286">
        <v>0</v>
      </c>
      <c r="AO549" s="286">
        <v>0</v>
      </c>
      <c r="AP549" s="286">
        <v>0</v>
      </c>
      <c r="AQ549" s="286">
        <v>0</v>
      </c>
      <c r="AR549" s="286">
        <v>0</v>
      </c>
      <c r="AS549" s="286">
        <v>0</v>
      </c>
      <c r="AT549" s="286">
        <v>0</v>
      </c>
      <c r="AU549" s="270" t="s">
        <v>552</v>
      </c>
    </row>
    <row r="550" spans="1:47" x14ac:dyDescent="0.2">
      <c r="A550" s="265"/>
      <c r="D550" s="268" t="s">
        <v>61</v>
      </c>
      <c r="G550" s="286">
        <f t="array" ref="G550:AT550">Network.voice.BSC.Mbit.s.by.core.node+Network.data.BSC.Mbit.s.by.core.node</f>
        <v>0</v>
      </c>
      <c r="H550" s="286">
        <v>2546.1044210760037</v>
      </c>
      <c r="I550" s="286">
        <v>0</v>
      </c>
      <c r="J550" s="286">
        <v>0</v>
      </c>
      <c r="K550" s="286">
        <v>0</v>
      </c>
      <c r="L550" s="286">
        <v>0</v>
      </c>
      <c r="M550" s="286">
        <v>0</v>
      </c>
      <c r="N550" s="286">
        <v>0</v>
      </c>
      <c r="O550" s="286">
        <v>0</v>
      </c>
      <c r="P550" s="286">
        <v>0</v>
      </c>
      <c r="Q550" s="286">
        <v>0</v>
      </c>
      <c r="R550" s="286">
        <v>0</v>
      </c>
      <c r="S550" s="286">
        <v>0</v>
      </c>
      <c r="T550" s="286">
        <v>356.0928174822522</v>
      </c>
      <c r="U550" s="286">
        <v>4152.6740071077984</v>
      </c>
      <c r="V550" s="286">
        <v>0</v>
      </c>
      <c r="W550" s="286">
        <v>0</v>
      </c>
      <c r="X550" s="286">
        <v>0</v>
      </c>
      <c r="Y550" s="286">
        <v>0</v>
      </c>
      <c r="Z550" s="286">
        <v>0</v>
      </c>
      <c r="AA550" s="286">
        <v>0</v>
      </c>
      <c r="AB550" s="286">
        <v>0</v>
      </c>
      <c r="AC550" s="286">
        <v>0</v>
      </c>
      <c r="AD550" s="286">
        <v>3877.1597648326738</v>
      </c>
      <c r="AE550" s="286">
        <v>0</v>
      </c>
      <c r="AF550" s="286">
        <v>0</v>
      </c>
      <c r="AG550" s="286">
        <v>0</v>
      </c>
      <c r="AH550" s="286">
        <v>0</v>
      </c>
      <c r="AI550" s="286">
        <v>0</v>
      </c>
      <c r="AJ550" s="286">
        <v>0</v>
      </c>
      <c r="AK550" s="286">
        <v>0</v>
      </c>
      <c r="AL550" s="286">
        <v>0</v>
      </c>
      <c r="AM550" s="286">
        <v>0</v>
      </c>
      <c r="AN550" s="286">
        <v>0</v>
      </c>
      <c r="AO550" s="286">
        <v>0</v>
      </c>
      <c r="AP550" s="286">
        <v>0</v>
      </c>
      <c r="AQ550" s="286">
        <v>0</v>
      </c>
      <c r="AR550" s="286">
        <v>0</v>
      </c>
      <c r="AS550" s="286">
        <v>0</v>
      </c>
      <c r="AT550" s="286">
        <v>0</v>
      </c>
      <c r="AU550" s="270" t="s">
        <v>550</v>
      </c>
    </row>
    <row r="551" spans="1:47" x14ac:dyDescent="0.2">
      <c r="A551" s="265"/>
    </row>
    <row r="552" spans="1:47" x14ac:dyDescent="0.2">
      <c r="A552" s="265"/>
    </row>
    <row r="553" spans="1:47" ht="24" x14ac:dyDescent="0.2">
      <c r="A553" s="265"/>
      <c r="C553" s="280" t="s">
        <v>1034</v>
      </c>
      <c r="D553" s="265"/>
      <c r="E553" s="265"/>
      <c r="G553" s="264" t="s">
        <v>82</v>
      </c>
      <c r="H553" s="264" t="s">
        <v>66</v>
      </c>
    </row>
    <row r="554" spans="1:47" x14ac:dyDescent="0.2">
      <c r="A554" s="265"/>
      <c r="C554" s="280" t="s">
        <v>1037</v>
      </c>
      <c r="D554" s="265"/>
      <c r="E554" s="265"/>
      <c r="G554" s="372">
        <v>8.4499999999999993</v>
      </c>
      <c r="H554" s="348">
        <v>30</v>
      </c>
    </row>
    <row r="555" spans="1:47" x14ac:dyDescent="0.2">
      <c r="A555" s="265"/>
      <c r="C555" s="265"/>
      <c r="D555" s="265"/>
      <c r="E555" s="265"/>
      <c r="G555" s="372">
        <v>34.369999999999997</v>
      </c>
      <c r="H555" s="309">
        <v>100</v>
      </c>
    </row>
    <row r="556" spans="1:47" x14ac:dyDescent="0.2">
      <c r="A556" s="265"/>
      <c r="C556" s="265"/>
      <c r="D556" s="265"/>
      <c r="E556" s="265"/>
      <c r="G556" s="373">
        <v>155.52000000000001</v>
      </c>
      <c r="H556" s="351">
        <v>1024</v>
      </c>
    </row>
    <row r="557" spans="1:47" x14ac:dyDescent="0.2">
      <c r="A557" s="265"/>
      <c r="C557" s="265"/>
      <c r="D557" s="265"/>
      <c r="E557" s="265"/>
      <c r="G557" s="270" t="s">
        <v>201</v>
      </c>
      <c r="H557" s="270" t="s">
        <v>200</v>
      </c>
    </row>
    <row r="558" spans="1:47" x14ac:dyDescent="0.2">
      <c r="A558" s="265"/>
      <c r="C558" s="265"/>
      <c r="D558" s="265"/>
      <c r="E558" s="265"/>
      <c r="G558" s="265"/>
      <c r="H558" s="265"/>
      <c r="I558" s="265"/>
      <c r="J558" s="265"/>
    </row>
    <row r="559" spans="1:47" x14ac:dyDescent="0.2">
      <c r="A559" s="265"/>
      <c r="C559" s="307" t="s">
        <v>1035</v>
      </c>
      <c r="D559" s="265"/>
      <c r="E559" s="265"/>
      <c r="G559" s="265"/>
      <c r="H559" s="265"/>
      <c r="I559" s="265"/>
      <c r="J559" s="265"/>
    </row>
    <row r="560" spans="1:47" x14ac:dyDescent="0.2">
      <c r="A560" s="265"/>
      <c r="C560" s="265"/>
      <c r="D560" s="355" t="s">
        <v>411</v>
      </c>
      <c r="E560" s="265"/>
      <c r="G560" s="309" t="s">
        <v>82</v>
      </c>
      <c r="H560" s="270" t="s">
        <v>199</v>
      </c>
      <c r="I560" s="265"/>
      <c r="J560" s="265"/>
    </row>
    <row r="561" spans="1:10" x14ac:dyDescent="0.2">
      <c r="A561" s="265"/>
      <c r="C561" s="265"/>
      <c r="D561" s="265" t="s">
        <v>417</v>
      </c>
      <c r="E561" s="265"/>
      <c r="G561" s="309" t="s">
        <v>82</v>
      </c>
      <c r="H561" s="270" t="s">
        <v>198</v>
      </c>
      <c r="I561" s="265"/>
      <c r="J561" s="265"/>
    </row>
    <row r="562" spans="1:10" x14ac:dyDescent="0.2">
      <c r="A562" s="265"/>
      <c r="C562" s="265"/>
      <c r="D562" s="265"/>
      <c r="E562" s="265"/>
      <c r="G562" s="265"/>
      <c r="H562" s="265"/>
      <c r="I562" s="265"/>
      <c r="J562" s="265"/>
    </row>
    <row r="563" spans="1:10" x14ac:dyDescent="0.2">
      <c r="A563" s="265"/>
      <c r="C563" s="280" t="s">
        <v>1036</v>
      </c>
      <c r="D563" s="265"/>
      <c r="E563" s="265"/>
      <c r="G563" s="265"/>
      <c r="H563" s="265"/>
      <c r="I563" s="265"/>
      <c r="J563" s="265"/>
    </row>
    <row r="564" spans="1:10" x14ac:dyDescent="0.2">
      <c r="A564" s="265"/>
      <c r="C564" s="265"/>
      <c r="D564" s="265"/>
      <c r="E564" s="265"/>
      <c r="G564" s="325">
        <v>2</v>
      </c>
      <c r="H564" s="270" t="s">
        <v>197</v>
      </c>
    </row>
    <row r="565" spans="1:10" x14ac:dyDescent="0.2">
      <c r="A565" s="265"/>
    </row>
    <row r="566" spans="1:10" x14ac:dyDescent="0.2">
      <c r="A566" s="265"/>
    </row>
    <row r="567" spans="1:10" x14ac:dyDescent="0.2">
      <c r="A567" s="265"/>
    </row>
    <row r="568" spans="1:10" ht="15.75" x14ac:dyDescent="0.2">
      <c r="B568" s="267" t="s">
        <v>1040</v>
      </c>
    </row>
    <row r="569" spans="1:10" x14ac:dyDescent="0.2">
      <c r="A569" s="265"/>
    </row>
    <row r="570" spans="1:10" x14ac:dyDescent="0.2">
      <c r="A570" s="265"/>
      <c r="C570" s="280" t="s">
        <v>795</v>
      </c>
      <c r="F570" s="263"/>
      <c r="H570" s="265"/>
    </row>
    <row r="571" spans="1:10" x14ac:dyDescent="0.2">
      <c r="A571" s="265"/>
      <c r="D571" s="263" t="s">
        <v>1669</v>
      </c>
      <c r="F571" s="263"/>
      <c r="G571" s="305">
        <f>Network.Total.RNC.Mbit.s</f>
        <v>73673.016916416018</v>
      </c>
      <c r="H571" s="265"/>
    </row>
    <row r="572" spans="1:10" x14ac:dyDescent="0.2">
      <c r="A572" s="265"/>
      <c r="E572" s="263" t="s">
        <v>808</v>
      </c>
      <c r="F572" s="263"/>
      <c r="G572" s="305">
        <f>Network.Total.voice.RNC.Mbit.s</f>
        <v>3693.20141011546</v>
      </c>
      <c r="H572" s="265"/>
    </row>
    <row r="573" spans="1:10" x14ac:dyDescent="0.2">
      <c r="A573" s="265"/>
      <c r="E573" s="263" t="s">
        <v>809</v>
      </c>
      <c r="F573" s="263"/>
      <c r="G573" s="305">
        <f>Network.Total.data.RNC.Mbit.s</f>
        <v>69979.815506300554</v>
      </c>
      <c r="H573" s="265"/>
    </row>
    <row r="574" spans="1:10" x14ac:dyDescent="0.2">
      <c r="A574" s="265"/>
      <c r="F574" s="263"/>
      <c r="H574" s="265"/>
    </row>
    <row r="575" spans="1:10" x14ac:dyDescent="0.2">
      <c r="A575" s="265"/>
      <c r="D575" s="265" t="s">
        <v>1670</v>
      </c>
      <c r="F575" s="263"/>
      <c r="H575" s="265"/>
    </row>
    <row r="576" spans="1:10" x14ac:dyDescent="0.2">
      <c r="A576" s="265"/>
      <c r="E576" s="263" t="s">
        <v>808</v>
      </c>
      <c r="F576" s="263"/>
      <c r="G576" s="305">
        <f>Network.Total.voice.RNC.MSC.and.RNC.SGSN.Mbit.s</f>
        <v>3077.6678417628827</v>
      </c>
      <c r="H576" s="265"/>
    </row>
    <row r="577" spans="1:47" x14ac:dyDescent="0.2">
      <c r="A577" s="265"/>
      <c r="E577" s="263" t="s">
        <v>809</v>
      </c>
      <c r="F577" s="263"/>
      <c r="G577" s="305">
        <f>Network.Total.data.RNC.MSC.and.RNC.SGSN.Mbit.s</f>
        <v>69979.815506300554</v>
      </c>
      <c r="H577" s="265"/>
    </row>
    <row r="578" spans="1:47" x14ac:dyDescent="0.2">
      <c r="A578" s="265"/>
      <c r="B578" s="265"/>
      <c r="F578" s="263"/>
    </row>
    <row r="579" spans="1:47" x14ac:dyDescent="0.2">
      <c r="A579" s="265"/>
      <c r="B579" s="265"/>
      <c r="F579" s="263"/>
    </row>
    <row r="580" spans="1:47" x14ac:dyDescent="0.2">
      <c r="A580" s="265"/>
      <c r="C580" s="280" t="s">
        <v>821</v>
      </c>
      <c r="F580" s="263"/>
    </row>
    <row r="581" spans="1:47" ht="24" x14ac:dyDescent="0.2">
      <c r="A581" s="265"/>
      <c r="F581" s="263"/>
      <c r="G581" s="352" t="str">
        <f t="array" ref="G581:AT581">TRANSPOSE(Core.nodes)</f>
        <v>Abancay</v>
      </c>
      <c r="H581" s="352" t="str">
        <v>Arequipa</v>
      </c>
      <c r="I581" s="352" t="str">
        <v>Ayacucho</v>
      </c>
      <c r="J581" s="264" t="str">
        <v>Cajamarca</v>
      </c>
      <c r="K581" s="264" t="str">
        <v>Callao</v>
      </c>
      <c r="L581" s="264" t="str">
        <v>Cerro de Pasco</v>
      </c>
      <c r="M581" s="264" t="str">
        <v>Chachapoyas</v>
      </c>
      <c r="N581" s="264" t="str">
        <v>Chiclayo</v>
      </c>
      <c r="O581" s="264" t="str">
        <v>Cusco</v>
      </c>
      <c r="P581" s="264" t="str">
        <v>Huancavelica</v>
      </c>
      <c r="Q581" s="264" t="str">
        <v>Huancayo</v>
      </c>
      <c r="R581" s="264" t="str">
        <v>Huaraz</v>
      </c>
      <c r="S581" s="264" t="str">
        <v>Ica</v>
      </c>
      <c r="T581" s="264" t="str">
        <v>Iquitos</v>
      </c>
      <c r="U581" s="264" t="str">
        <v>Lima</v>
      </c>
      <c r="V581" s="264" t="str">
        <v>Moquegua</v>
      </c>
      <c r="W581" s="264" t="str">
        <v>Piura</v>
      </c>
      <c r="X581" s="264" t="str">
        <v>Pucallpa</v>
      </c>
      <c r="Y581" s="264" t="str">
        <v>Puerto Maldonado</v>
      </c>
      <c r="Z581" s="264" t="str">
        <v>Puno</v>
      </c>
      <c r="AA581" s="264" t="str">
        <v>Tacna</v>
      </c>
      <c r="AB581" s="264" t="str">
        <v>Tarapoto</v>
      </c>
      <c r="AC581" s="264" t="str">
        <v>Tingo Maria</v>
      </c>
      <c r="AD581" s="264" t="str">
        <v>Trujillo</v>
      </c>
      <c r="AE581" s="264" t="str">
        <v>Tumbes</v>
      </c>
      <c r="AF581" s="264" t="str">
        <v>spare</v>
      </c>
      <c r="AG581" s="264" t="str">
        <v>spare</v>
      </c>
      <c r="AH581" s="264" t="str">
        <v>spare</v>
      </c>
      <c r="AI581" s="264" t="str">
        <v>spare</v>
      </c>
      <c r="AJ581" s="264" t="str">
        <v>spare</v>
      </c>
      <c r="AK581" s="264" t="str">
        <v>spare</v>
      </c>
      <c r="AL581" s="264" t="str">
        <v>spare</v>
      </c>
      <c r="AM581" s="264" t="str">
        <v>spare</v>
      </c>
      <c r="AN581" s="264" t="str">
        <v>spare</v>
      </c>
      <c r="AO581" s="264" t="str">
        <v>spare</v>
      </c>
      <c r="AP581" s="264" t="str">
        <v>spare</v>
      </c>
      <c r="AQ581" s="264" t="str">
        <v>spare</v>
      </c>
      <c r="AR581" s="264" t="str">
        <v>spare</v>
      </c>
      <c r="AS581" s="264" t="str">
        <v>spare</v>
      </c>
      <c r="AT581" s="264" t="str">
        <v>spare</v>
      </c>
    </row>
    <row r="582" spans="1:47" x14ac:dyDescent="0.2">
      <c r="A582" s="265"/>
      <c r="D582" s="263" t="s">
        <v>1669</v>
      </c>
      <c r="F582" s="263"/>
      <c r="G582" s="265"/>
      <c r="H582" s="265"/>
      <c r="I582" s="265"/>
      <c r="J582" s="265"/>
      <c r="K582" s="265"/>
      <c r="L582" s="265"/>
      <c r="M582" s="265"/>
      <c r="N582" s="265"/>
      <c r="O582" s="265"/>
      <c r="P582" s="265"/>
      <c r="Q582" s="265"/>
      <c r="R582" s="265"/>
      <c r="S582" s="265"/>
      <c r="T582" s="265"/>
      <c r="U582" s="265"/>
      <c r="V582" s="265"/>
      <c r="W582" s="265"/>
      <c r="X582" s="265"/>
      <c r="Y582" s="265"/>
      <c r="Z582" s="265"/>
      <c r="AA582" s="265"/>
      <c r="AB582" s="265"/>
      <c r="AC582" s="265"/>
      <c r="AD582" s="265"/>
      <c r="AE582" s="265"/>
      <c r="AF582" s="265"/>
      <c r="AG582" s="265"/>
      <c r="AH582" s="265"/>
      <c r="AI582" s="265"/>
      <c r="AJ582" s="265"/>
      <c r="AK582" s="265"/>
      <c r="AL582" s="265"/>
      <c r="AM582" s="265"/>
      <c r="AN582" s="265"/>
      <c r="AO582" s="265"/>
      <c r="AP582" s="265"/>
      <c r="AQ582" s="265"/>
      <c r="AR582" s="265"/>
      <c r="AS582" s="265"/>
      <c r="AT582" s="265"/>
    </row>
    <row r="583" spans="1:47" s="265" customFormat="1" x14ac:dyDescent="0.2">
      <c r="E583" s="355" t="s">
        <v>808</v>
      </c>
      <c r="G583" s="286">
        <f t="array" ref="G583:AT583">G572*SUMIF(Locations.RNC,G$581:AT$581,G516:AT516)</f>
        <v>0</v>
      </c>
      <c r="H583" s="286">
        <v>860.15822944414788</v>
      </c>
      <c r="I583" s="286">
        <v>0</v>
      </c>
      <c r="J583" s="286">
        <v>0</v>
      </c>
      <c r="K583" s="286">
        <v>0</v>
      </c>
      <c r="L583" s="286">
        <v>0</v>
      </c>
      <c r="M583" s="286">
        <v>0</v>
      </c>
      <c r="N583" s="286">
        <v>0</v>
      </c>
      <c r="O583" s="286">
        <v>0</v>
      </c>
      <c r="P583" s="286">
        <v>0</v>
      </c>
      <c r="Q583" s="286">
        <v>0</v>
      </c>
      <c r="R583" s="286">
        <v>0</v>
      </c>
      <c r="S583" s="286">
        <v>0</v>
      </c>
      <c r="T583" s="286">
        <v>120.29992362758985</v>
      </c>
      <c r="U583" s="286">
        <v>1402.9105373074376</v>
      </c>
      <c r="V583" s="286">
        <v>0</v>
      </c>
      <c r="W583" s="286">
        <v>0</v>
      </c>
      <c r="X583" s="286">
        <v>0</v>
      </c>
      <c r="Y583" s="286">
        <v>0</v>
      </c>
      <c r="Z583" s="286">
        <v>0</v>
      </c>
      <c r="AA583" s="286">
        <v>0</v>
      </c>
      <c r="AB583" s="286">
        <v>0</v>
      </c>
      <c r="AC583" s="286">
        <v>0</v>
      </c>
      <c r="AD583" s="286">
        <v>1309.8327197362851</v>
      </c>
      <c r="AE583" s="286">
        <v>0</v>
      </c>
      <c r="AF583" s="286">
        <v>0</v>
      </c>
      <c r="AG583" s="286">
        <v>0</v>
      </c>
      <c r="AH583" s="286">
        <v>0</v>
      </c>
      <c r="AI583" s="286">
        <v>0</v>
      </c>
      <c r="AJ583" s="286">
        <v>0</v>
      </c>
      <c r="AK583" s="286">
        <v>0</v>
      </c>
      <c r="AL583" s="286">
        <v>0</v>
      </c>
      <c r="AM583" s="286">
        <v>0</v>
      </c>
      <c r="AN583" s="286">
        <v>0</v>
      </c>
      <c r="AO583" s="286">
        <v>0</v>
      </c>
      <c r="AP583" s="286">
        <v>0</v>
      </c>
      <c r="AQ583" s="286">
        <v>0</v>
      </c>
      <c r="AR583" s="286">
        <v>0</v>
      </c>
      <c r="AS583" s="286">
        <v>0</v>
      </c>
      <c r="AT583" s="286">
        <v>0</v>
      </c>
    </row>
    <row r="584" spans="1:47" s="265" customFormat="1" x14ac:dyDescent="0.2">
      <c r="E584" s="355" t="s">
        <v>809</v>
      </c>
      <c r="G584" s="286">
        <f t="array" ref="G584:AT584">G573*SUMIF(Locations.RNC,G$581:AT$581,G517:AT517)</f>
        <v>0</v>
      </c>
      <c r="H584" s="286">
        <v>16298.519229918138</v>
      </c>
      <c r="I584" s="286">
        <v>0</v>
      </c>
      <c r="J584" s="286">
        <v>0</v>
      </c>
      <c r="K584" s="286">
        <v>0</v>
      </c>
      <c r="L584" s="286">
        <v>0</v>
      </c>
      <c r="M584" s="286">
        <v>0</v>
      </c>
      <c r="N584" s="286">
        <v>0</v>
      </c>
      <c r="O584" s="286">
        <v>0</v>
      </c>
      <c r="P584" s="286">
        <v>0</v>
      </c>
      <c r="Q584" s="286">
        <v>0</v>
      </c>
      <c r="R584" s="286">
        <v>0</v>
      </c>
      <c r="S584" s="286">
        <v>0</v>
      </c>
      <c r="T584" s="286">
        <v>2279.4766724129449</v>
      </c>
      <c r="U584" s="286">
        <v>26582.742090296728</v>
      </c>
      <c r="V584" s="286">
        <v>0</v>
      </c>
      <c r="W584" s="286">
        <v>0</v>
      </c>
      <c r="X584" s="286">
        <v>0</v>
      </c>
      <c r="Y584" s="286">
        <v>0</v>
      </c>
      <c r="Z584" s="286">
        <v>0</v>
      </c>
      <c r="AA584" s="286">
        <v>0</v>
      </c>
      <c r="AB584" s="286">
        <v>0</v>
      </c>
      <c r="AC584" s="286">
        <v>0</v>
      </c>
      <c r="AD584" s="286">
        <v>24819.07751367275</v>
      </c>
      <c r="AE584" s="286">
        <v>0</v>
      </c>
      <c r="AF584" s="286">
        <v>0</v>
      </c>
      <c r="AG584" s="286">
        <v>0</v>
      </c>
      <c r="AH584" s="286">
        <v>0</v>
      </c>
      <c r="AI584" s="286">
        <v>0</v>
      </c>
      <c r="AJ584" s="286">
        <v>0</v>
      </c>
      <c r="AK584" s="286">
        <v>0</v>
      </c>
      <c r="AL584" s="286">
        <v>0</v>
      </c>
      <c r="AM584" s="286">
        <v>0</v>
      </c>
      <c r="AN584" s="286">
        <v>0</v>
      </c>
      <c r="AO584" s="286">
        <v>0</v>
      </c>
      <c r="AP584" s="286">
        <v>0</v>
      </c>
      <c r="AQ584" s="286">
        <v>0</v>
      </c>
      <c r="AR584" s="286">
        <v>0</v>
      </c>
      <c r="AS584" s="286">
        <v>0</v>
      </c>
      <c r="AT584" s="286">
        <v>0</v>
      </c>
    </row>
    <row r="585" spans="1:47" s="265" customFormat="1" x14ac:dyDescent="0.2">
      <c r="E585" s="268" t="s">
        <v>61</v>
      </c>
      <c r="G585" s="286">
        <f t="array" ref="G585:AT585">G583:AT583+G584:AT584</f>
        <v>0</v>
      </c>
      <c r="H585" s="286">
        <v>17158.677459362287</v>
      </c>
      <c r="I585" s="286">
        <v>0</v>
      </c>
      <c r="J585" s="286">
        <v>0</v>
      </c>
      <c r="K585" s="286">
        <v>0</v>
      </c>
      <c r="L585" s="286">
        <v>0</v>
      </c>
      <c r="M585" s="286">
        <v>0</v>
      </c>
      <c r="N585" s="286">
        <v>0</v>
      </c>
      <c r="O585" s="286">
        <v>0</v>
      </c>
      <c r="P585" s="286">
        <v>0</v>
      </c>
      <c r="Q585" s="286">
        <v>0</v>
      </c>
      <c r="R585" s="286">
        <v>0</v>
      </c>
      <c r="S585" s="286">
        <v>0</v>
      </c>
      <c r="T585" s="286">
        <v>2399.776596040535</v>
      </c>
      <c r="U585" s="286">
        <v>27985.652627604166</v>
      </c>
      <c r="V585" s="286">
        <v>0</v>
      </c>
      <c r="W585" s="286">
        <v>0</v>
      </c>
      <c r="X585" s="286">
        <v>0</v>
      </c>
      <c r="Y585" s="286">
        <v>0</v>
      </c>
      <c r="Z585" s="286">
        <v>0</v>
      </c>
      <c r="AA585" s="286">
        <v>0</v>
      </c>
      <c r="AB585" s="286">
        <v>0</v>
      </c>
      <c r="AC585" s="286">
        <v>0</v>
      </c>
      <c r="AD585" s="286">
        <v>26128.910233409035</v>
      </c>
      <c r="AE585" s="286">
        <v>0</v>
      </c>
      <c r="AF585" s="286">
        <v>0</v>
      </c>
      <c r="AG585" s="286">
        <v>0</v>
      </c>
      <c r="AH585" s="286">
        <v>0</v>
      </c>
      <c r="AI585" s="286">
        <v>0</v>
      </c>
      <c r="AJ585" s="286">
        <v>0</v>
      </c>
      <c r="AK585" s="286">
        <v>0</v>
      </c>
      <c r="AL585" s="286">
        <v>0</v>
      </c>
      <c r="AM585" s="286">
        <v>0</v>
      </c>
      <c r="AN585" s="286">
        <v>0</v>
      </c>
      <c r="AO585" s="286">
        <v>0</v>
      </c>
      <c r="AP585" s="286">
        <v>0</v>
      </c>
      <c r="AQ585" s="286">
        <v>0</v>
      </c>
      <c r="AR585" s="286">
        <v>0</v>
      </c>
      <c r="AS585" s="286">
        <v>0</v>
      </c>
      <c r="AT585" s="286">
        <v>0</v>
      </c>
      <c r="AU585" s="270" t="s">
        <v>553</v>
      </c>
    </row>
    <row r="586" spans="1:47" s="265" customFormat="1" x14ac:dyDescent="0.2"/>
    <row r="587" spans="1:47" s="265" customFormat="1" x14ac:dyDescent="0.2">
      <c r="D587" s="265" t="s">
        <v>1670</v>
      </c>
    </row>
    <row r="588" spans="1:47" x14ac:dyDescent="0.2">
      <c r="A588" s="265"/>
      <c r="E588" s="355" t="s">
        <v>808</v>
      </c>
      <c r="G588" s="286">
        <f t="array" ref="G588:AT588">G576*SUMIF(Locations.RNC,G$581:AT$581,G516:AT516)</f>
        <v>0</v>
      </c>
      <c r="H588" s="286">
        <v>716.79852453678973</v>
      </c>
      <c r="I588" s="286">
        <v>0</v>
      </c>
      <c r="J588" s="286">
        <v>0</v>
      </c>
      <c r="K588" s="286">
        <v>0</v>
      </c>
      <c r="L588" s="286">
        <v>0</v>
      </c>
      <c r="M588" s="286">
        <v>0</v>
      </c>
      <c r="N588" s="286">
        <v>0</v>
      </c>
      <c r="O588" s="286">
        <v>0</v>
      </c>
      <c r="P588" s="286">
        <v>0</v>
      </c>
      <c r="Q588" s="286">
        <v>0</v>
      </c>
      <c r="R588" s="286">
        <v>0</v>
      </c>
      <c r="S588" s="286">
        <v>0</v>
      </c>
      <c r="T588" s="286">
        <v>100.24993635632485</v>
      </c>
      <c r="U588" s="286">
        <v>1169.0921144228644</v>
      </c>
      <c r="V588" s="286">
        <v>0</v>
      </c>
      <c r="W588" s="286">
        <v>0</v>
      </c>
      <c r="X588" s="286">
        <v>0</v>
      </c>
      <c r="Y588" s="286">
        <v>0</v>
      </c>
      <c r="Z588" s="286">
        <v>0</v>
      </c>
      <c r="AA588" s="286">
        <v>0</v>
      </c>
      <c r="AB588" s="286">
        <v>0</v>
      </c>
      <c r="AC588" s="286">
        <v>0</v>
      </c>
      <c r="AD588" s="286">
        <v>1091.5272664469039</v>
      </c>
      <c r="AE588" s="286">
        <v>0</v>
      </c>
      <c r="AF588" s="286">
        <v>0</v>
      </c>
      <c r="AG588" s="286">
        <v>0</v>
      </c>
      <c r="AH588" s="286">
        <v>0</v>
      </c>
      <c r="AI588" s="286">
        <v>0</v>
      </c>
      <c r="AJ588" s="286">
        <v>0</v>
      </c>
      <c r="AK588" s="286">
        <v>0</v>
      </c>
      <c r="AL588" s="286">
        <v>0</v>
      </c>
      <c r="AM588" s="286">
        <v>0</v>
      </c>
      <c r="AN588" s="286">
        <v>0</v>
      </c>
      <c r="AO588" s="286">
        <v>0</v>
      </c>
      <c r="AP588" s="286">
        <v>0</v>
      </c>
      <c r="AQ588" s="286">
        <v>0</v>
      </c>
      <c r="AR588" s="286">
        <v>0</v>
      </c>
      <c r="AS588" s="286">
        <v>0</v>
      </c>
      <c r="AT588" s="286">
        <v>0</v>
      </c>
      <c r="AU588" s="270" t="s">
        <v>1677</v>
      </c>
    </row>
    <row r="589" spans="1:47" x14ac:dyDescent="0.2">
      <c r="A589" s="265"/>
      <c r="E589" s="355" t="s">
        <v>809</v>
      </c>
      <c r="G589" s="286">
        <f t="array" ref="G589:AT589">G577*SUMIF(Locations.RNC,G$581:AT$581,G517:AT517)</f>
        <v>0</v>
      </c>
      <c r="H589" s="286">
        <v>16298.519229918138</v>
      </c>
      <c r="I589" s="286">
        <v>0</v>
      </c>
      <c r="J589" s="286">
        <v>0</v>
      </c>
      <c r="K589" s="286">
        <v>0</v>
      </c>
      <c r="L589" s="286">
        <v>0</v>
      </c>
      <c r="M589" s="286">
        <v>0</v>
      </c>
      <c r="N589" s="286">
        <v>0</v>
      </c>
      <c r="O589" s="286">
        <v>0</v>
      </c>
      <c r="P589" s="286">
        <v>0</v>
      </c>
      <c r="Q589" s="286">
        <v>0</v>
      </c>
      <c r="R589" s="286">
        <v>0</v>
      </c>
      <c r="S589" s="286">
        <v>0</v>
      </c>
      <c r="T589" s="286">
        <v>2279.4766724129449</v>
      </c>
      <c r="U589" s="286">
        <v>26582.742090296728</v>
      </c>
      <c r="V589" s="286">
        <v>0</v>
      </c>
      <c r="W589" s="286">
        <v>0</v>
      </c>
      <c r="X589" s="286">
        <v>0</v>
      </c>
      <c r="Y589" s="286">
        <v>0</v>
      </c>
      <c r="Z589" s="286">
        <v>0</v>
      </c>
      <c r="AA589" s="286">
        <v>0</v>
      </c>
      <c r="AB589" s="286">
        <v>0</v>
      </c>
      <c r="AC589" s="286">
        <v>0</v>
      </c>
      <c r="AD589" s="286">
        <v>24819.07751367275</v>
      </c>
      <c r="AE589" s="286">
        <v>0</v>
      </c>
      <c r="AF589" s="286">
        <v>0</v>
      </c>
      <c r="AG589" s="286">
        <v>0</v>
      </c>
      <c r="AH589" s="286">
        <v>0</v>
      </c>
      <c r="AI589" s="286">
        <v>0</v>
      </c>
      <c r="AJ589" s="286">
        <v>0</v>
      </c>
      <c r="AK589" s="286">
        <v>0</v>
      </c>
      <c r="AL589" s="286">
        <v>0</v>
      </c>
      <c r="AM589" s="286">
        <v>0</v>
      </c>
      <c r="AN589" s="286">
        <v>0</v>
      </c>
      <c r="AO589" s="286">
        <v>0</v>
      </c>
      <c r="AP589" s="286">
        <v>0</v>
      </c>
      <c r="AQ589" s="286">
        <v>0</v>
      </c>
      <c r="AR589" s="286">
        <v>0</v>
      </c>
      <c r="AS589" s="286">
        <v>0</v>
      </c>
      <c r="AT589" s="286">
        <v>0</v>
      </c>
      <c r="AU589" s="270" t="s">
        <v>1678</v>
      </c>
    </row>
    <row r="590" spans="1:47" x14ac:dyDescent="0.2">
      <c r="A590" s="265"/>
      <c r="E590" s="268" t="s">
        <v>61</v>
      </c>
      <c r="G590" s="286">
        <f t="array" ref="G590:AT590">Network.voice.RNC.MSC.and.RNC.SGSN.Mbit.s.by.core.node+Network.data.RNC.MSC.and.RNC.SGSN.Mbit.s.by.core.node</f>
        <v>0</v>
      </c>
      <c r="H590" s="286">
        <v>17015.317754454929</v>
      </c>
      <c r="I590" s="286">
        <v>0</v>
      </c>
      <c r="J590" s="286">
        <v>0</v>
      </c>
      <c r="K590" s="286">
        <v>0</v>
      </c>
      <c r="L590" s="286">
        <v>0</v>
      </c>
      <c r="M590" s="286">
        <v>0</v>
      </c>
      <c r="N590" s="286">
        <v>0</v>
      </c>
      <c r="O590" s="286">
        <v>0</v>
      </c>
      <c r="P590" s="286">
        <v>0</v>
      </c>
      <c r="Q590" s="286">
        <v>0</v>
      </c>
      <c r="R590" s="286">
        <v>0</v>
      </c>
      <c r="S590" s="286">
        <v>0</v>
      </c>
      <c r="T590" s="286">
        <v>2379.7266087692697</v>
      </c>
      <c r="U590" s="286">
        <v>27751.834204719591</v>
      </c>
      <c r="V590" s="286">
        <v>0</v>
      </c>
      <c r="W590" s="286">
        <v>0</v>
      </c>
      <c r="X590" s="286">
        <v>0</v>
      </c>
      <c r="Y590" s="286">
        <v>0</v>
      </c>
      <c r="Z590" s="286">
        <v>0</v>
      </c>
      <c r="AA590" s="286">
        <v>0</v>
      </c>
      <c r="AB590" s="286">
        <v>0</v>
      </c>
      <c r="AC590" s="286">
        <v>0</v>
      </c>
      <c r="AD590" s="286">
        <v>25910.604780119655</v>
      </c>
      <c r="AE590" s="286">
        <v>0</v>
      </c>
      <c r="AF590" s="286">
        <v>0</v>
      </c>
      <c r="AG590" s="286">
        <v>0</v>
      </c>
      <c r="AH590" s="286">
        <v>0</v>
      </c>
      <c r="AI590" s="286">
        <v>0</v>
      </c>
      <c r="AJ590" s="286">
        <v>0</v>
      </c>
      <c r="AK590" s="286">
        <v>0</v>
      </c>
      <c r="AL590" s="286">
        <v>0</v>
      </c>
      <c r="AM590" s="286">
        <v>0</v>
      </c>
      <c r="AN590" s="286">
        <v>0</v>
      </c>
      <c r="AO590" s="286">
        <v>0</v>
      </c>
      <c r="AP590" s="286">
        <v>0</v>
      </c>
      <c r="AQ590" s="286">
        <v>0</v>
      </c>
      <c r="AR590" s="286">
        <v>0</v>
      </c>
      <c r="AS590" s="286">
        <v>0</v>
      </c>
      <c r="AT590" s="286">
        <v>0</v>
      </c>
      <c r="AU590" s="265"/>
    </row>
    <row r="591" spans="1:47" s="265" customFormat="1" x14ac:dyDescent="0.2"/>
    <row r="592" spans="1:47" s="265" customFormat="1" x14ac:dyDescent="0.2">
      <c r="B592" s="263"/>
    </row>
    <row r="593" spans="1:48" ht="24" x14ac:dyDescent="0.2">
      <c r="A593" s="265"/>
      <c r="C593" s="280" t="s">
        <v>1041</v>
      </c>
      <c r="D593" s="265"/>
      <c r="E593" s="265"/>
      <c r="G593" s="264" t="s">
        <v>82</v>
      </c>
      <c r="H593" s="264" t="s">
        <v>66</v>
      </c>
    </row>
    <row r="594" spans="1:48" x14ac:dyDescent="0.2">
      <c r="A594" s="265"/>
      <c r="C594" s="265"/>
      <c r="D594" s="265"/>
      <c r="E594" s="265"/>
      <c r="G594" s="351">
        <v>34.4</v>
      </c>
      <c r="H594" s="351">
        <v>100</v>
      </c>
    </row>
    <row r="595" spans="1:48" x14ac:dyDescent="0.2">
      <c r="A595" s="265"/>
      <c r="C595" s="265"/>
      <c r="D595" s="265"/>
      <c r="E595" s="265"/>
      <c r="G595" s="373">
        <v>155.52000000000001</v>
      </c>
      <c r="H595" s="351">
        <v>1024</v>
      </c>
    </row>
    <row r="596" spans="1:48" x14ac:dyDescent="0.2">
      <c r="A596" s="265"/>
      <c r="C596" s="265"/>
      <c r="D596" s="265"/>
      <c r="E596" s="265"/>
      <c r="G596" s="374">
        <v>622.08000000000004</v>
      </c>
      <c r="H596" s="351">
        <v>2488</v>
      </c>
    </row>
    <row r="597" spans="1:48" x14ac:dyDescent="0.2">
      <c r="A597" s="265"/>
      <c r="C597" s="265"/>
      <c r="D597" s="265"/>
      <c r="E597" s="265"/>
      <c r="G597" s="270" t="s">
        <v>196</v>
      </c>
      <c r="H597" s="270" t="s">
        <v>195</v>
      </c>
    </row>
    <row r="598" spans="1:48" x14ac:dyDescent="0.2">
      <c r="A598" s="265"/>
      <c r="C598" s="265"/>
      <c r="D598" s="265"/>
      <c r="E598" s="265"/>
      <c r="G598" s="265"/>
      <c r="H598" s="265"/>
    </row>
    <row r="599" spans="1:48" x14ac:dyDescent="0.2">
      <c r="A599" s="265"/>
      <c r="C599" s="307" t="s">
        <v>1042</v>
      </c>
      <c r="D599" s="265"/>
      <c r="E599" s="265"/>
      <c r="G599" s="265"/>
      <c r="H599" s="265"/>
    </row>
    <row r="600" spans="1:48" x14ac:dyDescent="0.2">
      <c r="A600" s="265"/>
      <c r="C600" s="265"/>
      <c r="D600" s="355" t="s">
        <v>411</v>
      </c>
      <c r="E600" s="265"/>
      <c r="G600" s="309" t="s">
        <v>66</v>
      </c>
      <c r="H600" s="270" t="s">
        <v>194</v>
      </c>
    </row>
    <row r="601" spans="1:48" x14ac:dyDescent="0.2">
      <c r="A601" s="265"/>
      <c r="C601" s="265"/>
      <c r="D601" s="265" t="s">
        <v>417</v>
      </c>
      <c r="E601" s="265"/>
      <c r="G601" s="309" t="s">
        <v>66</v>
      </c>
      <c r="H601" s="270" t="s">
        <v>193</v>
      </c>
    </row>
    <row r="602" spans="1:48" x14ac:dyDescent="0.2">
      <c r="A602" s="265"/>
      <c r="C602" s="265"/>
      <c r="D602" s="265"/>
      <c r="E602" s="265"/>
      <c r="G602" s="265"/>
      <c r="H602" s="265"/>
    </row>
    <row r="603" spans="1:48" x14ac:dyDescent="0.2">
      <c r="A603" s="265"/>
      <c r="C603" s="280" t="s">
        <v>1043</v>
      </c>
      <c r="D603" s="265"/>
      <c r="E603" s="265"/>
      <c r="G603" s="265"/>
      <c r="H603" s="265"/>
    </row>
    <row r="604" spans="1:48" x14ac:dyDescent="0.2">
      <c r="A604" s="265"/>
      <c r="C604" s="265"/>
      <c r="D604" s="265"/>
      <c r="E604" s="265"/>
      <c r="G604" s="322">
        <v>2</v>
      </c>
      <c r="H604" s="270" t="s">
        <v>192</v>
      </c>
    </row>
    <row r="605" spans="1:48" x14ac:dyDescent="0.2">
      <c r="A605" s="265"/>
    </row>
    <row r="606" spans="1:48" x14ac:dyDescent="0.2">
      <c r="A606" s="265"/>
    </row>
    <row r="608" spans="1:48" s="265" customFormat="1" ht="15.75" x14ac:dyDescent="0.2">
      <c r="A608" s="266" t="s">
        <v>1329</v>
      </c>
      <c r="B608" s="266"/>
      <c r="C608" s="266"/>
      <c r="D608" s="266"/>
      <c r="E608" s="266"/>
      <c r="F608" s="266"/>
      <c r="G608" s="266"/>
      <c r="H608" s="266"/>
      <c r="I608" s="266"/>
      <c r="J608" s="266"/>
      <c r="K608" s="266"/>
      <c r="L608" s="266"/>
      <c r="M608" s="266"/>
      <c r="N608" s="266"/>
      <c r="O608" s="266"/>
      <c r="P608" s="266"/>
      <c r="Q608" s="266"/>
      <c r="R608" s="266"/>
      <c r="S608" s="266"/>
      <c r="T608" s="266"/>
      <c r="U608" s="266"/>
      <c r="V608" s="266"/>
      <c r="W608" s="266"/>
      <c r="X608" s="266"/>
      <c r="Y608" s="266"/>
      <c r="Z608" s="266"/>
      <c r="AA608" s="266"/>
      <c r="AB608" s="266"/>
      <c r="AC608" s="266"/>
      <c r="AD608" s="266"/>
      <c r="AE608" s="266"/>
      <c r="AF608" s="266"/>
      <c r="AG608" s="266"/>
      <c r="AH608" s="266"/>
      <c r="AI608" s="266"/>
      <c r="AJ608" s="266"/>
      <c r="AK608" s="266"/>
      <c r="AL608" s="266"/>
      <c r="AM608" s="266"/>
      <c r="AN608" s="266"/>
      <c r="AO608" s="266"/>
      <c r="AP608" s="266"/>
      <c r="AQ608" s="266"/>
      <c r="AR608" s="266"/>
      <c r="AS608" s="266"/>
      <c r="AT608" s="266"/>
      <c r="AU608" s="266"/>
      <c r="AV608" s="266"/>
    </row>
    <row r="610" spans="1:48" ht="24" x14ac:dyDescent="0.2">
      <c r="A610" s="265"/>
      <c r="G610" s="352" t="str">
        <f t="array" ref="G610:AT610">TRANSPOSE(Core.nodes)</f>
        <v>Abancay</v>
      </c>
      <c r="H610" s="352" t="str">
        <v>Arequipa</v>
      </c>
      <c r="I610" s="352" t="str">
        <v>Ayacucho</v>
      </c>
      <c r="J610" s="264" t="str">
        <v>Cajamarca</v>
      </c>
      <c r="K610" s="264" t="str">
        <v>Callao</v>
      </c>
      <c r="L610" s="264" t="str">
        <v>Cerro de Pasco</v>
      </c>
      <c r="M610" s="264" t="str">
        <v>Chachapoyas</v>
      </c>
      <c r="N610" s="264" t="str">
        <v>Chiclayo</v>
      </c>
      <c r="O610" s="264" t="str">
        <v>Cusco</v>
      </c>
      <c r="P610" s="264" t="str">
        <v>Huancavelica</v>
      </c>
      <c r="Q610" s="264" t="str">
        <v>Huancayo</v>
      </c>
      <c r="R610" s="264" t="str">
        <v>Huaraz</v>
      </c>
      <c r="S610" s="264" t="str">
        <v>Ica</v>
      </c>
      <c r="T610" s="264" t="str">
        <v>Iquitos</v>
      </c>
      <c r="U610" s="264" t="str">
        <v>Lima</v>
      </c>
      <c r="V610" s="264" t="str">
        <v>Moquegua</v>
      </c>
      <c r="W610" s="264" t="str">
        <v>Piura</v>
      </c>
      <c r="X610" s="264" t="str">
        <v>Pucallpa</v>
      </c>
      <c r="Y610" s="264" t="str">
        <v>Puerto Maldonado</v>
      </c>
      <c r="Z610" s="264" t="str">
        <v>Puno</v>
      </c>
      <c r="AA610" s="264" t="str">
        <v>Tacna</v>
      </c>
      <c r="AB610" s="264" t="str">
        <v>Tarapoto</v>
      </c>
      <c r="AC610" s="264" t="str">
        <v>Tingo Maria</v>
      </c>
      <c r="AD610" s="264" t="str">
        <v>Trujillo</v>
      </c>
      <c r="AE610" s="264" t="str">
        <v>Tumbes</v>
      </c>
      <c r="AF610" s="264" t="str">
        <v>spare</v>
      </c>
      <c r="AG610" s="264" t="str">
        <v>spare</v>
      </c>
      <c r="AH610" s="264" t="str">
        <v>spare</v>
      </c>
      <c r="AI610" s="264" t="str">
        <v>spare</v>
      </c>
      <c r="AJ610" s="264" t="str">
        <v>spare</v>
      </c>
      <c r="AK610" s="264" t="str">
        <v>spare</v>
      </c>
      <c r="AL610" s="264" t="str">
        <v>spare</v>
      </c>
      <c r="AM610" s="264" t="str">
        <v>spare</v>
      </c>
      <c r="AN610" s="264" t="str">
        <v>spare</v>
      </c>
      <c r="AO610" s="264" t="str">
        <v>spare</v>
      </c>
      <c r="AP610" s="264" t="str">
        <v>spare</v>
      </c>
      <c r="AQ610" s="264" t="str">
        <v>spare</v>
      </c>
      <c r="AR610" s="264" t="str">
        <v>spare</v>
      </c>
      <c r="AS610" s="264" t="str">
        <v>spare</v>
      </c>
      <c r="AT610" s="264" t="str">
        <v>spare</v>
      </c>
      <c r="AV610" s="264" t="s">
        <v>61</v>
      </c>
    </row>
    <row r="611" spans="1:48" x14ac:dyDescent="0.2">
      <c r="A611" s="265"/>
      <c r="C611" s="268" t="s">
        <v>1044</v>
      </c>
      <c r="G611" s="271" t="str">
        <f t="array" ref="G611:AT611">TRANSPOSE(CTRL.main.switching.sites)</f>
        <v>Arequipa</v>
      </c>
      <c r="H611" s="271" t="str">
        <v>Arequipa</v>
      </c>
      <c r="I611" s="271" t="str">
        <v>Arequipa</v>
      </c>
      <c r="J611" s="271" t="str">
        <v>Trujillo</v>
      </c>
      <c r="K611" s="271" t="str">
        <v>Lima</v>
      </c>
      <c r="L611" s="271" t="str">
        <v>Trujillo</v>
      </c>
      <c r="M611" s="271" t="str">
        <v>Trujillo</v>
      </c>
      <c r="N611" s="271" t="str">
        <v>Trujillo</v>
      </c>
      <c r="O611" s="271" t="str">
        <v>Arequipa</v>
      </c>
      <c r="P611" s="271" t="str">
        <v>Arequipa</v>
      </c>
      <c r="Q611" s="271" t="str">
        <v>Lima</v>
      </c>
      <c r="R611" s="271" t="str">
        <v>Trujillo</v>
      </c>
      <c r="S611" s="271" t="str">
        <v>Arequipa</v>
      </c>
      <c r="T611" s="271" t="str">
        <v>Iquitos</v>
      </c>
      <c r="U611" s="271" t="str">
        <v>Lima</v>
      </c>
      <c r="V611" s="271" t="str">
        <v>Arequipa</v>
      </c>
      <c r="W611" s="271" t="str">
        <v>Trujillo</v>
      </c>
      <c r="X611" s="271" t="str">
        <v>Trujillo</v>
      </c>
      <c r="Y611" s="271" t="str">
        <v>Arequipa</v>
      </c>
      <c r="Z611" s="271" t="str">
        <v>Arequipa</v>
      </c>
      <c r="AA611" s="271" t="str">
        <v>Arequipa</v>
      </c>
      <c r="AB611" s="271" t="str">
        <v>Trujillo</v>
      </c>
      <c r="AC611" s="271" t="str">
        <v>Trujillo</v>
      </c>
      <c r="AD611" s="271" t="str">
        <v>Trujillo</v>
      </c>
      <c r="AE611" s="271" t="str">
        <v>Trujillo</v>
      </c>
      <c r="AF611" s="271">
        <v>0</v>
      </c>
      <c r="AG611" s="271">
        <v>0</v>
      </c>
      <c r="AH611" s="271">
        <v>0</v>
      </c>
      <c r="AI611" s="271">
        <v>0</v>
      </c>
      <c r="AJ611" s="271">
        <v>0</v>
      </c>
      <c r="AK611" s="271">
        <v>0</v>
      </c>
      <c r="AL611" s="271">
        <v>0</v>
      </c>
      <c r="AM611" s="271">
        <v>0</v>
      </c>
      <c r="AN611" s="271">
        <v>0</v>
      </c>
      <c r="AO611" s="271">
        <v>0</v>
      </c>
      <c r="AP611" s="271">
        <v>0</v>
      </c>
      <c r="AQ611" s="271">
        <v>0</v>
      </c>
      <c r="AR611" s="271">
        <v>0</v>
      </c>
      <c r="AS611" s="271">
        <v>0</v>
      </c>
      <c r="AT611" s="271">
        <v>0</v>
      </c>
      <c r="AU611" s="270" t="s">
        <v>565</v>
      </c>
      <c r="AV611" s="299">
        <f t="array" ref="AV611">SUM(IF(Main.switching.sites=G610:AT610,1,0))</f>
        <v>4</v>
      </c>
    </row>
    <row r="612" spans="1:48" x14ac:dyDescent="0.2">
      <c r="A612" s="265"/>
      <c r="C612" s="265"/>
      <c r="AV612" s="270" t="s">
        <v>566</v>
      </c>
    </row>
    <row r="613" spans="1:48" x14ac:dyDescent="0.2">
      <c r="A613" s="265"/>
    </row>
    <row r="614" spans="1:48" x14ac:dyDescent="0.2">
      <c r="A614" s="265"/>
      <c r="C614" s="268" t="s">
        <v>1045</v>
      </c>
    </row>
    <row r="615" spans="1:48" x14ac:dyDescent="0.2">
      <c r="A615" s="265"/>
    </row>
    <row r="616" spans="1:48" x14ac:dyDescent="0.2">
      <c r="A616" s="265"/>
      <c r="D616" s="273" t="str">
        <f t="array" ref="D616:D629">Voice.services.list</f>
        <v>2G - Tráfico de voz on-net</v>
      </c>
      <c r="G616" s="344">
        <v>0.25</v>
      </c>
      <c r="H616" s="265"/>
    </row>
    <row r="617" spans="1:48" x14ac:dyDescent="0.2">
      <c r="A617" s="265"/>
      <c r="D617" s="273" t="str">
        <v>2G - Tráfico de voz saliente a fijo</v>
      </c>
      <c r="G617" s="344">
        <v>0.15</v>
      </c>
    </row>
    <row r="618" spans="1:48" x14ac:dyDescent="0.2">
      <c r="A618" s="265"/>
      <c r="D618" s="273" t="str">
        <v>2G - Tráfico de voz saliente a móvil</v>
      </c>
      <c r="G618" s="344">
        <v>0.15</v>
      </c>
    </row>
    <row r="619" spans="1:48" x14ac:dyDescent="0.2">
      <c r="A619" s="265"/>
      <c r="D619" s="273" t="str">
        <v>2G - Tráfico de voz saliente a internacional</v>
      </c>
      <c r="G619" s="344">
        <v>0.15</v>
      </c>
    </row>
    <row r="620" spans="1:48" x14ac:dyDescent="0.2">
      <c r="A620" s="265"/>
      <c r="D620" s="273" t="str">
        <v>2G - Tráfico de voz entrante desde fijo</v>
      </c>
      <c r="G620" s="344">
        <v>0.15</v>
      </c>
    </row>
    <row r="621" spans="1:48" x14ac:dyDescent="0.2">
      <c r="A621" s="265"/>
      <c r="D621" s="273" t="str">
        <v>2G - Tráfico de voz entrante desde móvil</v>
      </c>
      <c r="G621" s="344">
        <v>0.15</v>
      </c>
    </row>
    <row r="622" spans="1:48" x14ac:dyDescent="0.2">
      <c r="A622" s="265"/>
      <c r="D622" s="305" t="str">
        <v>2G - Tráfico de voz entrante desde internacional</v>
      </c>
      <c r="G622" s="344">
        <v>0.15</v>
      </c>
    </row>
    <row r="623" spans="1:48" x14ac:dyDescent="0.2">
      <c r="A623" s="265"/>
      <c r="D623" s="305" t="str">
        <v>3G - Tráfico de voz on-net</v>
      </c>
      <c r="G623" s="356">
        <f t="shared" ref="G623:G629" si="19">G616</f>
        <v>0.25</v>
      </c>
    </row>
    <row r="624" spans="1:48" x14ac:dyDescent="0.2">
      <c r="A624" s="265"/>
      <c r="D624" s="273" t="str">
        <v>3G - Tráfico de voz saliente a fijo</v>
      </c>
      <c r="G624" s="356">
        <f t="shared" si="19"/>
        <v>0.15</v>
      </c>
    </row>
    <row r="625" spans="1:9" x14ac:dyDescent="0.2">
      <c r="A625" s="265"/>
      <c r="D625" s="273" t="str">
        <v>3G - Tráfico de voz saliente a móvil</v>
      </c>
      <c r="G625" s="356">
        <f t="shared" si="19"/>
        <v>0.15</v>
      </c>
    </row>
    <row r="626" spans="1:9" x14ac:dyDescent="0.2">
      <c r="A626" s="265"/>
      <c r="D626" s="273" t="str">
        <v>3G - Tráfico de voz saliente a internacional</v>
      </c>
      <c r="G626" s="356">
        <f t="shared" si="19"/>
        <v>0.15</v>
      </c>
    </row>
    <row r="627" spans="1:9" x14ac:dyDescent="0.2">
      <c r="A627" s="265"/>
      <c r="D627" s="273" t="str">
        <v>3G - Tráfico de voz entrante desde fijo</v>
      </c>
      <c r="G627" s="356">
        <f t="shared" si="19"/>
        <v>0.15</v>
      </c>
    </row>
    <row r="628" spans="1:9" x14ac:dyDescent="0.2">
      <c r="A628" s="265"/>
      <c r="D628" s="273" t="str">
        <v>3G - Tráfico de voz entrante desde móvil</v>
      </c>
      <c r="G628" s="356">
        <f t="shared" si="19"/>
        <v>0.15</v>
      </c>
    </row>
    <row r="629" spans="1:9" x14ac:dyDescent="0.2">
      <c r="A629" s="265"/>
      <c r="D629" s="273" t="str">
        <v>3G - Tráfico de voz entrante desde internacional</v>
      </c>
      <c r="G629" s="356">
        <f t="shared" si="19"/>
        <v>0.15</v>
      </c>
    </row>
    <row r="630" spans="1:9" x14ac:dyDescent="0.2">
      <c r="A630" s="265"/>
      <c r="D630" s="357" t="str">
        <f t="array" ref="D630:D636">VoLTE.services.list</f>
        <v>4G - Tráfico de voz on-net</v>
      </c>
      <c r="G630" s="356">
        <f t="shared" ref="G630:G636" si="20">G616</f>
        <v>0.25</v>
      </c>
    </row>
    <row r="631" spans="1:9" x14ac:dyDescent="0.2">
      <c r="A631" s="265"/>
      <c r="D631" s="357" t="str">
        <v>4G - Tráfico de voz saliente a fijo</v>
      </c>
      <c r="G631" s="356">
        <f t="shared" si="20"/>
        <v>0.15</v>
      </c>
    </row>
    <row r="632" spans="1:9" x14ac:dyDescent="0.2">
      <c r="A632" s="265"/>
      <c r="D632" s="357" t="str">
        <v>4G - Tráfico de voz saliente a móvil</v>
      </c>
      <c r="G632" s="356">
        <f t="shared" si="20"/>
        <v>0.15</v>
      </c>
    </row>
    <row r="633" spans="1:9" x14ac:dyDescent="0.2">
      <c r="A633" s="265"/>
      <c r="D633" s="357" t="str">
        <v>4G - Tráfico de voz saliente a internacional</v>
      </c>
      <c r="G633" s="356">
        <f t="shared" si="20"/>
        <v>0.15</v>
      </c>
    </row>
    <row r="634" spans="1:9" x14ac:dyDescent="0.2">
      <c r="A634" s="265"/>
      <c r="D634" s="357" t="str">
        <v>4G - Tráfico de voz entrante desde fijo</v>
      </c>
      <c r="G634" s="356">
        <f t="shared" si="20"/>
        <v>0.15</v>
      </c>
    </row>
    <row r="635" spans="1:9" x14ac:dyDescent="0.2">
      <c r="A635" s="265"/>
      <c r="D635" s="357" t="str">
        <v>4G - Tráfico de voz entrante desde móvil</v>
      </c>
      <c r="G635" s="356">
        <f t="shared" si="20"/>
        <v>0.15</v>
      </c>
    </row>
    <row r="636" spans="1:9" x14ac:dyDescent="0.2">
      <c r="A636" s="265"/>
      <c r="D636" s="357" t="str">
        <v>4G - Tráfico de voz entrante desde internacional</v>
      </c>
      <c r="G636" s="356">
        <f t="shared" si="20"/>
        <v>0.15</v>
      </c>
    </row>
    <row r="637" spans="1:9" s="265" customFormat="1" x14ac:dyDescent="0.2">
      <c r="G637" s="270" t="s">
        <v>39</v>
      </c>
    </row>
    <row r="638" spans="1:9" s="265" customFormat="1" x14ac:dyDescent="0.2">
      <c r="G638" s="270"/>
    </row>
    <row r="639" spans="1:9" s="265" customFormat="1" x14ac:dyDescent="0.2">
      <c r="C639" s="268" t="s">
        <v>1046</v>
      </c>
      <c r="G639" s="263"/>
      <c r="H639" s="263"/>
      <c r="I639" s="263"/>
    </row>
    <row r="640" spans="1:9" s="265" customFormat="1" x14ac:dyDescent="0.2">
      <c r="D640" s="265" t="s">
        <v>1047</v>
      </c>
      <c r="G640" s="279">
        <f>IF(Core.Core.Voice.Protocol="ATM",G641,G642)</f>
        <v>38.799999999999997</v>
      </c>
      <c r="H640" s="270" t="s">
        <v>191</v>
      </c>
    </row>
    <row r="641" spans="2:16" s="265" customFormat="1" x14ac:dyDescent="0.2">
      <c r="D641" s="265" t="s">
        <v>1048</v>
      </c>
      <c r="G641" s="358">
        <f>Core.rate.ATM</f>
        <v>38.799999999999997</v>
      </c>
      <c r="H641" s="265" t="s">
        <v>10</v>
      </c>
    </row>
    <row r="642" spans="2:16" s="265" customFormat="1" x14ac:dyDescent="0.2">
      <c r="D642" s="265" t="s">
        <v>1049</v>
      </c>
      <c r="G642" s="358">
        <f>Core.rate.Ethernet</f>
        <v>38.799999999999997</v>
      </c>
      <c r="H642" s="265" t="s">
        <v>10</v>
      </c>
      <c r="I642" s="359" t="s">
        <v>11</v>
      </c>
    </row>
    <row r="643" spans="2:16" s="265" customFormat="1" x14ac:dyDescent="0.2">
      <c r="G643" s="270"/>
    </row>
    <row r="644" spans="2:16" x14ac:dyDescent="0.2">
      <c r="C644" s="268" t="s">
        <v>1050</v>
      </c>
    </row>
    <row r="645" spans="2:16" x14ac:dyDescent="0.2">
      <c r="G645" s="327">
        <v>0.15</v>
      </c>
    </row>
    <row r="646" spans="2:16" x14ac:dyDescent="0.2">
      <c r="G646" s="270" t="s">
        <v>40</v>
      </c>
    </row>
    <row r="647" spans="2:16" x14ac:dyDescent="0.2">
      <c r="G647" s="270"/>
    </row>
    <row r="648" spans="2:16" x14ac:dyDescent="0.2">
      <c r="C648" s="268" t="s">
        <v>1051</v>
      </c>
    </row>
    <row r="649" spans="2:16" x14ac:dyDescent="0.2">
      <c r="C649" s="265"/>
    </row>
    <row r="650" spans="2:16" x14ac:dyDescent="0.2">
      <c r="D650" s="355" t="s">
        <v>411</v>
      </c>
      <c r="G650" s="273" t="str">
        <f>Core.ring.transmission.protocol.used</f>
        <v>Ethernet</v>
      </c>
      <c r="H650" s="360" t="str">
        <f>LEFT(G650,3)</f>
        <v>Eth</v>
      </c>
      <c r="I650" s="270" t="s">
        <v>190</v>
      </c>
    </row>
    <row r="651" spans="2:16" x14ac:dyDescent="0.2">
      <c r="D651" s="265" t="s">
        <v>417</v>
      </c>
      <c r="G651" s="273" t="str">
        <f>Core.ring.transmission.protocol.used</f>
        <v>Ethernet</v>
      </c>
      <c r="H651" s="360" t="str">
        <f>LEFT(G651,3)</f>
        <v>Eth</v>
      </c>
      <c r="I651" s="270" t="s">
        <v>189</v>
      </c>
    </row>
    <row r="653" spans="2:16" x14ac:dyDescent="0.2">
      <c r="C653" s="268" t="s">
        <v>1052</v>
      </c>
      <c r="G653" s="273" t="str">
        <f t="array" ref="G653">Core.ring.technology.used</f>
        <v>Dark fibre</v>
      </c>
      <c r="H653" s="270" t="s">
        <v>188</v>
      </c>
      <c r="I653" s="265"/>
      <c r="J653" s="265"/>
      <c r="K653" s="265"/>
      <c r="L653" s="265"/>
      <c r="M653" s="265"/>
      <c r="N653" s="265"/>
      <c r="O653" s="265"/>
      <c r="P653" s="265"/>
    </row>
    <row r="654" spans="2:16" x14ac:dyDescent="0.2">
      <c r="G654" s="270"/>
    </row>
    <row r="655" spans="2:16" ht="15.75" x14ac:dyDescent="0.2">
      <c r="B655" s="267" t="s">
        <v>1053</v>
      </c>
      <c r="G655" s="270"/>
    </row>
    <row r="656" spans="2:16" ht="24" x14ac:dyDescent="0.2">
      <c r="C656" s="349" t="s">
        <v>1057</v>
      </c>
      <c r="G656" s="264" t="s">
        <v>187</v>
      </c>
      <c r="H656" s="264" t="s">
        <v>186</v>
      </c>
    </row>
    <row r="657" spans="2:16" x14ac:dyDescent="0.2">
      <c r="G657" s="308">
        <v>155</v>
      </c>
      <c r="H657" s="308">
        <v>1000</v>
      </c>
    </row>
    <row r="658" spans="2:16" x14ac:dyDescent="0.2">
      <c r="G658" s="308">
        <v>622</v>
      </c>
      <c r="H658" s="308">
        <v>2500</v>
      </c>
    </row>
    <row r="659" spans="2:16" x14ac:dyDescent="0.2">
      <c r="G659" s="308">
        <v>2448</v>
      </c>
      <c r="H659" s="308">
        <v>10000</v>
      </c>
    </row>
    <row r="660" spans="2:16" x14ac:dyDescent="0.2">
      <c r="G660" s="323" t="s">
        <v>185</v>
      </c>
      <c r="H660" s="323" t="s">
        <v>184</v>
      </c>
    </row>
    <row r="661" spans="2:16" x14ac:dyDescent="0.2">
      <c r="G661" s="270"/>
    </row>
    <row r="662" spans="2:16" x14ac:dyDescent="0.2">
      <c r="C662" s="268" t="s">
        <v>1056</v>
      </c>
      <c r="G662" s="322">
        <v>2</v>
      </c>
      <c r="H662" s="270" t="s">
        <v>183</v>
      </c>
    </row>
    <row r="663" spans="2:16" x14ac:dyDescent="0.2">
      <c r="G663" s="270"/>
    </row>
    <row r="664" spans="2:16" x14ac:dyDescent="0.2">
      <c r="C664" s="268" t="s">
        <v>1055</v>
      </c>
      <c r="G664" s="297">
        <v>1</v>
      </c>
      <c r="H664" s="270" t="s">
        <v>182</v>
      </c>
    </row>
    <row r="665" spans="2:16" x14ac:dyDescent="0.2">
      <c r="G665" s="270"/>
      <c r="N665" s="265"/>
      <c r="O665" s="265"/>
      <c r="P665" s="265"/>
    </row>
    <row r="666" spans="2:16" x14ac:dyDescent="0.2">
      <c r="G666" s="270"/>
      <c r="N666" s="265"/>
      <c r="O666" s="265"/>
      <c r="P666" s="265"/>
    </row>
    <row r="667" spans="2:16" ht="15.75" x14ac:dyDescent="0.2">
      <c r="B667" s="267" t="s">
        <v>1054</v>
      </c>
      <c r="G667" s="270"/>
      <c r="N667" s="265"/>
      <c r="O667" s="265"/>
      <c r="P667" s="265"/>
    </row>
    <row r="668" spans="2:16" x14ac:dyDescent="0.2">
      <c r="C668" s="268" t="s">
        <v>1067</v>
      </c>
      <c r="N668" s="265"/>
      <c r="O668" s="265"/>
      <c r="P668" s="265"/>
    </row>
    <row r="669" spans="2:16" ht="24" x14ac:dyDescent="0.2">
      <c r="G669" s="264" t="s">
        <v>82</v>
      </c>
      <c r="H669" s="264" t="s">
        <v>66</v>
      </c>
      <c r="N669" s="265"/>
      <c r="O669" s="265"/>
      <c r="P669" s="265"/>
    </row>
    <row r="670" spans="2:16" x14ac:dyDescent="0.2">
      <c r="G670" s="264" t="s">
        <v>181</v>
      </c>
      <c r="H670" s="264" t="s">
        <v>181</v>
      </c>
      <c r="N670" s="265"/>
      <c r="O670" s="265"/>
      <c r="P670" s="265"/>
    </row>
    <row r="671" spans="2:16" x14ac:dyDescent="0.2">
      <c r="G671" s="351">
        <v>155</v>
      </c>
      <c r="H671" s="351">
        <v>1000</v>
      </c>
      <c r="N671" s="265"/>
      <c r="O671" s="265"/>
      <c r="P671" s="265"/>
    </row>
    <row r="672" spans="2:16" x14ac:dyDescent="0.2">
      <c r="G672" s="351">
        <v>622</v>
      </c>
      <c r="H672" s="351">
        <v>2500</v>
      </c>
      <c r="N672" s="265"/>
      <c r="O672" s="265"/>
      <c r="P672" s="265"/>
    </row>
    <row r="673" spans="1:18" x14ac:dyDescent="0.2">
      <c r="G673" s="351">
        <v>2488</v>
      </c>
      <c r="H673" s="351">
        <v>10000</v>
      </c>
      <c r="N673" s="265"/>
      <c r="O673" s="265"/>
      <c r="P673" s="265"/>
    </row>
    <row r="674" spans="1:18" x14ac:dyDescent="0.2">
      <c r="G674" s="351">
        <v>9952</v>
      </c>
      <c r="H674" s="351">
        <v>40000</v>
      </c>
      <c r="N674" s="265"/>
      <c r="O674" s="265"/>
      <c r="P674" s="265"/>
    </row>
    <row r="675" spans="1:18" x14ac:dyDescent="0.2">
      <c r="G675" s="270" t="s">
        <v>180</v>
      </c>
      <c r="H675" s="270" t="s">
        <v>179</v>
      </c>
      <c r="N675" s="265"/>
      <c r="O675" s="265"/>
      <c r="P675" s="265"/>
    </row>
    <row r="676" spans="1:18" x14ac:dyDescent="0.2">
      <c r="N676" s="265"/>
      <c r="O676" s="265"/>
      <c r="P676" s="265"/>
    </row>
    <row r="677" spans="1:18" s="265" customFormat="1" x14ac:dyDescent="0.2">
      <c r="A677" s="263"/>
      <c r="C677" s="268" t="s">
        <v>1058</v>
      </c>
    </row>
    <row r="678" spans="1:18" x14ac:dyDescent="0.2">
      <c r="G678" s="268" t="s">
        <v>1062</v>
      </c>
      <c r="K678" s="268" t="s">
        <v>1061</v>
      </c>
      <c r="M678" s="265"/>
      <c r="N678" s="265"/>
      <c r="O678" s="268" t="s">
        <v>1063</v>
      </c>
      <c r="P678" s="265"/>
    </row>
    <row r="679" spans="1:18" x14ac:dyDescent="0.2">
      <c r="G679" s="264" t="s">
        <v>1957</v>
      </c>
      <c r="H679" s="264" t="s">
        <v>1958</v>
      </c>
      <c r="I679" s="264" t="s">
        <v>1959</v>
      </c>
      <c r="K679" s="264" t="s">
        <v>1957</v>
      </c>
      <c r="L679" s="264" t="s">
        <v>1958</v>
      </c>
      <c r="M679" s="264" t="s">
        <v>1959</v>
      </c>
      <c r="N679" s="265"/>
      <c r="O679" s="264" t="s">
        <v>1957</v>
      </c>
      <c r="P679" s="264" t="s">
        <v>1958</v>
      </c>
      <c r="Q679" s="264" t="s">
        <v>1959</v>
      </c>
    </row>
    <row r="680" spans="1:18" x14ac:dyDescent="0.2">
      <c r="G680" s="326" t="s">
        <v>518</v>
      </c>
      <c r="H680" s="326" t="s">
        <v>519</v>
      </c>
      <c r="I680" s="334">
        <v>10</v>
      </c>
      <c r="K680" s="326" t="s">
        <v>518</v>
      </c>
      <c r="L680" s="326" t="s">
        <v>527</v>
      </c>
      <c r="M680" s="334">
        <v>290</v>
      </c>
      <c r="N680" s="265"/>
      <c r="O680" s="326" t="s">
        <v>526</v>
      </c>
      <c r="P680" s="326" t="s">
        <v>539</v>
      </c>
      <c r="Q680" s="334">
        <v>629</v>
      </c>
    </row>
    <row r="681" spans="1:18" x14ac:dyDescent="0.2">
      <c r="G681" s="357" t="str">
        <f>H680</f>
        <v>Callao</v>
      </c>
      <c r="H681" s="326" t="s">
        <v>520</v>
      </c>
      <c r="I681" s="353">
        <v>553</v>
      </c>
      <c r="K681" s="357" t="str">
        <f t="shared" ref="K681:K682" si="21">L680</f>
        <v>Ica</v>
      </c>
      <c r="L681" s="326" t="s">
        <v>528</v>
      </c>
      <c r="M681" s="334">
        <v>726</v>
      </c>
      <c r="N681" s="265"/>
      <c r="O681" s="357" t="str">
        <f t="shared" ref="O681" si="22">P680</f>
        <v>Pucallpa</v>
      </c>
      <c r="P681" s="326" t="s">
        <v>538</v>
      </c>
      <c r="Q681" s="334">
        <v>249</v>
      </c>
    </row>
    <row r="682" spans="1:18" x14ac:dyDescent="0.2">
      <c r="G682" s="357" t="str">
        <f t="shared" ref="G682:G689" si="23">H681</f>
        <v>Trujillo</v>
      </c>
      <c r="H682" s="326" t="s">
        <v>521</v>
      </c>
      <c r="I682" s="353">
        <v>204</v>
      </c>
      <c r="K682" s="357" t="str">
        <f t="shared" si="21"/>
        <v>Arequipa</v>
      </c>
      <c r="L682" s="326" t="s">
        <v>529</v>
      </c>
      <c r="M682" s="334">
        <v>165</v>
      </c>
      <c r="N682" s="265"/>
      <c r="O682" s="357" t="str">
        <f t="shared" ref="O682:O683" si="24">P681</f>
        <v>Tingo Maria</v>
      </c>
      <c r="P682" s="326" t="s">
        <v>540</v>
      </c>
      <c r="Q682" s="353">
        <v>477</v>
      </c>
    </row>
    <row r="683" spans="1:18" x14ac:dyDescent="0.2">
      <c r="G683" s="357" t="str">
        <f t="shared" si="23"/>
        <v>Chiclayo</v>
      </c>
      <c r="H683" s="326" t="s">
        <v>522</v>
      </c>
      <c r="I683" s="353">
        <v>216</v>
      </c>
      <c r="K683" s="357" t="str">
        <f t="shared" ref="K683:K691" si="25">L682</f>
        <v>Moquegua</v>
      </c>
      <c r="L683" s="326" t="s">
        <v>530</v>
      </c>
      <c r="M683" s="334">
        <v>237</v>
      </c>
      <c r="N683" s="265"/>
      <c r="O683" s="357" t="str">
        <f t="shared" si="24"/>
        <v>Tarapoto</v>
      </c>
      <c r="P683" s="326" t="s">
        <v>523</v>
      </c>
      <c r="Q683" s="353">
        <v>615</v>
      </c>
      <c r="R683" s="347" t="s">
        <v>1064</v>
      </c>
    </row>
    <row r="684" spans="1:18" x14ac:dyDescent="0.2">
      <c r="G684" s="357" t="str">
        <f t="shared" si="23"/>
        <v>Piura</v>
      </c>
      <c r="H684" s="326" t="s">
        <v>1679</v>
      </c>
      <c r="I684" s="353">
        <v>322</v>
      </c>
      <c r="K684" s="357" t="str">
        <f t="shared" si="25"/>
        <v>Tacna</v>
      </c>
      <c r="L684" s="326" t="s">
        <v>531</v>
      </c>
      <c r="M684" s="334">
        <v>410</v>
      </c>
      <c r="N684" s="265"/>
      <c r="O684"/>
      <c r="P684"/>
      <c r="Q684" s="361">
        <f>SUM(Q680:Q683)</f>
        <v>1970</v>
      </c>
    </row>
    <row r="685" spans="1:18" x14ac:dyDescent="0.2">
      <c r="G685" s="357" t="str">
        <f t="shared" si="23"/>
        <v>Tumbes</v>
      </c>
      <c r="H685" s="326" t="s">
        <v>522</v>
      </c>
      <c r="I685" s="353">
        <v>314</v>
      </c>
      <c r="K685" s="357" t="str">
        <f t="shared" si="25"/>
        <v>Puno</v>
      </c>
      <c r="L685" s="326" t="s">
        <v>532</v>
      </c>
      <c r="M685" s="334">
        <v>596</v>
      </c>
      <c r="N685" s="265"/>
      <c r="O685" s="265"/>
      <c r="P685" s="265"/>
    </row>
    <row r="686" spans="1:18" x14ac:dyDescent="0.2">
      <c r="G686" s="357" t="str">
        <f t="shared" si="23"/>
        <v>Piura</v>
      </c>
      <c r="H686" s="326" t="s">
        <v>523</v>
      </c>
      <c r="I686" s="353">
        <v>520</v>
      </c>
      <c r="K686" s="357" t="str">
        <f t="shared" si="25"/>
        <v>Puerto Maldonado</v>
      </c>
      <c r="L686" s="326" t="s">
        <v>533</v>
      </c>
      <c r="M686" s="334">
        <v>465</v>
      </c>
      <c r="N686" s="265"/>
      <c r="O686" s="265"/>
      <c r="P686" s="265"/>
      <c r="Q686" s="265"/>
    </row>
    <row r="687" spans="1:18" x14ac:dyDescent="0.2">
      <c r="G687" s="357" t="str">
        <f t="shared" si="23"/>
        <v>Chachapoyas</v>
      </c>
      <c r="H687" s="326" t="s">
        <v>524</v>
      </c>
      <c r="I687" s="353">
        <v>324</v>
      </c>
      <c r="K687" s="357" t="str">
        <f t="shared" si="25"/>
        <v>Cusco</v>
      </c>
      <c r="L687" s="326" t="s">
        <v>534</v>
      </c>
      <c r="M687" s="334">
        <v>194</v>
      </c>
      <c r="N687" s="265"/>
      <c r="O687" s="265"/>
      <c r="P687" s="265"/>
    </row>
    <row r="688" spans="1:18" x14ac:dyDescent="0.2">
      <c r="G688" s="357" t="str">
        <f t="shared" si="23"/>
        <v>Cajamarca</v>
      </c>
      <c r="H688" s="326" t="s">
        <v>525</v>
      </c>
      <c r="I688" s="353">
        <v>587</v>
      </c>
      <c r="K688" s="357" t="str">
        <f t="shared" si="25"/>
        <v>Abancay</v>
      </c>
      <c r="L688" s="326" t="s">
        <v>535</v>
      </c>
      <c r="M688" s="334">
        <v>384</v>
      </c>
      <c r="N688" s="265"/>
      <c r="O688" s="268" t="s">
        <v>1060</v>
      </c>
    </row>
    <row r="689" spans="3:17" x14ac:dyDescent="0.2">
      <c r="G689" s="357" t="str">
        <f t="shared" si="23"/>
        <v>Huaraz</v>
      </c>
      <c r="H689" s="326" t="s">
        <v>526</v>
      </c>
      <c r="I689" s="353">
        <v>389</v>
      </c>
      <c r="K689" s="357" t="str">
        <f t="shared" si="25"/>
        <v>Ayacucho</v>
      </c>
      <c r="L689" s="326" t="s">
        <v>536</v>
      </c>
      <c r="M689" s="334">
        <v>240</v>
      </c>
      <c r="N689" s="265"/>
      <c r="O689" s="264" t="s">
        <v>1957</v>
      </c>
      <c r="P689" s="264" t="s">
        <v>1958</v>
      </c>
      <c r="Q689" s="264" t="s">
        <v>1959</v>
      </c>
    </row>
    <row r="690" spans="3:17" x14ac:dyDescent="0.2">
      <c r="G690" s="357" t="str">
        <f>H689</f>
        <v>Cerro de Pasco</v>
      </c>
      <c r="H690" s="357" t="str">
        <f>G680</f>
        <v>Lima</v>
      </c>
      <c r="I690" s="353">
        <v>275</v>
      </c>
      <c r="K690" s="357" t="str">
        <f t="shared" si="25"/>
        <v>Huancavelica</v>
      </c>
      <c r="L690" s="326" t="s">
        <v>537</v>
      </c>
      <c r="M690" s="334">
        <v>178</v>
      </c>
      <c r="N690" s="265"/>
      <c r="O690" s="326" t="s">
        <v>542</v>
      </c>
      <c r="P690" s="325" t="s">
        <v>541</v>
      </c>
      <c r="Q690" s="334">
        <v>397</v>
      </c>
    </row>
    <row r="691" spans="3:17" x14ac:dyDescent="0.2">
      <c r="G691" s="265"/>
      <c r="H691" s="265"/>
      <c r="I691" s="361">
        <f>SUM(I680:I690)</f>
        <v>3714</v>
      </c>
      <c r="K691" s="357" t="str">
        <f t="shared" si="25"/>
        <v>Huancayo</v>
      </c>
      <c r="L691" s="362" t="str">
        <f>K680</f>
        <v>Lima</v>
      </c>
      <c r="M691" s="334">
        <v>307</v>
      </c>
      <c r="N691" s="265"/>
    </row>
    <row r="692" spans="3:17" x14ac:dyDescent="0.2">
      <c r="K692" s="265"/>
      <c r="L692" s="265"/>
      <c r="M692" s="361">
        <f>SUM(M680:M691)</f>
        <v>4192</v>
      </c>
      <c r="N692" s="265"/>
      <c r="P692" s="265"/>
    </row>
    <row r="693" spans="3:17" x14ac:dyDescent="0.2">
      <c r="G693" s="265"/>
      <c r="H693" s="265"/>
      <c r="K693" s="265"/>
      <c r="L693" s="265"/>
      <c r="M693" s="265"/>
      <c r="N693" s="265"/>
    </row>
    <row r="694" spans="3:17" x14ac:dyDescent="0.2">
      <c r="C694" s="268" t="s">
        <v>1059</v>
      </c>
      <c r="N694" s="265"/>
      <c r="O694" s="265"/>
      <c r="P694" s="265"/>
    </row>
    <row r="695" spans="3:17" x14ac:dyDescent="0.2">
      <c r="C695" s="268"/>
      <c r="G695" s="268" t="s">
        <v>1065</v>
      </c>
      <c r="M695" s="268" t="s">
        <v>1066</v>
      </c>
      <c r="O695" s="347" t="s">
        <v>1068</v>
      </c>
      <c r="P695" s="265"/>
      <c r="Q695" s="265"/>
    </row>
    <row r="696" spans="3:17" ht="26.25" customHeight="1" x14ac:dyDescent="0.2">
      <c r="G696" s="264" t="s">
        <v>1062</v>
      </c>
      <c r="H696" s="264" t="s">
        <v>1061</v>
      </c>
      <c r="I696" s="264" t="s">
        <v>1071</v>
      </c>
      <c r="J696" s="264" t="s">
        <v>1072</v>
      </c>
      <c r="K696" s="270" t="s">
        <v>556</v>
      </c>
      <c r="M696" s="264" t="str">
        <f t="array" ref="M696:P696">Core.rings.names</f>
        <v>Anillo Norte</v>
      </c>
      <c r="N696" s="264" t="str">
        <v>Anillo Sur</v>
      </c>
      <c r="O696" s="264" t="str">
        <v>Medio-anillo Este</v>
      </c>
      <c r="P696" s="264" t="str">
        <v>MW</v>
      </c>
      <c r="Q696" s="265"/>
    </row>
    <row r="697" spans="3:17" x14ac:dyDescent="0.2">
      <c r="G697" s="357" t="str">
        <f t="array" ref="G697:G707">G680:G690</f>
        <v>Lima</v>
      </c>
      <c r="H697" s="362" t="str">
        <f t="array" ref="H697:H708">K680:K691</f>
        <v>Lima</v>
      </c>
      <c r="I697" s="357" t="str">
        <f t="array" ref="I697:I700">O680:O683</f>
        <v>Cerro de Pasco</v>
      </c>
      <c r="J697" s="357" t="str">
        <f t="array" ref="J697:J698">TRANSPOSE(O690:P690)</f>
        <v>Iquitos</v>
      </c>
      <c r="M697" s="357" t="str">
        <f t="array" ref="M697:M707">G697:G707</f>
        <v>Lima</v>
      </c>
      <c r="N697" s="362" t="str">
        <f t="array" ref="N697:N708">H697:H708</f>
        <v>Lima</v>
      </c>
      <c r="O697" s="363" t="s">
        <v>557</v>
      </c>
      <c r="P697" s="357" t="str">
        <f>J697</f>
        <v>Iquitos</v>
      </c>
      <c r="Q697" s="265"/>
    </row>
    <row r="698" spans="3:17" x14ac:dyDescent="0.2">
      <c r="G698" s="357" t="str">
        <v>Callao</v>
      </c>
      <c r="H698" s="357" t="str">
        <v>Ica</v>
      </c>
      <c r="I698" s="357" t="str">
        <v>Pucallpa</v>
      </c>
      <c r="J698" s="357" t="str">
        <v>Yurimaguas</v>
      </c>
      <c r="M698" s="357" t="str">
        <v>Callao</v>
      </c>
      <c r="N698" s="357" t="str">
        <v>Ica</v>
      </c>
      <c r="O698" s="357" t="str">
        <f t="array" ref="O698:O700">I698:I700</f>
        <v>Pucallpa</v>
      </c>
      <c r="P698" s="363" t="s">
        <v>557</v>
      </c>
      <c r="Q698" s="347" t="s">
        <v>1069</v>
      </c>
    </row>
    <row r="699" spans="3:17" x14ac:dyDescent="0.2">
      <c r="G699" s="357" t="str">
        <v>Trujillo</v>
      </c>
      <c r="H699" s="357" t="str">
        <v>Arequipa</v>
      </c>
      <c r="I699" s="357" t="str">
        <v>Tingo Maria</v>
      </c>
      <c r="J699" s="363" t="s">
        <v>557</v>
      </c>
      <c r="M699" s="357" t="str">
        <v>Trujillo</v>
      </c>
      <c r="N699" s="357" t="str">
        <v>Arequipa</v>
      </c>
      <c r="O699" s="357" t="str">
        <v>Tingo Maria</v>
      </c>
      <c r="P699" s="363" t="s">
        <v>557</v>
      </c>
      <c r="Q699" s="265"/>
    </row>
    <row r="700" spans="3:17" x14ac:dyDescent="0.2">
      <c r="G700" s="357" t="str">
        <v>Chiclayo</v>
      </c>
      <c r="H700" s="357" t="str">
        <v>Moquegua</v>
      </c>
      <c r="I700" s="357" t="str">
        <v>Tarapoto</v>
      </c>
      <c r="J700" s="363" t="s">
        <v>557</v>
      </c>
      <c r="M700" s="357" t="str">
        <v>Chiclayo</v>
      </c>
      <c r="N700" s="357" t="str">
        <v>Moquegua</v>
      </c>
      <c r="O700" s="357" t="str">
        <v>Tarapoto</v>
      </c>
      <c r="P700" s="363" t="s">
        <v>557</v>
      </c>
      <c r="Q700" s="265"/>
    </row>
    <row r="701" spans="3:17" x14ac:dyDescent="0.2">
      <c r="G701" s="357" t="str">
        <v>Piura</v>
      </c>
      <c r="H701" s="357" t="str">
        <v>Tacna</v>
      </c>
      <c r="I701" s="273" t="str">
        <f>P683</f>
        <v>Chachapoyas</v>
      </c>
      <c r="J701" s="363" t="s">
        <v>557</v>
      </c>
      <c r="M701" s="357" t="str">
        <v>Piura</v>
      </c>
      <c r="N701" s="357" t="str">
        <v>Tacna</v>
      </c>
      <c r="O701" s="363" t="s">
        <v>557</v>
      </c>
      <c r="P701" s="363" t="s">
        <v>557</v>
      </c>
      <c r="Q701" s="265"/>
    </row>
    <row r="702" spans="3:17" x14ac:dyDescent="0.2">
      <c r="G702" s="357" t="str">
        <v>Tumbes</v>
      </c>
      <c r="H702" s="357" t="str">
        <v>Puno</v>
      </c>
      <c r="I702" s="363" t="s">
        <v>557</v>
      </c>
      <c r="J702" s="363" t="s">
        <v>557</v>
      </c>
      <c r="M702" s="357" t="str">
        <v>Tumbes</v>
      </c>
      <c r="N702" s="357" t="str">
        <v>Puno</v>
      </c>
      <c r="O702" s="363" t="s">
        <v>557</v>
      </c>
      <c r="P702" s="363" t="s">
        <v>557</v>
      </c>
      <c r="Q702" s="265"/>
    </row>
    <row r="703" spans="3:17" x14ac:dyDescent="0.2">
      <c r="G703" s="357" t="str">
        <v>Piura</v>
      </c>
      <c r="H703" s="357" t="str">
        <v>Puerto Maldonado</v>
      </c>
      <c r="I703" s="363" t="s">
        <v>557</v>
      </c>
      <c r="J703" s="363" t="s">
        <v>557</v>
      </c>
      <c r="M703" s="357" t="str">
        <v>Piura</v>
      </c>
      <c r="N703" s="357" t="str">
        <v>Puerto Maldonado</v>
      </c>
      <c r="O703" s="363" t="s">
        <v>557</v>
      </c>
      <c r="P703" s="363" t="s">
        <v>557</v>
      </c>
      <c r="Q703" s="265"/>
    </row>
    <row r="704" spans="3:17" x14ac:dyDescent="0.2">
      <c r="G704" s="357" t="str">
        <v>Chachapoyas</v>
      </c>
      <c r="H704" s="357" t="str">
        <v>Cusco</v>
      </c>
      <c r="I704" s="363" t="s">
        <v>557</v>
      </c>
      <c r="J704" s="363" t="s">
        <v>557</v>
      </c>
      <c r="M704" s="357" t="str">
        <v>Chachapoyas</v>
      </c>
      <c r="N704" s="357" t="str">
        <v>Cusco</v>
      </c>
      <c r="O704" s="363" t="s">
        <v>557</v>
      </c>
      <c r="P704" s="363" t="s">
        <v>557</v>
      </c>
      <c r="Q704" s="265"/>
    </row>
    <row r="705" spans="3:17" x14ac:dyDescent="0.2">
      <c r="G705" s="357" t="str">
        <v>Cajamarca</v>
      </c>
      <c r="H705" s="357" t="str">
        <v>Abancay</v>
      </c>
      <c r="I705" s="363" t="s">
        <v>557</v>
      </c>
      <c r="J705" s="363" t="s">
        <v>557</v>
      </c>
      <c r="K705" s="265"/>
      <c r="M705" s="357" t="str">
        <v>Cajamarca</v>
      </c>
      <c r="N705" s="357" t="str">
        <v>Abancay</v>
      </c>
      <c r="O705" s="363" t="s">
        <v>557</v>
      </c>
      <c r="P705" s="363" t="s">
        <v>557</v>
      </c>
      <c r="Q705" s="265"/>
    </row>
    <row r="706" spans="3:17" x14ac:dyDescent="0.2">
      <c r="G706" s="357" t="str">
        <v>Huaraz</v>
      </c>
      <c r="H706" s="357" t="str">
        <v>Ayacucho</v>
      </c>
      <c r="I706" s="363" t="s">
        <v>557</v>
      </c>
      <c r="J706" s="363" t="s">
        <v>557</v>
      </c>
      <c r="K706" s="265"/>
      <c r="M706" s="357" t="str">
        <v>Huaraz</v>
      </c>
      <c r="N706" s="357" t="str">
        <v>Ayacucho</v>
      </c>
      <c r="O706" s="363" t="s">
        <v>557</v>
      </c>
      <c r="P706" s="363" t="s">
        <v>557</v>
      </c>
      <c r="Q706" s="265"/>
    </row>
    <row r="707" spans="3:17" x14ac:dyDescent="0.2">
      <c r="G707" s="357" t="str">
        <v>Cerro de Pasco</v>
      </c>
      <c r="H707" s="357" t="str">
        <v>Huancavelica</v>
      </c>
      <c r="I707" s="363" t="s">
        <v>557</v>
      </c>
      <c r="J707" s="363" t="s">
        <v>557</v>
      </c>
      <c r="K707" s="265"/>
      <c r="M707" s="357" t="str">
        <v>Cerro de Pasco</v>
      </c>
      <c r="N707" s="357" t="str">
        <v>Huancavelica</v>
      </c>
      <c r="O707" s="363" t="s">
        <v>557</v>
      </c>
      <c r="P707" s="363" t="s">
        <v>557</v>
      </c>
      <c r="Q707" s="265"/>
    </row>
    <row r="708" spans="3:17" x14ac:dyDescent="0.2">
      <c r="G708" s="363" t="s">
        <v>557</v>
      </c>
      <c r="H708" s="357" t="str">
        <v>Huancayo</v>
      </c>
      <c r="I708" s="363" t="s">
        <v>557</v>
      </c>
      <c r="J708" s="363" t="s">
        <v>557</v>
      </c>
      <c r="M708" s="363" t="s">
        <v>557</v>
      </c>
      <c r="N708" s="357" t="str">
        <v>Huancayo</v>
      </c>
      <c r="O708" s="363" t="s">
        <v>557</v>
      </c>
      <c r="P708" s="363" t="s">
        <v>557</v>
      </c>
      <c r="Q708" s="265"/>
    </row>
    <row r="709" spans="3:17" x14ac:dyDescent="0.2">
      <c r="G709" s="363" t="s">
        <v>557</v>
      </c>
      <c r="H709" s="363" t="s">
        <v>557</v>
      </c>
      <c r="I709" s="363" t="s">
        <v>557</v>
      </c>
      <c r="J709" s="363" t="s">
        <v>557</v>
      </c>
      <c r="M709" s="363" t="s">
        <v>557</v>
      </c>
      <c r="N709" s="363" t="s">
        <v>557</v>
      </c>
      <c r="O709" s="363" t="s">
        <v>557</v>
      </c>
      <c r="P709" s="363" t="s">
        <v>557</v>
      </c>
      <c r="Q709" s="265"/>
    </row>
    <row r="710" spans="3:17" x14ac:dyDescent="0.2">
      <c r="G710" s="363" t="s">
        <v>557</v>
      </c>
      <c r="H710" s="363" t="s">
        <v>557</v>
      </c>
      <c r="I710" s="363" t="s">
        <v>557</v>
      </c>
      <c r="J710" s="363" t="s">
        <v>557</v>
      </c>
      <c r="M710" s="363" t="s">
        <v>557</v>
      </c>
      <c r="N710" s="363" t="s">
        <v>557</v>
      </c>
      <c r="O710" s="363" t="s">
        <v>557</v>
      </c>
      <c r="P710" s="363" t="s">
        <v>557</v>
      </c>
      <c r="Q710" s="265"/>
    </row>
    <row r="711" spans="3:17" x14ac:dyDescent="0.2">
      <c r="G711" s="363" t="s">
        <v>557</v>
      </c>
      <c r="H711" s="363" t="s">
        <v>557</v>
      </c>
      <c r="I711" s="363" t="s">
        <v>557</v>
      </c>
      <c r="J711" s="363" t="s">
        <v>557</v>
      </c>
      <c r="M711" s="363" t="s">
        <v>557</v>
      </c>
      <c r="N711" s="363" t="s">
        <v>557</v>
      </c>
      <c r="O711" s="363" t="s">
        <v>557</v>
      </c>
      <c r="P711" s="363" t="s">
        <v>557</v>
      </c>
      <c r="Q711" s="265"/>
    </row>
    <row r="712" spans="3:17" x14ac:dyDescent="0.2">
      <c r="G712" s="363" t="s">
        <v>557</v>
      </c>
      <c r="H712" s="363" t="s">
        <v>557</v>
      </c>
      <c r="I712" s="363" t="s">
        <v>557</v>
      </c>
      <c r="J712" s="363" t="s">
        <v>557</v>
      </c>
      <c r="M712" s="363" t="s">
        <v>557</v>
      </c>
      <c r="N712" s="363" t="s">
        <v>557</v>
      </c>
      <c r="O712" s="363" t="s">
        <v>557</v>
      </c>
      <c r="P712" s="363" t="s">
        <v>557</v>
      </c>
      <c r="Q712" s="265"/>
    </row>
    <row r="713" spans="3:17" x14ac:dyDescent="0.2">
      <c r="K713" s="270" t="s">
        <v>558</v>
      </c>
      <c r="N713" s="265"/>
      <c r="O713" s="265"/>
      <c r="P713" s="265"/>
      <c r="Q713" s="270" t="s">
        <v>559</v>
      </c>
    </row>
    <row r="714" spans="3:17" x14ac:dyDescent="0.2">
      <c r="N714" s="265"/>
      <c r="O714" s="265"/>
      <c r="P714" s="265"/>
    </row>
    <row r="715" spans="3:17" x14ac:dyDescent="0.2">
      <c r="N715" s="265"/>
      <c r="O715" s="265"/>
      <c r="P715" s="265"/>
    </row>
    <row r="716" spans="3:17" x14ac:dyDescent="0.2">
      <c r="C716" s="268" t="s">
        <v>1070</v>
      </c>
      <c r="G716" s="364">
        <f>SUM(Core.Core.fibre.distance)</f>
        <v>9876</v>
      </c>
      <c r="N716" s="265"/>
      <c r="O716" s="265"/>
      <c r="P716" s="265"/>
    </row>
    <row r="717" spans="3:17" x14ac:dyDescent="0.2">
      <c r="C717" s="285">
        <v>1</v>
      </c>
      <c r="D717" s="263" t="str">
        <f>INDEX(Core.rings.names,,C717)</f>
        <v>Anillo Norte</v>
      </c>
      <c r="G717" s="298">
        <f>I691</f>
        <v>3714</v>
      </c>
      <c r="H717" s="270"/>
      <c r="N717" s="265"/>
      <c r="O717" s="265"/>
      <c r="P717" s="265"/>
    </row>
    <row r="718" spans="3:17" x14ac:dyDescent="0.2">
      <c r="C718" s="285">
        <v>2</v>
      </c>
      <c r="D718" s="263" t="str">
        <f>INDEX(Core.rings.names,,C718)</f>
        <v>Anillo Sur</v>
      </c>
      <c r="G718" s="298">
        <f>M692</f>
        <v>4192</v>
      </c>
      <c r="H718" s="270"/>
      <c r="N718" s="265"/>
      <c r="O718" s="265"/>
      <c r="P718" s="265"/>
    </row>
    <row r="719" spans="3:17" x14ac:dyDescent="0.2">
      <c r="C719" s="285">
        <v>3</v>
      </c>
      <c r="D719" s="263" t="str">
        <f>INDEX(Core.rings.names,,C719)</f>
        <v>Medio-anillo Este</v>
      </c>
      <c r="G719" s="298">
        <f>Q684</f>
        <v>1970</v>
      </c>
      <c r="H719" s="270"/>
      <c r="N719" s="265"/>
      <c r="O719" s="265"/>
      <c r="P719" s="265"/>
    </row>
    <row r="720" spans="3:17" x14ac:dyDescent="0.2">
      <c r="D720" s="265"/>
      <c r="G720" s="270" t="s">
        <v>543</v>
      </c>
      <c r="N720" s="265"/>
      <c r="O720" s="265"/>
      <c r="P720" s="265"/>
    </row>
    <row r="721" spans="1:20" x14ac:dyDescent="0.2">
      <c r="A721" s="265"/>
      <c r="N721" s="265"/>
      <c r="O721" s="265"/>
      <c r="P721" s="265"/>
    </row>
    <row r="722" spans="1:20" x14ac:dyDescent="0.2">
      <c r="A722" s="265"/>
      <c r="C722" s="268" t="s">
        <v>1073</v>
      </c>
      <c r="N722" s="265"/>
      <c r="O722" s="265"/>
      <c r="P722" s="265"/>
    </row>
    <row r="723" spans="1:20" x14ac:dyDescent="0.2">
      <c r="A723" s="265"/>
      <c r="C723" s="285">
        <v>4</v>
      </c>
      <c r="D723" s="263" t="str">
        <f>INDEX(Core.rings.names,,C723)</f>
        <v>MW</v>
      </c>
      <c r="G723" s="301">
        <f>Q690</f>
        <v>397</v>
      </c>
      <c r="H723" s="270" t="s">
        <v>544</v>
      </c>
      <c r="N723" s="265"/>
      <c r="O723" s="265"/>
      <c r="P723" s="265"/>
    </row>
    <row r="724" spans="1:20" x14ac:dyDescent="0.2">
      <c r="A724" s="265"/>
      <c r="N724" s="265"/>
      <c r="O724" s="265"/>
      <c r="P724" s="265"/>
    </row>
    <row r="725" spans="1:20" x14ac:dyDescent="0.2">
      <c r="C725" s="268" t="s">
        <v>1074</v>
      </c>
      <c r="G725" s="322">
        <v>50</v>
      </c>
      <c r="H725" s="270" t="s">
        <v>572</v>
      </c>
    </row>
    <row r="729" spans="1:20" s="265" customFormat="1" ht="15.75" x14ac:dyDescent="0.2">
      <c r="A729" s="266" t="s">
        <v>1330</v>
      </c>
      <c r="B729" s="266"/>
      <c r="C729" s="266"/>
      <c r="D729" s="266"/>
      <c r="E729" s="266"/>
      <c r="F729" s="266"/>
      <c r="G729" s="266"/>
      <c r="H729" s="266"/>
      <c r="I729" s="266"/>
      <c r="J729" s="266"/>
      <c r="K729" s="266"/>
      <c r="L729" s="266"/>
      <c r="M729" s="266"/>
      <c r="N729" s="266"/>
      <c r="O729" s="266"/>
      <c r="P729" s="266"/>
      <c r="Q729" s="266"/>
      <c r="R729" s="266"/>
      <c r="S729" s="266"/>
      <c r="T729" s="266"/>
    </row>
    <row r="731" spans="1:20" x14ac:dyDescent="0.2">
      <c r="C731" s="268" t="s">
        <v>1078</v>
      </c>
      <c r="G731" s="265"/>
    </row>
    <row r="732" spans="1:20" x14ac:dyDescent="0.2">
      <c r="Q732" s="265"/>
      <c r="R732" s="265"/>
      <c r="S732" s="265"/>
      <c r="T732" s="265"/>
    </row>
    <row r="733" spans="1:20" ht="36" x14ac:dyDescent="0.2">
      <c r="D733" s="264" t="s">
        <v>851</v>
      </c>
      <c r="G733" s="264" t="s">
        <v>1075</v>
      </c>
      <c r="H733" s="264" t="s">
        <v>1076</v>
      </c>
      <c r="I733" s="264" t="s">
        <v>1080</v>
      </c>
      <c r="J733" s="264" t="s">
        <v>1077</v>
      </c>
    </row>
    <row r="734" spans="1:20" x14ac:dyDescent="0.2">
      <c r="D734" s="365" t="s">
        <v>1667</v>
      </c>
      <c r="G734" s="353">
        <v>0</v>
      </c>
      <c r="H734" s="365" t="s">
        <v>92</v>
      </c>
      <c r="I734" s="353">
        <v>0</v>
      </c>
      <c r="J734" s="353">
        <v>0</v>
      </c>
      <c r="L734" s="265"/>
    </row>
    <row r="735" spans="1:20" x14ac:dyDescent="0.2">
      <c r="D735" s="365" t="s">
        <v>178</v>
      </c>
      <c r="G735" s="322">
        <v>1600000</v>
      </c>
      <c r="H735" s="365" t="s">
        <v>177</v>
      </c>
      <c r="I735" s="296">
        <v>2</v>
      </c>
      <c r="J735" s="296">
        <v>1</v>
      </c>
      <c r="L735" s="265"/>
    </row>
    <row r="736" spans="1:20" x14ac:dyDescent="0.2">
      <c r="D736" s="365" t="s">
        <v>176</v>
      </c>
      <c r="G736" s="322">
        <v>30000</v>
      </c>
      <c r="H736" s="365" t="s">
        <v>175</v>
      </c>
      <c r="I736" s="296">
        <v>2</v>
      </c>
      <c r="J736" s="296">
        <v>2</v>
      </c>
      <c r="L736" s="265"/>
    </row>
    <row r="737" spans="4:12" x14ac:dyDescent="0.2">
      <c r="D737" s="365" t="s">
        <v>487</v>
      </c>
      <c r="G737" s="322">
        <v>1300000</v>
      </c>
      <c r="H737" s="365" t="s">
        <v>174</v>
      </c>
      <c r="I737" s="296">
        <v>2</v>
      </c>
      <c r="J737" s="296">
        <v>1</v>
      </c>
      <c r="L737" s="265"/>
    </row>
    <row r="738" spans="4:12" x14ac:dyDescent="0.2">
      <c r="D738" s="365" t="s">
        <v>488</v>
      </c>
      <c r="G738" s="322">
        <v>1000000</v>
      </c>
      <c r="H738" s="365" t="s">
        <v>173</v>
      </c>
      <c r="I738" s="296">
        <v>2</v>
      </c>
      <c r="J738" s="296">
        <v>1</v>
      </c>
      <c r="L738" s="265"/>
    </row>
    <row r="739" spans="4:12" x14ac:dyDescent="0.2">
      <c r="D739" s="365" t="s">
        <v>489</v>
      </c>
      <c r="G739" s="322">
        <v>25000</v>
      </c>
      <c r="H739" s="365" t="s">
        <v>181</v>
      </c>
      <c r="I739" s="296">
        <v>2</v>
      </c>
      <c r="J739" s="296">
        <v>1</v>
      </c>
      <c r="L739" s="265"/>
    </row>
    <row r="740" spans="4:12" x14ac:dyDescent="0.2">
      <c r="D740" s="365" t="s">
        <v>490</v>
      </c>
      <c r="G740" s="322">
        <v>20000</v>
      </c>
      <c r="H740" s="365" t="s">
        <v>181</v>
      </c>
      <c r="I740" s="296">
        <v>2</v>
      </c>
      <c r="J740" s="296">
        <v>1</v>
      </c>
      <c r="L740" s="265"/>
    </row>
    <row r="741" spans="4:12" x14ac:dyDescent="0.2">
      <c r="D741" s="365" t="s">
        <v>172</v>
      </c>
      <c r="G741" s="322">
        <v>4000000</v>
      </c>
      <c r="H741" s="365" t="s">
        <v>169</v>
      </c>
      <c r="I741" s="296">
        <v>2</v>
      </c>
      <c r="J741" s="296">
        <v>1</v>
      </c>
      <c r="L741" s="265"/>
    </row>
    <row r="742" spans="4:12" x14ac:dyDescent="0.2">
      <c r="D742" s="365" t="s">
        <v>170</v>
      </c>
      <c r="G742" s="322">
        <v>1700000</v>
      </c>
      <c r="H742" s="365" t="s">
        <v>169</v>
      </c>
      <c r="I742" s="296">
        <v>2</v>
      </c>
      <c r="J742" s="296">
        <v>1</v>
      </c>
      <c r="L742" s="265"/>
    </row>
    <row r="743" spans="4:12" x14ac:dyDescent="0.2">
      <c r="D743" s="365" t="s">
        <v>171</v>
      </c>
      <c r="G743" s="322">
        <v>4500000</v>
      </c>
      <c r="H743" s="365" t="s">
        <v>169</v>
      </c>
      <c r="I743" s="296">
        <v>1</v>
      </c>
      <c r="J743" s="296">
        <v>1</v>
      </c>
      <c r="L743" s="265"/>
    </row>
    <row r="744" spans="4:12" x14ac:dyDescent="0.2">
      <c r="D744" s="365" t="s">
        <v>491</v>
      </c>
      <c r="G744" s="322">
        <v>5000000</v>
      </c>
      <c r="H744" s="365" t="s">
        <v>169</v>
      </c>
      <c r="I744" s="296">
        <v>1</v>
      </c>
      <c r="J744" s="296">
        <v>1</v>
      </c>
      <c r="L744" s="265"/>
    </row>
    <row r="745" spans="4:12" x14ac:dyDescent="0.2">
      <c r="D745" s="365" t="s">
        <v>1667</v>
      </c>
      <c r="G745" s="353">
        <v>0</v>
      </c>
      <c r="H745" s="365" t="s">
        <v>92</v>
      </c>
      <c r="I745" s="353">
        <v>0</v>
      </c>
      <c r="J745" s="353">
        <v>0</v>
      </c>
      <c r="L745" s="265"/>
    </row>
    <row r="746" spans="4:12" x14ac:dyDescent="0.2">
      <c r="D746" s="365" t="s">
        <v>1667</v>
      </c>
      <c r="G746" s="353">
        <v>0</v>
      </c>
      <c r="H746" s="365" t="s">
        <v>92</v>
      </c>
      <c r="I746" s="353">
        <v>0</v>
      </c>
      <c r="J746" s="353">
        <v>0</v>
      </c>
      <c r="L746" s="265"/>
    </row>
    <row r="747" spans="4:12" x14ac:dyDescent="0.2">
      <c r="D747" s="365" t="s">
        <v>168</v>
      </c>
      <c r="G747" s="322">
        <v>5000</v>
      </c>
      <c r="H747" s="365" t="s">
        <v>167</v>
      </c>
      <c r="I747" s="296">
        <v>2</v>
      </c>
      <c r="J747" s="296">
        <v>2</v>
      </c>
      <c r="L747" s="265"/>
    </row>
    <row r="748" spans="4:12" x14ac:dyDescent="0.2">
      <c r="D748" s="365" t="s">
        <v>166</v>
      </c>
      <c r="G748" s="353">
        <v>1</v>
      </c>
      <c r="H748" s="365" t="s">
        <v>165</v>
      </c>
      <c r="I748" s="296">
        <v>1</v>
      </c>
      <c r="J748" s="296">
        <v>1</v>
      </c>
      <c r="L748" s="265"/>
    </row>
    <row r="749" spans="4:12" x14ac:dyDescent="0.2">
      <c r="D749" s="365" t="s">
        <v>1667</v>
      </c>
      <c r="G749" s="353">
        <v>0</v>
      </c>
      <c r="H749" s="365" t="s">
        <v>92</v>
      </c>
      <c r="I749" s="353">
        <v>0</v>
      </c>
      <c r="J749" s="353">
        <v>0</v>
      </c>
      <c r="L749" s="265"/>
    </row>
    <row r="750" spans="4:12" x14ac:dyDescent="0.2">
      <c r="D750" s="365" t="s">
        <v>508</v>
      </c>
      <c r="G750" s="322">
        <v>2422</v>
      </c>
      <c r="H750" s="365" t="s">
        <v>164</v>
      </c>
      <c r="I750" s="366">
        <f>I736*J736</f>
        <v>4</v>
      </c>
      <c r="J750" s="341">
        <f>J736</f>
        <v>2</v>
      </c>
      <c r="L750" s="265"/>
    </row>
    <row r="751" spans="4:12" x14ac:dyDescent="0.2">
      <c r="D751" s="365" t="s">
        <v>507</v>
      </c>
      <c r="G751" s="301">
        <f>G750</f>
        <v>2422</v>
      </c>
      <c r="H751" s="365" t="s">
        <v>175</v>
      </c>
      <c r="I751" s="296">
        <v>2</v>
      </c>
      <c r="J751" s="296">
        <v>1</v>
      </c>
      <c r="L751" s="265"/>
    </row>
    <row r="752" spans="4:12" x14ac:dyDescent="0.2">
      <c r="D752" s="365" t="s">
        <v>492</v>
      </c>
      <c r="G752" s="322">
        <v>8750</v>
      </c>
      <c r="H752" s="365" t="s">
        <v>181</v>
      </c>
      <c r="I752" s="296">
        <v>2</v>
      </c>
      <c r="J752" s="296">
        <v>1</v>
      </c>
      <c r="L752" s="265"/>
    </row>
    <row r="753" spans="4:12" x14ac:dyDescent="0.2">
      <c r="D753" s="365" t="s">
        <v>1667</v>
      </c>
      <c r="G753" s="353">
        <v>0</v>
      </c>
      <c r="H753" s="365" t="s">
        <v>92</v>
      </c>
      <c r="I753" s="353">
        <v>0</v>
      </c>
      <c r="J753" s="353">
        <v>0</v>
      </c>
      <c r="L753" s="265"/>
    </row>
    <row r="754" spans="4:12" x14ac:dyDescent="0.2">
      <c r="D754" s="365" t="s">
        <v>493</v>
      </c>
      <c r="G754" s="301">
        <f>G735</f>
        <v>1600000</v>
      </c>
      <c r="H754" s="365" t="s">
        <v>177</v>
      </c>
      <c r="I754" s="341">
        <f t="array" ref="I754:J754">I735:J735</f>
        <v>2</v>
      </c>
      <c r="J754" s="341">
        <v>1</v>
      </c>
      <c r="L754" s="265"/>
    </row>
    <row r="755" spans="4:12" x14ac:dyDescent="0.2">
      <c r="D755" s="365" t="s">
        <v>494</v>
      </c>
      <c r="G755" s="301">
        <f t="array" ref="G755:G759">G737:G741</f>
        <v>1300000</v>
      </c>
      <c r="H755" s="365" t="s">
        <v>174</v>
      </c>
      <c r="I755" s="296">
        <v>1</v>
      </c>
      <c r="J755" s="296">
        <v>1</v>
      </c>
      <c r="L755" s="265"/>
    </row>
    <row r="756" spans="4:12" x14ac:dyDescent="0.2">
      <c r="D756" s="365" t="s">
        <v>495</v>
      </c>
      <c r="G756" s="301">
        <v>1000000</v>
      </c>
      <c r="H756" s="365" t="s">
        <v>173</v>
      </c>
      <c r="I756" s="296">
        <v>1</v>
      </c>
      <c r="J756" s="296">
        <v>1</v>
      </c>
      <c r="L756" s="265"/>
    </row>
    <row r="757" spans="4:12" x14ac:dyDescent="0.2">
      <c r="D757" s="365" t="s">
        <v>496</v>
      </c>
      <c r="G757" s="301">
        <v>25000</v>
      </c>
      <c r="H757" s="365" t="s">
        <v>181</v>
      </c>
      <c r="I757" s="341">
        <f t="array" ref="I757:I759">I739:I741</f>
        <v>2</v>
      </c>
      <c r="J757" s="296">
        <v>1</v>
      </c>
      <c r="L757" s="265"/>
    </row>
    <row r="758" spans="4:12" x14ac:dyDescent="0.2">
      <c r="D758" s="365" t="s">
        <v>497</v>
      </c>
      <c r="G758" s="301">
        <v>20000</v>
      </c>
      <c r="H758" s="365" t="s">
        <v>181</v>
      </c>
      <c r="I758" s="341">
        <v>2</v>
      </c>
      <c r="J758" s="296">
        <v>1</v>
      </c>
      <c r="L758" s="265"/>
    </row>
    <row r="759" spans="4:12" x14ac:dyDescent="0.2">
      <c r="D759" s="365" t="s">
        <v>498</v>
      </c>
      <c r="G759" s="301">
        <v>4000000</v>
      </c>
      <c r="H759" s="365" t="s">
        <v>169</v>
      </c>
      <c r="I759" s="341">
        <v>2</v>
      </c>
      <c r="J759" s="296">
        <v>1</v>
      </c>
      <c r="L759" s="265"/>
    </row>
    <row r="760" spans="4:12" x14ac:dyDescent="0.2">
      <c r="D760" s="365" t="s">
        <v>499</v>
      </c>
      <c r="G760" s="322">
        <v>1500000</v>
      </c>
      <c r="H760" s="365" t="s">
        <v>177</v>
      </c>
      <c r="I760" s="296">
        <v>1</v>
      </c>
      <c r="J760" s="296">
        <v>2</v>
      </c>
      <c r="L760" s="265"/>
    </row>
    <row r="761" spans="4:12" x14ac:dyDescent="0.2">
      <c r="D761" s="365" t="s">
        <v>500</v>
      </c>
      <c r="G761" s="301">
        <f>G760</f>
        <v>1500000</v>
      </c>
      <c r="H761" s="365" t="s">
        <v>177</v>
      </c>
      <c r="I761" s="341">
        <f>I760</f>
        <v>1</v>
      </c>
      <c r="J761" s="296">
        <v>1</v>
      </c>
      <c r="L761" s="265"/>
    </row>
    <row r="762" spans="4:12" x14ac:dyDescent="0.2">
      <c r="D762" s="365" t="s">
        <v>501</v>
      </c>
      <c r="G762" s="322">
        <v>500000</v>
      </c>
      <c r="H762" s="365" t="s">
        <v>177</v>
      </c>
      <c r="I762" s="296">
        <v>1</v>
      </c>
      <c r="J762" s="296">
        <v>1</v>
      </c>
      <c r="L762" s="265"/>
    </row>
    <row r="763" spans="4:12" x14ac:dyDescent="0.2">
      <c r="D763" s="365" t="s">
        <v>502</v>
      </c>
      <c r="G763" s="322">
        <v>2000</v>
      </c>
      <c r="H763" s="365" t="s">
        <v>503</v>
      </c>
      <c r="I763" s="296">
        <v>1</v>
      </c>
      <c r="J763" s="296">
        <v>2</v>
      </c>
      <c r="L763" s="265"/>
    </row>
    <row r="764" spans="4:12" x14ac:dyDescent="0.2">
      <c r="D764" s="365" t="s">
        <v>504</v>
      </c>
      <c r="G764" s="301">
        <f>G763</f>
        <v>2000</v>
      </c>
      <c r="H764" s="365" t="s">
        <v>503</v>
      </c>
      <c r="I764" s="341">
        <f>I763</f>
        <v>1</v>
      </c>
      <c r="J764" s="296">
        <v>1</v>
      </c>
      <c r="L764" s="265"/>
    </row>
    <row r="765" spans="4:12" x14ac:dyDescent="0.2">
      <c r="D765" s="365" t="s">
        <v>505</v>
      </c>
      <c r="G765" s="322">
        <v>200000</v>
      </c>
      <c r="H765" s="365" t="s">
        <v>177</v>
      </c>
      <c r="I765" s="296">
        <v>1</v>
      </c>
      <c r="J765" s="296">
        <v>2</v>
      </c>
      <c r="L765" s="265"/>
    </row>
    <row r="766" spans="4:12" x14ac:dyDescent="0.2">
      <c r="D766" s="365" t="s">
        <v>506</v>
      </c>
      <c r="G766" s="322">
        <v>1000</v>
      </c>
      <c r="H766" s="365" t="s">
        <v>177</v>
      </c>
      <c r="I766" s="296">
        <v>1</v>
      </c>
      <c r="J766" s="296">
        <v>2</v>
      </c>
      <c r="L766" s="265"/>
    </row>
    <row r="767" spans="4:12" x14ac:dyDescent="0.2">
      <c r="D767" s="270" t="s">
        <v>163</v>
      </c>
      <c r="E767" s="265"/>
      <c r="G767" s="270" t="s">
        <v>162</v>
      </c>
      <c r="H767" s="270" t="s">
        <v>161</v>
      </c>
      <c r="I767" s="270" t="s">
        <v>160</v>
      </c>
      <c r="J767" s="270" t="s">
        <v>513</v>
      </c>
    </row>
    <row r="770" spans="1:20" s="265" customFormat="1" ht="15.75" x14ac:dyDescent="0.2">
      <c r="A770" s="266" t="s">
        <v>1331</v>
      </c>
      <c r="B770" s="266"/>
      <c r="C770" s="266"/>
      <c r="D770" s="266"/>
      <c r="E770" s="266"/>
      <c r="F770" s="266"/>
      <c r="G770" s="266"/>
      <c r="H770" s="266"/>
      <c r="I770" s="266"/>
      <c r="J770" s="266"/>
      <c r="K770" s="266"/>
      <c r="L770" s="266"/>
      <c r="M770" s="266"/>
      <c r="N770" s="266"/>
      <c r="O770" s="266"/>
      <c r="P770" s="266"/>
      <c r="Q770" s="266"/>
      <c r="R770" s="266"/>
      <c r="S770" s="266"/>
      <c r="T770" s="266"/>
    </row>
    <row r="772" spans="1:20" x14ac:dyDescent="0.2">
      <c r="B772" s="268" t="s">
        <v>1079</v>
      </c>
      <c r="G772" s="365">
        <v>3.32</v>
      </c>
      <c r="H772" s="263" t="s">
        <v>1582</v>
      </c>
    </row>
    <row r="773" spans="1:20" x14ac:dyDescent="0.2">
      <c r="G773" s="270" t="s">
        <v>574</v>
      </c>
    </row>
  </sheetData>
  <conditionalFormatting sqref="F3">
    <cfRule type="cellIs" dxfId="250" priority="20" operator="notEqual">
      <formula>"ERROR"</formula>
    </cfRule>
    <cfRule type="cellIs" dxfId="249" priority="21" operator="equal">
      <formula>"ERROR"</formula>
    </cfRule>
  </conditionalFormatting>
  <conditionalFormatting sqref="H734:H744 H747:H766">
    <cfRule type="cellIs" dxfId="248" priority="7" operator="equal">
      <formula>"spare"</formula>
    </cfRule>
  </conditionalFormatting>
  <conditionalFormatting sqref="H745">
    <cfRule type="cellIs" dxfId="247" priority="5" operator="equal">
      <formula>"spare"</formula>
    </cfRule>
  </conditionalFormatting>
  <conditionalFormatting sqref="H746">
    <cfRule type="cellIs" dxfId="246" priority="3" operator="equal">
      <formula>"spare"</formula>
    </cfRule>
  </conditionalFormatting>
  <dataValidations disablePrompts="1" count="6">
    <dataValidation type="list" allowBlank="1" showInputMessage="1" showErrorMessage="1" sqref="G560:G561 G600:G601">
      <formula1>Protocols</formula1>
    </dataValidation>
    <dataValidation type="list" allowBlank="1" showInputMessage="1" showErrorMessage="1" sqref="G358:P358">
      <formula1>HSUPA.Ladder</formula1>
    </dataValidation>
    <dataValidation type="list" allowBlank="1" showInputMessage="1" showErrorMessage="1" sqref="G341:P341">
      <formula1>HSDPA.Ladder</formula1>
    </dataValidation>
    <dataValidation type="list" allowBlank="1" showInputMessage="1" showErrorMessage="1" sqref="G304">
      <formula1>Erlang.Table.Header.3G</formula1>
    </dataValidation>
    <dataValidation type="list" allowBlank="1" showInputMessage="1" showErrorMessage="1" sqref="G393:P393">
      <formula1>LTE.Ladder</formula1>
    </dataValidation>
    <dataValidation type="list" allowBlank="1" showInputMessage="1" showErrorMessage="1" sqref="G680 L681:L690 K680:L680 O690 O680 H680:H689 P680:P683">
      <formula1>Core.nodes</formula1>
    </dataValidation>
  </dataValidations>
  <pageMargins left="0.70866141732283472" right="0.70866141732283472" top="0.51181102362204722" bottom="0.51181102362204722" header="0.51181102362204722" footer="0.35433070866141736"/>
  <pageSetup paperSize="9" orientation="landscape" horizontalDpi="4294967292" verticalDpi="4294967292" r:id="rId1"/>
  <headerFooter alignWithMargins="0">
    <oddFooter xml:space="preserve">&amp;L&amp;F : &amp;A&amp;CPrinted at &amp;T on &amp;D&amp;RCommercial in confidence © Analysys Mason </oddFooter>
  </headerFooter>
  <drawing r:id="rId2"/>
  <extLst>
    <ext xmlns:x14="http://schemas.microsoft.com/office/spreadsheetml/2009/9/main" uri="{78C0D931-6437-407d-A8EE-F0AAD7539E65}">
      <x14:conditionalFormattings>
        <x14:conditionalFormatting xmlns:xm="http://schemas.microsoft.com/office/excel/2006/main">
          <x14:cfRule type="cellIs" priority="15" operator="equal" id="{A5DDF5EF-5BE9-4F45-9ECF-D02E3B936FB9}">
            <xm:f>Lists!$M$10</xm:f>
            <x14:dxf>
              <font>
                <color theme="0" tint="-0.34998626667073579"/>
              </font>
            </x14:dxf>
          </x14:cfRule>
          <xm:sqref>G72:P75</xm:sqref>
        </x14:conditionalFormatting>
        <x14:conditionalFormatting xmlns:xm="http://schemas.microsoft.com/office/excel/2006/main">
          <x14:cfRule type="cellIs" priority="10" operator="equal" id="{5C948D70-D842-4A61-8BF2-A32FD34E3D80}">
            <xm:f>Lists!$M$10</xm:f>
            <x14:dxf>
              <font>
                <color theme="0" tint="-0.34998626667073579"/>
              </font>
            </x14:dxf>
          </x14:cfRule>
          <xm:sqref>G70:P70</xm:sqref>
        </x14:conditionalFormatting>
        <x14:conditionalFormatting xmlns:xm="http://schemas.microsoft.com/office/excel/2006/main">
          <x14:cfRule type="cellIs" priority="9" operator="equal" id="{0FC05D7A-BCAD-4B45-A90A-203096F6A589}">
            <xm:f>Lists!$M$10</xm:f>
            <x14:dxf>
              <font>
                <color theme="0" tint="-0.34998626667073579"/>
              </font>
            </x14:dxf>
          </x14:cfRule>
          <xm:sqref>G68:P68</xm:sqref>
        </x14:conditionalFormatting>
        <x14:conditionalFormatting xmlns:xm="http://schemas.microsoft.com/office/excel/2006/main">
          <x14:cfRule type="containsText" priority="8" operator="containsText" id="{91AC036A-3EFA-48F8-A856-9FC13C011E0C}">
            <xm:f>NOT(ISERROR(SEARCH("spare",D734)))</xm:f>
            <xm:f>"spare"</xm:f>
            <x14:dxf>
              <font>
                <color theme="0" tint="-0.34998626667073579"/>
              </font>
            </x14:dxf>
          </x14:cfRule>
          <xm:sqref>D734:D744 D747:D766</xm:sqref>
        </x14:conditionalFormatting>
        <x14:conditionalFormatting xmlns:xm="http://schemas.microsoft.com/office/excel/2006/main">
          <x14:cfRule type="containsText" priority="6" operator="containsText" id="{302E8CCA-E278-487A-B271-2D45F195D373}">
            <xm:f>NOT(ISERROR(SEARCH("spare",D745)))</xm:f>
            <xm:f>"spare"</xm:f>
            <x14:dxf>
              <font>
                <color theme="0" tint="-0.34998626667073579"/>
              </font>
            </x14:dxf>
          </x14:cfRule>
          <xm:sqref>D745</xm:sqref>
        </x14:conditionalFormatting>
        <x14:conditionalFormatting xmlns:xm="http://schemas.microsoft.com/office/excel/2006/main">
          <x14:cfRule type="containsText" priority="4" operator="containsText" id="{61AC998E-395A-4271-BECC-8872C0ADDC09}">
            <xm:f>NOT(ISERROR(SEARCH("spare",D746)))</xm:f>
            <xm:f>"spare"</xm:f>
            <x14:dxf>
              <font>
                <color theme="0" tint="-0.34998626667073579"/>
              </font>
            </x14:dxf>
          </x14:cfRule>
          <xm:sqref>D746</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autoPageBreaks="0"/>
  </sheetPr>
  <dimension ref="A1:AV1365"/>
  <sheetViews>
    <sheetView showGridLines="0" defaultGridColor="0" colorId="22" zoomScale="120" zoomScaleNormal="120" workbookViewId="0">
      <pane ySplit="4" topLeftCell="A5" activePane="bottomLeft" state="frozen"/>
      <selection pane="bottomLeft" activeCell="A5" sqref="A5"/>
    </sheetView>
  </sheetViews>
  <sheetFormatPr baseColWidth="10" defaultColWidth="12.7109375" defaultRowHeight="12" outlineLevelRow="2" outlineLevelCol="1" x14ac:dyDescent="0.2"/>
  <cols>
    <col min="1" max="1" width="6.7109375" style="453" customWidth="1"/>
    <col min="2" max="2" width="12.7109375" style="453"/>
    <col min="3" max="3" width="24.7109375" style="453" customWidth="1"/>
    <col min="4" max="4" width="31" style="453" customWidth="1"/>
    <col min="5" max="6" width="12.7109375" style="453"/>
    <col min="7" max="7" width="13.140625" style="453" bestFit="1" customWidth="1"/>
    <col min="8" max="9" width="12.7109375" style="453"/>
    <col min="10" max="16" width="12.7109375" style="453" customWidth="1"/>
    <col min="17" max="17" width="12.7109375" style="453"/>
    <col min="18" max="45" width="12.7109375" style="453" hidden="1" customWidth="1" outlineLevel="1"/>
    <col min="46" max="46" width="12.7109375" style="453" collapsed="1"/>
    <col min="47" max="16384" width="12.7109375" style="453"/>
  </cols>
  <sheetData>
    <row r="1" spans="1:48" s="451" customFormat="1" ht="45" customHeight="1" x14ac:dyDescent="0.2">
      <c r="D1" s="452" t="s">
        <v>1103</v>
      </c>
      <c r="L1" s="451" t="s">
        <v>0</v>
      </c>
    </row>
    <row r="2" spans="1:48" x14ac:dyDescent="0.2">
      <c r="F2" s="454" t="s">
        <v>3</v>
      </c>
      <c r="G2" s="454"/>
    </row>
    <row r="3" spans="1:48" x14ac:dyDescent="0.2">
      <c r="E3" s="455" t="s">
        <v>1104</v>
      </c>
      <c r="F3" s="763" t="str">
        <f>IF(SUM($F1030)&lt;&gt;0,"ERROR","Correcto")</f>
        <v>Correcto</v>
      </c>
      <c r="G3" s="763"/>
    </row>
    <row r="4" spans="1:48" x14ac:dyDescent="0.2">
      <c r="E4" s="455" t="s">
        <v>1595</v>
      </c>
      <c r="F4" s="764" t="str">
        <f>IF(SUM($F5:$F305)&lt;&gt;0,"Comprobar la capacidad RAN","Correcto")</f>
        <v>Comprobar la capacidad RAN</v>
      </c>
      <c r="G4" s="763"/>
    </row>
    <row r="6" spans="1:48" s="457" customFormat="1" ht="15.75" x14ac:dyDescent="0.2">
      <c r="A6" s="456" t="s">
        <v>1105</v>
      </c>
      <c r="B6" s="456"/>
      <c r="C6" s="456"/>
      <c r="D6" s="456"/>
      <c r="E6" s="456"/>
      <c r="F6" s="456"/>
      <c r="G6" s="456"/>
      <c r="H6" s="456"/>
      <c r="I6" s="456"/>
      <c r="J6" s="456"/>
      <c r="K6" s="456"/>
      <c r="L6" s="456"/>
      <c r="M6" s="456"/>
      <c r="N6" s="456"/>
      <c r="O6" s="456"/>
      <c r="P6" s="456"/>
      <c r="Q6" s="456"/>
      <c r="R6" s="456"/>
      <c r="S6" s="456"/>
      <c r="T6" s="456"/>
      <c r="U6" s="456"/>
      <c r="V6" s="456"/>
      <c r="W6" s="456"/>
      <c r="X6" s="456"/>
      <c r="Y6" s="456"/>
      <c r="Z6" s="456"/>
      <c r="AA6" s="456"/>
      <c r="AB6" s="456"/>
      <c r="AC6" s="456"/>
      <c r="AD6" s="456"/>
      <c r="AE6" s="456"/>
      <c r="AF6" s="456"/>
      <c r="AG6" s="456"/>
      <c r="AH6" s="456"/>
      <c r="AI6" s="456"/>
      <c r="AJ6" s="456"/>
      <c r="AK6" s="456"/>
      <c r="AL6" s="456"/>
      <c r="AM6" s="456"/>
      <c r="AN6" s="456"/>
      <c r="AO6" s="456"/>
      <c r="AP6" s="456"/>
      <c r="AQ6" s="456"/>
      <c r="AR6" s="456"/>
      <c r="AS6" s="456"/>
      <c r="AT6" s="456"/>
      <c r="AU6" s="456"/>
      <c r="AV6" s="456"/>
    </row>
    <row r="8" spans="1:48" hidden="1" outlineLevel="1" x14ac:dyDescent="0.2">
      <c r="G8" s="458" t="str">
        <f t="array" ref="G8:P8">TRANSPOSE(Geotypes)</f>
        <v>Muy denso</v>
      </c>
      <c r="H8" s="458" t="str">
        <v>Denso</v>
      </c>
      <c r="I8" s="458" t="str">
        <v>Poco denso</v>
      </c>
      <c r="J8" s="458" t="str">
        <v>Otro</v>
      </c>
      <c r="K8" s="458" t="str">
        <v>Microceldas</v>
      </c>
      <c r="L8" s="458" t="str">
        <v>spare</v>
      </c>
      <c r="M8" s="458" t="str">
        <v>spare</v>
      </c>
      <c r="N8" s="458" t="str">
        <v>spare</v>
      </c>
      <c r="O8" s="458" t="str">
        <v>spare</v>
      </c>
      <c r="P8" s="458" t="str">
        <v>spare</v>
      </c>
    </row>
    <row r="9" spans="1:48" ht="15.75" hidden="1" outlineLevel="1" x14ac:dyDescent="0.2">
      <c r="B9" s="459" t="s">
        <v>1106</v>
      </c>
    </row>
    <row r="10" spans="1:48" hidden="1" outlineLevel="1" x14ac:dyDescent="0.2">
      <c r="D10" s="460" t="s">
        <v>1109</v>
      </c>
      <c r="G10" s="461">
        <f t="array" ref="G10:P10">GSM.Area.Coverage</f>
        <v>0.97599999999999998</v>
      </c>
      <c r="H10" s="461">
        <v>0.69699999999999995</v>
      </c>
      <c r="I10" s="461">
        <v>0.44500000000000001</v>
      </c>
      <c r="J10" s="461">
        <v>3.9E-2</v>
      </c>
      <c r="K10" s="461">
        <v>0</v>
      </c>
      <c r="L10" s="461">
        <v>0</v>
      </c>
      <c r="M10" s="461">
        <v>0</v>
      </c>
      <c r="N10" s="461">
        <v>0</v>
      </c>
      <c r="O10" s="461">
        <v>0</v>
      </c>
      <c r="P10" s="461">
        <v>0</v>
      </c>
    </row>
    <row r="11" spans="1:48" hidden="1" outlineLevel="1" x14ac:dyDescent="0.2">
      <c r="D11" s="457"/>
    </row>
    <row r="12" spans="1:48" hidden="1" outlineLevel="1" x14ac:dyDescent="0.2">
      <c r="D12" s="460" t="s">
        <v>1110</v>
      </c>
      <c r="G12" s="462">
        <f t="array" ref="G12:P12">GSM.Area.Site</f>
        <v>4.8799400000000004</v>
      </c>
      <c r="H12" s="462">
        <v>113.25599999999999</v>
      </c>
      <c r="I12" s="462">
        <v>406.25</v>
      </c>
      <c r="J12" s="462">
        <v>509.6</v>
      </c>
      <c r="K12" s="462">
        <v>2.6</v>
      </c>
      <c r="L12" s="462">
        <v>0</v>
      </c>
      <c r="M12" s="462">
        <v>0</v>
      </c>
      <c r="N12" s="462">
        <v>0</v>
      </c>
      <c r="O12" s="462">
        <v>0</v>
      </c>
      <c r="P12" s="462">
        <v>0</v>
      </c>
    </row>
    <row r="13" spans="1:48" hidden="1" outlineLevel="1" x14ac:dyDescent="0.2"/>
    <row r="14" spans="1:48" hidden="1" outlineLevel="1" x14ac:dyDescent="0.2">
      <c r="B14" s="457"/>
      <c r="D14" s="460" t="s">
        <v>1111</v>
      </c>
      <c r="G14" s="463">
        <f t="array" ref="G14:P14">IF(G10:P10=0,0,G10:P10*TRANSPOSE(Geotypes.area)/G12:P12)</f>
        <v>1144.084461292229</v>
      </c>
      <c r="H14" s="463">
        <v>735.89301897456733</v>
      </c>
      <c r="I14" s="463">
        <v>663.3192757156944</v>
      </c>
      <c r="J14" s="463">
        <v>42.520637184775246</v>
      </c>
      <c r="K14" s="463">
        <v>0</v>
      </c>
      <c r="L14" s="463">
        <v>0</v>
      </c>
      <c r="M14" s="463">
        <v>0</v>
      </c>
      <c r="N14" s="463">
        <v>0</v>
      </c>
      <c r="O14" s="463">
        <v>0</v>
      </c>
      <c r="P14" s="463">
        <v>0</v>
      </c>
    </row>
    <row r="15" spans="1:48" hidden="1" outlineLevel="1" x14ac:dyDescent="0.2"/>
    <row r="16" spans="1:48" hidden="1" outlineLevel="1" x14ac:dyDescent="0.2">
      <c r="D16" s="460" t="s">
        <v>1112</v>
      </c>
      <c r="G16" s="464">
        <f t="array" ref="G16:J16">G14:J14</f>
        <v>1144.084461292229</v>
      </c>
      <c r="H16" s="464">
        <v>735.89301897456733</v>
      </c>
      <c r="I16" s="464">
        <v>663.3192757156944</v>
      </c>
      <c r="J16" s="464">
        <v>42.520637184775246</v>
      </c>
      <c r="K16" s="465">
        <f>K$40</f>
        <v>200</v>
      </c>
      <c r="L16" s="464">
        <f t="array" ref="L16:P16">L14:P14</f>
        <v>0</v>
      </c>
      <c r="M16" s="464">
        <v>0</v>
      </c>
      <c r="N16" s="464">
        <v>0</v>
      </c>
      <c r="O16" s="464">
        <v>0</v>
      </c>
      <c r="P16" s="464">
        <v>0</v>
      </c>
      <c r="Q16" s="466" t="s">
        <v>364</v>
      </c>
    </row>
    <row r="17" spans="2:17" hidden="1" outlineLevel="1" x14ac:dyDescent="0.2"/>
    <row r="18" spans="2:17" hidden="1" outlineLevel="1" x14ac:dyDescent="0.2"/>
    <row r="19" spans="2:17" ht="15.75" hidden="1" outlineLevel="1" x14ac:dyDescent="0.2">
      <c r="B19" s="459" t="s">
        <v>1107</v>
      </c>
    </row>
    <row r="20" spans="2:17" hidden="1" outlineLevel="1" x14ac:dyDescent="0.2">
      <c r="D20" s="460" t="s">
        <v>1109</v>
      </c>
      <c r="G20" s="461">
        <f t="array" ref="G20:P20">UMTS.Area.Coverage</f>
        <v>0.83799999999999997</v>
      </c>
      <c r="H20" s="461">
        <v>0.501</v>
      </c>
      <c r="I20" s="461">
        <v>0.16700000000000001</v>
      </c>
      <c r="J20" s="461">
        <v>8.0000000000000002E-3</v>
      </c>
      <c r="K20" s="461">
        <v>0</v>
      </c>
      <c r="L20" s="461">
        <v>0</v>
      </c>
      <c r="M20" s="461">
        <v>0</v>
      </c>
      <c r="N20" s="461">
        <v>0</v>
      </c>
      <c r="O20" s="461">
        <v>0</v>
      </c>
      <c r="P20" s="461">
        <v>0</v>
      </c>
    </row>
    <row r="21" spans="2:17" hidden="1" outlineLevel="1" x14ac:dyDescent="0.2">
      <c r="D21" s="457"/>
    </row>
    <row r="22" spans="2:17" hidden="1" outlineLevel="1" x14ac:dyDescent="0.2">
      <c r="D22" s="460" t="s">
        <v>1110</v>
      </c>
      <c r="G22" s="462">
        <f t="array" ref="G22:P22">UMTS.Area.Site</f>
        <v>4.8799400000000004</v>
      </c>
      <c r="H22" s="462">
        <v>113.25599999999999</v>
      </c>
      <c r="I22" s="462">
        <v>406.25</v>
      </c>
      <c r="J22" s="462">
        <v>509.6</v>
      </c>
      <c r="K22" s="462">
        <v>2.6</v>
      </c>
      <c r="L22" s="462">
        <v>0</v>
      </c>
      <c r="M22" s="462">
        <v>0</v>
      </c>
      <c r="N22" s="462">
        <v>0</v>
      </c>
      <c r="O22" s="462">
        <v>0</v>
      </c>
      <c r="P22" s="462">
        <v>0</v>
      </c>
    </row>
    <row r="23" spans="2:17" hidden="1" outlineLevel="1" x14ac:dyDescent="0.2"/>
    <row r="24" spans="2:17" hidden="1" outlineLevel="1" x14ac:dyDescent="0.2">
      <c r="B24" s="457"/>
      <c r="D24" s="460" t="s">
        <v>1111</v>
      </c>
      <c r="G24" s="463">
        <f t="array" ref="G24:P24">IF(G20:P20=0,0,G20:P20*TRANSPOSE(Geotypes.area)/G22:P22)</f>
        <v>982.31842065869671</v>
      </c>
      <c r="H24" s="463">
        <v>528.95610115675504</v>
      </c>
      <c r="I24" s="463">
        <v>248.93105403263141</v>
      </c>
      <c r="J24" s="463">
        <v>8.7221819866205621</v>
      </c>
      <c r="K24" s="463">
        <v>0</v>
      </c>
      <c r="L24" s="463">
        <v>0</v>
      </c>
      <c r="M24" s="463">
        <v>0</v>
      </c>
      <c r="N24" s="463">
        <v>0</v>
      </c>
      <c r="O24" s="463">
        <v>0</v>
      </c>
      <c r="P24" s="463">
        <v>0</v>
      </c>
    </row>
    <row r="25" spans="2:17" hidden="1" outlineLevel="1" x14ac:dyDescent="0.2"/>
    <row r="26" spans="2:17" hidden="1" outlineLevel="1" x14ac:dyDescent="0.2">
      <c r="D26" s="460" t="s">
        <v>1112</v>
      </c>
      <c r="G26" s="464">
        <f t="array" ref="G26:J26">G24:J24</f>
        <v>982.31842065869671</v>
      </c>
      <c r="H26" s="464">
        <v>528.95610115675504</v>
      </c>
      <c r="I26" s="464">
        <v>248.93105403263141</v>
      </c>
      <c r="J26" s="464">
        <v>8.7221819866205621</v>
      </c>
      <c r="K26" s="465">
        <f>K$41</f>
        <v>200</v>
      </c>
      <c r="L26" s="464">
        <f t="array" ref="L26:P26">L24:P24</f>
        <v>0</v>
      </c>
      <c r="M26" s="464">
        <v>0</v>
      </c>
      <c r="N26" s="464">
        <v>0</v>
      </c>
      <c r="O26" s="464">
        <v>0</v>
      </c>
      <c r="P26" s="464">
        <v>0</v>
      </c>
      <c r="Q26" s="466" t="s">
        <v>363</v>
      </c>
    </row>
    <row r="27" spans="2:17" hidden="1" outlineLevel="1" x14ac:dyDescent="0.2"/>
    <row r="28" spans="2:17" hidden="1" outlineLevel="1" x14ac:dyDescent="0.2"/>
    <row r="29" spans="2:17" ht="15.75" hidden="1" outlineLevel="1" x14ac:dyDescent="0.2">
      <c r="B29" s="459" t="s">
        <v>1108</v>
      </c>
    </row>
    <row r="30" spans="2:17" hidden="1" outlineLevel="1" x14ac:dyDescent="0.2">
      <c r="D30" s="460" t="s">
        <v>1109</v>
      </c>
      <c r="G30" s="461">
        <f t="array" ref="G30:P30">LTE.Area.Coverage</f>
        <v>0.73599999999999999</v>
      </c>
      <c r="H30" s="461">
        <v>0.33100000000000002</v>
      </c>
      <c r="I30" s="461">
        <v>8.7999999999999995E-2</v>
      </c>
      <c r="J30" s="461">
        <v>2E-3</v>
      </c>
      <c r="K30" s="461">
        <v>0</v>
      </c>
      <c r="L30" s="461">
        <v>0</v>
      </c>
      <c r="M30" s="461">
        <v>0</v>
      </c>
      <c r="N30" s="461">
        <v>0</v>
      </c>
      <c r="O30" s="461">
        <v>0</v>
      </c>
      <c r="P30" s="461">
        <v>0</v>
      </c>
    </row>
    <row r="31" spans="2:17" hidden="1" outlineLevel="1" x14ac:dyDescent="0.2">
      <c r="D31" s="457"/>
    </row>
    <row r="32" spans="2:17" hidden="1" outlineLevel="1" x14ac:dyDescent="0.2">
      <c r="D32" s="460" t="s">
        <v>1110</v>
      </c>
      <c r="G32" s="462">
        <f t="array" ref="G32:P32">LTE.Area.Site</f>
        <v>1.7567784000000002</v>
      </c>
      <c r="H32" s="462">
        <v>40.772159999999992</v>
      </c>
      <c r="I32" s="462">
        <v>146.25</v>
      </c>
      <c r="J32" s="462">
        <v>183.45600000000002</v>
      </c>
      <c r="K32" s="462">
        <v>0.93599999999999994</v>
      </c>
      <c r="L32" s="462">
        <v>0</v>
      </c>
      <c r="M32" s="462">
        <v>0</v>
      </c>
      <c r="N32" s="462">
        <v>0</v>
      </c>
      <c r="O32" s="462">
        <v>0</v>
      </c>
      <c r="P32" s="462">
        <v>0</v>
      </c>
    </row>
    <row r="33" spans="1:48" hidden="1" outlineLevel="1" x14ac:dyDescent="0.2"/>
    <row r="34" spans="1:48" hidden="1" outlineLevel="1" x14ac:dyDescent="0.2">
      <c r="B34" s="457"/>
      <c r="D34" s="460" t="s">
        <v>1111</v>
      </c>
      <c r="G34" s="463">
        <f t="array" ref="G34:P34">IF(G30:P30=0,0,G30:P30*TRANSPOSE(Geotypes.area)/G32:P32)</f>
        <v>2396.533935311591</v>
      </c>
      <c r="H34" s="463">
        <v>970.74999713287832</v>
      </c>
      <c r="I34" s="463">
        <v>364.37013896991948</v>
      </c>
      <c r="J34" s="463">
        <v>6.0570708240420572</v>
      </c>
      <c r="K34" s="463">
        <v>0</v>
      </c>
      <c r="L34" s="463">
        <v>0</v>
      </c>
      <c r="M34" s="463">
        <v>0</v>
      </c>
      <c r="N34" s="463">
        <v>0</v>
      </c>
      <c r="O34" s="463">
        <v>0</v>
      </c>
      <c r="P34" s="463">
        <v>0</v>
      </c>
    </row>
    <row r="35" spans="1:48" hidden="1" outlineLevel="1" x14ac:dyDescent="0.2"/>
    <row r="36" spans="1:48" hidden="1" outlineLevel="1" x14ac:dyDescent="0.2">
      <c r="D36" s="460" t="s">
        <v>1112</v>
      </c>
      <c r="G36" s="464">
        <f t="array" ref="G36:J36">G34:J34</f>
        <v>2396.533935311591</v>
      </c>
      <c r="H36" s="464">
        <v>970.74999713287832</v>
      </c>
      <c r="I36" s="464">
        <v>364.37013896991948</v>
      </c>
      <c r="J36" s="464">
        <v>6.0570708240420572</v>
      </c>
      <c r="K36" s="465">
        <f>K$42</f>
        <v>100</v>
      </c>
      <c r="L36" s="464">
        <f t="array" ref="L36:P36">L34:P34</f>
        <v>0</v>
      </c>
      <c r="M36" s="464">
        <v>0</v>
      </c>
      <c r="N36" s="464">
        <v>0</v>
      </c>
      <c r="O36" s="464">
        <v>0</v>
      </c>
      <c r="P36" s="464">
        <v>0</v>
      </c>
      <c r="Q36" s="466" t="s">
        <v>459</v>
      </c>
    </row>
    <row r="37" spans="1:48" hidden="1" outlineLevel="1" x14ac:dyDescent="0.2"/>
    <row r="38" spans="1:48" hidden="1" outlineLevel="1" x14ac:dyDescent="0.2"/>
    <row r="39" spans="1:48" ht="15.75" hidden="1" outlineLevel="1" x14ac:dyDescent="0.2">
      <c r="B39" s="459" t="s">
        <v>1416</v>
      </c>
    </row>
    <row r="40" spans="1:48" hidden="1" outlineLevel="1" x14ac:dyDescent="0.2">
      <c r="D40" s="453" t="s">
        <v>118</v>
      </c>
      <c r="K40" s="465">
        <f t="array" ref="K40:K42">Microcells.for.coverage</f>
        <v>200</v>
      </c>
    </row>
    <row r="41" spans="1:48" hidden="1" outlineLevel="1" x14ac:dyDescent="0.2">
      <c r="D41" s="453" t="s">
        <v>117</v>
      </c>
      <c r="K41" s="465">
        <v>200</v>
      </c>
    </row>
    <row r="42" spans="1:48" hidden="1" outlineLevel="1" x14ac:dyDescent="0.2">
      <c r="D42" s="453" t="s">
        <v>421</v>
      </c>
      <c r="K42" s="465">
        <v>100</v>
      </c>
    </row>
    <row r="43" spans="1:48" hidden="1" outlineLevel="1" x14ac:dyDescent="0.2"/>
    <row r="44" spans="1:48" s="457" customFormat="1" collapsed="1" x14ac:dyDescent="0.2"/>
    <row r="46" spans="1:48" s="457" customFormat="1" ht="15.75" x14ac:dyDescent="0.2">
      <c r="A46" s="456" t="s">
        <v>1417</v>
      </c>
      <c r="B46" s="456"/>
      <c r="C46" s="456"/>
      <c r="D46" s="456"/>
      <c r="E46" s="456"/>
      <c r="F46" s="456"/>
      <c r="G46" s="456"/>
      <c r="H46" s="456"/>
      <c r="I46" s="456"/>
      <c r="J46" s="456"/>
      <c r="K46" s="456"/>
      <c r="L46" s="456"/>
      <c r="M46" s="456"/>
      <c r="N46" s="456"/>
      <c r="O46" s="456"/>
      <c r="P46" s="456"/>
      <c r="Q46" s="456"/>
      <c r="R46" s="456"/>
      <c r="S46" s="456"/>
      <c r="T46" s="456"/>
      <c r="U46" s="456"/>
      <c r="V46" s="456"/>
      <c r="W46" s="456"/>
      <c r="X46" s="456"/>
      <c r="Y46" s="456"/>
      <c r="Z46" s="456"/>
      <c r="AA46" s="456"/>
      <c r="AB46" s="456"/>
      <c r="AC46" s="456"/>
      <c r="AD46" s="456"/>
      <c r="AE46" s="456"/>
      <c r="AF46" s="456"/>
      <c r="AG46" s="456"/>
      <c r="AH46" s="456"/>
      <c r="AI46" s="456"/>
      <c r="AJ46" s="456"/>
      <c r="AK46" s="456"/>
      <c r="AL46" s="456"/>
      <c r="AM46" s="456"/>
      <c r="AN46" s="456"/>
      <c r="AO46" s="456"/>
      <c r="AP46" s="456"/>
      <c r="AQ46" s="456"/>
      <c r="AR46" s="456"/>
      <c r="AS46" s="456"/>
      <c r="AT46" s="456"/>
      <c r="AU46" s="456"/>
      <c r="AV46" s="456"/>
    </row>
    <row r="47" spans="1:48" x14ac:dyDescent="0.2">
      <c r="A47" s="457"/>
    </row>
    <row r="48" spans="1:48" ht="15.75" hidden="1" outlineLevel="1" x14ac:dyDescent="0.2">
      <c r="A48" s="457"/>
      <c r="B48" s="467" t="s">
        <v>1420</v>
      </c>
      <c r="F48" s="457"/>
      <c r="G48" s="458" t="str">
        <f t="array" ref="G48:P48">TRANSPOSE(Geotypes)</f>
        <v>Muy denso</v>
      </c>
      <c r="H48" s="458" t="str">
        <v>Denso</v>
      </c>
      <c r="I48" s="458" t="str">
        <v>Poco denso</v>
      </c>
      <c r="J48" s="458" t="str">
        <v>Otro</v>
      </c>
      <c r="K48" s="458" t="str">
        <v>Microceldas</v>
      </c>
      <c r="L48" s="458" t="str">
        <v>spare</v>
      </c>
      <c r="M48" s="458" t="str">
        <v>spare</v>
      </c>
      <c r="N48" s="458" t="str">
        <v>spare</v>
      </c>
      <c r="O48" s="458" t="str">
        <v>spare</v>
      </c>
      <c r="P48" s="458" t="str">
        <v>spare</v>
      </c>
    </row>
    <row r="49" spans="1:21" hidden="1" outlineLevel="1" x14ac:dyDescent="0.2">
      <c r="A49" s="457"/>
      <c r="C49" s="468"/>
    </row>
    <row r="50" spans="1:21" hidden="1" outlineLevel="1" x14ac:dyDescent="0.2">
      <c r="A50" s="457"/>
      <c r="C50" s="460" t="s">
        <v>1418</v>
      </c>
      <c r="G50" s="465">
        <f t="array" ref="G50:P50">GSM.Network.Voice.BHE</f>
        <v>30324.017992792229</v>
      </c>
      <c r="H50" s="465">
        <v>7797.6046267180027</v>
      </c>
      <c r="I50" s="465">
        <v>3032.4017992792237</v>
      </c>
      <c r="J50" s="465">
        <v>0</v>
      </c>
      <c r="K50" s="465">
        <v>2166.001285199447</v>
      </c>
      <c r="L50" s="465">
        <v>0</v>
      </c>
      <c r="M50" s="465">
        <v>0</v>
      </c>
      <c r="N50" s="465">
        <v>0</v>
      </c>
      <c r="O50" s="465">
        <v>0</v>
      </c>
      <c r="P50" s="465">
        <v>0</v>
      </c>
      <c r="U50" s="469"/>
    </row>
    <row r="51" spans="1:21" hidden="1" outlineLevel="1" x14ac:dyDescent="0.2">
      <c r="A51" s="457"/>
      <c r="C51" s="468"/>
    </row>
    <row r="52" spans="1:21" hidden="1" outlineLevel="1" x14ac:dyDescent="0.2">
      <c r="A52" s="457"/>
      <c r="C52" s="468"/>
    </row>
    <row r="53" spans="1:21" hidden="1" outlineLevel="1" x14ac:dyDescent="0.2">
      <c r="A53" s="457"/>
      <c r="C53" s="460" t="s">
        <v>1419</v>
      </c>
      <c r="G53" s="464">
        <f t="array" ref="G53:P53">GSM.coverage.sites</f>
        <v>1144.084461292229</v>
      </c>
      <c r="H53" s="464">
        <v>735.89301897456733</v>
      </c>
      <c r="I53" s="464">
        <v>663.3192757156944</v>
      </c>
      <c r="J53" s="464">
        <v>42.520637184775246</v>
      </c>
      <c r="K53" s="464">
        <v>200</v>
      </c>
      <c r="L53" s="464">
        <v>0</v>
      </c>
      <c r="M53" s="464">
        <v>0</v>
      </c>
      <c r="N53" s="464">
        <v>0</v>
      </c>
      <c r="O53" s="464">
        <v>0</v>
      </c>
      <c r="P53" s="464">
        <v>0</v>
      </c>
      <c r="Q53" s="457"/>
    </row>
    <row r="54" spans="1:21" hidden="1" outlineLevel="1" x14ac:dyDescent="0.2">
      <c r="A54" s="457"/>
      <c r="G54" s="470"/>
      <c r="H54" s="470"/>
      <c r="I54" s="470"/>
      <c r="J54" s="470"/>
      <c r="K54" s="470"/>
      <c r="L54" s="470"/>
      <c r="M54" s="470"/>
      <c r="N54" s="470"/>
      <c r="O54" s="470"/>
      <c r="P54" s="470"/>
      <c r="Q54" s="457"/>
    </row>
    <row r="55" spans="1:21" s="457" customFormat="1" hidden="1" outlineLevel="1" x14ac:dyDescent="0.2">
      <c r="G55" s="453"/>
      <c r="H55" s="453"/>
      <c r="I55" s="453"/>
      <c r="J55" s="453"/>
      <c r="K55" s="453"/>
      <c r="L55" s="453"/>
      <c r="M55" s="453"/>
      <c r="N55" s="453"/>
      <c r="O55" s="453"/>
      <c r="P55" s="453"/>
      <c r="Q55" s="453"/>
    </row>
    <row r="56" spans="1:21" hidden="1" outlineLevel="1" x14ac:dyDescent="0.2">
      <c r="A56" s="457"/>
      <c r="C56" s="460" t="s">
        <v>1421</v>
      </c>
      <c r="G56" s="471">
        <f t="array" ref="G56:P56">IF(G50:P50=0,0,G50:P50/GSM.coverage.sites)</f>
        <v>26.505051872255684</v>
      </c>
      <c r="H56" s="471">
        <v>10.596111697843801</v>
      </c>
      <c r="I56" s="471">
        <v>4.5715568811224214</v>
      </c>
      <c r="J56" s="471">
        <v>0</v>
      </c>
      <c r="K56" s="471">
        <v>10.830006425997235</v>
      </c>
      <c r="L56" s="471">
        <v>0</v>
      </c>
      <c r="M56" s="471">
        <v>0</v>
      </c>
      <c r="N56" s="471">
        <v>0</v>
      </c>
      <c r="O56" s="471">
        <v>0</v>
      </c>
      <c r="P56" s="471">
        <v>0</v>
      </c>
    </row>
    <row r="57" spans="1:21" hidden="1" outlineLevel="1" x14ac:dyDescent="0.2">
      <c r="A57" s="457"/>
      <c r="G57" s="457"/>
      <c r="H57" s="457"/>
      <c r="I57" s="457"/>
      <c r="J57" s="457"/>
      <c r="K57" s="457"/>
      <c r="L57" s="457"/>
      <c r="M57" s="457"/>
      <c r="N57" s="457"/>
      <c r="O57" s="457"/>
      <c r="P57" s="457"/>
      <c r="Q57" s="457"/>
    </row>
    <row r="58" spans="1:21" s="457" customFormat="1" hidden="1" outlineLevel="1" x14ac:dyDescent="0.2">
      <c r="G58" s="453"/>
      <c r="H58" s="453"/>
      <c r="I58" s="453"/>
      <c r="J58" s="453"/>
      <c r="K58" s="453"/>
      <c r="L58" s="453"/>
      <c r="M58" s="453"/>
      <c r="N58" s="453"/>
      <c r="O58" s="453"/>
      <c r="P58" s="453"/>
      <c r="Q58" s="453"/>
    </row>
    <row r="59" spans="1:21" s="457" customFormat="1" hidden="1" outlineLevel="1" x14ac:dyDescent="0.2">
      <c r="C59" s="472" t="s">
        <v>1422</v>
      </c>
      <c r="G59" s="473">
        <f t="array" ref="G59:P59">IF(G56:P56=0,0,INDEX(Erlang.Table.TRXs,MATCH(G56:P56/Utilisation.TRX/GSM.sectorisation,Erlang.table.2G.blocking.selected,1)+1)*GSM.sectorisation)</f>
        <v>14.399999999999999</v>
      </c>
      <c r="H59" s="473">
        <v>11.100000000000001</v>
      </c>
      <c r="I59" s="473">
        <v>9.6000000000000014</v>
      </c>
      <c r="J59" s="473">
        <v>0</v>
      </c>
      <c r="K59" s="473">
        <v>5.2</v>
      </c>
      <c r="L59" s="473">
        <v>0</v>
      </c>
      <c r="M59" s="473">
        <v>0</v>
      </c>
      <c r="N59" s="473">
        <v>0</v>
      </c>
      <c r="O59" s="473">
        <v>0</v>
      </c>
      <c r="P59" s="473">
        <v>0</v>
      </c>
      <c r="Q59" s="453"/>
    </row>
    <row r="60" spans="1:21" s="457" customFormat="1" hidden="1" outlineLevel="1" x14ac:dyDescent="0.2">
      <c r="G60" s="453"/>
      <c r="H60" s="453"/>
      <c r="I60" s="453"/>
      <c r="J60" s="453"/>
      <c r="K60" s="453"/>
      <c r="L60" s="453"/>
      <c r="M60" s="453"/>
      <c r="N60" s="453"/>
      <c r="O60" s="453"/>
      <c r="P60" s="453"/>
      <c r="Q60" s="453"/>
    </row>
    <row r="61" spans="1:21" s="457" customFormat="1" hidden="1" outlineLevel="1" x14ac:dyDescent="0.2">
      <c r="G61" s="453"/>
      <c r="H61" s="453"/>
      <c r="I61" s="453"/>
      <c r="J61" s="453"/>
      <c r="K61" s="453"/>
      <c r="L61" s="453"/>
      <c r="M61" s="453"/>
      <c r="N61" s="453"/>
      <c r="O61" s="453"/>
      <c r="P61" s="453"/>
      <c r="Q61" s="453"/>
    </row>
    <row r="62" spans="1:21" s="457" customFormat="1" hidden="1" outlineLevel="1" x14ac:dyDescent="0.2">
      <c r="C62" s="472" t="s">
        <v>1423</v>
      </c>
      <c r="G62" s="474">
        <f t="array" ref="G62:P62">G59:P59*GSM.coverage.sites</f>
        <v>16474.816242608096</v>
      </c>
      <c r="H62" s="474">
        <v>8168.412510617698</v>
      </c>
      <c r="I62" s="474">
        <v>6367.8650468706674</v>
      </c>
      <c r="J62" s="474">
        <v>0</v>
      </c>
      <c r="K62" s="474">
        <v>1040</v>
      </c>
      <c r="L62" s="474">
        <v>0</v>
      </c>
      <c r="M62" s="474">
        <v>0</v>
      </c>
      <c r="N62" s="474">
        <v>0</v>
      </c>
      <c r="O62" s="474">
        <v>0</v>
      </c>
      <c r="P62" s="474">
        <v>0</v>
      </c>
      <c r="Q62" s="453"/>
    </row>
    <row r="63" spans="1:21" s="457" customFormat="1" hidden="1" outlineLevel="1" x14ac:dyDescent="0.2">
      <c r="G63" s="453"/>
      <c r="H63" s="453"/>
      <c r="I63" s="453"/>
      <c r="J63" s="453"/>
      <c r="K63" s="453"/>
      <c r="L63" s="453"/>
      <c r="M63" s="453"/>
      <c r="N63" s="453"/>
      <c r="O63" s="453"/>
      <c r="P63" s="453"/>
      <c r="Q63" s="453"/>
    </row>
    <row r="64" spans="1:21" s="457" customFormat="1" hidden="1" outlineLevel="1" x14ac:dyDescent="0.2">
      <c r="G64" s="453"/>
      <c r="H64" s="453"/>
      <c r="I64" s="453"/>
      <c r="J64" s="453"/>
      <c r="K64" s="453"/>
      <c r="L64" s="453"/>
      <c r="M64" s="453"/>
      <c r="N64" s="453"/>
      <c r="O64" s="453"/>
      <c r="P64" s="453"/>
      <c r="Q64" s="453"/>
    </row>
    <row r="65" spans="3:17" s="457" customFormat="1" hidden="1" outlineLevel="1" x14ac:dyDescent="0.2">
      <c r="C65" s="472" t="s">
        <v>1424</v>
      </c>
      <c r="G65" s="474">
        <f t="array" ref="G65:P65">Minimum.TRX.per.sector*GSM.sectorisation*GSM.coverage.sites</f>
        <v>3432.2533838766867</v>
      </c>
      <c r="H65" s="474">
        <v>2207.6790569237019</v>
      </c>
      <c r="I65" s="474">
        <v>1989.9578271470832</v>
      </c>
      <c r="J65" s="474">
        <v>127.56191155432575</v>
      </c>
      <c r="K65" s="474">
        <v>200</v>
      </c>
      <c r="L65" s="474">
        <v>0</v>
      </c>
      <c r="M65" s="474">
        <v>0</v>
      </c>
      <c r="N65" s="474">
        <v>0</v>
      </c>
      <c r="O65" s="474">
        <v>0</v>
      </c>
      <c r="P65" s="474">
        <v>0</v>
      </c>
      <c r="Q65" s="453"/>
    </row>
    <row r="66" spans="3:17" s="457" customFormat="1" hidden="1" outlineLevel="1" x14ac:dyDescent="0.2">
      <c r="G66" s="453"/>
      <c r="H66" s="453"/>
      <c r="I66" s="453"/>
      <c r="J66" s="453"/>
      <c r="K66" s="453"/>
      <c r="L66" s="453"/>
      <c r="M66" s="453"/>
      <c r="N66" s="453"/>
      <c r="O66" s="453"/>
      <c r="P66" s="453"/>
      <c r="Q66" s="453"/>
    </row>
    <row r="67" spans="3:17" s="457" customFormat="1" hidden="1" outlineLevel="1" x14ac:dyDescent="0.2">
      <c r="G67" s="453"/>
      <c r="H67" s="453"/>
      <c r="I67" s="453"/>
      <c r="J67" s="453"/>
      <c r="K67" s="453"/>
      <c r="L67" s="453"/>
      <c r="M67" s="453"/>
      <c r="N67" s="453"/>
      <c r="O67" s="453"/>
      <c r="P67" s="453"/>
      <c r="Q67" s="453"/>
    </row>
    <row r="68" spans="3:17" s="457" customFormat="1" hidden="1" outlineLevel="1" x14ac:dyDescent="0.2">
      <c r="C68" s="472" t="s">
        <v>1425</v>
      </c>
      <c r="G68" s="474">
        <f t="array" ref="G68:P68">GSM.TRX.coverage.and.capacity.layers*GSM.sectorisation*GSM.coverage.sites</f>
        <v>21966.421656810799</v>
      </c>
      <c r="H68" s="474">
        <v>14129.145964311694</v>
      </c>
      <c r="I68" s="474">
        <v>12735.730093741335</v>
      </c>
      <c r="J68" s="474">
        <v>816.39623394768489</v>
      </c>
      <c r="K68" s="474">
        <v>1280</v>
      </c>
      <c r="L68" s="474">
        <v>0</v>
      </c>
      <c r="M68" s="474">
        <v>0</v>
      </c>
      <c r="N68" s="474">
        <v>0</v>
      </c>
      <c r="O68" s="474">
        <v>0</v>
      </c>
      <c r="P68" s="474">
        <v>0</v>
      </c>
      <c r="Q68" s="453"/>
    </row>
    <row r="69" spans="3:17" s="457" customFormat="1" hidden="1" outlineLevel="1" x14ac:dyDescent="0.2">
      <c r="G69" s="453"/>
      <c r="H69" s="453"/>
      <c r="I69" s="453"/>
      <c r="J69" s="453"/>
      <c r="K69" s="453"/>
      <c r="L69" s="453"/>
      <c r="M69" s="453"/>
      <c r="N69" s="453"/>
      <c r="O69" s="453"/>
      <c r="P69" s="453"/>
      <c r="Q69" s="453"/>
    </row>
    <row r="70" spans="3:17" s="457" customFormat="1" hidden="1" outlineLevel="1" x14ac:dyDescent="0.2">
      <c r="G70" s="453"/>
      <c r="H70" s="453"/>
      <c r="I70" s="453"/>
      <c r="J70" s="453"/>
      <c r="K70" s="453"/>
      <c r="L70" s="453"/>
      <c r="M70" s="453"/>
      <c r="N70" s="453"/>
      <c r="O70" s="453"/>
      <c r="P70" s="453"/>
      <c r="Q70" s="453"/>
    </row>
    <row r="71" spans="3:17" s="457" customFormat="1" hidden="1" outlineLevel="1" x14ac:dyDescent="0.2">
      <c r="C71" s="472" t="s">
        <v>1426</v>
      </c>
      <c r="G71" s="475">
        <f>MIN(MAX(G62,G65),G68)</f>
        <v>16474.816242608096</v>
      </c>
      <c r="H71" s="475">
        <f t="shared" ref="H71:P71" si="0">MIN(MAX(H62,H65),H68)</f>
        <v>8168.412510617698</v>
      </c>
      <c r="I71" s="475">
        <f t="shared" si="0"/>
        <v>6367.8650468706674</v>
      </c>
      <c r="J71" s="475">
        <f t="shared" si="0"/>
        <v>127.56191155432575</v>
      </c>
      <c r="K71" s="475">
        <f t="shared" si="0"/>
        <v>1040</v>
      </c>
      <c r="L71" s="475">
        <f t="shared" si="0"/>
        <v>0</v>
      </c>
      <c r="M71" s="475">
        <f t="shared" si="0"/>
        <v>0</v>
      </c>
      <c r="N71" s="475">
        <f t="shared" si="0"/>
        <v>0</v>
      </c>
      <c r="O71" s="475">
        <f t="shared" si="0"/>
        <v>0</v>
      </c>
      <c r="P71" s="475">
        <f t="shared" si="0"/>
        <v>0</v>
      </c>
      <c r="Q71" s="453"/>
    </row>
    <row r="72" spans="3:17" s="457" customFormat="1" hidden="1" outlineLevel="1" x14ac:dyDescent="0.2">
      <c r="G72" s="453"/>
      <c r="H72" s="453"/>
      <c r="I72" s="453"/>
      <c r="J72" s="453"/>
      <c r="K72" s="453"/>
      <c r="L72" s="453"/>
      <c r="M72" s="453"/>
      <c r="N72" s="453"/>
      <c r="O72" s="453"/>
      <c r="P72" s="453"/>
      <c r="Q72" s="453"/>
    </row>
    <row r="73" spans="3:17" s="457" customFormat="1" hidden="1" outlineLevel="1" x14ac:dyDescent="0.2">
      <c r="G73" s="453"/>
      <c r="H73" s="453"/>
      <c r="I73" s="453"/>
      <c r="J73" s="453"/>
      <c r="K73" s="453"/>
      <c r="L73" s="453"/>
      <c r="M73" s="453"/>
      <c r="N73" s="453"/>
      <c r="O73" s="453"/>
      <c r="P73" s="453"/>
      <c r="Q73" s="453"/>
    </row>
    <row r="74" spans="3:17" s="457" customFormat="1" hidden="1" outlineLevel="1" x14ac:dyDescent="0.2">
      <c r="C74" s="472" t="s">
        <v>1427</v>
      </c>
      <c r="G74" s="475">
        <f t="array" ref="G74:P74">IF(G62:P62&gt;G71:P71,G62:P62-G71:P71,0)</f>
        <v>0</v>
      </c>
      <c r="H74" s="475">
        <v>0</v>
      </c>
      <c r="I74" s="475">
        <v>0</v>
      </c>
      <c r="J74" s="475">
        <v>0</v>
      </c>
      <c r="K74" s="475">
        <v>0</v>
      </c>
      <c r="L74" s="475">
        <v>0</v>
      </c>
      <c r="M74" s="475">
        <v>0</v>
      </c>
      <c r="N74" s="475">
        <v>0</v>
      </c>
      <c r="O74" s="475">
        <v>0</v>
      </c>
      <c r="P74" s="475">
        <v>0</v>
      </c>
      <c r="Q74" s="453"/>
    </row>
    <row r="75" spans="3:17" s="457" customFormat="1" hidden="1" outlineLevel="1" x14ac:dyDescent="0.2">
      <c r="G75" s="453"/>
      <c r="H75" s="453"/>
      <c r="I75" s="453"/>
      <c r="J75" s="453"/>
      <c r="K75" s="453"/>
      <c r="L75" s="453"/>
      <c r="M75" s="453"/>
      <c r="N75" s="453"/>
      <c r="O75" s="453"/>
      <c r="P75" s="453"/>
      <c r="Q75" s="453"/>
    </row>
    <row r="76" spans="3:17" s="457" customFormat="1" hidden="1" outlineLevel="1" x14ac:dyDescent="0.2">
      <c r="G76" s="453"/>
      <c r="H76" s="453"/>
      <c r="I76" s="453"/>
      <c r="J76" s="453"/>
      <c r="K76" s="453"/>
      <c r="L76" s="453"/>
      <c r="M76" s="453"/>
      <c r="N76" s="453"/>
      <c r="O76" s="453"/>
      <c r="P76" s="453"/>
      <c r="Q76" s="453"/>
    </row>
    <row r="77" spans="3:17" s="457" customFormat="1" hidden="1" outlineLevel="1" x14ac:dyDescent="0.2">
      <c r="C77" s="472" t="s">
        <v>1428</v>
      </c>
      <c r="G77" s="475">
        <f t="array" ref="G77:P77">GSM.TRX.coverage.and.capacity.layers*GSM.sectorisation*(G74:P74&gt;0)</f>
        <v>0</v>
      </c>
      <c r="H77" s="475">
        <v>0</v>
      </c>
      <c r="I77" s="475">
        <v>0</v>
      </c>
      <c r="J77" s="475">
        <v>0</v>
      </c>
      <c r="K77" s="475">
        <v>0</v>
      </c>
      <c r="L77" s="475">
        <v>0</v>
      </c>
      <c r="M77" s="475">
        <v>0</v>
      </c>
      <c r="N77" s="475">
        <v>0</v>
      </c>
      <c r="O77" s="475">
        <v>0</v>
      </c>
      <c r="P77" s="475">
        <v>0</v>
      </c>
      <c r="Q77" s="453"/>
    </row>
    <row r="78" spans="3:17" s="457" customFormat="1" hidden="1" outlineLevel="1" x14ac:dyDescent="0.2">
      <c r="G78" s="453"/>
      <c r="H78" s="453"/>
      <c r="I78" s="453"/>
      <c r="J78" s="453"/>
      <c r="K78" s="453"/>
      <c r="L78" s="453"/>
      <c r="M78" s="453"/>
      <c r="N78" s="453"/>
      <c r="O78" s="453"/>
      <c r="P78" s="453"/>
      <c r="Q78" s="453"/>
    </row>
    <row r="79" spans="3:17" s="457" customFormat="1" hidden="1" outlineLevel="1" x14ac:dyDescent="0.2">
      <c r="G79" s="453"/>
      <c r="H79" s="453"/>
      <c r="I79" s="453"/>
      <c r="J79" s="453"/>
      <c r="K79" s="453"/>
      <c r="L79" s="453"/>
      <c r="M79" s="453"/>
      <c r="N79" s="453"/>
      <c r="O79" s="453"/>
      <c r="P79" s="453"/>
      <c r="Q79" s="453"/>
    </row>
    <row r="80" spans="3:17" s="457" customFormat="1" hidden="1" outlineLevel="1" x14ac:dyDescent="0.2">
      <c r="C80" s="472" t="s">
        <v>1429</v>
      </c>
      <c r="G80" s="476">
        <f t="array" ref="G80:P80">IF(G77:P77=0,0,G74:P74/G77:P77)</f>
        <v>0</v>
      </c>
      <c r="H80" s="476">
        <v>0</v>
      </c>
      <c r="I80" s="476">
        <v>0</v>
      </c>
      <c r="J80" s="476">
        <v>0</v>
      </c>
      <c r="K80" s="476">
        <v>0</v>
      </c>
      <c r="L80" s="476">
        <v>0</v>
      </c>
      <c r="M80" s="476">
        <v>0</v>
      </c>
      <c r="N80" s="476">
        <v>0</v>
      </c>
      <c r="O80" s="476">
        <v>0</v>
      </c>
      <c r="P80" s="476">
        <v>0</v>
      </c>
      <c r="Q80" s="453"/>
    </row>
    <row r="81" spans="1:17" s="457" customFormat="1" hidden="1" outlineLevel="1" x14ac:dyDescent="0.2">
      <c r="D81" s="477" t="s">
        <v>988</v>
      </c>
      <c r="G81" s="453"/>
      <c r="H81" s="453"/>
      <c r="I81" s="453"/>
      <c r="J81" s="453"/>
      <c r="K81" s="453"/>
      <c r="L81" s="453"/>
      <c r="M81" s="453"/>
      <c r="N81" s="453"/>
      <c r="O81" s="453"/>
      <c r="P81" s="453"/>
      <c r="Q81" s="453"/>
    </row>
    <row r="82" spans="1:17" s="457" customFormat="1" hidden="1" outlineLevel="1" x14ac:dyDescent="0.2">
      <c r="D82" s="478">
        <f>J80</f>
        <v>0</v>
      </c>
      <c r="G82" s="453"/>
      <c r="H82" s="453"/>
      <c r="I82" s="453"/>
      <c r="J82" s="453"/>
      <c r="K82" s="453"/>
      <c r="L82" s="453"/>
      <c r="M82" s="453"/>
      <c r="N82" s="453"/>
      <c r="O82" s="453"/>
      <c r="P82" s="453"/>
      <c r="Q82" s="453"/>
    </row>
    <row r="83" spans="1:17" s="457" customFormat="1" hidden="1" outlineLevel="1" x14ac:dyDescent="0.2">
      <c r="D83" s="466" t="s">
        <v>989</v>
      </c>
      <c r="G83" s="453"/>
      <c r="H83" s="453"/>
      <c r="I83" s="453"/>
      <c r="J83" s="453"/>
      <c r="K83" s="453"/>
      <c r="L83" s="453"/>
      <c r="M83" s="453"/>
      <c r="N83" s="453"/>
      <c r="O83" s="453"/>
      <c r="P83" s="453"/>
      <c r="Q83" s="453"/>
    </row>
    <row r="84" spans="1:17" s="457" customFormat="1" hidden="1" outlineLevel="1" x14ac:dyDescent="0.2">
      <c r="G84" s="453"/>
      <c r="H84" s="453"/>
      <c r="I84" s="453"/>
      <c r="J84" s="453"/>
      <c r="K84" s="453"/>
      <c r="L84" s="453"/>
      <c r="M84" s="453"/>
      <c r="N84" s="453"/>
      <c r="O84" s="453"/>
      <c r="P84" s="453"/>
      <c r="Q84" s="453"/>
    </row>
    <row r="85" spans="1:17" s="457" customFormat="1" hidden="1" outlineLevel="1" x14ac:dyDescent="0.2">
      <c r="G85" s="453"/>
      <c r="H85" s="453"/>
      <c r="I85" s="453"/>
      <c r="J85" s="453"/>
      <c r="K85" s="453"/>
      <c r="L85" s="453"/>
      <c r="M85" s="453"/>
      <c r="N85" s="453"/>
      <c r="O85" s="453"/>
      <c r="P85" s="453"/>
      <c r="Q85" s="453"/>
    </row>
    <row r="86" spans="1:17" s="457" customFormat="1" hidden="1" outlineLevel="1" x14ac:dyDescent="0.2">
      <c r="C86" s="472" t="s">
        <v>1430</v>
      </c>
      <c r="G86" s="479">
        <f t="array" ref="G86:P86">ROUNDUP(GSM.coverage.sites+G80:P80,0)</f>
        <v>1145</v>
      </c>
      <c r="H86" s="479">
        <v>736</v>
      </c>
      <c r="I86" s="479">
        <v>664</v>
      </c>
      <c r="J86" s="479">
        <v>43</v>
      </c>
      <c r="K86" s="479">
        <v>200</v>
      </c>
      <c r="L86" s="479">
        <v>0</v>
      </c>
      <c r="M86" s="479">
        <v>0</v>
      </c>
      <c r="N86" s="479">
        <v>0</v>
      </c>
      <c r="O86" s="479">
        <v>0</v>
      </c>
      <c r="P86" s="479">
        <v>0</v>
      </c>
      <c r="Q86" s="466" t="s">
        <v>362</v>
      </c>
    </row>
    <row r="87" spans="1:17" s="457" customFormat="1" hidden="1" outlineLevel="1" x14ac:dyDescent="0.2"/>
    <row r="88" spans="1:17" s="457" customFormat="1" hidden="1" outlineLevel="1" x14ac:dyDescent="0.2">
      <c r="G88" s="453"/>
      <c r="H88" s="453"/>
      <c r="I88" s="453"/>
      <c r="J88" s="453"/>
      <c r="K88" s="453"/>
      <c r="L88" s="453"/>
      <c r="M88" s="453"/>
      <c r="N88" s="453"/>
      <c r="O88" s="453"/>
      <c r="P88" s="453"/>
      <c r="Q88" s="458" t="s">
        <v>61</v>
      </c>
    </row>
    <row r="89" spans="1:17" s="457" customFormat="1" hidden="1" outlineLevel="1" x14ac:dyDescent="0.2">
      <c r="C89" s="472" t="s">
        <v>1431</v>
      </c>
      <c r="G89" s="481">
        <f t="array" ref="G89:P89">ROUNDUP(G71:P71+G74:P74,0)</f>
        <v>16475</v>
      </c>
      <c r="H89" s="481">
        <v>8169</v>
      </c>
      <c r="I89" s="481">
        <v>6368</v>
      </c>
      <c r="J89" s="481">
        <v>128</v>
      </c>
      <c r="K89" s="481">
        <v>1040</v>
      </c>
      <c r="L89" s="481">
        <v>0</v>
      </c>
      <c r="M89" s="481">
        <v>0</v>
      </c>
      <c r="N89" s="481">
        <v>0</v>
      </c>
      <c r="O89" s="481">
        <v>0</v>
      </c>
      <c r="P89" s="481">
        <v>0</v>
      </c>
      <c r="Q89" s="482">
        <f>SUM(G89:P89)</f>
        <v>32180</v>
      </c>
    </row>
    <row r="90" spans="1:17" s="457" customFormat="1" hidden="1" outlineLevel="1" x14ac:dyDescent="0.2">
      <c r="G90" s="453"/>
      <c r="H90" s="453"/>
      <c r="I90" s="453"/>
      <c r="J90" s="453"/>
      <c r="K90" s="453"/>
      <c r="L90" s="453"/>
      <c r="M90" s="453"/>
      <c r="N90" s="453"/>
      <c r="O90" s="453"/>
      <c r="P90" s="466" t="s">
        <v>361</v>
      </c>
      <c r="Q90" s="466" t="s">
        <v>360</v>
      </c>
    </row>
    <row r="91" spans="1:17" s="457" customFormat="1" hidden="1" outlineLevel="1" x14ac:dyDescent="0.2">
      <c r="G91" s="453"/>
      <c r="H91" s="453"/>
      <c r="I91" s="453"/>
      <c r="J91" s="453"/>
      <c r="K91" s="453"/>
      <c r="L91" s="453"/>
      <c r="M91" s="453"/>
      <c r="N91" s="453"/>
      <c r="O91" s="453"/>
      <c r="P91" s="453"/>
      <c r="Q91" s="453"/>
    </row>
    <row r="92" spans="1:17" ht="15.75" hidden="1" outlineLevel="1" x14ac:dyDescent="0.2">
      <c r="A92" s="457"/>
      <c r="B92" s="467" t="s">
        <v>1432</v>
      </c>
    </row>
    <row r="93" spans="1:17" hidden="1" outlineLevel="1" x14ac:dyDescent="0.2">
      <c r="A93" s="457"/>
      <c r="C93" s="457"/>
    </row>
    <row r="94" spans="1:17" hidden="1" outlineLevel="1" x14ac:dyDescent="0.2">
      <c r="A94" s="457"/>
      <c r="C94" s="460" t="s">
        <v>1433</v>
      </c>
      <c r="G94" s="483">
        <f t="array" ref="G94:P94">Sites.Total.GSM*GSM.sectorisation*GPRS.channel.per.sector*Utilisation.TRX*GPRS.channel.rate/Thousand</f>
        <v>1187.136</v>
      </c>
      <c r="H94" s="483">
        <v>763.08480000000009</v>
      </c>
      <c r="I94" s="483">
        <v>688.43520000000012</v>
      </c>
      <c r="J94" s="483">
        <v>44.5824</v>
      </c>
      <c r="K94" s="483">
        <v>69.12</v>
      </c>
      <c r="L94" s="483">
        <v>0</v>
      </c>
      <c r="M94" s="483">
        <v>0</v>
      </c>
      <c r="N94" s="483">
        <v>0</v>
      </c>
      <c r="O94" s="483">
        <v>0</v>
      </c>
      <c r="P94" s="483">
        <v>0</v>
      </c>
    </row>
    <row r="95" spans="1:17" hidden="1" outlineLevel="1" x14ac:dyDescent="0.2">
      <c r="A95" s="457"/>
      <c r="C95" s="457"/>
    </row>
    <row r="96" spans="1:17" hidden="1" outlineLevel="1" x14ac:dyDescent="0.2">
      <c r="A96" s="457"/>
      <c r="C96" s="457"/>
    </row>
    <row r="97" spans="1:48" hidden="1" outlineLevel="1" x14ac:dyDescent="0.2">
      <c r="A97" s="457"/>
      <c r="C97" s="460" t="s">
        <v>1434</v>
      </c>
    </row>
    <row r="98" spans="1:48" hidden="1" outlineLevel="1" x14ac:dyDescent="0.2">
      <c r="A98" s="457"/>
      <c r="C98" s="457"/>
    </row>
    <row r="99" spans="1:48" hidden="1" outlineLevel="1" x14ac:dyDescent="0.2">
      <c r="A99" s="457"/>
      <c r="D99" s="453" t="s">
        <v>359</v>
      </c>
      <c r="G99" s="484">
        <f>Network.peak.GSM.data.load</f>
        <v>9906.1417299110999</v>
      </c>
      <c r="H99" s="457"/>
    </row>
    <row r="100" spans="1:48" hidden="1" outlineLevel="1" x14ac:dyDescent="0.2">
      <c r="A100" s="457"/>
      <c r="C100" s="457"/>
    </row>
    <row r="101" spans="1:48" hidden="1" outlineLevel="1" x14ac:dyDescent="0.2">
      <c r="A101" s="457"/>
      <c r="C101" s="457"/>
      <c r="D101" s="453" t="s">
        <v>358</v>
      </c>
      <c r="G101" s="483">
        <f t="array" ref="G101:P101">G99*GSM.data.traffic.distribution</f>
        <v>6637.1149590404375</v>
      </c>
      <c r="H101" s="483">
        <v>1981.2283459822202</v>
      </c>
      <c r="I101" s="483">
        <v>990.61417299111008</v>
      </c>
      <c r="J101" s="483">
        <v>0</v>
      </c>
      <c r="K101" s="483">
        <v>297.18425189733216</v>
      </c>
      <c r="L101" s="483">
        <v>0</v>
      </c>
      <c r="M101" s="483">
        <v>0</v>
      </c>
      <c r="N101" s="483">
        <v>0</v>
      </c>
      <c r="O101" s="483">
        <v>0</v>
      </c>
      <c r="P101" s="483">
        <v>0</v>
      </c>
    </row>
    <row r="102" spans="1:48" hidden="1" outlineLevel="1" x14ac:dyDescent="0.2">
      <c r="A102" s="457"/>
    </row>
    <row r="103" spans="1:48" hidden="1" outlineLevel="1" x14ac:dyDescent="0.2">
      <c r="A103" s="457"/>
      <c r="C103" s="460" t="s">
        <v>1435</v>
      </c>
      <c r="G103" s="481">
        <f t="array" ref="G103:P103">IF(G101:P101&gt;G94:P94,1,0)</f>
        <v>1</v>
      </c>
      <c r="H103" s="481">
        <v>1</v>
      </c>
      <c r="I103" s="481">
        <v>1</v>
      </c>
      <c r="J103" s="481">
        <v>0</v>
      </c>
      <c r="K103" s="481">
        <v>1</v>
      </c>
      <c r="L103" s="481">
        <v>0</v>
      </c>
      <c r="M103" s="481">
        <v>0</v>
      </c>
      <c r="N103" s="481">
        <v>0</v>
      </c>
      <c r="O103" s="481">
        <v>0</v>
      </c>
      <c r="P103" s="481">
        <v>0</v>
      </c>
    </row>
    <row r="104" spans="1:48" hidden="1" outlineLevel="1" x14ac:dyDescent="0.2">
      <c r="A104" s="457"/>
      <c r="C104" s="457"/>
    </row>
    <row r="105" spans="1:48" hidden="1" outlineLevel="1" x14ac:dyDescent="0.2">
      <c r="A105" s="457"/>
      <c r="C105" s="457"/>
      <c r="D105" s="485" t="str">
        <f>IF(SUM(G103:P103)&gt;0,"CHECK GPRS CAPACITY","OK")</f>
        <v>CHECK GPRS CAPACITY</v>
      </c>
      <c r="F105" s="486">
        <f>IF(D105="OK",0,1)</f>
        <v>1</v>
      </c>
    </row>
    <row r="106" spans="1:48" hidden="1" outlineLevel="1" x14ac:dyDescent="0.2">
      <c r="A106" s="457"/>
      <c r="C106" s="457"/>
      <c r="D106" s="466" t="s">
        <v>357</v>
      </c>
    </row>
    <row r="107" spans="1:48" collapsed="1" x14ac:dyDescent="0.2">
      <c r="C107" s="457"/>
    </row>
    <row r="108" spans="1:48" x14ac:dyDescent="0.2">
      <c r="C108" s="457"/>
    </row>
    <row r="109" spans="1:48" s="457" customFormat="1" ht="15.75" x14ac:dyDescent="0.2">
      <c r="A109" s="456" t="s">
        <v>1436</v>
      </c>
      <c r="B109" s="456"/>
      <c r="C109" s="456"/>
      <c r="D109" s="456"/>
      <c r="E109" s="456"/>
      <c r="F109" s="456"/>
      <c r="G109" s="456"/>
      <c r="H109" s="456"/>
      <c r="I109" s="456"/>
      <c r="J109" s="456"/>
      <c r="K109" s="456"/>
      <c r="L109" s="456"/>
      <c r="M109" s="456"/>
      <c r="N109" s="456"/>
      <c r="O109" s="456"/>
      <c r="P109" s="456"/>
      <c r="Q109" s="456"/>
      <c r="R109" s="456"/>
      <c r="S109" s="456"/>
      <c r="T109" s="456"/>
      <c r="U109" s="456"/>
      <c r="V109" s="456"/>
      <c r="W109" s="456"/>
      <c r="X109" s="456"/>
      <c r="Y109" s="456"/>
      <c r="Z109" s="456"/>
      <c r="AA109" s="456"/>
      <c r="AB109" s="456"/>
      <c r="AC109" s="456"/>
      <c r="AD109" s="456"/>
      <c r="AE109" s="456"/>
      <c r="AF109" s="456"/>
      <c r="AG109" s="456"/>
      <c r="AH109" s="456"/>
      <c r="AI109" s="456"/>
      <c r="AJ109" s="456"/>
      <c r="AK109" s="456"/>
      <c r="AL109" s="456"/>
      <c r="AM109" s="456"/>
      <c r="AN109" s="456"/>
      <c r="AO109" s="456"/>
      <c r="AP109" s="456"/>
      <c r="AQ109" s="456"/>
      <c r="AR109" s="456"/>
      <c r="AS109" s="456"/>
      <c r="AT109" s="456"/>
      <c r="AU109" s="456"/>
      <c r="AV109" s="456"/>
    </row>
    <row r="110" spans="1:48" x14ac:dyDescent="0.2">
      <c r="A110" s="457"/>
    </row>
    <row r="111" spans="1:48" ht="15.75" hidden="1" outlineLevel="1" x14ac:dyDescent="0.2">
      <c r="A111" s="457"/>
      <c r="B111" s="467" t="s">
        <v>1437</v>
      </c>
    </row>
    <row r="112" spans="1:48" hidden="1" outlineLevel="1" x14ac:dyDescent="0.2">
      <c r="A112" s="457"/>
      <c r="G112" s="458" t="str">
        <f t="array" ref="G112:P112">TRANSPOSE(Geotypes)</f>
        <v>Muy denso</v>
      </c>
      <c r="H112" s="458" t="str">
        <v>Denso</v>
      </c>
      <c r="I112" s="458" t="str">
        <v>Poco denso</v>
      </c>
      <c r="J112" s="458" t="str">
        <v>Otro</v>
      </c>
      <c r="K112" s="458" t="str">
        <v>Microceldas</v>
      </c>
      <c r="L112" s="458" t="str">
        <v>spare</v>
      </c>
      <c r="M112" s="458" t="str">
        <v>spare</v>
      </c>
      <c r="N112" s="458" t="str">
        <v>spare</v>
      </c>
      <c r="O112" s="458" t="str">
        <v>spare</v>
      </c>
      <c r="P112" s="458" t="str">
        <v>spare</v>
      </c>
    </row>
    <row r="113" spans="1:21" hidden="1" outlineLevel="1" x14ac:dyDescent="0.2">
      <c r="A113" s="457"/>
    </row>
    <row r="114" spans="1:21" hidden="1" outlineLevel="1" x14ac:dyDescent="0.2">
      <c r="A114" s="457"/>
      <c r="C114" s="460" t="s">
        <v>1438</v>
      </c>
      <c r="F114" s="466"/>
      <c r="G114" s="487">
        <f t="array" ref="G114:P114">G115:P115+G116:P116</f>
        <v>108750.04047580643</v>
      </c>
      <c r="H114" s="487">
        <v>31298.877063417138</v>
      </c>
      <c r="I114" s="487">
        <v>9151.4346761102352</v>
      </c>
      <c r="J114" s="487">
        <v>0</v>
      </c>
      <c r="K114" s="487">
        <v>7294.0331017519075</v>
      </c>
      <c r="L114" s="487">
        <v>0</v>
      </c>
      <c r="M114" s="487">
        <v>0</v>
      </c>
      <c r="N114" s="487">
        <v>0</v>
      </c>
      <c r="O114" s="487">
        <v>0</v>
      </c>
      <c r="P114" s="487">
        <v>0</v>
      </c>
      <c r="U114" s="469"/>
    </row>
    <row r="115" spans="1:21" hidden="1" outlineLevel="1" x14ac:dyDescent="0.2">
      <c r="A115" s="457"/>
      <c r="C115" s="488" t="s">
        <v>763</v>
      </c>
      <c r="F115" s="466"/>
      <c r="G115" s="465">
        <f t="array" ref="G115:P115">UMTS.Network.R99.BHE.voice</f>
        <v>90972.053978376673</v>
      </c>
      <c r="H115" s="465">
        <v>25992.015422393335</v>
      </c>
      <c r="I115" s="465">
        <v>6498.0038555983338</v>
      </c>
      <c r="J115" s="465">
        <v>0</v>
      </c>
      <c r="K115" s="465">
        <v>6498.0038555983392</v>
      </c>
      <c r="L115" s="465">
        <v>0</v>
      </c>
      <c r="M115" s="465">
        <v>0</v>
      </c>
      <c r="N115" s="465">
        <v>0</v>
      </c>
      <c r="O115" s="465">
        <v>0</v>
      </c>
      <c r="P115" s="465">
        <v>0</v>
      </c>
    </row>
    <row r="116" spans="1:21" hidden="1" outlineLevel="1" x14ac:dyDescent="0.2">
      <c r="A116" s="457"/>
      <c r="C116" s="488" t="s">
        <v>764</v>
      </c>
      <c r="F116" s="466"/>
      <c r="G116" s="465">
        <f t="array" ref="G116:P116">UMTS.Network.R99.BHE.data</f>
        <v>17777.986497429745</v>
      </c>
      <c r="H116" s="465">
        <v>5306.8616410238046</v>
      </c>
      <c r="I116" s="465">
        <v>2653.4308205119023</v>
      </c>
      <c r="J116" s="465">
        <v>0</v>
      </c>
      <c r="K116" s="465">
        <v>796.02924615356835</v>
      </c>
      <c r="L116" s="465">
        <v>0</v>
      </c>
      <c r="M116" s="465">
        <v>0</v>
      </c>
      <c r="N116" s="465">
        <v>0</v>
      </c>
      <c r="O116" s="465">
        <v>0</v>
      </c>
      <c r="P116" s="465">
        <v>0</v>
      </c>
    </row>
    <row r="117" spans="1:21" s="457" customFormat="1" hidden="1" outlineLevel="1" x14ac:dyDescent="0.2"/>
    <row r="118" spans="1:21" hidden="1" outlineLevel="1" x14ac:dyDescent="0.2">
      <c r="A118" s="457"/>
      <c r="C118" s="460" t="s">
        <v>1419</v>
      </c>
      <c r="F118" s="457"/>
      <c r="G118" s="464">
        <f t="array" ref="G118:P118">UMTS.coverage.sites</f>
        <v>982.31842065869671</v>
      </c>
      <c r="H118" s="464">
        <v>528.95610115675504</v>
      </c>
      <c r="I118" s="464">
        <v>248.93105403263141</v>
      </c>
      <c r="J118" s="464">
        <v>8.7221819866205621</v>
      </c>
      <c r="K118" s="464">
        <v>200</v>
      </c>
      <c r="L118" s="464">
        <v>0</v>
      </c>
      <c r="M118" s="464">
        <v>0</v>
      </c>
      <c r="N118" s="464">
        <v>0</v>
      </c>
      <c r="O118" s="464">
        <v>0</v>
      </c>
      <c r="P118" s="464">
        <v>0</v>
      </c>
      <c r="Q118" s="457"/>
    </row>
    <row r="119" spans="1:21" hidden="1" outlineLevel="1" x14ac:dyDescent="0.2">
      <c r="A119" s="457"/>
      <c r="G119" s="470"/>
      <c r="H119" s="470"/>
      <c r="I119" s="470"/>
      <c r="J119" s="470"/>
      <c r="K119" s="470"/>
      <c r="L119" s="470"/>
      <c r="M119" s="470"/>
      <c r="N119" s="470"/>
      <c r="O119" s="470"/>
      <c r="P119" s="470"/>
      <c r="Q119" s="457"/>
    </row>
    <row r="120" spans="1:21" s="457" customFormat="1" hidden="1" outlineLevel="1" x14ac:dyDescent="0.2">
      <c r="G120" s="453"/>
      <c r="H120" s="453"/>
      <c r="I120" s="453"/>
      <c r="J120" s="453"/>
      <c r="K120" s="453"/>
      <c r="L120" s="453"/>
      <c r="M120" s="453"/>
      <c r="N120" s="453"/>
      <c r="O120" s="453"/>
      <c r="P120" s="453"/>
      <c r="Q120" s="453"/>
    </row>
    <row r="121" spans="1:21" hidden="1" outlineLevel="1" x14ac:dyDescent="0.2">
      <c r="A121" s="457"/>
      <c r="C121" s="460" t="s">
        <v>1439</v>
      </c>
      <c r="F121" s="457"/>
      <c r="G121" s="487">
        <f t="array" ref="G121:P121">G122:P122+G123:P123</f>
        <v>110.70752435130325</v>
      </c>
      <c r="H121" s="487">
        <v>59.171029495587163</v>
      </c>
      <c r="I121" s="487">
        <v>36.762929043439513</v>
      </c>
      <c r="J121" s="487">
        <v>0</v>
      </c>
      <c r="K121" s="487">
        <v>36.470165508759543</v>
      </c>
      <c r="L121" s="487">
        <v>0</v>
      </c>
      <c r="M121" s="487">
        <v>0</v>
      </c>
      <c r="N121" s="487">
        <v>0</v>
      </c>
      <c r="O121" s="487">
        <v>0</v>
      </c>
      <c r="P121" s="487">
        <v>0</v>
      </c>
    </row>
    <row r="122" spans="1:21" hidden="1" outlineLevel="1" x14ac:dyDescent="0.2">
      <c r="A122" s="457"/>
      <c r="C122" s="488" t="s">
        <v>763</v>
      </c>
      <c r="G122" s="471">
        <f t="array" ref="G122:P122">IF(G115:P115=0,0,G115:P115/UMTS.coverage.sites)</f>
        <v>92.609536851986419</v>
      </c>
      <c r="H122" s="471">
        <v>49.138322377891726</v>
      </c>
      <c r="I122" s="471">
        <v>26.103628897769163</v>
      </c>
      <c r="J122" s="471">
        <v>0</v>
      </c>
      <c r="K122" s="471">
        <v>32.490019277991699</v>
      </c>
      <c r="L122" s="471">
        <v>0</v>
      </c>
      <c r="M122" s="471">
        <v>0</v>
      </c>
      <c r="N122" s="471">
        <v>0</v>
      </c>
      <c r="O122" s="471">
        <v>0</v>
      </c>
      <c r="P122" s="471">
        <v>0</v>
      </c>
      <c r="Q122" s="457"/>
    </row>
    <row r="123" spans="1:21" hidden="1" outlineLevel="1" x14ac:dyDescent="0.2">
      <c r="A123" s="457"/>
      <c r="C123" s="488" t="s">
        <v>764</v>
      </c>
      <c r="G123" s="471">
        <f t="array" ref="G123:P123">IF(G116:P116=0,0,G116:P116/UMTS.coverage.sites)</f>
        <v>18.097987499316829</v>
      </c>
      <c r="H123" s="471">
        <v>10.032707117695438</v>
      </c>
      <c r="I123" s="471">
        <v>10.659300145670352</v>
      </c>
      <c r="J123" s="471">
        <v>0</v>
      </c>
      <c r="K123" s="471">
        <v>3.9801462307678417</v>
      </c>
      <c r="L123" s="471">
        <v>0</v>
      </c>
      <c r="M123" s="471">
        <v>0</v>
      </c>
      <c r="N123" s="471">
        <v>0</v>
      </c>
      <c r="O123" s="471">
        <v>0</v>
      </c>
      <c r="P123" s="471">
        <v>0</v>
      </c>
      <c r="Q123" s="457"/>
    </row>
    <row r="124" spans="1:21" s="457" customFormat="1" hidden="1" outlineLevel="1" x14ac:dyDescent="0.2">
      <c r="G124" s="453"/>
      <c r="H124" s="453"/>
      <c r="I124" s="453"/>
      <c r="J124" s="453"/>
      <c r="K124" s="453"/>
      <c r="L124" s="453"/>
      <c r="M124" s="453"/>
      <c r="N124" s="453"/>
      <c r="O124" s="453"/>
      <c r="P124" s="453"/>
      <c r="Q124" s="453"/>
    </row>
    <row r="125" spans="1:21" s="457" customFormat="1" hidden="1" outlineLevel="1" x14ac:dyDescent="0.2">
      <c r="C125" s="472" t="s">
        <v>1440</v>
      </c>
      <c r="G125" s="487">
        <f t="array" ref="G125:P125">G126:P126+G127:P127</f>
        <v>212.09798749931684</v>
      </c>
      <c r="H125" s="487">
        <v>121.03270711769544</v>
      </c>
      <c r="I125" s="487">
        <v>75.659300145670358</v>
      </c>
      <c r="J125" s="487">
        <v>0</v>
      </c>
      <c r="K125" s="487">
        <v>81.980146230767843</v>
      </c>
      <c r="L125" s="487">
        <v>0</v>
      </c>
      <c r="M125" s="487">
        <v>0</v>
      </c>
      <c r="N125" s="487">
        <v>0</v>
      </c>
      <c r="O125" s="487">
        <v>0</v>
      </c>
      <c r="P125" s="487">
        <v>0</v>
      </c>
      <c r="Q125" s="453"/>
    </row>
    <row r="126" spans="1:21" s="457" customFormat="1" hidden="1" outlineLevel="1" x14ac:dyDescent="0.2">
      <c r="C126" s="488" t="s">
        <v>763</v>
      </c>
      <c r="G126" s="471">
        <f t="array" ref="G126:P126">IF(G122:P122=0,0,INDEX(Erlang.Table.R99.CE,MATCH(G122:P122/Utilisation.CE,Erlang.table.R99.Carriers.3G.blocking.selected,1)+1))</f>
        <v>194</v>
      </c>
      <c r="H126" s="471">
        <v>111</v>
      </c>
      <c r="I126" s="471">
        <v>65</v>
      </c>
      <c r="J126" s="471">
        <v>0</v>
      </c>
      <c r="K126" s="471">
        <v>78</v>
      </c>
      <c r="L126" s="471">
        <v>0</v>
      </c>
      <c r="M126" s="471">
        <v>0</v>
      </c>
      <c r="N126" s="471">
        <v>0</v>
      </c>
      <c r="O126" s="471">
        <v>0</v>
      </c>
      <c r="P126" s="471">
        <v>0</v>
      </c>
      <c r="Q126" s="453"/>
    </row>
    <row r="127" spans="1:21" s="457" customFormat="1" hidden="1" outlineLevel="1" x14ac:dyDescent="0.2">
      <c r="C127" s="488" t="s">
        <v>764</v>
      </c>
      <c r="G127" s="489">
        <f t="array" ref="G127:P127">G123:P123</f>
        <v>18.097987499316829</v>
      </c>
      <c r="H127" s="489">
        <v>10.032707117695438</v>
      </c>
      <c r="I127" s="489">
        <v>10.659300145670352</v>
      </c>
      <c r="J127" s="489">
        <v>0</v>
      </c>
      <c r="K127" s="489">
        <v>3.9801462307678417</v>
      </c>
      <c r="L127" s="489">
        <v>0</v>
      </c>
      <c r="M127" s="489">
        <v>0</v>
      </c>
      <c r="N127" s="489">
        <v>0</v>
      </c>
      <c r="O127" s="489">
        <v>0</v>
      </c>
      <c r="P127" s="489">
        <v>0</v>
      </c>
      <c r="Q127" s="453"/>
    </row>
    <row r="128" spans="1:21" s="457" customFormat="1" hidden="1" outlineLevel="1" x14ac:dyDescent="0.2">
      <c r="G128" s="453"/>
      <c r="H128" s="453"/>
      <c r="I128" s="453"/>
      <c r="J128" s="453"/>
      <c r="K128" s="453"/>
      <c r="L128" s="453"/>
      <c r="M128" s="453"/>
      <c r="N128" s="453"/>
      <c r="O128" s="453"/>
      <c r="P128" s="453"/>
      <c r="Q128" s="453"/>
    </row>
    <row r="129" spans="2:17" s="457" customFormat="1" hidden="1" outlineLevel="1" x14ac:dyDescent="0.2">
      <c r="C129" s="472" t="s">
        <v>1441</v>
      </c>
      <c r="G129" s="474">
        <f t="array" ref="G129:P129">G125:P125*UMTS.coverage.sites</f>
        <v>208347.76010521693</v>
      </c>
      <c r="H129" s="474">
        <v>64020.988869423614</v>
      </c>
      <c r="I129" s="474">
        <v>18833.949332632947</v>
      </c>
      <c r="J129" s="474">
        <v>0</v>
      </c>
      <c r="K129" s="474">
        <v>16396.029246153568</v>
      </c>
      <c r="L129" s="474">
        <v>0</v>
      </c>
      <c r="M129" s="474">
        <v>0</v>
      </c>
      <c r="N129" s="474">
        <v>0</v>
      </c>
      <c r="O129" s="474">
        <v>0</v>
      </c>
      <c r="P129" s="474">
        <v>0</v>
      </c>
      <c r="Q129" s="453"/>
    </row>
    <row r="130" spans="2:17" s="457" customFormat="1" hidden="1" outlineLevel="1" x14ac:dyDescent="0.2">
      <c r="G130" s="453"/>
      <c r="H130" s="453"/>
      <c r="I130" s="453"/>
      <c r="J130" s="453"/>
      <c r="K130" s="453"/>
      <c r="L130" s="453"/>
      <c r="M130" s="453"/>
      <c r="N130" s="453"/>
      <c r="O130" s="453"/>
      <c r="P130" s="453"/>
      <c r="Q130" s="453"/>
    </row>
    <row r="131" spans="2:17" s="457" customFormat="1" hidden="1" outlineLevel="1" x14ac:dyDescent="0.2">
      <c r="G131" s="453"/>
      <c r="H131" s="453"/>
      <c r="I131" s="453"/>
      <c r="J131" s="453"/>
      <c r="K131" s="453"/>
      <c r="L131" s="453"/>
      <c r="M131" s="453"/>
      <c r="N131" s="453"/>
      <c r="O131" s="453"/>
      <c r="P131" s="453"/>
      <c r="Q131" s="453"/>
    </row>
    <row r="132" spans="2:17" s="457" customFormat="1" hidden="1" outlineLevel="1" x14ac:dyDescent="0.2">
      <c r="B132" s="466"/>
      <c r="C132" s="472" t="s">
        <v>1442</v>
      </c>
      <c r="G132" s="474">
        <f t="array" ref="G132:P132">R99.CE.min*UMTS.coverage.sites</f>
        <v>47151.284191617444</v>
      </c>
      <c r="H132" s="474">
        <v>25389.892855524242</v>
      </c>
      <c r="I132" s="474">
        <v>11948.690593566307</v>
      </c>
      <c r="J132" s="474">
        <v>418.66473535778698</v>
      </c>
      <c r="K132" s="474">
        <v>9600</v>
      </c>
      <c r="L132" s="474">
        <v>0</v>
      </c>
      <c r="M132" s="474">
        <v>0</v>
      </c>
      <c r="N132" s="474">
        <v>0</v>
      </c>
      <c r="O132" s="474">
        <v>0</v>
      </c>
      <c r="P132" s="474">
        <v>0</v>
      </c>
      <c r="Q132" s="453"/>
    </row>
    <row r="133" spans="2:17" s="457" customFormat="1" hidden="1" outlineLevel="1" x14ac:dyDescent="0.2">
      <c r="G133" s="453"/>
      <c r="H133" s="453"/>
      <c r="I133" s="453"/>
      <c r="J133" s="453"/>
      <c r="K133" s="453"/>
      <c r="L133" s="453"/>
      <c r="M133" s="453"/>
      <c r="N133" s="453"/>
      <c r="O133" s="453"/>
      <c r="P133" s="453"/>
      <c r="Q133" s="453"/>
    </row>
    <row r="134" spans="2:17" s="457" customFormat="1" hidden="1" outlineLevel="1" x14ac:dyDescent="0.2">
      <c r="G134" s="453"/>
      <c r="H134" s="453"/>
      <c r="I134" s="453"/>
      <c r="J134" s="453"/>
      <c r="K134" s="453"/>
      <c r="L134" s="453"/>
      <c r="M134" s="453"/>
      <c r="N134" s="453"/>
      <c r="O134" s="453"/>
      <c r="P134" s="453"/>
      <c r="Q134" s="453"/>
    </row>
    <row r="135" spans="2:17" s="457" customFormat="1" hidden="1" outlineLevel="1" x14ac:dyDescent="0.2">
      <c r="B135" s="466"/>
      <c r="C135" s="472" t="s">
        <v>1443</v>
      </c>
      <c r="G135" s="474">
        <f t="array" ref="G135:P135">R99.CE.max*Utilisation.NodeB*(Channels.UMTS.Coverage+Channels.UMTS.Capacity)*UMTS.coverage.sites</f>
        <v>301768.21882635169</v>
      </c>
      <c r="H135" s="474">
        <v>162495.31427535517</v>
      </c>
      <c r="I135" s="474">
        <v>76471.61979882438</v>
      </c>
      <c r="J135" s="474">
        <v>2679.4543062898369</v>
      </c>
      <c r="K135" s="474">
        <v>61440.000000000007</v>
      </c>
      <c r="L135" s="474">
        <v>0</v>
      </c>
      <c r="M135" s="474">
        <v>0</v>
      </c>
      <c r="N135" s="474">
        <v>0</v>
      </c>
      <c r="O135" s="474">
        <v>0</v>
      </c>
      <c r="P135" s="474">
        <v>0</v>
      </c>
      <c r="Q135" s="453"/>
    </row>
    <row r="136" spans="2:17" s="457" customFormat="1" hidden="1" outlineLevel="1" x14ac:dyDescent="0.2">
      <c r="G136" s="453"/>
      <c r="H136" s="453"/>
      <c r="I136" s="453"/>
      <c r="J136" s="453"/>
      <c r="K136" s="453"/>
      <c r="L136" s="453"/>
      <c r="M136" s="453"/>
      <c r="N136" s="453"/>
      <c r="O136" s="453"/>
      <c r="P136" s="453"/>
      <c r="Q136" s="453"/>
    </row>
    <row r="137" spans="2:17" s="457" customFormat="1" hidden="1" outlineLevel="1" x14ac:dyDescent="0.2">
      <c r="G137" s="453"/>
      <c r="H137" s="453"/>
      <c r="I137" s="453"/>
      <c r="J137" s="453"/>
      <c r="K137" s="453"/>
      <c r="L137" s="453"/>
      <c r="M137" s="453"/>
      <c r="N137" s="453"/>
      <c r="O137" s="453"/>
      <c r="P137" s="453"/>
      <c r="Q137" s="453"/>
    </row>
    <row r="138" spans="2:17" s="457" customFormat="1" hidden="1" outlineLevel="1" x14ac:dyDescent="0.2">
      <c r="C138" s="472" t="s">
        <v>1444</v>
      </c>
      <c r="G138" s="475">
        <f t="shared" ref="G138:P138" si="1">MIN(MAX(G129,G132),G135)</f>
        <v>208347.76010521693</v>
      </c>
      <c r="H138" s="475">
        <f t="shared" si="1"/>
        <v>64020.988869423614</v>
      </c>
      <c r="I138" s="475">
        <f t="shared" si="1"/>
        <v>18833.949332632947</v>
      </c>
      <c r="J138" s="475">
        <f t="shared" si="1"/>
        <v>418.66473535778698</v>
      </c>
      <c r="K138" s="475">
        <f t="shared" si="1"/>
        <v>16396.029246153568</v>
      </c>
      <c r="L138" s="475">
        <f t="shared" si="1"/>
        <v>0</v>
      </c>
      <c r="M138" s="475">
        <f t="shared" si="1"/>
        <v>0</v>
      </c>
      <c r="N138" s="475">
        <f t="shared" si="1"/>
        <v>0</v>
      </c>
      <c r="O138" s="475">
        <f t="shared" si="1"/>
        <v>0</v>
      </c>
      <c r="P138" s="475">
        <f t="shared" si="1"/>
        <v>0</v>
      </c>
      <c r="Q138" s="466" t="s">
        <v>1599</v>
      </c>
    </row>
    <row r="139" spans="2:17" s="457" customFormat="1" hidden="1" outlineLevel="1" x14ac:dyDescent="0.2">
      <c r="G139" s="453"/>
      <c r="H139" s="453"/>
      <c r="I139" s="453"/>
      <c r="J139" s="453"/>
      <c r="K139" s="453"/>
      <c r="L139" s="453"/>
      <c r="M139" s="453"/>
      <c r="N139" s="453"/>
      <c r="O139" s="453"/>
      <c r="P139" s="453"/>
      <c r="Q139" s="453"/>
    </row>
    <row r="140" spans="2:17" s="457" customFormat="1" hidden="1" outlineLevel="1" x14ac:dyDescent="0.2">
      <c r="G140" s="453"/>
      <c r="H140" s="453"/>
      <c r="I140" s="453"/>
      <c r="J140" s="453"/>
      <c r="K140" s="453"/>
      <c r="L140" s="453"/>
      <c r="M140" s="453"/>
      <c r="N140" s="453"/>
      <c r="O140" s="453"/>
      <c r="P140" s="453"/>
      <c r="Q140" s="453"/>
    </row>
    <row r="141" spans="2:17" s="457" customFormat="1" hidden="1" outlineLevel="1" x14ac:dyDescent="0.2">
      <c r="C141" s="472" t="s">
        <v>1727</v>
      </c>
      <c r="G141" s="475">
        <f t="array" ref="G141:P141">IF(UMTS.coverage.sites=0,0,ROUNDUP(G138:P138/UMTS.coverage.sites/R99.CE.max,0))</f>
        <v>1</v>
      </c>
      <c r="H141" s="475">
        <v>1</v>
      </c>
      <c r="I141" s="475">
        <v>1</v>
      </c>
      <c r="J141" s="475">
        <v>1</v>
      </c>
      <c r="K141" s="475">
        <v>1</v>
      </c>
      <c r="L141" s="475">
        <v>0</v>
      </c>
      <c r="M141" s="475">
        <v>0</v>
      </c>
      <c r="N141" s="475">
        <v>0</v>
      </c>
      <c r="O141" s="475">
        <v>0</v>
      </c>
      <c r="P141" s="475">
        <v>0</v>
      </c>
      <c r="Q141" s="466" t="s">
        <v>1601</v>
      </c>
    </row>
    <row r="142" spans="2:17" s="457" customFormat="1" hidden="1" outlineLevel="1" x14ac:dyDescent="0.2"/>
    <row r="143" spans="2:17" s="457" customFormat="1" hidden="1" outlineLevel="1" x14ac:dyDescent="0.2"/>
    <row r="144" spans="2:17" s="457" customFormat="1" hidden="1" outlineLevel="1" x14ac:dyDescent="0.2">
      <c r="C144" s="472" t="s">
        <v>1726</v>
      </c>
      <c r="G144" s="475">
        <f t="array" ref="G144:P144">UMTS.coverage.sites*G141:P141</f>
        <v>982.31842065869671</v>
      </c>
      <c r="H144" s="475">
        <v>528.95610115675504</v>
      </c>
      <c r="I144" s="475">
        <v>248.93105403263141</v>
      </c>
      <c r="J144" s="475">
        <v>8.7221819866205621</v>
      </c>
      <c r="K144" s="475">
        <v>200</v>
      </c>
      <c r="L144" s="475">
        <v>0</v>
      </c>
      <c r="M144" s="475">
        <v>0</v>
      </c>
      <c r="N144" s="475">
        <v>0</v>
      </c>
      <c r="O144" s="475">
        <v>0</v>
      </c>
      <c r="P144" s="475">
        <v>0</v>
      </c>
      <c r="Q144" s="453"/>
    </row>
    <row r="145" spans="1:17" s="457" customFormat="1" hidden="1" outlineLevel="1" x14ac:dyDescent="0.2"/>
    <row r="146" spans="1:17" s="457" customFormat="1" hidden="1" outlineLevel="1" x14ac:dyDescent="0.2"/>
    <row r="147" spans="1:17" s="457" customFormat="1" hidden="1" outlineLevel="1" x14ac:dyDescent="0.2">
      <c r="C147" s="472" t="s">
        <v>1445</v>
      </c>
      <c r="G147" s="475">
        <f t="array" ref="G147:P147">IF(G129:P129&gt;G138:P138,G129:P129-G138:P138,0)</f>
        <v>0</v>
      </c>
      <c r="H147" s="475">
        <v>0</v>
      </c>
      <c r="I147" s="475">
        <v>0</v>
      </c>
      <c r="J147" s="475">
        <v>0</v>
      </c>
      <c r="K147" s="475">
        <v>0</v>
      </c>
      <c r="L147" s="475">
        <v>0</v>
      </c>
      <c r="M147" s="475">
        <v>0</v>
      </c>
      <c r="N147" s="475">
        <v>0</v>
      </c>
      <c r="O147" s="475">
        <v>0</v>
      </c>
      <c r="P147" s="475">
        <v>0</v>
      </c>
      <c r="Q147" s="466" t="s">
        <v>1600</v>
      </c>
    </row>
    <row r="148" spans="1:17" s="457" customFormat="1" hidden="1" outlineLevel="1" x14ac:dyDescent="0.2">
      <c r="G148" s="453"/>
      <c r="H148" s="453"/>
      <c r="I148" s="453"/>
      <c r="J148" s="453"/>
      <c r="K148" s="453"/>
      <c r="L148" s="453"/>
      <c r="M148" s="453"/>
      <c r="N148" s="453"/>
      <c r="O148" s="453"/>
      <c r="P148" s="453"/>
      <c r="Q148" s="453"/>
    </row>
    <row r="149" spans="1:17" s="457" customFormat="1" hidden="1" outlineLevel="1" x14ac:dyDescent="0.2">
      <c r="G149" s="453"/>
      <c r="H149" s="453"/>
      <c r="I149" s="453"/>
      <c r="J149" s="453"/>
      <c r="K149" s="453"/>
      <c r="L149" s="453"/>
      <c r="M149" s="453"/>
      <c r="N149" s="453"/>
      <c r="O149" s="453"/>
      <c r="P149" s="453"/>
      <c r="Q149" s="453"/>
    </row>
    <row r="150" spans="1:17" s="457" customFormat="1" hidden="1" outlineLevel="1" x14ac:dyDescent="0.2">
      <c r="C150" s="472" t="s">
        <v>1717</v>
      </c>
      <c r="G150" s="476">
        <f t="array" ref="G150:P150">ROUNDUP(G147:P147/(R99.CE.max*Utilisation.NodeB),0)</f>
        <v>0</v>
      </c>
      <c r="H150" s="476">
        <v>0</v>
      </c>
      <c r="I150" s="476">
        <v>0</v>
      </c>
      <c r="J150" s="476">
        <v>0</v>
      </c>
      <c r="K150" s="476">
        <v>0</v>
      </c>
      <c r="L150" s="476">
        <v>0</v>
      </c>
      <c r="M150" s="476">
        <v>0</v>
      </c>
      <c r="N150" s="476">
        <v>0</v>
      </c>
      <c r="O150" s="476">
        <v>0</v>
      </c>
      <c r="P150" s="476">
        <v>0</v>
      </c>
      <c r="Q150" s="453"/>
    </row>
    <row r="151" spans="1:17" s="457" customFormat="1" hidden="1" outlineLevel="1" x14ac:dyDescent="0.2"/>
    <row r="152" spans="1:17" s="457" customFormat="1" hidden="1" outlineLevel="1" x14ac:dyDescent="0.2"/>
    <row r="153" spans="1:17" ht="15.75" hidden="1" outlineLevel="1" x14ac:dyDescent="0.2">
      <c r="A153" s="457"/>
      <c r="B153" s="467" t="s">
        <v>1446</v>
      </c>
    </row>
    <row r="154" spans="1:17" s="457" customFormat="1" hidden="1" outlineLevel="1" x14ac:dyDescent="0.2">
      <c r="G154" s="458" t="str">
        <f t="array" ref="G154:P154">TRANSPOSE(Geotypes)</f>
        <v>Muy denso</v>
      </c>
      <c r="H154" s="458" t="str">
        <v>Denso</v>
      </c>
      <c r="I154" s="458" t="str">
        <v>Poco denso</v>
      </c>
      <c r="J154" s="458" t="str">
        <v>Otro</v>
      </c>
      <c r="K154" s="458" t="str">
        <v>Microceldas</v>
      </c>
      <c r="L154" s="458" t="str">
        <v>spare</v>
      </c>
      <c r="M154" s="458" t="str">
        <v>spare</v>
      </c>
      <c r="N154" s="458" t="str">
        <v>spare</v>
      </c>
      <c r="O154" s="458" t="str">
        <v>spare</v>
      </c>
      <c r="P154" s="458" t="str">
        <v>spare</v>
      </c>
    </row>
    <row r="155" spans="1:17" hidden="1" outlineLevel="1" x14ac:dyDescent="0.2">
      <c r="A155" s="457"/>
      <c r="C155" s="460" t="s">
        <v>1449</v>
      </c>
    </row>
    <row r="156" spans="1:17" hidden="1" outlineLevel="1" x14ac:dyDescent="0.2">
      <c r="A156" s="457"/>
      <c r="C156" s="488" t="s">
        <v>1447</v>
      </c>
      <c r="G156" s="465">
        <f t="array" ref="G156:P156">HSDPA.Network.BHMbits</f>
        <v>18583.921885313226</v>
      </c>
      <c r="H156" s="465">
        <v>5547.4393687502161</v>
      </c>
      <c r="I156" s="465">
        <v>2773.719684375108</v>
      </c>
      <c r="J156" s="465">
        <v>0</v>
      </c>
      <c r="K156" s="465">
        <v>832.11590531253012</v>
      </c>
      <c r="L156" s="465">
        <v>0</v>
      </c>
      <c r="M156" s="465">
        <v>0</v>
      </c>
      <c r="N156" s="465">
        <v>0</v>
      </c>
      <c r="O156" s="465">
        <v>0</v>
      </c>
      <c r="P156" s="465">
        <v>0</v>
      </c>
    </row>
    <row r="157" spans="1:17" hidden="1" outlineLevel="1" x14ac:dyDescent="0.2">
      <c r="A157" s="457"/>
      <c r="C157" s="488" t="s">
        <v>1448</v>
      </c>
      <c r="G157" s="465">
        <f t="array" ref="G157:P157">HSUPA.Network.BHMbits</f>
        <v>4645.9804713283056</v>
      </c>
      <c r="H157" s="465">
        <v>1386.859842187554</v>
      </c>
      <c r="I157" s="465">
        <v>693.42992109377701</v>
      </c>
      <c r="J157" s="465">
        <v>0</v>
      </c>
      <c r="K157" s="465">
        <v>208.0289763281325</v>
      </c>
      <c r="L157" s="465">
        <v>0</v>
      </c>
      <c r="M157" s="465">
        <v>0</v>
      </c>
      <c r="N157" s="465">
        <v>0</v>
      </c>
      <c r="O157" s="465">
        <v>0</v>
      </c>
      <c r="P157" s="465">
        <v>0</v>
      </c>
    </row>
    <row r="158" spans="1:17" hidden="1" outlineLevel="1" x14ac:dyDescent="0.2">
      <c r="A158" s="457"/>
    </row>
    <row r="159" spans="1:17" hidden="1" outlineLevel="1" x14ac:dyDescent="0.2">
      <c r="A159" s="457"/>
      <c r="C159" s="472" t="s">
        <v>1450</v>
      </c>
    </row>
    <row r="160" spans="1:17" hidden="1" outlineLevel="1" x14ac:dyDescent="0.2">
      <c r="A160" s="457"/>
      <c r="C160" s="488" t="s">
        <v>1447</v>
      </c>
      <c r="G160" s="490">
        <f t="array" ref="G160:P160">IF(UMTS.coverage.sites=0,0,G156:P156/UMTS.coverage.sites/Utilisation.CE/HSPA.peak.to.effective)</f>
        <v>59.120092497768304</v>
      </c>
      <c r="H160" s="490">
        <v>32.773509917805086</v>
      </c>
      <c r="I160" s="490">
        <v>34.820380475856474</v>
      </c>
      <c r="J160" s="490">
        <v>0</v>
      </c>
      <c r="K160" s="490">
        <v>13.001811020508281</v>
      </c>
      <c r="L160" s="490">
        <v>0</v>
      </c>
      <c r="M160" s="490">
        <v>0</v>
      </c>
      <c r="N160" s="490">
        <v>0</v>
      </c>
      <c r="O160" s="490">
        <v>0</v>
      </c>
      <c r="P160" s="490">
        <v>0</v>
      </c>
    </row>
    <row r="161" spans="1:16" hidden="1" outlineLevel="1" x14ac:dyDescent="0.2">
      <c r="A161" s="457"/>
      <c r="C161" s="488" t="s">
        <v>1448</v>
      </c>
      <c r="G161" s="490">
        <f t="array" ref="G161:P161">IF(UMTS.coverage.sites=0,0,G157:P157/UMTS.coverage.sites/Utilisation.CE/HSPA.peak.to.effective)</f>
        <v>14.780023124442071</v>
      </c>
      <c r="H161" s="490">
        <v>8.1933774794512715</v>
      </c>
      <c r="I161" s="490">
        <v>8.7050951189641186</v>
      </c>
      <c r="J161" s="490">
        <v>0</v>
      </c>
      <c r="K161" s="490">
        <v>3.2504527551270699</v>
      </c>
      <c r="L161" s="490">
        <v>0</v>
      </c>
      <c r="M161" s="490">
        <v>0</v>
      </c>
      <c r="N161" s="490">
        <v>0</v>
      </c>
      <c r="O161" s="490">
        <v>0</v>
      </c>
      <c r="P161" s="490">
        <v>0</v>
      </c>
    </row>
    <row r="162" spans="1:16" s="457" customFormat="1" hidden="1" outlineLevel="1" x14ac:dyDescent="0.2"/>
    <row r="163" spans="1:16" s="457" customFormat="1" hidden="1" outlineLevel="1" x14ac:dyDescent="0.2">
      <c r="C163" s="472" t="s">
        <v>1680</v>
      </c>
    </row>
    <row r="164" spans="1:16" hidden="1" outlineLevel="1" x14ac:dyDescent="0.2">
      <c r="A164" s="457"/>
      <c r="C164" s="488" t="s">
        <v>1447</v>
      </c>
      <c r="G164" s="491">
        <f t="array" ref="G164:P164">IF(G156:P156=0,0,HSDPA.evolution.deployed)</f>
        <v>21.1</v>
      </c>
      <c r="H164" s="491">
        <v>21.1</v>
      </c>
      <c r="I164" s="491">
        <v>21.1</v>
      </c>
      <c r="J164" s="491">
        <v>0</v>
      </c>
      <c r="K164" s="491">
        <v>21.1</v>
      </c>
      <c r="L164" s="491">
        <v>0</v>
      </c>
      <c r="M164" s="491">
        <v>0</v>
      </c>
      <c r="N164" s="491">
        <v>0</v>
      </c>
      <c r="O164" s="491">
        <v>0</v>
      </c>
      <c r="P164" s="491">
        <v>0</v>
      </c>
    </row>
    <row r="165" spans="1:16" hidden="1" outlineLevel="1" x14ac:dyDescent="0.2">
      <c r="A165" s="457"/>
      <c r="C165" s="488" t="s">
        <v>1448</v>
      </c>
      <c r="G165" s="491">
        <f t="array" ref="G165:P165">IF(G157:P157=0,0,HSUPA.evolution.deployed)</f>
        <v>5.76</v>
      </c>
      <c r="H165" s="491">
        <v>5.76</v>
      </c>
      <c r="I165" s="491">
        <v>5.76</v>
      </c>
      <c r="J165" s="491">
        <v>0</v>
      </c>
      <c r="K165" s="491">
        <v>5.76</v>
      </c>
      <c r="L165" s="491">
        <v>0</v>
      </c>
      <c r="M165" s="491">
        <v>0</v>
      </c>
      <c r="N165" s="491">
        <v>0</v>
      </c>
      <c r="O165" s="491">
        <v>0</v>
      </c>
      <c r="P165" s="491">
        <v>0</v>
      </c>
    </row>
    <row r="166" spans="1:16" s="457" customFormat="1" hidden="1" outlineLevel="1" x14ac:dyDescent="0.2"/>
    <row r="167" spans="1:16" s="457" customFormat="1" hidden="1" outlineLevel="1" x14ac:dyDescent="0.2">
      <c r="C167" s="472" t="s">
        <v>1681</v>
      </c>
    </row>
    <row r="168" spans="1:16" s="457" customFormat="1" hidden="1" outlineLevel="1" x14ac:dyDescent="0.2">
      <c r="C168" s="488" t="s">
        <v>1447</v>
      </c>
      <c r="G168" s="473">
        <f t="array" ref="G168:P169">G164:P165*UMTS.sectorisation</f>
        <v>63.300000000000004</v>
      </c>
      <c r="H168" s="473">
        <v>63.300000000000004</v>
      </c>
      <c r="I168" s="473">
        <v>63.300000000000004</v>
      </c>
      <c r="J168" s="473">
        <v>0</v>
      </c>
      <c r="K168" s="473">
        <v>21.1</v>
      </c>
      <c r="L168" s="473">
        <v>0</v>
      </c>
      <c r="M168" s="473">
        <v>0</v>
      </c>
      <c r="N168" s="473">
        <v>0</v>
      </c>
      <c r="O168" s="473">
        <v>0</v>
      </c>
      <c r="P168" s="473">
        <v>0</v>
      </c>
    </row>
    <row r="169" spans="1:16" s="457" customFormat="1" hidden="1" outlineLevel="1" x14ac:dyDescent="0.2">
      <c r="C169" s="488" t="s">
        <v>1448</v>
      </c>
      <c r="G169" s="473">
        <v>17.28</v>
      </c>
      <c r="H169" s="473">
        <v>17.28</v>
      </c>
      <c r="I169" s="473">
        <v>17.28</v>
      </c>
      <c r="J169" s="473">
        <v>0</v>
      </c>
      <c r="K169" s="473">
        <v>5.76</v>
      </c>
      <c r="L169" s="473">
        <v>0</v>
      </c>
      <c r="M169" s="473">
        <v>0</v>
      </c>
      <c r="N169" s="473">
        <v>0</v>
      </c>
      <c r="O169" s="473">
        <v>0</v>
      </c>
      <c r="P169" s="473">
        <v>0</v>
      </c>
    </row>
    <row r="170" spans="1:16" s="457" customFormat="1" hidden="1" outlineLevel="1" x14ac:dyDescent="0.2"/>
    <row r="171" spans="1:16" hidden="1" outlineLevel="1" x14ac:dyDescent="0.2">
      <c r="A171" s="457"/>
      <c r="C171" s="472" t="s">
        <v>1725</v>
      </c>
      <c r="G171" s="476">
        <f>MAX(G172,G173)</f>
        <v>917.45269970938102</v>
      </c>
      <c r="H171" s="476">
        <f t="shared" ref="H171:P171" si="2">MAX(H172,H173)</f>
        <v>273.86647752518832</v>
      </c>
      <c r="I171" s="476">
        <f t="shared" si="2"/>
        <v>136.93323876259419</v>
      </c>
      <c r="J171" s="476">
        <f t="shared" si="2"/>
        <v>0</v>
      </c>
      <c r="K171" s="476">
        <f t="shared" si="2"/>
        <v>123.2399148863344</v>
      </c>
      <c r="L171" s="476">
        <f t="shared" si="2"/>
        <v>0</v>
      </c>
      <c r="M171" s="476">
        <f t="shared" si="2"/>
        <v>0</v>
      </c>
      <c r="N171" s="476">
        <f t="shared" si="2"/>
        <v>0</v>
      </c>
      <c r="O171" s="476">
        <f t="shared" si="2"/>
        <v>0</v>
      </c>
      <c r="P171" s="476">
        <f t="shared" si="2"/>
        <v>0</v>
      </c>
    </row>
    <row r="172" spans="1:16" hidden="1" outlineLevel="1" x14ac:dyDescent="0.2">
      <c r="A172" s="457"/>
      <c r="C172" s="488" t="s">
        <v>1447</v>
      </c>
      <c r="G172" s="475">
        <f t="array" ref="G172:P172">IF(G160:P160*G168:P168=0,0,UMTS.coverage.sites*G160:P160/G168:P168)</f>
        <v>917.45269970938102</v>
      </c>
      <c r="H172" s="475">
        <v>273.86647752518832</v>
      </c>
      <c r="I172" s="475">
        <v>136.93323876259419</v>
      </c>
      <c r="J172" s="475">
        <v>0</v>
      </c>
      <c r="K172" s="475">
        <v>123.2399148863344</v>
      </c>
      <c r="L172" s="475">
        <v>0</v>
      </c>
      <c r="M172" s="475">
        <v>0</v>
      </c>
      <c r="N172" s="475">
        <v>0</v>
      </c>
      <c r="O172" s="475">
        <v>0</v>
      </c>
      <c r="P172" s="475">
        <v>0</v>
      </c>
    </row>
    <row r="173" spans="1:16" hidden="1" outlineLevel="1" x14ac:dyDescent="0.2">
      <c r="A173" s="457"/>
      <c r="C173" s="488" t="s">
        <v>1448</v>
      </c>
      <c r="G173" s="475">
        <f t="array" ref="G173:P173">IF(G161:P161*G169:P169=0,0,UMTS.coverage.sites*G161:P161/G169:P169)</f>
        <v>840.20190815399019</v>
      </c>
      <c r="H173" s="475">
        <v>250.80653974745977</v>
      </c>
      <c r="I173" s="475">
        <v>125.40326987372991</v>
      </c>
      <c r="J173" s="475">
        <v>0</v>
      </c>
      <c r="K173" s="475">
        <v>112.86294288635661</v>
      </c>
      <c r="L173" s="475">
        <v>0</v>
      </c>
      <c r="M173" s="475">
        <v>0</v>
      </c>
      <c r="N173" s="475">
        <v>0</v>
      </c>
      <c r="O173" s="475">
        <v>0</v>
      </c>
      <c r="P173" s="475">
        <v>0</v>
      </c>
    </row>
    <row r="174" spans="1:16" hidden="1" outlineLevel="1" x14ac:dyDescent="0.2">
      <c r="A174" s="457"/>
    </row>
    <row r="175" spans="1:16" hidden="1" outlineLevel="1" x14ac:dyDescent="0.2">
      <c r="A175" s="457"/>
      <c r="C175" s="472" t="s">
        <v>1724</v>
      </c>
    </row>
    <row r="176" spans="1:16" hidden="1" outlineLevel="1" x14ac:dyDescent="0.2">
      <c r="A176" s="457"/>
      <c r="C176" s="488" t="s">
        <v>1447</v>
      </c>
      <c r="G176" s="474">
        <f t="array" ref="G176:P176">UMTS.coverage.sites*(G156:P156&gt;0)*HSDPA.minimum.carriers.deployment</f>
        <v>982.31842065869671</v>
      </c>
      <c r="H176" s="474">
        <v>528.95610115675504</v>
      </c>
      <c r="I176" s="474">
        <v>248.93105403263141</v>
      </c>
      <c r="J176" s="474">
        <v>0</v>
      </c>
      <c r="K176" s="474">
        <v>200</v>
      </c>
      <c r="L176" s="474">
        <v>0</v>
      </c>
      <c r="M176" s="474">
        <v>0</v>
      </c>
      <c r="N176" s="474">
        <v>0</v>
      </c>
      <c r="O176" s="474">
        <v>0</v>
      </c>
      <c r="P176" s="474">
        <v>0</v>
      </c>
    </row>
    <row r="177" spans="1:17" hidden="1" outlineLevel="1" x14ac:dyDescent="0.2">
      <c r="A177" s="457"/>
      <c r="C177" s="488" t="s">
        <v>1448</v>
      </c>
      <c r="G177" s="474">
        <f t="array" ref="G177:P177">UMTS.coverage.sites*(G157:P157&gt;0)*HSUPA.minimum.carriers.deployment</f>
        <v>982.31842065869671</v>
      </c>
      <c r="H177" s="474">
        <v>528.95610115675504</v>
      </c>
      <c r="I177" s="474">
        <v>248.93105403263141</v>
      </c>
      <c r="J177" s="474">
        <v>0</v>
      </c>
      <c r="K177" s="474">
        <v>200</v>
      </c>
      <c r="L177" s="474">
        <v>0</v>
      </c>
      <c r="M177" s="474">
        <v>0</v>
      </c>
      <c r="N177" s="474">
        <v>0</v>
      </c>
      <c r="O177" s="474">
        <v>0</v>
      </c>
      <c r="P177" s="474">
        <v>0</v>
      </c>
    </row>
    <row r="178" spans="1:17" hidden="1" outlineLevel="1" x14ac:dyDescent="0.2">
      <c r="A178" s="457"/>
      <c r="C178" s="488"/>
    </row>
    <row r="179" spans="1:17" hidden="1" outlineLevel="1" x14ac:dyDescent="0.2">
      <c r="A179" s="457"/>
      <c r="C179" s="472" t="s">
        <v>1723</v>
      </c>
      <c r="G179" s="474">
        <f t="array" ref="G179:P179">UMTS.coverage.sites*(Channels.HSPA.Coverage+Channels.HSPA.Capacity)</f>
        <v>2455.7960516467419</v>
      </c>
      <c r="H179" s="474">
        <v>1322.3902528918875</v>
      </c>
      <c r="I179" s="474">
        <v>622.32763508157848</v>
      </c>
      <c r="J179" s="474">
        <v>21.805454966551405</v>
      </c>
      <c r="K179" s="474">
        <v>500</v>
      </c>
      <c r="L179" s="474">
        <v>0</v>
      </c>
      <c r="M179" s="474">
        <v>0</v>
      </c>
      <c r="N179" s="474">
        <v>0</v>
      </c>
      <c r="O179" s="474">
        <v>0</v>
      </c>
      <c r="P179" s="474">
        <v>0</v>
      </c>
    </row>
    <row r="180" spans="1:17" hidden="1" outlineLevel="1" x14ac:dyDescent="0.2">
      <c r="A180" s="457"/>
    </row>
    <row r="181" spans="1:17" hidden="1" outlineLevel="1" x14ac:dyDescent="0.2">
      <c r="A181" s="457"/>
    </row>
    <row r="182" spans="1:17" hidden="1" outlineLevel="1" x14ac:dyDescent="0.2">
      <c r="A182" s="457"/>
      <c r="C182" s="472" t="s">
        <v>1722</v>
      </c>
      <c r="G182" s="479">
        <f>MAX(G183:G184)</f>
        <v>982.31842065869671</v>
      </c>
      <c r="H182" s="479">
        <f t="shared" ref="H182:P182" si="3">MAX(H183:H184)</f>
        <v>528.95610115675504</v>
      </c>
      <c r="I182" s="479">
        <f t="shared" si="3"/>
        <v>248.93105403263141</v>
      </c>
      <c r="J182" s="479">
        <f t="shared" si="3"/>
        <v>0</v>
      </c>
      <c r="K182" s="479">
        <f t="shared" si="3"/>
        <v>200</v>
      </c>
      <c r="L182" s="479">
        <f t="shared" si="3"/>
        <v>0</v>
      </c>
      <c r="M182" s="479">
        <f t="shared" si="3"/>
        <v>0</v>
      </c>
      <c r="N182" s="479">
        <f t="shared" si="3"/>
        <v>0</v>
      </c>
      <c r="O182" s="479">
        <f t="shared" si="3"/>
        <v>0</v>
      </c>
      <c r="P182" s="479">
        <f t="shared" si="3"/>
        <v>0</v>
      </c>
      <c r="Q182" s="466" t="s">
        <v>1602</v>
      </c>
    </row>
    <row r="183" spans="1:17" hidden="1" outlineLevel="1" x14ac:dyDescent="0.2">
      <c r="A183" s="457"/>
      <c r="C183" s="488" t="s">
        <v>1447</v>
      </c>
      <c r="G183" s="476">
        <f>MIN(MAX(G172,G176),G$179)</f>
        <v>982.31842065869671</v>
      </c>
      <c r="H183" s="476">
        <f t="shared" ref="H183:P183" si="4">MIN(MAX(H172,H176),H$179)</f>
        <v>528.95610115675504</v>
      </c>
      <c r="I183" s="476">
        <f t="shared" si="4"/>
        <v>248.93105403263141</v>
      </c>
      <c r="J183" s="476">
        <f t="shared" si="4"/>
        <v>0</v>
      </c>
      <c r="K183" s="476">
        <f t="shared" si="4"/>
        <v>200</v>
      </c>
      <c r="L183" s="476">
        <f t="shared" si="4"/>
        <v>0</v>
      </c>
      <c r="M183" s="476">
        <f t="shared" si="4"/>
        <v>0</v>
      </c>
      <c r="N183" s="476">
        <f t="shared" si="4"/>
        <v>0</v>
      </c>
      <c r="O183" s="476">
        <f t="shared" si="4"/>
        <v>0</v>
      </c>
      <c r="P183" s="476">
        <f t="shared" si="4"/>
        <v>0</v>
      </c>
    </row>
    <row r="184" spans="1:17" hidden="1" outlineLevel="1" x14ac:dyDescent="0.2">
      <c r="A184" s="457"/>
      <c r="C184" s="488" t="s">
        <v>1448</v>
      </c>
      <c r="G184" s="476">
        <f t="shared" ref="G184:P184" si="5">MIN(MAX(G173,G177),G$179)</f>
        <v>982.31842065869671</v>
      </c>
      <c r="H184" s="476">
        <f t="shared" si="5"/>
        <v>528.95610115675504</v>
      </c>
      <c r="I184" s="476">
        <f t="shared" si="5"/>
        <v>248.93105403263141</v>
      </c>
      <c r="J184" s="476">
        <f t="shared" si="5"/>
        <v>0</v>
      </c>
      <c r="K184" s="476">
        <f t="shared" si="5"/>
        <v>200</v>
      </c>
      <c r="L184" s="476">
        <f t="shared" si="5"/>
        <v>0</v>
      </c>
      <c r="M184" s="476">
        <f t="shared" si="5"/>
        <v>0</v>
      </c>
      <c r="N184" s="476">
        <f t="shared" si="5"/>
        <v>0</v>
      </c>
      <c r="O184" s="476">
        <f t="shared" si="5"/>
        <v>0</v>
      </c>
      <c r="P184" s="476">
        <f t="shared" si="5"/>
        <v>0</v>
      </c>
    </row>
    <row r="185" spans="1:17" hidden="1" outlineLevel="1" x14ac:dyDescent="0.2">
      <c r="A185" s="457"/>
      <c r="C185" s="472"/>
    </row>
    <row r="186" spans="1:17" hidden="1" outlineLevel="1" x14ac:dyDescent="0.2">
      <c r="A186" s="457"/>
      <c r="C186" s="472" t="s">
        <v>1718</v>
      </c>
      <c r="G186" s="479">
        <f>MAX(G187:G188)</f>
        <v>0</v>
      </c>
      <c r="H186" s="479">
        <f t="shared" ref="H186" si="6">MAX(H187:H188)</f>
        <v>0</v>
      </c>
      <c r="I186" s="479">
        <f t="shared" ref="I186" si="7">MAX(I187:I188)</f>
        <v>0</v>
      </c>
      <c r="J186" s="479">
        <f t="shared" ref="J186" si="8">MAX(J187:J188)</f>
        <v>0</v>
      </c>
      <c r="K186" s="479">
        <f t="shared" ref="K186" si="9">MAX(K187:K188)</f>
        <v>0</v>
      </c>
      <c r="L186" s="479">
        <f t="shared" ref="L186" si="10">MAX(L187:L188)</f>
        <v>0</v>
      </c>
      <c r="M186" s="479">
        <f t="shared" ref="M186" si="11">MAX(M187:M188)</f>
        <v>0</v>
      </c>
      <c r="N186" s="479">
        <f t="shared" ref="N186" si="12">MAX(N187:N188)</f>
        <v>0</v>
      </c>
      <c r="O186" s="479">
        <f t="shared" ref="O186" si="13">MAX(O187:O188)</f>
        <v>0</v>
      </c>
      <c r="P186" s="479">
        <f t="shared" ref="P186" si="14">MAX(P187:P188)</f>
        <v>0</v>
      </c>
    </row>
    <row r="187" spans="1:17" hidden="1" outlineLevel="1" x14ac:dyDescent="0.2">
      <c r="A187" s="457"/>
      <c r="C187" s="488" t="s">
        <v>1447</v>
      </c>
      <c r="G187" s="476">
        <f t="array" ref="G187:P187">IF(G172:P172&gt;G183:P183,G172:P172-G183:P183,0)</f>
        <v>0</v>
      </c>
      <c r="H187" s="476">
        <v>0</v>
      </c>
      <c r="I187" s="476">
        <v>0</v>
      </c>
      <c r="J187" s="476">
        <v>0</v>
      </c>
      <c r="K187" s="476">
        <v>0</v>
      </c>
      <c r="L187" s="476">
        <v>0</v>
      </c>
      <c r="M187" s="476">
        <v>0</v>
      </c>
      <c r="N187" s="476">
        <v>0</v>
      </c>
      <c r="O187" s="476">
        <v>0</v>
      </c>
      <c r="P187" s="476">
        <v>0</v>
      </c>
    </row>
    <row r="188" spans="1:17" hidden="1" outlineLevel="1" x14ac:dyDescent="0.2">
      <c r="A188" s="457"/>
      <c r="C188" s="488" t="s">
        <v>1448</v>
      </c>
      <c r="G188" s="476">
        <f t="array" ref="G188:P188">IF(G173:P173&gt;G184:P184,G173:P173-G184:P184,0)</f>
        <v>0</v>
      </c>
      <c r="H188" s="476">
        <v>0</v>
      </c>
      <c r="I188" s="476">
        <v>0</v>
      </c>
      <c r="J188" s="476">
        <v>0</v>
      </c>
      <c r="K188" s="476">
        <v>0</v>
      </c>
      <c r="L188" s="476">
        <v>0</v>
      </c>
      <c r="M188" s="476">
        <v>0</v>
      </c>
      <c r="N188" s="476">
        <v>0</v>
      </c>
      <c r="O188" s="476">
        <v>0</v>
      </c>
      <c r="P188" s="476">
        <v>0</v>
      </c>
    </row>
    <row r="189" spans="1:17" hidden="1" outlineLevel="1" x14ac:dyDescent="0.2">
      <c r="A189" s="457"/>
      <c r="C189" s="472"/>
    </row>
    <row r="190" spans="1:17" hidden="1" outlineLevel="1" x14ac:dyDescent="0.2">
      <c r="A190" s="457"/>
      <c r="C190" s="472" t="s">
        <v>1721</v>
      </c>
      <c r="G190" s="479">
        <f>MAX(G191:G192)</f>
        <v>983</v>
      </c>
      <c r="H190" s="479">
        <f t="shared" ref="H190" si="15">MAX(H191:H192)</f>
        <v>529</v>
      </c>
      <c r="I190" s="479">
        <f t="shared" ref="I190" si="16">MAX(I191:I192)</f>
        <v>249</v>
      </c>
      <c r="J190" s="479">
        <f t="shared" ref="J190" si="17">MAX(J191:J192)</f>
        <v>0</v>
      </c>
      <c r="K190" s="479">
        <f t="shared" ref="K190" si="18">MAX(K191:K192)</f>
        <v>200</v>
      </c>
      <c r="L190" s="479">
        <f t="shared" ref="L190" si="19">MAX(L191:L192)</f>
        <v>0</v>
      </c>
      <c r="M190" s="479">
        <f t="shared" ref="M190" si="20">MAX(M191:M192)</f>
        <v>0</v>
      </c>
      <c r="N190" s="479">
        <f t="shared" ref="N190" si="21">MAX(N191:N192)</f>
        <v>0</v>
      </c>
      <c r="O190" s="479">
        <f t="shared" ref="O190" si="22">MAX(O191:O192)</f>
        <v>0</v>
      </c>
      <c r="P190" s="479">
        <f t="shared" ref="P190" si="23">MAX(P191:P192)</f>
        <v>0</v>
      </c>
    </row>
    <row r="191" spans="1:17" hidden="1" outlineLevel="1" x14ac:dyDescent="0.2">
      <c r="A191" s="457"/>
      <c r="C191" s="488" t="s">
        <v>1447</v>
      </c>
      <c r="G191" s="481">
        <f t="array" ref="G191:P191">ROUNDUP(G183:P183+G187:P187,0)</f>
        <v>983</v>
      </c>
      <c r="H191" s="481">
        <v>529</v>
      </c>
      <c r="I191" s="481">
        <v>249</v>
      </c>
      <c r="J191" s="481">
        <v>0</v>
      </c>
      <c r="K191" s="481">
        <v>200</v>
      </c>
      <c r="L191" s="481">
        <v>0</v>
      </c>
      <c r="M191" s="481">
        <v>0</v>
      </c>
      <c r="N191" s="481">
        <v>0</v>
      </c>
      <c r="O191" s="481">
        <v>0</v>
      </c>
      <c r="P191" s="481">
        <v>0</v>
      </c>
    </row>
    <row r="192" spans="1:17" hidden="1" outlineLevel="1" x14ac:dyDescent="0.2">
      <c r="A192" s="457"/>
      <c r="C192" s="488" t="s">
        <v>1448</v>
      </c>
      <c r="G192" s="481">
        <f t="array" ref="G192:P192">ROUNDUP(G184:P184+G188:P188,0)</f>
        <v>983</v>
      </c>
      <c r="H192" s="481">
        <v>529</v>
      </c>
      <c r="I192" s="481">
        <v>249</v>
      </c>
      <c r="J192" s="481">
        <v>0</v>
      </c>
      <c r="K192" s="481">
        <v>200</v>
      </c>
      <c r="L192" s="481">
        <v>0</v>
      </c>
      <c r="M192" s="481">
        <v>0</v>
      </c>
      <c r="N192" s="481">
        <v>0</v>
      </c>
      <c r="O192" s="481">
        <v>0</v>
      </c>
      <c r="P192" s="481">
        <v>0</v>
      </c>
    </row>
    <row r="193" spans="1:11" hidden="1" outlineLevel="1" x14ac:dyDescent="0.2">
      <c r="A193" s="457"/>
      <c r="C193" s="472"/>
    </row>
    <row r="194" spans="1:11" hidden="1" outlineLevel="1" x14ac:dyDescent="0.2">
      <c r="A194" s="457"/>
      <c r="C194" s="460" t="s">
        <v>1719</v>
      </c>
    </row>
    <row r="195" spans="1:11" hidden="1" outlineLevel="1" x14ac:dyDescent="0.2">
      <c r="A195" s="457"/>
      <c r="D195" s="492">
        <f t="array" ref="D195:D200">HSDPA.Ladder</f>
        <v>1.8</v>
      </c>
      <c r="G195" s="493">
        <f t="array" ref="G195">SUMPRODUCT(IF(G$164:P$164=D195,1,0),G$191:P$191,UMTS.sectorisation)</f>
        <v>0</v>
      </c>
      <c r="H195" s="466" t="s">
        <v>353</v>
      </c>
      <c r="K195" s="457"/>
    </row>
    <row r="196" spans="1:11" hidden="1" outlineLevel="1" x14ac:dyDescent="0.2">
      <c r="A196" s="457"/>
      <c r="D196" s="492">
        <v>3.6</v>
      </c>
      <c r="G196" s="493">
        <f t="array" ref="G196">SUMPRODUCT(IF(G$164:P$164=D196,1,0),G$191:P$191,UMTS.sectorisation)</f>
        <v>0</v>
      </c>
      <c r="H196" s="466" t="s">
        <v>352</v>
      </c>
      <c r="K196" s="457"/>
    </row>
    <row r="197" spans="1:11" hidden="1" outlineLevel="1" x14ac:dyDescent="0.2">
      <c r="A197" s="457"/>
      <c r="C197" s="457"/>
      <c r="D197" s="492">
        <v>7.2</v>
      </c>
      <c r="G197" s="493">
        <f t="array" ref="G197">SUMPRODUCT(IF(G$164:P$164=D197,1,0),G$191:P$191,UMTS.sectorisation)</f>
        <v>0</v>
      </c>
      <c r="H197" s="466" t="s">
        <v>351</v>
      </c>
      <c r="K197" s="457"/>
    </row>
    <row r="198" spans="1:11" hidden="1" outlineLevel="1" x14ac:dyDescent="0.2">
      <c r="A198" s="457"/>
      <c r="D198" s="492">
        <v>10.1</v>
      </c>
      <c r="G198" s="493">
        <f t="array" ref="G198">SUMPRODUCT(IF(G$164:P$164=D198,1,0),G$191:P$191,UMTS.sectorisation)</f>
        <v>0</v>
      </c>
      <c r="H198" s="466" t="s">
        <v>350</v>
      </c>
      <c r="K198" s="457"/>
    </row>
    <row r="199" spans="1:11" hidden="1" outlineLevel="1" x14ac:dyDescent="0.2">
      <c r="A199" s="457"/>
      <c r="D199" s="492">
        <v>14.4</v>
      </c>
      <c r="G199" s="493">
        <f t="array" ref="G199">SUMPRODUCT(IF(G$164:P$164=D199,1,0),G$191:P$191,UMTS.sectorisation)</f>
        <v>0</v>
      </c>
      <c r="H199" s="466" t="s">
        <v>349</v>
      </c>
      <c r="K199" s="457"/>
    </row>
    <row r="200" spans="1:11" hidden="1" outlineLevel="1" x14ac:dyDescent="0.2">
      <c r="A200" s="457"/>
      <c r="D200" s="492">
        <v>21.1</v>
      </c>
      <c r="G200" s="493">
        <f t="array" ref="G200">SUMPRODUCT(IF(G$164:P$164=D200,1,0),G$191:P$191,UMTS.sectorisation)</f>
        <v>5483</v>
      </c>
      <c r="H200" s="466" t="s">
        <v>348</v>
      </c>
      <c r="K200" s="457"/>
    </row>
    <row r="201" spans="1:11" hidden="1" outlineLevel="1" x14ac:dyDescent="0.2">
      <c r="A201" s="457"/>
      <c r="C201" s="472"/>
      <c r="G201" s="466" t="s">
        <v>1277</v>
      </c>
      <c r="K201" s="457"/>
    </row>
    <row r="202" spans="1:11" hidden="1" outlineLevel="1" x14ac:dyDescent="0.2">
      <c r="A202" s="457"/>
      <c r="C202" s="460" t="s">
        <v>1720</v>
      </c>
      <c r="K202" s="457"/>
    </row>
    <row r="203" spans="1:11" hidden="1" outlineLevel="1" x14ac:dyDescent="0.2">
      <c r="A203" s="457"/>
      <c r="D203" s="494">
        <f t="array" ref="D203:D208">HSUPA.Ladder</f>
        <v>0.73</v>
      </c>
      <c r="G203" s="482">
        <f t="array" ref="G203">SUMPRODUCT(IF(G$165:P$165=$D203,1,0),G$192:P$192,UMTS.sectorisation)</f>
        <v>0</v>
      </c>
      <c r="H203" s="466" t="s">
        <v>347</v>
      </c>
      <c r="K203" s="457"/>
    </row>
    <row r="204" spans="1:11" hidden="1" outlineLevel="1" x14ac:dyDescent="0.2">
      <c r="A204" s="457"/>
      <c r="D204" s="494">
        <v>1.46</v>
      </c>
      <c r="G204" s="482">
        <f t="array" ref="G204">SUMPRODUCT(IF(G$165:P$165=$D204,1,0),G$192:P$192,UMTS.sectorisation)</f>
        <v>0</v>
      </c>
      <c r="H204" s="466" t="s">
        <v>346</v>
      </c>
      <c r="K204" s="457"/>
    </row>
    <row r="205" spans="1:11" hidden="1" outlineLevel="1" x14ac:dyDescent="0.2">
      <c r="A205" s="457"/>
      <c r="C205" s="457"/>
      <c r="D205" s="492">
        <v>2</v>
      </c>
      <c r="G205" s="482">
        <f t="array" ref="G205">SUMPRODUCT(IF(G$165:P$165=$D205,1,0),G$192:P$192,UMTS.sectorisation)</f>
        <v>0</v>
      </c>
      <c r="H205" s="466" t="s">
        <v>345</v>
      </c>
      <c r="K205" s="457"/>
    </row>
    <row r="206" spans="1:11" hidden="1" outlineLevel="1" x14ac:dyDescent="0.2">
      <c r="A206" s="457"/>
      <c r="D206" s="494">
        <v>2.93</v>
      </c>
      <c r="G206" s="482">
        <f t="array" ref="G206">SUMPRODUCT(IF(G$165:P$165=$D206,1,0),G$192:P$192,UMTS.sectorisation)</f>
        <v>0</v>
      </c>
      <c r="H206" s="466" t="s">
        <v>344</v>
      </c>
      <c r="K206" s="457"/>
    </row>
    <row r="207" spans="1:11" hidden="1" outlineLevel="1" x14ac:dyDescent="0.2">
      <c r="A207" s="457"/>
      <c r="D207" s="494">
        <v>5.76</v>
      </c>
      <c r="G207" s="482">
        <f t="array" ref="G207">SUMPRODUCT(IF(G$165:P$165=$D207,1,0),G$192:P$192,UMTS.sectorisation)</f>
        <v>5483</v>
      </c>
      <c r="H207" s="466" t="s">
        <v>343</v>
      </c>
      <c r="K207" s="457"/>
    </row>
    <row r="208" spans="1:11" hidden="1" outlineLevel="1" x14ac:dyDescent="0.2">
      <c r="A208" s="457"/>
      <c r="D208" s="492">
        <v>11.5</v>
      </c>
      <c r="G208" s="482">
        <f t="array" ref="G208">SUMPRODUCT(IF(G$165:P$165=$D208,1,0),G$192:P$192,UMTS.sectorisation)</f>
        <v>0</v>
      </c>
      <c r="H208" s="466" t="s">
        <v>342</v>
      </c>
      <c r="K208" s="457"/>
    </row>
    <row r="209" spans="1:17" hidden="1" outlineLevel="1" x14ac:dyDescent="0.2">
      <c r="A209" s="457"/>
      <c r="C209" s="472"/>
      <c r="K209" s="457"/>
    </row>
    <row r="210" spans="1:17" hidden="1" outlineLevel="1" x14ac:dyDescent="0.2">
      <c r="A210" s="457"/>
      <c r="C210" s="472"/>
    </row>
    <row r="211" spans="1:17" ht="15.75" hidden="1" outlineLevel="1" x14ac:dyDescent="0.2">
      <c r="A211" s="457"/>
      <c r="B211" s="467" t="s">
        <v>1451</v>
      </c>
      <c r="C211" s="472"/>
    </row>
    <row r="212" spans="1:17" hidden="1" outlineLevel="1" x14ac:dyDescent="0.2">
      <c r="A212" s="457"/>
      <c r="C212" s="472"/>
    </row>
    <row r="213" spans="1:17" hidden="1" outlineLevel="1" x14ac:dyDescent="0.2">
      <c r="A213" s="457"/>
      <c r="C213" s="472" t="s">
        <v>1717</v>
      </c>
      <c r="G213" s="495">
        <f t="array" ref="G213:P213">G150:P150</f>
        <v>0</v>
      </c>
      <c r="H213" s="495">
        <v>0</v>
      </c>
      <c r="I213" s="495">
        <v>0</v>
      </c>
      <c r="J213" s="495">
        <v>0</v>
      </c>
      <c r="K213" s="495">
        <v>0</v>
      </c>
      <c r="L213" s="495">
        <v>0</v>
      </c>
      <c r="M213" s="495">
        <v>0</v>
      </c>
      <c r="N213" s="495">
        <v>0</v>
      </c>
      <c r="O213" s="495">
        <v>0</v>
      </c>
      <c r="P213" s="495">
        <v>0</v>
      </c>
    </row>
    <row r="214" spans="1:17" hidden="1" outlineLevel="1" x14ac:dyDescent="0.2">
      <c r="A214" s="457"/>
      <c r="C214" s="472"/>
    </row>
    <row r="215" spans="1:17" hidden="1" outlineLevel="1" x14ac:dyDescent="0.2">
      <c r="A215" s="457"/>
      <c r="C215" s="472"/>
    </row>
    <row r="216" spans="1:17" hidden="1" outlineLevel="1" x14ac:dyDescent="0.2">
      <c r="A216" s="457"/>
      <c r="C216" s="472" t="s">
        <v>1718</v>
      </c>
      <c r="G216" s="495">
        <f t="array" ref="G216:P216">G187:P187</f>
        <v>0</v>
      </c>
      <c r="H216" s="495">
        <v>0</v>
      </c>
      <c r="I216" s="495">
        <v>0</v>
      </c>
      <c r="J216" s="495">
        <v>0</v>
      </c>
      <c r="K216" s="495">
        <v>0</v>
      </c>
      <c r="L216" s="495">
        <v>0</v>
      </c>
      <c r="M216" s="495">
        <v>0</v>
      </c>
      <c r="N216" s="495">
        <v>0</v>
      </c>
      <c r="O216" s="495">
        <v>0</v>
      </c>
      <c r="P216" s="495">
        <v>0</v>
      </c>
    </row>
    <row r="217" spans="1:17" hidden="1" outlineLevel="1" x14ac:dyDescent="0.2">
      <c r="A217" s="457"/>
      <c r="C217" s="472"/>
    </row>
    <row r="218" spans="1:17" hidden="1" outlineLevel="1" x14ac:dyDescent="0.2">
      <c r="A218" s="457"/>
      <c r="C218" s="472"/>
    </row>
    <row r="219" spans="1:17" s="457" customFormat="1" hidden="1" outlineLevel="1" x14ac:dyDescent="0.2">
      <c r="C219" s="472" t="s">
        <v>1716</v>
      </c>
      <c r="Q219" s="453"/>
    </row>
    <row r="220" spans="1:17" s="457" customFormat="1" hidden="1" outlineLevel="1" x14ac:dyDescent="0.2">
      <c r="C220" s="472"/>
      <c r="D220" s="457" t="s">
        <v>1603</v>
      </c>
      <c r="G220" s="496">
        <f t="array" ref="G220:P220">Channels.UMTS.Coverage+Channels.UMTS.Capacity</f>
        <v>1</v>
      </c>
      <c r="H220" s="496">
        <v>1</v>
      </c>
      <c r="I220" s="496">
        <v>1</v>
      </c>
      <c r="J220" s="496">
        <v>1</v>
      </c>
      <c r="K220" s="496">
        <v>1</v>
      </c>
      <c r="L220" s="496">
        <v>0</v>
      </c>
      <c r="M220" s="496">
        <v>0</v>
      </c>
      <c r="N220" s="496">
        <v>0</v>
      </c>
      <c r="O220" s="496">
        <v>0</v>
      </c>
      <c r="P220" s="496">
        <v>0</v>
      </c>
      <c r="Q220" s="453"/>
    </row>
    <row r="221" spans="1:17" hidden="1" outlineLevel="1" x14ac:dyDescent="0.2">
      <c r="A221" s="457"/>
      <c r="C221" s="472"/>
      <c r="D221" s="457" t="s">
        <v>1604</v>
      </c>
      <c r="G221" s="496">
        <f t="array" ref="G221:P221">Channels.HSPA.Coverage+Channels.HSPA.Capacity</f>
        <v>2.5</v>
      </c>
      <c r="H221" s="496">
        <v>2.5</v>
      </c>
      <c r="I221" s="496">
        <v>2.5</v>
      </c>
      <c r="J221" s="496">
        <v>2.5</v>
      </c>
      <c r="K221" s="496">
        <v>2.5</v>
      </c>
      <c r="L221" s="496">
        <v>0</v>
      </c>
      <c r="M221" s="496">
        <v>0</v>
      </c>
      <c r="N221" s="496">
        <v>0</v>
      </c>
      <c r="O221" s="496">
        <v>0</v>
      </c>
      <c r="P221" s="496">
        <v>0</v>
      </c>
    </row>
    <row r="222" spans="1:17" hidden="1" outlineLevel="1" x14ac:dyDescent="0.2">
      <c r="A222" s="457"/>
      <c r="C222" s="472"/>
    </row>
    <row r="223" spans="1:17" s="457" customFormat="1" hidden="1" outlineLevel="1" x14ac:dyDescent="0.2">
      <c r="C223" s="472" t="s">
        <v>1429</v>
      </c>
      <c r="G223" s="476">
        <f>MAX(IF(G220=0,0,G213/G220),IF(G221=0,0,G216/G221))</f>
        <v>0</v>
      </c>
      <c r="H223" s="476">
        <f t="shared" ref="H223:P223" si="24">MAX(IF(H220=0,0,H213/H220),IF(H221=0,0,H216/H221))</f>
        <v>0</v>
      </c>
      <c r="I223" s="476">
        <f t="shared" si="24"/>
        <v>0</v>
      </c>
      <c r="J223" s="476">
        <f t="shared" si="24"/>
        <v>0</v>
      </c>
      <c r="K223" s="476">
        <f t="shared" si="24"/>
        <v>0</v>
      </c>
      <c r="L223" s="476">
        <f t="shared" si="24"/>
        <v>0</v>
      </c>
      <c r="M223" s="476">
        <f t="shared" si="24"/>
        <v>0</v>
      </c>
      <c r="N223" s="476">
        <f t="shared" si="24"/>
        <v>0</v>
      </c>
      <c r="O223" s="476">
        <f t="shared" si="24"/>
        <v>0</v>
      </c>
      <c r="P223" s="476">
        <f t="shared" si="24"/>
        <v>0</v>
      </c>
      <c r="Q223" s="453"/>
    </row>
    <row r="224" spans="1:17" hidden="1" outlineLevel="1" x14ac:dyDescent="0.2">
      <c r="A224" s="457"/>
      <c r="C224" s="472"/>
      <c r="D224" s="497" t="s">
        <v>1453</v>
      </c>
    </row>
    <row r="225" spans="1:17" hidden="1" outlineLevel="1" x14ac:dyDescent="0.2">
      <c r="A225" s="457"/>
      <c r="C225" s="472"/>
      <c r="D225" s="498">
        <f>SUM(G223:P223)</f>
        <v>0</v>
      </c>
    </row>
    <row r="226" spans="1:17" hidden="1" outlineLevel="1" x14ac:dyDescent="0.2">
      <c r="A226" s="457"/>
      <c r="C226" s="472"/>
      <c r="D226" s="466" t="s">
        <v>356</v>
      </c>
    </row>
    <row r="227" spans="1:17" hidden="1" outlineLevel="1" x14ac:dyDescent="0.2">
      <c r="A227" s="457"/>
      <c r="C227" s="472"/>
      <c r="D227" s="457"/>
    </row>
    <row r="228" spans="1:17" hidden="1" outlineLevel="1" x14ac:dyDescent="0.2">
      <c r="A228" s="457"/>
      <c r="C228" s="472"/>
      <c r="D228" s="477" t="s">
        <v>1454</v>
      </c>
    </row>
    <row r="229" spans="1:17" hidden="1" outlineLevel="1" x14ac:dyDescent="0.2">
      <c r="A229" s="457"/>
      <c r="C229" s="472"/>
      <c r="D229" s="499">
        <f>J223</f>
        <v>0</v>
      </c>
    </row>
    <row r="230" spans="1:17" hidden="1" outlineLevel="1" x14ac:dyDescent="0.2">
      <c r="A230" s="457"/>
      <c r="C230" s="472"/>
      <c r="D230" s="466" t="s">
        <v>990</v>
      </c>
    </row>
    <row r="231" spans="1:17" s="457" customFormat="1" hidden="1" outlineLevel="1" x14ac:dyDescent="0.2">
      <c r="P231" s="453"/>
      <c r="Q231" s="466" t="s">
        <v>355</v>
      </c>
    </row>
    <row r="232" spans="1:17" hidden="1" outlineLevel="1" x14ac:dyDescent="0.2">
      <c r="A232" s="457"/>
      <c r="C232" s="460" t="s">
        <v>1455</v>
      </c>
      <c r="G232" s="479">
        <f t="array" ref="G232:P232">ROUNDUP(UMTS.coverage.sites+G223:P223,0)</f>
        <v>983</v>
      </c>
      <c r="H232" s="479">
        <v>529</v>
      </c>
      <c r="I232" s="479">
        <v>249</v>
      </c>
      <c r="J232" s="479">
        <v>9</v>
      </c>
      <c r="K232" s="479">
        <v>200</v>
      </c>
      <c r="L232" s="479">
        <v>0</v>
      </c>
      <c r="M232" s="479">
        <v>0</v>
      </c>
      <c r="N232" s="479">
        <v>0</v>
      </c>
      <c r="O232" s="479">
        <v>0</v>
      </c>
      <c r="P232" s="479">
        <v>0</v>
      </c>
      <c r="Q232"/>
    </row>
    <row r="233" spans="1:17" hidden="1" outlineLevel="1" x14ac:dyDescent="0.2">
      <c r="A233" s="457"/>
      <c r="C233" s="472"/>
      <c r="Q233" s="457"/>
    </row>
    <row r="234" spans="1:17" hidden="1" outlineLevel="1" x14ac:dyDescent="0.2">
      <c r="A234" s="457"/>
      <c r="C234" s="472"/>
      <c r="Q234" s="458" t="s">
        <v>61</v>
      </c>
    </row>
    <row r="235" spans="1:17" hidden="1" outlineLevel="1" x14ac:dyDescent="0.2">
      <c r="A235" s="457"/>
      <c r="C235" s="472" t="s">
        <v>1715</v>
      </c>
      <c r="G235" s="481">
        <f t="array" ref="G235:P235">ROUNDUP(G144:P144+G150:P150+G190:P190,0)*UMTS.sectorisation</f>
        <v>5898</v>
      </c>
      <c r="H235" s="481">
        <v>3174</v>
      </c>
      <c r="I235" s="481">
        <v>1494</v>
      </c>
      <c r="J235" s="481">
        <v>27</v>
      </c>
      <c r="K235" s="481">
        <v>400</v>
      </c>
      <c r="L235" s="481">
        <v>0</v>
      </c>
      <c r="M235" s="481">
        <v>0</v>
      </c>
      <c r="N235" s="481">
        <v>0</v>
      </c>
      <c r="O235" s="481">
        <v>0</v>
      </c>
      <c r="P235" s="481">
        <v>0</v>
      </c>
      <c r="Q235" s="482">
        <f>SUM(G235:P235)</f>
        <v>10993</v>
      </c>
    </row>
    <row r="236" spans="1:17" hidden="1" outlineLevel="1" x14ac:dyDescent="0.2">
      <c r="A236" s="457"/>
      <c r="C236" s="472"/>
      <c r="P236" s="466" t="s">
        <v>1325</v>
      </c>
      <c r="Q236" s="466" t="s">
        <v>1273</v>
      </c>
    </row>
    <row r="237" spans="1:17" hidden="1" outlineLevel="1" x14ac:dyDescent="0.2">
      <c r="A237" s="457"/>
      <c r="C237" s="472"/>
    </row>
    <row r="238" spans="1:17" hidden="1" outlineLevel="1" x14ac:dyDescent="0.2">
      <c r="A238" s="457"/>
      <c r="C238" s="472"/>
      <c r="Q238" s="458" t="s">
        <v>61</v>
      </c>
    </row>
    <row r="239" spans="1:17" hidden="1" outlineLevel="1" x14ac:dyDescent="0.2">
      <c r="A239" s="457"/>
      <c r="C239" s="472" t="s">
        <v>1456</v>
      </c>
      <c r="G239" s="481">
        <f t="array" ref="G239:P239">ROUNDUP((CE.coverage.sites+CE.capacity.sites)/CK.size,0)</f>
        <v>13022</v>
      </c>
      <c r="H239" s="481">
        <v>4002</v>
      </c>
      <c r="I239" s="481">
        <v>1178</v>
      </c>
      <c r="J239" s="481">
        <v>27</v>
      </c>
      <c r="K239" s="481">
        <v>1025</v>
      </c>
      <c r="L239" s="481">
        <v>0</v>
      </c>
      <c r="M239" s="481">
        <v>0</v>
      </c>
      <c r="N239" s="481">
        <v>0</v>
      </c>
      <c r="O239" s="481">
        <v>0</v>
      </c>
      <c r="P239" s="481">
        <v>0</v>
      </c>
      <c r="Q239" s="482">
        <f>SUM(G239:P239)</f>
        <v>19254</v>
      </c>
    </row>
    <row r="240" spans="1:17" hidden="1" outlineLevel="1" x14ac:dyDescent="0.2">
      <c r="A240" s="457"/>
      <c r="C240" s="472"/>
      <c r="Q240" s="466" t="s">
        <v>354</v>
      </c>
    </row>
    <row r="241" spans="1:48" collapsed="1" x14ac:dyDescent="0.2">
      <c r="A241" s="457"/>
      <c r="C241" s="472"/>
    </row>
    <row r="242" spans="1:48" x14ac:dyDescent="0.2">
      <c r="C242" s="457"/>
    </row>
    <row r="243" spans="1:48" s="457" customFormat="1" ht="15.75" x14ac:dyDescent="0.2">
      <c r="A243" s="456" t="s">
        <v>1457</v>
      </c>
      <c r="B243" s="456"/>
      <c r="C243" s="456"/>
      <c r="D243" s="456"/>
      <c r="E243" s="456"/>
      <c r="F243" s="456"/>
      <c r="G243" s="456"/>
      <c r="H243" s="456"/>
      <c r="I243" s="456"/>
      <c r="J243" s="456"/>
      <c r="K243" s="456"/>
      <c r="L243" s="456"/>
      <c r="M243" s="456"/>
      <c r="N243" s="456"/>
      <c r="O243" s="456"/>
      <c r="P243" s="456"/>
      <c r="Q243" s="456"/>
      <c r="R243" s="456"/>
      <c r="S243" s="456"/>
      <c r="T243" s="456"/>
      <c r="U243" s="456"/>
      <c r="V243" s="456"/>
      <c r="W243" s="456"/>
      <c r="X243" s="456"/>
      <c r="Y243" s="456"/>
      <c r="Z243" s="456"/>
      <c r="AA243" s="456"/>
      <c r="AB243" s="456"/>
      <c r="AC243" s="456"/>
      <c r="AD243" s="456"/>
      <c r="AE243" s="456"/>
      <c r="AF243" s="456"/>
      <c r="AG243" s="456"/>
      <c r="AH243" s="456"/>
      <c r="AI243" s="456"/>
      <c r="AJ243" s="456"/>
      <c r="AK243" s="456"/>
      <c r="AL243" s="456"/>
      <c r="AM243" s="456"/>
      <c r="AN243" s="456"/>
      <c r="AO243" s="456"/>
      <c r="AP243" s="456"/>
      <c r="AQ243" s="456"/>
      <c r="AR243" s="456"/>
      <c r="AS243" s="456"/>
      <c r="AT243" s="456"/>
      <c r="AU243" s="456"/>
      <c r="AV243" s="456"/>
    </row>
    <row r="244" spans="1:48" x14ac:dyDescent="0.2">
      <c r="A244" s="457"/>
    </row>
    <row r="245" spans="1:48" ht="15.75" hidden="1" outlineLevel="1" x14ac:dyDescent="0.2">
      <c r="A245" s="457"/>
      <c r="B245" s="467" t="s">
        <v>1458</v>
      </c>
    </row>
    <row r="246" spans="1:48" s="457" customFormat="1" hidden="1" outlineLevel="1" x14ac:dyDescent="0.2">
      <c r="G246" s="458" t="str">
        <f t="array" ref="G246:P246">TRANSPOSE(Geotypes)</f>
        <v>Muy denso</v>
      </c>
      <c r="H246" s="458" t="str">
        <v>Denso</v>
      </c>
      <c r="I246" s="458" t="str">
        <v>Poco denso</v>
      </c>
      <c r="J246" s="458" t="str">
        <v>Otro</v>
      </c>
      <c r="K246" s="458" t="str">
        <v>Microceldas</v>
      </c>
      <c r="L246" s="458" t="str">
        <v>spare</v>
      </c>
      <c r="M246" s="458" t="str">
        <v>spare</v>
      </c>
      <c r="N246" s="458" t="str">
        <v>spare</v>
      </c>
      <c r="O246" s="458" t="str">
        <v>spare</v>
      </c>
      <c r="P246" s="458" t="str">
        <v>spare</v>
      </c>
    </row>
    <row r="247" spans="1:48" hidden="1" outlineLevel="1" x14ac:dyDescent="0.2">
      <c r="A247" s="457"/>
    </row>
    <row r="248" spans="1:48" hidden="1" outlineLevel="1" x14ac:dyDescent="0.2">
      <c r="A248" s="457"/>
      <c r="C248" s="460" t="s">
        <v>1419</v>
      </c>
      <c r="G248" s="500">
        <f t="array" ref="G248:P248">LTE.coverage.sites</f>
        <v>2396.533935311591</v>
      </c>
      <c r="H248" s="500">
        <v>970.74999713287832</v>
      </c>
      <c r="I248" s="500">
        <v>364.37013896991948</v>
      </c>
      <c r="J248" s="500">
        <v>6.0570708240420572</v>
      </c>
      <c r="K248" s="500">
        <v>100</v>
      </c>
      <c r="L248" s="500">
        <v>0</v>
      </c>
      <c r="M248" s="500">
        <v>0</v>
      </c>
      <c r="N248" s="500">
        <v>0</v>
      </c>
      <c r="O248" s="500">
        <v>0</v>
      </c>
      <c r="P248" s="500">
        <v>0</v>
      </c>
    </row>
    <row r="249" spans="1:48" hidden="1" outlineLevel="1" x14ac:dyDescent="0.2">
      <c r="A249" s="457"/>
    </row>
    <row r="250" spans="1:48" hidden="1" outlineLevel="1" x14ac:dyDescent="0.2">
      <c r="A250" s="457"/>
    </row>
    <row r="251" spans="1:48" hidden="1" outlineLevel="1" x14ac:dyDescent="0.2">
      <c r="A251" s="457"/>
      <c r="C251" s="460" t="s">
        <v>1459</v>
      </c>
      <c r="G251" s="465">
        <f t="array" ref="G251:P251">LTE.Network.BHMbits</f>
        <v>13585.565801020939</v>
      </c>
      <c r="H251" s="465">
        <v>2207.6544426659025</v>
      </c>
      <c r="I251" s="465">
        <v>849.09786256380869</v>
      </c>
      <c r="J251" s="465">
        <v>0</v>
      </c>
      <c r="K251" s="465">
        <v>339.63914502552188</v>
      </c>
      <c r="L251" s="465">
        <v>0</v>
      </c>
      <c r="M251" s="465">
        <v>0</v>
      </c>
      <c r="N251" s="465">
        <v>0</v>
      </c>
      <c r="O251" s="465">
        <v>0</v>
      </c>
      <c r="P251" s="465">
        <v>0</v>
      </c>
    </row>
    <row r="252" spans="1:48" hidden="1" outlineLevel="1" x14ac:dyDescent="0.2">
      <c r="A252" s="457"/>
      <c r="C252" s="457"/>
    </row>
    <row r="253" spans="1:48" hidden="1" outlineLevel="1" x14ac:dyDescent="0.2">
      <c r="A253" s="457"/>
    </row>
    <row r="254" spans="1:48" hidden="1" outlineLevel="1" x14ac:dyDescent="0.2">
      <c r="A254" s="457"/>
      <c r="C254" s="472" t="s">
        <v>1460</v>
      </c>
      <c r="G254" s="490">
        <f t="array" ref="G254:P254">IF(LTE.coverage.sites=0,0,G251:P251/LTE.coverage.sites/Utilisation.CE/LTE.peak.to.effective)</f>
        <v>17.715122870843285</v>
      </c>
      <c r="H254" s="490">
        <v>7.1067938745372006</v>
      </c>
      <c r="I254" s="490">
        <v>7.2822400540647925</v>
      </c>
      <c r="J254" s="490">
        <v>0</v>
      </c>
      <c r="K254" s="490">
        <v>10.613723282047557</v>
      </c>
      <c r="L254" s="490">
        <v>0</v>
      </c>
      <c r="M254" s="490">
        <v>0</v>
      </c>
      <c r="N254" s="490">
        <v>0</v>
      </c>
      <c r="O254" s="490">
        <v>0</v>
      </c>
      <c r="P254" s="490">
        <v>0</v>
      </c>
    </row>
    <row r="255" spans="1:48" s="457" customFormat="1" hidden="1" outlineLevel="1" x14ac:dyDescent="0.2"/>
    <row r="256" spans="1:48" s="457" customFormat="1" hidden="1" outlineLevel="1" x14ac:dyDescent="0.2"/>
    <row r="257" spans="1:17" hidden="1" outlineLevel="1" x14ac:dyDescent="0.2">
      <c r="A257" s="457"/>
      <c r="C257" s="472" t="s">
        <v>1682</v>
      </c>
      <c r="G257" s="501">
        <f t="array" ref="G257:P257">IF(G251:P251=0,0,LTE.evolution.deployed)</f>
        <v>32.4</v>
      </c>
      <c r="H257" s="501">
        <v>32.4</v>
      </c>
      <c r="I257" s="501">
        <v>32.4</v>
      </c>
      <c r="J257" s="501">
        <v>0</v>
      </c>
      <c r="K257" s="501">
        <v>32.4</v>
      </c>
      <c r="L257" s="501">
        <v>0</v>
      </c>
      <c r="M257" s="501">
        <v>0</v>
      </c>
      <c r="N257" s="501">
        <v>0</v>
      </c>
      <c r="O257" s="501">
        <v>0</v>
      </c>
      <c r="P257" s="501">
        <v>0</v>
      </c>
    </row>
    <row r="258" spans="1:17" s="457" customFormat="1" hidden="1" outlineLevel="1" x14ac:dyDescent="0.2"/>
    <row r="259" spans="1:17" hidden="1" outlineLevel="1" x14ac:dyDescent="0.2">
      <c r="A259" s="457"/>
      <c r="C259" s="457"/>
      <c r="G259" s="457"/>
      <c r="H259" s="457"/>
      <c r="I259" s="457"/>
      <c r="J259" s="457"/>
      <c r="K259" s="457"/>
      <c r="L259" s="457"/>
      <c r="M259" s="457"/>
      <c r="N259" s="457"/>
      <c r="O259" s="457"/>
      <c r="P259" s="457"/>
    </row>
    <row r="260" spans="1:17" hidden="1" outlineLevel="1" x14ac:dyDescent="0.2">
      <c r="A260" s="457"/>
      <c r="C260" s="472" t="s">
        <v>1683</v>
      </c>
      <c r="G260" s="473">
        <f t="array" ref="G260:P260">G257:P257*LTE.sectorisation</f>
        <v>97.199999999999989</v>
      </c>
      <c r="H260" s="473">
        <v>97.199999999999989</v>
      </c>
      <c r="I260" s="473">
        <v>97.199999999999989</v>
      </c>
      <c r="J260" s="473">
        <v>0</v>
      </c>
      <c r="K260" s="473">
        <v>32.4</v>
      </c>
      <c r="L260" s="473">
        <v>0</v>
      </c>
      <c r="M260" s="473">
        <v>0</v>
      </c>
      <c r="N260" s="473">
        <v>0</v>
      </c>
      <c r="O260" s="473">
        <v>0</v>
      </c>
      <c r="P260" s="473">
        <v>0</v>
      </c>
    </row>
    <row r="261" spans="1:17" hidden="1" outlineLevel="1" x14ac:dyDescent="0.2">
      <c r="A261" s="457"/>
      <c r="C261" s="457"/>
      <c r="G261" s="457"/>
      <c r="H261" s="457"/>
      <c r="I261" s="457"/>
      <c r="J261" s="457"/>
      <c r="K261" s="457"/>
      <c r="L261" s="457"/>
      <c r="M261" s="457"/>
      <c r="N261" s="457"/>
      <c r="O261" s="457"/>
      <c r="P261" s="457"/>
    </row>
    <row r="262" spans="1:17" hidden="1" outlineLevel="1" x14ac:dyDescent="0.2">
      <c r="A262" s="457"/>
      <c r="C262" s="457"/>
      <c r="G262" s="457"/>
      <c r="H262" s="457"/>
      <c r="I262" s="457"/>
      <c r="J262" s="457"/>
      <c r="K262" s="457"/>
      <c r="L262" s="457"/>
      <c r="M262" s="457"/>
      <c r="N262" s="457"/>
      <c r="O262" s="457"/>
      <c r="P262" s="457"/>
    </row>
    <row r="263" spans="1:17" hidden="1" outlineLevel="1" x14ac:dyDescent="0.2">
      <c r="A263" s="457"/>
      <c r="C263" s="472" t="s">
        <v>1714</v>
      </c>
      <c r="G263" s="475">
        <f t="array" ref="G263:P263">IF(G254:P254*G260:P260=0,0,LTE.coverage.sites*G254:P254/G260:P260)</f>
        <v>436.77873588673287</v>
      </c>
      <c r="H263" s="475">
        <v>70.976544581594084</v>
      </c>
      <c r="I263" s="475">
        <v>27.298670992920808</v>
      </c>
      <c r="J263" s="475">
        <v>0</v>
      </c>
      <c r="K263" s="475">
        <v>32.758405191504806</v>
      </c>
      <c r="L263" s="475">
        <v>0</v>
      </c>
      <c r="M263" s="475">
        <v>0</v>
      </c>
      <c r="N263" s="475">
        <v>0</v>
      </c>
      <c r="O263" s="475">
        <v>0</v>
      </c>
      <c r="P263" s="475">
        <v>0</v>
      </c>
    </row>
    <row r="264" spans="1:17" hidden="1" outlineLevel="1" x14ac:dyDescent="0.2">
      <c r="A264" s="457"/>
      <c r="C264" s="457"/>
    </row>
    <row r="265" spans="1:17" hidden="1" outlineLevel="1" x14ac:dyDescent="0.2">
      <c r="A265" s="457"/>
      <c r="C265" s="457"/>
    </row>
    <row r="266" spans="1:17" hidden="1" outlineLevel="1" x14ac:dyDescent="0.2">
      <c r="A266" s="457"/>
      <c r="C266" s="472" t="s">
        <v>1713</v>
      </c>
      <c r="G266" s="474">
        <f t="array" ref="G266:P266">LTE.coverage.sites*(G251:P251&gt;0)*LTE.minimum.carriers.deployment</f>
        <v>2396.533935311591</v>
      </c>
      <c r="H266" s="474">
        <v>970.74999713287832</v>
      </c>
      <c r="I266" s="474">
        <v>364.37013896991948</v>
      </c>
      <c r="J266" s="474">
        <v>0</v>
      </c>
      <c r="K266" s="474">
        <v>100</v>
      </c>
      <c r="L266" s="474">
        <v>0</v>
      </c>
      <c r="M266" s="474">
        <v>0</v>
      </c>
      <c r="N266" s="474">
        <v>0</v>
      </c>
      <c r="O266" s="474">
        <v>0</v>
      </c>
      <c r="P266" s="474">
        <v>0</v>
      </c>
    </row>
    <row r="267" spans="1:17" hidden="1" outlineLevel="1" x14ac:dyDescent="0.2">
      <c r="A267" s="457"/>
    </row>
    <row r="268" spans="1:17" hidden="1" outlineLevel="1" x14ac:dyDescent="0.2">
      <c r="A268" s="457"/>
    </row>
    <row r="269" spans="1:17" hidden="1" outlineLevel="1" x14ac:dyDescent="0.2">
      <c r="A269" s="457"/>
      <c r="C269" s="472" t="s">
        <v>1712</v>
      </c>
      <c r="G269" s="474">
        <f t="array" ref="G269:P269">LTE.coverage.sites*(Channels.LTE.Coverage+Channels.LTE.Capacity)</f>
        <v>5991.3348382789773</v>
      </c>
      <c r="H269" s="474">
        <v>2426.8749928321959</v>
      </c>
      <c r="I269" s="474">
        <v>910.9253474247987</v>
      </c>
      <c r="J269" s="474">
        <v>15.142677060105143</v>
      </c>
      <c r="K269" s="474">
        <v>250</v>
      </c>
      <c r="L269" s="474">
        <v>0</v>
      </c>
      <c r="M269" s="474">
        <v>0</v>
      </c>
      <c r="N269" s="474">
        <v>0</v>
      </c>
      <c r="O269" s="474">
        <v>0</v>
      </c>
      <c r="P269" s="474">
        <v>0</v>
      </c>
    </row>
    <row r="270" spans="1:17" hidden="1" outlineLevel="1" x14ac:dyDescent="0.2">
      <c r="A270" s="457"/>
    </row>
    <row r="271" spans="1:17" hidden="1" outlineLevel="1" x14ac:dyDescent="0.2">
      <c r="A271" s="457"/>
    </row>
    <row r="272" spans="1:17" hidden="1" outlineLevel="1" x14ac:dyDescent="0.2">
      <c r="A272" s="457"/>
      <c r="C272" s="472" t="s">
        <v>1711</v>
      </c>
      <c r="G272" s="476">
        <f t="shared" ref="G272:P272" si="25">MIN(MAX(G263,G266),G269)</f>
        <v>2396.533935311591</v>
      </c>
      <c r="H272" s="476">
        <f t="shared" si="25"/>
        <v>970.74999713287832</v>
      </c>
      <c r="I272" s="476">
        <f t="shared" si="25"/>
        <v>364.37013896991948</v>
      </c>
      <c r="J272" s="476">
        <f t="shared" si="25"/>
        <v>0</v>
      </c>
      <c r="K272" s="476">
        <f t="shared" si="25"/>
        <v>100</v>
      </c>
      <c r="L272" s="476">
        <f t="shared" si="25"/>
        <v>0</v>
      </c>
      <c r="M272" s="476">
        <f t="shared" si="25"/>
        <v>0</v>
      </c>
      <c r="N272" s="476">
        <f t="shared" si="25"/>
        <v>0</v>
      </c>
      <c r="O272" s="476">
        <f t="shared" si="25"/>
        <v>0</v>
      </c>
      <c r="P272" s="476">
        <f t="shared" si="25"/>
        <v>0</v>
      </c>
      <c r="Q272" s="466" t="s">
        <v>1611</v>
      </c>
    </row>
    <row r="273" spans="1:17" hidden="1" outlineLevel="1" x14ac:dyDescent="0.2">
      <c r="A273" s="457"/>
      <c r="C273" s="472"/>
    </row>
    <row r="274" spans="1:17" hidden="1" outlineLevel="1" x14ac:dyDescent="0.2">
      <c r="A274" s="457"/>
      <c r="C274" s="472"/>
    </row>
    <row r="275" spans="1:17" hidden="1" outlineLevel="1" x14ac:dyDescent="0.2">
      <c r="A275" s="457"/>
      <c r="C275" s="472" t="s">
        <v>1710</v>
      </c>
      <c r="G275" s="476">
        <f t="array" ref="G275:P275">IF(G263:P263&gt;G272:P272,G263:P263-G272:P272,0)</f>
        <v>0</v>
      </c>
      <c r="H275" s="476">
        <v>0</v>
      </c>
      <c r="I275" s="476">
        <v>0</v>
      </c>
      <c r="J275" s="476">
        <v>0</v>
      </c>
      <c r="K275" s="476">
        <v>0</v>
      </c>
      <c r="L275" s="476">
        <v>0</v>
      </c>
      <c r="M275" s="476">
        <v>0</v>
      </c>
      <c r="N275" s="476">
        <v>0</v>
      </c>
      <c r="O275" s="476">
        <v>0</v>
      </c>
      <c r="P275" s="476">
        <v>0</v>
      </c>
    </row>
    <row r="276" spans="1:17" hidden="1" outlineLevel="1" x14ac:dyDescent="0.2">
      <c r="A276" s="457"/>
      <c r="C276" s="472"/>
    </row>
    <row r="277" spans="1:17" hidden="1" outlineLevel="1" x14ac:dyDescent="0.2">
      <c r="A277" s="457"/>
      <c r="C277" s="472"/>
      <c r="Q277" s="458" t="s">
        <v>61</v>
      </c>
    </row>
    <row r="278" spans="1:17" hidden="1" outlineLevel="1" x14ac:dyDescent="0.2">
      <c r="A278" s="457"/>
      <c r="C278" s="472" t="s">
        <v>1709</v>
      </c>
      <c r="G278" s="481">
        <f t="array" ref="G278:P278">ROUNDUP(G272:P272+G275:P275,0)*LTE.sectorisation</f>
        <v>7191</v>
      </c>
      <c r="H278" s="481">
        <v>2913</v>
      </c>
      <c r="I278" s="481">
        <v>1095</v>
      </c>
      <c r="J278" s="481">
        <v>0</v>
      </c>
      <c r="K278" s="481">
        <v>100</v>
      </c>
      <c r="L278" s="481">
        <v>0</v>
      </c>
      <c r="M278" s="481">
        <v>0</v>
      </c>
      <c r="N278" s="481">
        <v>0</v>
      </c>
      <c r="O278" s="481">
        <v>0</v>
      </c>
      <c r="P278" s="481">
        <v>0</v>
      </c>
      <c r="Q278" s="482">
        <f>SUM(G278:P278)</f>
        <v>11299</v>
      </c>
    </row>
    <row r="279" spans="1:17" hidden="1" outlineLevel="1" x14ac:dyDescent="0.2">
      <c r="A279" s="457"/>
      <c r="C279" s="472"/>
      <c r="P279" s="466" t="s">
        <v>1326</v>
      </c>
      <c r="Q279" s="466" t="s">
        <v>1307</v>
      </c>
    </row>
    <row r="280" spans="1:17" hidden="1" outlineLevel="1" x14ac:dyDescent="0.2">
      <c r="A280" s="457"/>
      <c r="C280" s="472"/>
    </row>
    <row r="281" spans="1:17" hidden="1" outlineLevel="1" x14ac:dyDescent="0.2">
      <c r="A281" s="457"/>
      <c r="C281" s="460" t="s">
        <v>1461</v>
      </c>
    </row>
    <row r="282" spans="1:17" hidden="1" outlineLevel="1" x14ac:dyDescent="0.2">
      <c r="A282" s="457"/>
      <c r="D282" s="492">
        <f t="array" ref="D282:D287">LTE.Ladder</f>
        <v>10.8</v>
      </c>
      <c r="G282" s="482">
        <f t="shared" ref="G282:G287" si="26">SUMIF(G$257:P$257,D282,G$278:P$278)</f>
        <v>0</v>
      </c>
      <c r="H282" s="466" t="s">
        <v>466</v>
      </c>
    </row>
    <row r="283" spans="1:17" hidden="1" outlineLevel="1" x14ac:dyDescent="0.2">
      <c r="A283" s="457"/>
      <c r="D283" s="492">
        <v>16.2</v>
      </c>
      <c r="G283" s="482">
        <f t="shared" si="26"/>
        <v>0</v>
      </c>
      <c r="H283" s="466" t="s">
        <v>467</v>
      </c>
    </row>
    <row r="284" spans="1:17" hidden="1" outlineLevel="1" x14ac:dyDescent="0.2">
      <c r="A284" s="457"/>
      <c r="C284" s="457"/>
      <c r="D284" s="492">
        <v>21.6</v>
      </c>
      <c r="G284" s="482">
        <f t="shared" si="26"/>
        <v>0</v>
      </c>
      <c r="H284" s="466" t="s">
        <v>465</v>
      </c>
    </row>
    <row r="285" spans="1:17" hidden="1" outlineLevel="1" x14ac:dyDescent="0.2">
      <c r="A285" s="457"/>
      <c r="D285" s="492">
        <v>32.4</v>
      </c>
      <c r="G285" s="482">
        <f t="shared" si="26"/>
        <v>11299</v>
      </c>
      <c r="H285" s="466" t="s">
        <v>468</v>
      </c>
    </row>
    <row r="286" spans="1:17" hidden="1" outlineLevel="1" x14ac:dyDescent="0.2">
      <c r="A286" s="457"/>
      <c r="D286" s="492">
        <v>43.2</v>
      </c>
      <c r="G286" s="482">
        <f t="shared" si="26"/>
        <v>0</v>
      </c>
      <c r="H286" s="466" t="s">
        <v>469</v>
      </c>
    </row>
    <row r="287" spans="1:17" hidden="1" outlineLevel="1" x14ac:dyDescent="0.2">
      <c r="A287" s="457"/>
      <c r="D287" s="492">
        <v>86.4</v>
      </c>
      <c r="G287" s="482">
        <f t="shared" si="26"/>
        <v>0</v>
      </c>
      <c r="H287" s="466" t="s">
        <v>470</v>
      </c>
    </row>
    <row r="288" spans="1:17" hidden="1" outlineLevel="1" x14ac:dyDescent="0.2">
      <c r="A288" s="457"/>
      <c r="C288" s="472"/>
      <c r="G288" s="466" t="s">
        <v>1276</v>
      </c>
    </row>
    <row r="289" spans="1:17" hidden="1" outlineLevel="1" x14ac:dyDescent="0.2">
      <c r="A289" s="457"/>
      <c r="C289" s="472"/>
    </row>
    <row r="290" spans="1:17" s="457" customFormat="1" hidden="1" outlineLevel="1" x14ac:dyDescent="0.2">
      <c r="C290" s="472" t="s">
        <v>1463</v>
      </c>
      <c r="G290" s="475">
        <f t="array" ref="G290:P290">Channels.LTE.Coverage+Channels.LTE.Capacity</f>
        <v>2.5</v>
      </c>
      <c r="H290" s="475">
        <v>2.5</v>
      </c>
      <c r="I290" s="475">
        <v>2.5</v>
      </c>
      <c r="J290" s="475">
        <v>2.5</v>
      </c>
      <c r="K290" s="475">
        <v>2.5</v>
      </c>
      <c r="L290" s="475">
        <v>0</v>
      </c>
      <c r="M290" s="475">
        <v>0</v>
      </c>
      <c r="N290" s="475">
        <v>0</v>
      </c>
      <c r="O290" s="475">
        <v>0</v>
      </c>
      <c r="P290" s="475">
        <v>0</v>
      </c>
      <c r="Q290" s="453"/>
    </row>
    <row r="291" spans="1:17" hidden="1" outlineLevel="1" x14ac:dyDescent="0.2">
      <c r="A291" s="457"/>
      <c r="C291" s="472"/>
    </row>
    <row r="292" spans="1:17" hidden="1" outlineLevel="1" x14ac:dyDescent="0.2">
      <c r="A292" s="457"/>
      <c r="C292" s="472"/>
    </row>
    <row r="293" spans="1:17" s="457" customFormat="1" hidden="1" outlineLevel="1" x14ac:dyDescent="0.2">
      <c r="C293" s="472" t="s">
        <v>1429</v>
      </c>
      <c r="G293" s="476">
        <f t="array" ref="G293:P293">IF(G290:P290=0,0,G275:P275/G290:P290)</f>
        <v>0</v>
      </c>
      <c r="H293" s="476">
        <v>0</v>
      </c>
      <c r="I293" s="476">
        <v>0</v>
      </c>
      <c r="J293" s="476">
        <v>0</v>
      </c>
      <c r="K293" s="476">
        <v>0</v>
      </c>
      <c r="L293" s="476">
        <v>0</v>
      </c>
      <c r="M293" s="476">
        <v>0</v>
      </c>
      <c r="N293" s="476">
        <v>0</v>
      </c>
      <c r="O293" s="476">
        <v>0</v>
      </c>
      <c r="P293" s="476">
        <v>0</v>
      </c>
      <c r="Q293" s="453"/>
    </row>
    <row r="294" spans="1:17" hidden="1" outlineLevel="1" x14ac:dyDescent="0.2">
      <c r="A294" s="457"/>
      <c r="C294" s="472"/>
      <c r="D294" s="497" t="s">
        <v>1462</v>
      </c>
    </row>
    <row r="295" spans="1:17" hidden="1" outlineLevel="1" x14ac:dyDescent="0.2">
      <c r="A295" s="457"/>
      <c r="C295" s="472"/>
      <c r="D295" s="498">
        <f>SUM(G293:P293)</f>
        <v>0</v>
      </c>
    </row>
    <row r="296" spans="1:17" hidden="1" outlineLevel="1" x14ac:dyDescent="0.2">
      <c r="A296" s="457"/>
      <c r="C296" s="472"/>
      <c r="D296" s="466" t="s">
        <v>456</v>
      </c>
    </row>
    <row r="297" spans="1:17" hidden="1" outlineLevel="1" x14ac:dyDescent="0.2">
      <c r="A297" s="457"/>
      <c r="C297" s="472"/>
      <c r="D297" s="457"/>
    </row>
    <row r="298" spans="1:17" hidden="1" outlineLevel="1" x14ac:dyDescent="0.2">
      <c r="A298" s="457"/>
      <c r="C298" s="472"/>
      <c r="D298" s="477" t="s">
        <v>1454</v>
      </c>
    </row>
    <row r="299" spans="1:17" hidden="1" outlineLevel="1" x14ac:dyDescent="0.2">
      <c r="A299" s="457"/>
      <c r="C299" s="472"/>
      <c r="D299" s="499">
        <f>J293</f>
        <v>0</v>
      </c>
    </row>
    <row r="300" spans="1:17" hidden="1" outlineLevel="1" x14ac:dyDescent="0.2">
      <c r="A300" s="457"/>
      <c r="C300" s="472"/>
      <c r="D300" s="466" t="s">
        <v>991</v>
      </c>
    </row>
    <row r="301" spans="1:17" s="457" customFormat="1" hidden="1" outlineLevel="1" x14ac:dyDescent="0.2"/>
    <row r="302" spans="1:17" hidden="1" outlineLevel="1" x14ac:dyDescent="0.2">
      <c r="A302" s="457"/>
      <c r="C302" s="460" t="s">
        <v>1464</v>
      </c>
      <c r="G302" s="479">
        <f t="array" ref="G302:P302">ROUNDUP(LTE.coverage.sites+G293:P293,0)</f>
        <v>2397</v>
      </c>
      <c r="H302" s="479">
        <v>971</v>
      </c>
      <c r="I302" s="479">
        <v>365</v>
      </c>
      <c r="J302" s="479">
        <v>7</v>
      </c>
      <c r="K302" s="479">
        <v>100</v>
      </c>
      <c r="L302" s="479">
        <v>0</v>
      </c>
      <c r="M302" s="479">
        <v>0</v>
      </c>
      <c r="N302" s="479">
        <v>0</v>
      </c>
      <c r="O302" s="479">
        <v>0</v>
      </c>
      <c r="P302" s="479">
        <v>0</v>
      </c>
      <c r="Q302" s="466" t="s">
        <v>478</v>
      </c>
    </row>
    <row r="303" spans="1:17" s="457" customFormat="1" hidden="1" outlineLevel="1" x14ac:dyDescent="0.2"/>
    <row r="304" spans="1:17" s="457" customFormat="1" collapsed="1" x14ac:dyDescent="0.2"/>
    <row r="305" spans="1:48" x14ac:dyDescent="0.2">
      <c r="A305" s="457"/>
    </row>
    <row r="306" spans="1:48" s="457" customFormat="1" ht="15.75" x14ac:dyDescent="0.2">
      <c r="A306" s="456" t="s">
        <v>1465</v>
      </c>
      <c r="B306" s="456"/>
      <c r="C306" s="456"/>
      <c r="D306" s="456"/>
      <c r="E306" s="456"/>
      <c r="F306" s="456"/>
      <c r="G306" s="456"/>
      <c r="H306" s="456"/>
      <c r="I306" s="456"/>
      <c r="J306" s="456"/>
      <c r="K306" s="456"/>
      <c r="L306" s="456"/>
      <c r="M306" s="456"/>
      <c r="N306" s="456"/>
      <c r="O306" s="456"/>
      <c r="P306" s="456"/>
      <c r="Q306" s="456"/>
      <c r="R306" s="456"/>
      <c r="S306" s="456"/>
      <c r="T306" s="456"/>
      <c r="U306" s="456"/>
      <c r="V306" s="456"/>
      <c r="W306" s="456"/>
      <c r="X306" s="456"/>
      <c r="Y306" s="456"/>
      <c r="Z306" s="456"/>
      <c r="AA306" s="456"/>
      <c r="AB306" s="456"/>
      <c r="AC306" s="456"/>
      <c r="AD306" s="456"/>
      <c r="AE306" s="456"/>
      <c r="AF306" s="456"/>
      <c r="AG306" s="456"/>
      <c r="AH306" s="456"/>
      <c r="AI306" s="456"/>
      <c r="AJ306" s="456"/>
      <c r="AK306" s="456"/>
      <c r="AL306" s="456"/>
      <c r="AM306" s="456"/>
      <c r="AN306" s="456"/>
      <c r="AO306" s="456"/>
      <c r="AP306" s="456"/>
      <c r="AQ306" s="456"/>
      <c r="AR306" s="456"/>
      <c r="AS306" s="456"/>
      <c r="AT306" s="456"/>
      <c r="AU306" s="456"/>
      <c r="AV306" s="456"/>
    </row>
    <row r="308" spans="1:48" hidden="1" outlineLevel="1" x14ac:dyDescent="0.2">
      <c r="G308" s="458" t="str">
        <f t="array" ref="G308:P308">TRANSPOSE(Geotypes)</f>
        <v>Muy denso</v>
      </c>
      <c r="H308" s="458" t="str">
        <v>Denso</v>
      </c>
      <c r="I308" s="458" t="str">
        <v>Poco denso</v>
      </c>
      <c r="J308" s="458" t="str">
        <v>Otro</v>
      </c>
      <c r="K308" s="458" t="str">
        <v>Microceldas</v>
      </c>
      <c r="L308" s="458" t="str">
        <v>spare</v>
      </c>
      <c r="M308" s="458" t="str">
        <v>spare</v>
      </c>
      <c r="N308" s="458" t="str">
        <v>spare</v>
      </c>
      <c r="O308" s="458" t="str">
        <v>spare</v>
      </c>
      <c r="P308" s="458" t="str">
        <v>spare</v>
      </c>
    </row>
    <row r="309" spans="1:48" hidden="1" outlineLevel="1" x14ac:dyDescent="0.2"/>
    <row r="310" spans="1:48" hidden="1" outlineLevel="1" x14ac:dyDescent="0.2">
      <c r="C310" s="460" t="s">
        <v>1466</v>
      </c>
    </row>
    <row r="311" spans="1:48" hidden="1" outlineLevel="1" x14ac:dyDescent="0.2">
      <c r="D311" s="457" t="s">
        <v>1333</v>
      </c>
      <c r="G311" s="464">
        <f t="array" ref="G311:P311">TRX.Total</f>
        <v>16475</v>
      </c>
      <c r="H311" s="464">
        <v>8169</v>
      </c>
      <c r="I311" s="464">
        <v>6368</v>
      </c>
      <c r="J311" s="464">
        <v>128</v>
      </c>
      <c r="K311" s="464">
        <v>1040</v>
      </c>
      <c r="L311" s="464">
        <v>0</v>
      </c>
      <c r="M311" s="464">
        <v>0</v>
      </c>
      <c r="N311" s="464">
        <v>0</v>
      </c>
      <c r="O311" s="464">
        <v>0</v>
      </c>
      <c r="P311" s="464">
        <v>0</v>
      </c>
    </row>
    <row r="312" spans="1:48" hidden="1" outlineLevel="1" x14ac:dyDescent="0.2">
      <c r="D312" s="457" t="s">
        <v>1467</v>
      </c>
      <c r="G312" s="464">
        <f t="array" ref="G312:P312">Carriers.3G.total</f>
        <v>5898</v>
      </c>
      <c r="H312" s="464">
        <v>3174</v>
      </c>
      <c r="I312" s="464">
        <v>1494</v>
      </c>
      <c r="J312" s="464">
        <v>27</v>
      </c>
      <c r="K312" s="464">
        <v>400</v>
      </c>
      <c r="L312" s="464">
        <v>0</v>
      </c>
      <c r="M312" s="464">
        <v>0</v>
      </c>
      <c r="N312" s="464">
        <v>0</v>
      </c>
      <c r="O312" s="464">
        <v>0</v>
      </c>
      <c r="P312" s="464">
        <v>0</v>
      </c>
    </row>
    <row r="313" spans="1:48" hidden="1" outlineLevel="1" x14ac:dyDescent="0.2">
      <c r="D313" s="457" t="s">
        <v>1468</v>
      </c>
      <c r="G313" s="464">
        <f t="array" ref="G313:P313">Carriers.LTE.total</f>
        <v>7191</v>
      </c>
      <c r="H313" s="464">
        <v>2913</v>
      </c>
      <c r="I313" s="464">
        <v>1095</v>
      </c>
      <c r="J313" s="464">
        <v>0</v>
      </c>
      <c r="K313" s="464">
        <v>100</v>
      </c>
      <c r="L313" s="464">
        <v>0</v>
      </c>
      <c r="M313" s="464">
        <v>0</v>
      </c>
      <c r="N313" s="464">
        <v>0</v>
      </c>
      <c r="O313" s="464">
        <v>0</v>
      </c>
      <c r="P313" s="464">
        <v>0</v>
      </c>
    </row>
    <row r="314" spans="1:48" hidden="1" outlineLevel="1" x14ac:dyDescent="0.2"/>
    <row r="315" spans="1:48" hidden="1" outlineLevel="1" x14ac:dyDescent="0.2">
      <c r="C315" s="460" t="s">
        <v>1409</v>
      </c>
    </row>
    <row r="316" spans="1:48" hidden="1" outlineLevel="1" x14ac:dyDescent="0.2">
      <c r="C316" s="460"/>
      <c r="D316" s="460" t="s">
        <v>1469</v>
      </c>
    </row>
    <row r="317" spans="1:48" hidden="1" outlineLevel="1" x14ac:dyDescent="0.2">
      <c r="E317" s="457" t="s">
        <v>1333</v>
      </c>
      <c r="G317" s="465">
        <f t="array" ref="G317:P319">Single.RAN.base.station.capacity</f>
        <v>8</v>
      </c>
      <c r="H317" s="465">
        <v>8</v>
      </c>
      <c r="I317" s="465">
        <v>8</v>
      </c>
      <c r="J317" s="465">
        <v>8</v>
      </c>
      <c r="K317" s="465">
        <v>8</v>
      </c>
      <c r="L317" s="465">
        <v>8</v>
      </c>
      <c r="M317" s="465">
        <v>8</v>
      </c>
      <c r="N317" s="465">
        <v>8</v>
      </c>
      <c r="O317" s="465">
        <v>8</v>
      </c>
      <c r="P317" s="465">
        <v>8</v>
      </c>
    </row>
    <row r="318" spans="1:48" hidden="1" outlineLevel="1" x14ac:dyDescent="0.2">
      <c r="E318" s="457" t="s">
        <v>1467</v>
      </c>
      <c r="G318" s="465">
        <v>4</v>
      </c>
      <c r="H318" s="465">
        <v>4</v>
      </c>
      <c r="I318" s="465">
        <v>4</v>
      </c>
      <c r="J318" s="465">
        <v>4</v>
      </c>
      <c r="K318" s="465">
        <v>4</v>
      </c>
      <c r="L318" s="465">
        <v>4</v>
      </c>
      <c r="M318" s="465">
        <v>4</v>
      </c>
      <c r="N318" s="465">
        <v>4</v>
      </c>
      <c r="O318" s="465">
        <v>4</v>
      </c>
      <c r="P318" s="465">
        <v>4</v>
      </c>
    </row>
    <row r="319" spans="1:48" hidden="1" outlineLevel="1" x14ac:dyDescent="0.2">
      <c r="E319" s="457" t="s">
        <v>1468</v>
      </c>
      <c r="G319" s="465">
        <v>4</v>
      </c>
      <c r="H319" s="465">
        <v>4</v>
      </c>
      <c r="I319" s="465">
        <v>4</v>
      </c>
      <c r="J319" s="465">
        <v>4</v>
      </c>
      <c r="K319" s="465">
        <v>4</v>
      </c>
      <c r="L319" s="465">
        <v>4</v>
      </c>
      <c r="M319" s="465">
        <v>4</v>
      </c>
      <c r="N319" s="465">
        <v>4</v>
      </c>
      <c r="O319" s="465">
        <v>4</v>
      </c>
      <c r="P319" s="465">
        <v>4</v>
      </c>
    </row>
    <row r="320" spans="1:48" hidden="1" outlineLevel="1" x14ac:dyDescent="0.2"/>
    <row r="321" spans="1:16" hidden="1" outlineLevel="1" x14ac:dyDescent="0.2">
      <c r="D321" s="460" t="s">
        <v>1470</v>
      </c>
    </row>
    <row r="322" spans="1:16" hidden="1" outlineLevel="1" x14ac:dyDescent="0.2">
      <c r="E322" s="457" t="s">
        <v>1333</v>
      </c>
      <c r="G322" s="476">
        <f t="array" ref="G322:P322">G317:P317*GSM.sectorisation</f>
        <v>24</v>
      </c>
      <c r="H322" s="476">
        <v>24</v>
      </c>
      <c r="I322" s="476">
        <v>24</v>
      </c>
      <c r="J322" s="476">
        <v>24</v>
      </c>
      <c r="K322" s="476">
        <v>8</v>
      </c>
      <c r="L322" s="476">
        <v>24</v>
      </c>
      <c r="M322" s="476">
        <v>24</v>
      </c>
      <c r="N322" s="476">
        <v>24</v>
      </c>
      <c r="O322" s="476">
        <v>24</v>
      </c>
      <c r="P322" s="476">
        <v>24</v>
      </c>
    </row>
    <row r="323" spans="1:16" hidden="1" outlineLevel="1" x14ac:dyDescent="0.2">
      <c r="E323" s="457" t="s">
        <v>1467</v>
      </c>
      <c r="G323" s="476">
        <f t="array" ref="G323:P323">G318:P318*UMTS.sectorisation</f>
        <v>12</v>
      </c>
      <c r="H323" s="476">
        <v>12</v>
      </c>
      <c r="I323" s="476">
        <v>12</v>
      </c>
      <c r="J323" s="476">
        <v>12</v>
      </c>
      <c r="K323" s="476">
        <v>4</v>
      </c>
      <c r="L323" s="476">
        <v>0</v>
      </c>
      <c r="M323" s="476">
        <v>0</v>
      </c>
      <c r="N323" s="476">
        <v>0</v>
      </c>
      <c r="O323" s="476">
        <v>0</v>
      </c>
      <c r="P323" s="476">
        <v>0</v>
      </c>
    </row>
    <row r="324" spans="1:16" hidden="1" outlineLevel="1" x14ac:dyDescent="0.2">
      <c r="E324" s="457" t="s">
        <v>1468</v>
      </c>
      <c r="G324" s="476">
        <f t="array" ref="G324:P324">G319:P319*LTE.sectorisation</f>
        <v>12</v>
      </c>
      <c r="H324" s="476">
        <v>12</v>
      </c>
      <c r="I324" s="476">
        <v>12</v>
      </c>
      <c r="J324" s="476">
        <v>12</v>
      </c>
      <c r="K324" s="476">
        <v>4</v>
      </c>
      <c r="L324" s="476">
        <v>0</v>
      </c>
      <c r="M324" s="476">
        <v>0</v>
      </c>
      <c r="N324" s="476">
        <v>0</v>
      </c>
      <c r="O324" s="476">
        <v>0</v>
      </c>
      <c r="P324" s="476">
        <v>0</v>
      </c>
    </row>
    <row r="325" spans="1:16" hidden="1" outlineLevel="1" x14ac:dyDescent="0.2"/>
    <row r="326" spans="1:16" hidden="1" outlineLevel="1" x14ac:dyDescent="0.2">
      <c r="C326" s="460" t="s">
        <v>1471</v>
      </c>
    </row>
    <row r="327" spans="1:16" hidden="1" outlineLevel="1" x14ac:dyDescent="0.2">
      <c r="D327" s="453" t="s">
        <v>118</v>
      </c>
      <c r="G327" s="464">
        <f t="array" ref="G327:P327">Sites.Total.GSM</f>
        <v>1145</v>
      </c>
      <c r="H327" s="464">
        <v>736</v>
      </c>
      <c r="I327" s="464">
        <v>664</v>
      </c>
      <c r="J327" s="464">
        <v>43</v>
      </c>
      <c r="K327" s="464">
        <v>200</v>
      </c>
      <c r="L327" s="464">
        <v>0</v>
      </c>
      <c r="M327" s="464">
        <v>0</v>
      </c>
      <c r="N327" s="464">
        <v>0</v>
      </c>
      <c r="O327" s="464">
        <v>0</v>
      </c>
      <c r="P327" s="464">
        <v>0</v>
      </c>
    </row>
    <row r="328" spans="1:16" hidden="1" outlineLevel="1" x14ac:dyDescent="0.2">
      <c r="D328" s="453" t="s">
        <v>117</v>
      </c>
      <c r="G328" s="464">
        <f t="array" ref="G328:P328">Sites.Total.UMTS</f>
        <v>983</v>
      </c>
      <c r="H328" s="464">
        <v>529</v>
      </c>
      <c r="I328" s="464">
        <v>249</v>
      </c>
      <c r="J328" s="464">
        <v>9</v>
      </c>
      <c r="K328" s="464">
        <v>200</v>
      </c>
      <c r="L328" s="464">
        <v>0</v>
      </c>
      <c r="M328" s="464">
        <v>0</v>
      </c>
      <c r="N328" s="464">
        <v>0</v>
      </c>
      <c r="O328" s="464">
        <v>0</v>
      </c>
      <c r="P328" s="464">
        <v>0</v>
      </c>
    </row>
    <row r="329" spans="1:16" hidden="1" outlineLevel="1" x14ac:dyDescent="0.2">
      <c r="D329" s="453" t="s">
        <v>421</v>
      </c>
      <c r="G329" s="464">
        <f t="array" ref="G329:P329">Sites.Total.LTE</f>
        <v>2397</v>
      </c>
      <c r="H329" s="464">
        <v>971</v>
      </c>
      <c r="I329" s="464">
        <v>365</v>
      </c>
      <c r="J329" s="464">
        <v>7</v>
      </c>
      <c r="K329" s="464">
        <v>100</v>
      </c>
      <c r="L329" s="464">
        <v>0</v>
      </c>
      <c r="M329" s="464">
        <v>0</v>
      </c>
      <c r="N329" s="464">
        <v>0</v>
      </c>
      <c r="O329" s="464">
        <v>0</v>
      </c>
      <c r="P329" s="464">
        <v>0</v>
      </c>
    </row>
    <row r="330" spans="1:16" hidden="1" outlineLevel="1" x14ac:dyDescent="0.2">
      <c r="D330" s="453" t="s">
        <v>1334</v>
      </c>
      <c r="G330" s="479">
        <f>MAX(G327:G329)</f>
        <v>2397</v>
      </c>
      <c r="H330" s="479">
        <f t="shared" ref="H330:P330" si="27">MAX(H327:H329)</f>
        <v>971</v>
      </c>
      <c r="I330" s="479">
        <f t="shared" si="27"/>
        <v>664</v>
      </c>
      <c r="J330" s="479">
        <f t="shared" si="27"/>
        <v>43</v>
      </c>
      <c r="K330" s="479">
        <f t="shared" si="27"/>
        <v>200</v>
      </c>
      <c r="L330" s="479">
        <f t="shared" si="27"/>
        <v>0</v>
      </c>
      <c r="M330" s="479">
        <f t="shared" si="27"/>
        <v>0</v>
      </c>
      <c r="N330" s="479">
        <f t="shared" si="27"/>
        <v>0</v>
      </c>
      <c r="O330" s="479">
        <f t="shared" si="27"/>
        <v>0</v>
      </c>
      <c r="P330" s="479">
        <f t="shared" si="27"/>
        <v>0</v>
      </c>
    </row>
    <row r="331" spans="1:16" hidden="1" outlineLevel="1" x14ac:dyDescent="0.2"/>
    <row r="332" spans="1:16" hidden="1" outlineLevel="1" x14ac:dyDescent="0.2">
      <c r="C332" s="460" t="s">
        <v>1472</v>
      </c>
      <c r="G332" s="479">
        <f>MAX(G333:G335)</f>
        <v>1</v>
      </c>
      <c r="H332" s="479">
        <f t="shared" ref="H332:P332" si="28">MAX(H333:H335)</f>
        <v>1</v>
      </c>
      <c r="I332" s="479">
        <f t="shared" si="28"/>
        <v>1</v>
      </c>
      <c r="J332" s="479">
        <f t="shared" si="28"/>
        <v>1</v>
      </c>
      <c r="K332" s="479">
        <f t="shared" si="28"/>
        <v>1</v>
      </c>
      <c r="L332" s="479">
        <f t="shared" si="28"/>
        <v>0</v>
      </c>
      <c r="M332" s="479">
        <f t="shared" si="28"/>
        <v>0</v>
      </c>
      <c r="N332" s="479">
        <f t="shared" si="28"/>
        <v>0</v>
      </c>
      <c r="O332" s="479">
        <f t="shared" si="28"/>
        <v>0</v>
      </c>
      <c r="P332" s="479">
        <f t="shared" si="28"/>
        <v>0</v>
      </c>
    </row>
    <row r="333" spans="1:16" hidden="1" outlineLevel="1" x14ac:dyDescent="0.2">
      <c r="D333" s="453" t="s">
        <v>118</v>
      </c>
      <c r="G333" s="481">
        <f t="array" ref="G333:P335">IF(G311:P313=0,0,ROUNDUP(G311:P313/G327:P329/G322:P324,0))</f>
        <v>1</v>
      </c>
      <c r="H333" s="481">
        <v>1</v>
      </c>
      <c r="I333" s="481">
        <v>1</v>
      </c>
      <c r="J333" s="481">
        <v>1</v>
      </c>
      <c r="K333" s="481">
        <v>1</v>
      </c>
      <c r="L333" s="481">
        <v>0</v>
      </c>
      <c r="M333" s="481">
        <v>0</v>
      </c>
      <c r="N333" s="481">
        <v>0</v>
      </c>
      <c r="O333" s="481">
        <v>0</v>
      </c>
      <c r="P333" s="481">
        <v>0</v>
      </c>
    </row>
    <row r="334" spans="1:16" hidden="1" outlineLevel="1" x14ac:dyDescent="0.2">
      <c r="D334" s="453" t="s">
        <v>117</v>
      </c>
      <c r="G334" s="481">
        <v>1</v>
      </c>
      <c r="H334" s="481">
        <v>1</v>
      </c>
      <c r="I334" s="481">
        <v>1</v>
      </c>
      <c r="J334" s="481">
        <v>1</v>
      </c>
      <c r="K334" s="481">
        <v>1</v>
      </c>
      <c r="L334" s="481">
        <v>0</v>
      </c>
      <c r="M334" s="481">
        <v>0</v>
      </c>
      <c r="N334" s="481">
        <v>0</v>
      </c>
      <c r="O334" s="481">
        <v>0</v>
      </c>
      <c r="P334" s="481">
        <v>0</v>
      </c>
    </row>
    <row r="335" spans="1:16" hidden="1" outlineLevel="1" x14ac:dyDescent="0.2">
      <c r="D335" s="453" t="s">
        <v>421</v>
      </c>
      <c r="G335" s="481">
        <v>1</v>
      </c>
      <c r="H335" s="481">
        <v>1</v>
      </c>
      <c r="I335" s="481">
        <v>1</v>
      </c>
      <c r="J335" s="481">
        <v>0</v>
      </c>
      <c r="K335" s="481">
        <v>1</v>
      </c>
      <c r="L335" s="481">
        <v>0</v>
      </c>
      <c r="M335" s="481">
        <v>0</v>
      </c>
      <c r="N335" s="481">
        <v>0</v>
      </c>
      <c r="O335" s="481">
        <v>0</v>
      </c>
      <c r="P335" s="481">
        <v>0</v>
      </c>
    </row>
    <row r="336" spans="1:16" s="457" customFormat="1" hidden="1" outlineLevel="1" x14ac:dyDescent="0.2">
      <c r="A336" s="453"/>
    </row>
    <row r="337" spans="3:17" hidden="1" outlineLevel="1" x14ac:dyDescent="0.2"/>
    <row r="338" spans="3:17" hidden="1" outlineLevel="1" x14ac:dyDescent="0.2">
      <c r="C338" s="460" t="s">
        <v>1473</v>
      </c>
      <c r="G338" s="479">
        <f t="array" ref="G338:P338">G332:P332*G330:P330</f>
        <v>2397</v>
      </c>
      <c r="H338" s="479">
        <v>971</v>
      </c>
      <c r="I338" s="479">
        <v>664</v>
      </c>
      <c r="J338" s="479">
        <v>43</v>
      </c>
      <c r="K338" s="479">
        <v>200</v>
      </c>
      <c r="L338" s="479">
        <v>0</v>
      </c>
      <c r="M338" s="479">
        <v>0</v>
      </c>
      <c r="N338" s="479">
        <v>0</v>
      </c>
      <c r="O338" s="479">
        <v>0</v>
      </c>
      <c r="P338" s="479">
        <v>0</v>
      </c>
      <c r="Q338" s="458" t="s">
        <v>61</v>
      </c>
    </row>
    <row r="339" spans="3:17" hidden="1" outlineLevel="1" x14ac:dyDescent="0.2">
      <c r="C339" s="472"/>
      <c r="D339" s="453" t="s">
        <v>1474</v>
      </c>
      <c r="G339" s="481">
        <f t="array" ref="G339:P339">G338:P338-G340:P340</f>
        <v>2397</v>
      </c>
      <c r="H339" s="481">
        <v>971</v>
      </c>
      <c r="I339" s="481">
        <v>664</v>
      </c>
      <c r="J339" s="481">
        <v>43</v>
      </c>
      <c r="K339" s="481">
        <v>0</v>
      </c>
      <c r="L339" s="481">
        <v>0</v>
      </c>
      <c r="M339" s="481">
        <v>0</v>
      </c>
      <c r="N339" s="481">
        <v>0</v>
      </c>
      <c r="O339" s="481">
        <v>0</v>
      </c>
      <c r="P339" s="481">
        <v>0</v>
      </c>
      <c r="Q339" s="482">
        <f>SUM(G339:P339)</f>
        <v>4075</v>
      </c>
    </row>
    <row r="340" spans="3:17" hidden="1" outlineLevel="1" x14ac:dyDescent="0.2">
      <c r="C340" s="472"/>
      <c r="D340" s="453" t="s">
        <v>1475</v>
      </c>
      <c r="G340" s="481">
        <f t="array" ref="G340:P340">G338:P338*IF(LTE.sectorisation=1,1,0)</f>
        <v>0</v>
      </c>
      <c r="H340" s="481">
        <v>0</v>
      </c>
      <c r="I340" s="481">
        <v>0</v>
      </c>
      <c r="J340" s="481">
        <v>0</v>
      </c>
      <c r="K340" s="481">
        <v>200</v>
      </c>
      <c r="L340" s="481">
        <v>0</v>
      </c>
      <c r="M340" s="481">
        <v>0</v>
      </c>
      <c r="N340" s="481">
        <v>0</v>
      </c>
      <c r="O340" s="481">
        <v>0</v>
      </c>
      <c r="P340" s="481">
        <v>0</v>
      </c>
      <c r="Q340" s="482">
        <f>SUM(G340:P340)</f>
        <v>200</v>
      </c>
    </row>
    <row r="341" spans="3:17" hidden="1" outlineLevel="1" x14ac:dyDescent="0.2">
      <c r="Q341" s="466" t="s">
        <v>1335</v>
      </c>
    </row>
    <row r="342" spans="3:17" hidden="1" outlineLevel="1" x14ac:dyDescent="0.2"/>
    <row r="343" spans="3:17" hidden="1" outlineLevel="1" x14ac:dyDescent="0.2">
      <c r="C343" s="460" t="s">
        <v>1621</v>
      </c>
      <c r="G343" s="479">
        <f t="array" ref="G343:P343">IF(G344:P344&gt;G345:P345,G344:P344,G345:P345)</f>
        <v>2</v>
      </c>
      <c r="H343" s="479">
        <v>2</v>
      </c>
      <c r="I343" s="479">
        <v>2</v>
      </c>
      <c r="J343" s="479">
        <v>1</v>
      </c>
      <c r="K343" s="479">
        <v>2</v>
      </c>
      <c r="L343" s="479">
        <v>0</v>
      </c>
      <c r="M343" s="479">
        <v>0</v>
      </c>
      <c r="N343" s="479">
        <v>0</v>
      </c>
      <c r="O343" s="479">
        <v>0</v>
      </c>
      <c r="P343" s="479">
        <v>0</v>
      </c>
    </row>
    <row r="344" spans="3:17" hidden="1" outlineLevel="1" x14ac:dyDescent="0.2">
      <c r="D344" s="453" t="s">
        <v>1624</v>
      </c>
      <c r="G344" s="481">
        <f t="array" ref="G344:P344">IF(R99.carriers.per.coverage.site=0,0,IF(R99.carriers.per.coverage.site&gt;Channels.UMTS.Coverage,2,1))</f>
        <v>1</v>
      </c>
      <c r="H344" s="481">
        <v>1</v>
      </c>
      <c r="I344" s="481">
        <v>1</v>
      </c>
      <c r="J344" s="481">
        <v>1</v>
      </c>
      <c r="K344" s="481">
        <v>1</v>
      </c>
      <c r="L344" s="481">
        <v>0</v>
      </c>
      <c r="M344" s="481">
        <v>0</v>
      </c>
      <c r="N344" s="481">
        <v>0</v>
      </c>
      <c r="O344" s="481">
        <v>0</v>
      </c>
      <c r="P344" s="481">
        <v>0</v>
      </c>
    </row>
    <row r="345" spans="3:17" hidden="1" outlineLevel="1" x14ac:dyDescent="0.2">
      <c r="D345" s="453" t="s">
        <v>1625</v>
      </c>
      <c r="G345" s="481">
        <f t="array" ref="G345:P345">IF(HSPA.carriers.on.coverage.sites=0,0,IF(HSPA.carriers.on.coverage.sites/UMTS.coverage.sites&gt;Channels.HSPA.Coverage,2,1))</f>
        <v>2</v>
      </c>
      <c r="H345" s="481">
        <v>2</v>
      </c>
      <c r="I345" s="481">
        <v>2</v>
      </c>
      <c r="J345" s="481">
        <v>0</v>
      </c>
      <c r="K345" s="481">
        <v>2</v>
      </c>
      <c r="L345" s="481">
        <v>0</v>
      </c>
      <c r="M345" s="481">
        <v>0</v>
      </c>
      <c r="N345" s="481">
        <v>0</v>
      </c>
      <c r="O345" s="481">
        <v>0</v>
      </c>
      <c r="P345" s="481">
        <v>0</v>
      </c>
    </row>
    <row r="346" spans="3:17" hidden="1" outlineLevel="1" x14ac:dyDescent="0.2">
      <c r="G346" s="481"/>
      <c r="H346" s="481"/>
      <c r="I346" s="481"/>
      <c r="J346" s="481"/>
      <c r="K346" s="481"/>
      <c r="L346" s="481"/>
      <c r="M346" s="481"/>
      <c r="N346" s="481"/>
      <c r="O346" s="481"/>
      <c r="P346" s="481"/>
    </row>
    <row r="347" spans="3:17" hidden="1" outlineLevel="1" x14ac:dyDescent="0.2">
      <c r="Q347" s="458" t="s">
        <v>61</v>
      </c>
    </row>
    <row r="348" spans="3:17" hidden="1" outlineLevel="1" x14ac:dyDescent="0.2">
      <c r="C348" s="460" t="s">
        <v>1622</v>
      </c>
      <c r="G348" s="481">
        <f t="array" ref="G348:P348">G343:P343*Sites.Total.UMTS*UMTS.sectorisation</f>
        <v>5898</v>
      </c>
      <c r="H348" s="481">
        <v>3174</v>
      </c>
      <c r="I348" s="481">
        <v>1494</v>
      </c>
      <c r="J348" s="481">
        <v>27</v>
      </c>
      <c r="K348" s="481">
        <v>400</v>
      </c>
      <c r="L348" s="481">
        <v>0</v>
      </c>
      <c r="M348" s="481">
        <v>0</v>
      </c>
      <c r="N348" s="481">
        <v>0</v>
      </c>
      <c r="O348" s="481">
        <v>0</v>
      </c>
      <c r="P348" s="481">
        <v>0</v>
      </c>
      <c r="Q348" s="482">
        <f>SUM(G348:P348)</f>
        <v>10993</v>
      </c>
    </row>
    <row r="349" spans="3:17" hidden="1" outlineLevel="1" x14ac:dyDescent="0.2">
      <c r="Q349" s="466" t="s">
        <v>1605</v>
      </c>
    </row>
    <row r="350" spans="3:17" hidden="1" outlineLevel="1" x14ac:dyDescent="0.2"/>
    <row r="351" spans="3:17" hidden="1" outlineLevel="1" x14ac:dyDescent="0.2">
      <c r="C351" s="460" t="s">
        <v>1627</v>
      </c>
      <c r="G351" s="481">
        <f t="array" ref="G351:P351">IF(LTE.coverage.sites=0,0,LTE.carriers.on.coverage.sites/LTE.coverage.sites)</f>
        <v>1</v>
      </c>
      <c r="H351" s="481">
        <v>1</v>
      </c>
      <c r="I351" s="481">
        <v>1</v>
      </c>
      <c r="J351" s="481">
        <v>0</v>
      </c>
      <c r="K351" s="481">
        <v>1</v>
      </c>
      <c r="L351" s="481">
        <v>0</v>
      </c>
      <c r="M351" s="481">
        <v>0</v>
      </c>
      <c r="N351" s="481">
        <v>0</v>
      </c>
      <c r="O351" s="481">
        <v>0</v>
      </c>
      <c r="P351" s="481">
        <v>0</v>
      </c>
    </row>
    <row r="352" spans="3:17" hidden="1" outlineLevel="1" x14ac:dyDescent="0.2"/>
    <row r="353" spans="1:48" hidden="1" outlineLevel="1" x14ac:dyDescent="0.2"/>
    <row r="354" spans="1:48" hidden="1" outlineLevel="1" x14ac:dyDescent="0.2">
      <c r="C354" s="460" t="s">
        <v>1626</v>
      </c>
      <c r="G354" s="481">
        <f t="array" ref="G354:P354">IF(G351:P351=0,0,IF(G351:P351&lt;=Channels.LTE.Coverage,1,
IF(G351:P351&lt;=Channels.LTE.Coverage+Channels.LTE.Capacity.first.capacity.band,2,
IF(G351:P351&lt;=Channels.LTE.Coverage+Channels.LTE.Capacity.first.capacity.band+Channels.LTE.Capacity.second.capacity.band,3,
IF(G351:P351&lt;=Channels.LTE.Coverage+Channels.LTE.Capacity.first.capacity.band+Channels.LTE.Capacity.second.capacity.band+Channels.LTE.Capacity.third.capacity.band,4,5)))))</f>
        <v>1</v>
      </c>
      <c r="H354" s="481">
        <v>1</v>
      </c>
      <c r="I354" s="481">
        <v>1</v>
      </c>
      <c r="J354" s="481">
        <v>0</v>
      </c>
      <c r="K354" s="481">
        <v>1</v>
      </c>
      <c r="L354" s="481">
        <v>0</v>
      </c>
      <c r="M354" s="481">
        <v>0</v>
      </c>
      <c r="N354" s="481">
        <v>0</v>
      </c>
      <c r="O354" s="481">
        <v>0</v>
      </c>
      <c r="P354" s="481">
        <v>0</v>
      </c>
    </row>
    <row r="355" spans="1:48" hidden="1" outlineLevel="1" x14ac:dyDescent="0.2"/>
    <row r="356" spans="1:48" hidden="1" outlineLevel="1" x14ac:dyDescent="0.2">
      <c r="Q356" s="458" t="s">
        <v>61</v>
      </c>
    </row>
    <row r="357" spans="1:48" hidden="1" outlineLevel="1" x14ac:dyDescent="0.2">
      <c r="C357" s="460" t="s">
        <v>1623</v>
      </c>
      <c r="G357" s="481">
        <f t="array" ref="G357:P357">G354:P354*Sites.Total.LTE*LTE.sectorisation</f>
        <v>7191</v>
      </c>
      <c r="H357" s="481">
        <v>2913</v>
      </c>
      <c r="I357" s="481">
        <v>1095</v>
      </c>
      <c r="J357" s="481">
        <v>0</v>
      </c>
      <c r="K357" s="481">
        <v>100</v>
      </c>
      <c r="L357" s="481">
        <v>0</v>
      </c>
      <c r="M357" s="481">
        <v>0</v>
      </c>
      <c r="N357" s="481">
        <v>0</v>
      </c>
      <c r="O357" s="481">
        <v>0</v>
      </c>
      <c r="P357" s="481">
        <v>0</v>
      </c>
      <c r="Q357" s="482">
        <f>SUM(G357:P357)</f>
        <v>11299</v>
      </c>
    </row>
    <row r="358" spans="1:48" hidden="1" outlineLevel="1" x14ac:dyDescent="0.2">
      <c r="Q358" s="466" t="s">
        <v>1610</v>
      </c>
    </row>
    <row r="359" spans="1:48" collapsed="1" x14ac:dyDescent="0.2"/>
    <row r="361" spans="1:48" s="457" customFormat="1" ht="15.75" x14ac:dyDescent="0.2">
      <c r="A361" s="456" t="s">
        <v>1476</v>
      </c>
      <c r="B361" s="456"/>
      <c r="C361" s="456"/>
      <c r="D361" s="456"/>
      <c r="E361" s="456"/>
      <c r="F361" s="456"/>
      <c r="G361" s="456"/>
      <c r="H361" s="456"/>
      <c r="I361" s="456"/>
      <c r="J361" s="456"/>
      <c r="K361" s="456"/>
      <c r="L361" s="456"/>
      <c r="M361" s="456"/>
      <c r="N361" s="456"/>
      <c r="O361" s="456"/>
      <c r="P361" s="456"/>
      <c r="Q361" s="456"/>
      <c r="R361" s="456"/>
      <c r="S361" s="456"/>
      <c r="T361" s="456"/>
      <c r="U361" s="456"/>
      <c r="V361" s="456"/>
      <c r="W361" s="456"/>
      <c r="X361" s="456"/>
      <c r="Y361" s="456"/>
      <c r="Z361" s="456"/>
      <c r="AA361" s="456"/>
      <c r="AB361" s="456"/>
      <c r="AC361" s="456"/>
      <c r="AD361" s="456"/>
      <c r="AE361" s="456"/>
      <c r="AF361" s="456"/>
      <c r="AG361" s="456"/>
      <c r="AH361" s="456"/>
      <c r="AI361" s="456"/>
      <c r="AJ361" s="456"/>
      <c r="AK361" s="456"/>
      <c r="AL361" s="456"/>
      <c r="AM361" s="456"/>
      <c r="AN361" s="456"/>
      <c r="AO361" s="456"/>
      <c r="AP361" s="456"/>
      <c r="AQ361" s="456"/>
      <c r="AR361" s="456"/>
      <c r="AS361" s="456"/>
      <c r="AT361" s="456"/>
      <c r="AU361" s="456"/>
      <c r="AV361" s="456"/>
    </row>
    <row r="363" spans="1:48" hidden="1" outlineLevel="1" x14ac:dyDescent="0.2">
      <c r="G363" s="458" t="str">
        <f t="array" ref="G363:P363">TRANSPOSE(Geotypes)</f>
        <v>Muy denso</v>
      </c>
      <c r="H363" s="458" t="str">
        <v>Denso</v>
      </c>
      <c r="I363" s="458" t="str">
        <v>Poco denso</v>
      </c>
      <c r="J363" s="458" t="str">
        <v>Otro</v>
      </c>
      <c r="K363" s="458" t="str">
        <v>Microceldas</v>
      </c>
      <c r="L363" s="458" t="str">
        <v>spare</v>
      </c>
      <c r="M363" s="458" t="str">
        <v>spare</v>
      </c>
      <c r="N363" s="458" t="str">
        <v>spare</v>
      </c>
      <c r="O363" s="458" t="str">
        <v>spare</v>
      </c>
      <c r="P363" s="458" t="str">
        <v>spare</v>
      </c>
    </row>
    <row r="364" spans="1:48" hidden="1" outlineLevel="1" x14ac:dyDescent="0.2">
      <c r="A364" s="457"/>
    </row>
    <row r="365" spans="1:48" hidden="1" outlineLevel="1" x14ac:dyDescent="0.2">
      <c r="A365" s="460"/>
      <c r="C365" s="460" t="s">
        <v>1477</v>
      </c>
      <c r="G365" s="502">
        <f t="array" ref="G365:P365">Sites.Total.GSM</f>
        <v>1145</v>
      </c>
      <c r="H365" s="502">
        <v>736</v>
      </c>
      <c r="I365" s="502">
        <v>664</v>
      </c>
      <c r="J365" s="502">
        <v>43</v>
      </c>
      <c r="K365" s="502">
        <v>200</v>
      </c>
      <c r="L365" s="502">
        <v>0</v>
      </c>
      <c r="M365" s="502">
        <v>0</v>
      </c>
      <c r="N365" s="502">
        <v>0</v>
      </c>
      <c r="O365" s="502">
        <v>0</v>
      </c>
      <c r="P365" s="502">
        <v>0</v>
      </c>
    </row>
    <row r="366" spans="1:48" hidden="1" outlineLevel="1" x14ac:dyDescent="0.2">
      <c r="A366" s="457"/>
      <c r="G366" s="503"/>
      <c r="H366" s="503"/>
      <c r="I366" s="503"/>
      <c r="J366" s="503"/>
      <c r="K366" s="503"/>
      <c r="L366" s="503"/>
      <c r="M366" s="503"/>
      <c r="N366" s="503"/>
      <c r="O366" s="503"/>
      <c r="P366" s="503"/>
    </row>
    <row r="367" spans="1:48" hidden="1" outlineLevel="1" x14ac:dyDescent="0.2">
      <c r="A367" s="457"/>
      <c r="C367" s="460" t="s">
        <v>1478</v>
      </c>
      <c r="G367" s="502">
        <f t="array" ref="G367:P367">Sites.Total.UMTS</f>
        <v>983</v>
      </c>
      <c r="H367" s="502">
        <v>529</v>
      </c>
      <c r="I367" s="502">
        <v>249</v>
      </c>
      <c r="J367" s="502">
        <v>9</v>
      </c>
      <c r="K367" s="502">
        <v>200</v>
      </c>
      <c r="L367" s="502">
        <v>0</v>
      </c>
      <c r="M367" s="502">
        <v>0</v>
      </c>
      <c r="N367" s="502">
        <v>0</v>
      </c>
      <c r="O367" s="502">
        <v>0</v>
      </c>
      <c r="P367" s="502">
        <v>0</v>
      </c>
    </row>
    <row r="368" spans="1:48" hidden="1" outlineLevel="1" x14ac:dyDescent="0.2">
      <c r="A368" s="457"/>
    </row>
    <row r="369" spans="1:16" hidden="1" outlineLevel="1" x14ac:dyDescent="0.2">
      <c r="A369" s="457"/>
      <c r="C369" s="460" t="s">
        <v>1479</v>
      </c>
      <c r="G369" s="502">
        <f t="array" ref="G369:P369">Sites.Total.LTE</f>
        <v>2397</v>
      </c>
      <c r="H369" s="502">
        <v>971</v>
      </c>
      <c r="I369" s="502">
        <v>365</v>
      </c>
      <c r="J369" s="502">
        <v>7</v>
      </c>
      <c r="K369" s="502">
        <v>100</v>
      </c>
      <c r="L369" s="502">
        <v>0</v>
      </c>
      <c r="M369" s="502">
        <v>0</v>
      </c>
      <c r="N369" s="502">
        <v>0</v>
      </c>
      <c r="O369" s="502">
        <v>0</v>
      </c>
      <c r="P369" s="502">
        <v>0</v>
      </c>
    </row>
    <row r="370" spans="1:16" hidden="1" outlineLevel="1" x14ac:dyDescent="0.2">
      <c r="A370" s="457"/>
    </row>
    <row r="371" spans="1:16" hidden="1" outlineLevel="1" x14ac:dyDescent="0.2">
      <c r="A371" s="457"/>
      <c r="C371" s="460" t="s">
        <v>1492</v>
      </c>
      <c r="G371" s="504" t="str">
        <f t="array" ref="G371:P371">IF((IF(G365:P365&gt;0,1,0)+IF(G367:P367&gt;0,1,0)+IF(G369:P369&gt;0,1,0))&gt;1,"multi","single")</f>
        <v>multi</v>
      </c>
      <c r="H371" s="504" t="str">
        <v>multi</v>
      </c>
      <c r="I371" s="504" t="str">
        <v>multi</v>
      </c>
      <c r="J371" s="504" t="str">
        <v>multi</v>
      </c>
      <c r="K371" s="504" t="str">
        <v>multi</v>
      </c>
      <c r="L371" s="504" t="str">
        <v>single</v>
      </c>
      <c r="M371" s="504" t="str">
        <v>single</v>
      </c>
      <c r="N371" s="504" t="str">
        <v>single</v>
      </c>
      <c r="O371" s="504" t="str">
        <v>single</v>
      </c>
      <c r="P371" s="504" t="str">
        <v>single</v>
      </c>
    </row>
    <row r="372" spans="1:16" hidden="1" outlineLevel="1" x14ac:dyDescent="0.2">
      <c r="A372" s="457"/>
    </row>
    <row r="373" spans="1:16" hidden="1" outlineLevel="1" x14ac:dyDescent="0.2">
      <c r="A373" s="457"/>
      <c r="C373" s="472" t="s">
        <v>1493</v>
      </c>
      <c r="D373" s="457"/>
    </row>
    <row r="374" spans="1:16" hidden="1" outlineLevel="1" x14ac:dyDescent="0.2">
      <c r="A374" s="457"/>
      <c r="C374" s="457"/>
      <c r="D374" s="457" t="s">
        <v>479</v>
      </c>
      <c r="G374" s="475">
        <f t="shared" ref="G374:P374" si="29">IF(G371="single",0,MIN(IF(G365=0,99999,G365),IF(G367=0,99999,G367)))</f>
        <v>983</v>
      </c>
      <c r="H374" s="475">
        <f t="shared" si="29"/>
        <v>529</v>
      </c>
      <c r="I374" s="475">
        <f t="shared" si="29"/>
        <v>249</v>
      </c>
      <c r="J374" s="475">
        <f t="shared" si="29"/>
        <v>9</v>
      </c>
      <c r="K374" s="475">
        <f t="shared" si="29"/>
        <v>200</v>
      </c>
      <c r="L374" s="475">
        <f t="shared" si="29"/>
        <v>0</v>
      </c>
      <c r="M374" s="475">
        <f t="shared" si="29"/>
        <v>0</v>
      </c>
      <c r="N374" s="475">
        <f t="shared" si="29"/>
        <v>0</v>
      </c>
      <c r="O374" s="475">
        <f t="shared" si="29"/>
        <v>0</v>
      </c>
      <c r="P374" s="475">
        <f t="shared" si="29"/>
        <v>0</v>
      </c>
    </row>
    <row r="375" spans="1:16" hidden="1" outlineLevel="1" x14ac:dyDescent="0.2">
      <c r="A375" s="457"/>
      <c r="C375" s="457"/>
      <c r="D375" s="457" t="s">
        <v>480</v>
      </c>
      <c r="G375" s="476">
        <f t="shared" ref="G375:P375" si="30">IF(G371="single",0,MIN(IF(G365=0,99999,G365),IF(G369=0,99999,G369)))</f>
        <v>1145</v>
      </c>
      <c r="H375" s="476">
        <f t="shared" si="30"/>
        <v>736</v>
      </c>
      <c r="I375" s="476">
        <f t="shared" si="30"/>
        <v>365</v>
      </c>
      <c r="J375" s="476">
        <f t="shared" si="30"/>
        <v>7</v>
      </c>
      <c r="K375" s="476">
        <f t="shared" si="30"/>
        <v>100</v>
      </c>
      <c r="L375" s="476">
        <f t="shared" si="30"/>
        <v>0</v>
      </c>
      <c r="M375" s="476">
        <f t="shared" si="30"/>
        <v>0</v>
      </c>
      <c r="N375" s="476">
        <f t="shared" si="30"/>
        <v>0</v>
      </c>
      <c r="O375" s="476">
        <f t="shared" si="30"/>
        <v>0</v>
      </c>
      <c r="P375" s="476">
        <f t="shared" si="30"/>
        <v>0</v>
      </c>
    </row>
    <row r="376" spans="1:16" hidden="1" outlineLevel="1" x14ac:dyDescent="0.2">
      <c r="A376" s="457"/>
      <c r="C376" s="457"/>
      <c r="D376" s="457" t="s">
        <v>481</v>
      </c>
      <c r="G376" s="475">
        <f t="shared" ref="G376:P376" si="31">IF(G371="single",0,MIN(IF(G367=0,99999,G367),IF(G369=0,99999,G369)))</f>
        <v>983</v>
      </c>
      <c r="H376" s="475">
        <f t="shared" si="31"/>
        <v>529</v>
      </c>
      <c r="I376" s="475">
        <f t="shared" si="31"/>
        <v>249</v>
      </c>
      <c r="J376" s="475">
        <f t="shared" si="31"/>
        <v>7</v>
      </c>
      <c r="K376" s="475">
        <f t="shared" si="31"/>
        <v>100</v>
      </c>
      <c r="L376" s="475">
        <f t="shared" si="31"/>
        <v>0</v>
      </c>
      <c r="M376" s="475">
        <f t="shared" si="31"/>
        <v>0</v>
      </c>
      <c r="N376" s="475">
        <f t="shared" si="31"/>
        <v>0</v>
      </c>
      <c r="O376" s="475">
        <f t="shared" si="31"/>
        <v>0</v>
      </c>
      <c r="P376" s="475">
        <f t="shared" si="31"/>
        <v>0</v>
      </c>
    </row>
    <row r="377" spans="1:16" hidden="1" outlineLevel="1" x14ac:dyDescent="0.2">
      <c r="A377" s="457"/>
      <c r="C377" s="457"/>
      <c r="D377" s="457" t="s">
        <v>1494</v>
      </c>
      <c r="G377" s="479">
        <f t="shared" ref="G377:P377" si="32">MAX(G374:G376)</f>
        <v>1145</v>
      </c>
      <c r="H377" s="479">
        <f t="shared" si="32"/>
        <v>736</v>
      </c>
      <c r="I377" s="479">
        <f t="shared" si="32"/>
        <v>365</v>
      </c>
      <c r="J377" s="479">
        <f t="shared" si="32"/>
        <v>9</v>
      </c>
      <c r="K377" s="479">
        <f t="shared" si="32"/>
        <v>200</v>
      </c>
      <c r="L377" s="479">
        <f t="shared" si="32"/>
        <v>0</v>
      </c>
      <c r="M377" s="479">
        <f t="shared" si="32"/>
        <v>0</v>
      </c>
      <c r="N377" s="479">
        <f t="shared" si="32"/>
        <v>0</v>
      </c>
      <c r="O377" s="479">
        <f t="shared" si="32"/>
        <v>0</v>
      </c>
      <c r="P377" s="479">
        <f t="shared" si="32"/>
        <v>0</v>
      </c>
    </row>
    <row r="378" spans="1:16" hidden="1" outlineLevel="1" x14ac:dyDescent="0.2">
      <c r="A378" s="457"/>
    </row>
    <row r="379" spans="1:16" hidden="1" outlineLevel="1" x14ac:dyDescent="0.2">
      <c r="A379" s="457"/>
      <c r="C379" s="460" t="s">
        <v>1495</v>
      </c>
    </row>
    <row r="380" spans="1:16" hidden="1" outlineLevel="1" x14ac:dyDescent="0.2">
      <c r="A380" s="457"/>
      <c r="C380" s="460"/>
      <c r="D380" s="505" t="s">
        <v>479</v>
      </c>
      <c r="G380" s="506">
        <f t="array" ref="G380:P380">Physical.collocation</f>
        <v>1</v>
      </c>
      <c r="H380" s="506">
        <v>1</v>
      </c>
      <c r="I380" s="506">
        <v>1</v>
      </c>
      <c r="J380" s="506">
        <v>1</v>
      </c>
      <c r="K380" s="506">
        <v>1</v>
      </c>
      <c r="L380" s="506">
        <v>1</v>
      </c>
      <c r="M380" s="506">
        <v>1</v>
      </c>
      <c r="N380" s="506">
        <v>1</v>
      </c>
      <c r="O380" s="506">
        <v>1</v>
      </c>
      <c r="P380" s="506">
        <v>1</v>
      </c>
    </row>
    <row r="381" spans="1:16" hidden="1" outlineLevel="1" x14ac:dyDescent="0.2">
      <c r="A381" s="457"/>
      <c r="C381" s="460"/>
      <c r="D381" s="505" t="s">
        <v>421</v>
      </c>
      <c r="G381" s="506">
        <f t="array" ref="G381:P381">Physical.collocation.LTE</f>
        <v>1</v>
      </c>
      <c r="H381" s="506">
        <v>1</v>
      </c>
      <c r="I381" s="506">
        <v>1</v>
      </c>
      <c r="J381" s="506">
        <v>1</v>
      </c>
      <c r="K381" s="506">
        <v>1</v>
      </c>
      <c r="L381" s="506">
        <v>1</v>
      </c>
      <c r="M381" s="506">
        <v>1</v>
      </c>
      <c r="N381" s="506">
        <v>1</v>
      </c>
      <c r="O381" s="506">
        <v>1</v>
      </c>
      <c r="P381" s="506">
        <v>1</v>
      </c>
    </row>
    <row r="382" spans="1:16" hidden="1" outlineLevel="1" x14ac:dyDescent="0.2">
      <c r="A382" s="457"/>
    </row>
    <row r="383" spans="1:16" hidden="1" outlineLevel="1" x14ac:dyDescent="0.2">
      <c r="A383" s="457"/>
      <c r="C383" s="460" t="s">
        <v>1480</v>
      </c>
      <c r="G383" s="474">
        <f>IF(G371="single",0,IF(G377=G374,G380,G381)*G377)</f>
        <v>1145</v>
      </c>
      <c r="H383" s="474">
        <f t="shared" ref="H383:P383" si="33">IF(H371="single",0,IF(H377=H374,H380,H381)*H377)</f>
        <v>736</v>
      </c>
      <c r="I383" s="474">
        <f t="shared" si="33"/>
        <v>365</v>
      </c>
      <c r="J383" s="474">
        <f t="shared" si="33"/>
        <v>9</v>
      </c>
      <c r="K383" s="474">
        <f t="shared" si="33"/>
        <v>200</v>
      </c>
      <c r="L383" s="474">
        <f t="shared" si="33"/>
        <v>0</v>
      </c>
      <c r="M383" s="474">
        <f t="shared" si="33"/>
        <v>0</v>
      </c>
      <c r="N383" s="474">
        <f t="shared" si="33"/>
        <v>0</v>
      </c>
      <c r="O383" s="474">
        <f t="shared" si="33"/>
        <v>0</v>
      </c>
      <c r="P383" s="474">
        <f t="shared" si="33"/>
        <v>0</v>
      </c>
    </row>
    <row r="384" spans="1:16" hidden="1" outlineLevel="1" x14ac:dyDescent="0.2">
      <c r="A384" s="457"/>
      <c r="G384" s="481"/>
      <c r="H384" s="481"/>
      <c r="I384" s="481"/>
      <c r="J384" s="481"/>
      <c r="K384" s="481"/>
      <c r="L384" s="481"/>
      <c r="M384" s="481"/>
      <c r="N384" s="481"/>
      <c r="O384" s="481"/>
      <c r="P384" s="481"/>
    </row>
    <row r="385" spans="1:17" hidden="1" outlineLevel="1" x14ac:dyDescent="0.2">
      <c r="A385" s="457"/>
      <c r="G385" s="481"/>
      <c r="H385" s="481"/>
      <c r="I385" s="481"/>
      <c r="J385" s="481"/>
      <c r="K385" s="481"/>
      <c r="L385" s="481"/>
      <c r="M385" s="481"/>
      <c r="N385" s="481"/>
      <c r="O385" s="481"/>
      <c r="P385" s="481"/>
    </row>
    <row r="386" spans="1:17" hidden="1" outlineLevel="1" x14ac:dyDescent="0.2">
      <c r="A386" s="457"/>
      <c r="C386" s="460" t="s">
        <v>1481</v>
      </c>
      <c r="G386" s="463">
        <f>IF(G365=0,0,IF(G369=0,MIN(G365,G383),IF(G367=0,MIN(G365,G369),MIN(G365,G383))))</f>
        <v>1145</v>
      </c>
      <c r="H386" s="463">
        <f t="shared" ref="H386:P386" si="34">IF(H365=0,0,IF(H369=0,MIN(H365,H383),IF(H367=0,MIN(H365,H369),MIN(H365,H383))))</f>
        <v>736</v>
      </c>
      <c r="I386" s="463">
        <f t="shared" si="34"/>
        <v>365</v>
      </c>
      <c r="J386" s="463">
        <f t="shared" si="34"/>
        <v>9</v>
      </c>
      <c r="K386" s="463">
        <f t="shared" si="34"/>
        <v>200</v>
      </c>
      <c r="L386" s="463">
        <f t="shared" si="34"/>
        <v>0</v>
      </c>
      <c r="M386" s="463">
        <f t="shared" si="34"/>
        <v>0</v>
      </c>
      <c r="N386" s="463">
        <f t="shared" si="34"/>
        <v>0</v>
      </c>
      <c r="O386" s="463">
        <f t="shared" si="34"/>
        <v>0</v>
      </c>
      <c r="P386" s="463">
        <f t="shared" si="34"/>
        <v>0</v>
      </c>
      <c r="Q386" s="466" t="s">
        <v>484</v>
      </c>
    </row>
    <row r="387" spans="1:17" hidden="1" outlineLevel="1" x14ac:dyDescent="0.2">
      <c r="A387" s="457"/>
      <c r="G387" s="481"/>
      <c r="H387" s="481"/>
      <c r="I387" s="481"/>
      <c r="J387" s="481"/>
      <c r="K387" s="481"/>
      <c r="L387" s="481"/>
      <c r="M387" s="481"/>
      <c r="N387" s="481"/>
      <c r="O387" s="481"/>
      <c r="P387" s="481"/>
    </row>
    <row r="388" spans="1:17" hidden="1" outlineLevel="1" x14ac:dyDescent="0.2">
      <c r="A388" s="457"/>
      <c r="G388" s="481"/>
      <c r="H388" s="481"/>
      <c r="I388" s="481"/>
      <c r="J388" s="481"/>
      <c r="K388" s="481"/>
      <c r="L388" s="481"/>
      <c r="M388" s="481"/>
      <c r="N388" s="481"/>
      <c r="O388" s="481"/>
      <c r="P388" s="481"/>
    </row>
    <row r="389" spans="1:17" hidden="1" outlineLevel="1" x14ac:dyDescent="0.2">
      <c r="A389" s="457"/>
      <c r="C389" s="460" t="s">
        <v>1482</v>
      </c>
      <c r="G389" s="463">
        <f>IF(G367=0,0,IF(G369=0,MIN(G367,G383),IF(G365=0,MIN(G367,G369),MIN(G367,G383))))</f>
        <v>983</v>
      </c>
      <c r="H389" s="463">
        <f t="shared" ref="H389:P389" si="35">IF(H367=0,0,IF(H369=0,MIN(H367,H383),IF(H365=0,MIN(H367,H369),MIN(H367,H383))))</f>
        <v>529</v>
      </c>
      <c r="I389" s="463">
        <f t="shared" si="35"/>
        <v>249</v>
      </c>
      <c r="J389" s="463">
        <f t="shared" si="35"/>
        <v>9</v>
      </c>
      <c r="K389" s="463">
        <f t="shared" si="35"/>
        <v>200</v>
      </c>
      <c r="L389" s="463">
        <f t="shared" si="35"/>
        <v>0</v>
      </c>
      <c r="M389" s="463">
        <f t="shared" si="35"/>
        <v>0</v>
      </c>
      <c r="N389" s="463">
        <f t="shared" si="35"/>
        <v>0</v>
      </c>
      <c r="O389" s="463">
        <f t="shared" si="35"/>
        <v>0</v>
      </c>
      <c r="P389" s="463">
        <f t="shared" si="35"/>
        <v>0</v>
      </c>
      <c r="Q389" s="466" t="s">
        <v>485</v>
      </c>
    </row>
    <row r="390" spans="1:17" hidden="1" outlineLevel="1" x14ac:dyDescent="0.2">
      <c r="A390" s="457"/>
      <c r="G390" s="481"/>
      <c r="H390" s="481"/>
      <c r="I390" s="481"/>
      <c r="J390" s="481"/>
      <c r="K390" s="481"/>
      <c r="L390" s="481"/>
      <c r="M390" s="481"/>
      <c r="N390" s="481"/>
      <c r="O390" s="481"/>
      <c r="P390" s="481"/>
    </row>
    <row r="391" spans="1:17" hidden="1" outlineLevel="1" x14ac:dyDescent="0.2">
      <c r="A391" s="457"/>
      <c r="G391" s="481"/>
      <c r="H391" s="481"/>
      <c r="I391" s="481"/>
      <c r="J391" s="481"/>
      <c r="K391" s="481"/>
      <c r="L391" s="481"/>
      <c r="M391" s="481"/>
      <c r="N391" s="481"/>
      <c r="O391" s="481"/>
      <c r="P391" s="481"/>
    </row>
    <row r="392" spans="1:17" hidden="1" outlineLevel="1" x14ac:dyDescent="0.2">
      <c r="A392" s="457"/>
      <c r="C392" s="460" t="s">
        <v>1483</v>
      </c>
      <c r="G392" s="463">
        <f>IF(G369=0,0,IF(G367=0,MIN(G369,G383),IF(G365=0,MIN(G367,G369),MIN(G369,G383))))</f>
        <v>1145</v>
      </c>
      <c r="H392" s="463">
        <f t="shared" ref="H392:P392" si="36">IF(H369=0,0,IF(H367=0,MIN(H369,H383),IF(H365=0,MIN(H367,H369),MIN(H369,H383))))</f>
        <v>736</v>
      </c>
      <c r="I392" s="463">
        <f t="shared" si="36"/>
        <v>365</v>
      </c>
      <c r="J392" s="463">
        <f t="shared" si="36"/>
        <v>7</v>
      </c>
      <c r="K392" s="463">
        <f t="shared" si="36"/>
        <v>100</v>
      </c>
      <c r="L392" s="463">
        <f t="shared" si="36"/>
        <v>0</v>
      </c>
      <c r="M392" s="463">
        <f t="shared" si="36"/>
        <v>0</v>
      </c>
      <c r="N392" s="463">
        <f t="shared" si="36"/>
        <v>0</v>
      </c>
      <c r="O392" s="463">
        <f t="shared" si="36"/>
        <v>0</v>
      </c>
      <c r="P392" s="463">
        <f t="shared" si="36"/>
        <v>0</v>
      </c>
      <c r="Q392" s="466" t="s">
        <v>486</v>
      </c>
    </row>
    <row r="393" spans="1:17" hidden="1" outlineLevel="1" x14ac:dyDescent="0.2">
      <c r="A393" s="457"/>
      <c r="G393" s="481"/>
      <c r="H393" s="481"/>
      <c r="I393" s="481"/>
      <c r="J393" s="481"/>
      <c r="K393" s="481"/>
      <c r="L393" s="481"/>
      <c r="M393" s="481"/>
      <c r="N393" s="481"/>
      <c r="O393" s="481"/>
      <c r="P393" s="481"/>
    </row>
    <row r="394" spans="1:17" hidden="1" outlineLevel="1" x14ac:dyDescent="0.2">
      <c r="A394" s="457"/>
      <c r="G394" s="481"/>
      <c r="H394" s="481"/>
      <c r="I394" s="481"/>
      <c r="J394" s="481"/>
      <c r="K394" s="481"/>
      <c r="L394" s="481"/>
      <c r="M394" s="481"/>
      <c r="N394" s="481"/>
      <c r="O394" s="481"/>
      <c r="P394" s="481"/>
    </row>
    <row r="395" spans="1:17" hidden="1" outlineLevel="1" x14ac:dyDescent="0.2">
      <c r="A395" s="457"/>
      <c r="C395" s="460" t="s">
        <v>1484</v>
      </c>
      <c r="G395" s="463">
        <f t="array" ref="G395:P395">G365:P365-G386:P386</f>
        <v>0</v>
      </c>
      <c r="H395" s="463">
        <v>0</v>
      </c>
      <c r="I395" s="463">
        <v>299</v>
      </c>
      <c r="J395" s="463">
        <v>34</v>
      </c>
      <c r="K395" s="463">
        <v>0</v>
      </c>
      <c r="L395" s="463">
        <v>0</v>
      </c>
      <c r="M395" s="463">
        <v>0</v>
      </c>
      <c r="N395" s="463">
        <v>0</v>
      </c>
      <c r="O395" s="463">
        <v>0</v>
      </c>
      <c r="P395" s="463">
        <v>0</v>
      </c>
      <c r="Q395" s="466" t="s">
        <v>340</v>
      </c>
    </row>
    <row r="396" spans="1:17" hidden="1" outlineLevel="1" x14ac:dyDescent="0.2">
      <c r="A396" s="457"/>
      <c r="G396" s="481"/>
      <c r="H396" s="481"/>
      <c r="I396" s="481"/>
      <c r="J396" s="481"/>
      <c r="K396" s="481"/>
      <c r="L396" s="481"/>
      <c r="M396" s="481"/>
      <c r="N396" s="481"/>
      <c r="O396" s="481"/>
      <c r="P396" s="481"/>
    </row>
    <row r="397" spans="1:17" hidden="1" outlineLevel="1" x14ac:dyDescent="0.2">
      <c r="A397" s="457"/>
      <c r="G397" s="481"/>
      <c r="H397" s="481"/>
      <c r="I397" s="481"/>
      <c r="J397" s="481"/>
      <c r="K397" s="481"/>
      <c r="L397" s="481"/>
      <c r="M397" s="481"/>
      <c r="N397" s="481"/>
      <c r="O397" s="481"/>
      <c r="P397" s="481"/>
    </row>
    <row r="398" spans="1:17" hidden="1" outlineLevel="1" x14ac:dyDescent="0.2">
      <c r="A398" s="457"/>
      <c r="C398" s="460" t="s">
        <v>1486</v>
      </c>
      <c r="G398" s="463">
        <f t="array" ref="G398:P398">G367:P367-G389:P389</f>
        <v>0</v>
      </c>
      <c r="H398" s="463">
        <v>0</v>
      </c>
      <c r="I398" s="463">
        <v>0</v>
      </c>
      <c r="J398" s="463">
        <v>0</v>
      </c>
      <c r="K398" s="463">
        <v>0</v>
      </c>
      <c r="L398" s="463">
        <v>0</v>
      </c>
      <c r="M398" s="463">
        <v>0</v>
      </c>
      <c r="N398" s="463">
        <v>0</v>
      </c>
      <c r="O398" s="463">
        <v>0</v>
      </c>
      <c r="P398" s="463">
        <v>0</v>
      </c>
      <c r="Q398" s="466" t="s">
        <v>339</v>
      </c>
    </row>
    <row r="399" spans="1:17" hidden="1" outlineLevel="1" x14ac:dyDescent="0.2">
      <c r="A399" s="457"/>
      <c r="G399" s="481"/>
      <c r="H399" s="481"/>
      <c r="I399" s="481"/>
      <c r="J399" s="481"/>
      <c r="K399" s="481"/>
      <c r="L399" s="481"/>
      <c r="M399" s="481"/>
      <c r="N399" s="481"/>
      <c r="O399" s="481"/>
      <c r="P399" s="481"/>
    </row>
    <row r="400" spans="1:17" hidden="1" outlineLevel="1" x14ac:dyDescent="0.2">
      <c r="A400" s="457"/>
      <c r="G400" s="481"/>
      <c r="H400" s="481"/>
      <c r="I400" s="481"/>
      <c r="J400" s="481"/>
      <c r="K400" s="481"/>
      <c r="L400" s="481"/>
      <c r="M400" s="481"/>
      <c r="N400" s="481"/>
      <c r="O400" s="481"/>
      <c r="P400" s="481"/>
    </row>
    <row r="401" spans="1:17" hidden="1" outlineLevel="1" x14ac:dyDescent="0.2">
      <c r="A401" s="457"/>
      <c r="C401" s="460" t="s">
        <v>1485</v>
      </c>
      <c r="G401" s="463">
        <f t="array" ref="G401:P401">G369:P369-G392:P392</f>
        <v>1252</v>
      </c>
      <c r="H401" s="463">
        <v>235</v>
      </c>
      <c r="I401" s="463">
        <v>0</v>
      </c>
      <c r="J401" s="463">
        <v>0</v>
      </c>
      <c r="K401" s="463">
        <v>0</v>
      </c>
      <c r="L401" s="463">
        <v>0</v>
      </c>
      <c r="M401" s="463">
        <v>0</v>
      </c>
      <c r="N401" s="463">
        <v>0</v>
      </c>
      <c r="O401" s="463">
        <v>0</v>
      </c>
      <c r="P401" s="463">
        <v>0</v>
      </c>
      <c r="Q401" s="466" t="s">
        <v>483</v>
      </c>
    </row>
    <row r="402" spans="1:17" hidden="1" outlineLevel="1" x14ac:dyDescent="0.2">
      <c r="A402" s="457"/>
      <c r="G402" s="481"/>
      <c r="H402" s="481"/>
      <c r="I402" s="481"/>
      <c r="J402" s="481"/>
      <c r="K402" s="481"/>
      <c r="L402" s="481"/>
      <c r="M402" s="481"/>
      <c r="N402" s="481"/>
      <c r="O402" s="481"/>
      <c r="P402" s="481"/>
    </row>
    <row r="403" spans="1:17" hidden="1" outlineLevel="1" x14ac:dyDescent="0.2">
      <c r="A403" s="457"/>
      <c r="G403" s="481"/>
      <c r="H403" s="481"/>
      <c r="I403" s="481"/>
      <c r="J403" s="481"/>
      <c r="K403" s="481"/>
      <c r="L403" s="481"/>
      <c r="M403" s="481"/>
      <c r="N403" s="481"/>
      <c r="O403" s="481"/>
      <c r="P403" s="481"/>
    </row>
    <row r="404" spans="1:17" hidden="1" outlineLevel="1" x14ac:dyDescent="0.2">
      <c r="A404" s="457"/>
      <c r="C404" s="460" t="s">
        <v>1487</v>
      </c>
      <c r="G404" s="463">
        <f t="shared" ref="G404:P404" si="37">MAX(G386,G389,G392)</f>
        <v>1145</v>
      </c>
      <c r="H404" s="463">
        <f t="shared" si="37"/>
        <v>736</v>
      </c>
      <c r="I404" s="463">
        <f t="shared" si="37"/>
        <v>365</v>
      </c>
      <c r="J404" s="463">
        <f t="shared" si="37"/>
        <v>9</v>
      </c>
      <c r="K404" s="463">
        <f t="shared" si="37"/>
        <v>200</v>
      </c>
      <c r="L404" s="463">
        <f t="shared" si="37"/>
        <v>0</v>
      </c>
      <c r="M404" s="463">
        <f t="shared" si="37"/>
        <v>0</v>
      </c>
      <c r="N404" s="463">
        <f t="shared" si="37"/>
        <v>0</v>
      </c>
      <c r="O404" s="463">
        <f t="shared" si="37"/>
        <v>0</v>
      </c>
      <c r="P404" s="463">
        <f t="shared" si="37"/>
        <v>0</v>
      </c>
      <c r="Q404" s="466" t="s">
        <v>341</v>
      </c>
    </row>
    <row r="405" spans="1:17" hidden="1" outlineLevel="1" x14ac:dyDescent="0.2">
      <c r="A405" s="457"/>
      <c r="G405" s="481"/>
      <c r="H405" s="481"/>
      <c r="I405" s="481"/>
      <c r="J405" s="481"/>
      <c r="K405" s="481"/>
      <c r="L405" s="481"/>
      <c r="M405" s="481"/>
      <c r="N405" s="481"/>
      <c r="O405" s="481"/>
      <c r="P405" s="481"/>
    </row>
    <row r="406" spans="1:17" hidden="1" outlineLevel="1" x14ac:dyDescent="0.2">
      <c r="A406" s="457"/>
      <c r="G406" s="481"/>
      <c r="H406" s="481"/>
      <c r="I406" s="481"/>
      <c r="J406" s="481"/>
      <c r="K406" s="481"/>
      <c r="L406" s="481"/>
      <c r="M406" s="481"/>
      <c r="N406" s="481"/>
      <c r="O406" s="481"/>
      <c r="P406" s="481"/>
    </row>
    <row r="407" spans="1:17" hidden="1" outlineLevel="1" x14ac:dyDescent="0.2">
      <c r="A407" s="457"/>
      <c r="C407" s="460" t="s">
        <v>1488</v>
      </c>
      <c r="G407" s="475">
        <f t="array" ref="G407:P407">Sites.singletech.GSM+Sites.singletech.UMTS+Sites.singletech.LTE</f>
        <v>1252</v>
      </c>
      <c r="H407" s="475">
        <v>235</v>
      </c>
      <c r="I407" s="475">
        <v>299</v>
      </c>
      <c r="J407" s="475">
        <v>34</v>
      </c>
      <c r="K407" s="475">
        <v>0</v>
      </c>
      <c r="L407" s="475">
        <v>0</v>
      </c>
      <c r="M407" s="475">
        <v>0</v>
      </c>
      <c r="N407" s="475">
        <v>0</v>
      </c>
      <c r="O407" s="475">
        <v>0</v>
      </c>
      <c r="P407" s="475">
        <v>0</v>
      </c>
    </row>
    <row r="408" spans="1:17" hidden="1" outlineLevel="1" x14ac:dyDescent="0.2">
      <c r="A408" s="457"/>
      <c r="G408" s="481"/>
      <c r="H408" s="481"/>
      <c r="I408" s="481"/>
      <c r="J408" s="481"/>
      <c r="K408" s="481"/>
      <c r="L408" s="481"/>
      <c r="M408" s="481"/>
      <c r="N408" s="481"/>
      <c r="O408" s="481"/>
      <c r="P408" s="481"/>
    </row>
    <row r="409" spans="1:17" hidden="1" outlineLevel="1" x14ac:dyDescent="0.2">
      <c r="A409" s="457"/>
      <c r="G409" s="481"/>
      <c r="H409" s="481"/>
      <c r="I409" s="481"/>
      <c r="J409" s="481"/>
      <c r="K409" s="481"/>
      <c r="L409" s="481"/>
      <c r="M409" s="481"/>
      <c r="N409" s="481"/>
      <c r="O409" s="481"/>
      <c r="P409" s="481"/>
    </row>
    <row r="410" spans="1:17" hidden="1" outlineLevel="1" x14ac:dyDescent="0.2">
      <c r="A410" s="457"/>
      <c r="C410" s="460" t="s">
        <v>1489</v>
      </c>
      <c r="G410" s="463">
        <f t="array" ref="G410:P410">G404:P404+G407:P407</f>
        <v>2397</v>
      </c>
      <c r="H410" s="463">
        <v>971</v>
      </c>
      <c r="I410" s="463">
        <v>664</v>
      </c>
      <c r="J410" s="463">
        <v>43</v>
      </c>
      <c r="K410" s="463">
        <v>200</v>
      </c>
      <c r="L410" s="463">
        <v>0</v>
      </c>
      <c r="M410" s="463">
        <v>0</v>
      </c>
      <c r="N410" s="463">
        <v>0</v>
      </c>
      <c r="O410" s="463">
        <v>0</v>
      </c>
      <c r="P410" s="463">
        <v>0</v>
      </c>
      <c r="Q410" s="466" t="s">
        <v>338</v>
      </c>
    </row>
    <row r="411" spans="1:17" hidden="1" outlineLevel="1" x14ac:dyDescent="0.2">
      <c r="A411" s="457"/>
      <c r="G411" s="503"/>
      <c r="H411" s="503"/>
      <c r="I411" s="503"/>
      <c r="J411" s="503"/>
      <c r="K411" s="503"/>
      <c r="L411" s="503"/>
      <c r="M411" s="503"/>
      <c r="N411" s="503"/>
      <c r="O411" s="503"/>
      <c r="P411" s="503"/>
    </row>
    <row r="412" spans="1:17" hidden="1" outlineLevel="1" x14ac:dyDescent="0.2">
      <c r="A412" s="457"/>
      <c r="G412" s="503"/>
      <c r="H412" s="503"/>
      <c r="I412" s="503"/>
      <c r="J412" s="503"/>
      <c r="K412" s="503"/>
      <c r="L412" s="503"/>
      <c r="M412" s="503"/>
      <c r="N412" s="503"/>
      <c r="O412" s="503"/>
      <c r="P412" s="503"/>
    </row>
    <row r="413" spans="1:17" hidden="1" outlineLevel="1" x14ac:dyDescent="0.2">
      <c r="A413" s="457"/>
      <c r="C413" s="460" t="s">
        <v>1490</v>
      </c>
      <c r="G413" s="481">
        <f t="array" ref="G413:P413">ROUND(G410:P410*Physical.own.tower,0)</f>
        <v>1964</v>
      </c>
      <c r="H413" s="481">
        <v>781</v>
      </c>
      <c r="I413" s="481">
        <v>565</v>
      </c>
      <c r="J413" s="481">
        <v>37</v>
      </c>
      <c r="K413" s="481">
        <v>198</v>
      </c>
      <c r="L413" s="481">
        <v>0</v>
      </c>
      <c r="M413" s="481">
        <v>0</v>
      </c>
      <c r="N413" s="481">
        <v>0</v>
      </c>
      <c r="O413" s="481">
        <v>0</v>
      </c>
      <c r="P413" s="481">
        <v>0</v>
      </c>
      <c r="Q413" s="458" t="s">
        <v>61</v>
      </c>
    </row>
    <row r="414" spans="1:17" hidden="1" outlineLevel="1" x14ac:dyDescent="0.2">
      <c r="A414" s="457"/>
      <c r="D414" s="453" t="s">
        <v>1922</v>
      </c>
      <c r="G414" s="481">
        <f t="array" ref="G414:P414">G413:P413-G415:P415</f>
        <v>1964</v>
      </c>
      <c r="H414" s="481">
        <v>781</v>
      </c>
      <c r="I414" s="481">
        <v>565</v>
      </c>
      <c r="J414" s="481">
        <v>37</v>
      </c>
      <c r="K414" s="481">
        <v>0</v>
      </c>
      <c r="L414" s="481">
        <v>0</v>
      </c>
      <c r="M414" s="481">
        <v>0</v>
      </c>
      <c r="N414" s="481">
        <v>0</v>
      </c>
      <c r="O414" s="481">
        <v>0</v>
      </c>
      <c r="P414" s="481">
        <v>0</v>
      </c>
      <c r="Q414" s="482">
        <f>SUM(G414:P414)</f>
        <v>3347</v>
      </c>
    </row>
    <row r="415" spans="1:17" hidden="1" outlineLevel="1" x14ac:dyDescent="0.2">
      <c r="A415" s="457"/>
      <c r="D415" s="453" t="s">
        <v>1923</v>
      </c>
      <c r="G415" s="481">
        <f t="array" ref="G415:P415">G413:P413*IF(LTE.sectorisation=1,1,0)</f>
        <v>0</v>
      </c>
      <c r="H415" s="481">
        <v>0</v>
      </c>
      <c r="I415" s="481">
        <v>0</v>
      </c>
      <c r="J415" s="481">
        <v>0</v>
      </c>
      <c r="K415" s="481">
        <v>198</v>
      </c>
      <c r="L415" s="481">
        <v>0</v>
      </c>
      <c r="M415" s="481">
        <v>0</v>
      </c>
      <c r="N415" s="481">
        <v>0</v>
      </c>
      <c r="O415" s="481">
        <v>0</v>
      </c>
      <c r="P415" s="481">
        <v>0</v>
      </c>
      <c r="Q415" s="482">
        <f>SUM(G415:P415)</f>
        <v>198</v>
      </c>
    </row>
    <row r="416" spans="1:17" hidden="1" outlineLevel="1" x14ac:dyDescent="0.2">
      <c r="A416" s="457"/>
      <c r="G416" s="481"/>
      <c r="H416" s="481"/>
      <c r="I416" s="481"/>
      <c r="J416" s="481"/>
      <c r="K416" s="481"/>
      <c r="L416" s="481"/>
      <c r="M416" s="481"/>
      <c r="N416" s="481"/>
      <c r="O416" s="481"/>
      <c r="P416" s="481"/>
      <c r="Q416" s="466" t="s">
        <v>337</v>
      </c>
    </row>
    <row r="417" spans="1:48" hidden="1" outlineLevel="1" x14ac:dyDescent="0.2">
      <c r="A417" s="457"/>
      <c r="G417" s="481"/>
      <c r="H417" s="481"/>
      <c r="I417" s="481"/>
      <c r="J417" s="481"/>
      <c r="K417" s="481"/>
      <c r="L417" s="481"/>
      <c r="M417" s="481"/>
      <c r="N417" s="481"/>
      <c r="O417" s="481"/>
      <c r="P417" s="481"/>
    </row>
    <row r="418" spans="1:48" hidden="1" outlineLevel="1" x14ac:dyDescent="0.2">
      <c r="A418" s="457"/>
      <c r="C418" s="460" t="s">
        <v>1491</v>
      </c>
      <c r="G418" s="481">
        <f t="array" ref="G418:P418">G410:P410-G413:P413</f>
        <v>433</v>
      </c>
      <c r="H418" s="481">
        <v>190</v>
      </c>
      <c r="I418" s="481">
        <v>99</v>
      </c>
      <c r="J418" s="481">
        <v>6</v>
      </c>
      <c r="K418" s="481">
        <v>2</v>
      </c>
      <c r="L418" s="481">
        <v>0</v>
      </c>
      <c r="M418" s="481">
        <v>0</v>
      </c>
      <c r="N418" s="481">
        <v>0</v>
      </c>
      <c r="O418" s="481">
        <v>0</v>
      </c>
      <c r="P418" s="481">
        <v>0</v>
      </c>
      <c r="Q418" s="458" t="s">
        <v>61</v>
      </c>
    </row>
    <row r="419" spans="1:48" hidden="1" outlineLevel="1" x14ac:dyDescent="0.2">
      <c r="A419" s="457"/>
      <c r="D419" s="453" t="s">
        <v>1922</v>
      </c>
      <c r="G419" s="481">
        <f t="array" ref="G419:P419">G418:P418-G420:P420</f>
        <v>433</v>
      </c>
      <c r="H419" s="481">
        <v>190</v>
      </c>
      <c r="I419" s="481">
        <v>99</v>
      </c>
      <c r="J419" s="481">
        <v>6</v>
      </c>
      <c r="K419" s="481">
        <v>0</v>
      </c>
      <c r="L419" s="481">
        <v>0</v>
      </c>
      <c r="M419" s="481">
        <v>0</v>
      </c>
      <c r="N419" s="481">
        <v>0</v>
      </c>
      <c r="O419" s="481">
        <v>0</v>
      </c>
      <c r="P419" s="481">
        <v>0</v>
      </c>
      <c r="Q419" s="482">
        <f>SUM(G419:P419)</f>
        <v>728</v>
      </c>
    </row>
    <row r="420" spans="1:48" customFormat="1" hidden="1" outlineLevel="1" x14ac:dyDescent="0.2">
      <c r="D420" s="453" t="s">
        <v>1923</v>
      </c>
      <c r="E420" s="453"/>
      <c r="F420" s="453"/>
      <c r="G420" s="481">
        <f t="array" ref="G420:P420">G418:P418*IF(LTE.sectorisation=1,1,0)</f>
        <v>0</v>
      </c>
      <c r="H420" s="481">
        <v>0</v>
      </c>
      <c r="I420" s="481">
        <v>0</v>
      </c>
      <c r="J420" s="481">
        <v>0</v>
      </c>
      <c r="K420" s="481">
        <v>2</v>
      </c>
      <c r="L420" s="481">
        <v>0</v>
      </c>
      <c r="M420" s="481">
        <v>0</v>
      </c>
      <c r="N420" s="481">
        <v>0</v>
      </c>
      <c r="O420" s="481">
        <v>0</v>
      </c>
      <c r="P420" s="481">
        <v>0</v>
      </c>
      <c r="Q420" s="482">
        <f>SUM(G420:P420)</f>
        <v>2</v>
      </c>
    </row>
    <row r="421" spans="1:48" customFormat="1" hidden="1" outlineLevel="1" x14ac:dyDescent="0.2">
      <c r="Q421" s="466" t="s">
        <v>336</v>
      </c>
    </row>
    <row r="422" spans="1:48" s="457" customFormat="1" collapsed="1" x14ac:dyDescent="0.2"/>
    <row r="423" spans="1:48" s="457" customFormat="1" x14ac:dyDescent="0.2"/>
    <row r="424" spans="1:48" s="457" customFormat="1" ht="15.75" x14ac:dyDescent="0.2">
      <c r="A424" s="456" t="s">
        <v>1308</v>
      </c>
      <c r="B424" s="456"/>
      <c r="C424" s="456"/>
      <c r="D424" s="456"/>
      <c r="E424" s="456"/>
      <c r="F424" s="456"/>
      <c r="G424" s="456"/>
      <c r="H424" s="456"/>
      <c r="I424" s="456"/>
      <c r="J424" s="456"/>
      <c r="K424" s="456"/>
      <c r="L424" s="456"/>
      <c r="M424" s="456"/>
      <c r="N424" s="456"/>
      <c r="O424" s="456"/>
      <c r="P424" s="456"/>
      <c r="Q424" s="456"/>
      <c r="R424" s="456"/>
      <c r="S424" s="456"/>
      <c r="T424" s="456"/>
      <c r="U424" s="456"/>
      <c r="V424" s="456"/>
      <c r="W424" s="456"/>
      <c r="X424" s="456"/>
      <c r="Y424" s="456"/>
      <c r="Z424" s="456"/>
      <c r="AA424" s="456"/>
      <c r="AB424" s="456"/>
      <c r="AC424" s="456"/>
      <c r="AD424" s="456"/>
      <c r="AE424" s="456"/>
      <c r="AF424" s="456"/>
      <c r="AG424" s="456"/>
      <c r="AH424" s="456"/>
      <c r="AI424" s="456"/>
      <c r="AJ424" s="456"/>
      <c r="AK424" s="456"/>
      <c r="AL424" s="456"/>
      <c r="AM424" s="456"/>
      <c r="AN424" s="456"/>
      <c r="AO424" s="456"/>
      <c r="AP424" s="456"/>
      <c r="AQ424" s="456"/>
      <c r="AR424" s="456"/>
      <c r="AS424" s="456"/>
      <c r="AT424" s="456"/>
      <c r="AU424" s="456"/>
      <c r="AV424" s="456"/>
    </row>
    <row r="426" spans="1:48" ht="15.75" hidden="1" outlineLevel="1" x14ac:dyDescent="0.2">
      <c r="B426" s="459" t="s">
        <v>1113</v>
      </c>
    </row>
    <row r="427" spans="1:48" hidden="1" outlineLevel="1" x14ac:dyDescent="0.2">
      <c r="A427" s="457"/>
    </row>
    <row r="428" spans="1:48" hidden="1" outlineLevel="1" x14ac:dyDescent="0.2">
      <c r="A428" s="457"/>
      <c r="G428" s="458" t="str">
        <f t="array" ref="G428:P428">TRANSPOSE(Geotypes)</f>
        <v>Muy denso</v>
      </c>
      <c r="H428" s="458" t="str">
        <v>Denso</v>
      </c>
      <c r="I428" s="458" t="str">
        <v>Poco denso</v>
      </c>
      <c r="J428" s="458" t="str">
        <v>Otro</v>
      </c>
      <c r="K428" s="458" t="str">
        <v>Microceldas</v>
      </c>
      <c r="L428" s="458" t="str">
        <v>spare</v>
      </c>
      <c r="M428" s="458" t="str">
        <v>spare</v>
      </c>
      <c r="N428" s="458" t="str">
        <v>spare</v>
      </c>
      <c r="O428" s="458" t="str">
        <v>spare</v>
      </c>
      <c r="P428" s="458" t="str">
        <v>spare</v>
      </c>
    </row>
    <row r="429" spans="1:48" hidden="1" outlineLevel="1" x14ac:dyDescent="0.2">
      <c r="A429" s="457"/>
      <c r="G429" s="457"/>
    </row>
    <row r="430" spans="1:48" hidden="1" outlineLevel="1" x14ac:dyDescent="0.2">
      <c r="A430" s="457"/>
      <c r="C430" s="460" t="s">
        <v>1114</v>
      </c>
      <c r="G430" s="507">
        <f t="array" ref="G430:P430">IF(Sites.Total.GSM=0,0,(((TRX.Total/Sites.Total.GSM*Channels.per.TRX)*GSM.channel.rate+GSM.sectorisation*GPRS.channel.per.sector*GPRS.channel.rate)/Kbits.per.Mbits)/Utilisation.LMA)</f>
        <v>3.8302572325327509</v>
      </c>
      <c r="H430" s="507">
        <v>3.3162788722826084</v>
      </c>
      <c r="I430" s="507">
        <v>3.0805252259036142</v>
      </c>
      <c r="J430" s="507">
        <v>2.0471475290697674</v>
      </c>
      <c r="K430" s="507">
        <v>1.3398437499999998</v>
      </c>
      <c r="L430" s="507">
        <v>0</v>
      </c>
      <c r="M430" s="507">
        <v>0</v>
      </c>
      <c r="N430" s="507">
        <v>0</v>
      </c>
      <c r="O430" s="507">
        <v>0</v>
      </c>
      <c r="P430" s="507">
        <v>0</v>
      </c>
    </row>
    <row r="431" spans="1:48" hidden="1" outlineLevel="1" x14ac:dyDescent="0.2">
      <c r="A431" s="457"/>
      <c r="C431" s="457"/>
    </row>
    <row r="432" spans="1:48" hidden="1" outlineLevel="1" x14ac:dyDescent="0.2">
      <c r="A432" s="457"/>
    </row>
    <row r="433" spans="1:16" hidden="1" outlineLevel="1" x14ac:dyDescent="0.2">
      <c r="A433" s="457"/>
      <c r="C433" s="460" t="s">
        <v>1115</v>
      </c>
      <c r="G433" s="508">
        <f t="array" ref="G433:P433">IF(Sites.Total.UMTS=0,0,(CE.coverage.sites+CE.capacity.sites)/Sites.Total.UMTS*UMTS.channel.rate/Utilisation.LMA)</f>
        <v>4.2390185168914938</v>
      </c>
      <c r="H433" s="508">
        <v>2.4204532653846358</v>
      </c>
      <c r="I433" s="508">
        <v>1.5127670146693128</v>
      </c>
      <c r="J433" s="508">
        <v>0.93036607857285991</v>
      </c>
      <c r="K433" s="508">
        <v>1.6396029246153567</v>
      </c>
      <c r="L433" s="508">
        <v>0</v>
      </c>
      <c r="M433" s="508">
        <v>0</v>
      </c>
      <c r="N433" s="508">
        <v>0</v>
      </c>
      <c r="O433" s="508">
        <v>0</v>
      </c>
      <c r="P433" s="508">
        <v>0</v>
      </c>
    </row>
    <row r="434" spans="1:16" hidden="1" outlineLevel="1" x14ac:dyDescent="0.2">
      <c r="A434" s="457"/>
      <c r="C434" s="457"/>
    </row>
    <row r="435" spans="1:16" hidden="1" outlineLevel="1" x14ac:dyDescent="0.2">
      <c r="A435" s="457"/>
    </row>
    <row r="436" spans="1:16" hidden="1" outlineLevel="1" x14ac:dyDescent="0.2">
      <c r="A436" s="457"/>
      <c r="C436" s="460" t="s">
        <v>1116</v>
      </c>
      <c r="G436" s="508">
        <f t="shared" ref="G436:P436" si="38">IF(G118=0,0,MAX(G183*G168*HSPA.peak.to.effective,G184*G169*HSPA.peak.to.effective)/G118/Utilisation.LMA)</f>
        <v>31.65</v>
      </c>
      <c r="H436" s="508">
        <f t="shared" si="38"/>
        <v>31.650000000000002</v>
      </c>
      <c r="I436" s="508">
        <f t="shared" si="38"/>
        <v>31.650000000000002</v>
      </c>
      <c r="J436" s="508">
        <f t="shared" si="38"/>
        <v>0</v>
      </c>
      <c r="K436" s="508">
        <f t="shared" si="38"/>
        <v>10.549999999999999</v>
      </c>
      <c r="L436" s="508">
        <f t="shared" si="38"/>
        <v>0</v>
      </c>
      <c r="M436" s="508">
        <f t="shared" si="38"/>
        <v>0</v>
      </c>
      <c r="N436" s="508">
        <f t="shared" si="38"/>
        <v>0</v>
      </c>
      <c r="O436" s="508">
        <f t="shared" si="38"/>
        <v>0</v>
      </c>
      <c r="P436" s="508">
        <f t="shared" si="38"/>
        <v>0</v>
      </c>
    </row>
    <row r="437" spans="1:16" hidden="1" outlineLevel="1" x14ac:dyDescent="0.2">
      <c r="A437" s="457"/>
      <c r="C437" s="457"/>
    </row>
    <row r="438" spans="1:16" hidden="1" outlineLevel="1" x14ac:dyDescent="0.2">
      <c r="A438" s="457"/>
    </row>
    <row r="439" spans="1:16" hidden="1" outlineLevel="1" x14ac:dyDescent="0.2">
      <c r="A439" s="457"/>
      <c r="C439" s="460" t="s">
        <v>1117</v>
      </c>
      <c r="G439" s="508">
        <f t="array" ref="G439:P439">IF(G248:P248=0,0,G260:P260*LTE.peak.to.effective*G272:P272/G248:P248/Utilisation.LMA)</f>
        <v>48.599999999999994</v>
      </c>
      <c r="H439" s="508">
        <v>48.599999999999994</v>
      </c>
      <c r="I439" s="508">
        <v>48.599999999999994</v>
      </c>
      <c r="J439" s="508">
        <v>0</v>
      </c>
      <c r="K439" s="508">
        <v>16.2</v>
      </c>
      <c r="L439" s="508">
        <v>0</v>
      </c>
      <c r="M439" s="508">
        <v>0</v>
      </c>
      <c r="N439" s="508">
        <v>0</v>
      </c>
      <c r="O439" s="508">
        <v>0</v>
      </c>
      <c r="P439" s="508">
        <v>0</v>
      </c>
    </row>
    <row r="440" spans="1:16" hidden="1" outlineLevel="1" x14ac:dyDescent="0.2">
      <c r="A440" s="457"/>
    </row>
    <row r="441" spans="1:16" hidden="1" outlineLevel="1" x14ac:dyDescent="0.2">
      <c r="A441" s="457"/>
    </row>
    <row r="442" spans="1:16" hidden="1" outlineLevel="1" x14ac:dyDescent="0.2">
      <c r="A442" s="457"/>
      <c r="C442" s="460" t="s">
        <v>1118</v>
      </c>
      <c r="G442" s="508">
        <f t="array" ref="G442:P442">IF(Sites.multitech=0,0,(G430:P430*Sites.multitech.GSM+(G433:P433+G436:P436)*Sites.multitech.UMTS+G439:P439*Sites.multitech.LTE)/Sites.multitech)</f>
        <v>83.24152815140117</v>
      </c>
      <c r="H442" s="508">
        <v>76.404417156777811</v>
      </c>
      <c r="I442" s="508">
        <v>74.303892312623219</v>
      </c>
      <c r="J442" s="508">
        <v>2.9775136076426274</v>
      </c>
      <c r="K442" s="508">
        <v>21.629446674615355</v>
      </c>
      <c r="L442" s="508">
        <v>0</v>
      </c>
      <c r="M442" s="508">
        <v>0</v>
      </c>
      <c r="N442" s="508">
        <v>0</v>
      </c>
      <c r="O442" s="508">
        <v>0</v>
      </c>
      <c r="P442" s="508">
        <v>0</v>
      </c>
    </row>
    <row r="443" spans="1:16" hidden="1" outlineLevel="1" x14ac:dyDescent="0.2">
      <c r="A443" s="457"/>
      <c r="C443" s="457"/>
    </row>
    <row r="444" spans="1:16" hidden="1" outlineLevel="1" x14ac:dyDescent="0.2">
      <c r="A444" s="457"/>
    </row>
    <row r="445" spans="1:16" ht="15.75" hidden="1" outlineLevel="1" x14ac:dyDescent="0.2">
      <c r="A445" s="457"/>
      <c r="B445" s="459" t="s">
        <v>1119</v>
      </c>
    </row>
    <row r="446" spans="1:16" s="457" customFormat="1" hidden="1" outlineLevel="1" x14ac:dyDescent="0.2"/>
    <row r="447" spans="1:16" hidden="1" outlineLevel="1" x14ac:dyDescent="0.2">
      <c r="A447" s="457"/>
      <c r="C447" s="460" t="s">
        <v>1120</v>
      </c>
      <c r="G447" s="457"/>
    </row>
    <row r="448" spans="1:16" s="457" customFormat="1" hidden="1" outlineLevel="1" x14ac:dyDescent="0.2">
      <c r="D448" s="509" t="str">
        <f t="array" ref="D448:D450">LMA.technologies</f>
        <v>Líneas alquiladas</v>
      </c>
      <c r="G448" s="510">
        <f t="array" ref="G448:G450">LMA.technologies.selected</f>
        <v>9.4999999999999998E-3</v>
      </c>
    </row>
    <row r="449" spans="1:10" s="457" customFormat="1" hidden="1" outlineLevel="1" x14ac:dyDescent="0.2">
      <c r="D449" s="509" t="str">
        <v>Microondas</v>
      </c>
      <c r="G449" s="510">
        <v>0.60299999999999998</v>
      </c>
    </row>
    <row r="450" spans="1:10" s="457" customFormat="1" hidden="1" outlineLevel="1" x14ac:dyDescent="0.2">
      <c r="D450" s="509" t="str">
        <v>Fibra</v>
      </c>
      <c r="G450" s="510">
        <v>0.38750000000000007</v>
      </c>
    </row>
    <row r="451" spans="1:10" s="457" customFormat="1" hidden="1" outlineLevel="1" x14ac:dyDescent="0.2"/>
    <row r="452" spans="1:10" s="457" customFormat="1" hidden="1" outlineLevel="1" x14ac:dyDescent="0.2">
      <c r="C452" s="511" t="s">
        <v>1121</v>
      </c>
      <c r="D452" s="453"/>
      <c r="E452" s="453"/>
    </row>
    <row r="453" spans="1:10" s="457" customFormat="1" hidden="1" outlineLevel="1" x14ac:dyDescent="0.2">
      <c r="D453" s="512" t="str">
        <f t="array" ref="D453:D456">Type.of.radio.sites</f>
        <v>2G sites</v>
      </c>
      <c r="G453" s="512" t="str">
        <f t="array" ref="G453:G456">LMA.transmission.protocol.selected</f>
        <v>ATM / SDH / PDH</v>
      </c>
    </row>
    <row r="454" spans="1:10" s="457" customFormat="1" hidden="1" outlineLevel="1" x14ac:dyDescent="0.2">
      <c r="D454" s="512" t="str">
        <v>3G sites</v>
      </c>
      <c r="G454" s="512" t="str">
        <v>Ethernet</v>
      </c>
    </row>
    <row r="455" spans="1:10" s="457" customFormat="1" hidden="1" outlineLevel="1" x14ac:dyDescent="0.2">
      <c r="D455" s="512" t="str">
        <v>4G sites</v>
      </c>
      <c r="G455" s="512" t="str">
        <v>Ethernet</v>
      </c>
    </row>
    <row r="456" spans="1:10" s="457" customFormat="1" hidden="1" outlineLevel="1" x14ac:dyDescent="0.2">
      <c r="D456" s="512" t="str">
        <v>Multi-technologies sites</v>
      </c>
      <c r="G456" s="512" t="str">
        <v>Ethernet</v>
      </c>
    </row>
    <row r="457" spans="1:10" s="457" customFormat="1" hidden="1" outlineLevel="1" x14ac:dyDescent="0.2"/>
    <row r="458" spans="1:10" s="457" customFormat="1" hidden="1" outlineLevel="1" x14ac:dyDescent="0.2"/>
    <row r="459" spans="1:10" s="457" customFormat="1" hidden="1" outlineLevel="1" x14ac:dyDescent="0.2">
      <c r="C459" s="472" t="s">
        <v>1122</v>
      </c>
    </row>
    <row r="460" spans="1:10" s="457" customFormat="1" hidden="1" outlineLevel="1" x14ac:dyDescent="0.2"/>
    <row r="461" spans="1:10" ht="24" hidden="1" outlineLevel="1" x14ac:dyDescent="0.2">
      <c r="A461" s="457"/>
      <c r="D461" s="453" t="s">
        <v>1124</v>
      </c>
      <c r="G461" s="458" t="str">
        <f>INDEX(Protocols,1,)</f>
        <v>ATM / SDH / PDH</v>
      </c>
      <c r="I461" s="458" t="str">
        <f>INDEX(Protocols,2,)</f>
        <v>Ethernet</v>
      </c>
    </row>
    <row r="462" spans="1:10" hidden="1" outlineLevel="1" x14ac:dyDescent="0.2">
      <c r="A462" s="457"/>
      <c r="G462" s="513">
        <v>0</v>
      </c>
      <c r="H462" s="513">
        <f t="array" ref="H462:H464">G463:G465</f>
        <v>2.048</v>
      </c>
      <c r="I462" s="513">
        <v>0</v>
      </c>
      <c r="J462" s="513">
        <f t="array" ref="J462:J464">I463:I465</f>
        <v>10</v>
      </c>
    </row>
    <row r="463" spans="1:10" hidden="1" outlineLevel="1" x14ac:dyDescent="0.2">
      <c r="A463" s="457"/>
      <c r="G463" s="514">
        <f t="array" ref="G463:G465">LMA.ladder.ATM</f>
        <v>2.048</v>
      </c>
      <c r="H463" s="513">
        <v>8.4499999999999993</v>
      </c>
      <c r="I463" s="514">
        <f t="array" ref="I463:I465">LMA.ladder.Ethernet</f>
        <v>10</v>
      </c>
      <c r="J463" s="513">
        <v>30</v>
      </c>
    </row>
    <row r="464" spans="1:10" hidden="1" outlineLevel="1" x14ac:dyDescent="0.2">
      <c r="A464" s="457"/>
      <c r="G464" s="514">
        <v>8.4499999999999993</v>
      </c>
      <c r="H464" s="513">
        <v>34.369999999999997</v>
      </c>
      <c r="I464" s="514">
        <v>30</v>
      </c>
      <c r="J464" s="513">
        <v>100</v>
      </c>
    </row>
    <row r="465" spans="1:16" hidden="1" outlineLevel="1" x14ac:dyDescent="0.2">
      <c r="A465" s="457"/>
      <c r="G465" s="514">
        <v>34.369999999999997</v>
      </c>
      <c r="H465" s="515" t="s">
        <v>299</v>
      </c>
      <c r="I465" s="514">
        <v>100</v>
      </c>
      <c r="J465" s="515" t="s">
        <v>299</v>
      </c>
    </row>
    <row r="466" spans="1:16" hidden="1" outlineLevel="1" x14ac:dyDescent="0.2">
      <c r="A466" s="457"/>
    </row>
    <row r="467" spans="1:16" hidden="1" outlineLevel="1" x14ac:dyDescent="0.2">
      <c r="A467" s="457"/>
      <c r="G467" s="458" t="str">
        <f t="array" ref="G467:P467">TRANSPOSE(Geotypes)</f>
        <v>Muy denso</v>
      </c>
      <c r="H467" s="458" t="str">
        <v>Denso</v>
      </c>
      <c r="I467" s="458" t="str">
        <v>Poco denso</v>
      </c>
      <c r="J467" s="458" t="str">
        <v>Otro</v>
      </c>
      <c r="K467" s="458" t="str">
        <v>Microceldas</v>
      </c>
      <c r="L467" s="458" t="str">
        <v>spare</v>
      </c>
      <c r="M467" s="458" t="str">
        <v>spare</v>
      </c>
      <c r="N467" s="458" t="str">
        <v>spare</v>
      </c>
      <c r="O467" s="458" t="str">
        <v>spare</v>
      </c>
      <c r="P467" s="458" t="str">
        <v>spare</v>
      </c>
    </row>
    <row r="468" spans="1:16" hidden="1" outlineLevel="1" x14ac:dyDescent="0.2">
      <c r="A468" s="457"/>
      <c r="D468" s="453" t="s">
        <v>1125</v>
      </c>
      <c r="G468" s="471">
        <f t="array" ref="G468:P468">IF(G$430:P$430=0,0,IF(G$453=INDEX(Protocols,1,),VLOOKUP(G$430:P$430,$G$462:$H$465,2),VLOOKUP(G$430:P$430,$I$462:$J$465,2)))</f>
        <v>8.4499999999999993</v>
      </c>
      <c r="H468" s="471">
        <v>8.4499999999999993</v>
      </c>
      <c r="I468" s="471">
        <v>8.4499999999999993</v>
      </c>
      <c r="J468" s="471">
        <v>2.048</v>
      </c>
      <c r="K468" s="471">
        <v>2.048</v>
      </c>
      <c r="L468" s="471">
        <v>0</v>
      </c>
      <c r="M468" s="471">
        <v>0</v>
      </c>
      <c r="N468" s="471">
        <v>0</v>
      </c>
      <c r="O468" s="471">
        <v>0</v>
      </c>
      <c r="P468" s="471">
        <v>0</v>
      </c>
    </row>
    <row r="469" spans="1:16" hidden="1" outlineLevel="1" x14ac:dyDescent="0.2">
      <c r="A469" s="457"/>
    </row>
    <row r="470" spans="1:16" hidden="1" outlineLevel="1" x14ac:dyDescent="0.2">
      <c r="A470" s="457"/>
      <c r="D470" s="453" t="s">
        <v>1126</v>
      </c>
      <c r="F470" s="457"/>
      <c r="G470" s="471">
        <f t="array" ref="G470:P470">IF(G$433:P$433+G$436:P$436=0,0,IF(G$454=INDEX(Protocols,1,),VLOOKUP(G$433:P$433+G$436:P$436,$G$462:$H$465,2),VLOOKUP(G$433:P$433+G$436:P$436,$I$462:$J$465,2)))</f>
        <v>100</v>
      </c>
      <c r="H470" s="471">
        <v>100</v>
      </c>
      <c r="I470" s="471">
        <v>100</v>
      </c>
      <c r="J470" s="471">
        <v>10</v>
      </c>
      <c r="K470" s="471">
        <v>30</v>
      </c>
      <c r="L470" s="471">
        <v>0</v>
      </c>
      <c r="M470" s="471">
        <v>0</v>
      </c>
      <c r="N470" s="471">
        <v>0</v>
      </c>
      <c r="O470" s="471">
        <v>0</v>
      </c>
      <c r="P470" s="471">
        <v>0</v>
      </c>
    </row>
    <row r="471" spans="1:16" hidden="1" outlineLevel="1" x14ac:dyDescent="0.2">
      <c r="A471" s="457"/>
    </row>
    <row r="472" spans="1:16" hidden="1" outlineLevel="1" x14ac:dyDescent="0.2">
      <c r="A472" s="457"/>
      <c r="D472" s="453" t="s">
        <v>1127</v>
      </c>
      <c r="F472" s="457"/>
      <c r="G472" s="471">
        <f t="array" ref="G472:P472">IF(G$439:P$439=0,0,IF(G$455=INDEX(Protocols,1,),VLOOKUP(G$439:P$439,$G$462:$H$465,2),VLOOKUP(G$439:P$439,$I$462:$J$465,2)))</f>
        <v>100</v>
      </c>
      <c r="H472" s="471">
        <v>100</v>
      </c>
      <c r="I472" s="471">
        <v>100</v>
      </c>
      <c r="J472" s="471">
        <v>0</v>
      </c>
      <c r="K472" s="471">
        <v>30</v>
      </c>
      <c r="L472" s="471">
        <v>0</v>
      </c>
      <c r="M472" s="471">
        <v>0</v>
      </c>
      <c r="N472" s="471">
        <v>0</v>
      </c>
      <c r="O472" s="471">
        <v>0</v>
      </c>
      <c r="P472" s="471">
        <v>0</v>
      </c>
    </row>
    <row r="473" spans="1:16" hidden="1" outlineLevel="1" x14ac:dyDescent="0.2">
      <c r="A473" s="457"/>
    </row>
    <row r="474" spans="1:16" hidden="1" outlineLevel="1" x14ac:dyDescent="0.2">
      <c r="A474" s="457"/>
      <c r="D474" s="453" t="s">
        <v>1128</v>
      </c>
      <c r="F474" s="457"/>
      <c r="G474" s="471">
        <f t="array" ref="G474:P474">IF(G$442:P$442=0,0,IF(G$456=INDEX(Protocols,1,),VLOOKUP(G$442:P$442,$G$462:$H$465,2),VLOOKUP(G$442:P$442,$I$462:$J$465,2)))</f>
        <v>100</v>
      </c>
      <c r="H474" s="471">
        <v>100</v>
      </c>
      <c r="I474" s="471">
        <v>100</v>
      </c>
      <c r="J474" s="471">
        <v>10</v>
      </c>
      <c r="K474" s="471">
        <v>30</v>
      </c>
      <c r="L474" s="471">
        <v>0</v>
      </c>
      <c r="M474" s="471">
        <v>0</v>
      </c>
      <c r="N474" s="471">
        <v>0</v>
      </c>
      <c r="O474" s="471">
        <v>0</v>
      </c>
      <c r="P474" s="471">
        <v>0</v>
      </c>
    </row>
    <row r="475" spans="1:16" hidden="1" outlineLevel="1" x14ac:dyDescent="0.2">
      <c r="A475" s="457"/>
    </row>
    <row r="476" spans="1:16" hidden="1" outlineLevel="1" x14ac:dyDescent="0.2">
      <c r="A476" s="457"/>
    </row>
    <row r="477" spans="1:16" hidden="1" outlineLevel="1" x14ac:dyDescent="0.2">
      <c r="A477" s="457"/>
      <c r="C477" s="472" t="s">
        <v>1123</v>
      </c>
    </row>
    <row r="478" spans="1:16" hidden="1" outlineLevel="1" x14ac:dyDescent="0.2">
      <c r="A478" s="457"/>
      <c r="G478" s="468" t="s">
        <v>335</v>
      </c>
    </row>
    <row r="479" spans="1:16" hidden="1" outlineLevel="1" x14ac:dyDescent="0.2">
      <c r="A479" s="457"/>
    </row>
    <row r="480" spans="1:16" hidden="1" outlineLevel="1" x14ac:dyDescent="0.2">
      <c r="A480" s="457"/>
    </row>
    <row r="481" spans="1:16" ht="15.75" hidden="1" outlineLevel="1" x14ac:dyDescent="0.2">
      <c r="A481" s="457"/>
      <c r="B481" s="459" t="s">
        <v>1129</v>
      </c>
    </row>
    <row r="482" spans="1:16" hidden="1" outlineLevel="1" x14ac:dyDescent="0.2">
      <c r="A482" s="457"/>
    </row>
    <row r="483" spans="1:16" hidden="1" outlineLevel="1" x14ac:dyDescent="0.2">
      <c r="A483" s="457"/>
      <c r="G483" s="458" t="str">
        <f t="array" ref="G483:P483">TRANSPOSE(Geotypes)</f>
        <v>Muy denso</v>
      </c>
      <c r="H483" s="458" t="str">
        <v>Denso</v>
      </c>
      <c r="I483" s="458" t="str">
        <v>Poco denso</v>
      </c>
      <c r="J483" s="458" t="str">
        <v>Otro</v>
      </c>
      <c r="K483" s="458" t="str">
        <v>Microceldas</v>
      </c>
      <c r="L483" s="458" t="str">
        <v>spare</v>
      </c>
      <c r="M483" s="458" t="str">
        <v>spare</v>
      </c>
      <c r="N483" s="458" t="str">
        <v>spare</v>
      </c>
      <c r="O483" s="458" t="str">
        <v>spare</v>
      </c>
      <c r="P483" s="458" t="str">
        <v>spare</v>
      </c>
    </row>
    <row r="484" spans="1:16" hidden="1" outlineLevel="1" x14ac:dyDescent="0.2">
      <c r="A484" s="457"/>
      <c r="C484" s="460" t="s">
        <v>1125</v>
      </c>
    </row>
    <row r="485" spans="1:16" hidden="1" outlineLevel="1" x14ac:dyDescent="0.2">
      <c r="A485" s="457"/>
      <c r="C485" s="516">
        <v>1</v>
      </c>
      <c r="D485" s="504" t="str">
        <f>INDEX(LMA.technologies,C485,)</f>
        <v>Líneas alquiladas</v>
      </c>
      <c r="E485" s="517">
        <f t="array" ref="E485:E487">LMA.ladder.ATM</f>
        <v>2.048</v>
      </c>
      <c r="G485" s="471">
        <f t="array" ref="G485:P490">IF(E485:E490=G$468:P$468,Sites.singletech.GSM,0)*(1-LMA.hub.colocation)*$G$448</f>
        <v>0</v>
      </c>
      <c r="H485" s="471">
        <v>0</v>
      </c>
      <c r="I485" s="471">
        <v>0</v>
      </c>
      <c r="J485" s="471">
        <v>0.29070000000000001</v>
      </c>
      <c r="K485" s="471">
        <v>0</v>
      </c>
      <c r="L485" s="471">
        <v>0</v>
      </c>
      <c r="M485" s="471">
        <v>0</v>
      </c>
      <c r="N485" s="471">
        <v>0</v>
      </c>
      <c r="O485" s="471">
        <v>0</v>
      </c>
      <c r="P485" s="471">
        <v>0</v>
      </c>
    </row>
    <row r="486" spans="1:16" hidden="1" outlineLevel="1" x14ac:dyDescent="0.2">
      <c r="A486" s="457"/>
      <c r="E486" s="517">
        <v>8.4499999999999993</v>
      </c>
      <c r="G486" s="471">
        <v>0</v>
      </c>
      <c r="H486" s="471">
        <v>0</v>
      </c>
      <c r="I486" s="471">
        <v>2.5564500000000003</v>
      </c>
      <c r="J486" s="471">
        <v>0</v>
      </c>
      <c r="K486" s="471">
        <v>0</v>
      </c>
      <c r="L486" s="471">
        <v>0</v>
      </c>
      <c r="M486" s="471">
        <v>0</v>
      </c>
      <c r="N486" s="471">
        <v>0</v>
      </c>
      <c r="O486" s="471">
        <v>0</v>
      </c>
      <c r="P486" s="471">
        <v>0</v>
      </c>
    </row>
    <row r="487" spans="1:16" hidden="1" outlineLevel="1" x14ac:dyDescent="0.2">
      <c r="A487" s="457"/>
      <c r="E487" s="517">
        <v>34.369999999999997</v>
      </c>
      <c r="G487" s="471">
        <v>0</v>
      </c>
      <c r="H487" s="471">
        <v>0</v>
      </c>
      <c r="I487" s="471">
        <v>0</v>
      </c>
      <c r="J487" s="471">
        <v>0</v>
      </c>
      <c r="K487" s="471">
        <v>0</v>
      </c>
      <c r="L487" s="471">
        <v>0</v>
      </c>
      <c r="M487" s="471">
        <v>0</v>
      </c>
      <c r="N487" s="471">
        <v>0</v>
      </c>
      <c r="O487" s="471">
        <v>0</v>
      </c>
      <c r="P487" s="471">
        <v>0</v>
      </c>
    </row>
    <row r="488" spans="1:16" hidden="1" outlineLevel="1" x14ac:dyDescent="0.2">
      <c r="A488" s="457"/>
      <c r="E488" s="517">
        <f t="array" ref="E488:E490">LMA.ladder.Ethernet</f>
        <v>10</v>
      </c>
      <c r="G488" s="471">
        <v>0</v>
      </c>
      <c r="H488" s="471">
        <v>0</v>
      </c>
      <c r="I488" s="471">
        <v>0</v>
      </c>
      <c r="J488" s="471">
        <v>0</v>
      </c>
      <c r="K488" s="471">
        <v>0</v>
      </c>
      <c r="L488" s="471">
        <v>0</v>
      </c>
      <c r="M488" s="471">
        <v>0</v>
      </c>
      <c r="N488" s="471">
        <v>0</v>
      </c>
      <c r="O488" s="471">
        <v>0</v>
      </c>
      <c r="P488" s="471">
        <v>0</v>
      </c>
    </row>
    <row r="489" spans="1:16" hidden="1" outlineLevel="1" x14ac:dyDescent="0.2">
      <c r="A489" s="457"/>
      <c r="E489" s="517">
        <v>30</v>
      </c>
      <c r="G489" s="471">
        <v>0</v>
      </c>
      <c r="H489" s="471">
        <v>0</v>
      </c>
      <c r="I489" s="471">
        <v>0</v>
      </c>
      <c r="J489" s="471">
        <v>0</v>
      </c>
      <c r="K489" s="471">
        <v>0</v>
      </c>
      <c r="L489" s="471">
        <v>0</v>
      </c>
      <c r="M489" s="471">
        <v>0</v>
      </c>
      <c r="N489" s="471">
        <v>0</v>
      </c>
      <c r="O489" s="471">
        <v>0</v>
      </c>
      <c r="P489" s="471">
        <v>0</v>
      </c>
    </row>
    <row r="490" spans="1:16" hidden="1" outlineLevel="1" x14ac:dyDescent="0.2">
      <c r="A490" s="457"/>
      <c r="E490" s="517">
        <v>100</v>
      </c>
      <c r="G490" s="471">
        <v>0</v>
      </c>
      <c r="H490" s="471">
        <v>0</v>
      </c>
      <c r="I490" s="471">
        <v>0</v>
      </c>
      <c r="J490" s="471">
        <v>0</v>
      </c>
      <c r="K490" s="471">
        <v>0</v>
      </c>
      <c r="L490" s="471">
        <v>0</v>
      </c>
      <c r="M490" s="471">
        <v>0</v>
      </c>
      <c r="N490" s="471">
        <v>0</v>
      </c>
      <c r="O490" s="471">
        <v>0</v>
      </c>
      <c r="P490" s="471">
        <v>0</v>
      </c>
    </row>
    <row r="491" spans="1:16" hidden="1" outlineLevel="1" x14ac:dyDescent="0.2">
      <c r="A491" s="457"/>
    </row>
    <row r="492" spans="1:16" hidden="1" outlineLevel="1" x14ac:dyDescent="0.2">
      <c r="A492" s="457"/>
      <c r="C492" s="516">
        <v>2</v>
      </c>
      <c r="D492" s="504" t="str">
        <f>INDEX(LMA.technologies,C492,)</f>
        <v>Microondas</v>
      </c>
      <c r="E492" s="517">
        <f t="array" ref="E492:E494">LMA.ladder.ATM</f>
        <v>2.048</v>
      </c>
      <c r="G492" s="471">
        <f t="array" ref="G492:P497">IF(E492:E497=G$468:P$468,Sites.singletech.GSM,0)*(1-LMA.hub.colocation)*$G$449</f>
        <v>0</v>
      </c>
      <c r="H492" s="471">
        <v>0</v>
      </c>
      <c r="I492" s="471">
        <v>0</v>
      </c>
      <c r="J492" s="471">
        <v>18.451799999999999</v>
      </c>
      <c r="K492" s="471">
        <v>0</v>
      </c>
      <c r="L492" s="471">
        <v>0</v>
      </c>
      <c r="M492" s="471">
        <v>0</v>
      </c>
      <c r="N492" s="471">
        <v>0</v>
      </c>
      <c r="O492" s="471">
        <v>0</v>
      </c>
      <c r="P492" s="471">
        <v>0</v>
      </c>
    </row>
    <row r="493" spans="1:16" hidden="1" outlineLevel="1" x14ac:dyDescent="0.2">
      <c r="A493" s="457"/>
      <c r="E493" s="517">
        <v>8.4499999999999993</v>
      </c>
      <c r="G493" s="471">
        <v>0</v>
      </c>
      <c r="H493" s="471">
        <v>0</v>
      </c>
      <c r="I493" s="471">
        <v>162.26730000000001</v>
      </c>
      <c r="J493" s="471">
        <v>0</v>
      </c>
      <c r="K493" s="471">
        <v>0</v>
      </c>
      <c r="L493" s="471">
        <v>0</v>
      </c>
      <c r="M493" s="471">
        <v>0</v>
      </c>
      <c r="N493" s="471">
        <v>0</v>
      </c>
      <c r="O493" s="471">
        <v>0</v>
      </c>
      <c r="P493" s="471">
        <v>0</v>
      </c>
    </row>
    <row r="494" spans="1:16" hidden="1" outlineLevel="1" x14ac:dyDescent="0.2">
      <c r="A494" s="457"/>
      <c r="E494" s="517">
        <v>34.369999999999997</v>
      </c>
      <c r="G494" s="471">
        <v>0</v>
      </c>
      <c r="H494" s="471">
        <v>0</v>
      </c>
      <c r="I494" s="471">
        <v>0</v>
      </c>
      <c r="J494" s="471">
        <v>0</v>
      </c>
      <c r="K494" s="471">
        <v>0</v>
      </c>
      <c r="L494" s="471">
        <v>0</v>
      </c>
      <c r="M494" s="471">
        <v>0</v>
      </c>
      <c r="N494" s="471">
        <v>0</v>
      </c>
      <c r="O494" s="471">
        <v>0</v>
      </c>
      <c r="P494" s="471">
        <v>0</v>
      </c>
    </row>
    <row r="495" spans="1:16" hidden="1" outlineLevel="1" x14ac:dyDescent="0.2">
      <c r="A495" s="457"/>
      <c r="C495" s="460"/>
      <c r="E495" s="517">
        <f t="array" ref="E495:E497">LMA.ladder.Ethernet</f>
        <v>10</v>
      </c>
      <c r="G495" s="471">
        <v>0</v>
      </c>
      <c r="H495" s="471">
        <v>0</v>
      </c>
      <c r="I495" s="471">
        <v>0</v>
      </c>
      <c r="J495" s="471">
        <v>0</v>
      </c>
      <c r="K495" s="471">
        <v>0</v>
      </c>
      <c r="L495" s="471">
        <v>0</v>
      </c>
      <c r="M495" s="471">
        <v>0</v>
      </c>
      <c r="N495" s="471">
        <v>0</v>
      </c>
      <c r="O495" s="471">
        <v>0</v>
      </c>
      <c r="P495" s="471">
        <v>0</v>
      </c>
    </row>
    <row r="496" spans="1:16" hidden="1" outlineLevel="1" x14ac:dyDescent="0.2">
      <c r="A496" s="457"/>
      <c r="C496" s="460"/>
      <c r="E496" s="517">
        <v>30</v>
      </c>
      <c r="G496" s="471">
        <v>0</v>
      </c>
      <c r="H496" s="471">
        <v>0</v>
      </c>
      <c r="I496" s="471">
        <v>0</v>
      </c>
      <c r="J496" s="471">
        <v>0</v>
      </c>
      <c r="K496" s="471">
        <v>0</v>
      </c>
      <c r="L496" s="471">
        <v>0</v>
      </c>
      <c r="M496" s="471">
        <v>0</v>
      </c>
      <c r="N496" s="471">
        <v>0</v>
      </c>
      <c r="O496" s="471">
        <v>0</v>
      </c>
      <c r="P496" s="471">
        <v>0</v>
      </c>
    </row>
    <row r="497" spans="1:16" hidden="1" outlineLevel="1" x14ac:dyDescent="0.2">
      <c r="A497" s="457"/>
      <c r="C497" s="460"/>
      <c r="E497" s="517">
        <v>100</v>
      </c>
      <c r="G497" s="471">
        <v>0</v>
      </c>
      <c r="H497" s="471">
        <v>0</v>
      </c>
      <c r="I497" s="471">
        <v>0</v>
      </c>
      <c r="J497" s="471">
        <v>0</v>
      </c>
      <c r="K497" s="471">
        <v>0</v>
      </c>
      <c r="L497" s="471">
        <v>0</v>
      </c>
      <c r="M497" s="471">
        <v>0</v>
      </c>
      <c r="N497" s="471">
        <v>0</v>
      </c>
      <c r="O497" s="471">
        <v>0</v>
      </c>
      <c r="P497" s="471">
        <v>0</v>
      </c>
    </row>
    <row r="498" spans="1:16" hidden="1" outlineLevel="1" x14ac:dyDescent="0.2">
      <c r="A498" s="457"/>
      <c r="C498" s="460"/>
    </row>
    <row r="499" spans="1:16" hidden="1" outlineLevel="1" x14ac:dyDescent="0.2">
      <c r="A499" s="457"/>
      <c r="C499" s="516">
        <v>3</v>
      </c>
      <c r="D499" s="504" t="str">
        <f>INDEX(LMA.technologies,C499,)</f>
        <v>Fibra</v>
      </c>
      <c r="G499" s="471">
        <f t="array" ref="G499:P499">Sites.singletech.GSM*(1-LMA.hub.colocation)*$G$450</f>
        <v>0</v>
      </c>
      <c r="H499" s="471">
        <v>0</v>
      </c>
      <c r="I499" s="471">
        <v>104.27625000000003</v>
      </c>
      <c r="J499" s="471">
        <v>11.857500000000002</v>
      </c>
      <c r="K499" s="471">
        <v>0</v>
      </c>
      <c r="L499" s="471">
        <v>0</v>
      </c>
      <c r="M499" s="471">
        <v>0</v>
      </c>
      <c r="N499" s="471">
        <v>0</v>
      </c>
      <c r="O499" s="471">
        <v>0</v>
      </c>
      <c r="P499" s="471">
        <v>0</v>
      </c>
    </row>
    <row r="500" spans="1:16" hidden="1" outlineLevel="1" x14ac:dyDescent="0.2">
      <c r="A500" s="457"/>
      <c r="C500" s="460"/>
    </row>
    <row r="501" spans="1:16" hidden="1" outlineLevel="1" x14ac:dyDescent="0.2">
      <c r="A501" s="457"/>
      <c r="C501" s="460"/>
    </row>
    <row r="502" spans="1:16" hidden="1" outlineLevel="1" x14ac:dyDescent="0.2">
      <c r="A502" s="457"/>
      <c r="C502" s="460" t="s">
        <v>1130</v>
      </c>
    </row>
    <row r="503" spans="1:16" hidden="1" outlineLevel="1" x14ac:dyDescent="0.2">
      <c r="A503" s="457"/>
      <c r="C503" s="516">
        <v>1</v>
      </c>
      <c r="D503" s="504" t="str">
        <f>INDEX(LMA.technologies,C503,)</f>
        <v>Líneas alquiladas</v>
      </c>
      <c r="E503" s="517">
        <f t="array" ref="E503:E505">LMA.ladder.ATM</f>
        <v>2.048</v>
      </c>
      <c r="G503" s="471">
        <f t="array" ref="G503:P508">IF(E503:E508=G$470:P$470,Sites.singletech.UMTS,0)*(1-LMA.hub.colocation)*$G$448</f>
        <v>0</v>
      </c>
      <c r="H503" s="471">
        <v>0</v>
      </c>
      <c r="I503" s="471">
        <v>0</v>
      </c>
      <c r="J503" s="471">
        <v>0</v>
      </c>
      <c r="K503" s="471">
        <v>0</v>
      </c>
      <c r="L503" s="471">
        <v>0</v>
      </c>
      <c r="M503" s="471">
        <v>0</v>
      </c>
      <c r="N503" s="471">
        <v>0</v>
      </c>
      <c r="O503" s="471">
        <v>0</v>
      </c>
      <c r="P503" s="471">
        <v>0</v>
      </c>
    </row>
    <row r="504" spans="1:16" hidden="1" outlineLevel="1" x14ac:dyDescent="0.2">
      <c r="A504" s="457"/>
      <c r="E504" s="517">
        <v>8.4499999999999993</v>
      </c>
      <c r="G504" s="471">
        <v>0</v>
      </c>
      <c r="H504" s="471">
        <v>0</v>
      </c>
      <c r="I504" s="471">
        <v>0</v>
      </c>
      <c r="J504" s="471">
        <v>0</v>
      </c>
      <c r="K504" s="471">
        <v>0</v>
      </c>
      <c r="L504" s="471">
        <v>0</v>
      </c>
      <c r="M504" s="471">
        <v>0</v>
      </c>
      <c r="N504" s="471">
        <v>0</v>
      </c>
      <c r="O504" s="471">
        <v>0</v>
      </c>
      <c r="P504" s="471">
        <v>0</v>
      </c>
    </row>
    <row r="505" spans="1:16" hidden="1" outlineLevel="1" x14ac:dyDescent="0.2">
      <c r="A505" s="457"/>
      <c r="E505" s="517">
        <v>34.369999999999997</v>
      </c>
      <c r="G505" s="471">
        <v>0</v>
      </c>
      <c r="H505" s="471">
        <v>0</v>
      </c>
      <c r="I505" s="471">
        <v>0</v>
      </c>
      <c r="J505" s="471">
        <v>0</v>
      </c>
      <c r="K505" s="471">
        <v>0</v>
      </c>
      <c r="L505" s="471">
        <v>0</v>
      </c>
      <c r="M505" s="471">
        <v>0</v>
      </c>
      <c r="N505" s="471">
        <v>0</v>
      </c>
      <c r="O505" s="471">
        <v>0</v>
      </c>
      <c r="P505" s="471">
        <v>0</v>
      </c>
    </row>
    <row r="506" spans="1:16" hidden="1" outlineLevel="1" x14ac:dyDescent="0.2">
      <c r="A506" s="457"/>
      <c r="E506" s="517">
        <f t="array" ref="E506:E508">LMA.ladder.Ethernet</f>
        <v>10</v>
      </c>
      <c r="G506" s="471">
        <v>0</v>
      </c>
      <c r="H506" s="471">
        <v>0</v>
      </c>
      <c r="I506" s="471">
        <v>0</v>
      </c>
      <c r="J506" s="471">
        <v>0</v>
      </c>
      <c r="K506" s="471">
        <v>0</v>
      </c>
      <c r="L506" s="471">
        <v>0</v>
      </c>
      <c r="M506" s="471">
        <v>0</v>
      </c>
      <c r="N506" s="471">
        <v>0</v>
      </c>
      <c r="O506" s="471">
        <v>0</v>
      </c>
      <c r="P506" s="471">
        <v>0</v>
      </c>
    </row>
    <row r="507" spans="1:16" hidden="1" outlineLevel="1" x14ac:dyDescent="0.2">
      <c r="A507" s="457"/>
      <c r="E507" s="517">
        <v>30</v>
      </c>
      <c r="G507" s="471">
        <v>0</v>
      </c>
      <c r="H507" s="471">
        <v>0</v>
      </c>
      <c r="I507" s="471">
        <v>0</v>
      </c>
      <c r="J507" s="471">
        <v>0</v>
      </c>
      <c r="K507" s="471">
        <v>0</v>
      </c>
      <c r="L507" s="471">
        <v>0</v>
      </c>
      <c r="M507" s="471">
        <v>0</v>
      </c>
      <c r="N507" s="471">
        <v>0</v>
      </c>
      <c r="O507" s="471">
        <v>0</v>
      </c>
      <c r="P507" s="471">
        <v>0</v>
      </c>
    </row>
    <row r="508" spans="1:16" hidden="1" outlineLevel="1" x14ac:dyDescent="0.2">
      <c r="A508" s="457"/>
      <c r="E508" s="517">
        <v>100</v>
      </c>
      <c r="G508" s="471">
        <v>0</v>
      </c>
      <c r="H508" s="471">
        <v>0</v>
      </c>
      <c r="I508" s="471">
        <v>0</v>
      </c>
      <c r="J508" s="471">
        <v>0</v>
      </c>
      <c r="K508" s="471">
        <v>0</v>
      </c>
      <c r="L508" s="471">
        <v>0</v>
      </c>
      <c r="M508" s="471">
        <v>0</v>
      </c>
      <c r="N508" s="471">
        <v>0</v>
      </c>
      <c r="O508" s="471">
        <v>0</v>
      </c>
      <c r="P508" s="471">
        <v>0</v>
      </c>
    </row>
    <row r="509" spans="1:16" hidden="1" outlineLevel="1" x14ac:dyDescent="0.2">
      <c r="A509" s="457"/>
    </row>
    <row r="510" spans="1:16" hidden="1" outlineLevel="1" x14ac:dyDescent="0.2">
      <c r="A510" s="457"/>
      <c r="C510" s="516">
        <v>2</v>
      </c>
      <c r="D510" s="504" t="str">
        <f>INDEX(LMA.technologies,C510,)</f>
        <v>Microondas</v>
      </c>
      <c r="E510" s="517">
        <f t="array" ref="E510:E512">LMA.ladder.ATM</f>
        <v>2.048</v>
      </c>
      <c r="G510" s="471">
        <f t="array" ref="G510:P515">IF(E510:E515=G$470:P$470,Sites.singletech.UMTS,0)*(1-LMA.hub.colocation)*$G$449</f>
        <v>0</v>
      </c>
      <c r="H510" s="471">
        <v>0</v>
      </c>
      <c r="I510" s="471">
        <v>0</v>
      </c>
      <c r="J510" s="471">
        <v>0</v>
      </c>
      <c r="K510" s="471">
        <v>0</v>
      </c>
      <c r="L510" s="471">
        <v>0</v>
      </c>
      <c r="M510" s="471">
        <v>0</v>
      </c>
      <c r="N510" s="471">
        <v>0</v>
      </c>
      <c r="O510" s="471">
        <v>0</v>
      </c>
      <c r="P510" s="471">
        <v>0</v>
      </c>
    </row>
    <row r="511" spans="1:16" hidden="1" outlineLevel="1" x14ac:dyDescent="0.2">
      <c r="A511" s="457"/>
      <c r="E511" s="517">
        <v>8.4499999999999993</v>
      </c>
      <c r="G511" s="471">
        <v>0</v>
      </c>
      <c r="H511" s="471">
        <v>0</v>
      </c>
      <c r="I511" s="471">
        <v>0</v>
      </c>
      <c r="J511" s="471">
        <v>0</v>
      </c>
      <c r="K511" s="471">
        <v>0</v>
      </c>
      <c r="L511" s="471">
        <v>0</v>
      </c>
      <c r="M511" s="471">
        <v>0</v>
      </c>
      <c r="N511" s="471">
        <v>0</v>
      </c>
      <c r="O511" s="471">
        <v>0</v>
      </c>
      <c r="P511" s="471">
        <v>0</v>
      </c>
    </row>
    <row r="512" spans="1:16" hidden="1" outlineLevel="1" x14ac:dyDescent="0.2">
      <c r="A512" s="457"/>
      <c r="E512" s="517">
        <v>34.369999999999997</v>
      </c>
      <c r="G512" s="471">
        <v>0</v>
      </c>
      <c r="H512" s="471">
        <v>0</v>
      </c>
      <c r="I512" s="471">
        <v>0</v>
      </c>
      <c r="J512" s="471">
        <v>0</v>
      </c>
      <c r="K512" s="471">
        <v>0</v>
      </c>
      <c r="L512" s="471">
        <v>0</v>
      </c>
      <c r="M512" s="471">
        <v>0</v>
      </c>
      <c r="N512" s="471">
        <v>0</v>
      </c>
      <c r="O512" s="471">
        <v>0</v>
      </c>
      <c r="P512" s="471">
        <v>0</v>
      </c>
    </row>
    <row r="513" spans="1:16" hidden="1" outlineLevel="1" x14ac:dyDescent="0.2">
      <c r="A513" s="457"/>
      <c r="E513" s="517">
        <f t="array" ref="E513:E515">LMA.ladder.Ethernet</f>
        <v>10</v>
      </c>
      <c r="G513" s="471">
        <v>0</v>
      </c>
      <c r="H513" s="471">
        <v>0</v>
      </c>
      <c r="I513" s="471">
        <v>0</v>
      </c>
      <c r="J513" s="471">
        <v>0</v>
      </c>
      <c r="K513" s="471">
        <v>0</v>
      </c>
      <c r="L513" s="471">
        <v>0</v>
      </c>
      <c r="M513" s="471">
        <v>0</v>
      </c>
      <c r="N513" s="471">
        <v>0</v>
      </c>
      <c r="O513" s="471">
        <v>0</v>
      </c>
      <c r="P513" s="471">
        <v>0</v>
      </c>
    </row>
    <row r="514" spans="1:16" hidden="1" outlineLevel="1" x14ac:dyDescent="0.2">
      <c r="A514" s="457"/>
      <c r="E514" s="517">
        <v>30</v>
      </c>
      <c r="G514" s="471">
        <v>0</v>
      </c>
      <c r="H514" s="471">
        <v>0</v>
      </c>
      <c r="I514" s="471">
        <v>0</v>
      </c>
      <c r="J514" s="471">
        <v>0</v>
      </c>
      <c r="K514" s="471">
        <v>0</v>
      </c>
      <c r="L514" s="471">
        <v>0</v>
      </c>
      <c r="M514" s="471">
        <v>0</v>
      </c>
      <c r="N514" s="471">
        <v>0</v>
      </c>
      <c r="O514" s="471">
        <v>0</v>
      </c>
      <c r="P514" s="471">
        <v>0</v>
      </c>
    </row>
    <row r="515" spans="1:16" hidden="1" outlineLevel="1" x14ac:dyDescent="0.2">
      <c r="A515" s="457"/>
      <c r="E515" s="517">
        <v>100</v>
      </c>
      <c r="G515" s="471">
        <v>0</v>
      </c>
      <c r="H515" s="471">
        <v>0</v>
      </c>
      <c r="I515" s="471">
        <v>0</v>
      </c>
      <c r="J515" s="471">
        <v>0</v>
      </c>
      <c r="K515" s="471">
        <v>0</v>
      </c>
      <c r="L515" s="471">
        <v>0</v>
      </c>
      <c r="M515" s="471">
        <v>0</v>
      </c>
      <c r="N515" s="471">
        <v>0</v>
      </c>
      <c r="O515" s="471">
        <v>0</v>
      </c>
      <c r="P515" s="471">
        <v>0</v>
      </c>
    </row>
    <row r="516" spans="1:16" hidden="1" outlineLevel="1" x14ac:dyDescent="0.2">
      <c r="A516" s="457"/>
      <c r="C516" s="460"/>
    </row>
    <row r="517" spans="1:16" hidden="1" outlineLevel="1" x14ac:dyDescent="0.2">
      <c r="A517" s="457"/>
      <c r="C517" s="516">
        <v>3</v>
      </c>
      <c r="D517" s="504" t="str">
        <f>INDEX(LMA.technologies,C517,)</f>
        <v>Fibra</v>
      </c>
      <c r="G517" s="471">
        <f t="array" ref="G517:P517">Sites.singletech.UMTS*(1-LMA.hub.colocation)*$G$450</f>
        <v>0</v>
      </c>
      <c r="H517" s="471">
        <v>0</v>
      </c>
      <c r="I517" s="471">
        <v>0</v>
      </c>
      <c r="J517" s="471">
        <v>0</v>
      </c>
      <c r="K517" s="471">
        <v>0</v>
      </c>
      <c r="L517" s="471">
        <v>0</v>
      </c>
      <c r="M517" s="471">
        <v>0</v>
      </c>
      <c r="N517" s="471">
        <v>0</v>
      </c>
      <c r="O517" s="471">
        <v>0</v>
      </c>
      <c r="P517" s="471">
        <v>0</v>
      </c>
    </row>
    <row r="518" spans="1:16" hidden="1" outlineLevel="1" x14ac:dyDescent="0.2">
      <c r="A518" s="457"/>
      <c r="C518" s="460"/>
    </row>
    <row r="519" spans="1:16" hidden="1" outlineLevel="1" x14ac:dyDescent="0.2">
      <c r="A519" s="457"/>
      <c r="C519" s="460"/>
    </row>
    <row r="520" spans="1:16" hidden="1" outlineLevel="1" x14ac:dyDescent="0.2">
      <c r="A520" s="457"/>
      <c r="C520" s="460" t="s">
        <v>1131</v>
      </c>
    </row>
    <row r="521" spans="1:16" hidden="1" outlineLevel="1" x14ac:dyDescent="0.2">
      <c r="A521" s="457"/>
      <c r="C521" s="516">
        <v>1</v>
      </c>
      <c r="D521" s="504" t="str">
        <f>INDEX(LMA.technologies,C521,)</f>
        <v>Líneas alquiladas</v>
      </c>
      <c r="E521" s="517">
        <f t="array" ref="E521:E523">LMA.ladder.ATM</f>
        <v>2.048</v>
      </c>
      <c r="G521" s="471">
        <f t="array" ref="G521:P526">IF(E521:E526=G$472:P$472,Sites.singletech.LTE,0)*(1-LMA.hub.colocation)*$G$448</f>
        <v>0</v>
      </c>
      <c r="H521" s="471">
        <v>0</v>
      </c>
      <c r="I521" s="471">
        <v>0</v>
      </c>
      <c r="J521" s="471">
        <v>0</v>
      </c>
      <c r="K521" s="471">
        <v>0</v>
      </c>
      <c r="L521" s="471">
        <v>0</v>
      </c>
      <c r="M521" s="471">
        <v>0</v>
      </c>
      <c r="N521" s="471">
        <v>0</v>
      </c>
      <c r="O521" s="471">
        <v>0</v>
      </c>
      <c r="P521" s="471">
        <v>0</v>
      </c>
    </row>
    <row r="522" spans="1:16" hidden="1" outlineLevel="1" x14ac:dyDescent="0.2">
      <c r="A522" s="457"/>
      <c r="E522" s="517">
        <v>8.4499999999999993</v>
      </c>
      <c r="G522" s="471">
        <v>0</v>
      </c>
      <c r="H522" s="471">
        <v>0</v>
      </c>
      <c r="I522" s="471">
        <v>0</v>
      </c>
      <c r="J522" s="471">
        <v>0</v>
      </c>
      <c r="K522" s="471">
        <v>0</v>
      </c>
      <c r="L522" s="471">
        <v>0</v>
      </c>
      <c r="M522" s="471">
        <v>0</v>
      </c>
      <c r="N522" s="471">
        <v>0</v>
      </c>
      <c r="O522" s="471">
        <v>0</v>
      </c>
      <c r="P522" s="471">
        <v>0</v>
      </c>
    </row>
    <row r="523" spans="1:16" hidden="1" outlineLevel="1" x14ac:dyDescent="0.2">
      <c r="A523" s="457"/>
      <c r="E523" s="517">
        <v>34.369999999999997</v>
      </c>
      <c r="G523" s="471">
        <v>0</v>
      </c>
      <c r="H523" s="471">
        <v>0</v>
      </c>
      <c r="I523" s="471">
        <v>0</v>
      </c>
      <c r="J523" s="471">
        <v>0</v>
      </c>
      <c r="K523" s="471">
        <v>0</v>
      </c>
      <c r="L523" s="471">
        <v>0</v>
      </c>
      <c r="M523" s="471">
        <v>0</v>
      </c>
      <c r="N523" s="471">
        <v>0</v>
      </c>
      <c r="O523" s="471">
        <v>0</v>
      </c>
      <c r="P523" s="471">
        <v>0</v>
      </c>
    </row>
    <row r="524" spans="1:16" hidden="1" outlineLevel="1" x14ac:dyDescent="0.2">
      <c r="A524" s="457"/>
      <c r="E524" s="517">
        <f t="array" ref="E524:E526">LMA.ladder.Ethernet</f>
        <v>10</v>
      </c>
      <c r="G524" s="471">
        <v>0</v>
      </c>
      <c r="H524" s="471">
        <v>0</v>
      </c>
      <c r="I524" s="471">
        <v>0</v>
      </c>
      <c r="J524" s="471">
        <v>0</v>
      </c>
      <c r="K524" s="471">
        <v>0</v>
      </c>
      <c r="L524" s="471">
        <v>0</v>
      </c>
      <c r="M524" s="471">
        <v>0</v>
      </c>
      <c r="N524" s="471">
        <v>0</v>
      </c>
      <c r="O524" s="471">
        <v>0</v>
      </c>
      <c r="P524" s="471">
        <v>0</v>
      </c>
    </row>
    <row r="525" spans="1:16" hidden="1" outlineLevel="1" x14ac:dyDescent="0.2">
      <c r="A525" s="457"/>
      <c r="E525" s="517">
        <v>30</v>
      </c>
      <c r="G525" s="471">
        <v>0</v>
      </c>
      <c r="H525" s="471">
        <v>0</v>
      </c>
      <c r="I525" s="471">
        <v>0</v>
      </c>
      <c r="J525" s="471">
        <v>0</v>
      </c>
      <c r="K525" s="471">
        <v>0</v>
      </c>
      <c r="L525" s="471">
        <v>0</v>
      </c>
      <c r="M525" s="471">
        <v>0</v>
      </c>
      <c r="N525" s="471">
        <v>0</v>
      </c>
      <c r="O525" s="471">
        <v>0</v>
      </c>
      <c r="P525" s="471">
        <v>0</v>
      </c>
    </row>
    <row r="526" spans="1:16" hidden="1" outlineLevel="1" x14ac:dyDescent="0.2">
      <c r="A526" s="457"/>
      <c r="E526" s="517">
        <v>100</v>
      </c>
      <c r="G526" s="471">
        <v>11.894</v>
      </c>
      <c r="H526" s="471">
        <v>2.2324999999999999</v>
      </c>
      <c r="I526" s="471">
        <v>0</v>
      </c>
      <c r="J526" s="471">
        <v>0</v>
      </c>
      <c r="K526" s="471">
        <v>0</v>
      </c>
      <c r="L526" s="471">
        <v>0</v>
      </c>
      <c r="M526" s="471">
        <v>0</v>
      </c>
      <c r="N526" s="471">
        <v>0</v>
      </c>
      <c r="O526" s="471">
        <v>0</v>
      </c>
      <c r="P526" s="471">
        <v>0</v>
      </c>
    </row>
    <row r="527" spans="1:16" hidden="1" outlineLevel="1" x14ac:dyDescent="0.2">
      <c r="A527" s="457"/>
    </row>
    <row r="528" spans="1:16" hidden="1" outlineLevel="1" x14ac:dyDescent="0.2">
      <c r="A528" s="457"/>
      <c r="C528" s="516">
        <v>2</v>
      </c>
      <c r="D528" s="504" t="str">
        <f>INDEX(LMA.technologies,C528,)</f>
        <v>Microondas</v>
      </c>
      <c r="E528" s="517">
        <f t="array" ref="E528:E530">LMA.ladder.ATM</f>
        <v>2.048</v>
      </c>
      <c r="G528" s="471">
        <f t="array" ref="G528:P533">IF(E528:E533=G$472:P$472,Sites.singletech.LTE,0)*(1-LMA.hub.colocation)*$G$449</f>
        <v>0</v>
      </c>
      <c r="H528" s="471">
        <v>0</v>
      </c>
      <c r="I528" s="471">
        <v>0</v>
      </c>
      <c r="J528" s="471">
        <v>0</v>
      </c>
      <c r="K528" s="471">
        <v>0</v>
      </c>
      <c r="L528" s="471">
        <v>0</v>
      </c>
      <c r="M528" s="471">
        <v>0</v>
      </c>
      <c r="N528" s="471">
        <v>0</v>
      </c>
      <c r="O528" s="471">
        <v>0</v>
      </c>
      <c r="P528" s="471">
        <v>0</v>
      </c>
    </row>
    <row r="529" spans="1:18" hidden="1" outlineLevel="1" x14ac:dyDescent="0.2">
      <c r="A529" s="457"/>
      <c r="E529" s="517">
        <v>8.4499999999999993</v>
      </c>
      <c r="G529" s="471">
        <v>0</v>
      </c>
      <c r="H529" s="471">
        <v>0</v>
      </c>
      <c r="I529" s="471">
        <v>0</v>
      </c>
      <c r="J529" s="471">
        <v>0</v>
      </c>
      <c r="K529" s="471">
        <v>0</v>
      </c>
      <c r="L529" s="471">
        <v>0</v>
      </c>
      <c r="M529" s="471">
        <v>0</v>
      </c>
      <c r="N529" s="471">
        <v>0</v>
      </c>
      <c r="O529" s="471">
        <v>0</v>
      </c>
      <c r="P529" s="471">
        <v>0</v>
      </c>
    </row>
    <row r="530" spans="1:18" hidden="1" outlineLevel="1" x14ac:dyDescent="0.2">
      <c r="A530" s="457"/>
      <c r="E530" s="517">
        <v>34.369999999999997</v>
      </c>
      <c r="G530" s="471">
        <v>0</v>
      </c>
      <c r="H530" s="471">
        <v>0</v>
      </c>
      <c r="I530" s="471">
        <v>0</v>
      </c>
      <c r="J530" s="471">
        <v>0</v>
      </c>
      <c r="K530" s="471">
        <v>0</v>
      </c>
      <c r="L530" s="471">
        <v>0</v>
      </c>
      <c r="M530" s="471">
        <v>0</v>
      </c>
      <c r="N530" s="471">
        <v>0</v>
      </c>
      <c r="O530" s="471">
        <v>0</v>
      </c>
      <c r="P530" s="471">
        <v>0</v>
      </c>
    </row>
    <row r="531" spans="1:18" hidden="1" outlineLevel="1" x14ac:dyDescent="0.2">
      <c r="A531" s="457"/>
      <c r="E531" s="517">
        <f t="array" ref="E531:E533">LMA.ladder.Ethernet</f>
        <v>10</v>
      </c>
      <c r="G531" s="471">
        <v>0</v>
      </c>
      <c r="H531" s="471">
        <v>0</v>
      </c>
      <c r="I531" s="471">
        <v>0</v>
      </c>
      <c r="J531" s="471">
        <v>0</v>
      </c>
      <c r="K531" s="471">
        <v>0</v>
      </c>
      <c r="L531" s="471">
        <v>0</v>
      </c>
      <c r="M531" s="471">
        <v>0</v>
      </c>
      <c r="N531" s="471">
        <v>0</v>
      </c>
      <c r="O531" s="471">
        <v>0</v>
      </c>
      <c r="P531" s="471">
        <v>0</v>
      </c>
    </row>
    <row r="532" spans="1:18" hidden="1" outlineLevel="1" x14ac:dyDescent="0.2">
      <c r="A532" s="457"/>
      <c r="E532" s="517">
        <v>30</v>
      </c>
      <c r="G532" s="471">
        <v>0</v>
      </c>
      <c r="H532" s="471">
        <v>0</v>
      </c>
      <c r="I532" s="471">
        <v>0</v>
      </c>
      <c r="J532" s="471">
        <v>0</v>
      </c>
      <c r="K532" s="471">
        <v>0</v>
      </c>
      <c r="L532" s="471">
        <v>0</v>
      </c>
      <c r="M532" s="471">
        <v>0</v>
      </c>
      <c r="N532" s="471">
        <v>0</v>
      </c>
      <c r="O532" s="471">
        <v>0</v>
      </c>
      <c r="P532" s="471">
        <v>0</v>
      </c>
    </row>
    <row r="533" spans="1:18" hidden="1" outlineLevel="1" x14ac:dyDescent="0.2">
      <c r="A533" s="457"/>
      <c r="E533" s="517">
        <v>100</v>
      </c>
      <c r="G533" s="471">
        <v>754.95600000000002</v>
      </c>
      <c r="H533" s="471">
        <v>141.70499999999998</v>
      </c>
      <c r="I533" s="471">
        <v>0</v>
      </c>
      <c r="J533" s="471">
        <v>0</v>
      </c>
      <c r="K533" s="471">
        <v>0</v>
      </c>
      <c r="L533" s="471">
        <v>0</v>
      </c>
      <c r="M533" s="471">
        <v>0</v>
      </c>
      <c r="N533" s="471">
        <v>0</v>
      </c>
      <c r="O533" s="471">
        <v>0</v>
      </c>
      <c r="P533" s="471">
        <v>0</v>
      </c>
    </row>
    <row r="534" spans="1:18" hidden="1" outlineLevel="1" x14ac:dyDescent="0.2">
      <c r="A534" s="457"/>
      <c r="C534" s="460"/>
    </row>
    <row r="535" spans="1:18" hidden="1" outlineLevel="1" x14ac:dyDescent="0.2">
      <c r="A535" s="457"/>
      <c r="C535" s="516">
        <v>3</v>
      </c>
      <c r="D535" s="504" t="str">
        <f>INDEX(LMA.technologies,C535,)</f>
        <v>Fibra</v>
      </c>
      <c r="G535" s="471">
        <f t="array" ref="G535:P535">Sites.singletech.LTE*(1-LMA.hub.colocation)*$G$450</f>
        <v>436.63500000000005</v>
      </c>
      <c r="H535" s="471">
        <v>81.956250000000011</v>
      </c>
      <c r="I535" s="471">
        <v>0</v>
      </c>
      <c r="J535" s="471">
        <v>0</v>
      </c>
      <c r="K535" s="471">
        <v>0</v>
      </c>
      <c r="L535" s="471">
        <v>0</v>
      </c>
      <c r="M535" s="471">
        <v>0</v>
      </c>
      <c r="N535" s="471">
        <v>0</v>
      </c>
      <c r="O535" s="471">
        <v>0</v>
      </c>
      <c r="P535" s="471">
        <v>0</v>
      </c>
    </row>
    <row r="536" spans="1:18" hidden="1" outlineLevel="1" x14ac:dyDescent="0.2">
      <c r="A536" s="457"/>
      <c r="C536" s="460"/>
    </row>
    <row r="537" spans="1:18" hidden="1" outlineLevel="1" x14ac:dyDescent="0.2">
      <c r="A537" s="457"/>
      <c r="C537" s="460"/>
    </row>
    <row r="538" spans="1:18" hidden="1" outlineLevel="1" x14ac:dyDescent="0.2">
      <c r="A538" s="457"/>
      <c r="C538" s="460" t="s">
        <v>1128</v>
      </c>
    </row>
    <row r="539" spans="1:18" hidden="1" outlineLevel="1" x14ac:dyDescent="0.2">
      <c r="A539" s="457"/>
      <c r="C539" s="516">
        <v>1</v>
      </c>
      <c r="D539" s="504" t="str">
        <f>INDEX(LMA.technologies,C539,)</f>
        <v>Líneas alquiladas</v>
      </c>
      <c r="E539" s="517">
        <f t="array" ref="E539:E541">LMA.ladder.ATM</f>
        <v>2.048</v>
      </c>
      <c r="G539" s="471">
        <f t="array" ref="G539:P544">IF(E539:E544=G$474:P$474,Sites.multitech,0)*(1-LMA.hub.colocation)*$G$448</f>
        <v>0</v>
      </c>
      <c r="H539" s="471">
        <v>0</v>
      </c>
      <c r="I539" s="471">
        <v>0</v>
      </c>
      <c r="J539" s="471">
        <v>0</v>
      </c>
      <c r="K539" s="471">
        <v>0</v>
      </c>
      <c r="L539" s="471">
        <v>0</v>
      </c>
      <c r="M539" s="471">
        <v>0</v>
      </c>
      <c r="N539" s="471">
        <v>0</v>
      </c>
      <c r="O539" s="471">
        <v>0</v>
      </c>
      <c r="P539" s="471">
        <v>0</v>
      </c>
      <c r="R539" s="457"/>
    </row>
    <row r="540" spans="1:18" hidden="1" outlineLevel="1" x14ac:dyDescent="0.2">
      <c r="A540" s="457"/>
      <c r="E540" s="517">
        <v>8.4499999999999993</v>
      </c>
      <c r="G540" s="471">
        <v>0</v>
      </c>
      <c r="H540" s="471">
        <v>0</v>
      </c>
      <c r="I540" s="471">
        <v>0</v>
      </c>
      <c r="J540" s="471">
        <v>0</v>
      </c>
      <c r="K540" s="471">
        <v>0</v>
      </c>
      <c r="L540" s="471">
        <v>0</v>
      </c>
      <c r="M540" s="471">
        <v>0</v>
      </c>
      <c r="N540" s="471">
        <v>0</v>
      </c>
      <c r="O540" s="471">
        <v>0</v>
      </c>
      <c r="P540" s="471">
        <v>0</v>
      </c>
    </row>
    <row r="541" spans="1:18" hidden="1" outlineLevel="1" x14ac:dyDescent="0.2">
      <c r="A541" s="457"/>
      <c r="E541" s="517">
        <v>34.369999999999997</v>
      </c>
      <c r="G541" s="471">
        <v>0</v>
      </c>
      <c r="H541" s="471">
        <v>0</v>
      </c>
      <c r="I541" s="471">
        <v>0</v>
      </c>
      <c r="J541" s="471">
        <v>0</v>
      </c>
      <c r="K541" s="471">
        <v>0</v>
      </c>
      <c r="L541" s="471">
        <v>0</v>
      </c>
      <c r="M541" s="471">
        <v>0</v>
      </c>
      <c r="N541" s="471">
        <v>0</v>
      </c>
      <c r="O541" s="471">
        <v>0</v>
      </c>
      <c r="P541" s="471">
        <v>0</v>
      </c>
    </row>
    <row r="542" spans="1:18" hidden="1" outlineLevel="1" x14ac:dyDescent="0.2">
      <c r="A542" s="457"/>
      <c r="E542" s="517">
        <f t="array" ref="E542:E544">LMA.ladder.Ethernet</f>
        <v>10</v>
      </c>
      <c r="G542" s="471">
        <v>0</v>
      </c>
      <c r="H542" s="471">
        <v>0</v>
      </c>
      <c r="I542" s="471">
        <v>0</v>
      </c>
      <c r="J542" s="471">
        <v>7.6949999999999991E-2</v>
      </c>
      <c r="K542" s="471">
        <v>0</v>
      </c>
      <c r="L542" s="471">
        <v>0</v>
      </c>
      <c r="M542" s="471">
        <v>0</v>
      </c>
      <c r="N542" s="471">
        <v>0</v>
      </c>
      <c r="O542" s="471">
        <v>0</v>
      </c>
      <c r="P542" s="471">
        <v>0</v>
      </c>
    </row>
    <row r="543" spans="1:18" hidden="1" outlineLevel="1" x14ac:dyDescent="0.2">
      <c r="A543" s="457"/>
      <c r="E543" s="517">
        <v>30</v>
      </c>
      <c r="G543" s="471">
        <v>0</v>
      </c>
      <c r="H543" s="471">
        <v>0</v>
      </c>
      <c r="I543" s="471">
        <v>0</v>
      </c>
      <c r="J543" s="471">
        <v>0</v>
      </c>
      <c r="K543" s="471">
        <v>1.9</v>
      </c>
      <c r="L543" s="471">
        <v>0</v>
      </c>
      <c r="M543" s="471">
        <v>0</v>
      </c>
      <c r="N543" s="471">
        <v>0</v>
      </c>
      <c r="O543" s="471">
        <v>0</v>
      </c>
      <c r="P543" s="471">
        <v>0</v>
      </c>
    </row>
    <row r="544" spans="1:18" hidden="1" outlineLevel="1" x14ac:dyDescent="0.2">
      <c r="A544" s="457"/>
      <c r="E544" s="517">
        <v>100</v>
      </c>
      <c r="G544" s="471">
        <v>10.8775</v>
      </c>
      <c r="H544" s="471">
        <v>6.992</v>
      </c>
      <c r="I544" s="471">
        <v>3.4674999999999998</v>
      </c>
      <c r="J544" s="471">
        <v>0</v>
      </c>
      <c r="K544" s="471">
        <v>0</v>
      </c>
      <c r="L544" s="471">
        <v>0</v>
      </c>
      <c r="M544" s="471">
        <v>0</v>
      </c>
      <c r="N544" s="471">
        <v>0</v>
      </c>
      <c r="O544" s="471">
        <v>0</v>
      </c>
      <c r="P544" s="471">
        <v>0</v>
      </c>
    </row>
    <row r="545" spans="1:16" hidden="1" outlineLevel="1" x14ac:dyDescent="0.2">
      <c r="A545" s="457"/>
    </row>
    <row r="546" spans="1:16" hidden="1" outlineLevel="1" x14ac:dyDescent="0.2">
      <c r="A546" s="457"/>
      <c r="C546" s="516">
        <v>2</v>
      </c>
      <c r="D546" s="504" t="str">
        <f>INDEX(LMA.technologies,C546,)</f>
        <v>Microondas</v>
      </c>
      <c r="E546" s="517">
        <f t="array" ref="E546:E548">LMA.ladder.ATM</f>
        <v>2.048</v>
      </c>
      <c r="G546" s="471">
        <f t="array" ref="G546:P551">IF(E546:E551=G$474:P$474,Sites.multitech,0)*(1-LMA.hub.colocation)*$G$449</f>
        <v>0</v>
      </c>
      <c r="H546" s="471">
        <v>0</v>
      </c>
      <c r="I546" s="471">
        <v>0</v>
      </c>
      <c r="J546" s="471">
        <v>0</v>
      </c>
      <c r="K546" s="471">
        <v>0</v>
      </c>
      <c r="L546" s="471">
        <v>0</v>
      </c>
      <c r="M546" s="471">
        <v>0</v>
      </c>
      <c r="N546" s="471">
        <v>0</v>
      </c>
      <c r="O546" s="471">
        <v>0</v>
      </c>
      <c r="P546" s="471">
        <v>0</v>
      </c>
    </row>
    <row r="547" spans="1:16" hidden="1" outlineLevel="1" x14ac:dyDescent="0.2">
      <c r="A547" s="457"/>
      <c r="E547" s="517">
        <v>8.4499999999999993</v>
      </c>
      <c r="G547" s="471">
        <v>0</v>
      </c>
      <c r="H547" s="471">
        <v>0</v>
      </c>
      <c r="I547" s="471">
        <v>0</v>
      </c>
      <c r="J547" s="471">
        <v>0</v>
      </c>
      <c r="K547" s="471">
        <v>0</v>
      </c>
      <c r="L547" s="471">
        <v>0</v>
      </c>
      <c r="M547" s="471">
        <v>0</v>
      </c>
      <c r="N547" s="471">
        <v>0</v>
      </c>
      <c r="O547" s="471">
        <v>0</v>
      </c>
      <c r="P547" s="471">
        <v>0</v>
      </c>
    </row>
    <row r="548" spans="1:16" hidden="1" outlineLevel="1" x14ac:dyDescent="0.2">
      <c r="A548" s="457"/>
      <c r="E548" s="517">
        <v>34.369999999999997</v>
      </c>
      <c r="G548" s="471">
        <v>0</v>
      </c>
      <c r="H548" s="471">
        <v>0</v>
      </c>
      <c r="I548" s="471">
        <v>0</v>
      </c>
      <c r="J548" s="471">
        <v>0</v>
      </c>
      <c r="K548" s="471">
        <v>0</v>
      </c>
      <c r="L548" s="471">
        <v>0</v>
      </c>
      <c r="M548" s="471">
        <v>0</v>
      </c>
      <c r="N548" s="471">
        <v>0</v>
      </c>
      <c r="O548" s="471">
        <v>0</v>
      </c>
      <c r="P548" s="471">
        <v>0</v>
      </c>
    </row>
    <row r="549" spans="1:16" hidden="1" outlineLevel="1" x14ac:dyDescent="0.2">
      <c r="A549" s="457"/>
      <c r="E549" s="517">
        <f t="array" ref="E549:E551">LMA.ladder.Ethernet</f>
        <v>10</v>
      </c>
      <c r="G549" s="471">
        <v>0</v>
      </c>
      <c r="H549" s="471">
        <v>0</v>
      </c>
      <c r="I549" s="471">
        <v>0</v>
      </c>
      <c r="J549" s="471">
        <v>4.8842999999999996</v>
      </c>
      <c r="K549" s="471">
        <v>0</v>
      </c>
      <c r="L549" s="471">
        <v>0</v>
      </c>
      <c r="M549" s="471">
        <v>0</v>
      </c>
      <c r="N549" s="471">
        <v>0</v>
      </c>
      <c r="O549" s="471">
        <v>0</v>
      </c>
      <c r="P549" s="471">
        <v>0</v>
      </c>
    </row>
    <row r="550" spans="1:16" hidden="1" outlineLevel="1" x14ac:dyDescent="0.2">
      <c r="A550" s="457"/>
      <c r="E550" s="517">
        <v>30</v>
      </c>
      <c r="G550" s="471">
        <v>0</v>
      </c>
      <c r="H550" s="471">
        <v>0</v>
      </c>
      <c r="I550" s="471">
        <v>0</v>
      </c>
      <c r="J550" s="471">
        <v>0</v>
      </c>
      <c r="K550" s="471">
        <v>120.6</v>
      </c>
      <c r="L550" s="471">
        <v>0</v>
      </c>
      <c r="M550" s="471">
        <v>0</v>
      </c>
      <c r="N550" s="471">
        <v>0</v>
      </c>
      <c r="O550" s="471">
        <v>0</v>
      </c>
      <c r="P550" s="471">
        <v>0</v>
      </c>
    </row>
    <row r="551" spans="1:16" hidden="1" outlineLevel="1" x14ac:dyDescent="0.2">
      <c r="A551" s="457"/>
      <c r="E551" s="517">
        <v>100</v>
      </c>
      <c r="G551" s="471">
        <v>690.43499999999995</v>
      </c>
      <c r="H551" s="471">
        <v>443.80799999999999</v>
      </c>
      <c r="I551" s="471">
        <v>220.095</v>
      </c>
      <c r="J551" s="471">
        <v>0</v>
      </c>
      <c r="K551" s="471">
        <v>0</v>
      </c>
      <c r="L551" s="471">
        <v>0</v>
      </c>
      <c r="M551" s="471">
        <v>0</v>
      </c>
      <c r="N551" s="471">
        <v>0</v>
      </c>
      <c r="O551" s="471">
        <v>0</v>
      </c>
      <c r="P551" s="471">
        <v>0</v>
      </c>
    </row>
    <row r="552" spans="1:16" hidden="1" outlineLevel="1" x14ac:dyDescent="0.2">
      <c r="A552" s="457"/>
      <c r="C552" s="460"/>
    </row>
    <row r="553" spans="1:16" hidden="1" outlineLevel="1" x14ac:dyDescent="0.2">
      <c r="A553" s="457"/>
      <c r="C553" s="516">
        <v>3</v>
      </c>
      <c r="D553" s="504" t="str">
        <f>INDEX(LMA.technologies,C553,)</f>
        <v>Fibra</v>
      </c>
      <c r="G553" s="471">
        <f t="array" ref="G553:P553">Sites.multitech*(1-LMA.hub.colocation)*$G$450</f>
        <v>399.31875000000008</v>
      </c>
      <c r="H553" s="471">
        <v>256.68000000000006</v>
      </c>
      <c r="I553" s="471">
        <v>127.29375000000002</v>
      </c>
      <c r="J553" s="471">
        <v>3.1387500000000004</v>
      </c>
      <c r="K553" s="471">
        <v>69.750000000000014</v>
      </c>
      <c r="L553" s="471">
        <v>0</v>
      </c>
      <c r="M553" s="471">
        <v>0</v>
      </c>
      <c r="N553" s="471">
        <v>0</v>
      </c>
      <c r="O553" s="471">
        <v>0</v>
      </c>
      <c r="P553" s="471">
        <v>0</v>
      </c>
    </row>
    <row r="554" spans="1:16" hidden="1" outlineLevel="1" x14ac:dyDescent="0.2">
      <c r="A554" s="457"/>
      <c r="C554" s="460"/>
    </row>
    <row r="555" spans="1:16" hidden="1" outlineLevel="1" x14ac:dyDescent="0.2">
      <c r="A555" s="457"/>
      <c r="C555" s="460"/>
    </row>
    <row r="556" spans="1:16" hidden="1" outlineLevel="1" x14ac:dyDescent="0.2">
      <c r="A556" s="457"/>
    </row>
    <row r="557" spans="1:16" hidden="1" outlineLevel="1" x14ac:dyDescent="0.2">
      <c r="A557" s="457"/>
      <c r="C557" s="460" t="s">
        <v>1132</v>
      </c>
    </row>
    <row r="558" spans="1:16" hidden="1" outlineLevel="1" x14ac:dyDescent="0.2">
      <c r="A558" s="457"/>
      <c r="C558" s="516">
        <v>1</v>
      </c>
      <c r="D558" s="504" t="str">
        <f>INDEX(LMA.technologies,C558,)</f>
        <v>Líneas alquiladas</v>
      </c>
      <c r="E558" s="517">
        <f t="array" ref="E558:E560">LMA.ladder.ATM</f>
        <v>2.048</v>
      </c>
      <c r="G558" s="518">
        <f>SUM(G485:P485)+SUM(G503:P503)+SUM(G521:P521)+SUM(G539:P539)</f>
        <v>0.29070000000000001</v>
      </c>
    </row>
    <row r="559" spans="1:16" hidden="1" outlineLevel="1" x14ac:dyDescent="0.2">
      <c r="A559" s="457"/>
      <c r="E559" s="517">
        <v>8.4499999999999993</v>
      </c>
      <c r="G559" s="518">
        <f t="shared" ref="G559:G572" si="39">SUM(G486:P486)+SUM(G504:P504)+SUM(G522:P522)+SUM(G540:P540)</f>
        <v>2.5564500000000003</v>
      </c>
    </row>
    <row r="560" spans="1:16" hidden="1" outlineLevel="1" x14ac:dyDescent="0.2">
      <c r="A560" s="457"/>
      <c r="E560" s="517">
        <v>34.369999999999997</v>
      </c>
      <c r="G560" s="518">
        <f t="shared" si="39"/>
        <v>0</v>
      </c>
    </row>
    <row r="561" spans="1:48" hidden="1" outlineLevel="1" x14ac:dyDescent="0.2">
      <c r="A561" s="457"/>
      <c r="E561" s="517">
        <f t="array" ref="E561:E563">LMA.ladder.Ethernet</f>
        <v>10</v>
      </c>
      <c r="G561" s="518">
        <f t="shared" si="39"/>
        <v>7.6949999999999991E-2</v>
      </c>
    </row>
    <row r="562" spans="1:48" hidden="1" outlineLevel="1" x14ac:dyDescent="0.2">
      <c r="A562" s="457"/>
      <c r="E562" s="517">
        <v>30</v>
      </c>
      <c r="G562" s="518">
        <f t="shared" si="39"/>
        <v>1.9</v>
      </c>
    </row>
    <row r="563" spans="1:48" hidden="1" outlineLevel="1" x14ac:dyDescent="0.2">
      <c r="A563" s="457"/>
      <c r="E563" s="517">
        <v>100</v>
      </c>
      <c r="G563" s="518">
        <f t="shared" si="39"/>
        <v>35.463499999999996</v>
      </c>
    </row>
    <row r="564" spans="1:48" hidden="1" outlineLevel="1" x14ac:dyDescent="0.2">
      <c r="A564" s="457"/>
      <c r="G564" s="466" t="s">
        <v>334</v>
      </c>
    </row>
    <row r="565" spans="1:48" hidden="1" outlineLevel="1" x14ac:dyDescent="0.2">
      <c r="A565" s="457"/>
      <c r="C565" s="516">
        <v>2</v>
      </c>
      <c r="D565" s="504" t="str">
        <f>INDEX(LMA.technologies,C565,)</f>
        <v>Microondas</v>
      </c>
      <c r="E565" s="517">
        <f t="array" ref="E565:E567">LMA.ladder.ATM</f>
        <v>2.048</v>
      </c>
      <c r="G565" s="518">
        <f t="shared" si="39"/>
        <v>18.451799999999999</v>
      </c>
    </row>
    <row r="566" spans="1:48" hidden="1" outlineLevel="1" x14ac:dyDescent="0.2">
      <c r="A566" s="457"/>
      <c r="E566" s="517">
        <v>8.4499999999999993</v>
      </c>
      <c r="G566" s="518">
        <f t="shared" si="39"/>
        <v>162.26730000000001</v>
      </c>
    </row>
    <row r="567" spans="1:48" hidden="1" outlineLevel="1" x14ac:dyDescent="0.2">
      <c r="A567" s="457"/>
      <c r="E567" s="517">
        <v>34.369999999999997</v>
      </c>
      <c r="G567" s="518">
        <f t="shared" si="39"/>
        <v>0</v>
      </c>
    </row>
    <row r="568" spans="1:48" hidden="1" outlineLevel="1" x14ac:dyDescent="0.2">
      <c r="A568" s="457"/>
      <c r="E568" s="517">
        <f t="array" ref="E568:E570">LMA.ladder.Ethernet</f>
        <v>10</v>
      </c>
      <c r="G568" s="518">
        <f t="shared" si="39"/>
        <v>4.8842999999999996</v>
      </c>
    </row>
    <row r="569" spans="1:48" hidden="1" outlineLevel="1" x14ac:dyDescent="0.2">
      <c r="A569" s="457"/>
      <c r="E569" s="517">
        <v>30</v>
      </c>
      <c r="G569" s="518">
        <f t="shared" si="39"/>
        <v>120.6</v>
      </c>
    </row>
    <row r="570" spans="1:48" hidden="1" outlineLevel="1" x14ac:dyDescent="0.2">
      <c r="A570" s="457"/>
      <c r="E570" s="517">
        <v>100</v>
      </c>
      <c r="G570" s="518">
        <f t="shared" si="39"/>
        <v>2250.9989999999998</v>
      </c>
    </row>
    <row r="571" spans="1:48" hidden="1" outlineLevel="1" x14ac:dyDescent="0.2">
      <c r="A571" s="457"/>
      <c r="G571" s="466" t="s">
        <v>333</v>
      </c>
    </row>
    <row r="572" spans="1:48" hidden="1" outlineLevel="1" x14ac:dyDescent="0.2">
      <c r="A572" s="457"/>
      <c r="C572" s="516">
        <v>3</v>
      </c>
      <c r="D572" s="504" t="str">
        <f>INDEX(LMA.technologies,C572,)</f>
        <v>Fibra</v>
      </c>
      <c r="G572" s="518">
        <f t="shared" si="39"/>
        <v>1490.9062500000005</v>
      </c>
    </row>
    <row r="573" spans="1:48" hidden="1" outlineLevel="1" x14ac:dyDescent="0.2">
      <c r="A573" s="457"/>
      <c r="G573" s="466" t="s">
        <v>332</v>
      </c>
    </row>
    <row r="574" spans="1:48" collapsed="1" x14ac:dyDescent="0.2">
      <c r="A574" s="457"/>
    </row>
    <row r="576" spans="1:48" s="457" customFormat="1" ht="15.75" x14ac:dyDescent="0.2">
      <c r="A576" s="456" t="s">
        <v>1309</v>
      </c>
      <c r="B576" s="456"/>
      <c r="C576" s="456"/>
      <c r="D576" s="456"/>
      <c r="E576" s="456"/>
      <c r="F576" s="456"/>
      <c r="G576" s="456"/>
      <c r="H576" s="456"/>
      <c r="I576" s="456"/>
      <c r="J576" s="456"/>
      <c r="K576" s="456"/>
      <c r="L576" s="456"/>
      <c r="M576" s="456"/>
      <c r="N576" s="456"/>
      <c r="O576" s="456"/>
      <c r="P576" s="456"/>
      <c r="Q576" s="456"/>
      <c r="R576" s="456"/>
      <c r="S576" s="456"/>
      <c r="T576" s="456"/>
      <c r="U576" s="456"/>
      <c r="V576" s="456"/>
      <c r="W576" s="456"/>
      <c r="X576" s="456"/>
      <c r="Y576" s="456"/>
      <c r="Z576" s="456"/>
      <c r="AA576" s="456"/>
      <c r="AB576" s="456"/>
      <c r="AC576" s="456"/>
      <c r="AD576" s="456"/>
      <c r="AE576" s="456"/>
      <c r="AF576" s="456"/>
      <c r="AG576" s="456"/>
      <c r="AH576" s="456"/>
      <c r="AI576" s="456"/>
      <c r="AJ576" s="456"/>
      <c r="AK576" s="456"/>
      <c r="AL576" s="456"/>
      <c r="AM576" s="456"/>
      <c r="AN576" s="456"/>
      <c r="AO576" s="456"/>
      <c r="AP576" s="456"/>
      <c r="AQ576" s="456"/>
      <c r="AR576" s="456"/>
      <c r="AS576" s="456"/>
      <c r="AT576" s="456"/>
      <c r="AU576" s="456"/>
      <c r="AV576" s="456"/>
    </row>
    <row r="578" spans="1:16" hidden="1" outlineLevel="1" x14ac:dyDescent="0.2">
      <c r="A578" s="457"/>
      <c r="C578" s="460" t="s">
        <v>1133</v>
      </c>
      <c r="G578" s="461" t="str">
        <f>Backhaul.technology.selected</f>
        <v>Dark fibre</v>
      </c>
    </row>
    <row r="579" spans="1:16" hidden="1" outlineLevel="1" x14ac:dyDescent="0.2">
      <c r="A579" s="457"/>
    </row>
    <row r="580" spans="1:16" hidden="1" outlineLevel="1" x14ac:dyDescent="0.2">
      <c r="A580" s="457"/>
      <c r="G580" s="458" t="str">
        <f t="array" ref="G580:P580">TRANSPOSE(Geotypes)</f>
        <v>Muy denso</v>
      </c>
      <c r="H580" s="458" t="str">
        <v>Denso</v>
      </c>
      <c r="I580" s="458" t="str">
        <v>Poco denso</v>
      </c>
      <c r="J580" s="458" t="str">
        <v>Otro</v>
      </c>
      <c r="K580" s="458" t="str">
        <v>Microceldas</v>
      </c>
      <c r="L580" s="458" t="str">
        <v>spare</v>
      </c>
      <c r="M580" s="458" t="str">
        <v>spare</v>
      </c>
      <c r="N580" s="458" t="str">
        <v>spare</v>
      </c>
      <c r="O580" s="458" t="str">
        <v>spare</v>
      </c>
      <c r="P580" s="458" t="str">
        <v>spare</v>
      </c>
    </row>
    <row r="581" spans="1:16" hidden="1" outlineLevel="1" x14ac:dyDescent="0.2">
      <c r="A581" s="457"/>
      <c r="C581" s="460" t="s">
        <v>1134</v>
      </c>
      <c r="G581" s="465">
        <f t="array" ref="G581:P581">Sites.total</f>
        <v>2397</v>
      </c>
      <c r="H581" s="465">
        <v>971</v>
      </c>
      <c r="I581" s="465">
        <v>664</v>
      </c>
      <c r="J581" s="465">
        <v>43</v>
      </c>
      <c r="K581" s="465">
        <v>200</v>
      </c>
      <c r="L581" s="465">
        <v>0</v>
      </c>
      <c r="M581" s="465">
        <v>0</v>
      </c>
      <c r="N581" s="465">
        <v>0</v>
      </c>
      <c r="O581" s="465">
        <v>0</v>
      </c>
      <c r="P581" s="465">
        <v>0</v>
      </c>
    </row>
    <row r="582" spans="1:16" hidden="1" outlineLevel="1" x14ac:dyDescent="0.2">
      <c r="A582" s="457"/>
    </row>
    <row r="583" spans="1:16" hidden="1" outlineLevel="1" x14ac:dyDescent="0.2">
      <c r="A583" s="457"/>
      <c r="C583" s="460" t="s">
        <v>1135</v>
      </c>
      <c r="G583" s="481">
        <f t="array" ref="G583:P583">ROUNDUP(G581:P581*Radio.sites.proportion.connected.via.hubs,0)</f>
        <v>1918</v>
      </c>
      <c r="H583" s="481">
        <v>777</v>
      </c>
      <c r="I583" s="481">
        <v>532</v>
      </c>
      <c r="J583" s="481">
        <v>35</v>
      </c>
      <c r="K583" s="481">
        <v>160</v>
      </c>
      <c r="L583" s="481">
        <v>0</v>
      </c>
      <c r="M583" s="481">
        <v>0</v>
      </c>
      <c r="N583" s="481">
        <v>0</v>
      </c>
      <c r="O583" s="481">
        <v>0</v>
      </c>
      <c r="P583" s="481">
        <v>0</v>
      </c>
    </row>
    <row r="584" spans="1:16" hidden="1" outlineLevel="1" x14ac:dyDescent="0.2">
      <c r="A584" s="457"/>
      <c r="C584" s="457"/>
    </row>
    <row r="585" spans="1:16" hidden="1" outlineLevel="1" x14ac:dyDescent="0.2">
      <c r="A585" s="457"/>
      <c r="C585" s="460" t="s">
        <v>1136</v>
      </c>
      <c r="G585" s="481">
        <f t="array" ref="G585:P585">IF(G583:P583=0,0,ROUNDUP(G583:P583/Radio.sites.per.hub,0))</f>
        <v>384</v>
      </c>
      <c r="H585" s="481">
        <v>156</v>
      </c>
      <c r="I585" s="481">
        <v>107</v>
      </c>
      <c r="J585" s="481">
        <v>7</v>
      </c>
      <c r="K585" s="481" t="e">
        <v>#DIV/0!</v>
      </c>
      <c r="L585" s="481">
        <v>0</v>
      </c>
      <c r="M585" s="481">
        <v>0</v>
      </c>
      <c r="N585" s="481">
        <v>0</v>
      </c>
      <c r="O585" s="481">
        <v>0</v>
      </c>
      <c r="P585" s="481">
        <v>0</v>
      </c>
    </row>
    <row r="586" spans="1:16" hidden="1" outlineLevel="1" x14ac:dyDescent="0.2">
      <c r="A586" s="457"/>
    </row>
    <row r="587" spans="1:16" hidden="1" outlineLevel="1" x14ac:dyDescent="0.2">
      <c r="A587" s="457"/>
      <c r="C587" s="460" t="s">
        <v>1137</v>
      </c>
      <c r="G587" s="465">
        <f t="array" ref="G587:P587">Network.Site.To.Core.Mbits</f>
        <v>90790.869334306321</v>
      </c>
      <c r="H587" s="465">
        <v>22419.627906435955</v>
      </c>
      <c r="I587" s="465">
        <v>10367.812700177596</v>
      </c>
      <c r="J587" s="465">
        <v>0</v>
      </c>
      <c r="K587" s="465">
        <v>3481.6311141853025</v>
      </c>
      <c r="L587" s="465">
        <v>0</v>
      </c>
      <c r="M587" s="465">
        <v>0</v>
      </c>
      <c r="N587" s="465">
        <v>0</v>
      </c>
      <c r="O587" s="465">
        <v>0</v>
      </c>
      <c r="P587" s="465">
        <v>0</v>
      </c>
    </row>
    <row r="588" spans="1:16" hidden="1" outlineLevel="1" x14ac:dyDescent="0.2">
      <c r="A588" s="457"/>
    </row>
    <row r="589" spans="1:16" hidden="1" outlineLevel="1" x14ac:dyDescent="0.2">
      <c r="A589" s="457"/>
      <c r="C589" s="519" t="s">
        <v>1138</v>
      </c>
      <c r="G589" s="512" t="str">
        <f>Hub.core.transmission.protocol.selected</f>
        <v>Ethernet</v>
      </c>
    </row>
    <row r="590" spans="1:16" hidden="1" outlineLevel="1" x14ac:dyDescent="0.2">
      <c r="A590" s="457"/>
    </row>
    <row r="591" spans="1:16" hidden="1" outlineLevel="1" x14ac:dyDescent="0.2">
      <c r="A591" s="457"/>
    </row>
    <row r="592" spans="1:16" ht="15.75" hidden="1" outlineLevel="1" x14ac:dyDescent="0.2">
      <c r="A592" s="457"/>
      <c r="B592" s="459" t="s">
        <v>1139</v>
      </c>
    </row>
    <row r="593" spans="1:16" hidden="1" outlineLevel="1" x14ac:dyDescent="0.2">
      <c r="A593" s="457"/>
    </row>
    <row r="594" spans="1:16" hidden="1" outlineLevel="1" x14ac:dyDescent="0.2">
      <c r="A594" s="457"/>
      <c r="C594" s="460" t="s">
        <v>1140</v>
      </c>
      <c r="G594" s="481">
        <f t="array" ref="G594:P594">IF(OR(G578=INDEX(Backhaul.and.core.transmission.technologies,1,),Hubs.per.link=1),G585:P585,0)</f>
        <v>384</v>
      </c>
      <c r="H594" s="481">
        <v>156</v>
      </c>
      <c r="I594" s="481">
        <v>107</v>
      </c>
      <c r="J594" s="481">
        <v>7</v>
      </c>
      <c r="K594" s="481" t="e">
        <v>#DIV/0!</v>
      </c>
      <c r="L594" s="481">
        <v>0</v>
      </c>
      <c r="M594" s="481">
        <v>0</v>
      </c>
      <c r="N594" s="481">
        <v>0</v>
      </c>
      <c r="O594" s="481">
        <v>0</v>
      </c>
      <c r="P594" s="481">
        <v>0</v>
      </c>
    </row>
    <row r="595" spans="1:16" hidden="1" outlineLevel="1" x14ac:dyDescent="0.2">
      <c r="A595" s="457"/>
      <c r="C595" s="457"/>
      <c r="D595" s="457"/>
      <c r="E595" s="457"/>
      <c r="F595" s="457"/>
      <c r="G595" s="457"/>
      <c r="H595" s="457"/>
      <c r="I595" s="457"/>
      <c r="J595" s="457"/>
      <c r="K595" s="457"/>
      <c r="L595" s="457"/>
      <c r="M595" s="457"/>
      <c r="N595" s="457"/>
      <c r="O595" s="457"/>
      <c r="P595" s="457"/>
    </row>
    <row r="596" spans="1:16" hidden="1" outlineLevel="1" x14ac:dyDescent="0.2">
      <c r="A596" s="457"/>
      <c r="C596" s="460" t="s">
        <v>1141</v>
      </c>
      <c r="G596" s="503">
        <f t="array" ref="G596:P596">IF(G594:P594=0,0,G587:P587/G594:P594/Utilisation.Hub.Core)</f>
        <v>295.54319444761171</v>
      </c>
      <c r="H596" s="503">
        <v>179.64445437849324</v>
      </c>
      <c r="I596" s="503">
        <v>121.11930724506537</v>
      </c>
      <c r="J596" s="503">
        <v>0</v>
      </c>
      <c r="K596" s="503" t="e">
        <v>#DIV/0!</v>
      </c>
      <c r="L596" s="503">
        <v>0</v>
      </c>
      <c r="M596" s="503">
        <v>0</v>
      </c>
      <c r="N596" s="503">
        <v>0</v>
      </c>
      <c r="O596" s="503">
        <v>0</v>
      </c>
      <c r="P596" s="503">
        <v>0</v>
      </c>
    </row>
    <row r="597" spans="1:16" hidden="1" outlineLevel="1" x14ac:dyDescent="0.2">
      <c r="A597" s="457"/>
    </row>
    <row r="598" spans="1:16" hidden="1" outlineLevel="1" x14ac:dyDescent="0.2">
      <c r="A598" s="457"/>
    </row>
    <row r="599" spans="1:16" ht="24" hidden="1" outlineLevel="1" x14ac:dyDescent="0.2">
      <c r="A599" s="457"/>
      <c r="C599" s="460" t="s">
        <v>1143</v>
      </c>
      <c r="G599" s="458" t="str">
        <f>INDEX(Protocols,1,)</f>
        <v>ATM / SDH / PDH</v>
      </c>
      <c r="I599" s="458" t="str">
        <f>INDEX(Protocols,2,)</f>
        <v>Ethernet</v>
      </c>
    </row>
    <row r="600" spans="1:16" hidden="1" outlineLevel="1" x14ac:dyDescent="0.2">
      <c r="A600" s="457"/>
      <c r="G600" s="513">
        <v>0</v>
      </c>
      <c r="H600" s="513">
        <f t="array" ref="H600:H602">G601:G603</f>
        <v>8.4499999999999993</v>
      </c>
      <c r="I600" s="513">
        <v>0</v>
      </c>
      <c r="J600" s="513">
        <f t="array" ref="J600:J602">I601:I603</f>
        <v>10</v>
      </c>
    </row>
    <row r="601" spans="1:16" hidden="1" outlineLevel="1" x14ac:dyDescent="0.2">
      <c r="A601" s="457"/>
      <c r="G601" s="517">
        <f t="array" ref="G601:G603">Backhaul.ATM.Ladder</f>
        <v>8.4499999999999993</v>
      </c>
      <c r="H601" s="513">
        <v>34.369999999999997</v>
      </c>
      <c r="I601" s="517">
        <f t="array" ref="I601:I603">Backhaul.Ethernet.Ladder</f>
        <v>10</v>
      </c>
      <c r="J601" s="513">
        <v>100</v>
      </c>
    </row>
    <row r="602" spans="1:16" hidden="1" outlineLevel="1" x14ac:dyDescent="0.2">
      <c r="A602" s="457"/>
      <c r="G602" s="517">
        <v>34.369999999999997</v>
      </c>
      <c r="H602" s="513">
        <v>155.52000000000001</v>
      </c>
      <c r="I602" s="517">
        <v>100</v>
      </c>
      <c r="J602" s="515">
        <v>1024</v>
      </c>
    </row>
    <row r="603" spans="1:16" hidden="1" outlineLevel="1" x14ac:dyDescent="0.2">
      <c r="A603" s="457"/>
      <c r="G603" s="517">
        <v>155.52000000000001</v>
      </c>
      <c r="H603" s="515" t="s">
        <v>299</v>
      </c>
      <c r="I603" s="517">
        <v>1024</v>
      </c>
      <c r="J603" s="515" t="s">
        <v>299</v>
      </c>
    </row>
    <row r="604" spans="1:16" hidden="1" outlineLevel="1" x14ac:dyDescent="0.2">
      <c r="A604" s="457"/>
    </row>
    <row r="605" spans="1:16" hidden="1" outlineLevel="1" x14ac:dyDescent="0.2">
      <c r="A605" s="457"/>
      <c r="G605" s="458" t="str">
        <f t="array" ref="G605:P605">TRANSPOSE(Geotypes)</f>
        <v>Muy denso</v>
      </c>
      <c r="H605" s="458" t="str">
        <v>Denso</v>
      </c>
      <c r="I605" s="458" t="str">
        <v>Poco denso</v>
      </c>
      <c r="J605" s="458" t="str">
        <v>Otro</v>
      </c>
      <c r="K605" s="458" t="str">
        <v>Microceldas</v>
      </c>
      <c r="L605" s="458" t="str">
        <v>spare</v>
      </c>
      <c r="M605" s="458" t="str">
        <v>spare</v>
      </c>
      <c r="N605" s="458" t="str">
        <v>spare</v>
      </c>
      <c r="O605" s="458" t="str">
        <v>spare</v>
      </c>
      <c r="P605" s="458" t="str">
        <v>spare</v>
      </c>
    </row>
    <row r="606" spans="1:16" hidden="1" outlineLevel="1" x14ac:dyDescent="0.2">
      <c r="A606" s="457"/>
      <c r="C606" s="460" t="s">
        <v>1142</v>
      </c>
      <c r="G606" s="471">
        <f t="array" ref="G606:P606">IF(G596:P596=0,0,IF($G$589=INDEX(Protocols,1,),VLOOKUP(G596:P596,$G$600:$H$603,2),VLOOKUP(G596:P596,$I$600:$J$603,2)))</f>
        <v>1024</v>
      </c>
      <c r="H606" s="471">
        <v>1024</v>
      </c>
      <c r="I606" s="471">
        <v>1024</v>
      </c>
      <c r="J606" s="471">
        <v>0</v>
      </c>
      <c r="K606" s="471" t="e">
        <v>#DIV/0!</v>
      </c>
      <c r="L606" s="471">
        <v>0</v>
      </c>
      <c r="M606" s="471">
        <v>0</v>
      </c>
      <c r="N606" s="471">
        <v>0</v>
      </c>
      <c r="O606" s="471">
        <v>0</v>
      </c>
      <c r="P606" s="471">
        <v>0</v>
      </c>
    </row>
    <row r="607" spans="1:16" hidden="1" outlineLevel="1" x14ac:dyDescent="0.2">
      <c r="A607" s="457"/>
      <c r="G607" s="457"/>
    </row>
    <row r="608" spans="1:16" hidden="1" outlineLevel="1" x14ac:dyDescent="0.2">
      <c r="A608" s="457"/>
    </row>
    <row r="609" spans="1:16" hidden="1" outlineLevel="1" x14ac:dyDescent="0.2">
      <c r="A609" s="457"/>
      <c r="C609" s="460" t="s">
        <v>1144</v>
      </c>
      <c r="G609" s="458" t="s">
        <v>61</v>
      </c>
    </row>
    <row r="610" spans="1:16" hidden="1" outlineLevel="1" x14ac:dyDescent="0.2">
      <c r="A610" s="457"/>
      <c r="D610" s="517">
        <f t="array" ref="D610:D612">Backhaul.ATM.Ladder</f>
        <v>8.4499999999999993</v>
      </c>
      <c r="G610" s="520">
        <f t="shared" ref="G610:G615" si="40">SUMIF(G$606:P$606,D610,G$594:P$594)</f>
        <v>0</v>
      </c>
      <c r="H610" s="457"/>
      <c r="I610" s="457"/>
    </row>
    <row r="611" spans="1:16" hidden="1" outlineLevel="1" x14ac:dyDescent="0.2">
      <c r="A611" s="457"/>
      <c r="D611" s="517">
        <v>34.369999999999997</v>
      </c>
      <c r="G611" s="520">
        <f t="shared" si="40"/>
        <v>0</v>
      </c>
      <c r="H611" s="457"/>
      <c r="I611" s="457"/>
    </row>
    <row r="612" spans="1:16" hidden="1" outlineLevel="1" x14ac:dyDescent="0.2">
      <c r="A612" s="457"/>
      <c r="D612" s="517">
        <v>155.52000000000001</v>
      </c>
      <c r="G612" s="520">
        <f t="shared" si="40"/>
        <v>0</v>
      </c>
      <c r="H612" s="457"/>
      <c r="I612" s="457"/>
    </row>
    <row r="613" spans="1:16" hidden="1" outlineLevel="1" x14ac:dyDescent="0.2">
      <c r="A613" s="457"/>
      <c r="D613" s="517">
        <f t="array" ref="D613:D615">Backhaul.Ethernet.Ladder</f>
        <v>10</v>
      </c>
      <c r="G613" s="520">
        <f t="shared" si="40"/>
        <v>0</v>
      </c>
      <c r="H613" s="457"/>
      <c r="I613" s="457"/>
    </row>
    <row r="614" spans="1:16" hidden="1" outlineLevel="1" x14ac:dyDescent="0.2">
      <c r="A614" s="457"/>
      <c r="D614" s="517">
        <v>100</v>
      </c>
      <c r="G614" s="520">
        <f t="shared" si="40"/>
        <v>0</v>
      </c>
      <c r="H614" s="457"/>
      <c r="I614" s="457"/>
    </row>
    <row r="615" spans="1:16" hidden="1" outlineLevel="1" x14ac:dyDescent="0.2">
      <c r="A615" s="457"/>
      <c r="D615" s="517">
        <v>1024</v>
      </c>
      <c r="G615" s="520">
        <f t="shared" si="40"/>
        <v>647</v>
      </c>
      <c r="H615" s="457"/>
      <c r="I615" s="457"/>
    </row>
    <row r="616" spans="1:16" hidden="1" outlineLevel="1" x14ac:dyDescent="0.2">
      <c r="A616" s="457"/>
      <c r="G616" s="466" t="s">
        <v>331</v>
      </c>
    </row>
    <row r="617" spans="1:16" hidden="1" outlineLevel="1" x14ac:dyDescent="0.2">
      <c r="A617" s="457"/>
    </row>
    <row r="618" spans="1:16" ht="15.75" hidden="1" outlineLevel="1" x14ac:dyDescent="0.2">
      <c r="A618" s="457"/>
      <c r="B618" s="459" t="s">
        <v>1145</v>
      </c>
    </row>
    <row r="619" spans="1:16" hidden="1" outlineLevel="1" x14ac:dyDescent="0.2">
      <c r="A619" s="457"/>
    </row>
    <row r="620" spans="1:16" hidden="1" outlineLevel="1" x14ac:dyDescent="0.2">
      <c r="A620" s="457"/>
      <c r="C620" s="460" t="s">
        <v>1146</v>
      </c>
      <c r="G620" s="481">
        <f t="array" ref="G620:P620">ROUNDUP(IF(AND(G578=INDEX(Backhaul.and.core.transmission.technologies,2,),Hubs.per.link&lt;&gt;1),G585:P585/Hubs.per.link),0)</f>
        <v>0</v>
      </c>
      <c r="H620" s="481">
        <v>0</v>
      </c>
      <c r="I620" s="481">
        <v>0</v>
      </c>
      <c r="J620" s="481">
        <v>0</v>
      </c>
      <c r="K620" s="481">
        <v>0</v>
      </c>
      <c r="L620" s="481">
        <v>0</v>
      </c>
      <c r="M620" s="481">
        <v>0</v>
      </c>
      <c r="N620" s="481">
        <v>0</v>
      </c>
      <c r="O620" s="481">
        <v>0</v>
      </c>
      <c r="P620" s="481">
        <v>0</v>
      </c>
    </row>
    <row r="621" spans="1:16" hidden="1" outlineLevel="1" x14ac:dyDescent="0.2">
      <c r="A621" s="457"/>
    </row>
    <row r="622" spans="1:16" hidden="1" outlineLevel="1" x14ac:dyDescent="0.2">
      <c r="A622" s="457"/>
      <c r="C622" s="460" t="s">
        <v>1147</v>
      </c>
      <c r="G622" s="503">
        <f t="array" ref="G622:P622">IF(G620:P620=0,0,G587:P587/G620:P620/Utilisation.Hub.Core)</f>
        <v>0</v>
      </c>
      <c r="H622" s="503">
        <v>0</v>
      </c>
      <c r="I622" s="503">
        <v>0</v>
      </c>
      <c r="J622" s="503">
        <v>0</v>
      </c>
      <c r="K622" s="503">
        <v>0</v>
      </c>
      <c r="L622" s="503">
        <v>0</v>
      </c>
      <c r="M622" s="503">
        <v>0</v>
      </c>
      <c r="N622" s="503">
        <v>0</v>
      </c>
      <c r="O622" s="503">
        <v>0</v>
      </c>
      <c r="P622" s="503">
        <v>0</v>
      </c>
    </row>
    <row r="623" spans="1:16" hidden="1" outlineLevel="1" x14ac:dyDescent="0.2">
      <c r="A623" s="457"/>
      <c r="G623" s="457"/>
      <c r="H623" s="457"/>
      <c r="I623" s="457"/>
    </row>
    <row r="624" spans="1:16" ht="24" hidden="1" outlineLevel="1" x14ac:dyDescent="0.2">
      <c r="A624" s="457"/>
      <c r="C624" s="460" t="s">
        <v>1148</v>
      </c>
      <c r="G624" s="458" t="str">
        <f>INDEX(Protocols,1,)</f>
        <v>ATM / SDH / PDH</v>
      </c>
      <c r="I624" s="458" t="str">
        <f>INDEX(Protocols,2,)</f>
        <v>Ethernet</v>
      </c>
    </row>
    <row r="625" spans="1:16" hidden="1" outlineLevel="1" x14ac:dyDescent="0.2">
      <c r="A625" s="457"/>
      <c r="G625" s="513">
        <v>0</v>
      </c>
      <c r="H625" s="513">
        <f t="array" ref="H625:H627">G626:G628</f>
        <v>155.52000000000001</v>
      </c>
      <c r="I625" s="513">
        <v>0</v>
      </c>
      <c r="J625" s="521">
        <f t="array" ref="J625:J627">I626:I628</f>
        <v>1024</v>
      </c>
    </row>
    <row r="626" spans="1:16" hidden="1" outlineLevel="1" x14ac:dyDescent="0.2">
      <c r="A626" s="457"/>
      <c r="G626" s="517">
        <f t="array" ref="G626:G628">Hub.Core.Link.ATM.Ladder</f>
        <v>155.52000000000001</v>
      </c>
      <c r="H626" s="513">
        <v>622.08000000000004</v>
      </c>
      <c r="I626" s="465">
        <f t="array" ref="I626:I628">Hub.Core.Link.Ethernet.Ladder</f>
        <v>1024</v>
      </c>
      <c r="J626" s="521">
        <v>2048</v>
      </c>
    </row>
    <row r="627" spans="1:16" hidden="1" outlineLevel="1" x14ac:dyDescent="0.2">
      <c r="A627" s="457"/>
      <c r="G627" s="517">
        <v>622.08000000000004</v>
      </c>
      <c r="H627" s="513">
        <v>2488.3200000000002</v>
      </c>
      <c r="I627" s="465">
        <v>2048</v>
      </c>
      <c r="J627" s="521">
        <v>10240</v>
      </c>
    </row>
    <row r="628" spans="1:16" hidden="1" outlineLevel="1" x14ac:dyDescent="0.2">
      <c r="A628" s="457"/>
      <c r="G628" s="517">
        <v>2488.3200000000002</v>
      </c>
      <c r="H628" s="515" t="s">
        <v>299</v>
      </c>
      <c r="I628" s="465">
        <v>10240</v>
      </c>
      <c r="J628" s="515" t="s">
        <v>299</v>
      </c>
    </row>
    <row r="629" spans="1:16" hidden="1" outlineLevel="1" x14ac:dyDescent="0.2">
      <c r="A629" s="457"/>
    </row>
    <row r="630" spans="1:16" hidden="1" outlineLevel="1" x14ac:dyDescent="0.2">
      <c r="A630" s="457"/>
      <c r="G630" s="458" t="str">
        <f t="array" ref="G630:P630">TRANSPOSE(Geotypes)</f>
        <v>Muy denso</v>
      </c>
      <c r="H630" s="458" t="str">
        <v>Denso</v>
      </c>
      <c r="I630" s="458" t="str">
        <v>Poco denso</v>
      </c>
      <c r="J630" s="458" t="str">
        <v>Otro</v>
      </c>
      <c r="K630" s="458" t="str">
        <v>Microceldas</v>
      </c>
      <c r="L630" s="458" t="str">
        <v>spare</v>
      </c>
      <c r="M630" s="458" t="str">
        <v>spare</v>
      </c>
      <c r="N630" s="458" t="str">
        <v>spare</v>
      </c>
      <c r="O630" s="458" t="str">
        <v>spare</v>
      </c>
      <c r="P630" s="458" t="str">
        <v>spare</v>
      </c>
    </row>
    <row r="631" spans="1:16" hidden="1" outlineLevel="1" x14ac:dyDescent="0.2">
      <c r="A631" s="457"/>
      <c r="C631" s="460" t="s">
        <v>1149</v>
      </c>
      <c r="G631" s="471">
        <f t="array" ref="G631:P631">IF(G622:P622=0,0,IF($G$589=INDEX(Protocols,1,),VLOOKUP(G622:P622,$G$625:$H$628,2),VLOOKUP(G622:P622,$I$625:$J$628,2)))</f>
        <v>0</v>
      </c>
      <c r="H631" s="471">
        <v>0</v>
      </c>
      <c r="I631" s="471">
        <v>0</v>
      </c>
      <c r="J631" s="471">
        <v>0</v>
      </c>
      <c r="K631" s="471">
        <v>0</v>
      </c>
      <c r="L631" s="471">
        <v>0</v>
      </c>
      <c r="M631" s="471">
        <v>0</v>
      </c>
      <c r="N631" s="471">
        <v>0</v>
      </c>
      <c r="O631" s="471">
        <v>0</v>
      </c>
      <c r="P631" s="471">
        <v>0</v>
      </c>
    </row>
    <row r="632" spans="1:16" hidden="1" outlineLevel="1" x14ac:dyDescent="0.2">
      <c r="A632" s="457"/>
    </row>
    <row r="633" spans="1:16" hidden="1" outlineLevel="1" x14ac:dyDescent="0.2">
      <c r="A633" s="457"/>
      <c r="C633" s="460" t="s">
        <v>1150</v>
      </c>
    </row>
    <row r="634" spans="1:16" hidden="1" outlineLevel="1" x14ac:dyDescent="0.2">
      <c r="A634" s="457"/>
      <c r="D634" s="517">
        <f t="array" ref="D634:D636">Hub.Core.Link.ATM.Ladder</f>
        <v>155.52000000000001</v>
      </c>
      <c r="G634" s="520">
        <f t="shared" ref="G634:G639" si="41">SUMIF(G$631:P$631,D634,G$585:P$585)</f>
        <v>0</v>
      </c>
    </row>
    <row r="635" spans="1:16" hidden="1" outlineLevel="1" x14ac:dyDescent="0.2">
      <c r="A635" s="457"/>
      <c r="D635" s="517">
        <v>622.08000000000004</v>
      </c>
      <c r="G635" s="520">
        <f t="shared" si="41"/>
        <v>0</v>
      </c>
    </row>
    <row r="636" spans="1:16" hidden="1" outlineLevel="1" x14ac:dyDescent="0.2">
      <c r="A636" s="457"/>
      <c r="D636" s="517">
        <v>2488.3200000000002</v>
      </c>
      <c r="G636" s="520">
        <f t="shared" si="41"/>
        <v>0</v>
      </c>
    </row>
    <row r="637" spans="1:16" hidden="1" outlineLevel="1" x14ac:dyDescent="0.2">
      <c r="A637" s="457"/>
      <c r="D637" s="517">
        <f t="array" ref="D637:D639">Hub.Core.Link.Ethernet.Ladder</f>
        <v>1024</v>
      </c>
      <c r="G637" s="520">
        <f t="shared" si="41"/>
        <v>0</v>
      </c>
    </row>
    <row r="638" spans="1:16" hidden="1" outlineLevel="1" x14ac:dyDescent="0.2">
      <c r="A638" s="457"/>
      <c r="D638" s="517">
        <v>2048</v>
      </c>
      <c r="G638" s="520">
        <f t="shared" si="41"/>
        <v>0</v>
      </c>
    </row>
    <row r="639" spans="1:16" hidden="1" outlineLevel="1" x14ac:dyDescent="0.2">
      <c r="A639" s="457"/>
      <c r="D639" s="517">
        <v>10240</v>
      </c>
      <c r="G639" s="520">
        <f t="shared" si="41"/>
        <v>0</v>
      </c>
    </row>
    <row r="640" spans="1:16" hidden="1" outlineLevel="1" x14ac:dyDescent="0.2">
      <c r="A640" s="457"/>
      <c r="G640" s="466" t="s">
        <v>330</v>
      </c>
    </row>
    <row r="641" spans="1:48" hidden="1" outlineLevel="1" x14ac:dyDescent="0.2">
      <c r="A641" s="457"/>
    </row>
    <row r="642" spans="1:48" hidden="1" outlineLevel="1" x14ac:dyDescent="0.2">
      <c r="A642" s="457"/>
      <c r="C642" s="460" t="s">
        <v>1151</v>
      </c>
      <c r="E642" s="457"/>
      <c r="G642" s="522">
        <f>IF(G578="Leased lines",0,SUMPRODUCT(G620:P620,Hub.core.rings.length))</f>
        <v>0</v>
      </c>
      <c r="H642" s="466" t="s">
        <v>329</v>
      </c>
    </row>
    <row r="643" spans="1:48" hidden="1" outlineLevel="1" x14ac:dyDescent="0.2">
      <c r="A643" s="457"/>
    </row>
    <row r="644" spans="1:48" collapsed="1" x14ac:dyDescent="0.2">
      <c r="A644" s="457"/>
    </row>
    <row r="646" spans="1:48" s="457" customFormat="1" ht="15.75" x14ac:dyDescent="0.2">
      <c r="A646" s="456" t="s">
        <v>1310</v>
      </c>
      <c r="B646" s="456"/>
      <c r="C646" s="456"/>
      <c r="D646" s="456"/>
      <c r="E646" s="456"/>
      <c r="F646" s="456"/>
      <c r="G646" s="456"/>
      <c r="H646" s="456"/>
      <c r="I646" s="456"/>
      <c r="J646" s="456"/>
      <c r="K646" s="456"/>
      <c r="L646" s="456"/>
      <c r="M646" s="456"/>
      <c r="N646" s="456"/>
      <c r="O646" s="456"/>
      <c r="P646" s="456"/>
      <c r="Q646" s="456"/>
      <c r="R646" s="456"/>
      <c r="S646" s="456"/>
      <c r="T646" s="456"/>
      <c r="U646" s="456"/>
      <c r="V646" s="456"/>
      <c r="W646" s="456"/>
      <c r="X646" s="456"/>
      <c r="Y646" s="456"/>
      <c r="Z646" s="456"/>
      <c r="AA646" s="456"/>
      <c r="AB646" s="456"/>
      <c r="AC646" s="456"/>
      <c r="AD646" s="456"/>
      <c r="AE646" s="456"/>
      <c r="AF646" s="456"/>
      <c r="AG646" s="456"/>
      <c r="AH646" s="456"/>
      <c r="AI646" s="456"/>
      <c r="AJ646" s="456"/>
      <c r="AK646" s="456"/>
      <c r="AL646" s="456"/>
      <c r="AM646" s="456"/>
      <c r="AN646" s="456"/>
      <c r="AO646" s="456"/>
      <c r="AP646" s="456"/>
      <c r="AQ646" s="456"/>
      <c r="AR646" s="456"/>
      <c r="AS646" s="456"/>
      <c r="AT646" s="456"/>
      <c r="AU646" s="456"/>
      <c r="AV646" s="456"/>
    </row>
    <row r="647" spans="1:48" x14ac:dyDescent="0.2">
      <c r="A647" s="468"/>
    </row>
    <row r="648" spans="1:48" ht="24" hidden="1" outlineLevel="1" x14ac:dyDescent="0.2">
      <c r="G648" s="523" t="str">
        <f t="array" ref="G648:AT648">TRANSPOSE(Core.nodes)</f>
        <v>Abancay</v>
      </c>
      <c r="H648" s="523" t="str">
        <v>Arequipa</v>
      </c>
      <c r="I648" s="523" t="str">
        <v>Ayacucho</v>
      </c>
      <c r="J648" s="458" t="str">
        <v>Cajamarca</v>
      </c>
      <c r="K648" s="458" t="str">
        <v>Callao</v>
      </c>
      <c r="L648" s="458" t="str">
        <v>Cerro de Pasco</v>
      </c>
      <c r="M648" s="458" t="str">
        <v>Chachapoyas</v>
      </c>
      <c r="N648" s="458" t="str">
        <v>Chiclayo</v>
      </c>
      <c r="O648" s="458" t="str">
        <v>Cusco</v>
      </c>
      <c r="P648" s="458" t="str">
        <v>Huancavelica</v>
      </c>
      <c r="Q648" s="458" t="str">
        <v>Huancayo</v>
      </c>
      <c r="R648" s="458" t="str">
        <v>Huaraz</v>
      </c>
      <c r="S648" s="458" t="str">
        <v>Ica</v>
      </c>
      <c r="T648" s="458" t="str">
        <v>Iquitos</v>
      </c>
      <c r="U648" s="458" t="str">
        <v>Lima</v>
      </c>
      <c r="V648" s="458" t="str">
        <v>Moquegua</v>
      </c>
      <c r="W648" s="458" t="str">
        <v>Piura</v>
      </c>
      <c r="X648" s="458" t="str">
        <v>Pucallpa</v>
      </c>
      <c r="Y648" s="458" t="str">
        <v>Puerto Maldonado</v>
      </c>
      <c r="Z648" s="458" t="str">
        <v>Puno</v>
      </c>
      <c r="AA648" s="458" t="str">
        <v>Tacna</v>
      </c>
      <c r="AB648" s="458" t="str">
        <v>Tarapoto</v>
      </c>
      <c r="AC648" s="458" t="str">
        <v>Tingo Maria</v>
      </c>
      <c r="AD648" s="458" t="str">
        <v>Trujillo</v>
      </c>
      <c r="AE648" s="458" t="str">
        <v>Tumbes</v>
      </c>
      <c r="AF648" s="458" t="str">
        <v>spare</v>
      </c>
      <c r="AG648" s="458" t="str">
        <v>spare</v>
      </c>
      <c r="AH648" s="458" t="str">
        <v>spare</v>
      </c>
      <c r="AI648" s="458" t="str">
        <v>spare</v>
      </c>
      <c r="AJ648" s="458" t="str">
        <v>spare</v>
      </c>
      <c r="AK648" s="458" t="str">
        <v>spare</v>
      </c>
      <c r="AL648" s="458" t="str">
        <v>spare</v>
      </c>
      <c r="AM648" s="458" t="str">
        <v>spare</v>
      </c>
      <c r="AN648" s="458" t="str">
        <v>spare</v>
      </c>
      <c r="AO648" s="458" t="str">
        <v>spare</v>
      </c>
      <c r="AP648" s="458" t="str">
        <v>spare</v>
      </c>
      <c r="AQ648" s="458" t="str">
        <v>spare</v>
      </c>
      <c r="AR648" s="458" t="str">
        <v>spare</v>
      </c>
      <c r="AS648" s="458" t="str">
        <v>spare</v>
      </c>
      <c r="AT648" s="458" t="str">
        <v>spare</v>
      </c>
    </row>
    <row r="649" spans="1:48" hidden="1" outlineLevel="1" x14ac:dyDescent="0.2"/>
    <row r="650" spans="1:48" hidden="1" outlineLevel="1" x14ac:dyDescent="0.2">
      <c r="C650" s="460" t="s">
        <v>1645</v>
      </c>
      <c r="G650" s="474">
        <f t="array" ref="G650:AT650">ROUND(SUM(TRX.Total)*TRANSPOSE(Distribution.of.traffic.voice.core),0)</f>
        <v>476</v>
      </c>
      <c r="H650" s="474">
        <v>1348</v>
      </c>
      <c r="I650" s="474">
        <v>775</v>
      </c>
      <c r="J650" s="474">
        <v>1614</v>
      </c>
      <c r="K650" s="474">
        <v>1029</v>
      </c>
      <c r="L650" s="474">
        <v>329</v>
      </c>
      <c r="M650" s="474">
        <v>443</v>
      </c>
      <c r="N650" s="474">
        <v>1302</v>
      </c>
      <c r="O650" s="474">
        <v>1389</v>
      </c>
      <c r="P650" s="474">
        <v>529</v>
      </c>
      <c r="Q650" s="474">
        <v>1389</v>
      </c>
      <c r="R650" s="474">
        <v>1239</v>
      </c>
      <c r="S650" s="474">
        <v>832</v>
      </c>
      <c r="T650" s="474">
        <v>1048</v>
      </c>
      <c r="U650" s="474">
        <v>9807</v>
      </c>
      <c r="V650" s="474">
        <v>189</v>
      </c>
      <c r="W650" s="474">
        <v>2107</v>
      </c>
      <c r="X650" s="474">
        <v>513</v>
      </c>
      <c r="Y650" s="474">
        <v>128</v>
      </c>
      <c r="Z650" s="474">
        <v>1495</v>
      </c>
      <c r="AA650" s="474">
        <v>336</v>
      </c>
      <c r="AB650" s="474">
        <v>859</v>
      </c>
      <c r="AC650" s="474">
        <v>889</v>
      </c>
      <c r="AD650" s="474">
        <v>1882</v>
      </c>
      <c r="AE650" s="474">
        <v>236</v>
      </c>
      <c r="AF650" s="474">
        <v>0</v>
      </c>
      <c r="AG650" s="474">
        <v>0</v>
      </c>
      <c r="AH650" s="474">
        <v>0</v>
      </c>
      <c r="AI650" s="474">
        <v>0</v>
      </c>
      <c r="AJ650" s="474">
        <v>0</v>
      </c>
      <c r="AK650" s="474">
        <v>0</v>
      </c>
      <c r="AL650" s="474">
        <v>0</v>
      </c>
      <c r="AM650" s="474">
        <v>0</v>
      </c>
      <c r="AN650" s="474">
        <v>0</v>
      </c>
      <c r="AO650" s="474">
        <v>0</v>
      </c>
      <c r="AP650" s="474">
        <v>0</v>
      </c>
      <c r="AQ650" s="474">
        <v>0</v>
      </c>
      <c r="AR650" s="474">
        <v>0</v>
      </c>
      <c r="AS650" s="474">
        <v>0</v>
      </c>
      <c r="AT650" s="474">
        <v>0</v>
      </c>
    </row>
    <row r="651" spans="1:48" hidden="1" outlineLevel="1" x14ac:dyDescent="0.2"/>
    <row r="652" spans="1:48" hidden="1" outlineLevel="1" x14ac:dyDescent="0.2">
      <c r="C652" s="460" t="s">
        <v>1691</v>
      </c>
      <c r="G652" s="465" t="str">
        <f t="array" ref="G652:AT652">Locations.BSC</f>
        <v>Arequipa</v>
      </c>
      <c r="H652" s="465" t="str">
        <v>Arequipa</v>
      </c>
      <c r="I652" s="465" t="str">
        <v>Arequipa</v>
      </c>
      <c r="J652" s="465" t="str">
        <v>Trujillo</v>
      </c>
      <c r="K652" s="465" t="str">
        <v>Lima</v>
      </c>
      <c r="L652" s="465" t="str">
        <v>Trujillo</v>
      </c>
      <c r="M652" s="465" t="str">
        <v>Trujillo</v>
      </c>
      <c r="N652" s="465" t="str">
        <v>Trujillo</v>
      </c>
      <c r="O652" s="465" t="str">
        <v>Arequipa</v>
      </c>
      <c r="P652" s="465" t="str">
        <v>Arequipa</v>
      </c>
      <c r="Q652" s="465" t="str">
        <v>Lima</v>
      </c>
      <c r="R652" s="465" t="str">
        <v>Trujillo</v>
      </c>
      <c r="S652" s="465" t="str">
        <v>Arequipa</v>
      </c>
      <c r="T652" s="465" t="str">
        <v>Iquitos</v>
      </c>
      <c r="U652" s="465" t="str">
        <v>Lima</v>
      </c>
      <c r="V652" s="465" t="str">
        <v>Arequipa</v>
      </c>
      <c r="W652" s="465" t="str">
        <v>Trujillo</v>
      </c>
      <c r="X652" s="465" t="str">
        <v>Trujillo</v>
      </c>
      <c r="Y652" s="465" t="str">
        <v>Arequipa</v>
      </c>
      <c r="Z652" s="465" t="str">
        <v>Arequipa</v>
      </c>
      <c r="AA652" s="465" t="str">
        <v>Arequipa</v>
      </c>
      <c r="AB652" s="465" t="str">
        <v>Trujillo</v>
      </c>
      <c r="AC652" s="465" t="str">
        <v>Trujillo</v>
      </c>
      <c r="AD652" s="465" t="str">
        <v>Trujillo</v>
      </c>
      <c r="AE652" s="465" t="str">
        <v>Trujillo</v>
      </c>
      <c r="AF652" s="465">
        <v>0</v>
      </c>
      <c r="AG652" s="465">
        <v>0</v>
      </c>
      <c r="AH652" s="465">
        <v>0</v>
      </c>
      <c r="AI652" s="465">
        <v>0</v>
      </c>
      <c r="AJ652" s="465">
        <v>0</v>
      </c>
      <c r="AK652" s="465">
        <v>0</v>
      </c>
      <c r="AL652" s="465">
        <v>0</v>
      </c>
      <c r="AM652" s="465">
        <v>0</v>
      </c>
      <c r="AN652" s="465">
        <v>0</v>
      </c>
      <c r="AO652" s="465">
        <v>0</v>
      </c>
      <c r="AP652" s="465">
        <v>0</v>
      </c>
      <c r="AQ652" s="465">
        <v>0</v>
      </c>
      <c r="AR652" s="465">
        <v>0</v>
      </c>
      <c r="AS652" s="465">
        <v>0</v>
      </c>
      <c r="AT652" s="465">
        <v>0</v>
      </c>
    </row>
    <row r="653" spans="1:48" hidden="1" outlineLevel="1" x14ac:dyDescent="0.2"/>
    <row r="654" spans="1:48" hidden="1" outlineLevel="1" x14ac:dyDescent="0.2">
      <c r="C654" s="460" t="s">
        <v>1152</v>
      </c>
      <c r="G654" s="475">
        <f t="array" ref="G654:AT654">SUMIF(G652:AT652,G648:AT648,G650:AT650)</f>
        <v>0</v>
      </c>
      <c r="H654" s="475">
        <v>7497</v>
      </c>
      <c r="I654" s="475">
        <v>0</v>
      </c>
      <c r="J654" s="475">
        <v>0</v>
      </c>
      <c r="K654" s="475">
        <v>0</v>
      </c>
      <c r="L654" s="475">
        <v>0</v>
      </c>
      <c r="M654" s="475">
        <v>0</v>
      </c>
      <c r="N654" s="475">
        <v>0</v>
      </c>
      <c r="O654" s="475">
        <v>0</v>
      </c>
      <c r="P654" s="475">
        <v>0</v>
      </c>
      <c r="Q654" s="475">
        <v>0</v>
      </c>
      <c r="R654" s="475">
        <v>0</v>
      </c>
      <c r="S654" s="475">
        <v>0</v>
      </c>
      <c r="T654" s="475">
        <v>1048</v>
      </c>
      <c r="U654" s="475">
        <v>12225</v>
      </c>
      <c r="V654" s="475">
        <v>0</v>
      </c>
      <c r="W654" s="475">
        <v>0</v>
      </c>
      <c r="X654" s="475">
        <v>0</v>
      </c>
      <c r="Y654" s="475">
        <v>0</v>
      </c>
      <c r="Z654" s="475">
        <v>0</v>
      </c>
      <c r="AA654" s="475">
        <v>0</v>
      </c>
      <c r="AB654" s="475">
        <v>0</v>
      </c>
      <c r="AC654" s="475">
        <v>0</v>
      </c>
      <c r="AD654" s="475">
        <v>11413</v>
      </c>
      <c r="AE654" s="475">
        <v>0</v>
      </c>
      <c r="AF654" s="475">
        <v>0</v>
      </c>
      <c r="AG654" s="475">
        <v>0</v>
      </c>
      <c r="AH654" s="475">
        <v>0</v>
      </c>
      <c r="AI654" s="475">
        <v>0</v>
      </c>
      <c r="AJ654" s="475">
        <v>0</v>
      </c>
      <c r="AK654" s="475">
        <v>0</v>
      </c>
      <c r="AL654" s="475">
        <v>0</v>
      </c>
      <c r="AM654" s="475">
        <v>0</v>
      </c>
      <c r="AN654" s="475">
        <v>0</v>
      </c>
      <c r="AO654" s="475">
        <v>0</v>
      </c>
      <c r="AP654" s="475">
        <v>0</v>
      </c>
      <c r="AQ654" s="475">
        <v>0</v>
      </c>
      <c r="AR654" s="475">
        <v>0</v>
      </c>
      <c r="AS654" s="475">
        <v>0</v>
      </c>
      <c r="AT654" s="475">
        <v>0</v>
      </c>
    </row>
    <row r="655" spans="1:48" hidden="1" outlineLevel="1" x14ac:dyDescent="0.2"/>
    <row r="656" spans="1:48" hidden="1" outlineLevel="1" x14ac:dyDescent="0.2">
      <c r="C656" s="472" t="s">
        <v>1153</v>
      </c>
      <c r="D656" s="457"/>
      <c r="E656" s="457"/>
      <c r="F656" s="457"/>
      <c r="G656" s="457"/>
      <c r="H656" s="457"/>
      <c r="I656" s="457"/>
      <c r="J656" s="457"/>
    </row>
    <row r="657" spans="1:47" hidden="1" outlineLevel="1" x14ac:dyDescent="0.2">
      <c r="C657" s="457"/>
      <c r="D657" s="457" t="s">
        <v>1163</v>
      </c>
      <c r="E657" s="457"/>
      <c r="F657" s="457"/>
      <c r="G657" s="484">
        <f t="array" ref="G657:AT657">IF(G652:AT652=G648:AT648,Capacity.BSC,0)</f>
        <v>0</v>
      </c>
      <c r="H657" s="484">
        <v>4200</v>
      </c>
      <c r="I657" s="484">
        <v>0</v>
      </c>
      <c r="J657" s="484">
        <v>0</v>
      </c>
      <c r="K657" s="484">
        <v>0</v>
      </c>
      <c r="L657" s="484">
        <v>0</v>
      </c>
      <c r="M657" s="484">
        <v>0</v>
      </c>
      <c r="N657" s="484">
        <v>0</v>
      </c>
      <c r="O657" s="484">
        <v>0</v>
      </c>
      <c r="P657" s="484">
        <v>0</v>
      </c>
      <c r="Q657" s="484">
        <v>0</v>
      </c>
      <c r="R657" s="484">
        <v>0</v>
      </c>
      <c r="S657" s="484">
        <v>0</v>
      </c>
      <c r="T657" s="484">
        <v>4200</v>
      </c>
      <c r="U657" s="484">
        <v>4200</v>
      </c>
      <c r="V657" s="484">
        <v>0</v>
      </c>
      <c r="W657" s="484">
        <v>0</v>
      </c>
      <c r="X657" s="484">
        <v>0</v>
      </c>
      <c r="Y657" s="484">
        <v>0</v>
      </c>
      <c r="Z657" s="484">
        <v>0</v>
      </c>
      <c r="AA657" s="484">
        <v>0</v>
      </c>
      <c r="AB657" s="484">
        <v>0</v>
      </c>
      <c r="AC657" s="484">
        <v>0</v>
      </c>
      <c r="AD657" s="484">
        <v>4200</v>
      </c>
      <c r="AE657" s="484">
        <v>0</v>
      </c>
      <c r="AF657" s="484">
        <v>0</v>
      </c>
      <c r="AG657" s="484">
        <v>0</v>
      </c>
      <c r="AH657" s="484">
        <v>0</v>
      </c>
      <c r="AI657" s="484">
        <v>0</v>
      </c>
      <c r="AJ657" s="484">
        <v>0</v>
      </c>
      <c r="AK657" s="484">
        <v>0</v>
      </c>
      <c r="AL657" s="484">
        <v>0</v>
      </c>
      <c r="AM657" s="484">
        <v>0</v>
      </c>
      <c r="AN657" s="484">
        <v>0</v>
      </c>
      <c r="AO657" s="484">
        <v>0</v>
      </c>
      <c r="AP657" s="484">
        <v>0</v>
      </c>
      <c r="AQ657" s="484">
        <v>0</v>
      </c>
      <c r="AR657" s="484">
        <v>0</v>
      </c>
      <c r="AS657" s="484">
        <v>0</v>
      </c>
      <c r="AT657" s="484">
        <v>0</v>
      </c>
    </row>
    <row r="658" spans="1:47" hidden="1" outlineLevel="1" x14ac:dyDescent="0.2">
      <c r="C658" s="524"/>
      <c r="D658" s="457" t="s">
        <v>1164</v>
      </c>
      <c r="E658" s="457"/>
      <c r="F658" s="457"/>
      <c r="G658" s="475">
        <f t="array" ref="G658:AT658">G657:AT657*Utilisation.BSC</f>
        <v>0</v>
      </c>
      <c r="H658" s="475">
        <v>3360</v>
      </c>
      <c r="I658" s="475">
        <v>0</v>
      </c>
      <c r="J658" s="475">
        <v>0</v>
      </c>
      <c r="K658" s="475">
        <v>0</v>
      </c>
      <c r="L658" s="475">
        <v>0</v>
      </c>
      <c r="M658" s="475">
        <v>0</v>
      </c>
      <c r="N658" s="475">
        <v>0</v>
      </c>
      <c r="O658" s="475">
        <v>0</v>
      </c>
      <c r="P658" s="475">
        <v>0</v>
      </c>
      <c r="Q658" s="475">
        <v>0</v>
      </c>
      <c r="R658" s="475">
        <v>0</v>
      </c>
      <c r="S658" s="475">
        <v>0</v>
      </c>
      <c r="T658" s="475">
        <v>3360</v>
      </c>
      <c r="U658" s="475">
        <v>3360</v>
      </c>
      <c r="V658" s="475">
        <v>0</v>
      </c>
      <c r="W658" s="475">
        <v>0</v>
      </c>
      <c r="X658" s="475">
        <v>0</v>
      </c>
      <c r="Y658" s="475">
        <v>0</v>
      </c>
      <c r="Z658" s="475">
        <v>0</v>
      </c>
      <c r="AA658" s="475">
        <v>0</v>
      </c>
      <c r="AB658" s="475">
        <v>0</v>
      </c>
      <c r="AC658" s="475">
        <v>0</v>
      </c>
      <c r="AD658" s="475">
        <v>3360</v>
      </c>
      <c r="AE658" s="475">
        <v>0</v>
      </c>
      <c r="AF658" s="475">
        <v>0</v>
      </c>
      <c r="AG658" s="475">
        <v>0</v>
      </c>
      <c r="AH658" s="475">
        <v>0</v>
      </c>
      <c r="AI658" s="475">
        <v>0</v>
      </c>
      <c r="AJ658" s="475">
        <v>0</v>
      </c>
      <c r="AK658" s="475">
        <v>0</v>
      </c>
      <c r="AL658" s="475">
        <v>0</v>
      </c>
      <c r="AM658" s="475">
        <v>0</v>
      </c>
      <c r="AN658" s="475">
        <v>0</v>
      </c>
      <c r="AO658" s="475">
        <v>0</v>
      </c>
      <c r="AP658" s="475">
        <v>0</v>
      </c>
      <c r="AQ658" s="475">
        <v>0</v>
      </c>
      <c r="AR658" s="475">
        <v>0</v>
      </c>
      <c r="AS658" s="475">
        <v>0</v>
      </c>
      <c r="AT658" s="475">
        <v>0</v>
      </c>
    </row>
    <row r="659" spans="1:47" hidden="1" outlineLevel="1" x14ac:dyDescent="0.2">
      <c r="C659" s="524"/>
      <c r="D659" s="457"/>
      <c r="E659" s="457"/>
      <c r="F659" s="457"/>
      <c r="G659" s="457"/>
      <c r="H659" s="457"/>
      <c r="I659" s="457"/>
      <c r="J659" s="457"/>
    </row>
    <row r="660" spans="1:47" hidden="1" outlineLevel="1" x14ac:dyDescent="0.2">
      <c r="C660" s="472" t="s">
        <v>1166</v>
      </c>
      <c r="D660" s="457"/>
      <c r="E660" s="457"/>
      <c r="F660" s="457"/>
      <c r="G660" s="475">
        <f t="array" ref="G660:AT660">IF(G654:AT654=0,0,ROUNDUP(G654:AT654/G658:AT658,0))</f>
        <v>0</v>
      </c>
      <c r="H660" s="475">
        <v>3</v>
      </c>
      <c r="I660" s="475">
        <v>0</v>
      </c>
      <c r="J660" s="475">
        <v>0</v>
      </c>
      <c r="K660" s="475">
        <v>0</v>
      </c>
      <c r="L660" s="475">
        <v>0</v>
      </c>
      <c r="M660" s="475">
        <v>0</v>
      </c>
      <c r="N660" s="475">
        <v>0</v>
      </c>
      <c r="O660" s="475">
        <v>0</v>
      </c>
      <c r="P660" s="475">
        <v>0</v>
      </c>
      <c r="Q660" s="475">
        <v>0</v>
      </c>
      <c r="R660" s="475">
        <v>0</v>
      </c>
      <c r="S660" s="475">
        <v>0</v>
      </c>
      <c r="T660" s="475">
        <v>1</v>
      </c>
      <c r="U660" s="475">
        <v>4</v>
      </c>
      <c r="V660" s="475">
        <v>0</v>
      </c>
      <c r="W660" s="475">
        <v>0</v>
      </c>
      <c r="X660" s="475">
        <v>0</v>
      </c>
      <c r="Y660" s="475">
        <v>0</v>
      </c>
      <c r="Z660" s="475">
        <v>0</v>
      </c>
      <c r="AA660" s="475">
        <v>0</v>
      </c>
      <c r="AB660" s="475">
        <v>0</v>
      </c>
      <c r="AC660" s="475">
        <v>0</v>
      </c>
      <c r="AD660" s="475">
        <v>4</v>
      </c>
      <c r="AE660" s="475">
        <v>0</v>
      </c>
      <c r="AF660" s="475">
        <v>0</v>
      </c>
      <c r="AG660" s="475">
        <v>0</v>
      </c>
      <c r="AH660" s="475">
        <v>0</v>
      </c>
      <c r="AI660" s="475">
        <v>0</v>
      </c>
      <c r="AJ660" s="475">
        <v>0</v>
      </c>
      <c r="AK660" s="475">
        <v>0</v>
      </c>
      <c r="AL660" s="475">
        <v>0</v>
      </c>
      <c r="AM660" s="475">
        <v>0</v>
      </c>
      <c r="AN660" s="475">
        <v>0</v>
      </c>
      <c r="AO660" s="475">
        <v>0</v>
      </c>
      <c r="AP660" s="475">
        <v>0</v>
      </c>
      <c r="AQ660" s="475">
        <v>0</v>
      </c>
      <c r="AR660" s="475">
        <v>0</v>
      </c>
      <c r="AS660" s="475">
        <v>0</v>
      </c>
      <c r="AT660" s="475">
        <v>0</v>
      </c>
    </row>
    <row r="661" spans="1:47" hidden="1" outlineLevel="1" x14ac:dyDescent="0.2">
      <c r="C661" s="457"/>
      <c r="D661" s="457"/>
      <c r="E661" s="457"/>
      <c r="F661" s="457"/>
      <c r="G661" s="457"/>
      <c r="H661" s="457"/>
      <c r="I661" s="457"/>
      <c r="J661" s="457"/>
      <c r="U661" s="457"/>
    </row>
    <row r="662" spans="1:47" hidden="1" outlineLevel="1" x14ac:dyDescent="0.2">
      <c r="C662" s="472" t="s">
        <v>1154</v>
      </c>
      <c r="D662" s="457"/>
      <c r="E662" s="457"/>
      <c r="F662" s="457"/>
      <c r="G662" s="457"/>
      <c r="H662" s="457"/>
      <c r="I662" s="457"/>
      <c r="J662" s="457"/>
    </row>
    <row r="663" spans="1:47" hidden="1" outlineLevel="1" x14ac:dyDescent="0.2">
      <c r="C663" s="457"/>
      <c r="D663" s="480">
        <f t="array" ref="D663:D665">BSC.Ladder</f>
        <v>2100</v>
      </c>
      <c r="E663" s="457"/>
      <c r="F663" s="457"/>
      <c r="G663" s="520">
        <f>SUMIF($G$657:$AT$657,D663,$G$660:$AT$660)</f>
        <v>0</v>
      </c>
      <c r="H663" s="457"/>
      <c r="I663" s="457"/>
      <c r="J663" s="457"/>
    </row>
    <row r="664" spans="1:47" hidden="1" outlineLevel="1" x14ac:dyDescent="0.2">
      <c r="D664" s="480">
        <v>4200</v>
      </c>
      <c r="E664" s="457"/>
      <c r="F664" s="457"/>
      <c r="G664" s="520">
        <f t="shared" ref="G664:G665" si="42">SUMIF($G$657:$AT$657,D664,$G$660:$AT$660)</f>
        <v>12</v>
      </c>
      <c r="H664" s="457"/>
      <c r="I664" s="457"/>
      <c r="J664" s="457"/>
    </row>
    <row r="665" spans="1:47" hidden="1" outlineLevel="1" x14ac:dyDescent="0.2">
      <c r="C665" s="457"/>
      <c r="D665" s="480">
        <v>8000</v>
      </c>
      <c r="E665" s="457"/>
      <c r="F665" s="457"/>
      <c r="G665" s="520">
        <f t="shared" si="42"/>
        <v>0</v>
      </c>
      <c r="H665" s="457"/>
      <c r="I665" s="457"/>
      <c r="J665" s="457"/>
    </row>
    <row r="666" spans="1:47" hidden="1" outlineLevel="1" x14ac:dyDescent="0.2">
      <c r="G666" s="466" t="s">
        <v>328</v>
      </c>
    </row>
    <row r="667" spans="1:47" hidden="1" outlineLevel="1" x14ac:dyDescent="0.2"/>
    <row r="668" spans="1:47" hidden="1" outlineLevel="1" x14ac:dyDescent="0.2">
      <c r="C668" s="460" t="s">
        <v>1160</v>
      </c>
      <c r="G668" s="481">
        <f t="array" ref="G668:AT668">IF(G652:AT652=Main.switching.sites,0,1)</f>
        <v>0</v>
      </c>
      <c r="H668" s="481">
        <v>0</v>
      </c>
      <c r="I668" s="481">
        <v>0</v>
      </c>
      <c r="J668" s="481">
        <v>0</v>
      </c>
      <c r="K668" s="481">
        <v>0</v>
      </c>
      <c r="L668" s="481">
        <v>0</v>
      </c>
      <c r="M668" s="481">
        <v>0</v>
      </c>
      <c r="N668" s="481">
        <v>0</v>
      </c>
      <c r="O668" s="481">
        <v>0</v>
      </c>
      <c r="P668" s="481">
        <v>0</v>
      </c>
      <c r="Q668" s="481">
        <v>0</v>
      </c>
      <c r="R668" s="481">
        <v>0</v>
      </c>
      <c r="S668" s="481">
        <v>0</v>
      </c>
      <c r="T668" s="481">
        <v>0</v>
      </c>
      <c r="U668" s="481">
        <v>0</v>
      </c>
      <c r="V668" s="481">
        <v>0</v>
      </c>
      <c r="W668" s="481">
        <v>0</v>
      </c>
      <c r="X668" s="481">
        <v>0</v>
      </c>
      <c r="Y668" s="481">
        <v>0</v>
      </c>
      <c r="Z668" s="481">
        <v>0</v>
      </c>
      <c r="AA668" s="481">
        <v>0</v>
      </c>
      <c r="AB668" s="481">
        <v>0</v>
      </c>
      <c r="AC668" s="481">
        <v>0</v>
      </c>
      <c r="AD668" s="481">
        <v>0</v>
      </c>
      <c r="AE668" s="481">
        <v>0</v>
      </c>
      <c r="AF668" s="481">
        <v>0</v>
      </c>
      <c r="AG668" s="481">
        <v>0</v>
      </c>
      <c r="AH668" s="481">
        <v>0</v>
      </c>
      <c r="AI668" s="481">
        <v>0</v>
      </c>
      <c r="AJ668" s="481">
        <v>0</v>
      </c>
      <c r="AK668" s="481">
        <v>0</v>
      </c>
      <c r="AL668" s="481">
        <v>0</v>
      </c>
      <c r="AM668" s="481">
        <v>0</v>
      </c>
      <c r="AN668" s="481">
        <v>0</v>
      </c>
      <c r="AO668" s="481">
        <v>0</v>
      </c>
      <c r="AP668" s="481">
        <v>0</v>
      </c>
      <c r="AQ668" s="481">
        <v>0</v>
      </c>
      <c r="AR668" s="481">
        <v>0</v>
      </c>
      <c r="AS668" s="481">
        <v>0</v>
      </c>
      <c r="AT668" s="481">
        <v>0</v>
      </c>
      <c r="AU668" s="466" t="s">
        <v>554</v>
      </c>
    </row>
    <row r="669" spans="1:47" hidden="1" outlineLevel="1" x14ac:dyDescent="0.2"/>
    <row r="670" spans="1:47" hidden="1" outlineLevel="1" x14ac:dyDescent="0.2">
      <c r="C670" s="460" t="s">
        <v>1161</v>
      </c>
      <c r="G670" s="520">
        <f t="array" ref="G670">SUM(IF(Remote.BSC.sites=Remote.RNC.sites,Remote.BSC.sites/2,Remote.BSC.sites))</f>
        <v>0</v>
      </c>
      <c r="H670" s="457"/>
    </row>
    <row r="671" spans="1:47" hidden="1" outlineLevel="1" x14ac:dyDescent="0.2">
      <c r="G671" s="466" t="s">
        <v>327</v>
      </c>
    </row>
    <row r="672" spans="1:47" hidden="1" outlineLevel="1" x14ac:dyDescent="0.2">
      <c r="A672" s="457"/>
    </row>
    <row r="673" spans="1:48" hidden="1" outlineLevel="1" x14ac:dyDescent="0.2">
      <c r="A673" s="457"/>
      <c r="C673" s="460" t="s">
        <v>1171</v>
      </c>
      <c r="G673" s="481">
        <f t="array" ref="G673:AT673">IF(G668:AT668=0,0,G660:AT660)</f>
        <v>0</v>
      </c>
      <c r="H673" s="481">
        <v>0</v>
      </c>
      <c r="I673" s="481">
        <v>0</v>
      </c>
      <c r="J673" s="481">
        <v>0</v>
      </c>
      <c r="K673" s="481">
        <v>0</v>
      </c>
      <c r="L673" s="481">
        <v>0</v>
      </c>
      <c r="M673" s="481">
        <v>0</v>
      </c>
      <c r="N673" s="481">
        <v>0</v>
      </c>
      <c r="O673" s="481">
        <v>0</v>
      </c>
      <c r="P673" s="481">
        <v>0</v>
      </c>
      <c r="Q673" s="481">
        <v>0</v>
      </c>
      <c r="R673" s="481">
        <v>0</v>
      </c>
      <c r="S673" s="481">
        <v>0</v>
      </c>
      <c r="T673" s="481">
        <v>0</v>
      </c>
      <c r="U673" s="481">
        <v>0</v>
      </c>
      <c r="V673" s="481">
        <v>0</v>
      </c>
      <c r="W673" s="481">
        <v>0</v>
      </c>
      <c r="X673" s="481">
        <v>0</v>
      </c>
      <c r="Y673" s="481">
        <v>0</v>
      </c>
      <c r="Z673" s="481">
        <v>0</v>
      </c>
      <c r="AA673" s="481">
        <v>0</v>
      </c>
      <c r="AB673" s="481">
        <v>0</v>
      </c>
      <c r="AC673" s="481">
        <v>0</v>
      </c>
      <c r="AD673" s="481">
        <v>0</v>
      </c>
      <c r="AE673" s="481">
        <v>0</v>
      </c>
      <c r="AF673" s="481">
        <v>0</v>
      </c>
      <c r="AG673" s="481">
        <v>0</v>
      </c>
      <c r="AH673" s="481">
        <v>0</v>
      </c>
      <c r="AI673" s="481">
        <v>0</v>
      </c>
      <c r="AJ673" s="481">
        <v>0</v>
      </c>
      <c r="AK673" s="481">
        <v>0</v>
      </c>
      <c r="AL673" s="481">
        <v>0</v>
      </c>
      <c r="AM673" s="481">
        <v>0</v>
      </c>
      <c r="AN673" s="481">
        <v>0</v>
      </c>
      <c r="AO673" s="481">
        <v>0</v>
      </c>
      <c r="AP673" s="481">
        <v>0</v>
      </c>
      <c r="AQ673" s="481">
        <v>0</v>
      </c>
      <c r="AR673" s="481">
        <v>0</v>
      </c>
      <c r="AS673" s="481">
        <v>0</v>
      </c>
      <c r="AT673" s="481">
        <v>0</v>
      </c>
    </row>
    <row r="674" spans="1:48" hidden="1" outlineLevel="1" x14ac:dyDescent="0.2">
      <c r="A674" s="457"/>
    </row>
    <row r="675" spans="1:48" hidden="1" outlineLevel="1" x14ac:dyDescent="0.2">
      <c r="A675" s="457"/>
      <c r="C675" s="460" t="s">
        <v>1155</v>
      </c>
    </row>
    <row r="676" spans="1:48" hidden="1" outlineLevel="1" x14ac:dyDescent="0.2">
      <c r="A676" s="457"/>
      <c r="D676" s="453" t="s">
        <v>1156</v>
      </c>
      <c r="G676" s="465">
        <f t="shared" ref="G676:AT676" si="43">Network.voice.BSC.Mbit.s.by.core.node</f>
        <v>0</v>
      </c>
      <c r="H676" s="465">
        <f t="shared" si="43"/>
        <v>238.93284151226325</v>
      </c>
      <c r="I676" s="465">
        <f t="shared" si="43"/>
        <v>0</v>
      </c>
      <c r="J676" s="465">
        <f t="shared" si="43"/>
        <v>0</v>
      </c>
      <c r="K676" s="465">
        <f t="shared" si="43"/>
        <v>0</v>
      </c>
      <c r="L676" s="465">
        <f t="shared" si="43"/>
        <v>0</v>
      </c>
      <c r="M676" s="465">
        <f t="shared" si="43"/>
        <v>0</v>
      </c>
      <c r="N676" s="465">
        <f t="shared" si="43"/>
        <v>0</v>
      </c>
      <c r="O676" s="465">
        <f t="shared" si="43"/>
        <v>0</v>
      </c>
      <c r="P676" s="465">
        <f t="shared" si="43"/>
        <v>0</v>
      </c>
      <c r="Q676" s="465">
        <f t="shared" si="43"/>
        <v>0</v>
      </c>
      <c r="R676" s="465">
        <f t="shared" si="43"/>
        <v>0</v>
      </c>
      <c r="S676" s="465">
        <f t="shared" si="43"/>
        <v>0</v>
      </c>
      <c r="T676" s="465">
        <f t="shared" si="43"/>
        <v>33.416645452108284</v>
      </c>
      <c r="U676" s="465">
        <f t="shared" si="43"/>
        <v>389.69737147428816</v>
      </c>
      <c r="V676" s="465">
        <f t="shared" si="43"/>
        <v>0</v>
      </c>
      <c r="W676" s="465">
        <f t="shared" si="43"/>
        <v>0</v>
      </c>
      <c r="X676" s="465">
        <f t="shared" si="43"/>
        <v>0</v>
      </c>
      <c r="Y676" s="465">
        <f t="shared" si="43"/>
        <v>0</v>
      </c>
      <c r="Z676" s="465">
        <f t="shared" si="43"/>
        <v>0</v>
      </c>
      <c r="AA676" s="465">
        <f t="shared" si="43"/>
        <v>0</v>
      </c>
      <c r="AB676" s="465">
        <f t="shared" si="43"/>
        <v>0</v>
      </c>
      <c r="AC676" s="465">
        <f t="shared" si="43"/>
        <v>0</v>
      </c>
      <c r="AD676" s="465">
        <f t="shared" si="43"/>
        <v>363.84242214896796</v>
      </c>
      <c r="AE676" s="465">
        <f t="shared" si="43"/>
        <v>0</v>
      </c>
      <c r="AF676" s="465">
        <f t="shared" si="43"/>
        <v>0</v>
      </c>
      <c r="AG676" s="465">
        <f t="shared" si="43"/>
        <v>0</v>
      </c>
      <c r="AH676" s="465">
        <f t="shared" si="43"/>
        <v>0</v>
      </c>
      <c r="AI676" s="465">
        <f t="shared" si="43"/>
        <v>0</v>
      </c>
      <c r="AJ676" s="465">
        <f t="shared" si="43"/>
        <v>0</v>
      </c>
      <c r="AK676" s="465">
        <f t="shared" si="43"/>
        <v>0</v>
      </c>
      <c r="AL676" s="465">
        <f t="shared" si="43"/>
        <v>0</v>
      </c>
      <c r="AM676" s="465">
        <f t="shared" si="43"/>
        <v>0</v>
      </c>
      <c r="AN676" s="465">
        <f t="shared" si="43"/>
        <v>0</v>
      </c>
      <c r="AO676" s="465">
        <f t="shared" si="43"/>
        <v>0</v>
      </c>
      <c r="AP676" s="465">
        <f t="shared" si="43"/>
        <v>0</v>
      </c>
      <c r="AQ676" s="465">
        <f t="shared" si="43"/>
        <v>0</v>
      </c>
      <c r="AR676" s="465">
        <f t="shared" si="43"/>
        <v>0</v>
      </c>
      <c r="AS676" s="465">
        <f t="shared" si="43"/>
        <v>0</v>
      </c>
      <c r="AT676" s="465">
        <f t="shared" si="43"/>
        <v>0</v>
      </c>
    </row>
    <row r="677" spans="1:48" hidden="1" outlineLevel="1" x14ac:dyDescent="0.2">
      <c r="A677" s="457"/>
      <c r="D677" s="453" t="s">
        <v>1157</v>
      </c>
      <c r="G677" s="465">
        <f t="shared" ref="G677:AT677" si="44">Network.data.BSC.Mbit.s.by.core.node</f>
        <v>0</v>
      </c>
      <c r="H677" s="465">
        <f t="shared" si="44"/>
        <v>2307.1715795637406</v>
      </c>
      <c r="I677" s="465">
        <f t="shared" si="44"/>
        <v>0</v>
      </c>
      <c r="J677" s="465">
        <f t="shared" si="44"/>
        <v>0</v>
      </c>
      <c r="K677" s="465">
        <f t="shared" si="44"/>
        <v>0</v>
      </c>
      <c r="L677" s="465">
        <f t="shared" si="44"/>
        <v>0</v>
      </c>
      <c r="M677" s="465">
        <f t="shared" si="44"/>
        <v>0</v>
      </c>
      <c r="N677" s="465">
        <f t="shared" si="44"/>
        <v>0</v>
      </c>
      <c r="O677" s="465">
        <f t="shared" si="44"/>
        <v>0</v>
      </c>
      <c r="P677" s="465">
        <f t="shared" si="44"/>
        <v>0</v>
      </c>
      <c r="Q677" s="465">
        <f t="shared" si="44"/>
        <v>0</v>
      </c>
      <c r="R677" s="465">
        <f t="shared" si="44"/>
        <v>0</v>
      </c>
      <c r="S677" s="465">
        <f t="shared" si="44"/>
        <v>0</v>
      </c>
      <c r="T677" s="465">
        <f t="shared" si="44"/>
        <v>322.6761720301439</v>
      </c>
      <c r="U677" s="465">
        <f t="shared" si="44"/>
        <v>3762.9766356335103</v>
      </c>
      <c r="V677" s="465">
        <f t="shared" si="44"/>
        <v>0</v>
      </c>
      <c r="W677" s="465">
        <f t="shared" si="44"/>
        <v>0</v>
      </c>
      <c r="X677" s="465">
        <f t="shared" si="44"/>
        <v>0</v>
      </c>
      <c r="Y677" s="465">
        <f t="shared" si="44"/>
        <v>0</v>
      </c>
      <c r="Z677" s="465">
        <f t="shared" si="44"/>
        <v>0</v>
      </c>
      <c r="AA677" s="465">
        <f t="shared" si="44"/>
        <v>0</v>
      </c>
      <c r="AB677" s="465">
        <f t="shared" si="44"/>
        <v>0</v>
      </c>
      <c r="AC677" s="465">
        <f t="shared" si="44"/>
        <v>0</v>
      </c>
      <c r="AD677" s="465">
        <f t="shared" si="44"/>
        <v>3513.3173426837056</v>
      </c>
      <c r="AE677" s="465">
        <f t="shared" si="44"/>
        <v>0</v>
      </c>
      <c r="AF677" s="465">
        <f t="shared" si="44"/>
        <v>0</v>
      </c>
      <c r="AG677" s="465">
        <f t="shared" si="44"/>
        <v>0</v>
      </c>
      <c r="AH677" s="465">
        <f t="shared" si="44"/>
        <v>0</v>
      </c>
      <c r="AI677" s="465">
        <f t="shared" si="44"/>
        <v>0</v>
      </c>
      <c r="AJ677" s="465">
        <f t="shared" si="44"/>
        <v>0</v>
      </c>
      <c r="AK677" s="465">
        <f t="shared" si="44"/>
        <v>0</v>
      </c>
      <c r="AL677" s="465">
        <f t="shared" si="44"/>
        <v>0</v>
      </c>
      <c r="AM677" s="465">
        <f t="shared" si="44"/>
        <v>0</v>
      </c>
      <c r="AN677" s="465">
        <f t="shared" si="44"/>
        <v>0</v>
      </c>
      <c r="AO677" s="465">
        <f t="shared" si="44"/>
        <v>0</v>
      </c>
      <c r="AP677" s="465">
        <f t="shared" si="44"/>
        <v>0</v>
      </c>
      <c r="AQ677" s="465">
        <f t="shared" si="44"/>
        <v>0</v>
      </c>
      <c r="AR677" s="465">
        <f t="shared" si="44"/>
        <v>0</v>
      </c>
      <c r="AS677" s="465">
        <f t="shared" si="44"/>
        <v>0</v>
      </c>
      <c r="AT677" s="465">
        <f t="shared" si="44"/>
        <v>0</v>
      </c>
    </row>
    <row r="678" spans="1:48" hidden="1" outlineLevel="1" x14ac:dyDescent="0.2">
      <c r="A678" s="457"/>
    </row>
    <row r="679" spans="1:48" hidden="1" outlineLevel="1" x14ac:dyDescent="0.2">
      <c r="A679" s="457"/>
    </row>
    <row r="680" spans="1:48" hidden="1" outlineLevel="1" x14ac:dyDescent="0.2">
      <c r="A680" s="457"/>
      <c r="C680" s="460" t="s">
        <v>1158</v>
      </c>
    </row>
    <row r="681" spans="1:48" hidden="1" outlineLevel="1" x14ac:dyDescent="0.2">
      <c r="A681" s="457"/>
      <c r="D681" s="453" t="s">
        <v>1156</v>
      </c>
      <c r="G681" s="481">
        <f t="array" ref="G681:AT681">IF(G$668:AT$668=0,0,G676:AT676/Utilisation.BSC.Core)</f>
        <v>0</v>
      </c>
      <c r="H681" s="481">
        <v>0</v>
      </c>
      <c r="I681" s="481">
        <v>0</v>
      </c>
      <c r="J681" s="481">
        <v>0</v>
      </c>
      <c r="K681" s="481">
        <v>0</v>
      </c>
      <c r="L681" s="481">
        <v>0</v>
      </c>
      <c r="M681" s="481">
        <v>0</v>
      </c>
      <c r="N681" s="481">
        <v>0</v>
      </c>
      <c r="O681" s="481">
        <v>0</v>
      </c>
      <c r="P681" s="481">
        <v>0</v>
      </c>
      <c r="Q681" s="481">
        <v>0</v>
      </c>
      <c r="R681" s="481">
        <v>0</v>
      </c>
      <c r="S681" s="481">
        <v>0</v>
      </c>
      <c r="T681" s="481">
        <v>0</v>
      </c>
      <c r="U681" s="481">
        <v>0</v>
      </c>
      <c r="V681" s="481">
        <v>0</v>
      </c>
      <c r="W681" s="481">
        <v>0</v>
      </c>
      <c r="X681" s="481">
        <v>0</v>
      </c>
      <c r="Y681" s="481">
        <v>0</v>
      </c>
      <c r="Z681" s="481">
        <v>0</v>
      </c>
      <c r="AA681" s="481">
        <v>0</v>
      </c>
      <c r="AB681" s="481">
        <v>0</v>
      </c>
      <c r="AC681" s="481">
        <v>0</v>
      </c>
      <c r="AD681" s="481">
        <v>0</v>
      </c>
      <c r="AE681" s="481">
        <v>0</v>
      </c>
      <c r="AF681" s="481">
        <v>0</v>
      </c>
      <c r="AG681" s="481">
        <v>0</v>
      </c>
      <c r="AH681" s="481">
        <v>0</v>
      </c>
      <c r="AI681" s="481">
        <v>0</v>
      </c>
      <c r="AJ681" s="481">
        <v>0</v>
      </c>
      <c r="AK681" s="481">
        <v>0</v>
      </c>
      <c r="AL681" s="481">
        <v>0</v>
      </c>
      <c r="AM681" s="481">
        <v>0</v>
      </c>
      <c r="AN681" s="481">
        <v>0</v>
      </c>
      <c r="AO681" s="481">
        <v>0</v>
      </c>
      <c r="AP681" s="481">
        <v>0</v>
      </c>
      <c r="AQ681" s="481">
        <v>0</v>
      </c>
      <c r="AR681" s="481">
        <v>0</v>
      </c>
      <c r="AS681" s="481">
        <v>0</v>
      </c>
      <c r="AT681" s="481">
        <v>0</v>
      </c>
      <c r="AU681" s="466" t="s">
        <v>562</v>
      </c>
    </row>
    <row r="682" spans="1:48" hidden="1" outlineLevel="1" x14ac:dyDescent="0.2">
      <c r="A682" s="457"/>
      <c r="D682" s="453" t="s">
        <v>1157</v>
      </c>
      <c r="G682" s="481">
        <f t="array" ref="G682:AT682">IF(G$668:AT$668=0,0,G677:AT677/Utilisation.BSC.Core)</f>
        <v>0</v>
      </c>
      <c r="H682" s="481">
        <v>0</v>
      </c>
      <c r="I682" s="481">
        <v>0</v>
      </c>
      <c r="J682" s="481">
        <v>0</v>
      </c>
      <c r="K682" s="481">
        <v>0</v>
      </c>
      <c r="L682" s="481">
        <v>0</v>
      </c>
      <c r="M682" s="481">
        <v>0</v>
      </c>
      <c r="N682" s="481">
        <v>0</v>
      </c>
      <c r="O682" s="481">
        <v>0</v>
      </c>
      <c r="P682" s="481">
        <v>0</v>
      </c>
      <c r="Q682" s="481">
        <v>0</v>
      </c>
      <c r="R682" s="481">
        <v>0</v>
      </c>
      <c r="S682" s="481">
        <v>0</v>
      </c>
      <c r="T682" s="481">
        <v>0</v>
      </c>
      <c r="U682" s="481">
        <v>0</v>
      </c>
      <c r="V682" s="481">
        <v>0</v>
      </c>
      <c r="W682" s="481">
        <v>0</v>
      </c>
      <c r="X682" s="481">
        <v>0</v>
      </c>
      <c r="Y682" s="481">
        <v>0</v>
      </c>
      <c r="Z682" s="481">
        <v>0</v>
      </c>
      <c r="AA682" s="481">
        <v>0</v>
      </c>
      <c r="AB682" s="481">
        <v>0</v>
      </c>
      <c r="AC682" s="481">
        <v>0</v>
      </c>
      <c r="AD682" s="481">
        <v>0</v>
      </c>
      <c r="AE682" s="481">
        <v>0</v>
      </c>
      <c r="AF682" s="481">
        <v>0</v>
      </c>
      <c r="AG682" s="481">
        <v>0</v>
      </c>
      <c r="AH682" s="481">
        <v>0</v>
      </c>
      <c r="AI682" s="481">
        <v>0</v>
      </c>
      <c r="AJ682" s="481">
        <v>0</v>
      </c>
      <c r="AK682" s="481">
        <v>0</v>
      </c>
      <c r="AL682" s="481">
        <v>0</v>
      </c>
      <c r="AM682" s="481">
        <v>0</v>
      </c>
      <c r="AN682" s="481">
        <v>0</v>
      </c>
      <c r="AO682" s="481">
        <v>0</v>
      </c>
      <c r="AP682" s="481">
        <v>0</v>
      </c>
      <c r="AQ682" s="481">
        <v>0</v>
      </c>
      <c r="AR682" s="481">
        <v>0</v>
      </c>
      <c r="AS682" s="481">
        <v>0</v>
      </c>
      <c r="AT682" s="481">
        <v>0</v>
      </c>
      <c r="AU682" s="466" t="s">
        <v>563</v>
      </c>
    </row>
    <row r="683" spans="1:48" hidden="1" outlineLevel="1" x14ac:dyDescent="0.2">
      <c r="A683" s="457"/>
    </row>
    <row r="684" spans="1:48" collapsed="1" x14ac:dyDescent="0.2"/>
    <row r="686" spans="1:48" s="457" customFormat="1" ht="15.75" x14ac:dyDescent="0.2">
      <c r="A686" s="456" t="s">
        <v>1311</v>
      </c>
      <c r="B686" s="456"/>
      <c r="C686" s="456"/>
      <c r="D686" s="456"/>
      <c r="E686" s="456"/>
      <c r="F686" s="456"/>
      <c r="G686" s="456"/>
      <c r="H686" s="456"/>
      <c r="I686" s="456"/>
      <c r="J686" s="456"/>
      <c r="K686" s="456"/>
      <c r="L686" s="456"/>
      <c r="M686" s="456"/>
      <c r="N686" s="456"/>
      <c r="O686" s="456"/>
      <c r="P686" s="456"/>
      <c r="Q686" s="456"/>
      <c r="R686" s="456"/>
      <c r="S686" s="456"/>
      <c r="T686" s="456"/>
      <c r="U686" s="456"/>
      <c r="V686" s="456"/>
      <c r="W686" s="456"/>
      <c r="X686" s="456"/>
      <c r="Y686" s="456"/>
      <c r="Z686" s="456"/>
      <c r="AA686" s="456"/>
      <c r="AB686" s="456"/>
      <c r="AC686" s="456"/>
      <c r="AD686" s="456"/>
      <c r="AE686" s="456"/>
      <c r="AF686" s="456"/>
      <c r="AG686" s="456"/>
      <c r="AH686" s="456"/>
      <c r="AI686" s="456"/>
      <c r="AJ686" s="456"/>
      <c r="AK686" s="456"/>
      <c r="AL686" s="456"/>
      <c r="AM686" s="456"/>
      <c r="AN686" s="456"/>
      <c r="AO686" s="456"/>
      <c r="AP686" s="456"/>
      <c r="AQ686" s="456"/>
      <c r="AR686" s="456"/>
      <c r="AS686" s="456"/>
      <c r="AT686" s="456"/>
      <c r="AU686" s="456"/>
      <c r="AV686" s="456"/>
    </row>
    <row r="687" spans="1:48" x14ac:dyDescent="0.2">
      <c r="A687" s="468"/>
    </row>
    <row r="688" spans="1:48" ht="24" hidden="1" outlineLevel="1" x14ac:dyDescent="0.2">
      <c r="G688" s="523" t="str">
        <f t="array" ref="G688:AT688">TRANSPOSE(Core.nodes)</f>
        <v>Abancay</v>
      </c>
      <c r="H688" s="523" t="str">
        <v>Arequipa</v>
      </c>
      <c r="I688" s="523" t="str">
        <v>Ayacucho</v>
      </c>
      <c r="J688" s="458" t="str">
        <v>Cajamarca</v>
      </c>
      <c r="K688" s="458" t="str">
        <v>Callao</v>
      </c>
      <c r="L688" s="458" t="str">
        <v>Cerro de Pasco</v>
      </c>
      <c r="M688" s="458" t="str">
        <v>Chachapoyas</v>
      </c>
      <c r="N688" s="458" t="str">
        <v>Chiclayo</v>
      </c>
      <c r="O688" s="458" t="str">
        <v>Cusco</v>
      </c>
      <c r="P688" s="458" t="str">
        <v>Huancavelica</v>
      </c>
      <c r="Q688" s="458" t="str">
        <v>Huancayo</v>
      </c>
      <c r="R688" s="458" t="str">
        <v>Huaraz</v>
      </c>
      <c r="S688" s="458" t="str">
        <v>Ica</v>
      </c>
      <c r="T688" s="458" t="str">
        <v>Iquitos</v>
      </c>
      <c r="U688" s="458" t="str">
        <v>Lima</v>
      </c>
      <c r="V688" s="458" t="str">
        <v>Moquegua</v>
      </c>
      <c r="W688" s="458" t="str">
        <v>Piura</v>
      </c>
      <c r="X688" s="458" t="str">
        <v>Pucallpa</v>
      </c>
      <c r="Y688" s="458" t="str">
        <v>Puerto Maldonado</v>
      </c>
      <c r="Z688" s="458" t="str">
        <v>Puno</v>
      </c>
      <c r="AA688" s="458" t="str">
        <v>Tacna</v>
      </c>
      <c r="AB688" s="458" t="str">
        <v>Tarapoto</v>
      </c>
      <c r="AC688" s="458" t="str">
        <v>Tingo Maria</v>
      </c>
      <c r="AD688" s="458" t="str">
        <v>Trujillo</v>
      </c>
      <c r="AE688" s="458" t="str">
        <v>Tumbes</v>
      </c>
      <c r="AF688" s="458" t="str">
        <v>spare</v>
      </c>
      <c r="AG688" s="458" t="str">
        <v>spare</v>
      </c>
      <c r="AH688" s="458" t="str">
        <v>spare</v>
      </c>
      <c r="AI688" s="458" t="str">
        <v>spare</v>
      </c>
      <c r="AJ688" s="458" t="str">
        <v>spare</v>
      </c>
      <c r="AK688" s="458" t="str">
        <v>spare</v>
      </c>
      <c r="AL688" s="458" t="str">
        <v>spare</v>
      </c>
      <c r="AM688" s="458" t="str">
        <v>spare</v>
      </c>
      <c r="AN688" s="458" t="str">
        <v>spare</v>
      </c>
      <c r="AO688" s="458" t="str">
        <v>spare</v>
      </c>
      <c r="AP688" s="458" t="str">
        <v>spare</v>
      </c>
      <c r="AQ688" s="458" t="str">
        <v>spare</v>
      </c>
      <c r="AR688" s="458" t="str">
        <v>spare</v>
      </c>
      <c r="AS688" s="458" t="str">
        <v>spare</v>
      </c>
      <c r="AT688" s="458" t="str">
        <v>spare</v>
      </c>
    </row>
    <row r="689" spans="3:46" s="457" customFormat="1" hidden="1" outlineLevel="1" x14ac:dyDescent="0.2"/>
    <row r="690" spans="3:46" hidden="1" outlineLevel="1" x14ac:dyDescent="0.2">
      <c r="C690" s="460" t="s">
        <v>1159</v>
      </c>
      <c r="G690" s="465">
        <f t="array" ref="G690:AT690">Network.total.RNC.Mbit.s.by.core.node</f>
        <v>0</v>
      </c>
      <c r="H690" s="465">
        <v>17158.677459362287</v>
      </c>
      <c r="I690" s="465">
        <v>0</v>
      </c>
      <c r="J690" s="465">
        <v>0</v>
      </c>
      <c r="K690" s="465">
        <v>0</v>
      </c>
      <c r="L690" s="465">
        <v>0</v>
      </c>
      <c r="M690" s="465">
        <v>0</v>
      </c>
      <c r="N690" s="465">
        <v>0</v>
      </c>
      <c r="O690" s="465">
        <v>0</v>
      </c>
      <c r="P690" s="465">
        <v>0</v>
      </c>
      <c r="Q690" s="465">
        <v>0</v>
      </c>
      <c r="R690" s="465">
        <v>0</v>
      </c>
      <c r="S690" s="465">
        <v>0</v>
      </c>
      <c r="T690" s="465">
        <v>2399.776596040535</v>
      </c>
      <c r="U690" s="465">
        <v>27985.652627604166</v>
      </c>
      <c r="V690" s="465">
        <v>0</v>
      </c>
      <c r="W690" s="465">
        <v>0</v>
      </c>
      <c r="X690" s="465">
        <v>0</v>
      </c>
      <c r="Y690" s="465">
        <v>0</v>
      </c>
      <c r="Z690" s="465">
        <v>0</v>
      </c>
      <c r="AA690" s="465">
        <v>0</v>
      </c>
      <c r="AB690" s="465">
        <v>0</v>
      </c>
      <c r="AC690" s="465">
        <v>0</v>
      </c>
      <c r="AD690" s="465">
        <v>26128.910233409035</v>
      </c>
      <c r="AE690" s="465">
        <v>0</v>
      </c>
      <c r="AF690" s="465">
        <v>0</v>
      </c>
      <c r="AG690" s="465">
        <v>0</v>
      </c>
      <c r="AH690" s="465">
        <v>0</v>
      </c>
      <c r="AI690" s="465">
        <v>0</v>
      </c>
      <c r="AJ690" s="465">
        <v>0</v>
      </c>
      <c r="AK690" s="465">
        <v>0</v>
      </c>
      <c r="AL690" s="465">
        <v>0</v>
      </c>
      <c r="AM690" s="465">
        <v>0</v>
      </c>
      <c r="AN690" s="465">
        <v>0</v>
      </c>
      <c r="AO690" s="465">
        <v>0</v>
      </c>
      <c r="AP690" s="465">
        <v>0</v>
      </c>
      <c r="AQ690" s="465">
        <v>0</v>
      </c>
      <c r="AR690" s="465">
        <v>0</v>
      </c>
      <c r="AS690" s="465">
        <v>0</v>
      </c>
      <c r="AT690" s="465">
        <v>0</v>
      </c>
    </row>
    <row r="691" spans="3:46" hidden="1" outlineLevel="1" x14ac:dyDescent="0.2"/>
    <row r="692" spans="3:46" hidden="1" outlineLevel="1" x14ac:dyDescent="0.2">
      <c r="C692" s="460" t="s">
        <v>1692</v>
      </c>
      <c r="G692" s="465" t="str">
        <f t="array" ref="G692:AT692">Locations.RNC</f>
        <v>Arequipa</v>
      </c>
      <c r="H692" s="465" t="str">
        <v>Arequipa</v>
      </c>
      <c r="I692" s="465" t="str">
        <v>Arequipa</v>
      </c>
      <c r="J692" s="465" t="str">
        <v>Trujillo</v>
      </c>
      <c r="K692" s="465" t="str">
        <v>Lima</v>
      </c>
      <c r="L692" s="465" t="str">
        <v>Trujillo</v>
      </c>
      <c r="M692" s="465" t="str">
        <v>Trujillo</v>
      </c>
      <c r="N692" s="465" t="str">
        <v>Trujillo</v>
      </c>
      <c r="O692" s="465" t="str">
        <v>Arequipa</v>
      </c>
      <c r="P692" s="465" t="str">
        <v>Arequipa</v>
      </c>
      <c r="Q692" s="465" t="str">
        <v>Lima</v>
      </c>
      <c r="R692" s="465" t="str">
        <v>Trujillo</v>
      </c>
      <c r="S692" s="465" t="str">
        <v>Arequipa</v>
      </c>
      <c r="T692" s="465" t="str">
        <v>Iquitos</v>
      </c>
      <c r="U692" s="465" t="str">
        <v>Lima</v>
      </c>
      <c r="V692" s="465" t="str">
        <v>Arequipa</v>
      </c>
      <c r="W692" s="465" t="str">
        <v>Trujillo</v>
      </c>
      <c r="X692" s="465" t="str">
        <v>Trujillo</v>
      </c>
      <c r="Y692" s="465" t="str">
        <v>Arequipa</v>
      </c>
      <c r="Z692" s="465" t="str">
        <v>Arequipa</v>
      </c>
      <c r="AA692" s="465" t="str">
        <v>Arequipa</v>
      </c>
      <c r="AB692" s="465" t="str">
        <v>Trujillo</v>
      </c>
      <c r="AC692" s="465" t="str">
        <v>Trujillo</v>
      </c>
      <c r="AD692" s="465" t="str">
        <v>Trujillo</v>
      </c>
      <c r="AE692" s="465" t="str">
        <v>Trujillo</v>
      </c>
      <c r="AF692" s="465">
        <v>0</v>
      </c>
      <c r="AG692" s="465">
        <v>0</v>
      </c>
      <c r="AH692" s="465">
        <v>0</v>
      </c>
      <c r="AI692" s="465">
        <v>0</v>
      </c>
      <c r="AJ692" s="465">
        <v>0</v>
      </c>
      <c r="AK692" s="465">
        <v>0</v>
      </c>
      <c r="AL692" s="465">
        <v>0</v>
      </c>
      <c r="AM692" s="465">
        <v>0</v>
      </c>
      <c r="AN692" s="465">
        <v>0</v>
      </c>
      <c r="AO692" s="465">
        <v>0</v>
      </c>
      <c r="AP692" s="465">
        <v>0</v>
      </c>
      <c r="AQ692" s="465">
        <v>0</v>
      </c>
      <c r="AR692" s="465">
        <v>0</v>
      </c>
      <c r="AS692" s="465">
        <v>0</v>
      </c>
      <c r="AT692" s="465">
        <v>0</v>
      </c>
    </row>
    <row r="693" spans="3:46" hidden="1" outlineLevel="1" x14ac:dyDescent="0.2"/>
    <row r="694" spans="3:46" hidden="1" outlineLevel="1" x14ac:dyDescent="0.2">
      <c r="C694" s="472" t="s">
        <v>1162</v>
      </c>
      <c r="D694" s="457"/>
      <c r="E694" s="457"/>
      <c r="F694" s="457"/>
      <c r="G694" s="457"/>
      <c r="H694" s="457"/>
      <c r="I694" s="457"/>
      <c r="J694" s="457"/>
    </row>
    <row r="695" spans="3:46" hidden="1" outlineLevel="1" x14ac:dyDescent="0.2">
      <c r="C695" s="457"/>
      <c r="D695" s="457" t="s">
        <v>1163</v>
      </c>
      <c r="E695" s="457"/>
      <c r="F695" s="457"/>
      <c r="G695" s="484">
        <f t="array" ref="G695:AT695">IF(G692:AT692=G688:AT688,Capacity.RNC,0)</f>
        <v>0</v>
      </c>
      <c r="H695" s="484">
        <v>2600</v>
      </c>
      <c r="I695" s="484">
        <v>0</v>
      </c>
      <c r="J695" s="484">
        <v>0</v>
      </c>
      <c r="K695" s="484">
        <v>0</v>
      </c>
      <c r="L695" s="484">
        <v>0</v>
      </c>
      <c r="M695" s="484">
        <v>0</v>
      </c>
      <c r="N695" s="484">
        <v>0</v>
      </c>
      <c r="O695" s="484">
        <v>0</v>
      </c>
      <c r="P695" s="484">
        <v>0</v>
      </c>
      <c r="Q695" s="484">
        <v>0</v>
      </c>
      <c r="R695" s="484">
        <v>0</v>
      </c>
      <c r="S695" s="484">
        <v>0</v>
      </c>
      <c r="T695" s="484">
        <v>2600</v>
      </c>
      <c r="U695" s="484">
        <v>2600</v>
      </c>
      <c r="V695" s="484">
        <v>0</v>
      </c>
      <c r="W695" s="484">
        <v>0</v>
      </c>
      <c r="X695" s="484">
        <v>0</v>
      </c>
      <c r="Y695" s="484">
        <v>0</v>
      </c>
      <c r="Z695" s="484">
        <v>0</v>
      </c>
      <c r="AA695" s="484">
        <v>0</v>
      </c>
      <c r="AB695" s="484">
        <v>0</v>
      </c>
      <c r="AC695" s="484">
        <v>0</v>
      </c>
      <c r="AD695" s="484">
        <v>2600</v>
      </c>
      <c r="AE695" s="484">
        <v>0</v>
      </c>
      <c r="AF695" s="484">
        <v>0</v>
      </c>
      <c r="AG695" s="484">
        <v>0</v>
      </c>
      <c r="AH695" s="484">
        <v>0</v>
      </c>
      <c r="AI695" s="484">
        <v>0</v>
      </c>
      <c r="AJ695" s="484">
        <v>0</v>
      </c>
      <c r="AK695" s="484">
        <v>0</v>
      </c>
      <c r="AL695" s="484">
        <v>0</v>
      </c>
      <c r="AM695" s="484">
        <v>0</v>
      </c>
      <c r="AN695" s="484">
        <v>0</v>
      </c>
      <c r="AO695" s="484">
        <v>0</v>
      </c>
      <c r="AP695" s="484">
        <v>0</v>
      </c>
      <c r="AQ695" s="484">
        <v>0</v>
      </c>
      <c r="AR695" s="484">
        <v>0</v>
      </c>
      <c r="AS695" s="484">
        <v>0</v>
      </c>
      <c r="AT695" s="484">
        <v>0</v>
      </c>
    </row>
    <row r="696" spans="3:46" hidden="1" outlineLevel="1" x14ac:dyDescent="0.2">
      <c r="C696" s="524"/>
      <c r="D696" s="457" t="s">
        <v>1164</v>
      </c>
      <c r="E696" s="457"/>
      <c r="F696" s="457"/>
      <c r="G696" s="475">
        <f t="array" ref="G696:AT696">G695:AT695*Utilisation.RNC</f>
        <v>0</v>
      </c>
      <c r="H696" s="475">
        <v>2080</v>
      </c>
      <c r="I696" s="475">
        <v>0</v>
      </c>
      <c r="J696" s="475">
        <v>0</v>
      </c>
      <c r="K696" s="475">
        <v>0</v>
      </c>
      <c r="L696" s="475">
        <v>0</v>
      </c>
      <c r="M696" s="475">
        <v>0</v>
      </c>
      <c r="N696" s="475">
        <v>0</v>
      </c>
      <c r="O696" s="475">
        <v>0</v>
      </c>
      <c r="P696" s="475">
        <v>0</v>
      </c>
      <c r="Q696" s="475">
        <v>0</v>
      </c>
      <c r="R696" s="475">
        <v>0</v>
      </c>
      <c r="S696" s="475">
        <v>0</v>
      </c>
      <c r="T696" s="475">
        <v>2080</v>
      </c>
      <c r="U696" s="475">
        <v>2080</v>
      </c>
      <c r="V696" s="475">
        <v>0</v>
      </c>
      <c r="W696" s="475">
        <v>0</v>
      </c>
      <c r="X696" s="475">
        <v>0</v>
      </c>
      <c r="Y696" s="475">
        <v>0</v>
      </c>
      <c r="Z696" s="475">
        <v>0</v>
      </c>
      <c r="AA696" s="475">
        <v>0</v>
      </c>
      <c r="AB696" s="475">
        <v>0</v>
      </c>
      <c r="AC696" s="475">
        <v>0</v>
      </c>
      <c r="AD696" s="475">
        <v>2080</v>
      </c>
      <c r="AE696" s="475">
        <v>0</v>
      </c>
      <c r="AF696" s="475">
        <v>0</v>
      </c>
      <c r="AG696" s="475">
        <v>0</v>
      </c>
      <c r="AH696" s="475">
        <v>0</v>
      </c>
      <c r="AI696" s="475">
        <v>0</v>
      </c>
      <c r="AJ696" s="475">
        <v>0</v>
      </c>
      <c r="AK696" s="475">
        <v>0</v>
      </c>
      <c r="AL696" s="475">
        <v>0</v>
      </c>
      <c r="AM696" s="475">
        <v>0</v>
      </c>
      <c r="AN696" s="475">
        <v>0</v>
      </c>
      <c r="AO696" s="475">
        <v>0</v>
      </c>
      <c r="AP696" s="475">
        <v>0</v>
      </c>
      <c r="AQ696" s="475">
        <v>0</v>
      </c>
      <c r="AR696" s="475">
        <v>0</v>
      </c>
      <c r="AS696" s="475">
        <v>0</v>
      </c>
      <c r="AT696" s="475">
        <v>0</v>
      </c>
    </row>
    <row r="697" spans="3:46" hidden="1" outlineLevel="1" x14ac:dyDescent="0.2">
      <c r="C697" s="524"/>
      <c r="D697" s="457"/>
      <c r="E697" s="457"/>
      <c r="F697" s="457"/>
      <c r="G697" s="457"/>
      <c r="H697" s="457"/>
      <c r="I697" s="457"/>
      <c r="J697" s="457"/>
    </row>
    <row r="698" spans="3:46" hidden="1" outlineLevel="1" x14ac:dyDescent="0.2">
      <c r="C698" s="472" t="s">
        <v>1165</v>
      </c>
      <c r="D698" s="457"/>
      <c r="E698" s="457"/>
      <c r="F698" s="457"/>
      <c r="G698" s="475">
        <f t="array" ref="G698:AT698">IF(G690:AT690=0,0,ROUNDUP(G690:AT690/G696:AT696,0))</f>
        <v>0</v>
      </c>
      <c r="H698" s="475">
        <v>9</v>
      </c>
      <c r="I698" s="475">
        <v>0</v>
      </c>
      <c r="J698" s="475">
        <v>0</v>
      </c>
      <c r="K698" s="475">
        <v>0</v>
      </c>
      <c r="L698" s="475">
        <v>0</v>
      </c>
      <c r="M698" s="475">
        <v>0</v>
      </c>
      <c r="N698" s="475">
        <v>0</v>
      </c>
      <c r="O698" s="475">
        <v>0</v>
      </c>
      <c r="P698" s="475">
        <v>0</v>
      </c>
      <c r="Q698" s="475">
        <v>0</v>
      </c>
      <c r="R698" s="475">
        <v>0</v>
      </c>
      <c r="S698" s="475">
        <v>0</v>
      </c>
      <c r="T698" s="475">
        <v>2</v>
      </c>
      <c r="U698" s="475">
        <v>14</v>
      </c>
      <c r="V698" s="475">
        <v>0</v>
      </c>
      <c r="W698" s="475">
        <v>0</v>
      </c>
      <c r="X698" s="475">
        <v>0</v>
      </c>
      <c r="Y698" s="475">
        <v>0</v>
      </c>
      <c r="Z698" s="475">
        <v>0</v>
      </c>
      <c r="AA698" s="475">
        <v>0</v>
      </c>
      <c r="AB698" s="475">
        <v>0</v>
      </c>
      <c r="AC698" s="475">
        <v>0</v>
      </c>
      <c r="AD698" s="475">
        <v>13</v>
      </c>
      <c r="AE698" s="475">
        <v>0</v>
      </c>
      <c r="AF698" s="475">
        <v>0</v>
      </c>
      <c r="AG698" s="475">
        <v>0</v>
      </c>
      <c r="AH698" s="475">
        <v>0</v>
      </c>
      <c r="AI698" s="475">
        <v>0</v>
      </c>
      <c r="AJ698" s="475">
        <v>0</v>
      </c>
      <c r="AK698" s="475">
        <v>0</v>
      </c>
      <c r="AL698" s="475">
        <v>0</v>
      </c>
      <c r="AM698" s="475">
        <v>0</v>
      </c>
      <c r="AN698" s="475">
        <v>0</v>
      </c>
      <c r="AO698" s="475">
        <v>0</v>
      </c>
      <c r="AP698" s="475">
        <v>0</v>
      </c>
      <c r="AQ698" s="475">
        <v>0</v>
      </c>
      <c r="AR698" s="475">
        <v>0</v>
      </c>
      <c r="AS698" s="475">
        <v>0</v>
      </c>
      <c r="AT698" s="475">
        <v>0</v>
      </c>
    </row>
    <row r="699" spans="3:46" hidden="1" outlineLevel="1" x14ac:dyDescent="0.2">
      <c r="C699" s="457"/>
      <c r="D699" s="457"/>
      <c r="E699" s="457"/>
      <c r="F699" s="457"/>
      <c r="G699" s="457"/>
      <c r="H699" s="457"/>
      <c r="I699" s="457"/>
      <c r="J699" s="457"/>
    </row>
    <row r="700" spans="3:46" hidden="1" outlineLevel="1" x14ac:dyDescent="0.2">
      <c r="C700" s="472" t="s">
        <v>1167</v>
      </c>
      <c r="D700" s="457"/>
      <c r="E700" s="457"/>
      <c r="F700" s="457"/>
      <c r="G700" s="457"/>
      <c r="H700" s="457"/>
      <c r="I700" s="457"/>
      <c r="J700" s="457"/>
    </row>
    <row r="701" spans="3:46" hidden="1" outlineLevel="1" x14ac:dyDescent="0.2">
      <c r="C701" s="457"/>
      <c r="D701" s="489">
        <f t="array" ref="D701:D703">RNC.Ladder</f>
        <v>1600</v>
      </c>
      <c r="E701" s="457"/>
      <c r="F701" s="457"/>
      <c r="G701" s="520">
        <f>SUMIF($G$695:$AT$695,D701,$G$698:$AT$698)</f>
        <v>0</v>
      </c>
      <c r="H701" s="457"/>
      <c r="I701" s="457"/>
      <c r="J701" s="457"/>
    </row>
    <row r="702" spans="3:46" hidden="1" outlineLevel="1" x14ac:dyDescent="0.2">
      <c r="D702" s="489">
        <v>2600</v>
      </c>
      <c r="E702" s="457"/>
      <c r="F702" s="457"/>
      <c r="G702" s="520">
        <f t="shared" ref="G702:G703" si="45">SUMIF($G$695:$AT$695,D702,$G$698:$AT$698)</f>
        <v>38</v>
      </c>
      <c r="H702" s="457"/>
      <c r="I702" s="457"/>
      <c r="J702" s="457"/>
    </row>
    <row r="703" spans="3:46" hidden="1" outlineLevel="1" x14ac:dyDescent="0.2">
      <c r="C703" s="457"/>
      <c r="D703" s="489">
        <v>5000</v>
      </c>
      <c r="E703" s="457"/>
      <c r="F703" s="457"/>
      <c r="G703" s="520">
        <f t="shared" si="45"/>
        <v>0</v>
      </c>
      <c r="H703" s="457"/>
      <c r="I703" s="457"/>
      <c r="J703" s="457"/>
    </row>
    <row r="704" spans="3:46" hidden="1" outlineLevel="1" x14ac:dyDescent="0.2">
      <c r="G704" s="466" t="s">
        <v>322</v>
      </c>
    </row>
    <row r="705" spans="1:47" hidden="1" outlineLevel="1" x14ac:dyDescent="0.2"/>
    <row r="706" spans="1:47" hidden="1" outlineLevel="1" x14ac:dyDescent="0.2">
      <c r="C706" s="460" t="s">
        <v>1169</v>
      </c>
      <c r="G706" s="476">
        <f t="array" ref="G706:AT706">IF(G692:AT692=Main.switching.sites,0,1)</f>
        <v>0</v>
      </c>
      <c r="H706" s="476">
        <v>0</v>
      </c>
      <c r="I706" s="476">
        <v>0</v>
      </c>
      <c r="J706" s="476">
        <v>0</v>
      </c>
      <c r="K706" s="476">
        <v>0</v>
      </c>
      <c r="L706" s="476">
        <v>0</v>
      </c>
      <c r="M706" s="476">
        <v>0</v>
      </c>
      <c r="N706" s="476">
        <v>0</v>
      </c>
      <c r="O706" s="476">
        <v>0</v>
      </c>
      <c r="P706" s="476">
        <v>0</v>
      </c>
      <c r="Q706" s="476">
        <v>0</v>
      </c>
      <c r="R706" s="476">
        <v>0</v>
      </c>
      <c r="S706" s="476">
        <v>0</v>
      </c>
      <c r="T706" s="476">
        <v>0</v>
      </c>
      <c r="U706" s="476">
        <v>0</v>
      </c>
      <c r="V706" s="476">
        <v>0</v>
      </c>
      <c r="W706" s="476">
        <v>0</v>
      </c>
      <c r="X706" s="476">
        <v>0</v>
      </c>
      <c r="Y706" s="476">
        <v>0</v>
      </c>
      <c r="Z706" s="476">
        <v>0</v>
      </c>
      <c r="AA706" s="476">
        <v>0</v>
      </c>
      <c r="AB706" s="476">
        <v>0</v>
      </c>
      <c r="AC706" s="476">
        <v>0</v>
      </c>
      <c r="AD706" s="476">
        <v>0</v>
      </c>
      <c r="AE706" s="476">
        <v>0</v>
      </c>
      <c r="AF706" s="476">
        <v>0</v>
      </c>
      <c r="AG706" s="476">
        <v>0</v>
      </c>
      <c r="AH706" s="476">
        <v>0</v>
      </c>
      <c r="AI706" s="476">
        <v>0</v>
      </c>
      <c r="AJ706" s="476">
        <v>0</v>
      </c>
      <c r="AK706" s="476">
        <v>0</v>
      </c>
      <c r="AL706" s="476">
        <v>0</v>
      </c>
      <c r="AM706" s="476">
        <v>0</v>
      </c>
      <c r="AN706" s="476">
        <v>0</v>
      </c>
      <c r="AO706" s="476">
        <v>0</v>
      </c>
      <c r="AP706" s="476">
        <v>0</v>
      </c>
      <c r="AQ706" s="476">
        <v>0</v>
      </c>
      <c r="AR706" s="476">
        <v>0</v>
      </c>
      <c r="AS706" s="476">
        <v>0</v>
      </c>
      <c r="AT706" s="476">
        <v>0</v>
      </c>
      <c r="AU706" s="466" t="s">
        <v>555</v>
      </c>
    </row>
    <row r="707" spans="1:47" hidden="1" outlineLevel="1" x14ac:dyDescent="0.2"/>
    <row r="708" spans="1:47" hidden="1" outlineLevel="1" x14ac:dyDescent="0.2">
      <c r="C708" s="460" t="s">
        <v>1170</v>
      </c>
      <c r="G708" s="520">
        <f t="array" ref="G708">SUM(IF(Remote.BSC.sites=Remote.RNC.sites,Remote.RNC.sites/2,Remote.RNC.sites))</f>
        <v>0</v>
      </c>
      <c r="H708" s="457"/>
    </row>
    <row r="709" spans="1:47" hidden="1" outlineLevel="1" x14ac:dyDescent="0.2">
      <c r="G709" s="466" t="s">
        <v>321</v>
      </c>
    </row>
    <row r="710" spans="1:47" hidden="1" outlineLevel="1" x14ac:dyDescent="0.2">
      <c r="A710" s="457"/>
    </row>
    <row r="711" spans="1:47" hidden="1" outlineLevel="1" x14ac:dyDescent="0.2">
      <c r="A711" s="457"/>
      <c r="C711" s="460" t="s">
        <v>1168</v>
      </c>
      <c r="G711" s="476">
        <f t="array" ref="G711:AT711">IF(G706:AT706=0,0,G698:AT698)</f>
        <v>0</v>
      </c>
      <c r="H711" s="476">
        <v>0</v>
      </c>
      <c r="I711" s="476">
        <v>0</v>
      </c>
      <c r="J711" s="476">
        <v>0</v>
      </c>
      <c r="K711" s="476">
        <v>0</v>
      </c>
      <c r="L711" s="476">
        <v>0</v>
      </c>
      <c r="M711" s="476">
        <v>0</v>
      </c>
      <c r="N711" s="476">
        <v>0</v>
      </c>
      <c r="O711" s="476">
        <v>0</v>
      </c>
      <c r="P711" s="476">
        <v>0</v>
      </c>
      <c r="Q711" s="476">
        <v>0</v>
      </c>
      <c r="R711" s="476">
        <v>0</v>
      </c>
      <c r="S711" s="476">
        <v>0</v>
      </c>
      <c r="T711" s="476">
        <v>0</v>
      </c>
      <c r="U711" s="476">
        <v>0</v>
      </c>
      <c r="V711" s="476">
        <v>0</v>
      </c>
      <c r="W711" s="476">
        <v>0</v>
      </c>
      <c r="X711" s="476">
        <v>0</v>
      </c>
      <c r="Y711" s="476">
        <v>0</v>
      </c>
      <c r="Z711" s="476">
        <v>0</v>
      </c>
      <c r="AA711" s="476">
        <v>0</v>
      </c>
      <c r="AB711" s="476">
        <v>0</v>
      </c>
      <c r="AC711" s="476">
        <v>0</v>
      </c>
      <c r="AD711" s="476">
        <v>0</v>
      </c>
      <c r="AE711" s="476">
        <v>0</v>
      </c>
      <c r="AF711" s="476">
        <v>0</v>
      </c>
      <c r="AG711" s="476">
        <v>0</v>
      </c>
      <c r="AH711" s="476">
        <v>0</v>
      </c>
      <c r="AI711" s="476">
        <v>0</v>
      </c>
      <c r="AJ711" s="476">
        <v>0</v>
      </c>
      <c r="AK711" s="476">
        <v>0</v>
      </c>
      <c r="AL711" s="476">
        <v>0</v>
      </c>
      <c r="AM711" s="476">
        <v>0</v>
      </c>
      <c r="AN711" s="476">
        <v>0</v>
      </c>
      <c r="AO711" s="476">
        <v>0</v>
      </c>
      <c r="AP711" s="476">
        <v>0</v>
      </c>
      <c r="AQ711" s="476">
        <v>0</v>
      </c>
      <c r="AR711" s="476">
        <v>0</v>
      </c>
      <c r="AS711" s="476">
        <v>0</v>
      </c>
      <c r="AT711" s="476">
        <v>0</v>
      </c>
    </row>
    <row r="712" spans="1:47" hidden="1" outlineLevel="1" x14ac:dyDescent="0.2">
      <c r="A712" s="457"/>
    </row>
    <row r="713" spans="1:47" hidden="1" outlineLevel="1" x14ac:dyDescent="0.2">
      <c r="A713" s="457"/>
      <c r="C713" s="460" t="s">
        <v>1676</v>
      </c>
    </row>
    <row r="714" spans="1:47" hidden="1" outlineLevel="1" x14ac:dyDescent="0.2">
      <c r="A714" s="457"/>
      <c r="D714" s="453" t="s">
        <v>1156</v>
      </c>
      <c r="G714" s="465">
        <f t="array" ref="G714:AT714">Network.voice.RNC.MSC.and.RNC.SGSN.Mbit.s.by.core.node</f>
        <v>0</v>
      </c>
      <c r="H714" s="465">
        <v>716.79852453678973</v>
      </c>
      <c r="I714" s="465">
        <v>0</v>
      </c>
      <c r="J714" s="465">
        <v>0</v>
      </c>
      <c r="K714" s="465">
        <v>0</v>
      </c>
      <c r="L714" s="465">
        <v>0</v>
      </c>
      <c r="M714" s="465">
        <v>0</v>
      </c>
      <c r="N714" s="465">
        <v>0</v>
      </c>
      <c r="O714" s="465">
        <v>0</v>
      </c>
      <c r="P714" s="465">
        <v>0</v>
      </c>
      <c r="Q714" s="465">
        <v>0</v>
      </c>
      <c r="R714" s="465">
        <v>0</v>
      </c>
      <c r="S714" s="465">
        <v>0</v>
      </c>
      <c r="T714" s="465">
        <v>100.24993635632485</v>
      </c>
      <c r="U714" s="465">
        <v>1169.0921144228644</v>
      </c>
      <c r="V714" s="465">
        <v>0</v>
      </c>
      <c r="W714" s="465">
        <v>0</v>
      </c>
      <c r="X714" s="465">
        <v>0</v>
      </c>
      <c r="Y714" s="465">
        <v>0</v>
      </c>
      <c r="Z714" s="465">
        <v>0</v>
      </c>
      <c r="AA714" s="465">
        <v>0</v>
      </c>
      <c r="AB714" s="465">
        <v>0</v>
      </c>
      <c r="AC714" s="465">
        <v>0</v>
      </c>
      <c r="AD714" s="465">
        <v>1091.5272664469039</v>
      </c>
      <c r="AE714" s="465">
        <v>0</v>
      </c>
      <c r="AF714" s="465">
        <v>0</v>
      </c>
      <c r="AG714" s="465">
        <v>0</v>
      </c>
      <c r="AH714" s="465">
        <v>0</v>
      </c>
      <c r="AI714" s="465">
        <v>0</v>
      </c>
      <c r="AJ714" s="465">
        <v>0</v>
      </c>
      <c r="AK714" s="465">
        <v>0</v>
      </c>
      <c r="AL714" s="465">
        <v>0</v>
      </c>
      <c r="AM714" s="465">
        <v>0</v>
      </c>
      <c r="AN714" s="465">
        <v>0</v>
      </c>
      <c r="AO714" s="465">
        <v>0</v>
      </c>
      <c r="AP714" s="465">
        <v>0</v>
      </c>
      <c r="AQ714" s="465">
        <v>0</v>
      </c>
      <c r="AR714" s="465">
        <v>0</v>
      </c>
      <c r="AS714" s="465">
        <v>0</v>
      </c>
      <c r="AT714" s="465">
        <v>0</v>
      </c>
    </row>
    <row r="715" spans="1:47" hidden="1" outlineLevel="1" x14ac:dyDescent="0.2">
      <c r="A715" s="457"/>
      <c r="D715" s="453" t="s">
        <v>1157</v>
      </c>
      <c r="G715" s="465">
        <f t="array" ref="G715:AT715">Network.data.RNC.MSC.and.RNC.SGSN.Mbit.s.by.core.node</f>
        <v>0</v>
      </c>
      <c r="H715" s="465">
        <v>16298.519229918138</v>
      </c>
      <c r="I715" s="465">
        <v>0</v>
      </c>
      <c r="J715" s="465">
        <v>0</v>
      </c>
      <c r="K715" s="465">
        <v>0</v>
      </c>
      <c r="L715" s="465">
        <v>0</v>
      </c>
      <c r="M715" s="465">
        <v>0</v>
      </c>
      <c r="N715" s="465">
        <v>0</v>
      </c>
      <c r="O715" s="465">
        <v>0</v>
      </c>
      <c r="P715" s="465">
        <v>0</v>
      </c>
      <c r="Q715" s="465">
        <v>0</v>
      </c>
      <c r="R715" s="465">
        <v>0</v>
      </c>
      <c r="S715" s="465">
        <v>0</v>
      </c>
      <c r="T715" s="465">
        <v>2279.4766724129449</v>
      </c>
      <c r="U715" s="465">
        <v>26582.742090296728</v>
      </c>
      <c r="V715" s="465">
        <v>0</v>
      </c>
      <c r="W715" s="465">
        <v>0</v>
      </c>
      <c r="X715" s="465">
        <v>0</v>
      </c>
      <c r="Y715" s="465">
        <v>0</v>
      </c>
      <c r="Z715" s="465">
        <v>0</v>
      </c>
      <c r="AA715" s="465">
        <v>0</v>
      </c>
      <c r="AB715" s="465">
        <v>0</v>
      </c>
      <c r="AC715" s="465">
        <v>0</v>
      </c>
      <c r="AD715" s="465">
        <v>24819.07751367275</v>
      </c>
      <c r="AE715" s="465">
        <v>0</v>
      </c>
      <c r="AF715" s="465">
        <v>0</v>
      </c>
      <c r="AG715" s="465">
        <v>0</v>
      </c>
      <c r="AH715" s="465">
        <v>0</v>
      </c>
      <c r="AI715" s="465">
        <v>0</v>
      </c>
      <c r="AJ715" s="465">
        <v>0</v>
      </c>
      <c r="AK715" s="465">
        <v>0</v>
      </c>
      <c r="AL715" s="465">
        <v>0</v>
      </c>
      <c r="AM715" s="465">
        <v>0</v>
      </c>
      <c r="AN715" s="465">
        <v>0</v>
      </c>
      <c r="AO715" s="465">
        <v>0</v>
      </c>
      <c r="AP715" s="465">
        <v>0</v>
      </c>
      <c r="AQ715" s="465">
        <v>0</v>
      </c>
      <c r="AR715" s="465">
        <v>0</v>
      </c>
      <c r="AS715" s="465">
        <v>0</v>
      </c>
      <c r="AT715" s="465">
        <v>0</v>
      </c>
    </row>
    <row r="716" spans="1:47" hidden="1" outlineLevel="1" x14ac:dyDescent="0.2">
      <c r="A716" s="457"/>
    </row>
    <row r="717" spans="1:47" hidden="1" outlineLevel="1" x14ac:dyDescent="0.2">
      <c r="A717" s="457"/>
    </row>
    <row r="718" spans="1:47" hidden="1" outlineLevel="1" x14ac:dyDescent="0.2">
      <c r="A718" s="457"/>
      <c r="C718" s="460" t="s">
        <v>1172</v>
      </c>
    </row>
    <row r="719" spans="1:47" hidden="1" outlineLevel="1" x14ac:dyDescent="0.2">
      <c r="A719" s="457"/>
      <c r="D719" s="453" t="s">
        <v>1156</v>
      </c>
      <c r="G719" s="476">
        <f t="array" ref="G719:AT719">IF(G$711:AT$711=0,0,G714:AT714/Utilisation.RNC.Core)</f>
        <v>0</v>
      </c>
      <c r="H719" s="476">
        <v>0</v>
      </c>
      <c r="I719" s="476">
        <v>0</v>
      </c>
      <c r="J719" s="476">
        <v>0</v>
      </c>
      <c r="K719" s="476">
        <v>0</v>
      </c>
      <c r="L719" s="476">
        <v>0</v>
      </c>
      <c r="M719" s="476">
        <v>0</v>
      </c>
      <c r="N719" s="476">
        <v>0</v>
      </c>
      <c r="O719" s="476">
        <v>0</v>
      </c>
      <c r="P719" s="476">
        <v>0</v>
      </c>
      <c r="Q719" s="476">
        <v>0</v>
      </c>
      <c r="R719" s="476">
        <v>0</v>
      </c>
      <c r="S719" s="476">
        <v>0</v>
      </c>
      <c r="T719" s="476">
        <v>0</v>
      </c>
      <c r="U719" s="476">
        <v>0</v>
      </c>
      <c r="V719" s="476">
        <v>0</v>
      </c>
      <c r="W719" s="476">
        <v>0</v>
      </c>
      <c r="X719" s="476">
        <v>0</v>
      </c>
      <c r="Y719" s="476">
        <v>0</v>
      </c>
      <c r="Z719" s="476">
        <v>0</v>
      </c>
      <c r="AA719" s="476">
        <v>0</v>
      </c>
      <c r="AB719" s="476">
        <v>0</v>
      </c>
      <c r="AC719" s="476">
        <v>0</v>
      </c>
      <c r="AD719" s="476">
        <v>0</v>
      </c>
      <c r="AE719" s="476">
        <v>0</v>
      </c>
      <c r="AF719" s="476">
        <v>0</v>
      </c>
      <c r="AG719" s="476">
        <v>0</v>
      </c>
      <c r="AH719" s="476">
        <v>0</v>
      </c>
      <c r="AI719" s="476">
        <v>0</v>
      </c>
      <c r="AJ719" s="476">
        <v>0</v>
      </c>
      <c r="AK719" s="476">
        <v>0</v>
      </c>
      <c r="AL719" s="476">
        <v>0</v>
      </c>
      <c r="AM719" s="476">
        <v>0</v>
      </c>
      <c r="AN719" s="476">
        <v>0</v>
      </c>
      <c r="AO719" s="476">
        <v>0</v>
      </c>
      <c r="AP719" s="476">
        <v>0</v>
      </c>
      <c r="AQ719" s="476">
        <v>0</v>
      </c>
      <c r="AR719" s="476">
        <v>0</v>
      </c>
      <c r="AS719" s="476">
        <v>0</v>
      </c>
      <c r="AT719" s="476">
        <v>0</v>
      </c>
      <c r="AU719" s="466" t="s">
        <v>560</v>
      </c>
    </row>
    <row r="720" spans="1:47" hidden="1" outlineLevel="1" x14ac:dyDescent="0.2">
      <c r="A720" s="457"/>
      <c r="D720" s="453" t="s">
        <v>1157</v>
      </c>
      <c r="G720" s="476">
        <f t="array" ref="G720:AT720">IF(G$711:AT$711=0,0,G715:AT715/Utilisation.RNC.Core)</f>
        <v>0</v>
      </c>
      <c r="H720" s="476">
        <v>0</v>
      </c>
      <c r="I720" s="476">
        <v>0</v>
      </c>
      <c r="J720" s="476">
        <v>0</v>
      </c>
      <c r="K720" s="476">
        <v>0</v>
      </c>
      <c r="L720" s="476">
        <v>0</v>
      </c>
      <c r="M720" s="476">
        <v>0</v>
      </c>
      <c r="N720" s="476">
        <v>0</v>
      </c>
      <c r="O720" s="476">
        <v>0</v>
      </c>
      <c r="P720" s="476">
        <v>0</v>
      </c>
      <c r="Q720" s="476">
        <v>0</v>
      </c>
      <c r="R720" s="476">
        <v>0</v>
      </c>
      <c r="S720" s="476">
        <v>0</v>
      </c>
      <c r="T720" s="476">
        <v>0</v>
      </c>
      <c r="U720" s="476">
        <v>0</v>
      </c>
      <c r="V720" s="476">
        <v>0</v>
      </c>
      <c r="W720" s="476">
        <v>0</v>
      </c>
      <c r="X720" s="476">
        <v>0</v>
      </c>
      <c r="Y720" s="476">
        <v>0</v>
      </c>
      <c r="Z720" s="476">
        <v>0</v>
      </c>
      <c r="AA720" s="476">
        <v>0</v>
      </c>
      <c r="AB720" s="476">
        <v>0</v>
      </c>
      <c r="AC720" s="476">
        <v>0</v>
      </c>
      <c r="AD720" s="476">
        <v>0</v>
      </c>
      <c r="AE720" s="476">
        <v>0</v>
      </c>
      <c r="AF720" s="476">
        <v>0</v>
      </c>
      <c r="AG720" s="476">
        <v>0</v>
      </c>
      <c r="AH720" s="476">
        <v>0</v>
      </c>
      <c r="AI720" s="476">
        <v>0</v>
      </c>
      <c r="AJ720" s="476">
        <v>0</v>
      </c>
      <c r="AK720" s="476">
        <v>0</v>
      </c>
      <c r="AL720" s="476">
        <v>0</v>
      </c>
      <c r="AM720" s="476">
        <v>0</v>
      </c>
      <c r="AN720" s="476">
        <v>0</v>
      </c>
      <c r="AO720" s="476">
        <v>0</v>
      </c>
      <c r="AP720" s="476">
        <v>0</v>
      </c>
      <c r="AQ720" s="476">
        <v>0</v>
      </c>
      <c r="AR720" s="476">
        <v>0</v>
      </c>
      <c r="AS720" s="476">
        <v>0</v>
      </c>
      <c r="AT720" s="476">
        <v>0</v>
      </c>
      <c r="AU720" s="466" t="s">
        <v>561</v>
      </c>
    </row>
    <row r="721" spans="1:48" hidden="1" outlineLevel="1" x14ac:dyDescent="0.2">
      <c r="A721" s="457"/>
    </row>
    <row r="722" spans="1:48" collapsed="1" x14ac:dyDescent="0.2">
      <c r="J722" s="457"/>
    </row>
    <row r="724" spans="1:48" s="457" customFormat="1" ht="15.75" x14ac:dyDescent="0.2">
      <c r="A724" s="456" t="s">
        <v>1312</v>
      </c>
      <c r="B724" s="456"/>
      <c r="C724" s="456"/>
      <c r="D724" s="456"/>
      <c r="E724" s="456"/>
      <c r="F724" s="456"/>
      <c r="G724" s="456"/>
      <c r="H724" s="456"/>
      <c r="I724" s="456"/>
      <c r="J724" s="456"/>
      <c r="K724" s="456"/>
      <c r="L724" s="456"/>
      <c r="M724" s="456"/>
      <c r="N724" s="456"/>
      <c r="O724" s="456"/>
      <c r="P724" s="456"/>
      <c r="Q724" s="456"/>
      <c r="R724" s="456"/>
      <c r="S724" s="456"/>
      <c r="T724" s="456"/>
      <c r="U724" s="456"/>
      <c r="V724" s="456"/>
      <c r="W724" s="456"/>
      <c r="X724" s="456"/>
      <c r="Y724" s="456"/>
      <c r="Z724" s="456"/>
      <c r="AA724" s="456"/>
      <c r="AB724" s="456"/>
      <c r="AC724" s="456"/>
      <c r="AD724" s="456"/>
      <c r="AE724" s="456"/>
      <c r="AF724" s="456"/>
      <c r="AG724" s="456"/>
      <c r="AH724" s="456"/>
      <c r="AI724" s="456"/>
      <c r="AJ724" s="456"/>
      <c r="AK724" s="456"/>
      <c r="AL724" s="456"/>
      <c r="AM724" s="456"/>
      <c r="AN724" s="456"/>
      <c r="AO724" s="456"/>
      <c r="AP724" s="456"/>
      <c r="AQ724" s="456"/>
      <c r="AR724" s="456"/>
      <c r="AS724" s="456"/>
      <c r="AT724" s="456"/>
      <c r="AU724" s="456"/>
      <c r="AV724" s="456"/>
    </row>
    <row r="725" spans="1:48" x14ac:dyDescent="0.2">
      <c r="F725" s="457"/>
    </row>
    <row r="726" spans="1:48" ht="24" hidden="1" customHeight="1" outlineLevel="1" x14ac:dyDescent="0.2">
      <c r="C726" s="460" t="s">
        <v>1173</v>
      </c>
      <c r="F726" s="457"/>
      <c r="G726" s="458" t="str">
        <f t="array" ref="G726:J726">Core.rings.names</f>
        <v>Anillo Norte</v>
      </c>
      <c r="H726" s="458" t="str">
        <v>Anillo Sur</v>
      </c>
      <c r="I726" s="458" t="str">
        <v>Medio-anillo Este</v>
      </c>
      <c r="J726" s="458" t="str">
        <v>MW</v>
      </c>
    </row>
    <row r="727" spans="1:48" hidden="1" outlineLevel="1" x14ac:dyDescent="0.2">
      <c r="F727" s="525">
        <v>1</v>
      </c>
      <c r="G727" s="512" t="str">
        <f t="array" ref="G727:J742">Core.rings.nodes.per.ring.for.traffic</f>
        <v>Lima</v>
      </c>
      <c r="H727" s="512" t="str">
        <v>Lima</v>
      </c>
      <c r="I727" s="512" t="str">
        <v>-</v>
      </c>
      <c r="J727" s="512" t="str">
        <v>Iquitos</v>
      </c>
      <c r="K727" s="457"/>
    </row>
    <row r="728" spans="1:48" hidden="1" outlineLevel="2" x14ac:dyDescent="0.2">
      <c r="F728" s="525">
        <f>1+F727</f>
        <v>2</v>
      </c>
      <c r="G728" s="512" t="str">
        <v>Callao</v>
      </c>
      <c r="H728" s="512" t="str">
        <v>Ica</v>
      </c>
      <c r="I728" s="512" t="str">
        <v>Pucallpa</v>
      </c>
      <c r="J728" s="512" t="str">
        <v>-</v>
      </c>
    </row>
    <row r="729" spans="1:48" hidden="1" outlineLevel="2" x14ac:dyDescent="0.2">
      <c r="F729" s="525">
        <f t="shared" ref="F729:F742" si="46">1+F728</f>
        <v>3</v>
      </c>
      <c r="G729" s="512" t="str">
        <v>Trujillo</v>
      </c>
      <c r="H729" s="512" t="str">
        <v>Arequipa</v>
      </c>
      <c r="I729" s="512" t="str">
        <v>Tingo Maria</v>
      </c>
      <c r="J729" s="512" t="str">
        <v>-</v>
      </c>
    </row>
    <row r="730" spans="1:48" hidden="1" outlineLevel="2" x14ac:dyDescent="0.2">
      <c r="F730" s="525">
        <f t="shared" si="46"/>
        <v>4</v>
      </c>
      <c r="G730" s="512" t="str">
        <v>Chiclayo</v>
      </c>
      <c r="H730" s="512" t="str">
        <v>Moquegua</v>
      </c>
      <c r="I730" s="512" t="str">
        <v>Tarapoto</v>
      </c>
      <c r="J730" s="512" t="str">
        <v>-</v>
      </c>
    </row>
    <row r="731" spans="1:48" hidden="1" outlineLevel="2" x14ac:dyDescent="0.2">
      <c r="F731" s="525">
        <f t="shared" si="46"/>
        <v>5</v>
      </c>
      <c r="G731" s="512" t="str">
        <v>Piura</v>
      </c>
      <c r="H731" s="512" t="str">
        <v>Tacna</v>
      </c>
      <c r="I731" s="512" t="str">
        <v>-</v>
      </c>
      <c r="J731" s="512" t="str">
        <v>-</v>
      </c>
    </row>
    <row r="732" spans="1:48" hidden="1" outlineLevel="2" x14ac:dyDescent="0.2">
      <c r="F732" s="525">
        <f t="shared" si="46"/>
        <v>6</v>
      </c>
      <c r="G732" s="512" t="str">
        <v>Tumbes</v>
      </c>
      <c r="H732" s="512" t="str">
        <v>Puno</v>
      </c>
      <c r="I732" s="512" t="str">
        <v>-</v>
      </c>
      <c r="J732" s="512" t="str">
        <v>-</v>
      </c>
    </row>
    <row r="733" spans="1:48" hidden="1" outlineLevel="2" x14ac:dyDescent="0.2">
      <c r="F733" s="525">
        <f t="shared" si="46"/>
        <v>7</v>
      </c>
      <c r="G733" s="512" t="str">
        <v>Piura</v>
      </c>
      <c r="H733" s="512" t="str">
        <v>Puerto Maldonado</v>
      </c>
      <c r="I733" s="512" t="str">
        <v>-</v>
      </c>
      <c r="J733" s="512" t="str">
        <v>-</v>
      </c>
    </row>
    <row r="734" spans="1:48" hidden="1" outlineLevel="2" x14ac:dyDescent="0.2">
      <c r="F734" s="525">
        <f t="shared" si="46"/>
        <v>8</v>
      </c>
      <c r="G734" s="512" t="str">
        <v>Chachapoyas</v>
      </c>
      <c r="H734" s="512" t="str">
        <v>Cusco</v>
      </c>
      <c r="I734" s="512" t="str">
        <v>-</v>
      </c>
      <c r="J734" s="512" t="str">
        <v>-</v>
      </c>
    </row>
    <row r="735" spans="1:48" hidden="1" outlineLevel="2" x14ac:dyDescent="0.2">
      <c r="F735" s="525">
        <f t="shared" si="46"/>
        <v>9</v>
      </c>
      <c r="G735" s="512" t="str">
        <v>Cajamarca</v>
      </c>
      <c r="H735" s="512" t="str">
        <v>Abancay</v>
      </c>
      <c r="I735" s="512" t="str">
        <v>-</v>
      </c>
      <c r="J735" s="512" t="str">
        <v>-</v>
      </c>
    </row>
    <row r="736" spans="1:48" hidden="1" outlineLevel="2" x14ac:dyDescent="0.2">
      <c r="F736" s="525">
        <f t="shared" si="46"/>
        <v>10</v>
      </c>
      <c r="G736" s="512" t="str">
        <v>Huaraz</v>
      </c>
      <c r="H736" s="512" t="str">
        <v>Ayacucho</v>
      </c>
      <c r="I736" s="512" t="str">
        <v>-</v>
      </c>
      <c r="J736" s="512" t="str">
        <v>-</v>
      </c>
    </row>
    <row r="737" spans="3:11" hidden="1" outlineLevel="2" x14ac:dyDescent="0.2">
      <c r="F737" s="525">
        <f t="shared" si="46"/>
        <v>11</v>
      </c>
      <c r="G737" s="512" t="str">
        <v>Cerro de Pasco</v>
      </c>
      <c r="H737" s="512" t="str">
        <v>Huancavelica</v>
      </c>
      <c r="I737" s="512" t="str">
        <v>-</v>
      </c>
      <c r="J737" s="512" t="str">
        <v>-</v>
      </c>
    </row>
    <row r="738" spans="3:11" hidden="1" outlineLevel="2" x14ac:dyDescent="0.2">
      <c r="F738" s="525">
        <f t="shared" si="46"/>
        <v>12</v>
      </c>
      <c r="G738" s="512" t="str">
        <v>-</v>
      </c>
      <c r="H738" s="512" t="str">
        <v>Huancayo</v>
      </c>
      <c r="I738" s="512" t="str">
        <v>-</v>
      </c>
      <c r="J738" s="512" t="str">
        <v>-</v>
      </c>
    </row>
    <row r="739" spans="3:11" hidden="1" outlineLevel="2" x14ac:dyDescent="0.2">
      <c r="F739" s="525">
        <f t="shared" si="46"/>
        <v>13</v>
      </c>
      <c r="G739" s="512" t="str">
        <v>-</v>
      </c>
      <c r="H739" s="512" t="str">
        <v>-</v>
      </c>
      <c r="I739" s="512" t="str">
        <v>-</v>
      </c>
      <c r="J739" s="512" t="str">
        <v>-</v>
      </c>
    </row>
    <row r="740" spans="3:11" hidden="1" outlineLevel="2" x14ac:dyDescent="0.2">
      <c r="F740" s="525">
        <f t="shared" si="46"/>
        <v>14</v>
      </c>
      <c r="G740" s="512" t="str">
        <v>-</v>
      </c>
      <c r="H740" s="512" t="str">
        <v>-</v>
      </c>
      <c r="I740" s="512" t="str">
        <v>-</v>
      </c>
      <c r="J740" s="512" t="str">
        <v>-</v>
      </c>
    </row>
    <row r="741" spans="3:11" hidden="1" outlineLevel="2" x14ac:dyDescent="0.2">
      <c r="F741" s="525">
        <f t="shared" si="46"/>
        <v>15</v>
      </c>
      <c r="G741" s="512" t="str">
        <v>-</v>
      </c>
      <c r="H741" s="512" t="str">
        <v>-</v>
      </c>
      <c r="I741" s="512" t="str">
        <v>-</v>
      </c>
      <c r="J741" s="512" t="str">
        <v>-</v>
      </c>
    </row>
    <row r="742" spans="3:11" hidden="1" outlineLevel="1" x14ac:dyDescent="0.2">
      <c r="F742" s="525">
        <f t="shared" si="46"/>
        <v>16</v>
      </c>
      <c r="G742" s="512" t="str">
        <v>-</v>
      </c>
      <c r="H742" s="512" t="str">
        <v>-</v>
      </c>
      <c r="I742" s="512" t="str">
        <v>-</v>
      </c>
      <c r="J742" s="512" t="str">
        <v>-</v>
      </c>
    </row>
    <row r="743" spans="3:11" hidden="1" outlineLevel="1" x14ac:dyDescent="0.2">
      <c r="F743" s="457"/>
      <c r="K743" s="457"/>
    </row>
    <row r="744" spans="3:11" ht="24" hidden="1" customHeight="1" outlineLevel="1" x14ac:dyDescent="0.2">
      <c r="C744" s="460" t="s">
        <v>1174</v>
      </c>
      <c r="F744" s="457"/>
      <c r="G744" s="458" t="str">
        <f t="array" ref="G744:J744">Core.rings.names</f>
        <v>Anillo Norte</v>
      </c>
      <c r="H744" s="458" t="str">
        <v>Anillo Sur</v>
      </c>
      <c r="I744" s="458" t="str">
        <v>Medio-anillo Este</v>
      </c>
      <c r="J744" s="458" t="str">
        <v>MW</v>
      </c>
    </row>
    <row r="745" spans="3:11" hidden="1" outlineLevel="1" x14ac:dyDescent="0.2">
      <c r="F745" s="525">
        <v>1</v>
      </c>
      <c r="G745" s="512" t="str">
        <f t="array" ref="G745:J760">Core.rings.nodes.per.ring.for.equipment</f>
        <v>Lima</v>
      </c>
      <c r="H745" s="512" t="str">
        <v>Lima</v>
      </c>
      <c r="I745" s="512" t="str">
        <v>Cerro de Pasco</v>
      </c>
      <c r="J745" s="512" t="str">
        <v>Iquitos</v>
      </c>
      <c r="K745" s="457"/>
    </row>
    <row r="746" spans="3:11" hidden="1" outlineLevel="2" x14ac:dyDescent="0.2">
      <c r="F746" s="525">
        <f>1+F745</f>
        <v>2</v>
      </c>
      <c r="G746" s="512" t="str">
        <v>Callao</v>
      </c>
      <c r="H746" s="512" t="str">
        <v>Ica</v>
      </c>
      <c r="I746" s="512" t="str">
        <v>Pucallpa</v>
      </c>
      <c r="J746" s="512" t="str">
        <v>Yurimaguas</v>
      </c>
    </row>
    <row r="747" spans="3:11" hidden="1" outlineLevel="2" x14ac:dyDescent="0.2">
      <c r="F747" s="525">
        <f t="shared" ref="F747:F760" si="47">1+F746</f>
        <v>3</v>
      </c>
      <c r="G747" s="512" t="str">
        <v>Trujillo</v>
      </c>
      <c r="H747" s="512" t="str">
        <v>Arequipa</v>
      </c>
      <c r="I747" s="512" t="str">
        <v>Tingo Maria</v>
      </c>
      <c r="J747" s="512" t="str">
        <v>-</v>
      </c>
    </row>
    <row r="748" spans="3:11" hidden="1" outlineLevel="2" x14ac:dyDescent="0.2">
      <c r="F748" s="525">
        <f t="shared" si="47"/>
        <v>4</v>
      </c>
      <c r="G748" s="512" t="str">
        <v>Chiclayo</v>
      </c>
      <c r="H748" s="512" t="str">
        <v>Moquegua</v>
      </c>
      <c r="I748" s="512" t="str">
        <v>Tarapoto</v>
      </c>
      <c r="J748" s="512" t="str">
        <v>-</v>
      </c>
    </row>
    <row r="749" spans="3:11" hidden="1" outlineLevel="2" x14ac:dyDescent="0.2">
      <c r="F749" s="525">
        <f t="shared" si="47"/>
        <v>5</v>
      </c>
      <c r="G749" s="512" t="str">
        <v>Piura</v>
      </c>
      <c r="H749" s="512" t="str">
        <v>Tacna</v>
      </c>
      <c r="I749" s="512" t="str">
        <v>Chachapoyas</v>
      </c>
      <c r="J749" s="512" t="str">
        <v>-</v>
      </c>
    </row>
    <row r="750" spans="3:11" hidden="1" outlineLevel="2" x14ac:dyDescent="0.2">
      <c r="F750" s="525">
        <f t="shared" si="47"/>
        <v>6</v>
      </c>
      <c r="G750" s="512" t="str">
        <v>Tumbes</v>
      </c>
      <c r="H750" s="512" t="str">
        <v>Puno</v>
      </c>
      <c r="I750" s="512" t="str">
        <v>-</v>
      </c>
      <c r="J750" s="512" t="str">
        <v>-</v>
      </c>
    </row>
    <row r="751" spans="3:11" hidden="1" outlineLevel="2" x14ac:dyDescent="0.2">
      <c r="F751" s="525">
        <f t="shared" si="47"/>
        <v>7</v>
      </c>
      <c r="G751" s="512" t="str">
        <v>Piura</v>
      </c>
      <c r="H751" s="512" t="str">
        <v>Puerto Maldonado</v>
      </c>
      <c r="I751" s="512" t="str">
        <v>-</v>
      </c>
      <c r="J751" s="512" t="str">
        <v>-</v>
      </c>
    </row>
    <row r="752" spans="3:11" hidden="1" outlineLevel="2" x14ac:dyDescent="0.2">
      <c r="F752" s="525">
        <f t="shared" si="47"/>
        <v>8</v>
      </c>
      <c r="G752" s="512" t="str">
        <v>Chachapoyas</v>
      </c>
      <c r="H752" s="512" t="str">
        <v>Cusco</v>
      </c>
      <c r="I752" s="512" t="str">
        <v>-</v>
      </c>
      <c r="J752" s="512" t="str">
        <v>-</v>
      </c>
    </row>
    <row r="753" spans="3:11" hidden="1" outlineLevel="2" x14ac:dyDescent="0.2">
      <c r="F753" s="525">
        <f t="shared" si="47"/>
        <v>9</v>
      </c>
      <c r="G753" s="512" t="str">
        <v>Cajamarca</v>
      </c>
      <c r="H753" s="512" t="str">
        <v>Abancay</v>
      </c>
      <c r="I753" s="512" t="str">
        <v>-</v>
      </c>
      <c r="J753" s="512" t="str">
        <v>-</v>
      </c>
    </row>
    <row r="754" spans="3:11" hidden="1" outlineLevel="2" x14ac:dyDescent="0.2">
      <c r="F754" s="525">
        <f t="shared" si="47"/>
        <v>10</v>
      </c>
      <c r="G754" s="512" t="str">
        <v>Huaraz</v>
      </c>
      <c r="H754" s="512" t="str">
        <v>Ayacucho</v>
      </c>
      <c r="I754" s="512" t="str">
        <v>-</v>
      </c>
      <c r="J754" s="512" t="str">
        <v>-</v>
      </c>
    </row>
    <row r="755" spans="3:11" hidden="1" outlineLevel="2" x14ac:dyDescent="0.2">
      <c r="F755" s="525">
        <f t="shared" si="47"/>
        <v>11</v>
      </c>
      <c r="G755" s="512" t="str">
        <v>Cerro de Pasco</v>
      </c>
      <c r="H755" s="512" t="str">
        <v>Huancavelica</v>
      </c>
      <c r="I755" s="512" t="str">
        <v>-</v>
      </c>
      <c r="J755" s="512" t="str">
        <v>-</v>
      </c>
    </row>
    <row r="756" spans="3:11" hidden="1" outlineLevel="2" x14ac:dyDescent="0.2">
      <c r="F756" s="525">
        <f t="shared" si="47"/>
        <v>12</v>
      </c>
      <c r="G756" s="512" t="str">
        <v>-</v>
      </c>
      <c r="H756" s="512" t="str">
        <v>Huancayo</v>
      </c>
      <c r="I756" s="512" t="str">
        <v>-</v>
      </c>
      <c r="J756" s="512" t="str">
        <v>-</v>
      </c>
    </row>
    <row r="757" spans="3:11" hidden="1" outlineLevel="2" x14ac:dyDescent="0.2">
      <c r="F757" s="525">
        <f t="shared" si="47"/>
        <v>13</v>
      </c>
      <c r="G757" s="512" t="str">
        <v>-</v>
      </c>
      <c r="H757" s="512" t="str">
        <v>-</v>
      </c>
      <c r="I757" s="512" t="str">
        <v>-</v>
      </c>
      <c r="J757" s="512" t="str">
        <v>-</v>
      </c>
    </row>
    <row r="758" spans="3:11" hidden="1" outlineLevel="2" x14ac:dyDescent="0.2">
      <c r="F758" s="525">
        <f t="shared" si="47"/>
        <v>14</v>
      </c>
      <c r="G758" s="512" t="str">
        <v>-</v>
      </c>
      <c r="H758" s="512" t="str">
        <v>-</v>
      </c>
      <c r="I758" s="512" t="str">
        <v>-</v>
      </c>
      <c r="J758" s="512" t="str">
        <v>-</v>
      </c>
    </row>
    <row r="759" spans="3:11" hidden="1" outlineLevel="2" x14ac:dyDescent="0.2">
      <c r="F759" s="525">
        <f t="shared" si="47"/>
        <v>15</v>
      </c>
      <c r="G759" s="512" t="str">
        <v>-</v>
      </c>
      <c r="H759" s="512" t="str">
        <v>-</v>
      </c>
      <c r="I759" s="512" t="str">
        <v>-</v>
      </c>
      <c r="J759" s="512" t="str">
        <v>-</v>
      </c>
    </row>
    <row r="760" spans="3:11" hidden="1" outlineLevel="1" x14ac:dyDescent="0.2">
      <c r="F760" s="525">
        <f t="shared" si="47"/>
        <v>16</v>
      </c>
      <c r="G760" s="512" t="str">
        <v>-</v>
      </c>
      <c r="H760" s="512" t="str">
        <v>-</v>
      </c>
      <c r="I760" s="512" t="str">
        <v>-</v>
      </c>
      <c r="J760" s="512" t="str">
        <v>-</v>
      </c>
    </row>
    <row r="761" spans="3:11" hidden="1" outlineLevel="1" x14ac:dyDescent="0.2">
      <c r="F761" s="457"/>
      <c r="K761" s="457"/>
    </row>
    <row r="762" spans="3:11" ht="24" hidden="1" customHeight="1" outlineLevel="1" x14ac:dyDescent="0.2">
      <c r="C762" s="460" t="s">
        <v>1175</v>
      </c>
      <c r="F762" s="457"/>
      <c r="G762" s="458" t="str">
        <f t="array" ref="G762:J762">Core.rings.names</f>
        <v>Anillo Norte</v>
      </c>
      <c r="H762" s="458" t="str">
        <v>Anillo Sur</v>
      </c>
      <c r="I762" s="458" t="str">
        <v>Medio-anillo Este</v>
      </c>
      <c r="J762" s="458" t="str">
        <v>MW</v>
      </c>
    </row>
    <row r="763" spans="3:11" hidden="1" outlineLevel="1" x14ac:dyDescent="0.2">
      <c r="F763" s="525">
        <v>1</v>
      </c>
      <c r="G763" s="474">
        <f t="shared" ref="G763:J778" si="48">IF(ISNA(MATCH(G745,Core.nodes,0)),0,INDEX(Core.ring.technology.by.node.used,MATCH(G745,Core.nodes,0),))</f>
        <v>1</v>
      </c>
      <c r="H763" s="474">
        <f t="shared" si="48"/>
        <v>1</v>
      </c>
      <c r="I763" s="474">
        <f t="shared" si="48"/>
        <v>1</v>
      </c>
      <c r="J763" s="474">
        <f t="shared" si="48"/>
        <v>0</v>
      </c>
      <c r="K763" s="457"/>
    </row>
    <row r="764" spans="3:11" hidden="1" outlineLevel="2" x14ac:dyDescent="0.2">
      <c r="F764" s="525">
        <f>1+F763</f>
        <v>2</v>
      </c>
      <c r="G764" s="474">
        <f t="shared" si="48"/>
        <v>1</v>
      </c>
      <c r="H764" s="474">
        <f t="shared" si="48"/>
        <v>1</v>
      </c>
      <c r="I764" s="474">
        <f t="shared" si="48"/>
        <v>1</v>
      </c>
      <c r="J764" s="474">
        <f t="shared" si="48"/>
        <v>0</v>
      </c>
    </row>
    <row r="765" spans="3:11" hidden="1" outlineLevel="2" x14ac:dyDescent="0.2">
      <c r="F765" s="525">
        <f t="shared" ref="F765:F778" si="49">1+F764</f>
        <v>3</v>
      </c>
      <c r="G765" s="474">
        <f t="shared" si="48"/>
        <v>1</v>
      </c>
      <c r="H765" s="474">
        <f t="shared" si="48"/>
        <v>1</v>
      </c>
      <c r="I765" s="474">
        <f t="shared" si="48"/>
        <v>1</v>
      </c>
      <c r="J765" s="474">
        <f t="shared" si="48"/>
        <v>0</v>
      </c>
    </row>
    <row r="766" spans="3:11" hidden="1" outlineLevel="2" x14ac:dyDescent="0.2">
      <c r="F766" s="525">
        <f t="shared" si="49"/>
        <v>4</v>
      </c>
      <c r="G766" s="474">
        <f t="shared" si="48"/>
        <v>1</v>
      </c>
      <c r="H766" s="474">
        <f t="shared" si="48"/>
        <v>1</v>
      </c>
      <c r="I766" s="474">
        <f t="shared" si="48"/>
        <v>1</v>
      </c>
      <c r="J766" s="474">
        <f t="shared" si="48"/>
        <v>0</v>
      </c>
    </row>
    <row r="767" spans="3:11" hidden="1" outlineLevel="2" x14ac:dyDescent="0.2">
      <c r="F767" s="525">
        <f t="shared" si="49"/>
        <v>5</v>
      </c>
      <c r="G767" s="474">
        <f t="shared" si="48"/>
        <v>1</v>
      </c>
      <c r="H767" s="474">
        <f t="shared" si="48"/>
        <v>1</v>
      </c>
      <c r="I767" s="474">
        <f t="shared" si="48"/>
        <v>1</v>
      </c>
      <c r="J767" s="474">
        <f t="shared" si="48"/>
        <v>0</v>
      </c>
    </row>
    <row r="768" spans="3:11" hidden="1" outlineLevel="2" x14ac:dyDescent="0.2">
      <c r="F768" s="525">
        <f t="shared" si="49"/>
        <v>6</v>
      </c>
      <c r="G768" s="474">
        <f t="shared" si="48"/>
        <v>1</v>
      </c>
      <c r="H768" s="474">
        <f t="shared" si="48"/>
        <v>1</v>
      </c>
      <c r="I768" s="474">
        <f t="shared" si="48"/>
        <v>0</v>
      </c>
      <c r="J768" s="474">
        <f t="shared" si="48"/>
        <v>0</v>
      </c>
    </row>
    <row r="769" spans="2:11" hidden="1" outlineLevel="2" x14ac:dyDescent="0.2">
      <c r="F769" s="525">
        <f t="shared" si="49"/>
        <v>7</v>
      </c>
      <c r="G769" s="474">
        <f t="shared" si="48"/>
        <v>1</v>
      </c>
      <c r="H769" s="474">
        <f t="shared" si="48"/>
        <v>1</v>
      </c>
      <c r="I769" s="474">
        <f t="shared" si="48"/>
        <v>0</v>
      </c>
      <c r="J769" s="474">
        <f t="shared" si="48"/>
        <v>0</v>
      </c>
    </row>
    <row r="770" spans="2:11" hidden="1" outlineLevel="2" x14ac:dyDescent="0.2">
      <c r="F770" s="525">
        <f t="shared" si="49"/>
        <v>8</v>
      </c>
      <c r="G770" s="474">
        <f t="shared" si="48"/>
        <v>1</v>
      </c>
      <c r="H770" s="474">
        <f t="shared" si="48"/>
        <v>1</v>
      </c>
      <c r="I770" s="474">
        <f t="shared" si="48"/>
        <v>0</v>
      </c>
      <c r="J770" s="474">
        <f t="shared" si="48"/>
        <v>0</v>
      </c>
    </row>
    <row r="771" spans="2:11" hidden="1" outlineLevel="2" x14ac:dyDescent="0.2">
      <c r="F771" s="525">
        <f t="shared" si="49"/>
        <v>9</v>
      </c>
      <c r="G771" s="474">
        <f t="shared" si="48"/>
        <v>1</v>
      </c>
      <c r="H771" s="474">
        <f t="shared" si="48"/>
        <v>1</v>
      </c>
      <c r="I771" s="474">
        <f t="shared" si="48"/>
        <v>0</v>
      </c>
      <c r="J771" s="474">
        <f t="shared" si="48"/>
        <v>0</v>
      </c>
    </row>
    <row r="772" spans="2:11" hidden="1" outlineLevel="2" x14ac:dyDescent="0.2">
      <c r="F772" s="525">
        <f t="shared" si="49"/>
        <v>10</v>
      </c>
      <c r="G772" s="474">
        <f t="shared" si="48"/>
        <v>1</v>
      </c>
      <c r="H772" s="474">
        <f t="shared" si="48"/>
        <v>1</v>
      </c>
      <c r="I772" s="474">
        <f t="shared" si="48"/>
        <v>0</v>
      </c>
      <c r="J772" s="474">
        <f t="shared" si="48"/>
        <v>0</v>
      </c>
    </row>
    <row r="773" spans="2:11" hidden="1" outlineLevel="2" x14ac:dyDescent="0.2">
      <c r="F773" s="525">
        <f t="shared" si="49"/>
        <v>11</v>
      </c>
      <c r="G773" s="474">
        <f t="shared" si="48"/>
        <v>1</v>
      </c>
      <c r="H773" s="474">
        <f t="shared" si="48"/>
        <v>1</v>
      </c>
      <c r="I773" s="474">
        <f t="shared" si="48"/>
        <v>0</v>
      </c>
      <c r="J773" s="474">
        <f t="shared" si="48"/>
        <v>0</v>
      </c>
    </row>
    <row r="774" spans="2:11" hidden="1" outlineLevel="2" x14ac:dyDescent="0.2">
      <c r="F774" s="525">
        <f t="shared" si="49"/>
        <v>12</v>
      </c>
      <c r="G774" s="474">
        <f t="shared" si="48"/>
        <v>0</v>
      </c>
      <c r="H774" s="474">
        <f t="shared" si="48"/>
        <v>1</v>
      </c>
      <c r="I774" s="474">
        <f t="shared" si="48"/>
        <v>0</v>
      </c>
      <c r="J774" s="474">
        <f t="shared" si="48"/>
        <v>0</v>
      </c>
    </row>
    <row r="775" spans="2:11" hidden="1" outlineLevel="2" x14ac:dyDescent="0.2">
      <c r="F775" s="525">
        <f t="shared" si="49"/>
        <v>13</v>
      </c>
      <c r="G775" s="474">
        <f t="shared" si="48"/>
        <v>0</v>
      </c>
      <c r="H775" s="474">
        <f t="shared" si="48"/>
        <v>0</v>
      </c>
      <c r="I775" s="474">
        <f t="shared" si="48"/>
        <v>0</v>
      </c>
      <c r="J775" s="474">
        <f t="shared" si="48"/>
        <v>0</v>
      </c>
    </row>
    <row r="776" spans="2:11" hidden="1" outlineLevel="2" x14ac:dyDescent="0.2">
      <c r="F776" s="525">
        <f t="shared" si="49"/>
        <v>14</v>
      </c>
      <c r="G776" s="474">
        <f t="shared" si="48"/>
        <v>0</v>
      </c>
      <c r="H776" s="474">
        <f t="shared" si="48"/>
        <v>0</v>
      </c>
      <c r="I776" s="474">
        <f t="shared" si="48"/>
        <v>0</v>
      </c>
      <c r="J776" s="474">
        <f t="shared" si="48"/>
        <v>0</v>
      </c>
    </row>
    <row r="777" spans="2:11" hidden="1" outlineLevel="2" x14ac:dyDescent="0.2">
      <c r="F777" s="525">
        <f t="shared" si="49"/>
        <v>15</v>
      </c>
      <c r="G777" s="474">
        <f t="shared" si="48"/>
        <v>0</v>
      </c>
      <c r="H777" s="474">
        <f t="shared" si="48"/>
        <v>0</v>
      </c>
      <c r="I777" s="474">
        <f t="shared" si="48"/>
        <v>0</v>
      </c>
      <c r="J777" s="474">
        <f t="shared" si="48"/>
        <v>0</v>
      </c>
    </row>
    <row r="778" spans="2:11" hidden="1" outlineLevel="1" x14ac:dyDescent="0.2">
      <c r="F778" s="525">
        <f t="shared" si="49"/>
        <v>16</v>
      </c>
      <c r="G778" s="474">
        <f t="shared" si="48"/>
        <v>0</v>
      </c>
      <c r="H778" s="474">
        <f t="shared" si="48"/>
        <v>0</v>
      </c>
      <c r="I778" s="474">
        <f t="shared" si="48"/>
        <v>0</v>
      </c>
      <c r="J778" s="474">
        <f t="shared" si="48"/>
        <v>0</v>
      </c>
    </row>
    <row r="779" spans="2:11" hidden="1" outlineLevel="1" x14ac:dyDescent="0.2">
      <c r="F779" s="526" t="s">
        <v>1176</v>
      </c>
      <c r="G779" s="479">
        <f>SUM(G763:G778)</f>
        <v>11</v>
      </c>
      <c r="H779" s="479">
        <f t="shared" ref="H779:J779" si="50">SUM(H763:H778)</f>
        <v>12</v>
      </c>
      <c r="I779" s="479">
        <f t="shared" si="50"/>
        <v>5</v>
      </c>
      <c r="J779" s="479">
        <f t="shared" si="50"/>
        <v>0</v>
      </c>
      <c r="K779" s="457"/>
    </row>
    <row r="780" spans="2:11" hidden="1" outlineLevel="1" x14ac:dyDescent="0.2">
      <c r="F780" s="457"/>
    </row>
    <row r="781" spans="2:11" hidden="1" outlineLevel="1" x14ac:dyDescent="0.2">
      <c r="F781" s="457"/>
    </row>
    <row r="782" spans="2:11" ht="15.75" hidden="1" outlineLevel="1" x14ac:dyDescent="0.2">
      <c r="B782" s="459" t="s">
        <v>1177</v>
      </c>
      <c r="F782" s="457"/>
    </row>
    <row r="783" spans="2:11" hidden="1" outlineLevel="1" x14ac:dyDescent="0.2">
      <c r="F783" s="457"/>
    </row>
    <row r="784" spans="2:11" hidden="1" outlineLevel="1" x14ac:dyDescent="0.2">
      <c r="C784" s="460" t="s">
        <v>1178</v>
      </c>
      <c r="F784" s="457"/>
    </row>
    <row r="785" spans="3:15" hidden="1" outlineLevel="1" x14ac:dyDescent="0.2">
      <c r="C785" s="460"/>
      <c r="F785" s="457"/>
      <c r="G785" s="460" t="s">
        <v>1156</v>
      </c>
      <c r="L785" s="460" t="s">
        <v>1157</v>
      </c>
    </row>
    <row r="786" spans="3:15" ht="24" hidden="1" customHeight="1" outlineLevel="1" x14ac:dyDescent="0.2">
      <c r="F786" s="457"/>
      <c r="G786" s="458" t="str">
        <f t="array" ref="G786:J786">Core.rings.names</f>
        <v>Anillo Norte</v>
      </c>
      <c r="H786" s="458" t="str">
        <v>Anillo Sur</v>
      </c>
      <c r="I786" s="458" t="str">
        <v>Medio-anillo Este</v>
      </c>
      <c r="J786" s="458" t="str">
        <v>MW</v>
      </c>
      <c r="L786" s="458" t="str">
        <f t="array" ref="L786:O786">Core.rings.names</f>
        <v>Anillo Norte</v>
      </c>
      <c r="M786" s="458" t="str">
        <v>Anillo Sur</v>
      </c>
      <c r="N786" s="458" t="str">
        <v>Medio-anillo Este</v>
      </c>
      <c r="O786" s="458" t="str">
        <v>MW</v>
      </c>
    </row>
    <row r="787" spans="3:15" hidden="1" outlineLevel="1" x14ac:dyDescent="0.2">
      <c r="F787" s="525">
        <v>1</v>
      </c>
      <c r="G787" s="474">
        <f t="shared" ref="G787:J802" si="51">IF(ISNA(MATCH(G727,Core.nodes,0)),0,INDEX(Remote.BSCs.load.voice,,MATCH(G727,Core.nodes,0)))</f>
        <v>0</v>
      </c>
      <c r="H787" s="474">
        <f t="shared" si="51"/>
        <v>0</v>
      </c>
      <c r="I787" s="474">
        <f t="shared" si="51"/>
        <v>0</v>
      </c>
      <c r="J787" s="474">
        <f t="shared" si="51"/>
        <v>0</v>
      </c>
      <c r="L787" s="474">
        <f t="shared" ref="L787:L802" si="52">IF(ISNA(MATCH(G727,Core.nodes,0)),0,INDEX(Remote.BSCs.load.data,,MATCH(G727,Core.nodes,0)))</f>
        <v>0</v>
      </c>
      <c r="M787" s="474">
        <f t="shared" ref="M787:M802" si="53">IF(ISNA(MATCH(H727,Core.nodes,0)),0,INDEX(Remote.BSCs.load.data,,MATCH(H727,Core.nodes,0)))</f>
        <v>0</v>
      </c>
      <c r="N787" s="474">
        <f t="shared" ref="N787:N802" si="54">IF(ISNA(MATCH(I727,Core.nodes,0)),0,INDEX(Remote.BSCs.load.data,,MATCH(I727,Core.nodes,0)))</f>
        <v>0</v>
      </c>
      <c r="O787" s="474">
        <f t="shared" ref="O787:O802" si="55">IF(ISNA(MATCH(J727,Core.nodes,0)),0,INDEX(Remote.BSCs.load.data,,MATCH(J727,Core.nodes,0)))</f>
        <v>0</v>
      </c>
    </row>
    <row r="788" spans="3:15" hidden="1" outlineLevel="2" x14ac:dyDescent="0.2">
      <c r="F788" s="525">
        <f>1+F787</f>
        <v>2</v>
      </c>
      <c r="G788" s="474">
        <f t="shared" si="51"/>
        <v>0</v>
      </c>
      <c r="H788" s="474">
        <f t="shared" si="51"/>
        <v>0</v>
      </c>
      <c r="I788" s="474">
        <f t="shared" si="51"/>
        <v>0</v>
      </c>
      <c r="J788" s="474">
        <f t="shared" si="51"/>
        <v>0</v>
      </c>
      <c r="L788" s="474">
        <f t="shared" si="52"/>
        <v>0</v>
      </c>
      <c r="M788" s="474">
        <f t="shared" si="53"/>
        <v>0</v>
      </c>
      <c r="N788" s="474">
        <f t="shared" si="54"/>
        <v>0</v>
      </c>
      <c r="O788" s="474">
        <f t="shared" si="55"/>
        <v>0</v>
      </c>
    </row>
    <row r="789" spans="3:15" hidden="1" outlineLevel="2" x14ac:dyDescent="0.2">
      <c r="F789" s="525">
        <f t="shared" ref="F789:F802" si="56">1+F788</f>
        <v>3</v>
      </c>
      <c r="G789" s="474">
        <f t="shared" si="51"/>
        <v>0</v>
      </c>
      <c r="H789" s="474">
        <f t="shared" si="51"/>
        <v>0</v>
      </c>
      <c r="I789" s="474">
        <f t="shared" si="51"/>
        <v>0</v>
      </c>
      <c r="J789" s="474">
        <f t="shared" si="51"/>
        <v>0</v>
      </c>
      <c r="L789" s="474">
        <f t="shared" si="52"/>
        <v>0</v>
      </c>
      <c r="M789" s="474">
        <f t="shared" si="53"/>
        <v>0</v>
      </c>
      <c r="N789" s="474">
        <f t="shared" si="54"/>
        <v>0</v>
      </c>
      <c r="O789" s="474">
        <f t="shared" si="55"/>
        <v>0</v>
      </c>
    </row>
    <row r="790" spans="3:15" hidden="1" outlineLevel="2" x14ac:dyDescent="0.2">
      <c r="F790" s="525">
        <f t="shared" si="56"/>
        <v>4</v>
      </c>
      <c r="G790" s="474">
        <f t="shared" si="51"/>
        <v>0</v>
      </c>
      <c r="H790" s="474">
        <f t="shared" si="51"/>
        <v>0</v>
      </c>
      <c r="I790" s="474">
        <f t="shared" si="51"/>
        <v>0</v>
      </c>
      <c r="J790" s="474">
        <f t="shared" si="51"/>
        <v>0</v>
      </c>
      <c r="L790" s="474">
        <f t="shared" si="52"/>
        <v>0</v>
      </c>
      <c r="M790" s="474">
        <f t="shared" si="53"/>
        <v>0</v>
      </c>
      <c r="N790" s="474">
        <f t="shared" si="54"/>
        <v>0</v>
      </c>
      <c r="O790" s="474">
        <f t="shared" si="55"/>
        <v>0</v>
      </c>
    </row>
    <row r="791" spans="3:15" hidden="1" outlineLevel="2" x14ac:dyDescent="0.2">
      <c r="F791" s="525">
        <f t="shared" si="56"/>
        <v>5</v>
      </c>
      <c r="G791" s="474">
        <f t="shared" si="51"/>
        <v>0</v>
      </c>
      <c r="H791" s="474">
        <f t="shared" si="51"/>
        <v>0</v>
      </c>
      <c r="I791" s="474">
        <f t="shared" si="51"/>
        <v>0</v>
      </c>
      <c r="J791" s="474">
        <f t="shared" si="51"/>
        <v>0</v>
      </c>
      <c r="L791" s="474">
        <f t="shared" si="52"/>
        <v>0</v>
      </c>
      <c r="M791" s="474">
        <f t="shared" si="53"/>
        <v>0</v>
      </c>
      <c r="N791" s="474">
        <f t="shared" si="54"/>
        <v>0</v>
      </c>
      <c r="O791" s="474">
        <f t="shared" si="55"/>
        <v>0</v>
      </c>
    </row>
    <row r="792" spans="3:15" hidden="1" outlineLevel="2" x14ac:dyDescent="0.2">
      <c r="F792" s="525">
        <f t="shared" si="56"/>
        <v>6</v>
      </c>
      <c r="G792" s="474">
        <f t="shared" si="51"/>
        <v>0</v>
      </c>
      <c r="H792" s="474">
        <f t="shared" si="51"/>
        <v>0</v>
      </c>
      <c r="I792" s="474">
        <f t="shared" si="51"/>
        <v>0</v>
      </c>
      <c r="J792" s="474">
        <f t="shared" si="51"/>
        <v>0</v>
      </c>
      <c r="L792" s="474">
        <f t="shared" si="52"/>
        <v>0</v>
      </c>
      <c r="M792" s="474">
        <f t="shared" si="53"/>
        <v>0</v>
      </c>
      <c r="N792" s="474">
        <f t="shared" si="54"/>
        <v>0</v>
      </c>
      <c r="O792" s="474">
        <f t="shared" si="55"/>
        <v>0</v>
      </c>
    </row>
    <row r="793" spans="3:15" hidden="1" outlineLevel="2" x14ac:dyDescent="0.2">
      <c r="F793" s="525">
        <f t="shared" si="56"/>
        <v>7</v>
      </c>
      <c r="G793" s="474">
        <f t="shared" si="51"/>
        <v>0</v>
      </c>
      <c r="H793" s="474">
        <f t="shared" si="51"/>
        <v>0</v>
      </c>
      <c r="I793" s="474">
        <f t="shared" si="51"/>
        <v>0</v>
      </c>
      <c r="J793" s="474">
        <f t="shared" si="51"/>
        <v>0</v>
      </c>
      <c r="L793" s="474">
        <f t="shared" si="52"/>
        <v>0</v>
      </c>
      <c r="M793" s="474">
        <f t="shared" si="53"/>
        <v>0</v>
      </c>
      <c r="N793" s="474">
        <f t="shared" si="54"/>
        <v>0</v>
      </c>
      <c r="O793" s="474">
        <f t="shared" si="55"/>
        <v>0</v>
      </c>
    </row>
    <row r="794" spans="3:15" hidden="1" outlineLevel="2" x14ac:dyDescent="0.2">
      <c r="F794" s="525">
        <f t="shared" si="56"/>
        <v>8</v>
      </c>
      <c r="G794" s="474">
        <f t="shared" si="51"/>
        <v>0</v>
      </c>
      <c r="H794" s="474">
        <f t="shared" si="51"/>
        <v>0</v>
      </c>
      <c r="I794" s="474">
        <f t="shared" si="51"/>
        <v>0</v>
      </c>
      <c r="J794" s="474">
        <f t="shared" si="51"/>
        <v>0</v>
      </c>
      <c r="L794" s="474">
        <f t="shared" si="52"/>
        <v>0</v>
      </c>
      <c r="M794" s="474">
        <f t="shared" si="53"/>
        <v>0</v>
      </c>
      <c r="N794" s="474">
        <f t="shared" si="54"/>
        <v>0</v>
      </c>
      <c r="O794" s="474">
        <f t="shared" si="55"/>
        <v>0</v>
      </c>
    </row>
    <row r="795" spans="3:15" hidden="1" outlineLevel="2" x14ac:dyDescent="0.2">
      <c r="F795" s="525">
        <f t="shared" si="56"/>
        <v>9</v>
      </c>
      <c r="G795" s="474">
        <f t="shared" si="51"/>
        <v>0</v>
      </c>
      <c r="H795" s="474">
        <f t="shared" si="51"/>
        <v>0</v>
      </c>
      <c r="I795" s="474">
        <f t="shared" si="51"/>
        <v>0</v>
      </c>
      <c r="J795" s="474">
        <f t="shared" si="51"/>
        <v>0</v>
      </c>
      <c r="L795" s="474">
        <f t="shared" si="52"/>
        <v>0</v>
      </c>
      <c r="M795" s="474">
        <f t="shared" si="53"/>
        <v>0</v>
      </c>
      <c r="N795" s="474">
        <f t="shared" si="54"/>
        <v>0</v>
      </c>
      <c r="O795" s="474">
        <f t="shared" si="55"/>
        <v>0</v>
      </c>
    </row>
    <row r="796" spans="3:15" hidden="1" outlineLevel="2" x14ac:dyDescent="0.2">
      <c r="F796" s="525">
        <f t="shared" si="56"/>
        <v>10</v>
      </c>
      <c r="G796" s="474">
        <f t="shared" si="51"/>
        <v>0</v>
      </c>
      <c r="H796" s="474">
        <f t="shared" si="51"/>
        <v>0</v>
      </c>
      <c r="I796" s="474">
        <f t="shared" si="51"/>
        <v>0</v>
      </c>
      <c r="J796" s="474">
        <f t="shared" si="51"/>
        <v>0</v>
      </c>
      <c r="L796" s="474">
        <f t="shared" si="52"/>
        <v>0</v>
      </c>
      <c r="M796" s="474">
        <f t="shared" si="53"/>
        <v>0</v>
      </c>
      <c r="N796" s="474">
        <f t="shared" si="54"/>
        <v>0</v>
      </c>
      <c r="O796" s="474">
        <f t="shared" si="55"/>
        <v>0</v>
      </c>
    </row>
    <row r="797" spans="3:15" hidden="1" outlineLevel="2" x14ac:dyDescent="0.2">
      <c r="F797" s="525">
        <f t="shared" si="56"/>
        <v>11</v>
      </c>
      <c r="G797" s="474">
        <f t="shared" si="51"/>
        <v>0</v>
      </c>
      <c r="H797" s="474">
        <f t="shared" si="51"/>
        <v>0</v>
      </c>
      <c r="I797" s="474">
        <f t="shared" si="51"/>
        <v>0</v>
      </c>
      <c r="J797" s="474">
        <f t="shared" si="51"/>
        <v>0</v>
      </c>
      <c r="L797" s="474">
        <f t="shared" si="52"/>
        <v>0</v>
      </c>
      <c r="M797" s="474">
        <f t="shared" si="53"/>
        <v>0</v>
      </c>
      <c r="N797" s="474">
        <f t="shared" si="54"/>
        <v>0</v>
      </c>
      <c r="O797" s="474">
        <f t="shared" si="55"/>
        <v>0</v>
      </c>
    </row>
    <row r="798" spans="3:15" hidden="1" outlineLevel="2" x14ac:dyDescent="0.2">
      <c r="F798" s="525">
        <f t="shared" si="56"/>
        <v>12</v>
      </c>
      <c r="G798" s="474">
        <f t="shared" si="51"/>
        <v>0</v>
      </c>
      <c r="H798" s="474">
        <f t="shared" si="51"/>
        <v>0</v>
      </c>
      <c r="I798" s="474">
        <f t="shared" si="51"/>
        <v>0</v>
      </c>
      <c r="J798" s="474">
        <f t="shared" si="51"/>
        <v>0</v>
      </c>
      <c r="L798" s="474">
        <f t="shared" si="52"/>
        <v>0</v>
      </c>
      <c r="M798" s="474">
        <f t="shared" si="53"/>
        <v>0</v>
      </c>
      <c r="N798" s="474">
        <f t="shared" si="54"/>
        <v>0</v>
      </c>
      <c r="O798" s="474">
        <f t="shared" si="55"/>
        <v>0</v>
      </c>
    </row>
    <row r="799" spans="3:15" hidden="1" outlineLevel="2" x14ac:dyDescent="0.2">
      <c r="F799" s="525">
        <f t="shared" si="56"/>
        <v>13</v>
      </c>
      <c r="G799" s="474">
        <f t="shared" si="51"/>
        <v>0</v>
      </c>
      <c r="H799" s="474">
        <f t="shared" si="51"/>
        <v>0</v>
      </c>
      <c r="I799" s="474">
        <f t="shared" si="51"/>
        <v>0</v>
      </c>
      <c r="J799" s="474">
        <f t="shared" si="51"/>
        <v>0</v>
      </c>
      <c r="L799" s="474">
        <f t="shared" si="52"/>
        <v>0</v>
      </c>
      <c r="M799" s="474">
        <f t="shared" si="53"/>
        <v>0</v>
      </c>
      <c r="N799" s="474">
        <f t="shared" si="54"/>
        <v>0</v>
      </c>
      <c r="O799" s="474">
        <f t="shared" si="55"/>
        <v>0</v>
      </c>
    </row>
    <row r="800" spans="3:15" hidden="1" outlineLevel="2" x14ac:dyDescent="0.2">
      <c r="F800" s="525">
        <f t="shared" si="56"/>
        <v>14</v>
      </c>
      <c r="G800" s="474">
        <f t="shared" si="51"/>
        <v>0</v>
      </c>
      <c r="H800" s="474">
        <f t="shared" si="51"/>
        <v>0</v>
      </c>
      <c r="I800" s="474">
        <f t="shared" si="51"/>
        <v>0</v>
      </c>
      <c r="J800" s="474">
        <f t="shared" si="51"/>
        <v>0</v>
      </c>
      <c r="L800" s="474">
        <f t="shared" si="52"/>
        <v>0</v>
      </c>
      <c r="M800" s="474">
        <f t="shared" si="53"/>
        <v>0</v>
      </c>
      <c r="N800" s="474">
        <f t="shared" si="54"/>
        <v>0</v>
      </c>
      <c r="O800" s="474">
        <f t="shared" si="55"/>
        <v>0</v>
      </c>
    </row>
    <row r="801" spans="1:15" hidden="1" outlineLevel="2" x14ac:dyDescent="0.2">
      <c r="F801" s="525">
        <f t="shared" si="56"/>
        <v>15</v>
      </c>
      <c r="G801" s="474">
        <f t="shared" si="51"/>
        <v>0</v>
      </c>
      <c r="H801" s="474">
        <f t="shared" si="51"/>
        <v>0</v>
      </c>
      <c r="I801" s="474">
        <f t="shared" si="51"/>
        <v>0</v>
      </c>
      <c r="J801" s="474">
        <f t="shared" si="51"/>
        <v>0</v>
      </c>
      <c r="L801" s="474">
        <f t="shared" si="52"/>
        <v>0</v>
      </c>
      <c r="M801" s="474">
        <f t="shared" si="53"/>
        <v>0</v>
      </c>
      <c r="N801" s="474">
        <f t="shared" si="54"/>
        <v>0</v>
      </c>
      <c r="O801" s="474">
        <f t="shared" si="55"/>
        <v>0</v>
      </c>
    </row>
    <row r="802" spans="1:15" hidden="1" outlineLevel="1" x14ac:dyDescent="0.2">
      <c r="F802" s="525">
        <f t="shared" si="56"/>
        <v>16</v>
      </c>
      <c r="G802" s="474">
        <f t="shared" si="51"/>
        <v>0</v>
      </c>
      <c r="H802" s="474">
        <f t="shared" si="51"/>
        <v>0</v>
      </c>
      <c r="I802" s="474">
        <f t="shared" si="51"/>
        <v>0</v>
      </c>
      <c r="J802" s="474">
        <f t="shared" si="51"/>
        <v>0</v>
      </c>
      <c r="L802" s="474">
        <f t="shared" si="52"/>
        <v>0</v>
      </c>
      <c r="M802" s="474">
        <f t="shared" si="53"/>
        <v>0</v>
      </c>
      <c r="N802" s="474">
        <f t="shared" si="54"/>
        <v>0</v>
      </c>
      <c r="O802" s="474">
        <f t="shared" si="55"/>
        <v>0</v>
      </c>
    </row>
    <row r="803" spans="1:15" hidden="1" outlineLevel="1" x14ac:dyDescent="0.2">
      <c r="F803" s="457"/>
      <c r="G803" s="479">
        <f>SUM(G787:G802)</f>
        <v>0</v>
      </c>
      <c r="H803" s="479">
        <f t="shared" ref="H803:J803" si="57">SUM(H787:H802)</f>
        <v>0</v>
      </c>
      <c r="I803" s="479">
        <f t="shared" si="57"/>
        <v>0</v>
      </c>
      <c r="J803" s="479">
        <f t="shared" si="57"/>
        <v>0</v>
      </c>
      <c r="L803" s="479">
        <f t="shared" ref="L803:O803" si="58">SUM(L787:L802)</f>
        <v>0</v>
      </c>
      <c r="M803" s="479">
        <f t="shared" si="58"/>
        <v>0</v>
      </c>
      <c r="N803" s="479">
        <f t="shared" si="58"/>
        <v>0</v>
      </c>
      <c r="O803" s="479">
        <f t="shared" si="58"/>
        <v>0</v>
      </c>
    </row>
    <row r="804" spans="1:15" hidden="1" outlineLevel="1" x14ac:dyDescent="0.2">
      <c r="F804" s="457"/>
    </row>
    <row r="805" spans="1:15" hidden="1" outlineLevel="1" x14ac:dyDescent="0.2">
      <c r="F805" s="457"/>
    </row>
    <row r="806" spans="1:15" hidden="1" outlineLevel="1" x14ac:dyDescent="0.2">
      <c r="A806" s="457"/>
      <c r="C806" s="460" t="s">
        <v>1181</v>
      </c>
    </row>
    <row r="807" spans="1:15" hidden="1" outlineLevel="1" x14ac:dyDescent="0.2">
      <c r="A807" s="457"/>
      <c r="D807" s="453" t="s">
        <v>1156</v>
      </c>
      <c r="G807" s="509" t="str">
        <f>BSC.Core.Voice.Protocol</f>
        <v>ATM / SDH / PDH</v>
      </c>
    </row>
    <row r="808" spans="1:15" hidden="1" outlineLevel="1" x14ac:dyDescent="0.2">
      <c r="A808" s="457"/>
      <c r="D808" s="453" t="s">
        <v>1157</v>
      </c>
      <c r="G808" s="509" t="str">
        <f>BSC.Core.Data.Protocol</f>
        <v>ATM / SDH / PDH</v>
      </c>
    </row>
    <row r="809" spans="1:15" hidden="1" outlineLevel="1" x14ac:dyDescent="0.2">
      <c r="A809" s="457"/>
    </row>
    <row r="810" spans="1:15" ht="24" hidden="1" outlineLevel="1" x14ac:dyDescent="0.2">
      <c r="A810" s="457"/>
      <c r="D810" s="453" t="s">
        <v>1179</v>
      </c>
      <c r="G810" s="458" t="str">
        <f>INDEX(Protocols,1,)</f>
        <v>ATM / SDH / PDH</v>
      </c>
      <c r="I810" s="458" t="str">
        <f>INDEX(Protocols,2,)</f>
        <v>Ethernet</v>
      </c>
    </row>
    <row r="811" spans="1:15" hidden="1" outlineLevel="1" x14ac:dyDescent="0.2">
      <c r="A811" s="457"/>
      <c r="G811" s="513">
        <v>0</v>
      </c>
      <c r="H811" s="513">
        <f t="array" ref="H811:H813">G812:G814</f>
        <v>8.4499999999999993</v>
      </c>
      <c r="I811" s="513">
        <v>0</v>
      </c>
      <c r="J811" s="521">
        <f t="array" ref="J811:J813">I812:I814</f>
        <v>30</v>
      </c>
      <c r="K811" s="457"/>
    </row>
    <row r="812" spans="1:15" hidden="1" outlineLevel="1" x14ac:dyDescent="0.2">
      <c r="A812" s="457"/>
      <c r="G812" s="514">
        <f t="array" ref="G812:G814">BSC.Core.ATM.Ladder</f>
        <v>8.4499999999999993</v>
      </c>
      <c r="H812" s="513">
        <v>34.369999999999997</v>
      </c>
      <c r="I812" s="489">
        <f t="array" ref="I812:I814">BSC.Core.Ethernet.Ladder</f>
        <v>30</v>
      </c>
      <c r="J812" s="521">
        <v>100</v>
      </c>
      <c r="K812" s="457"/>
    </row>
    <row r="813" spans="1:15" hidden="1" outlineLevel="1" x14ac:dyDescent="0.2">
      <c r="A813" s="457"/>
      <c r="G813" s="514">
        <v>34.369999999999997</v>
      </c>
      <c r="H813" s="513">
        <v>155.52000000000001</v>
      </c>
      <c r="I813" s="489">
        <v>100</v>
      </c>
      <c r="J813" s="521">
        <v>1024</v>
      </c>
      <c r="K813" s="457"/>
    </row>
    <row r="814" spans="1:15" hidden="1" outlineLevel="1" x14ac:dyDescent="0.2">
      <c r="A814" s="457"/>
      <c r="G814" s="514">
        <v>155.52000000000001</v>
      </c>
      <c r="H814" s="515" t="s">
        <v>299</v>
      </c>
      <c r="I814" s="489">
        <v>1024</v>
      </c>
      <c r="J814" s="515" t="s">
        <v>299</v>
      </c>
      <c r="K814" s="457"/>
    </row>
    <row r="815" spans="1:15" hidden="1" outlineLevel="1" x14ac:dyDescent="0.2">
      <c r="F815" s="457"/>
    </row>
    <row r="816" spans="1:15" hidden="1" outlineLevel="1" x14ac:dyDescent="0.2">
      <c r="C816" s="460" t="s">
        <v>1180</v>
      </c>
      <c r="F816" s="457"/>
    </row>
    <row r="817" spans="3:15" s="457" customFormat="1" hidden="1" outlineLevel="1" x14ac:dyDescent="0.2">
      <c r="D817" s="453"/>
    </row>
    <row r="818" spans="3:15" hidden="1" outlineLevel="1" x14ac:dyDescent="0.2">
      <c r="C818" s="460"/>
      <c r="D818" s="472" t="s">
        <v>1182</v>
      </c>
      <c r="F818" s="457"/>
      <c r="G818" s="460" t="s">
        <v>1156</v>
      </c>
      <c r="L818" s="460" t="s">
        <v>1157</v>
      </c>
    </row>
    <row r="819" spans="3:15" ht="24" hidden="1" customHeight="1" outlineLevel="1" x14ac:dyDescent="0.2">
      <c r="F819" s="457"/>
      <c r="G819" s="458" t="str">
        <f t="array" ref="G819:J819">Core.rings.names</f>
        <v>Anillo Norte</v>
      </c>
      <c r="H819" s="458" t="str">
        <v>Anillo Sur</v>
      </c>
      <c r="I819" s="458" t="str">
        <v>Medio-anillo Este</v>
      </c>
      <c r="J819" s="458" t="str">
        <v>MW</v>
      </c>
      <c r="L819" s="458" t="str">
        <f t="array" ref="L819:O819">Core.rings.names</f>
        <v>Anillo Norte</v>
      </c>
      <c r="M819" s="458" t="str">
        <v>Anillo Sur</v>
      </c>
      <c r="N819" s="458" t="str">
        <v>Medio-anillo Este</v>
      </c>
      <c r="O819" s="458" t="str">
        <v>MW</v>
      </c>
    </row>
    <row r="820" spans="3:15" hidden="1" outlineLevel="1" x14ac:dyDescent="0.2">
      <c r="F820" s="525">
        <v>1</v>
      </c>
      <c r="G820" s="481">
        <f t="shared" ref="G820:J835" si="59">IF(G763=1,0,IF(G787=0,0,IF($G$807=$G$810,VLOOKUP(G787,$G$811:$H$814,2),VLOOKUP(G787,$I$811:$J$814,2))))</f>
        <v>0</v>
      </c>
      <c r="H820" s="481">
        <f t="shared" si="59"/>
        <v>0</v>
      </c>
      <c r="I820" s="481">
        <f t="shared" si="59"/>
        <v>0</v>
      </c>
      <c r="J820" s="481">
        <f t="shared" si="59"/>
        <v>0</v>
      </c>
      <c r="L820" s="481">
        <f t="shared" ref="L820:L835" si="60">IF(G763=1,0,IF(L787=0,0,IF($G$807=$G$810,VLOOKUP(L787,$G$811:$H$814,2),VLOOKUP(L787,$I$811:$J$814,2))))</f>
        <v>0</v>
      </c>
      <c r="M820" s="481">
        <f t="shared" ref="M820:M835" si="61">IF(H763=1,0,IF(M787=0,0,IF($G$807=$G$810,VLOOKUP(M787,$G$811:$H$814,2),VLOOKUP(M787,$I$811:$J$814,2))))</f>
        <v>0</v>
      </c>
      <c r="N820" s="481">
        <f t="shared" ref="N820:N835" si="62">IF(I763=1,0,IF(N787=0,0,IF($G$807=$G$810,VLOOKUP(N787,$G$811:$H$814,2),VLOOKUP(N787,$I$811:$J$814,2))))</f>
        <v>0</v>
      </c>
      <c r="O820" s="481">
        <f t="shared" ref="O820:O835" si="63">IF(J763=1,0,IF(O787=0,0,IF($G$807=$G$810,VLOOKUP(O787,$G$811:$H$814,2),VLOOKUP(O787,$I$811:$J$814,2))))</f>
        <v>0</v>
      </c>
    </row>
    <row r="821" spans="3:15" hidden="1" outlineLevel="2" x14ac:dyDescent="0.2">
      <c r="F821" s="525">
        <f>1+F820</f>
        <v>2</v>
      </c>
      <c r="G821" s="481">
        <f t="shared" si="59"/>
        <v>0</v>
      </c>
      <c r="H821" s="481">
        <f t="shared" si="59"/>
        <v>0</v>
      </c>
      <c r="I821" s="481">
        <f t="shared" si="59"/>
        <v>0</v>
      </c>
      <c r="J821" s="481">
        <f t="shared" si="59"/>
        <v>0</v>
      </c>
      <c r="L821" s="481">
        <f t="shared" si="60"/>
        <v>0</v>
      </c>
      <c r="M821" s="481">
        <f t="shared" si="61"/>
        <v>0</v>
      </c>
      <c r="N821" s="481">
        <f t="shared" si="62"/>
        <v>0</v>
      </c>
      <c r="O821" s="481">
        <f t="shared" si="63"/>
        <v>0</v>
      </c>
    </row>
    <row r="822" spans="3:15" hidden="1" outlineLevel="2" x14ac:dyDescent="0.2">
      <c r="F822" s="525">
        <f t="shared" ref="F822:F835" si="64">1+F821</f>
        <v>3</v>
      </c>
      <c r="G822" s="481">
        <f t="shared" si="59"/>
        <v>0</v>
      </c>
      <c r="H822" s="481">
        <f t="shared" si="59"/>
        <v>0</v>
      </c>
      <c r="I822" s="481">
        <f t="shared" si="59"/>
        <v>0</v>
      </c>
      <c r="J822" s="481">
        <f t="shared" si="59"/>
        <v>0</v>
      </c>
      <c r="L822" s="481">
        <f t="shared" si="60"/>
        <v>0</v>
      </c>
      <c r="M822" s="481">
        <f t="shared" si="61"/>
        <v>0</v>
      </c>
      <c r="N822" s="481">
        <f t="shared" si="62"/>
        <v>0</v>
      </c>
      <c r="O822" s="481">
        <f t="shared" si="63"/>
        <v>0</v>
      </c>
    </row>
    <row r="823" spans="3:15" hidden="1" outlineLevel="2" x14ac:dyDescent="0.2">
      <c r="F823" s="525">
        <f t="shared" si="64"/>
        <v>4</v>
      </c>
      <c r="G823" s="481">
        <f t="shared" si="59"/>
        <v>0</v>
      </c>
      <c r="H823" s="481">
        <f t="shared" si="59"/>
        <v>0</v>
      </c>
      <c r="I823" s="481">
        <f t="shared" si="59"/>
        <v>0</v>
      </c>
      <c r="J823" s="481">
        <f t="shared" si="59"/>
        <v>0</v>
      </c>
      <c r="L823" s="481">
        <f t="shared" si="60"/>
        <v>0</v>
      </c>
      <c r="M823" s="481">
        <f t="shared" si="61"/>
        <v>0</v>
      </c>
      <c r="N823" s="481">
        <f t="shared" si="62"/>
        <v>0</v>
      </c>
      <c r="O823" s="481">
        <f t="shared" si="63"/>
        <v>0</v>
      </c>
    </row>
    <row r="824" spans="3:15" hidden="1" outlineLevel="2" x14ac:dyDescent="0.2">
      <c r="F824" s="525">
        <f t="shared" si="64"/>
        <v>5</v>
      </c>
      <c r="G824" s="481">
        <f t="shared" si="59"/>
        <v>0</v>
      </c>
      <c r="H824" s="481">
        <f t="shared" si="59"/>
        <v>0</v>
      </c>
      <c r="I824" s="481">
        <f t="shared" si="59"/>
        <v>0</v>
      </c>
      <c r="J824" s="481">
        <f t="shared" si="59"/>
        <v>0</v>
      </c>
      <c r="L824" s="481">
        <f t="shared" si="60"/>
        <v>0</v>
      </c>
      <c r="M824" s="481">
        <f t="shared" si="61"/>
        <v>0</v>
      </c>
      <c r="N824" s="481">
        <f t="shared" si="62"/>
        <v>0</v>
      </c>
      <c r="O824" s="481">
        <f t="shared" si="63"/>
        <v>0</v>
      </c>
    </row>
    <row r="825" spans="3:15" hidden="1" outlineLevel="2" x14ac:dyDescent="0.2">
      <c r="F825" s="525">
        <f t="shared" si="64"/>
        <v>6</v>
      </c>
      <c r="G825" s="481">
        <f t="shared" si="59"/>
        <v>0</v>
      </c>
      <c r="H825" s="481">
        <f t="shared" si="59"/>
        <v>0</v>
      </c>
      <c r="I825" s="481">
        <f t="shared" si="59"/>
        <v>0</v>
      </c>
      <c r="J825" s="481">
        <f t="shared" si="59"/>
        <v>0</v>
      </c>
      <c r="L825" s="481">
        <f t="shared" si="60"/>
        <v>0</v>
      </c>
      <c r="M825" s="481">
        <f t="shared" si="61"/>
        <v>0</v>
      </c>
      <c r="N825" s="481">
        <f t="shared" si="62"/>
        <v>0</v>
      </c>
      <c r="O825" s="481">
        <f t="shared" si="63"/>
        <v>0</v>
      </c>
    </row>
    <row r="826" spans="3:15" hidden="1" outlineLevel="2" x14ac:dyDescent="0.2">
      <c r="F826" s="525">
        <f t="shared" si="64"/>
        <v>7</v>
      </c>
      <c r="G826" s="481">
        <f t="shared" si="59"/>
        <v>0</v>
      </c>
      <c r="H826" s="481">
        <f t="shared" si="59"/>
        <v>0</v>
      </c>
      <c r="I826" s="481">
        <f t="shared" si="59"/>
        <v>0</v>
      </c>
      <c r="J826" s="481">
        <f t="shared" si="59"/>
        <v>0</v>
      </c>
      <c r="L826" s="481">
        <f t="shared" si="60"/>
        <v>0</v>
      </c>
      <c r="M826" s="481">
        <f t="shared" si="61"/>
        <v>0</v>
      </c>
      <c r="N826" s="481">
        <f t="shared" si="62"/>
        <v>0</v>
      </c>
      <c r="O826" s="481">
        <f t="shared" si="63"/>
        <v>0</v>
      </c>
    </row>
    <row r="827" spans="3:15" hidden="1" outlineLevel="2" x14ac:dyDescent="0.2">
      <c r="F827" s="525">
        <f t="shared" si="64"/>
        <v>8</v>
      </c>
      <c r="G827" s="481">
        <f t="shared" si="59"/>
        <v>0</v>
      </c>
      <c r="H827" s="481">
        <f t="shared" si="59"/>
        <v>0</v>
      </c>
      <c r="I827" s="481">
        <f t="shared" si="59"/>
        <v>0</v>
      </c>
      <c r="J827" s="481">
        <f t="shared" si="59"/>
        <v>0</v>
      </c>
      <c r="L827" s="481">
        <f t="shared" si="60"/>
        <v>0</v>
      </c>
      <c r="M827" s="481">
        <f t="shared" si="61"/>
        <v>0</v>
      </c>
      <c r="N827" s="481">
        <f t="shared" si="62"/>
        <v>0</v>
      </c>
      <c r="O827" s="481">
        <f t="shared" si="63"/>
        <v>0</v>
      </c>
    </row>
    <row r="828" spans="3:15" hidden="1" outlineLevel="2" x14ac:dyDescent="0.2">
      <c r="F828" s="525">
        <f t="shared" si="64"/>
        <v>9</v>
      </c>
      <c r="G828" s="481">
        <f t="shared" si="59"/>
        <v>0</v>
      </c>
      <c r="H828" s="481">
        <f t="shared" si="59"/>
        <v>0</v>
      </c>
      <c r="I828" s="481">
        <f t="shared" si="59"/>
        <v>0</v>
      </c>
      <c r="J828" s="481">
        <f t="shared" si="59"/>
        <v>0</v>
      </c>
      <c r="L828" s="481">
        <f t="shared" si="60"/>
        <v>0</v>
      </c>
      <c r="M828" s="481">
        <f t="shared" si="61"/>
        <v>0</v>
      </c>
      <c r="N828" s="481">
        <f t="shared" si="62"/>
        <v>0</v>
      </c>
      <c r="O828" s="481">
        <f t="shared" si="63"/>
        <v>0</v>
      </c>
    </row>
    <row r="829" spans="3:15" hidden="1" outlineLevel="2" x14ac:dyDescent="0.2">
      <c r="F829" s="525">
        <f t="shared" si="64"/>
        <v>10</v>
      </c>
      <c r="G829" s="481">
        <f t="shared" si="59"/>
        <v>0</v>
      </c>
      <c r="H829" s="481">
        <f t="shared" si="59"/>
        <v>0</v>
      </c>
      <c r="I829" s="481">
        <f t="shared" si="59"/>
        <v>0</v>
      </c>
      <c r="J829" s="481">
        <f t="shared" si="59"/>
        <v>0</v>
      </c>
      <c r="L829" s="481">
        <f t="shared" si="60"/>
        <v>0</v>
      </c>
      <c r="M829" s="481">
        <f t="shared" si="61"/>
        <v>0</v>
      </c>
      <c r="N829" s="481">
        <f t="shared" si="62"/>
        <v>0</v>
      </c>
      <c r="O829" s="481">
        <f t="shared" si="63"/>
        <v>0</v>
      </c>
    </row>
    <row r="830" spans="3:15" hidden="1" outlineLevel="2" x14ac:dyDescent="0.2">
      <c r="F830" s="525">
        <f t="shared" si="64"/>
        <v>11</v>
      </c>
      <c r="G830" s="481">
        <f t="shared" si="59"/>
        <v>0</v>
      </c>
      <c r="H830" s="481">
        <f t="shared" si="59"/>
        <v>0</v>
      </c>
      <c r="I830" s="481">
        <f t="shared" si="59"/>
        <v>0</v>
      </c>
      <c r="J830" s="481">
        <f t="shared" si="59"/>
        <v>0</v>
      </c>
      <c r="L830" s="481">
        <f t="shared" si="60"/>
        <v>0</v>
      </c>
      <c r="M830" s="481">
        <f t="shared" si="61"/>
        <v>0</v>
      </c>
      <c r="N830" s="481">
        <f t="shared" si="62"/>
        <v>0</v>
      </c>
      <c r="O830" s="481">
        <f t="shared" si="63"/>
        <v>0</v>
      </c>
    </row>
    <row r="831" spans="3:15" hidden="1" outlineLevel="2" x14ac:dyDescent="0.2">
      <c r="F831" s="525">
        <f t="shared" si="64"/>
        <v>12</v>
      </c>
      <c r="G831" s="481">
        <f t="shared" si="59"/>
        <v>0</v>
      </c>
      <c r="H831" s="481">
        <f t="shared" si="59"/>
        <v>0</v>
      </c>
      <c r="I831" s="481">
        <f t="shared" si="59"/>
        <v>0</v>
      </c>
      <c r="J831" s="481">
        <f t="shared" si="59"/>
        <v>0</v>
      </c>
      <c r="L831" s="481">
        <f t="shared" si="60"/>
        <v>0</v>
      </c>
      <c r="M831" s="481">
        <f t="shared" si="61"/>
        <v>0</v>
      </c>
      <c r="N831" s="481">
        <f t="shared" si="62"/>
        <v>0</v>
      </c>
      <c r="O831" s="481">
        <f t="shared" si="63"/>
        <v>0</v>
      </c>
    </row>
    <row r="832" spans="3:15" hidden="1" outlineLevel="2" x14ac:dyDescent="0.2">
      <c r="F832" s="525">
        <f t="shared" si="64"/>
        <v>13</v>
      </c>
      <c r="G832" s="481">
        <f t="shared" si="59"/>
        <v>0</v>
      </c>
      <c r="H832" s="481">
        <f t="shared" si="59"/>
        <v>0</v>
      </c>
      <c r="I832" s="481">
        <f t="shared" si="59"/>
        <v>0</v>
      </c>
      <c r="J832" s="481">
        <f t="shared" si="59"/>
        <v>0</v>
      </c>
      <c r="L832" s="481">
        <f t="shared" si="60"/>
        <v>0</v>
      </c>
      <c r="M832" s="481">
        <f t="shared" si="61"/>
        <v>0</v>
      </c>
      <c r="N832" s="481">
        <f t="shared" si="62"/>
        <v>0</v>
      </c>
      <c r="O832" s="481">
        <f t="shared" si="63"/>
        <v>0</v>
      </c>
    </row>
    <row r="833" spans="1:15" hidden="1" outlineLevel="2" x14ac:dyDescent="0.2">
      <c r="F833" s="525">
        <f t="shared" si="64"/>
        <v>14</v>
      </c>
      <c r="G833" s="481">
        <f t="shared" si="59"/>
        <v>0</v>
      </c>
      <c r="H833" s="481">
        <f t="shared" si="59"/>
        <v>0</v>
      </c>
      <c r="I833" s="481">
        <f t="shared" si="59"/>
        <v>0</v>
      </c>
      <c r="J833" s="481">
        <f t="shared" si="59"/>
        <v>0</v>
      </c>
      <c r="L833" s="481">
        <f t="shared" si="60"/>
        <v>0</v>
      </c>
      <c r="M833" s="481">
        <f t="shared" si="61"/>
        <v>0</v>
      </c>
      <c r="N833" s="481">
        <f t="shared" si="62"/>
        <v>0</v>
      </c>
      <c r="O833" s="481">
        <f t="shared" si="63"/>
        <v>0</v>
      </c>
    </row>
    <row r="834" spans="1:15" hidden="1" outlineLevel="2" x14ac:dyDescent="0.2">
      <c r="F834" s="525">
        <f t="shared" si="64"/>
        <v>15</v>
      </c>
      <c r="G834" s="481">
        <f t="shared" si="59"/>
        <v>0</v>
      </c>
      <c r="H834" s="481">
        <f t="shared" si="59"/>
        <v>0</v>
      </c>
      <c r="I834" s="481">
        <f t="shared" si="59"/>
        <v>0</v>
      </c>
      <c r="J834" s="481">
        <f t="shared" si="59"/>
        <v>0</v>
      </c>
      <c r="L834" s="481">
        <f t="shared" si="60"/>
        <v>0</v>
      </c>
      <c r="M834" s="481">
        <f t="shared" si="61"/>
        <v>0</v>
      </c>
      <c r="N834" s="481">
        <f t="shared" si="62"/>
        <v>0</v>
      </c>
      <c r="O834" s="481">
        <f t="shared" si="63"/>
        <v>0</v>
      </c>
    </row>
    <row r="835" spans="1:15" hidden="1" outlineLevel="1" x14ac:dyDescent="0.2">
      <c r="F835" s="525">
        <f t="shared" si="64"/>
        <v>16</v>
      </c>
      <c r="G835" s="481">
        <f t="shared" si="59"/>
        <v>0</v>
      </c>
      <c r="H835" s="481">
        <f t="shared" si="59"/>
        <v>0</v>
      </c>
      <c r="I835" s="481">
        <f t="shared" si="59"/>
        <v>0</v>
      </c>
      <c r="J835" s="481">
        <f t="shared" si="59"/>
        <v>0</v>
      </c>
      <c r="L835" s="481">
        <f t="shared" si="60"/>
        <v>0</v>
      </c>
      <c r="M835" s="481">
        <f t="shared" si="61"/>
        <v>0</v>
      </c>
      <c r="N835" s="481">
        <f t="shared" si="62"/>
        <v>0</v>
      </c>
      <c r="O835" s="481">
        <f t="shared" si="63"/>
        <v>0</v>
      </c>
    </row>
    <row r="836" spans="1:15" hidden="1" outlineLevel="1" x14ac:dyDescent="0.2">
      <c r="F836" s="457"/>
      <c r="G836" s="457"/>
      <c r="H836" s="457"/>
      <c r="I836" s="457"/>
      <c r="J836" s="457"/>
      <c r="L836" s="457"/>
      <c r="M836" s="457"/>
      <c r="N836" s="457"/>
      <c r="O836" s="457"/>
    </row>
    <row r="837" spans="1:15" hidden="1" outlineLevel="1" x14ac:dyDescent="0.2">
      <c r="F837" s="457"/>
    </row>
    <row r="838" spans="1:15" hidden="1" outlineLevel="1" x14ac:dyDescent="0.2">
      <c r="D838" s="472" t="s">
        <v>1183</v>
      </c>
      <c r="F838" s="457"/>
      <c r="G838" s="460" t="s">
        <v>1156</v>
      </c>
      <c r="L838" s="460" t="s">
        <v>1157</v>
      </c>
    </row>
    <row r="839" spans="1:15" ht="24" hidden="1" customHeight="1" outlineLevel="1" x14ac:dyDescent="0.2">
      <c r="F839" s="457"/>
      <c r="G839" s="458" t="str">
        <f t="array" ref="G839:J839">Core.rings.names</f>
        <v>Anillo Norte</v>
      </c>
      <c r="H839" s="458" t="str">
        <v>Anillo Sur</v>
      </c>
      <c r="I839" s="458" t="str">
        <v>Medio-anillo Este</v>
      </c>
      <c r="J839" s="458" t="str">
        <v>MW</v>
      </c>
      <c r="L839" s="458" t="str">
        <f t="array" ref="L839:O839">Core.rings.names</f>
        <v>Anillo Norte</v>
      </c>
      <c r="M839" s="458" t="str">
        <v>Anillo Sur</v>
      </c>
      <c r="N839" s="458" t="str">
        <v>Medio-anillo Este</v>
      </c>
      <c r="O839" s="458" t="str">
        <v>MW</v>
      </c>
    </row>
    <row r="840" spans="1:15" s="457" customFormat="1" ht="12" hidden="1" customHeight="1" outlineLevel="1" x14ac:dyDescent="0.2">
      <c r="D840" s="457" t="s">
        <v>1184</v>
      </c>
      <c r="G840" s="481">
        <f>SUMPRODUCT(G$763:G$778,G787:G802)</f>
        <v>0</v>
      </c>
      <c r="H840" s="481">
        <f t="shared" ref="H840:J840" si="65">SUMPRODUCT(H$763:H$778,H787:H802)</f>
        <v>0</v>
      </c>
      <c r="I840" s="481">
        <f t="shared" si="65"/>
        <v>0</v>
      </c>
      <c r="J840" s="481">
        <f t="shared" si="65"/>
        <v>0</v>
      </c>
      <c r="L840" s="481">
        <f>SUMPRODUCT(G$763:G$778,L787:L802)</f>
        <v>0</v>
      </c>
      <c r="M840" s="481">
        <f t="shared" ref="M840:O840" si="66">SUMPRODUCT(H$763:H$778,M787:M802)</f>
        <v>0</v>
      </c>
      <c r="N840" s="481">
        <f t="shared" si="66"/>
        <v>0</v>
      </c>
      <c r="O840" s="481">
        <f t="shared" si="66"/>
        <v>0</v>
      </c>
    </row>
    <row r="841" spans="1:15" s="457" customFormat="1" ht="12" hidden="1" customHeight="1" outlineLevel="1" x14ac:dyDescent="0.2">
      <c r="D841" s="457" t="s">
        <v>1186</v>
      </c>
      <c r="G841" s="475">
        <f>G840+I840+J840</f>
        <v>0</v>
      </c>
      <c r="H841" s="464">
        <f>H840</f>
        <v>0</v>
      </c>
      <c r="I841" s="475">
        <f>I840+J840</f>
        <v>0</v>
      </c>
      <c r="J841" s="464">
        <f t="shared" ref="J841" si="67">J840</f>
        <v>0</v>
      </c>
      <c r="L841" s="475">
        <f>L840+N840+O840</f>
        <v>0</v>
      </c>
      <c r="M841" s="464">
        <f>M840</f>
        <v>0</v>
      </c>
      <c r="N841" s="475">
        <f>N840+O840</f>
        <v>0</v>
      </c>
      <c r="O841" s="464">
        <f t="shared" ref="O841" si="68">O840</f>
        <v>0</v>
      </c>
    </row>
    <row r="842" spans="1:15" hidden="1" outlineLevel="1" x14ac:dyDescent="0.2">
      <c r="D842" s="453" t="s">
        <v>1185</v>
      </c>
      <c r="F842" s="457"/>
      <c r="G842" s="481">
        <f>IF(G841=0,0,IF($G$807=$G$810,VLOOKUP(G841,$G$811:$H$814,2),VLOOKUP(G841,$I$811:$J$814,2)))</f>
        <v>0</v>
      </c>
      <c r="H842" s="481">
        <f>IF(H841=0,0,IF($G$807=$G$810,VLOOKUP(H841,$G$811:$H$814,2),VLOOKUP(H841,$I$811:$J$814,2)))</f>
        <v>0</v>
      </c>
      <c r="I842" s="481">
        <f>IF(I841=0,0,IF($G$807=$G$810,VLOOKUP(I841,$G$811:$H$814,2),VLOOKUP(I841,$I$811:$J$814,2)))</f>
        <v>0</v>
      </c>
      <c r="J842" s="481">
        <f>IF(J841=0,0,IF($G$807=$G$810,VLOOKUP(J841,$G$811:$H$814,2),VLOOKUP(J841,$I$811:$J$814,2)))</f>
        <v>0</v>
      </c>
      <c r="L842" s="481">
        <f>IF(L841=0,0,IF($G$807=$G$810,VLOOKUP(L841,$G$811:$H$814,2),VLOOKUP(L841,$I$811:$J$814,2)))</f>
        <v>0</v>
      </c>
      <c r="M842" s="481">
        <f>IF(M841=0,0,IF($G$807=$G$810,VLOOKUP(M841,$G$811:$H$814,2),VLOOKUP(M841,$I$811:$J$814,2)))</f>
        <v>0</v>
      </c>
      <c r="N842" s="481">
        <f>IF(N841=0,0,IF($G$807=$G$810,VLOOKUP(N841,$G$811:$H$814,2),VLOOKUP(N841,$I$811:$J$814,2)))</f>
        <v>0</v>
      </c>
      <c r="O842" s="481">
        <f>IF(O841=0,0,IF($G$807=$G$810,VLOOKUP(O841,$G$811:$H$814,2),VLOOKUP(O841,$I$811:$J$814,2)))</f>
        <v>0</v>
      </c>
    </row>
    <row r="843" spans="1:15" hidden="1" outlineLevel="1" x14ac:dyDescent="0.2">
      <c r="A843" s="457"/>
      <c r="D843" s="457"/>
    </row>
    <row r="844" spans="1:15" hidden="1" outlineLevel="1" x14ac:dyDescent="0.2">
      <c r="A844" s="457"/>
      <c r="D844" s="457"/>
    </row>
    <row r="845" spans="1:15" hidden="1" outlineLevel="1" x14ac:dyDescent="0.2">
      <c r="A845" s="457"/>
      <c r="C845" s="460" t="s">
        <v>1187</v>
      </c>
      <c r="D845" s="457"/>
    </row>
    <row r="846" spans="1:15" hidden="1" outlineLevel="1" x14ac:dyDescent="0.2">
      <c r="A846" s="457"/>
      <c r="C846" s="460"/>
      <c r="D846" s="457" t="s">
        <v>1196</v>
      </c>
      <c r="G846" s="475">
        <f t="array" ref="G846">SUMPRODUCT(G$763:G$778,IF(G787:G802&gt;0,1,0))</f>
        <v>0</v>
      </c>
      <c r="H846" s="475">
        <f t="array" ref="H846">SUMPRODUCT(H$763:H$778,IF(H787:H802&gt;0,1,0))</f>
        <v>0</v>
      </c>
      <c r="I846" s="475">
        <f t="array" ref="I846">SUMPRODUCT(I$763:I$778,IF(I787:I802&gt;0,1,0))</f>
        <v>0</v>
      </c>
      <c r="L846" s="457"/>
      <c r="M846" s="457"/>
      <c r="N846" s="457"/>
      <c r="O846" s="457"/>
    </row>
    <row r="847" spans="1:15" hidden="1" outlineLevel="1" x14ac:dyDescent="0.2">
      <c r="A847" s="457"/>
      <c r="C847" s="460"/>
      <c r="D847" s="457" t="s">
        <v>1197</v>
      </c>
      <c r="G847" s="527">
        <v>1</v>
      </c>
      <c r="H847" s="527">
        <v>1</v>
      </c>
      <c r="I847" s="527">
        <v>1</v>
      </c>
      <c r="J847" s="457"/>
      <c r="L847" s="457"/>
      <c r="M847" s="457"/>
      <c r="N847" s="457"/>
      <c r="O847" s="457"/>
    </row>
    <row r="848" spans="1:15" hidden="1" outlineLevel="1" x14ac:dyDescent="0.2">
      <c r="A848" s="457"/>
      <c r="C848" s="460"/>
      <c r="D848" s="457" t="s">
        <v>61</v>
      </c>
      <c r="G848" s="476">
        <f t="array" ref="G848:I848">IF(G846:I846=0,0,G846:I846+G847:I847)</f>
        <v>0</v>
      </c>
      <c r="H848" s="476">
        <v>0</v>
      </c>
      <c r="I848" s="476">
        <v>0</v>
      </c>
      <c r="J848" s="476"/>
      <c r="L848" s="464">
        <f t="array" ref="L848:N848">G848:I848</f>
        <v>0</v>
      </c>
      <c r="M848" s="464">
        <v>0</v>
      </c>
      <c r="N848" s="464">
        <v>0</v>
      </c>
      <c r="O848" s="457"/>
    </row>
    <row r="849" spans="1:15" hidden="1" outlineLevel="1" x14ac:dyDescent="0.2">
      <c r="A849" s="457"/>
      <c r="D849" s="457"/>
    </row>
    <row r="850" spans="1:15" hidden="1" outlineLevel="1" x14ac:dyDescent="0.2">
      <c r="A850" s="457"/>
      <c r="C850" s="460" t="s">
        <v>1188</v>
      </c>
      <c r="D850" s="457"/>
      <c r="J850" s="475">
        <f t="array" ref="J850">SUMPRODUCT(J$763:J$778,IF(J787:J802&gt;0,1,0))</f>
        <v>0</v>
      </c>
      <c r="O850" s="464">
        <f>J850</f>
        <v>0</v>
      </c>
    </row>
    <row r="851" spans="1:15" hidden="1" outlineLevel="1" x14ac:dyDescent="0.2">
      <c r="A851" s="457"/>
      <c r="D851" s="457"/>
    </row>
    <row r="852" spans="1:15" hidden="1" outlineLevel="1" x14ac:dyDescent="0.2">
      <c r="A852" s="457"/>
      <c r="D852" s="457"/>
    </row>
    <row r="853" spans="1:15" hidden="1" outlineLevel="1" x14ac:dyDescent="0.2">
      <c r="A853" s="457"/>
      <c r="D853" s="457"/>
    </row>
    <row r="854" spans="1:15" hidden="1" outlineLevel="1" x14ac:dyDescent="0.2">
      <c r="A854" s="457"/>
      <c r="D854" s="457"/>
    </row>
    <row r="855" spans="1:15" hidden="1" outlineLevel="1" x14ac:dyDescent="0.2">
      <c r="A855" s="457"/>
      <c r="C855" s="460" t="s">
        <v>1189</v>
      </c>
      <c r="D855" s="457"/>
      <c r="G855" s="458" t="s">
        <v>298</v>
      </c>
      <c r="L855" s="458" t="s">
        <v>296</v>
      </c>
    </row>
    <row r="856" spans="1:15" hidden="1" outlineLevel="1" x14ac:dyDescent="0.2">
      <c r="A856" s="457"/>
      <c r="D856" s="514">
        <f t="array" ref="D856:D858">BSC.Core.ATM.Ladder</f>
        <v>8.4499999999999993</v>
      </c>
      <c r="G856" s="518">
        <f>COUNTIF($G$820:$J$835,$D856)</f>
        <v>0</v>
      </c>
      <c r="L856" s="518">
        <f>COUNTIF($L$820:$O$835,$D856)</f>
        <v>0</v>
      </c>
    </row>
    <row r="857" spans="1:15" hidden="1" outlineLevel="1" x14ac:dyDescent="0.2">
      <c r="A857" s="457"/>
      <c r="D857" s="514">
        <v>34.369999999999997</v>
      </c>
      <c r="G857" s="518">
        <f t="shared" ref="G857:G861" si="69">COUNTIF($G$820:$J$835,$D857)</f>
        <v>0</v>
      </c>
      <c r="L857" s="518">
        <f t="shared" ref="L857:L861" si="70">COUNTIF($L$820:$O$835,$D857)</f>
        <v>0</v>
      </c>
    </row>
    <row r="858" spans="1:15" hidden="1" outlineLevel="1" x14ac:dyDescent="0.2">
      <c r="A858" s="457"/>
      <c r="D858" s="514">
        <v>155.52000000000001</v>
      </c>
      <c r="G858" s="518">
        <f t="shared" si="69"/>
        <v>0</v>
      </c>
      <c r="L858" s="518">
        <f t="shared" si="70"/>
        <v>0</v>
      </c>
    </row>
    <row r="859" spans="1:15" hidden="1" outlineLevel="1" x14ac:dyDescent="0.2">
      <c r="A859" s="457"/>
      <c r="D859" s="489">
        <f t="array" ref="D859:D861">BSC.Core.Ethernet.Ladder</f>
        <v>30</v>
      </c>
      <c r="G859" s="518">
        <f t="shared" si="69"/>
        <v>0</v>
      </c>
      <c r="L859" s="518">
        <f t="shared" si="70"/>
        <v>0</v>
      </c>
    </row>
    <row r="860" spans="1:15" hidden="1" outlineLevel="1" x14ac:dyDescent="0.2">
      <c r="A860" s="457"/>
      <c r="D860" s="489">
        <v>100</v>
      </c>
      <c r="G860" s="518">
        <f t="shared" si="69"/>
        <v>0</v>
      </c>
      <c r="L860" s="518">
        <f t="shared" si="70"/>
        <v>0</v>
      </c>
    </row>
    <row r="861" spans="1:15" hidden="1" outlineLevel="1" x14ac:dyDescent="0.2">
      <c r="A861" s="457"/>
      <c r="D861" s="489">
        <v>1024</v>
      </c>
      <c r="G861" s="518">
        <f t="shared" si="69"/>
        <v>0</v>
      </c>
      <c r="L861" s="518">
        <f t="shared" si="70"/>
        <v>0</v>
      </c>
    </row>
    <row r="862" spans="1:15" hidden="1" outlineLevel="1" x14ac:dyDescent="0.2">
      <c r="A862" s="457"/>
      <c r="D862" s="457"/>
      <c r="G862" s="466" t="s">
        <v>326</v>
      </c>
      <c r="J862" s="457"/>
      <c r="L862" s="466" t="s">
        <v>325</v>
      </c>
    </row>
    <row r="863" spans="1:15" hidden="1" outlineLevel="1" x14ac:dyDescent="0.2">
      <c r="A863" s="457"/>
      <c r="D863" s="457"/>
      <c r="G863" s="466"/>
      <c r="J863" s="457"/>
      <c r="L863" s="466"/>
    </row>
    <row r="864" spans="1:15" hidden="1" outlineLevel="1" x14ac:dyDescent="0.2">
      <c r="A864" s="457"/>
      <c r="C864" s="460" t="s">
        <v>1190</v>
      </c>
      <c r="D864" s="457"/>
      <c r="G864" s="458" t="s">
        <v>298</v>
      </c>
      <c r="L864" s="458" t="s">
        <v>296</v>
      </c>
    </row>
    <row r="865" spans="1:12" hidden="1" outlineLevel="1" x14ac:dyDescent="0.2">
      <c r="A865" s="457"/>
      <c r="D865" s="514">
        <f t="array" ref="D865:D867">BSC.Core.ATM.Ladder</f>
        <v>8.4499999999999993</v>
      </c>
      <c r="G865" s="518">
        <f>SUMIF(G$842:I$842,$D865,G$848:I$848)</f>
        <v>0</v>
      </c>
      <c r="L865" s="518">
        <f>SUMIF(L$842:N$842,$D865,L$848:N$848)</f>
        <v>0</v>
      </c>
    </row>
    <row r="866" spans="1:12" hidden="1" outlineLevel="1" x14ac:dyDescent="0.2">
      <c r="A866" s="457"/>
      <c r="D866" s="514">
        <v>34.369999999999997</v>
      </c>
      <c r="G866" s="518">
        <f t="shared" ref="G866:G870" si="71">SUMIF(G$842:I$842,$D866,G$848:I$848)</f>
        <v>0</v>
      </c>
      <c r="L866" s="518">
        <f t="shared" ref="L866:L870" si="72">SUMIF(L$842:N$842,$D866,L$848:N$848)</f>
        <v>0</v>
      </c>
    </row>
    <row r="867" spans="1:12" hidden="1" outlineLevel="1" x14ac:dyDescent="0.2">
      <c r="A867" s="457"/>
      <c r="D867" s="514">
        <v>155.52000000000001</v>
      </c>
      <c r="G867" s="518">
        <f t="shared" si="71"/>
        <v>0</v>
      </c>
      <c r="L867" s="518">
        <f t="shared" si="72"/>
        <v>0</v>
      </c>
    </row>
    <row r="868" spans="1:12" hidden="1" outlineLevel="1" x14ac:dyDescent="0.2">
      <c r="A868" s="457"/>
      <c r="D868" s="489">
        <f t="array" ref="D868:D870">BSC.Core.Ethernet.Ladder</f>
        <v>30</v>
      </c>
      <c r="G868" s="518">
        <f t="shared" si="71"/>
        <v>0</v>
      </c>
      <c r="L868" s="518">
        <f t="shared" si="72"/>
        <v>0</v>
      </c>
    </row>
    <row r="869" spans="1:12" hidden="1" outlineLevel="1" x14ac:dyDescent="0.2">
      <c r="A869" s="457"/>
      <c r="D869" s="489">
        <v>100</v>
      </c>
      <c r="G869" s="518">
        <f t="shared" si="71"/>
        <v>0</v>
      </c>
      <c r="L869" s="518">
        <f t="shared" si="72"/>
        <v>0</v>
      </c>
    </row>
    <row r="870" spans="1:12" hidden="1" outlineLevel="1" x14ac:dyDescent="0.2">
      <c r="A870" s="457"/>
      <c r="D870" s="489">
        <v>1024</v>
      </c>
      <c r="G870" s="518">
        <f t="shared" si="71"/>
        <v>0</v>
      </c>
      <c r="L870" s="518">
        <f t="shared" si="72"/>
        <v>0</v>
      </c>
    </row>
    <row r="871" spans="1:12" hidden="1" outlineLevel="1" x14ac:dyDescent="0.2">
      <c r="A871" s="457"/>
      <c r="D871" s="457"/>
      <c r="G871" s="466" t="s">
        <v>324</v>
      </c>
      <c r="J871" s="457"/>
      <c r="L871" s="466" t="s">
        <v>323</v>
      </c>
    </row>
    <row r="872" spans="1:12" s="457" customFormat="1" hidden="1" outlineLevel="1" x14ac:dyDescent="0.2"/>
    <row r="873" spans="1:12" s="457" customFormat="1" hidden="1" outlineLevel="1" x14ac:dyDescent="0.2"/>
    <row r="874" spans="1:12" s="457" customFormat="1" hidden="1" outlineLevel="1" x14ac:dyDescent="0.2"/>
    <row r="875" spans="1:12" s="457" customFormat="1" hidden="1" outlineLevel="1" x14ac:dyDescent="0.2"/>
    <row r="876" spans="1:12" s="457" customFormat="1" hidden="1" outlineLevel="1" x14ac:dyDescent="0.2"/>
    <row r="877" spans="1:12" ht="15.75" hidden="1" outlineLevel="1" x14ac:dyDescent="0.2">
      <c r="B877" s="459" t="s">
        <v>1191</v>
      </c>
      <c r="F877" s="457"/>
    </row>
    <row r="878" spans="1:12" hidden="1" outlineLevel="1" x14ac:dyDescent="0.2">
      <c r="F878" s="457"/>
    </row>
    <row r="879" spans="1:12" hidden="1" outlineLevel="1" x14ac:dyDescent="0.2">
      <c r="C879" s="460" t="s">
        <v>1192</v>
      </c>
      <c r="F879" s="457"/>
    </row>
    <row r="880" spans="1:12" hidden="1" outlineLevel="1" x14ac:dyDescent="0.2">
      <c r="C880" s="460"/>
      <c r="F880" s="457"/>
      <c r="G880" s="460" t="s">
        <v>298</v>
      </c>
      <c r="L880" s="460" t="s">
        <v>296</v>
      </c>
    </row>
    <row r="881" spans="6:15" ht="24" hidden="1" customHeight="1" outlineLevel="1" x14ac:dyDescent="0.2">
      <c r="F881" s="457"/>
      <c r="G881" s="458" t="str">
        <f t="array" ref="G881:J881">Core.rings.names</f>
        <v>Anillo Norte</v>
      </c>
      <c r="H881" s="458" t="str">
        <v>Anillo Sur</v>
      </c>
      <c r="I881" s="458" t="str">
        <v>Medio-anillo Este</v>
      </c>
      <c r="J881" s="458" t="str">
        <v>MW</v>
      </c>
      <c r="L881" s="458" t="str">
        <f t="array" ref="L881:O881">Core.rings.names</f>
        <v>Anillo Norte</v>
      </c>
      <c r="M881" s="458" t="str">
        <v>Anillo Sur</v>
      </c>
      <c r="N881" s="458" t="str">
        <v>Medio-anillo Este</v>
      </c>
      <c r="O881" s="458" t="str">
        <v>MW</v>
      </c>
    </row>
    <row r="882" spans="6:15" hidden="1" outlineLevel="1" x14ac:dyDescent="0.2">
      <c r="F882" s="525">
        <v>1</v>
      </c>
      <c r="G882" s="474">
        <f t="shared" ref="G882:J897" si="73">IF(ISNA(MATCH(G727,Core.nodes,0)),0,INDEX(Remote.RNCs.load.voice,,MATCH(G727,Core.nodes,0)))</f>
        <v>0</v>
      </c>
      <c r="H882" s="474">
        <f t="shared" si="73"/>
        <v>0</v>
      </c>
      <c r="I882" s="474">
        <f t="shared" si="73"/>
        <v>0</v>
      </c>
      <c r="J882" s="474">
        <f t="shared" si="73"/>
        <v>0</v>
      </c>
      <c r="L882" s="474">
        <f t="shared" ref="L882:L897" si="74">IF(ISNA(MATCH(G727,Core.nodes,0)),0,INDEX(Remote.RNCs.load.data,,MATCH(G727,Core.nodes,0)))</f>
        <v>0</v>
      </c>
      <c r="M882" s="474">
        <f t="shared" ref="M882:M897" si="75">IF(ISNA(MATCH(H727,Core.nodes,0)),0,INDEX(Remote.RNCs.load.data,,MATCH(H727,Core.nodes,0)))</f>
        <v>0</v>
      </c>
      <c r="N882" s="474">
        <f t="shared" ref="N882:N897" si="76">IF(ISNA(MATCH(I727,Core.nodes,0)),0,INDEX(Remote.RNCs.load.data,,MATCH(I727,Core.nodes,0)))</f>
        <v>0</v>
      </c>
      <c r="O882" s="474">
        <f t="shared" ref="O882:O897" si="77">IF(ISNA(MATCH(J727,Core.nodes,0)),0,INDEX(Remote.RNCs.load.data,,MATCH(J727,Core.nodes,0)))</f>
        <v>0</v>
      </c>
    </row>
    <row r="883" spans="6:15" hidden="1" outlineLevel="2" x14ac:dyDescent="0.2">
      <c r="F883" s="525">
        <f>1+F882</f>
        <v>2</v>
      </c>
      <c r="G883" s="474">
        <f t="shared" si="73"/>
        <v>0</v>
      </c>
      <c r="H883" s="474">
        <f t="shared" si="73"/>
        <v>0</v>
      </c>
      <c r="I883" s="474">
        <f t="shared" si="73"/>
        <v>0</v>
      </c>
      <c r="J883" s="474">
        <f t="shared" si="73"/>
        <v>0</v>
      </c>
      <c r="L883" s="474">
        <f t="shared" si="74"/>
        <v>0</v>
      </c>
      <c r="M883" s="474">
        <f t="shared" si="75"/>
        <v>0</v>
      </c>
      <c r="N883" s="474">
        <f t="shared" si="76"/>
        <v>0</v>
      </c>
      <c r="O883" s="474">
        <f t="shared" si="77"/>
        <v>0</v>
      </c>
    </row>
    <row r="884" spans="6:15" hidden="1" outlineLevel="2" x14ac:dyDescent="0.2">
      <c r="F884" s="525">
        <f t="shared" ref="F884:F897" si="78">1+F883</f>
        <v>3</v>
      </c>
      <c r="G884" s="474">
        <f t="shared" si="73"/>
        <v>0</v>
      </c>
      <c r="H884" s="474">
        <f t="shared" si="73"/>
        <v>0</v>
      </c>
      <c r="I884" s="474">
        <f t="shared" si="73"/>
        <v>0</v>
      </c>
      <c r="J884" s="474">
        <f t="shared" si="73"/>
        <v>0</v>
      </c>
      <c r="L884" s="474">
        <f t="shared" si="74"/>
        <v>0</v>
      </c>
      <c r="M884" s="474">
        <f t="shared" si="75"/>
        <v>0</v>
      </c>
      <c r="N884" s="474">
        <f t="shared" si="76"/>
        <v>0</v>
      </c>
      <c r="O884" s="474">
        <f t="shared" si="77"/>
        <v>0</v>
      </c>
    </row>
    <row r="885" spans="6:15" hidden="1" outlineLevel="2" x14ac:dyDescent="0.2">
      <c r="F885" s="525">
        <f t="shared" si="78"/>
        <v>4</v>
      </c>
      <c r="G885" s="474">
        <f t="shared" si="73"/>
        <v>0</v>
      </c>
      <c r="H885" s="474">
        <f t="shared" si="73"/>
        <v>0</v>
      </c>
      <c r="I885" s="474">
        <f t="shared" si="73"/>
        <v>0</v>
      </c>
      <c r="J885" s="474">
        <f t="shared" si="73"/>
        <v>0</v>
      </c>
      <c r="L885" s="474">
        <f t="shared" si="74"/>
        <v>0</v>
      </c>
      <c r="M885" s="474">
        <f t="shared" si="75"/>
        <v>0</v>
      </c>
      <c r="N885" s="474">
        <f t="shared" si="76"/>
        <v>0</v>
      </c>
      <c r="O885" s="474">
        <f t="shared" si="77"/>
        <v>0</v>
      </c>
    </row>
    <row r="886" spans="6:15" hidden="1" outlineLevel="2" x14ac:dyDescent="0.2">
      <c r="F886" s="525">
        <f t="shared" si="78"/>
        <v>5</v>
      </c>
      <c r="G886" s="474">
        <f t="shared" si="73"/>
        <v>0</v>
      </c>
      <c r="H886" s="474">
        <f t="shared" si="73"/>
        <v>0</v>
      </c>
      <c r="I886" s="474">
        <f t="shared" si="73"/>
        <v>0</v>
      </c>
      <c r="J886" s="474">
        <f t="shared" si="73"/>
        <v>0</v>
      </c>
      <c r="L886" s="474">
        <f t="shared" si="74"/>
        <v>0</v>
      </c>
      <c r="M886" s="474">
        <f t="shared" si="75"/>
        <v>0</v>
      </c>
      <c r="N886" s="474">
        <f t="shared" si="76"/>
        <v>0</v>
      </c>
      <c r="O886" s="474">
        <f t="shared" si="77"/>
        <v>0</v>
      </c>
    </row>
    <row r="887" spans="6:15" hidden="1" outlineLevel="2" x14ac:dyDescent="0.2">
      <c r="F887" s="525">
        <f t="shared" si="78"/>
        <v>6</v>
      </c>
      <c r="G887" s="474">
        <f t="shared" si="73"/>
        <v>0</v>
      </c>
      <c r="H887" s="474">
        <f t="shared" si="73"/>
        <v>0</v>
      </c>
      <c r="I887" s="474">
        <f t="shared" si="73"/>
        <v>0</v>
      </c>
      <c r="J887" s="474">
        <f t="shared" si="73"/>
        <v>0</v>
      </c>
      <c r="L887" s="474">
        <f t="shared" si="74"/>
        <v>0</v>
      </c>
      <c r="M887" s="474">
        <f t="shared" si="75"/>
        <v>0</v>
      </c>
      <c r="N887" s="474">
        <f t="shared" si="76"/>
        <v>0</v>
      </c>
      <c r="O887" s="474">
        <f t="shared" si="77"/>
        <v>0</v>
      </c>
    </row>
    <row r="888" spans="6:15" hidden="1" outlineLevel="2" x14ac:dyDescent="0.2">
      <c r="F888" s="525">
        <f t="shared" si="78"/>
        <v>7</v>
      </c>
      <c r="G888" s="474">
        <f t="shared" si="73"/>
        <v>0</v>
      </c>
      <c r="H888" s="474">
        <f t="shared" si="73"/>
        <v>0</v>
      </c>
      <c r="I888" s="474">
        <f t="shared" si="73"/>
        <v>0</v>
      </c>
      <c r="J888" s="474">
        <f t="shared" si="73"/>
        <v>0</v>
      </c>
      <c r="L888" s="474">
        <f t="shared" si="74"/>
        <v>0</v>
      </c>
      <c r="M888" s="474">
        <f t="shared" si="75"/>
        <v>0</v>
      </c>
      <c r="N888" s="474">
        <f t="shared" si="76"/>
        <v>0</v>
      </c>
      <c r="O888" s="474">
        <f t="shared" si="77"/>
        <v>0</v>
      </c>
    </row>
    <row r="889" spans="6:15" hidden="1" outlineLevel="2" x14ac:dyDescent="0.2">
      <c r="F889" s="525">
        <f t="shared" si="78"/>
        <v>8</v>
      </c>
      <c r="G889" s="474">
        <f t="shared" si="73"/>
        <v>0</v>
      </c>
      <c r="H889" s="474">
        <f t="shared" si="73"/>
        <v>0</v>
      </c>
      <c r="I889" s="474">
        <f t="shared" si="73"/>
        <v>0</v>
      </c>
      <c r="J889" s="474">
        <f t="shared" si="73"/>
        <v>0</v>
      </c>
      <c r="L889" s="474">
        <f t="shared" si="74"/>
        <v>0</v>
      </c>
      <c r="M889" s="474">
        <f t="shared" si="75"/>
        <v>0</v>
      </c>
      <c r="N889" s="474">
        <f t="shared" si="76"/>
        <v>0</v>
      </c>
      <c r="O889" s="474">
        <f t="shared" si="77"/>
        <v>0</v>
      </c>
    </row>
    <row r="890" spans="6:15" hidden="1" outlineLevel="2" x14ac:dyDescent="0.2">
      <c r="F890" s="525">
        <f t="shared" si="78"/>
        <v>9</v>
      </c>
      <c r="G890" s="474">
        <f t="shared" si="73"/>
        <v>0</v>
      </c>
      <c r="H890" s="474">
        <f t="shared" si="73"/>
        <v>0</v>
      </c>
      <c r="I890" s="474">
        <f t="shared" si="73"/>
        <v>0</v>
      </c>
      <c r="J890" s="474">
        <f t="shared" si="73"/>
        <v>0</v>
      </c>
      <c r="L890" s="474">
        <f t="shared" si="74"/>
        <v>0</v>
      </c>
      <c r="M890" s="474">
        <f t="shared" si="75"/>
        <v>0</v>
      </c>
      <c r="N890" s="474">
        <f t="shared" si="76"/>
        <v>0</v>
      </c>
      <c r="O890" s="474">
        <f t="shared" si="77"/>
        <v>0</v>
      </c>
    </row>
    <row r="891" spans="6:15" hidden="1" outlineLevel="2" x14ac:dyDescent="0.2">
      <c r="F891" s="525">
        <f t="shared" si="78"/>
        <v>10</v>
      </c>
      <c r="G891" s="474">
        <f t="shared" si="73"/>
        <v>0</v>
      </c>
      <c r="H891" s="474">
        <f t="shared" si="73"/>
        <v>0</v>
      </c>
      <c r="I891" s="474">
        <f t="shared" si="73"/>
        <v>0</v>
      </c>
      <c r="J891" s="474">
        <f t="shared" si="73"/>
        <v>0</v>
      </c>
      <c r="L891" s="474">
        <f t="shared" si="74"/>
        <v>0</v>
      </c>
      <c r="M891" s="474">
        <f t="shared" si="75"/>
        <v>0</v>
      </c>
      <c r="N891" s="474">
        <f t="shared" si="76"/>
        <v>0</v>
      </c>
      <c r="O891" s="474">
        <f t="shared" si="77"/>
        <v>0</v>
      </c>
    </row>
    <row r="892" spans="6:15" hidden="1" outlineLevel="2" x14ac:dyDescent="0.2">
      <c r="F892" s="525">
        <f t="shared" si="78"/>
        <v>11</v>
      </c>
      <c r="G892" s="474">
        <f t="shared" si="73"/>
        <v>0</v>
      </c>
      <c r="H892" s="474">
        <f t="shared" si="73"/>
        <v>0</v>
      </c>
      <c r="I892" s="474">
        <f t="shared" si="73"/>
        <v>0</v>
      </c>
      <c r="J892" s="474">
        <f t="shared" si="73"/>
        <v>0</v>
      </c>
      <c r="L892" s="474">
        <f t="shared" si="74"/>
        <v>0</v>
      </c>
      <c r="M892" s="474">
        <f t="shared" si="75"/>
        <v>0</v>
      </c>
      <c r="N892" s="474">
        <f t="shared" si="76"/>
        <v>0</v>
      </c>
      <c r="O892" s="474">
        <f t="shared" si="77"/>
        <v>0</v>
      </c>
    </row>
    <row r="893" spans="6:15" hidden="1" outlineLevel="2" x14ac:dyDescent="0.2">
      <c r="F893" s="525">
        <f t="shared" si="78"/>
        <v>12</v>
      </c>
      <c r="G893" s="474">
        <f t="shared" si="73"/>
        <v>0</v>
      </c>
      <c r="H893" s="474">
        <f t="shared" si="73"/>
        <v>0</v>
      </c>
      <c r="I893" s="474">
        <f t="shared" si="73"/>
        <v>0</v>
      </c>
      <c r="J893" s="474">
        <f t="shared" si="73"/>
        <v>0</v>
      </c>
      <c r="L893" s="474">
        <f t="shared" si="74"/>
        <v>0</v>
      </c>
      <c r="M893" s="474">
        <f t="shared" si="75"/>
        <v>0</v>
      </c>
      <c r="N893" s="474">
        <f t="shared" si="76"/>
        <v>0</v>
      </c>
      <c r="O893" s="474">
        <f t="shared" si="77"/>
        <v>0</v>
      </c>
    </row>
    <row r="894" spans="6:15" hidden="1" outlineLevel="2" x14ac:dyDescent="0.2">
      <c r="F894" s="525">
        <f t="shared" si="78"/>
        <v>13</v>
      </c>
      <c r="G894" s="474">
        <f t="shared" si="73"/>
        <v>0</v>
      </c>
      <c r="H894" s="474">
        <f t="shared" si="73"/>
        <v>0</v>
      </c>
      <c r="I894" s="474">
        <f t="shared" si="73"/>
        <v>0</v>
      </c>
      <c r="J894" s="474">
        <f t="shared" si="73"/>
        <v>0</v>
      </c>
      <c r="L894" s="474">
        <f t="shared" si="74"/>
        <v>0</v>
      </c>
      <c r="M894" s="474">
        <f t="shared" si="75"/>
        <v>0</v>
      </c>
      <c r="N894" s="474">
        <f t="shared" si="76"/>
        <v>0</v>
      </c>
      <c r="O894" s="474">
        <f t="shared" si="77"/>
        <v>0</v>
      </c>
    </row>
    <row r="895" spans="6:15" hidden="1" outlineLevel="2" x14ac:dyDescent="0.2">
      <c r="F895" s="525">
        <f t="shared" si="78"/>
        <v>14</v>
      </c>
      <c r="G895" s="474">
        <f t="shared" si="73"/>
        <v>0</v>
      </c>
      <c r="H895" s="474">
        <f t="shared" si="73"/>
        <v>0</v>
      </c>
      <c r="I895" s="474">
        <f t="shared" si="73"/>
        <v>0</v>
      </c>
      <c r="J895" s="474">
        <f t="shared" si="73"/>
        <v>0</v>
      </c>
      <c r="L895" s="474">
        <f t="shared" si="74"/>
        <v>0</v>
      </c>
      <c r="M895" s="474">
        <f t="shared" si="75"/>
        <v>0</v>
      </c>
      <c r="N895" s="474">
        <f t="shared" si="76"/>
        <v>0</v>
      </c>
      <c r="O895" s="474">
        <f t="shared" si="77"/>
        <v>0</v>
      </c>
    </row>
    <row r="896" spans="6:15" hidden="1" outlineLevel="2" x14ac:dyDescent="0.2">
      <c r="F896" s="525">
        <f t="shared" si="78"/>
        <v>15</v>
      </c>
      <c r="G896" s="474">
        <f t="shared" si="73"/>
        <v>0</v>
      </c>
      <c r="H896" s="474">
        <f t="shared" si="73"/>
        <v>0</v>
      </c>
      <c r="I896" s="474">
        <f t="shared" si="73"/>
        <v>0</v>
      </c>
      <c r="J896" s="474">
        <f t="shared" si="73"/>
        <v>0</v>
      </c>
      <c r="L896" s="474">
        <f t="shared" si="74"/>
        <v>0</v>
      </c>
      <c r="M896" s="474">
        <f t="shared" si="75"/>
        <v>0</v>
      </c>
      <c r="N896" s="474">
        <f t="shared" si="76"/>
        <v>0</v>
      </c>
      <c r="O896" s="474">
        <f t="shared" si="77"/>
        <v>0</v>
      </c>
    </row>
    <row r="897" spans="1:15" hidden="1" outlineLevel="1" x14ac:dyDescent="0.2">
      <c r="F897" s="525">
        <f t="shared" si="78"/>
        <v>16</v>
      </c>
      <c r="G897" s="474">
        <f t="shared" si="73"/>
        <v>0</v>
      </c>
      <c r="H897" s="474">
        <f t="shared" si="73"/>
        <v>0</v>
      </c>
      <c r="I897" s="474">
        <f t="shared" si="73"/>
        <v>0</v>
      </c>
      <c r="J897" s="474">
        <f t="shared" si="73"/>
        <v>0</v>
      </c>
      <c r="L897" s="474">
        <f t="shared" si="74"/>
        <v>0</v>
      </c>
      <c r="M897" s="474">
        <f t="shared" si="75"/>
        <v>0</v>
      </c>
      <c r="N897" s="474">
        <f t="shared" si="76"/>
        <v>0</v>
      </c>
      <c r="O897" s="474">
        <f t="shared" si="77"/>
        <v>0</v>
      </c>
    </row>
    <row r="898" spans="1:15" hidden="1" outlineLevel="1" x14ac:dyDescent="0.2">
      <c r="F898" s="457"/>
      <c r="G898" s="479">
        <f>SUM(G882:G897)</f>
        <v>0</v>
      </c>
      <c r="H898" s="479">
        <f t="shared" ref="H898:J898" si="79">SUM(H882:H897)</f>
        <v>0</v>
      </c>
      <c r="I898" s="479">
        <f t="shared" si="79"/>
        <v>0</v>
      </c>
      <c r="J898" s="479">
        <f t="shared" si="79"/>
        <v>0</v>
      </c>
      <c r="L898" s="479">
        <f t="shared" ref="L898:O898" si="80">SUM(L882:L897)</f>
        <v>0</v>
      </c>
      <c r="M898" s="479">
        <f t="shared" si="80"/>
        <v>0</v>
      </c>
      <c r="N898" s="479">
        <f t="shared" si="80"/>
        <v>0</v>
      </c>
      <c r="O898" s="479">
        <f t="shared" si="80"/>
        <v>0</v>
      </c>
    </row>
    <row r="899" spans="1:15" hidden="1" outlineLevel="1" x14ac:dyDescent="0.2">
      <c r="F899" s="457"/>
    </row>
    <row r="900" spans="1:15" hidden="1" outlineLevel="1" x14ac:dyDescent="0.2">
      <c r="F900" s="457"/>
    </row>
    <row r="901" spans="1:15" hidden="1" outlineLevel="1" x14ac:dyDescent="0.2">
      <c r="A901" s="457"/>
      <c r="C901" s="460" t="s">
        <v>1193</v>
      </c>
    </row>
    <row r="902" spans="1:15" hidden="1" outlineLevel="1" x14ac:dyDescent="0.2">
      <c r="A902" s="457"/>
      <c r="D902" s="453" t="s">
        <v>1156</v>
      </c>
      <c r="G902" s="509" t="str">
        <f>RNC.Core.Voice.Protocol</f>
        <v>Ethernet</v>
      </c>
    </row>
    <row r="903" spans="1:15" hidden="1" outlineLevel="1" x14ac:dyDescent="0.2">
      <c r="A903" s="457"/>
      <c r="D903" s="453" t="s">
        <v>1157</v>
      </c>
      <c r="G903" s="509" t="str">
        <f>RNC.Core.Data.Protocol</f>
        <v>Ethernet</v>
      </c>
    </row>
    <row r="904" spans="1:15" hidden="1" outlineLevel="1" x14ac:dyDescent="0.2">
      <c r="A904" s="457"/>
    </row>
    <row r="905" spans="1:15" ht="24" hidden="1" outlineLevel="1" x14ac:dyDescent="0.2">
      <c r="A905" s="457"/>
      <c r="D905" s="453" t="s">
        <v>1179</v>
      </c>
      <c r="G905" s="458" t="str">
        <f>INDEX(Protocols,1,)</f>
        <v>ATM / SDH / PDH</v>
      </c>
      <c r="I905" s="458" t="str">
        <f>INDEX(Protocols,2,)</f>
        <v>Ethernet</v>
      </c>
    </row>
    <row r="906" spans="1:15" hidden="1" outlineLevel="1" x14ac:dyDescent="0.2">
      <c r="A906" s="457"/>
      <c r="G906" s="513">
        <v>0</v>
      </c>
      <c r="H906" s="513">
        <f t="array" ref="H906:H908">G907:G909</f>
        <v>34.4</v>
      </c>
      <c r="I906" s="513">
        <v>0</v>
      </c>
      <c r="J906" s="521">
        <f t="array" ref="J906:J908">I907:I909</f>
        <v>100</v>
      </c>
      <c r="K906" s="457"/>
    </row>
    <row r="907" spans="1:15" hidden="1" outlineLevel="1" x14ac:dyDescent="0.2">
      <c r="A907" s="457"/>
      <c r="G907" s="514">
        <f t="array" ref="G907:G909">RNC.Core.ATM.Ladder</f>
        <v>34.4</v>
      </c>
      <c r="H907" s="513">
        <v>155.52000000000001</v>
      </c>
      <c r="I907" s="489">
        <f t="array" ref="I907:I909">RNC.Core.Ethernet.Ladder</f>
        <v>100</v>
      </c>
      <c r="J907" s="521">
        <v>1024</v>
      </c>
      <c r="K907" s="457"/>
    </row>
    <row r="908" spans="1:15" hidden="1" outlineLevel="1" x14ac:dyDescent="0.2">
      <c r="A908" s="457"/>
      <c r="G908" s="514">
        <v>155.52000000000001</v>
      </c>
      <c r="H908" s="513">
        <v>622.08000000000004</v>
      </c>
      <c r="I908" s="489">
        <v>1024</v>
      </c>
      <c r="J908" s="521">
        <v>2488</v>
      </c>
      <c r="K908" s="457"/>
    </row>
    <row r="909" spans="1:15" hidden="1" outlineLevel="1" x14ac:dyDescent="0.2">
      <c r="A909" s="457"/>
      <c r="G909" s="514">
        <v>622.08000000000004</v>
      </c>
      <c r="H909" s="515" t="s">
        <v>299</v>
      </c>
      <c r="I909" s="489">
        <v>2488</v>
      </c>
      <c r="J909" s="515" t="s">
        <v>299</v>
      </c>
      <c r="K909" s="457"/>
    </row>
    <row r="910" spans="1:15" hidden="1" outlineLevel="1" x14ac:dyDescent="0.2">
      <c r="F910" s="457"/>
    </row>
    <row r="911" spans="1:15" hidden="1" outlineLevel="1" x14ac:dyDescent="0.2">
      <c r="C911" s="460" t="s">
        <v>1180</v>
      </c>
      <c r="F911" s="457"/>
    </row>
    <row r="912" spans="1:15" s="457" customFormat="1" hidden="1" outlineLevel="1" x14ac:dyDescent="0.2">
      <c r="D912" s="453"/>
    </row>
    <row r="913" spans="3:15" hidden="1" outlineLevel="1" x14ac:dyDescent="0.2">
      <c r="C913" s="460"/>
      <c r="D913" s="472" t="s">
        <v>1182</v>
      </c>
      <c r="F913" s="457"/>
      <c r="G913" s="460" t="s">
        <v>1156</v>
      </c>
      <c r="L913" s="460" t="s">
        <v>1157</v>
      </c>
    </row>
    <row r="914" spans="3:15" ht="24" hidden="1" customHeight="1" outlineLevel="1" x14ac:dyDescent="0.2">
      <c r="F914" s="457"/>
      <c r="G914" s="458" t="str">
        <f t="array" ref="G914:J914">Core.rings.names</f>
        <v>Anillo Norte</v>
      </c>
      <c r="H914" s="458" t="str">
        <v>Anillo Sur</v>
      </c>
      <c r="I914" s="458" t="str">
        <v>Medio-anillo Este</v>
      </c>
      <c r="J914" s="458" t="str">
        <v>MW</v>
      </c>
      <c r="L914" s="458" t="str">
        <f t="array" ref="L914:O914">Core.rings.names</f>
        <v>Anillo Norte</v>
      </c>
      <c r="M914" s="458" t="str">
        <v>Anillo Sur</v>
      </c>
      <c r="N914" s="458" t="str">
        <v>Medio-anillo Este</v>
      </c>
      <c r="O914" s="458" t="str">
        <v>MW</v>
      </c>
    </row>
    <row r="915" spans="3:15" hidden="1" outlineLevel="1" x14ac:dyDescent="0.2">
      <c r="F915" s="525">
        <v>1</v>
      </c>
      <c r="G915" s="481">
        <f>IF(G857=1,0,IF(G882=0,0,IF($G$902=$G$905,VLOOKUP(G882,$G$906:$H$909,2),VLOOKUP(G882,$I$906:$J$909,2))))</f>
        <v>0</v>
      </c>
      <c r="H915" s="481">
        <f t="shared" ref="H915:J915" si="81">IF(H857=1,0,IF(H882=0,0,IF($G$902=$G$905,VLOOKUP(H882,$G$906:$H$909,2),VLOOKUP(H882,$I$906:$J$909,2))))</f>
        <v>0</v>
      </c>
      <c r="I915" s="481">
        <f t="shared" si="81"/>
        <v>0</v>
      </c>
      <c r="J915" s="481">
        <f t="shared" si="81"/>
        <v>0</v>
      </c>
      <c r="L915" s="481">
        <f t="shared" ref="L915:O915" si="82">IF(L857=1,0,IF(L882=0,0,IF($G$902=$G$905,VLOOKUP(L882,$G$906:$H$909,2),VLOOKUP(L882,$I$906:$J$909,2))))</f>
        <v>0</v>
      </c>
      <c r="M915" s="481">
        <f t="shared" si="82"/>
        <v>0</v>
      </c>
      <c r="N915" s="481">
        <f t="shared" si="82"/>
        <v>0</v>
      </c>
      <c r="O915" s="481">
        <f t="shared" si="82"/>
        <v>0</v>
      </c>
    </row>
    <row r="916" spans="3:15" hidden="1" outlineLevel="2" x14ac:dyDescent="0.2">
      <c r="F916" s="525">
        <f>1+F915</f>
        <v>2</v>
      </c>
      <c r="G916" s="481">
        <f t="shared" ref="G916:J916" si="83">IF(G858=1,0,IF(G883=0,0,IF($G$902=$G$905,VLOOKUP(G883,$G$906:$H$909,2),VLOOKUP(G883,$I$906:$J$909,2))))</f>
        <v>0</v>
      </c>
      <c r="H916" s="481">
        <f t="shared" si="83"/>
        <v>0</v>
      </c>
      <c r="I916" s="481">
        <f t="shared" si="83"/>
        <v>0</v>
      </c>
      <c r="J916" s="481">
        <f t="shared" si="83"/>
        <v>0</v>
      </c>
      <c r="L916" s="481">
        <f t="shared" ref="L916:O916" si="84">IF(L858=1,0,IF(L883=0,0,IF($G$902=$G$905,VLOOKUP(L883,$G$906:$H$909,2),VLOOKUP(L883,$I$906:$J$909,2))))</f>
        <v>0</v>
      </c>
      <c r="M916" s="481">
        <f t="shared" si="84"/>
        <v>0</v>
      </c>
      <c r="N916" s="481">
        <f t="shared" si="84"/>
        <v>0</v>
      </c>
      <c r="O916" s="481">
        <f t="shared" si="84"/>
        <v>0</v>
      </c>
    </row>
    <row r="917" spans="3:15" hidden="1" outlineLevel="2" x14ac:dyDescent="0.2">
      <c r="F917" s="525">
        <f t="shared" ref="F917:F930" si="85">1+F916</f>
        <v>3</v>
      </c>
      <c r="G917" s="481">
        <f t="shared" ref="G917:J917" si="86">IF(G859=1,0,IF(G884=0,0,IF($G$902=$G$905,VLOOKUP(G884,$G$906:$H$909,2),VLOOKUP(G884,$I$906:$J$909,2))))</f>
        <v>0</v>
      </c>
      <c r="H917" s="481">
        <f t="shared" si="86"/>
        <v>0</v>
      </c>
      <c r="I917" s="481">
        <f t="shared" si="86"/>
        <v>0</v>
      </c>
      <c r="J917" s="481">
        <f t="shared" si="86"/>
        <v>0</v>
      </c>
      <c r="L917" s="481">
        <f t="shared" ref="L917:O917" si="87">IF(L859=1,0,IF(L884=0,0,IF($G$902=$G$905,VLOOKUP(L884,$G$906:$H$909,2),VLOOKUP(L884,$I$906:$J$909,2))))</f>
        <v>0</v>
      </c>
      <c r="M917" s="481">
        <f t="shared" si="87"/>
        <v>0</v>
      </c>
      <c r="N917" s="481">
        <f t="shared" si="87"/>
        <v>0</v>
      </c>
      <c r="O917" s="481">
        <f t="shared" si="87"/>
        <v>0</v>
      </c>
    </row>
    <row r="918" spans="3:15" hidden="1" outlineLevel="2" x14ac:dyDescent="0.2">
      <c r="F918" s="525">
        <f t="shared" si="85"/>
        <v>4</v>
      </c>
      <c r="G918" s="481">
        <f t="shared" ref="G918:J918" si="88">IF(G860=1,0,IF(G885=0,0,IF($G$902=$G$905,VLOOKUP(G885,$G$906:$H$909,2),VLOOKUP(G885,$I$906:$J$909,2))))</f>
        <v>0</v>
      </c>
      <c r="H918" s="481">
        <f t="shared" si="88"/>
        <v>0</v>
      </c>
      <c r="I918" s="481">
        <f t="shared" si="88"/>
        <v>0</v>
      </c>
      <c r="J918" s="481">
        <f t="shared" si="88"/>
        <v>0</v>
      </c>
      <c r="L918" s="481">
        <f t="shared" ref="L918:O918" si="89">IF(L860=1,0,IF(L885=0,0,IF($G$902=$G$905,VLOOKUP(L885,$G$906:$H$909,2),VLOOKUP(L885,$I$906:$J$909,2))))</f>
        <v>0</v>
      </c>
      <c r="M918" s="481">
        <f t="shared" si="89"/>
        <v>0</v>
      </c>
      <c r="N918" s="481">
        <f t="shared" si="89"/>
        <v>0</v>
      </c>
      <c r="O918" s="481">
        <f t="shared" si="89"/>
        <v>0</v>
      </c>
    </row>
    <row r="919" spans="3:15" hidden="1" outlineLevel="2" x14ac:dyDescent="0.2">
      <c r="F919" s="525">
        <f t="shared" si="85"/>
        <v>5</v>
      </c>
      <c r="G919" s="481">
        <f t="shared" ref="G919:J919" si="90">IF(G861=1,0,IF(G886=0,0,IF($G$902=$G$905,VLOOKUP(G886,$G$906:$H$909,2),VLOOKUP(G886,$I$906:$J$909,2))))</f>
        <v>0</v>
      </c>
      <c r="H919" s="481">
        <f t="shared" si="90"/>
        <v>0</v>
      </c>
      <c r="I919" s="481">
        <f t="shared" si="90"/>
        <v>0</v>
      </c>
      <c r="J919" s="481">
        <f t="shared" si="90"/>
        <v>0</v>
      </c>
      <c r="L919" s="481">
        <f t="shared" ref="L919:O919" si="91">IF(L861=1,0,IF(L886=0,0,IF($G$902=$G$905,VLOOKUP(L886,$G$906:$H$909,2),VLOOKUP(L886,$I$906:$J$909,2))))</f>
        <v>0</v>
      </c>
      <c r="M919" s="481">
        <f t="shared" si="91"/>
        <v>0</v>
      </c>
      <c r="N919" s="481">
        <f t="shared" si="91"/>
        <v>0</v>
      </c>
      <c r="O919" s="481">
        <f t="shared" si="91"/>
        <v>0</v>
      </c>
    </row>
    <row r="920" spans="3:15" hidden="1" outlineLevel="2" x14ac:dyDescent="0.2">
      <c r="F920" s="525">
        <f t="shared" si="85"/>
        <v>6</v>
      </c>
      <c r="G920" s="481">
        <f t="shared" ref="G920:J920" si="92">IF(G862=1,0,IF(G887=0,0,IF($G$902=$G$905,VLOOKUP(G887,$G$906:$H$909,2),VLOOKUP(G887,$I$906:$J$909,2))))</f>
        <v>0</v>
      </c>
      <c r="H920" s="481">
        <f t="shared" si="92"/>
        <v>0</v>
      </c>
      <c r="I920" s="481">
        <f t="shared" si="92"/>
        <v>0</v>
      </c>
      <c r="J920" s="481">
        <f t="shared" si="92"/>
        <v>0</v>
      </c>
      <c r="L920" s="481">
        <f t="shared" ref="L920:O920" si="93">IF(L862=1,0,IF(L887=0,0,IF($G$902=$G$905,VLOOKUP(L887,$G$906:$H$909,2),VLOOKUP(L887,$I$906:$J$909,2))))</f>
        <v>0</v>
      </c>
      <c r="M920" s="481">
        <f t="shared" si="93"/>
        <v>0</v>
      </c>
      <c r="N920" s="481">
        <f t="shared" si="93"/>
        <v>0</v>
      </c>
      <c r="O920" s="481">
        <f t="shared" si="93"/>
        <v>0</v>
      </c>
    </row>
    <row r="921" spans="3:15" hidden="1" outlineLevel="2" x14ac:dyDescent="0.2">
      <c r="F921" s="525">
        <f t="shared" si="85"/>
        <v>7</v>
      </c>
      <c r="G921" s="481">
        <f t="shared" ref="G921:J921" si="94">IF(G863=1,0,IF(G888=0,0,IF($G$902=$G$905,VLOOKUP(G888,$G$906:$H$909,2),VLOOKUP(G888,$I$906:$J$909,2))))</f>
        <v>0</v>
      </c>
      <c r="H921" s="481">
        <f t="shared" si="94"/>
        <v>0</v>
      </c>
      <c r="I921" s="481">
        <f t="shared" si="94"/>
        <v>0</v>
      </c>
      <c r="J921" s="481">
        <f t="shared" si="94"/>
        <v>0</v>
      </c>
      <c r="L921" s="481">
        <f t="shared" ref="L921:O921" si="95">IF(L863=1,0,IF(L888=0,0,IF($G$902=$G$905,VLOOKUP(L888,$G$906:$H$909,2),VLOOKUP(L888,$I$906:$J$909,2))))</f>
        <v>0</v>
      </c>
      <c r="M921" s="481">
        <f t="shared" si="95"/>
        <v>0</v>
      </c>
      <c r="N921" s="481">
        <f t="shared" si="95"/>
        <v>0</v>
      </c>
      <c r="O921" s="481">
        <f t="shared" si="95"/>
        <v>0</v>
      </c>
    </row>
    <row r="922" spans="3:15" hidden="1" outlineLevel="2" x14ac:dyDescent="0.2">
      <c r="F922" s="525">
        <f t="shared" si="85"/>
        <v>8</v>
      </c>
      <c r="G922" s="481">
        <f t="shared" ref="G922:J922" si="96">IF(G864=1,0,IF(G889=0,0,IF($G$902=$G$905,VLOOKUP(G889,$G$906:$H$909,2),VLOOKUP(G889,$I$906:$J$909,2))))</f>
        <v>0</v>
      </c>
      <c r="H922" s="481">
        <f t="shared" si="96"/>
        <v>0</v>
      </c>
      <c r="I922" s="481">
        <f t="shared" si="96"/>
        <v>0</v>
      </c>
      <c r="J922" s="481">
        <f t="shared" si="96"/>
        <v>0</v>
      </c>
      <c r="L922" s="481">
        <f t="shared" ref="L922:O922" si="97">IF(L864=1,0,IF(L889=0,0,IF($G$902=$G$905,VLOOKUP(L889,$G$906:$H$909,2),VLOOKUP(L889,$I$906:$J$909,2))))</f>
        <v>0</v>
      </c>
      <c r="M922" s="481">
        <f t="shared" si="97"/>
        <v>0</v>
      </c>
      <c r="N922" s="481">
        <f t="shared" si="97"/>
        <v>0</v>
      </c>
      <c r="O922" s="481">
        <f t="shared" si="97"/>
        <v>0</v>
      </c>
    </row>
    <row r="923" spans="3:15" hidden="1" outlineLevel="2" x14ac:dyDescent="0.2">
      <c r="F923" s="525">
        <f t="shared" si="85"/>
        <v>9</v>
      </c>
      <c r="G923" s="481">
        <f t="shared" ref="G923:J923" si="98">IF(G865=1,0,IF(G890=0,0,IF($G$902=$G$905,VLOOKUP(G890,$G$906:$H$909,2),VLOOKUP(G890,$I$906:$J$909,2))))</f>
        <v>0</v>
      </c>
      <c r="H923" s="481">
        <f t="shared" si="98"/>
        <v>0</v>
      </c>
      <c r="I923" s="481">
        <f t="shared" si="98"/>
        <v>0</v>
      </c>
      <c r="J923" s="481">
        <f t="shared" si="98"/>
        <v>0</v>
      </c>
      <c r="L923" s="481">
        <f t="shared" ref="L923:O923" si="99">IF(L865=1,0,IF(L890=0,0,IF($G$902=$G$905,VLOOKUP(L890,$G$906:$H$909,2),VLOOKUP(L890,$I$906:$J$909,2))))</f>
        <v>0</v>
      </c>
      <c r="M923" s="481">
        <f t="shared" si="99"/>
        <v>0</v>
      </c>
      <c r="N923" s="481">
        <f t="shared" si="99"/>
        <v>0</v>
      </c>
      <c r="O923" s="481">
        <f t="shared" si="99"/>
        <v>0</v>
      </c>
    </row>
    <row r="924" spans="3:15" hidden="1" outlineLevel="2" x14ac:dyDescent="0.2">
      <c r="F924" s="525">
        <f t="shared" si="85"/>
        <v>10</v>
      </c>
      <c r="G924" s="481">
        <f t="shared" ref="G924:J924" si="100">IF(G866=1,0,IF(G891=0,0,IF($G$902=$G$905,VLOOKUP(G891,$G$906:$H$909,2),VLOOKUP(G891,$I$906:$J$909,2))))</f>
        <v>0</v>
      </c>
      <c r="H924" s="481">
        <f t="shared" si="100"/>
        <v>0</v>
      </c>
      <c r="I924" s="481">
        <f t="shared" si="100"/>
        <v>0</v>
      </c>
      <c r="J924" s="481">
        <f t="shared" si="100"/>
        <v>0</v>
      </c>
      <c r="L924" s="481">
        <f t="shared" ref="L924:O924" si="101">IF(L866=1,0,IF(L891=0,0,IF($G$902=$G$905,VLOOKUP(L891,$G$906:$H$909,2),VLOOKUP(L891,$I$906:$J$909,2))))</f>
        <v>0</v>
      </c>
      <c r="M924" s="481">
        <f t="shared" si="101"/>
        <v>0</v>
      </c>
      <c r="N924" s="481">
        <f t="shared" si="101"/>
        <v>0</v>
      </c>
      <c r="O924" s="481">
        <f t="shared" si="101"/>
        <v>0</v>
      </c>
    </row>
    <row r="925" spans="3:15" hidden="1" outlineLevel="2" x14ac:dyDescent="0.2">
      <c r="F925" s="525">
        <f t="shared" si="85"/>
        <v>11</v>
      </c>
      <c r="G925" s="481">
        <f t="shared" ref="G925:J925" si="102">IF(G867=1,0,IF(G892=0,0,IF($G$902=$G$905,VLOOKUP(G892,$G$906:$H$909,2),VLOOKUP(G892,$I$906:$J$909,2))))</f>
        <v>0</v>
      </c>
      <c r="H925" s="481">
        <f t="shared" si="102"/>
        <v>0</v>
      </c>
      <c r="I925" s="481">
        <f t="shared" si="102"/>
        <v>0</v>
      </c>
      <c r="J925" s="481">
        <f t="shared" si="102"/>
        <v>0</v>
      </c>
      <c r="L925" s="481">
        <f t="shared" ref="L925:O925" si="103">IF(L867=1,0,IF(L892=0,0,IF($G$902=$G$905,VLOOKUP(L892,$G$906:$H$909,2),VLOOKUP(L892,$I$906:$J$909,2))))</f>
        <v>0</v>
      </c>
      <c r="M925" s="481">
        <f t="shared" si="103"/>
        <v>0</v>
      </c>
      <c r="N925" s="481">
        <f t="shared" si="103"/>
        <v>0</v>
      </c>
      <c r="O925" s="481">
        <f t="shared" si="103"/>
        <v>0</v>
      </c>
    </row>
    <row r="926" spans="3:15" hidden="1" outlineLevel="2" x14ac:dyDescent="0.2">
      <c r="F926" s="525">
        <f t="shared" si="85"/>
        <v>12</v>
      </c>
      <c r="G926" s="481">
        <f t="shared" ref="G926:J926" si="104">IF(G868=1,0,IF(G893=0,0,IF($G$902=$G$905,VLOOKUP(G893,$G$906:$H$909,2),VLOOKUP(G893,$I$906:$J$909,2))))</f>
        <v>0</v>
      </c>
      <c r="H926" s="481">
        <f t="shared" si="104"/>
        <v>0</v>
      </c>
      <c r="I926" s="481">
        <f t="shared" si="104"/>
        <v>0</v>
      </c>
      <c r="J926" s="481">
        <f t="shared" si="104"/>
        <v>0</v>
      </c>
      <c r="L926" s="481">
        <f t="shared" ref="L926:O926" si="105">IF(L868=1,0,IF(L893=0,0,IF($G$902=$G$905,VLOOKUP(L893,$G$906:$H$909,2),VLOOKUP(L893,$I$906:$J$909,2))))</f>
        <v>0</v>
      </c>
      <c r="M926" s="481">
        <f t="shared" si="105"/>
        <v>0</v>
      </c>
      <c r="N926" s="481">
        <f t="shared" si="105"/>
        <v>0</v>
      </c>
      <c r="O926" s="481">
        <f t="shared" si="105"/>
        <v>0</v>
      </c>
    </row>
    <row r="927" spans="3:15" hidden="1" outlineLevel="2" x14ac:dyDescent="0.2">
      <c r="F927" s="525">
        <f t="shared" si="85"/>
        <v>13</v>
      </c>
      <c r="G927" s="481">
        <f t="shared" ref="G927:J927" si="106">IF(G869=1,0,IF(G894=0,0,IF($G$902=$G$905,VLOOKUP(G894,$G$906:$H$909,2),VLOOKUP(G894,$I$906:$J$909,2))))</f>
        <v>0</v>
      </c>
      <c r="H927" s="481">
        <f t="shared" si="106"/>
        <v>0</v>
      </c>
      <c r="I927" s="481">
        <f t="shared" si="106"/>
        <v>0</v>
      </c>
      <c r="J927" s="481">
        <f t="shared" si="106"/>
        <v>0</v>
      </c>
      <c r="L927" s="481">
        <f t="shared" ref="L927:O927" si="107">IF(L869=1,0,IF(L894=0,0,IF($G$902=$G$905,VLOOKUP(L894,$G$906:$H$909,2),VLOOKUP(L894,$I$906:$J$909,2))))</f>
        <v>0</v>
      </c>
      <c r="M927" s="481">
        <f t="shared" si="107"/>
        <v>0</v>
      </c>
      <c r="N927" s="481">
        <f t="shared" si="107"/>
        <v>0</v>
      </c>
      <c r="O927" s="481">
        <f t="shared" si="107"/>
        <v>0</v>
      </c>
    </row>
    <row r="928" spans="3:15" hidden="1" outlineLevel="2" x14ac:dyDescent="0.2">
      <c r="F928" s="525">
        <f t="shared" si="85"/>
        <v>14</v>
      </c>
      <c r="G928" s="481">
        <f t="shared" ref="G928:J928" si="108">IF(G870=1,0,IF(G895=0,0,IF($G$902=$G$905,VLOOKUP(G895,$G$906:$H$909,2),VLOOKUP(G895,$I$906:$J$909,2))))</f>
        <v>0</v>
      </c>
      <c r="H928" s="481">
        <f t="shared" si="108"/>
        <v>0</v>
      </c>
      <c r="I928" s="481">
        <f t="shared" si="108"/>
        <v>0</v>
      </c>
      <c r="J928" s="481">
        <f t="shared" si="108"/>
        <v>0</v>
      </c>
      <c r="L928" s="481">
        <f t="shared" ref="L928:O928" si="109">IF(L870=1,0,IF(L895=0,0,IF($G$902=$G$905,VLOOKUP(L895,$G$906:$H$909,2),VLOOKUP(L895,$I$906:$J$909,2))))</f>
        <v>0</v>
      </c>
      <c r="M928" s="481">
        <f t="shared" si="109"/>
        <v>0</v>
      </c>
      <c r="N928" s="481">
        <f t="shared" si="109"/>
        <v>0</v>
      </c>
      <c r="O928" s="481">
        <f t="shared" si="109"/>
        <v>0</v>
      </c>
    </row>
    <row r="929" spans="1:15" hidden="1" outlineLevel="2" x14ac:dyDescent="0.2">
      <c r="F929" s="525">
        <f t="shared" si="85"/>
        <v>15</v>
      </c>
      <c r="G929" s="481">
        <f t="shared" ref="G929:J929" si="110">IF(G871=1,0,IF(G896=0,0,IF($G$902=$G$905,VLOOKUP(G896,$G$906:$H$909,2),VLOOKUP(G896,$I$906:$J$909,2))))</f>
        <v>0</v>
      </c>
      <c r="H929" s="481">
        <f t="shared" si="110"/>
        <v>0</v>
      </c>
      <c r="I929" s="481">
        <f t="shared" si="110"/>
        <v>0</v>
      </c>
      <c r="J929" s="481">
        <f t="shared" si="110"/>
        <v>0</v>
      </c>
      <c r="L929" s="481">
        <f t="shared" ref="L929:O929" si="111">IF(L871=1,0,IF(L896=0,0,IF($G$902=$G$905,VLOOKUP(L896,$G$906:$H$909,2),VLOOKUP(L896,$I$906:$J$909,2))))</f>
        <v>0</v>
      </c>
      <c r="M929" s="481">
        <f t="shared" si="111"/>
        <v>0</v>
      </c>
      <c r="N929" s="481">
        <f t="shared" si="111"/>
        <v>0</v>
      </c>
      <c r="O929" s="481">
        <f t="shared" si="111"/>
        <v>0</v>
      </c>
    </row>
    <row r="930" spans="1:15" hidden="1" outlineLevel="1" x14ac:dyDescent="0.2">
      <c r="F930" s="525">
        <f t="shared" si="85"/>
        <v>16</v>
      </c>
      <c r="G930" s="481">
        <f t="shared" ref="G930:J930" si="112">IF(G872=1,0,IF(G897=0,0,IF($G$902=$G$905,VLOOKUP(G897,$G$906:$H$909,2),VLOOKUP(G897,$I$906:$J$909,2))))</f>
        <v>0</v>
      </c>
      <c r="H930" s="481">
        <f t="shared" si="112"/>
        <v>0</v>
      </c>
      <c r="I930" s="481">
        <f t="shared" si="112"/>
        <v>0</v>
      </c>
      <c r="J930" s="481">
        <f t="shared" si="112"/>
        <v>0</v>
      </c>
      <c r="L930" s="481">
        <f t="shared" ref="L930:O930" si="113">IF(L872=1,0,IF(L897=0,0,IF($G$902=$G$905,VLOOKUP(L897,$G$906:$H$909,2),VLOOKUP(L897,$I$906:$J$909,2))))</f>
        <v>0</v>
      </c>
      <c r="M930" s="481">
        <f t="shared" si="113"/>
        <v>0</v>
      </c>
      <c r="N930" s="481">
        <f t="shared" si="113"/>
        <v>0</v>
      </c>
      <c r="O930" s="481">
        <f t="shared" si="113"/>
        <v>0</v>
      </c>
    </row>
    <row r="931" spans="1:15" hidden="1" outlineLevel="1" x14ac:dyDescent="0.2">
      <c r="F931" s="457"/>
      <c r="G931" s="457"/>
      <c r="H931" s="457"/>
      <c r="I931" s="457"/>
      <c r="J931" s="457"/>
      <c r="L931" s="457"/>
      <c r="M931" s="457"/>
      <c r="N931" s="457"/>
      <c r="O931" s="457"/>
    </row>
    <row r="932" spans="1:15" hidden="1" outlineLevel="1" x14ac:dyDescent="0.2">
      <c r="F932" s="457"/>
    </row>
    <row r="933" spans="1:15" hidden="1" outlineLevel="1" x14ac:dyDescent="0.2">
      <c r="D933" s="472" t="s">
        <v>1183</v>
      </c>
      <c r="F933" s="457"/>
      <c r="G933" s="460" t="s">
        <v>1156</v>
      </c>
      <c r="L933" s="460" t="s">
        <v>1157</v>
      </c>
    </row>
    <row r="934" spans="1:15" ht="24" hidden="1" customHeight="1" outlineLevel="1" x14ac:dyDescent="0.2">
      <c r="F934" s="457"/>
      <c r="G934" s="458" t="str">
        <f t="array" ref="G934:J934">Core.rings.names</f>
        <v>Anillo Norte</v>
      </c>
      <c r="H934" s="458" t="str">
        <v>Anillo Sur</v>
      </c>
      <c r="I934" s="458" t="str">
        <v>Medio-anillo Este</v>
      </c>
      <c r="J934" s="458" t="str">
        <v>MW</v>
      </c>
      <c r="L934" s="458" t="str">
        <f t="array" ref="L934:O934">Core.rings.names</f>
        <v>Anillo Norte</v>
      </c>
      <c r="M934" s="458" t="str">
        <v>Anillo Sur</v>
      </c>
      <c r="N934" s="458" t="str">
        <v>Medio-anillo Este</v>
      </c>
      <c r="O934" s="458" t="str">
        <v>MW</v>
      </c>
    </row>
    <row r="935" spans="1:15" s="457" customFormat="1" ht="12" hidden="1" customHeight="1" outlineLevel="1" x14ac:dyDescent="0.2">
      <c r="D935" s="457" t="s">
        <v>1184</v>
      </c>
      <c r="G935" s="481">
        <f>SUMPRODUCT(G$763:G$778,G882:G897)</f>
        <v>0</v>
      </c>
      <c r="H935" s="481">
        <f t="shared" ref="H935:J935" si="114">SUMPRODUCT(H$763:H$778,H882:H897)</f>
        <v>0</v>
      </c>
      <c r="I935" s="481">
        <f t="shared" si="114"/>
        <v>0</v>
      </c>
      <c r="J935" s="481">
        <f t="shared" si="114"/>
        <v>0</v>
      </c>
      <c r="L935" s="481">
        <f>SUMPRODUCT(G$763:G$778,L882:L897)</f>
        <v>0</v>
      </c>
      <c r="M935" s="481">
        <f t="shared" ref="M935" si="115">SUMPRODUCT(H$763:H$778,M882:M897)</f>
        <v>0</v>
      </c>
      <c r="N935" s="481">
        <f t="shared" ref="N935" si="116">SUMPRODUCT(I$763:I$778,N882:N897)</f>
        <v>0</v>
      </c>
      <c r="O935" s="481">
        <f t="shared" ref="O935" si="117">SUMPRODUCT(J$763:J$778,O882:O897)</f>
        <v>0</v>
      </c>
    </row>
    <row r="936" spans="1:15" hidden="1" outlineLevel="1" x14ac:dyDescent="0.2">
      <c r="C936" s="457"/>
      <c r="D936" s="453" t="s">
        <v>1185</v>
      </c>
      <c r="F936" s="457"/>
      <c r="G936" s="481">
        <f>IF(G935=0,0,IF($G$902=$G$905,VLOOKUP(G935,$G$906:$H$909,2),VLOOKUP(G935,$I$906:$J$909,2)))</f>
        <v>0</v>
      </c>
      <c r="H936" s="481">
        <f t="shared" ref="H936:J936" si="118">IF(H935=0,0,IF($G$902=$G$905,VLOOKUP(H935,$G$906:$H$909,2),VLOOKUP(H935,$I$906:$J$909,2)))</f>
        <v>0</v>
      </c>
      <c r="I936" s="481">
        <f t="shared" si="118"/>
        <v>0</v>
      </c>
      <c r="J936" s="481">
        <f t="shared" si="118"/>
        <v>0</v>
      </c>
      <c r="L936" s="481">
        <f>IF(L935=0,0,IF($G$902=$G$905,VLOOKUP(L935,$G$906:$H$909,2),VLOOKUP(L935,$I$906:$J$909,2)))</f>
        <v>0</v>
      </c>
      <c r="M936" s="481">
        <f t="shared" ref="M936" si="119">IF(M935=0,0,IF($G$902=$G$905,VLOOKUP(M935,$G$906:$H$909,2),VLOOKUP(M935,$I$906:$J$909,2)))</f>
        <v>0</v>
      </c>
      <c r="N936" s="481">
        <f t="shared" ref="N936" si="120">IF(N935=0,0,IF($G$902=$G$905,VLOOKUP(N935,$G$906:$H$909,2),VLOOKUP(N935,$I$906:$J$909,2)))</f>
        <v>0</v>
      </c>
      <c r="O936" s="481">
        <f t="shared" ref="O936" si="121">IF(O935=0,0,IF($G$902=$G$905,VLOOKUP(O935,$G$906:$H$909,2),VLOOKUP(O935,$I$906:$J$909,2)))</f>
        <v>0</v>
      </c>
    </row>
    <row r="937" spans="1:15" hidden="1" outlineLevel="1" x14ac:dyDescent="0.2">
      <c r="A937" s="457"/>
    </row>
    <row r="938" spans="1:15" hidden="1" outlineLevel="1" x14ac:dyDescent="0.2">
      <c r="A938" s="457"/>
      <c r="D938" s="457"/>
    </row>
    <row r="939" spans="1:15" hidden="1" outlineLevel="1" x14ac:dyDescent="0.2">
      <c r="A939" s="457"/>
      <c r="C939" s="460" t="s">
        <v>1187</v>
      </c>
      <c r="D939" s="457"/>
    </row>
    <row r="940" spans="1:15" hidden="1" outlineLevel="1" x14ac:dyDescent="0.2">
      <c r="A940" s="457"/>
      <c r="C940" s="460"/>
      <c r="D940" s="457" t="s">
        <v>1194</v>
      </c>
      <c r="G940" s="475">
        <f t="array" ref="G940">SUMPRODUCT(G$763:G$778,IF(G882:G897&gt;0,1,0))</f>
        <v>0</v>
      </c>
      <c r="H940" s="475">
        <f t="array" ref="H940">SUMPRODUCT(H$763:H$778,IF(H882:H897&gt;0,1,0))</f>
        <v>0</v>
      </c>
      <c r="I940" s="475">
        <f t="array" ref="I940">SUMPRODUCT(I$763:I$778,IF(I882:I897&gt;0,1,0))</f>
        <v>0</v>
      </c>
      <c r="J940" s="475">
        <f t="array" ref="J940">SUMPRODUCT(J$763:J$778,IF(J882:J897&gt;0,1,0))</f>
        <v>0</v>
      </c>
      <c r="L940" s="464">
        <f t="array" ref="L940:O942">G940:J942</f>
        <v>0</v>
      </c>
      <c r="M940" s="464">
        <v>0</v>
      </c>
      <c r="N940" s="464">
        <v>0</v>
      </c>
      <c r="O940" s="464">
        <v>0</v>
      </c>
    </row>
    <row r="941" spans="1:15" hidden="1" outlineLevel="1" x14ac:dyDescent="0.2">
      <c r="A941" s="457"/>
      <c r="C941" s="460"/>
      <c r="D941" s="457" t="s">
        <v>1195</v>
      </c>
      <c r="G941" s="527">
        <v>1</v>
      </c>
      <c r="H941" s="527">
        <v>1</v>
      </c>
      <c r="I941" s="527">
        <v>1</v>
      </c>
      <c r="J941" s="527">
        <v>1</v>
      </c>
      <c r="L941" s="464">
        <v>1</v>
      </c>
      <c r="M941" s="464">
        <v>1</v>
      </c>
      <c r="N941" s="464">
        <v>1</v>
      </c>
      <c r="O941" s="464">
        <v>1</v>
      </c>
    </row>
    <row r="942" spans="1:15" hidden="1" outlineLevel="1" x14ac:dyDescent="0.2">
      <c r="A942" s="457"/>
      <c r="C942" s="460"/>
      <c r="D942" s="457" t="s">
        <v>61</v>
      </c>
      <c r="G942" s="476">
        <f t="array" ref="G942:J942">IF(G940:J940=0,0,G940:J940+G941:J941)</f>
        <v>0</v>
      </c>
      <c r="H942" s="476">
        <v>0</v>
      </c>
      <c r="I942" s="476">
        <v>0</v>
      </c>
      <c r="J942" s="476">
        <v>0</v>
      </c>
      <c r="L942" s="464">
        <v>0</v>
      </c>
      <c r="M942" s="464">
        <v>0</v>
      </c>
      <c r="N942" s="464">
        <v>0</v>
      </c>
      <c r="O942" s="464">
        <v>0</v>
      </c>
    </row>
    <row r="943" spans="1:15" hidden="1" outlineLevel="1" x14ac:dyDescent="0.2">
      <c r="A943" s="457"/>
      <c r="D943" s="457"/>
    </row>
    <row r="944" spans="1:15" hidden="1" outlineLevel="1" x14ac:dyDescent="0.2">
      <c r="A944" s="457"/>
      <c r="D944" s="457"/>
    </row>
    <row r="945" spans="1:12" hidden="1" outlineLevel="1" x14ac:dyDescent="0.2">
      <c r="A945" s="457"/>
      <c r="C945" s="460" t="s">
        <v>1198</v>
      </c>
      <c r="D945" s="457"/>
      <c r="G945" s="458" t="s">
        <v>1156</v>
      </c>
      <c r="L945" s="458" t="s">
        <v>1157</v>
      </c>
    </row>
    <row r="946" spans="1:12" hidden="1" outlineLevel="1" x14ac:dyDescent="0.2">
      <c r="A946" s="457"/>
      <c r="D946" s="514">
        <f t="array" ref="D946:D948">RNC.Core.ATM.Ladder</f>
        <v>34.4</v>
      </c>
      <c r="G946" s="518">
        <f>COUNTIF(G$915:J$930,$D946)</f>
        <v>0</v>
      </c>
      <c r="L946" s="518">
        <f>COUNTIF(L$915:O$930,$D946)</f>
        <v>0</v>
      </c>
    </row>
    <row r="947" spans="1:12" hidden="1" outlineLevel="1" x14ac:dyDescent="0.2">
      <c r="A947" s="457"/>
      <c r="D947" s="514">
        <v>155.52000000000001</v>
      </c>
      <c r="G947" s="518">
        <f t="shared" ref="G947:G951" si="122">COUNTIF(G$915:J$930,$D947)</f>
        <v>0</v>
      </c>
      <c r="L947" s="518">
        <f t="shared" ref="L947:L951" si="123">COUNTIF(L$915:O$930,$D947)</f>
        <v>0</v>
      </c>
    </row>
    <row r="948" spans="1:12" hidden="1" outlineLevel="1" x14ac:dyDescent="0.2">
      <c r="A948" s="457"/>
      <c r="D948" s="514">
        <v>622.08000000000004</v>
      </c>
      <c r="G948" s="518">
        <f t="shared" si="122"/>
        <v>0</v>
      </c>
      <c r="L948" s="518">
        <f t="shared" si="123"/>
        <v>0</v>
      </c>
    </row>
    <row r="949" spans="1:12" hidden="1" outlineLevel="1" x14ac:dyDescent="0.2">
      <c r="A949" s="457"/>
      <c r="D949" s="489">
        <f t="array" ref="D949:D951">RNC.Core.Ethernet.Ladder</f>
        <v>100</v>
      </c>
      <c r="G949" s="518">
        <f t="shared" si="122"/>
        <v>0</v>
      </c>
      <c r="L949" s="518">
        <f t="shared" si="123"/>
        <v>0</v>
      </c>
    </row>
    <row r="950" spans="1:12" hidden="1" outlineLevel="1" x14ac:dyDescent="0.2">
      <c r="A950" s="457"/>
      <c r="D950" s="489">
        <v>1024</v>
      </c>
      <c r="G950" s="518">
        <f t="shared" si="122"/>
        <v>0</v>
      </c>
      <c r="L950" s="518">
        <f t="shared" si="123"/>
        <v>0</v>
      </c>
    </row>
    <row r="951" spans="1:12" hidden="1" outlineLevel="1" x14ac:dyDescent="0.2">
      <c r="A951" s="457"/>
      <c r="D951" s="489">
        <v>2488</v>
      </c>
      <c r="G951" s="518">
        <f t="shared" si="122"/>
        <v>0</v>
      </c>
      <c r="L951" s="518">
        <f t="shared" si="123"/>
        <v>0</v>
      </c>
    </row>
    <row r="952" spans="1:12" hidden="1" outlineLevel="1" x14ac:dyDescent="0.2">
      <c r="A952" s="457"/>
      <c r="D952" s="457"/>
      <c r="G952" s="466" t="s">
        <v>320</v>
      </c>
      <c r="J952" s="457"/>
      <c r="L952" s="466" t="s">
        <v>319</v>
      </c>
    </row>
    <row r="953" spans="1:12" hidden="1" outlineLevel="1" x14ac:dyDescent="0.2">
      <c r="A953" s="457"/>
      <c r="D953" s="457"/>
      <c r="G953" s="466"/>
      <c r="J953" s="457"/>
      <c r="L953" s="466"/>
    </row>
    <row r="954" spans="1:12" hidden="1" outlineLevel="1" x14ac:dyDescent="0.2">
      <c r="A954" s="457"/>
      <c r="C954" s="460" t="s">
        <v>1199</v>
      </c>
      <c r="D954" s="457"/>
      <c r="G954" s="458" t="s">
        <v>1156</v>
      </c>
      <c r="L954" s="458" t="s">
        <v>1157</v>
      </c>
    </row>
    <row r="955" spans="1:12" hidden="1" outlineLevel="1" x14ac:dyDescent="0.2">
      <c r="A955" s="457"/>
      <c r="D955" s="514">
        <f t="array" ref="D955:D957">RNC.Core.ATM.Ladder</f>
        <v>34.4</v>
      </c>
      <c r="G955" s="518">
        <f>SUMIF(G$936:J$936,$D955,G$942:J$942)</f>
        <v>0</v>
      </c>
      <c r="L955" s="518">
        <f>SUMIF(L$936:O$936,$D955,L$942:O$942)</f>
        <v>0</v>
      </c>
    </row>
    <row r="956" spans="1:12" hidden="1" outlineLevel="1" x14ac:dyDescent="0.2">
      <c r="A956" s="457"/>
      <c r="D956" s="514">
        <v>155.52000000000001</v>
      </c>
      <c r="G956" s="518">
        <f t="shared" ref="G956:G960" si="124">SUMIF(G$936:J$936,$D956,G$942:J$942)</f>
        <v>0</v>
      </c>
      <c r="L956" s="518">
        <f t="shared" ref="L956:L960" si="125">SUMIF(L$936:O$936,$D956,L$942:O$942)</f>
        <v>0</v>
      </c>
    </row>
    <row r="957" spans="1:12" hidden="1" outlineLevel="1" x14ac:dyDescent="0.2">
      <c r="A957" s="457"/>
      <c r="D957" s="514">
        <v>622.08000000000004</v>
      </c>
      <c r="G957" s="518">
        <f t="shared" si="124"/>
        <v>0</v>
      </c>
      <c r="L957" s="518">
        <f t="shared" si="125"/>
        <v>0</v>
      </c>
    </row>
    <row r="958" spans="1:12" hidden="1" outlineLevel="1" x14ac:dyDescent="0.2">
      <c r="A958" s="457"/>
      <c r="D958" s="489">
        <f t="array" ref="D958:D960">RNC.Core.Ethernet.Ladder</f>
        <v>100</v>
      </c>
      <c r="G958" s="518">
        <f t="shared" si="124"/>
        <v>0</v>
      </c>
      <c r="L958" s="518">
        <f t="shared" si="125"/>
        <v>0</v>
      </c>
    </row>
    <row r="959" spans="1:12" hidden="1" outlineLevel="1" x14ac:dyDescent="0.2">
      <c r="A959" s="457"/>
      <c r="D959" s="489">
        <v>1024</v>
      </c>
      <c r="G959" s="518">
        <f t="shared" si="124"/>
        <v>0</v>
      </c>
      <c r="L959" s="518">
        <f t="shared" si="125"/>
        <v>0</v>
      </c>
    </row>
    <row r="960" spans="1:12" hidden="1" outlineLevel="1" x14ac:dyDescent="0.2">
      <c r="A960" s="457"/>
      <c r="D960" s="489">
        <v>2488</v>
      </c>
      <c r="G960" s="518">
        <f t="shared" si="124"/>
        <v>0</v>
      </c>
      <c r="L960" s="518">
        <f t="shared" si="125"/>
        <v>0</v>
      </c>
    </row>
    <row r="961" spans="1:12" hidden="1" outlineLevel="1" x14ac:dyDescent="0.2">
      <c r="A961" s="457"/>
      <c r="D961" s="457"/>
      <c r="G961" s="466" t="s">
        <v>318</v>
      </c>
      <c r="J961" s="457"/>
      <c r="L961" s="466" t="s">
        <v>317</v>
      </c>
    </row>
    <row r="962" spans="1:12" s="457" customFormat="1" hidden="1" outlineLevel="1" x14ac:dyDescent="0.2"/>
    <row r="963" spans="1:12" s="457" customFormat="1" hidden="1" outlineLevel="1" x14ac:dyDescent="0.2"/>
    <row r="964" spans="1:12" s="457" customFormat="1" ht="15.75" hidden="1" outlineLevel="1" x14ac:dyDescent="0.2">
      <c r="B964" s="459" t="s">
        <v>1200</v>
      </c>
    </row>
    <row r="965" spans="1:12" s="457" customFormat="1" hidden="1" outlineLevel="1" x14ac:dyDescent="0.2"/>
    <row r="966" spans="1:12" hidden="1" outlineLevel="1" x14ac:dyDescent="0.2">
      <c r="C966" s="511" t="s">
        <v>1201</v>
      </c>
      <c r="D966" s="457"/>
      <c r="E966" s="457"/>
      <c r="F966" s="457"/>
      <c r="G966" s="489">
        <f>Network.Core.to.Core.Voice.Mbit.s</f>
        <v>882.97750093173102</v>
      </c>
      <c r="H966" s="457"/>
    </row>
    <row r="967" spans="1:12" hidden="1" outlineLevel="1" x14ac:dyDescent="0.2">
      <c r="C967" s="457"/>
      <c r="D967" s="457"/>
      <c r="E967" s="457"/>
      <c r="F967" s="457"/>
      <c r="G967" s="457"/>
      <c r="H967" s="457"/>
    </row>
    <row r="968" spans="1:12" hidden="1" outlineLevel="1" x14ac:dyDescent="0.2">
      <c r="C968" s="511" t="s">
        <v>1202</v>
      </c>
      <c r="D968" s="457"/>
      <c r="E968" s="457"/>
      <c r="F968" s="457"/>
      <c r="G968" s="489">
        <f>Network.Core.to.Core.Data.Mbit.s</f>
        <v>8273.3972983561089</v>
      </c>
      <c r="H968" s="457"/>
    </row>
    <row r="969" spans="1:12" hidden="1" outlineLevel="1" x14ac:dyDescent="0.2">
      <c r="C969" s="457"/>
      <c r="D969" s="528"/>
      <c r="E969" s="457"/>
      <c r="F969" s="457"/>
      <c r="G969" s="457"/>
      <c r="H969" s="457"/>
    </row>
    <row r="970" spans="1:12" hidden="1" outlineLevel="1" x14ac:dyDescent="0.2">
      <c r="C970" s="511" t="s">
        <v>840</v>
      </c>
      <c r="D970" s="457"/>
      <c r="E970" s="457"/>
      <c r="F970" s="457"/>
      <c r="G970" s="489">
        <f>Network.Core.to.Core.Mbit.s</f>
        <v>8825.2582364384416</v>
      </c>
      <c r="H970" s="457"/>
    </row>
    <row r="971" spans="1:12" hidden="1" outlineLevel="1" x14ac:dyDescent="0.2">
      <c r="C971" s="457"/>
      <c r="D971" s="528"/>
      <c r="E971" s="457"/>
      <c r="F971" s="457"/>
      <c r="G971" s="457"/>
      <c r="H971" s="457"/>
    </row>
    <row r="972" spans="1:12" hidden="1" outlineLevel="1" x14ac:dyDescent="0.2">
      <c r="C972" s="511" t="s">
        <v>1203</v>
      </c>
      <c r="D972" s="457"/>
      <c r="E972" s="457"/>
      <c r="F972" s="457"/>
      <c r="G972" s="457"/>
      <c r="H972" s="457"/>
    </row>
    <row r="973" spans="1:12" hidden="1" outlineLevel="1" x14ac:dyDescent="0.2">
      <c r="C973" s="457"/>
      <c r="D973" s="457" t="s">
        <v>411</v>
      </c>
      <c r="E973" s="457"/>
      <c r="F973" s="457"/>
      <c r="G973" s="509" t="str">
        <f>Core.Core.Voice.Protocol</f>
        <v>Eth</v>
      </c>
      <c r="H973" s="457"/>
    </row>
    <row r="974" spans="1:12" hidden="1" outlineLevel="1" x14ac:dyDescent="0.2">
      <c r="C974" s="457"/>
      <c r="D974" s="457" t="s">
        <v>417</v>
      </c>
      <c r="F974" s="457"/>
      <c r="G974" s="509" t="str">
        <f>Core.Core.Data.Protocol</f>
        <v>Eth</v>
      </c>
      <c r="H974" s="457"/>
    </row>
    <row r="975" spans="1:12" hidden="1" outlineLevel="1" x14ac:dyDescent="0.2">
      <c r="C975" s="457"/>
      <c r="F975" s="457"/>
      <c r="H975" s="457"/>
    </row>
    <row r="976" spans="1:12" hidden="1" outlineLevel="1" x14ac:dyDescent="0.2">
      <c r="C976" s="472" t="s">
        <v>1204</v>
      </c>
      <c r="D976" s="457"/>
      <c r="E976" s="457"/>
      <c r="F976" s="457"/>
      <c r="G976" s="463">
        <f>IF(AND(G973="ATM",G974="ATM"),G970,IF(G973="ATM",G966,IF(G974="ATM",G968,0)))/Utilisation.Core.Core</f>
        <v>0</v>
      </c>
      <c r="H976" s="457"/>
    </row>
    <row r="977" spans="3:10" hidden="1" outlineLevel="1" x14ac:dyDescent="0.2">
      <c r="C977" s="457"/>
      <c r="D977" s="457"/>
      <c r="E977" s="457"/>
      <c r="F977" s="457"/>
      <c r="G977" s="457"/>
      <c r="H977" s="457"/>
    </row>
    <row r="978" spans="3:10" hidden="1" outlineLevel="1" x14ac:dyDescent="0.2">
      <c r="C978" s="472" t="s">
        <v>1205</v>
      </c>
      <c r="D978" s="457"/>
      <c r="E978" s="457"/>
      <c r="F978" s="457"/>
      <c r="G978" s="463">
        <f>IF(AND(G973="Eth",G974="Eth"),G970,IF(G973="Eth",G966,IF(G974="Eth",G968,0)))/Utilisation.Core.Core</f>
        <v>11031.572795548051</v>
      </c>
      <c r="H978" s="457"/>
    </row>
    <row r="979" spans="3:10" hidden="1" outlineLevel="1" x14ac:dyDescent="0.2">
      <c r="C979" s="457"/>
      <c r="D979" s="457"/>
      <c r="E979" s="457"/>
      <c r="F979" s="457"/>
      <c r="G979" s="457"/>
      <c r="H979" s="457"/>
    </row>
    <row r="980" spans="3:10" hidden="1" outlineLevel="1" x14ac:dyDescent="0.2">
      <c r="C980" s="460" t="s">
        <v>1206</v>
      </c>
      <c r="G980" s="509" t="str">
        <f>Core.technology.selected</f>
        <v>Dark fibre</v>
      </c>
      <c r="H980" s="457"/>
    </row>
    <row r="981" spans="3:10" hidden="1" outlineLevel="1" x14ac:dyDescent="0.2">
      <c r="C981" s="457"/>
      <c r="D981" s="457"/>
      <c r="E981" s="457"/>
      <c r="F981" s="457"/>
      <c r="G981" s="457"/>
      <c r="H981" s="457"/>
      <c r="I981" s="457"/>
      <c r="J981" s="457"/>
    </row>
    <row r="982" spans="3:10" hidden="1" outlineLevel="1" x14ac:dyDescent="0.2">
      <c r="C982" s="472" t="s">
        <v>1207</v>
      </c>
      <c r="D982" s="457"/>
      <c r="E982" s="457"/>
      <c r="F982" s="457"/>
      <c r="G982" s="520">
        <f>Main.switching.sites.total</f>
        <v>4</v>
      </c>
      <c r="H982" s="529"/>
      <c r="I982" s="457"/>
      <c r="J982" s="457"/>
    </row>
    <row r="983" spans="3:10" hidden="1" outlineLevel="1" x14ac:dyDescent="0.2">
      <c r="F983" s="457"/>
      <c r="G983" s="466" t="s">
        <v>571</v>
      </c>
    </row>
    <row r="984" spans="3:10" hidden="1" outlineLevel="1" x14ac:dyDescent="0.2">
      <c r="F984" s="457"/>
      <c r="G984" s="466"/>
    </row>
    <row r="985" spans="3:10" hidden="1" outlineLevel="1" x14ac:dyDescent="0.2">
      <c r="C985" s="460" t="s">
        <v>1208</v>
      </c>
      <c r="F985" s="457"/>
      <c r="G985" s="530">
        <v>1</v>
      </c>
    </row>
    <row r="986" spans="3:10" hidden="1" outlineLevel="1" x14ac:dyDescent="0.2">
      <c r="F986" s="457"/>
      <c r="G986" s="466"/>
    </row>
    <row r="987" spans="3:10" hidden="1" outlineLevel="1" x14ac:dyDescent="0.2">
      <c r="C987" s="457"/>
      <c r="D987" s="457"/>
      <c r="E987" s="457"/>
      <c r="F987" s="457"/>
      <c r="G987" s="457"/>
      <c r="H987" s="457"/>
    </row>
    <row r="988" spans="3:10" ht="15.75" hidden="1" outlineLevel="1" x14ac:dyDescent="0.2">
      <c r="C988" s="459" t="s">
        <v>1209</v>
      </c>
      <c r="D988" s="457"/>
      <c r="E988" s="457"/>
      <c r="F988" s="457"/>
      <c r="G988" s="457"/>
      <c r="H988" s="457"/>
    </row>
    <row r="989" spans="3:10" hidden="1" outlineLevel="1" x14ac:dyDescent="0.2">
      <c r="C989" s="457"/>
      <c r="D989" s="457"/>
      <c r="E989" s="457"/>
      <c r="F989" s="457"/>
      <c r="G989" s="457"/>
      <c r="H989" s="457"/>
    </row>
    <row r="990" spans="3:10" ht="24" hidden="1" outlineLevel="1" x14ac:dyDescent="0.2">
      <c r="C990" s="472" t="s">
        <v>1210</v>
      </c>
      <c r="G990" s="458" t="str">
        <f>INDEX(Protocols,1,)</f>
        <v>ATM / SDH / PDH</v>
      </c>
      <c r="I990" s="458" t="str">
        <f>INDEX(Protocols,2,)</f>
        <v>Ethernet</v>
      </c>
    </row>
    <row r="991" spans="3:10" hidden="1" outlineLevel="1" x14ac:dyDescent="0.2">
      <c r="D991" s="457" t="s">
        <v>1211</v>
      </c>
      <c r="G991" s="513">
        <v>0</v>
      </c>
      <c r="H991" s="521">
        <f t="array" ref="H991:H993">G992:G994</f>
        <v>155</v>
      </c>
      <c r="I991" s="513">
        <v>0</v>
      </c>
      <c r="J991" s="521">
        <f t="array" ref="J991:J993">I992:I994</f>
        <v>1000</v>
      </c>
    </row>
    <row r="992" spans="3:10" hidden="1" outlineLevel="1" x14ac:dyDescent="0.2">
      <c r="G992" s="514">
        <f t="array" ref="G992:G994">Core.LL.ATM.Ladder</f>
        <v>155</v>
      </c>
      <c r="H992" s="521">
        <v>622</v>
      </c>
      <c r="I992" s="514">
        <f t="array" ref="I992:I994">Core.LL.Ethernet.Ladder</f>
        <v>1000</v>
      </c>
      <c r="J992" s="521">
        <v>2500</v>
      </c>
    </row>
    <row r="993" spans="3:16" hidden="1" outlineLevel="1" x14ac:dyDescent="0.2">
      <c r="G993" s="514">
        <v>622</v>
      </c>
      <c r="H993" s="521">
        <v>2448</v>
      </c>
      <c r="I993" s="514">
        <v>2500</v>
      </c>
      <c r="J993" s="521">
        <v>10000</v>
      </c>
    </row>
    <row r="994" spans="3:16" hidden="1" outlineLevel="1" x14ac:dyDescent="0.2">
      <c r="G994" s="514">
        <v>2448</v>
      </c>
      <c r="H994" s="515" t="s">
        <v>299</v>
      </c>
      <c r="I994" s="514">
        <v>10000</v>
      </c>
      <c r="J994" s="515" t="s">
        <v>299</v>
      </c>
    </row>
    <row r="995" spans="3:16" hidden="1" outlineLevel="1" x14ac:dyDescent="0.2"/>
    <row r="996" spans="3:16" ht="26.25" hidden="1" customHeight="1" outlineLevel="1" x14ac:dyDescent="0.2">
      <c r="G996" s="458" t="str">
        <f>INDEX(Protocols,1,)</f>
        <v>ATM / SDH / PDH</v>
      </c>
      <c r="I996" s="458" t="str">
        <f>INDEX(Protocols,2,)</f>
        <v>Ethernet</v>
      </c>
      <c r="J996" s="457"/>
      <c r="K996" s="457"/>
      <c r="L996" s="457"/>
      <c r="M996" s="457"/>
      <c r="N996" s="457"/>
      <c r="O996" s="457"/>
      <c r="P996" s="457"/>
    </row>
    <row r="997" spans="3:16" hidden="1" outlineLevel="1" x14ac:dyDescent="0.2">
      <c r="C997" s="460" t="s">
        <v>1212</v>
      </c>
      <c r="G997" s="471">
        <f>IF(G976=0,0,VLOOKUP(G976/(Required.assets.main.switching.sites*Core.LL.per.core.site)*Number.of.core.LL.for.core.core.traffic,$G$991:$H$994,2))</f>
        <v>0</v>
      </c>
      <c r="I997" s="471">
        <f>IF(G978=0,0,VLOOKUP(G978/(Required.assets.main.switching.sites*Core.LL.per.core.site)*Number.of.core.LL.for.core.core.traffic,$I$991:$J$994,2))</f>
        <v>2500</v>
      </c>
      <c r="J997" s="457"/>
      <c r="K997" s="457"/>
      <c r="L997" s="457"/>
      <c r="M997" s="457"/>
      <c r="N997" s="457"/>
      <c r="O997" s="457"/>
      <c r="P997" s="457"/>
    </row>
    <row r="998" spans="3:16" hidden="1" outlineLevel="1" x14ac:dyDescent="0.2">
      <c r="G998" s="457"/>
      <c r="I998" s="457"/>
    </row>
    <row r="999" spans="3:16" hidden="1" outlineLevel="1" x14ac:dyDescent="0.2"/>
    <row r="1000" spans="3:16" hidden="1" outlineLevel="1" x14ac:dyDescent="0.2">
      <c r="C1000" s="460" t="s">
        <v>1213</v>
      </c>
      <c r="G1000" s="458" t="s">
        <v>61</v>
      </c>
    </row>
    <row r="1001" spans="3:16" hidden="1" outlineLevel="1" x14ac:dyDescent="0.2">
      <c r="D1001" s="514">
        <f t="array" ref="D1001:D1003">Core.LL.ATM.Ladder</f>
        <v>155</v>
      </c>
      <c r="G1001" s="520">
        <f t="shared" ref="G1001:G1006" si="126">IF($G$980="Leased lines",COUNTIF(G$997:I$997,D1001),0)*Main.switching.sites.total*Core.LL.per.core.site*Number.of.core.LL.for.core.core.traffic</f>
        <v>0</v>
      </c>
      <c r="H1001" s="457"/>
      <c r="I1001" s="457"/>
    </row>
    <row r="1002" spans="3:16" hidden="1" outlineLevel="1" x14ac:dyDescent="0.2">
      <c r="D1002" s="514">
        <v>622</v>
      </c>
      <c r="G1002" s="520">
        <f t="shared" si="126"/>
        <v>0</v>
      </c>
      <c r="H1002" s="457"/>
      <c r="I1002" s="457"/>
    </row>
    <row r="1003" spans="3:16" hidden="1" outlineLevel="1" x14ac:dyDescent="0.2">
      <c r="D1003" s="514">
        <v>2448</v>
      </c>
      <c r="G1003" s="520">
        <f t="shared" si="126"/>
        <v>0</v>
      </c>
      <c r="H1003" s="457"/>
      <c r="I1003" s="457"/>
    </row>
    <row r="1004" spans="3:16" hidden="1" outlineLevel="1" x14ac:dyDescent="0.2">
      <c r="D1004" s="514">
        <f t="array" ref="D1004:D1006">Core.LL.Ethernet.Ladder</f>
        <v>1000</v>
      </c>
      <c r="G1004" s="520">
        <f t="shared" si="126"/>
        <v>0</v>
      </c>
      <c r="H1004" s="457"/>
      <c r="I1004" s="457"/>
    </row>
    <row r="1005" spans="3:16" hidden="1" outlineLevel="1" x14ac:dyDescent="0.2">
      <c r="D1005" s="514">
        <v>2500</v>
      </c>
      <c r="G1005" s="520">
        <f t="shared" si="126"/>
        <v>0</v>
      </c>
      <c r="H1005" s="457"/>
      <c r="I1005" s="457"/>
    </row>
    <row r="1006" spans="3:16" hidden="1" outlineLevel="1" x14ac:dyDescent="0.2">
      <c r="D1006" s="514">
        <v>10000</v>
      </c>
      <c r="G1006" s="520">
        <f t="shared" si="126"/>
        <v>0</v>
      </c>
      <c r="H1006" s="457"/>
      <c r="I1006" s="457"/>
    </row>
    <row r="1007" spans="3:16" hidden="1" outlineLevel="1" x14ac:dyDescent="0.2">
      <c r="G1007" s="466" t="s">
        <v>316</v>
      </c>
    </row>
    <row r="1008" spans="3:16" hidden="1" outlineLevel="1" x14ac:dyDescent="0.2">
      <c r="C1008" s="457"/>
      <c r="D1008" s="457"/>
      <c r="E1008" s="457"/>
      <c r="F1008" s="457"/>
      <c r="G1008" s="457"/>
      <c r="H1008" s="457"/>
    </row>
    <row r="1009" spans="3:10" ht="15.75" hidden="1" outlineLevel="1" x14ac:dyDescent="0.2">
      <c r="C1009" s="459" t="s">
        <v>1214</v>
      </c>
      <c r="D1009" s="457"/>
      <c r="E1009" s="457"/>
      <c r="F1009" s="457"/>
      <c r="G1009" s="457"/>
      <c r="H1009" s="457"/>
    </row>
    <row r="1010" spans="3:10" hidden="1" outlineLevel="1" x14ac:dyDescent="0.2">
      <c r="C1010" s="457"/>
      <c r="D1010" s="457"/>
      <c r="E1010" s="457"/>
      <c r="F1010" s="457"/>
      <c r="G1010" s="457"/>
      <c r="H1010" s="457"/>
    </row>
    <row r="1011" spans="3:10" ht="24" hidden="1" outlineLevel="1" x14ac:dyDescent="0.2">
      <c r="C1011" s="472" t="s">
        <v>1215</v>
      </c>
      <c r="D1011" s="457"/>
      <c r="E1011" s="457"/>
      <c r="F1011" s="457"/>
      <c r="G1011" s="458" t="str">
        <f>INDEX(Protocols,1,)</f>
        <v>ATM / SDH / PDH</v>
      </c>
      <c r="I1011" s="458" t="str">
        <f>INDEX(Protocols,2,)</f>
        <v>Ethernet</v>
      </c>
    </row>
    <row r="1012" spans="3:10" hidden="1" outlineLevel="1" x14ac:dyDescent="0.2">
      <c r="C1012" s="457"/>
      <c r="D1012" s="457" t="s">
        <v>1211</v>
      </c>
      <c r="E1012" s="457"/>
      <c r="F1012" s="457"/>
      <c r="G1012" s="513">
        <v>0</v>
      </c>
      <c r="H1012" s="521">
        <f t="array" ref="H1012:H1015">G1013:G1016</f>
        <v>155</v>
      </c>
      <c r="I1012" s="513">
        <v>0</v>
      </c>
      <c r="J1012" s="521">
        <f t="array" ref="J1012:J1015">I1013:I1016</f>
        <v>1000</v>
      </c>
    </row>
    <row r="1013" spans="3:10" hidden="1" outlineLevel="1" x14ac:dyDescent="0.2">
      <c r="C1013" s="457"/>
      <c r="D1013" s="457"/>
      <c r="F1013" s="457"/>
      <c r="G1013" s="502">
        <f t="array" ref="G1013:G1016">Core.Core.ATM.Ladder</f>
        <v>155</v>
      </c>
      <c r="H1013" s="521">
        <v>622</v>
      </c>
      <c r="I1013" s="502">
        <f t="array" ref="I1013:I1016">Core.Core.Ethernet.Ladder</f>
        <v>1000</v>
      </c>
      <c r="J1013" s="521">
        <v>2500</v>
      </c>
    </row>
    <row r="1014" spans="3:10" hidden="1" outlineLevel="1" x14ac:dyDescent="0.2">
      <c r="C1014" s="457"/>
      <c r="D1014" s="457"/>
      <c r="E1014" s="457"/>
      <c r="F1014" s="457"/>
      <c r="G1014" s="502">
        <v>622</v>
      </c>
      <c r="H1014" s="521">
        <v>2488</v>
      </c>
      <c r="I1014" s="502">
        <v>2500</v>
      </c>
      <c r="J1014" s="521">
        <v>10000</v>
      </c>
    </row>
    <row r="1015" spans="3:10" hidden="1" outlineLevel="1" x14ac:dyDescent="0.2">
      <c r="C1015" s="457"/>
      <c r="D1015" s="457"/>
      <c r="E1015" s="457"/>
      <c r="F1015" s="457"/>
      <c r="G1015" s="502">
        <v>2488</v>
      </c>
      <c r="H1015" s="521">
        <v>9952</v>
      </c>
      <c r="I1015" s="502">
        <v>10000</v>
      </c>
      <c r="J1015" s="521">
        <v>40000</v>
      </c>
    </row>
    <row r="1016" spans="3:10" hidden="1" outlineLevel="1" x14ac:dyDescent="0.2">
      <c r="C1016" s="457"/>
      <c r="D1016" s="457"/>
      <c r="E1016" s="457"/>
      <c r="F1016" s="457"/>
      <c r="G1016" s="502">
        <v>9952</v>
      </c>
      <c r="H1016" s="515" t="s">
        <v>299</v>
      </c>
      <c r="I1016" s="502">
        <v>40000</v>
      </c>
      <c r="J1016" s="515" t="s">
        <v>299</v>
      </c>
    </row>
    <row r="1017" spans="3:10" hidden="1" outlineLevel="1" x14ac:dyDescent="0.2">
      <c r="C1017" s="457"/>
      <c r="D1017" s="457"/>
      <c r="E1017" s="457"/>
      <c r="F1017" s="457"/>
    </row>
    <row r="1018" spans="3:10" ht="24" hidden="1" outlineLevel="1" x14ac:dyDescent="0.2">
      <c r="C1018" s="457"/>
      <c r="D1018" s="457"/>
      <c r="E1018" s="457"/>
      <c r="F1018" s="457"/>
      <c r="G1018" s="458" t="str">
        <f>INDEX(Protocols,1,)</f>
        <v>ATM / SDH / PDH</v>
      </c>
      <c r="I1018" s="458" t="str">
        <f>INDEX(Protocols,2,)</f>
        <v>Ethernet</v>
      </c>
    </row>
    <row r="1019" spans="3:10" hidden="1" outlineLevel="1" x14ac:dyDescent="0.2">
      <c r="C1019" s="472" t="s">
        <v>1216</v>
      </c>
      <c r="D1019" s="457"/>
      <c r="E1019" s="457"/>
      <c r="F1019" s="457"/>
      <c r="G1019" s="471">
        <f>IF(G976=0,0,VLOOKUP(G976/G985,G1012:H1016,2))</f>
        <v>0</v>
      </c>
      <c r="H1019" s="457"/>
      <c r="I1019" s="471">
        <f>IF(G978=0,0,VLOOKUP(G978/G985,I1012:J1016,2))</f>
        <v>40000</v>
      </c>
    </row>
    <row r="1020" spans="3:10" hidden="1" outlineLevel="1" x14ac:dyDescent="0.2">
      <c r="C1020" s="457"/>
      <c r="D1020" s="457"/>
      <c r="E1020" s="457"/>
      <c r="F1020" s="457"/>
      <c r="H1020" s="457"/>
      <c r="I1020" s="457"/>
    </row>
    <row r="1021" spans="3:10" hidden="1" outlineLevel="1" x14ac:dyDescent="0.2">
      <c r="C1021" s="472" t="s">
        <v>1217</v>
      </c>
      <c r="D1021" s="457"/>
      <c r="E1021" s="509">
        <f t="array" ref="E1021:E1024">Core.Core.ATM.Ladder</f>
        <v>155</v>
      </c>
      <c r="F1021" s="457"/>
      <c r="G1021" s="520">
        <f t="array" ref="G1021:G1028">IF($G$980="Leased lines",0,IF(E1021:E1028=G1019,Main.switching.sites.total,0)+IF(E1021:E1028=I1019,Main.switching.sites.total,0))</f>
        <v>0</v>
      </c>
      <c r="H1021" s="457"/>
    </row>
    <row r="1022" spans="3:10" hidden="1" outlineLevel="1" x14ac:dyDescent="0.2">
      <c r="C1022" s="457"/>
      <c r="D1022" s="457"/>
      <c r="E1022" s="509">
        <v>622</v>
      </c>
      <c r="F1022" s="457"/>
      <c r="G1022" s="520">
        <v>0</v>
      </c>
      <c r="H1022" s="457"/>
    </row>
    <row r="1023" spans="3:10" hidden="1" outlineLevel="1" x14ac:dyDescent="0.2">
      <c r="C1023" s="457"/>
      <c r="D1023" s="457"/>
      <c r="E1023" s="509">
        <v>2488</v>
      </c>
      <c r="F1023" s="457"/>
      <c r="G1023" s="520">
        <v>0</v>
      </c>
      <c r="H1023" s="457"/>
    </row>
    <row r="1024" spans="3:10" hidden="1" outlineLevel="1" x14ac:dyDescent="0.2">
      <c r="C1024" s="457"/>
      <c r="D1024" s="457"/>
      <c r="E1024" s="509">
        <v>9952</v>
      </c>
      <c r="F1024" s="457"/>
      <c r="G1024" s="520">
        <v>0</v>
      </c>
      <c r="H1024" s="457"/>
    </row>
    <row r="1025" spans="2:8" hidden="1" outlineLevel="1" x14ac:dyDescent="0.2">
      <c r="C1025" s="457"/>
      <c r="D1025" s="457"/>
      <c r="E1025" s="509">
        <f t="array" ref="E1025:E1028">Core.Core.Ethernet.Ladder</f>
        <v>1000</v>
      </c>
      <c r="F1025" s="457"/>
      <c r="G1025" s="520">
        <v>0</v>
      </c>
      <c r="H1025" s="457"/>
    </row>
    <row r="1026" spans="2:8" hidden="1" outlineLevel="1" x14ac:dyDescent="0.2">
      <c r="C1026" s="457"/>
      <c r="D1026" s="457"/>
      <c r="E1026" s="509">
        <v>2500</v>
      </c>
      <c r="F1026" s="457"/>
      <c r="G1026" s="520">
        <v>0</v>
      </c>
      <c r="H1026" s="457"/>
    </row>
    <row r="1027" spans="2:8" hidden="1" outlineLevel="1" x14ac:dyDescent="0.2">
      <c r="C1027" s="457"/>
      <c r="D1027" s="457"/>
      <c r="E1027" s="509">
        <v>10000</v>
      </c>
      <c r="F1027" s="457"/>
      <c r="G1027" s="520">
        <v>0</v>
      </c>
      <c r="H1027" s="457"/>
    </row>
    <row r="1028" spans="2:8" hidden="1" outlineLevel="1" x14ac:dyDescent="0.2">
      <c r="C1028" s="457"/>
      <c r="D1028" s="457"/>
      <c r="E1028" s="509">
        <v>40000</v>
      </c>
      <c r="F1028" s="457"/>
      <c r="G1028" s="520">
        <v>4</v>
      </c>
      <c r="H1028" s="457"/>
    </row>
    <row r="1029" spans="2:8" hidden="1" outlineLevel="1" x14ac:dyDescent="0.2">
      <c r="C1029" s="457"/>
      <c r="D1029" s="457"/>
      <c r="E1029" s="457"/>
      <c r="G1029" s="466" t="s">
        <v>315</v>
      </c>
      <c r="H1029" s="529"/>
    </row>
    <row r="1030" spans="2:8" hidden="1" outlineLevel="1" x14ac:dyDescent="0.2">
      <c r="C1030" s="457"/>
      <c r="D1030" s="457"/>
      <c r="E1030" s="457"/>
      <c r="F1030" s="486">
        <f>G1030</f>
        <v>0</v>
      </c>
      <c r="G1030" s="531">
        <f>IF($G$980="Leased lines",0,IF(AND(G1019+I1019=0,SUM(G1021:G1028)=0),0,IF(OR(G1019=0,I1019=0),IF(ABS(SUM(G1021:G1028)-Main.switching.sites.total)&gt;epsilon, 1,0),(IF(G973=G974,IF(ABS(SUM(G1021:G1028)-Main.switching.sites.total)&gt;epsilon, 1,0),IF(ABS(SUM(G1021:G1028)-2*Main.switching.sites.total)&gt;epsilon,1,0))))))</f>
        <v>0</v>
      </c>
      <c r="H1030" s="529"/>
    </row>
    <row r="1031" spans="2:8" hidden="1" outlineLevel="1" x14ac:dyDescent="0.2">
      <c r="F1031" s="457"/>
      <c r="G1031" s="466"/>
    </row>
    <row r="1032" spans="2:8" ht="15.75" hidden="1" outlineLevel="1" x14ac:dyDescent="0.2">
      <c r="B1032" s="459" t="s">
        <v>1218</v>
      </c>
      <c r="F1032" s="457"/>
      <c r="G1032" s="466"/>
    </row>
    <row r="1033" spans="2:8" hidden="1" outlineLevel="1" x14ac:dyDescent="0.2">
      <c r="F1033" s="457"/>
      <c r="G1033" s="466"/>
    </row>
    <row r="1034" spans="2:8" hidden="1" outlineLevel="1" x14ac:dyDescent="0.2">
      <c r="C1034" s="460" t="s">
        <v>1219</v>
      </c>
      <c r="F1034" s="457"/>
    </row>
    <row r="1035" spans="2:8" hidden="1" outlineLevel="1" x14ac:dyDescent="0.2">
      <c r="D1035" s="509" t="str">
        <f t="array" ref="D1035:D1037">TRANSPOSE($G$762:$I$762)</f>
        <v>Anillo Norte</v>
      </c>
      <c r="F1035" s="457"/>
      <c r="G1035" s="475">
        <f t="array" ref="G1035:G1037">IF(TRANSPOSE($G779:$I779)&gt;0,Core.Core.fibre.distance,0)</f>
        <v>3714</v>
      </c>
    </row>
    <row r="1036" spans="2:8" hidden="1" outlineLevel="1" x14ac:dyDescent="0.2">
      <c r="D1036" s="509" t="str">
        <v>Anillo Sur</v>
      </c>
      <c r="F1036" s="457"/>
      <c r="G1036" s="475">
        <v>4192</v>
      </c>
    </row>
    <row r="1037" spans="2:8" hidden="1" outlineLevel="1" x14ac:dyDescent="0.2">
      <c r="D1037" s="509" t="str">
        <v>Medio-anillo Este</v>
      </c>
      <c r="F1037" s="457"/>
      <c r="G1037" s="475">
        <v>1970</v>
      </c>
    </row>
    <row r="1038" spans="2:8" hidden="1" outlineLevel="1" x14ac:dyDescent="0.2">
      <c r="F1038" s="457"/>
      <c r="G1038" s="520">
        <f>SUM(G1035:G1037)</f>
        <v>9876</v>
      </c>
    </row>
    <row r="1039" spans="2:8" hidden="1" outlineLevel="1" x14ac:dyDescent="0.2">
      <c r="G1039" s="466" t="s">
        <v>314</v>
      </c>
    </row>
    <row r="1040" spans="2:8" hidden="1" outlineLevel="1" x14ac:dyDescent="0.2"/>
    <row r="1041" spans="1:48" hidden="1" outlineLevel="1" x14ac:dyDescent="0.2">
      <c r="C1041" s="460" t="s">
        <v>1220</v>
      </c>
      <c r="D1041" s="509" t="str">
        <f>$J$762</f>
        <v>MW</v>
      </c>
      <c r="F1041" s="457"/>
      <c r="G1041" s="475">
        <f>IF($J786&gt;0,Core.Core.MW.distance,0)</f>
        <v>397</v>
      </c>
    </row>
    <row r="1042" spans="1:48" hidden="1" outlineLevel="1" x14ac:dyDescent="0.2"/>
    <row r="1043" spans="1:48" hidden="1" outlineLevel="1" x14ac:dyDescent="0.2">
      <c r="C1043" s="460" t="s">
        <v>1221</v>
      </c>
      <c r="G1043" s="532">
        <f>ROUNDUP(G1041/MW.maximum.hop.distance,0)</f>
        <v>8</v>
      </c>
    </row>
    <row r="1044" spans="1:48" hidden="1" outlineLevel="1" x14ac:dyDescent="0.2">
      <c r="G1044" s="466" t="s">
        <v>573</v>
      </c>
    </row>
    <row r="1045" spans="1:48" collapsed="1" x14ac:dyDescent="0.2"/>
    <row r="1047" spans="1:48" s="457" customFormat="1" ht="15.75" x14ac:dyDescent="0.2">
      <c r="A1047" s="456" t="s">
        <v>1313</v>
      </c>
      <c r="B1047" s="456"/>
      <c r="C1047" s="456"/>
      <c r="D1047" s="456"/>
      <c r="E1047" s="456"/>
      <c r="F1047" s="456"/>
      <c r="G1047" s="456"/>
      <c r="H1047" s="456"/>
      <c r="I1047" s="456"/>
      <c r="J1047" s="456"/>
      <c r="K1047" s="456"/>
      <c r="L1047" s="456"/>
      <c r="M1047" s="456"/>
      <c r="N1047" s="456"/>
      <c r="O1047" s="456"/>
      <c r="P1047" s="456"/>
      <c r="Q1047" s="456"/>
      <c r="R1047" s="456"/>
      <c r="S1047" s="456"/>
      <c r="T1047" s="456"/>
      <c r="U1047" s="456"/>
      <c r="V1047" s="456"/>
      <c r="W1047" s="456"/>
      <c r="X1047" s="456"/>
      <c r="Y1047" s="456"/>
      <c r="Z1047" s="456"/>
      <c r="AA1047" s="456"/>
      <c r="AB1047" s="456"/>
      <c r="AC1047" s="456"/>
      <c r="AD1047" s="456"/>
      <c r="AE1047" s="456"/>
      <c r="AF1047" s="456"/>
      <c r="AG1047" s="456"/>
      <c r="AH1047" s="456"/>
      <c r="AI1047" s="456"/>
      <c r="AJ1047" s="456"/>
      <c r="AK1047" s="456"/>
      <c r="AL1047" s="456"/>
      <c r="AM1047" s="456"/>
      <c r="AN1047" s="456"/>
      <c r="AO1047" s="456"/>
      <c r="AP1047" s="456"/>
      <c r="AQ1047" s="456"/>
      <c r="AR1047" s="456"/>
      <c r="AS1047" s="456"/>
      <c r="AT1047" s="456"/>
      <c r="AU1047" s="456"/>
      <c r="AV1047" s="456"/>
    </row>
    <row r="1048" spans="1:48" x14ac:dyDescent="0.2">
      <c r="F1048" s="457"/>
    </row>
    <row r="1049" spans="1:48" hidden="1" outlineLevel="1" x14ac:dyDescent="0.2">
      <c r="C1049" s="472" t="s">
        <v>1223</v>
      </c>
    </row>
    <row r="1050" spans="1:48" hidden="1" outlineLevel="1" x14ac:dyDescent="0.2">
      <c r="G1050" s="458" t="s">
        <v>1227</v>
      </c>
    </row>
    <row r="1051" spans="1:48" hidden="1" outlineLevel="1" x14ac:dyDescent="0.2">
      <c r="D1051" s="512" t="str">
        <f t="array" ref="D1051:D1083">Servers.List</f>
        <v>Asset spare</v>
      </c>
      <c r="E1051" s="512" t="str">
        <f t="array" ref="E1051:E1083">Servers.Units</f>
        <v>Spare</v>
      </c>
      <c r="G1051" s="480">
        <f t="array" ref="G1051:G1083">Network.Load.Servers</f>
        <v>0</v>
      </c>
      <c r="H1051" s="457"/>
    </row>
    <row r="1052" spans="1:48" hidden="1" outlineLevel="2" x14ac:dyDescent="0.2">
      <c r="D1052" s="512" t="str">
        <v>MSS</v>
      </c>
      <c r="E1052" s="512" t="str">
        <v>BHCA</v>
      </c>
      <c r="G1052" s="480">
        <v>6531331.5153455799</v>
      </c>
    </row>
    <row r="1053" spans="1:48" hidden="1" outlineLevel="2" x14ac:dyDescent="0.2">
      <c r="D1053" s="512" t="str">
        <v>MGW</v>
      </c>
      <c r="E1053" s="512" t="str">
        <v>BHE</v>
      </c>
      <c r="G1053" s="480">
        <v>119506.26908669324</v>
      </c>
    </row>
    <row r="1054" spans="1:48" hidden="1" outlineLevel="2" x14ac:dyDescent="0.2">
      <c r="D1054" s="512" t="str">
        <v>SGSN</v>
      </c>
      <c r="E1054" s="512" t="str">
        <v>SAU</v>
      </c>
      <c r="G1054" s="480">
        <v>2268666.6666666665</v>
      </c>
    </row>
    <row r="1055" spans="1:48" hidden="1" outlineLevel="2" x14ac:dyDescent="0.2">
      <c r="D1055" s="512" t="str">
        <v>GGSN</v>
      </c>
      <c r="E1055" s="512" t="str">
        <v>PDP</v>
      </c>
      <c r="G1055" s="480">
        <v>1417916.6666666665</v>
      </c>
    </row>
    <row r="1056" spans="1:48" hidden="1" outlineLevel="2" x14ac:dyDescent="0.2">
      <c r="D1056" s="512" t="str">
        <v>LTE MME</v>
      </c>
      <c r="E1056" s="512" t="str">
        <v>Mbit/s</v>
      </c>
      <c r="G1056" s="480">
        <v>16981.957251276173</v>
      </c>
    </row>
    <row r="1057" spans="4:7" hidden="1" outlineLevel="2" x14ac:dyDescent="0.2">
      <c r="D1057" s="512" t="str">
        <v>LTE SGW</v>
      </c>
      <c r="E1057" s="512" t="str">
        <v>Mbit/s</v>
      </c>
      <c r="G1057" s="480">
        <v>16981.957251276173</v>
      </c>
    </row>
    <row r="1058" spans="4:7" hidden="1" outlineLevel="2" x14ac:dyDescent="0.2">
      <c r="D1058" s="512" t="str">
        <v>HLR</v>
      </c>
      <c r="E1058" s="512" t="str">
        <v>Subs</v>
      </c>
      <c r="G1058" s="480">
        <v>11487705.999999996</v>
      </c>
    </row>
    <row r="1059" spans="4:7" hidden="1" outlineLevel="2" x14ac:dyDescent="0.2">
      <c r="D1059" s="512" t="str">
        <v>AUC</v>
      </c>
      <c r="E1059" s="512" t="str">
        <v>Subs</v>
      </c>
      <c r="G1059" s="480">
        <v>11487705.999999996</v>
      </c>
    </row>
    <row r="1060" spans="4:7" hidden="1" outlineLevel="2" x14ac:dyDescent="0.2">
      <c r="D1060" s="512" t="str">
        <v>EIR</v>
      </c>
      <c r="E1060" s="512" t="str">
        <v>Subs</v>
      </c>
      <c r="G1060" s="480">
        <v>11487705.999999996</v>
      </c>
    </row>
    <row r="1061" spans="4:7" hidden="1" outlineLevel="2" x14ac:dyDescent="0.2">
      <c r="D1061" s="512" t="str">
        <v>IN (SCP+SMP)</v>
      </c>
      <c r="E1061" s="512" t="str">
        <v>Subs</v>
      </c>
      <c r="G1061" s="480">
        <v>11487705.999999996</v>
      </c>
    </row>
    <row r="1062" spans="4:7" hidden="1" outlineLevel="2" x14ac:dyDescent="0.2">
      <c r="D1062" s="512" t="str">
        <v>Asset spare</v>
      </c>
      <c r="E1062" s="512" t="str">
        <v>Spare</v>
      </c>
      <c r="G1062" s="480">
        <v>0</v>
      </c>
    </row>
    <row r="1063" spans="4:7" hidden="1" outlineLevel="2" x14ac:dyDescent="0.2">
      <c r="D1063" s="512" t="str">
        <v>Asset spare</v>
      </c>
      <c r="E1063" s="512" t="str">
        <v>Spare</v>
      </c>
      <c r="G1063" s="480">
        <v>0</v>
      </c>
    </row>
    <row r="1064" spans="4:7" hidden="1" outlineLevel="2" x14ac:dyDescent="0.2">
      <c r="D1064" s="512" t="str">
        <v>SMSC</v>
      </c>
      <c r="E1064" s="512" t="str">
        <v>SMS/s</v>
      </c>
      <c r="G1064" s="480">
        <v>276.03729088660577</v>
      </c>
    </row>
    <row r="1065" spans="4:7" hidden="1" outlineLevel="2" x14ac:dyDescent="0.2">
      <c r="D1065" s="512" t="str">
        <v>MMSC</v>
      </c>
      <c r="E1065" s="512" t="str">
        <v>1 unit</v>
      </c>
      <c r="G1065" s="480">
        <v>1</v>
      </c>
    </row>
    <row r="1066" spans="4:7" hidden="1" outlineLevel="2" x14ac:dyDescent="0.2">
      <c r="D1066" s="512" t="str">
        <v>Asset spare</v>
      </c>
      <c r="E1066" s="512" t="str">
        <v>Spare</v>
      </c>
      <c r="G1066" s="480">
        <v>0</v>
      </c>
    </row>
    <row r="1067" spans="4:7" hidden="1" outlineLevel="2" x14ac:dyDescent="0.2">
      <c r="D1067" s="512" t="str">
        <v>MSC/MGW STM1 ports for voice traffic</v>
      </c>
      <c r="E1067" s="512" t="str">
        <v>Circuits</v>
      </c>
      <c r="G1067" s="480">
        <v>119506.26908669324</v>
      </c>
    </row>
    <row r="1068" spans="4:7" hidden="1" outlineLevel="2" x14ac:dyDescent="0.2">
      <c r="D1068" s="512" t="str">
        <v>PoI STM1 Gateway</v>
      </c>
      <c r="E1068" s="512" t="str">
        <v>BHE</v>
      </c>
      <c r="G1068" s="480">
        <v>65732.435357430935</v>
      </c>
    </row>
    <row r="1069" spans="4:7" hidden="1" outlineLevel="2" x14ac:dyDescent="0.2">
      <c r="D1069" s="512" t="str">
        <v>I-SBC</v>
      </c>
      <c r="E1069" s="512" t="str">
        <v>Mbit/s</v>
      </c>
      <c r="G1069" s="480">
        <v>0</v>
      </c>
    </row>
    <row r="1070" spans="4:7" hidden="1" outlineLevel="2" x14ac:dyDescent="0.2">
      <c r="D1070" s="512" t="str">
        <v>Asset spare</v>
      </c>
      <c r="E1070" s="512" t="str">
        <v>Spare</v>
      </c>
      <c r="G1070" s="480">
        <v>0</v>
      </c>
    </row>
    <row r="1071" spans="4:7" hidden="1" outlineLevel="2" x14ac:dyDescent="0.2">
      <c r="D1071" s="512" t="str">
        <v>MSS software</v>
      </c>
      <c r="E1071" s="512" t="str">
        <v>BHCA</v>
      </c>
      <c r="G1071" s="480">
        <v>6531331.5153455799</v>
      </c>
    </row>
    <row r="1072" spans="4:7" hidden="1" outlineLevel="2" x14ac:dyDescent="0.2">
      <c r="D1072" s="512" t="str">
        <v>SGSN software</v>
      </c>
      <c r="E1072" s="512" t="str">
        <v>SAU</v>
      </c>
      <c r="G1072" s="480">
        <v>2268666.6666666665</v>
      </c>
    </row>
    <row r="1073" spans="3:10" hidden="1" outlineLevel="2" x14ac:dyDescent="0.2">
      <c r="D1073" s="512" t="str">
        <v>GGSN software</v>
      </c>
      <c r="E1073" s="512" t="str">
        <v>PDP</v>
      </c>
      <c r="G1073" s="480">
        <v>1417916.6666666665</v>
      </c>
    </row>
    <row r="1074" spans="3:10" hidden="1" outlineLevel="2" x14ac:dyDescent="0.2">
      <c r="D1074" s="512" t="str">
        <v>MME software</v>
      </c>
      <c r="E1074" s="512" t="str">
        <v>Mbit/s</v>
      </c>
      <c r="G1074" s="480">
        <v>16981.957251276173</v>
      </c>
    </row>
    <row r="1075" spans="3:10" hidden="1" outlineLevel="2" x14ac:dyDescent="0.2">
      <c r="D1075" s="512" t="str">
        <v>SGW software</v>
      </c>
      <c r="E1075" s="512" t="str">
        <v>Mbit/s</v>
      </c>
      <c r="G1075" s="480">
        <v>16981.957251276173</v>
      </c>
    </row>
    <row r="1076" spans="3:10" hidden="1" outlineLevel="2" x14ac:dyDescent="0.2">
      <c r="D1076" s="512" t="str">
        <v>HLR software</v>
      </c>
      <c r="E1076" s="512" t="str">
        <v>Subs</v>
      </c>
      <c r="G1076" s="480">
        <v>11487705.999999996</v>
      </c>
    </row>
    <row r="1077" spans="3:10" hidden="1" outlineLevel="2" x14ac:dyDescent="0.2">
      <c r="D1077" s="512" t="str">
        <v>Call server – hardware</v>
      </c>
      <c r="E1077" s="512" t="str">
        <v>BHCA</v>
      </c>
      <c r="G1077" s="480">
        <v>0</v>
      </c>
    </row>
    <row r="1078" spans="3:10" hidden="1" outlineLevel="2" x14ac:dyDescent="0.2">
      <c r="D1078" s="512" t="str">
        <v>Call server – software</v>
      </c>
      <c r="E1078" s="512" t="str">
        <v>BHCA</v>
      </c>
      <c r="G1078" s="480">
        <v>0</v>
      </c>
    </row>
    <row r="1079" spans="3:10" hidden="1" outlineLevel="2" x14ac:dyDescent="0.2">
      <c r="D1079" s="512" t="str">
        <v>Telephony Application Server (TAS)</v>
      </c>
      <c r="E1079" s="512" t="str">
        <v>BHCA</v>
      </c>
      <c r="G1079" s="480">
        <v>0</v>
      </c>
    </row>
    <row r="1080" spans="3:10" hidden="1" outlineLevel="2" x14ac:dyDescent="0.2">
      <c r="D1080" s="512" t="str">
        <v>Session border controller (SBC) – hardware</v>
      </c>
      <c r="E1080" s="512" t="str">
        <v>BH voice Mbit/s</v>
      </c>
      <c r="G1080" s="480">
        <v>0</v>
      </c>
    </row>
    <row r="1081" spans="3:10" hidden="1" outlineLevel="2" x14ac:dyDescent="0.2">
      <c r="D1081" s="512" t="str">
        <v>Session border controller (SBC) – software</v>
      </c>
      <c r="E1081" s="512" t="str">
        <v>BH voice Mbit/s</v>
      </c>
      <c r="G1081" s="480">
        <v>0</v>
      </c>
    </row>
    <row r="1082" spans="3:10" hidden="1" outlineLevel="2" x14ac:dyDescent="0.2">
      <c r="D1082" s="512" t="str">
        <v>PCC</v>
      </c>
      <c r="E1082" s="512" t="str">
        <v>BHCA</v>
      </c>
      <c r="G1082" s="480">
        <v>0</v>
      </c>
    </row>
    <row r="1083" spans="3:10" hidden="1" outlineLevel="1" x14ac:dyDescent="0.2">
      <c r="D1083" s="512" t="str">
        <v>MGCF</v>
      </c>
      <c r="E1083" s="512" t="str">
        <v>BHCA</v>
      </c>
      <c r="G1083" s="480">
        <v>0</v>
      </c>
    </row>
    <row r="1084" spans="3:10" hidden="1" outlineLevel="1" x14ac:dyDescent="0.2">
      <c r="D1084" s="457"/>
      <c r="E1084" s="457"/>
      <c r="F1084" s="457"/>
      <c r="G1084" s="457"/>
    </row>
    <row r="1085" spans="3:10" hidden="1" outlineLevel="1" x14ac:dyDescent="0.2">
      <c r="D1085" s="457"/>
      <c r="E1085" s="457"/>
      <c r="F1085" s="457"/>
      <c r="G1085" s="457"/>
    </row>
    <row r="1086" spans="3:10" ht="36" hidden="1" outlineLevel="1" x14ac:dyDescent="0.2">
      <c r="C1086" s="460" t="s">
        <v>1222</v>
      </c>
      <c r="G1086" s="458" t="s">
        <v>1075</v>
      </c>
      <c r="H1086" s="458" t="s">
        <v>1224</v>
      </c>
      <c r="I1086" s="458" t="s">
        <v>1225</v>
      </c>
      <c r="J1086" s="458" t="s">
        <v>1077</v>
      </c>
    </row>
    <row r="1087" spans="3:10" hidden="1" outlineLevel="1" x14ac:dyDescent="0.2">
      <c r="D1087" s="512" t="str">
        <f t="array" ref="D1087:D1119">Servers.List</f>
        <v>Asset spare</v>
      </c>
      <c r="E1087" s="512" t="str">
        <f t="array" ref="E1087:E1119">Servers.Units</f>
        <v>Spare</v>
      </c>
      <c r="G1087" s="465">
        <f t="array" ref="G1087:G1119">Servers.Capacities</f>
        <v>0</v>
      </c>
      <c r="H1087" s="533">
        <f>Utilisation.Switches</f>
        <v>0.8</v>
      </c>
      <c r="I1087" s="465">
        <f t="array" ref="I1087:I1119">Servers.Minimums</f>
        <v>0</v>
      </c>
      <c r="J1087" s="465">
        <f t="array" ref="J1087:J1119">Servers.Redundancy</f>
        <v>0</v>
      </c>
    </row>
    <row r="1088" spans="3:10" hidden="1" outlineLevel="2" x14ac:dyDescent="0.2">
      <c r="D1088" s="512" t="str">
        <v>MSS</v>
      </c>
      <c r="E1088" s="512" t="str">
        <v>BHCA</v>
      </c>
      <c r="G1088" s="465">
        <v>1600000</v>
      </c>
      <c r="H1088" s="533">
        <f>Utilisation.Switches</f>
        <v>0.8</v>
      </c>
      <c r="I1088" s="465">
        <v>2</v>
      </c>
      <c r="J1088" s="465">
        <v>1</v>
      </c>
    </row>
    <row r="1089" spans="4:10" hidden="1" outlineLevel="2" x14ac:dyDescent="0.2">
      <c r="D1089" s="512" t="str">
        <v>MGW</v>
      </c>
      <c r="E1089" s="512" t="str">
        <v>BHE</v>
      </c>
      <c r="G1089" s="465">
        <v>30000</v>
      </c>
      <c r="H1089" s="533">
        <f>Utilisation.Switches</f>
        <v>0.8</v>
      </c>
      <c r="I1089" s="465">
        <v>2</v>
      </c>
      <c r="J1089" s="465">
        <v>2</v>
      </c>
    </row>
    <row r="1090" spans="4:10" hidden="1" outlineLevel="2" x14ac:dyDescent="0.2">
      <c r="D1090" s="512" t="str">
        <v>SGSN</v>
      </c>
      <c r="E1090" s="512" t="str">
        <v>SAU</v>
      </c>
      <c r="G1090" s="465">
        <v>1300000</v>
      </c>
      <c r="H1090" s="534">
        <f>Utilisation.Servers</f>
        <v>0.8</v>
      </c>
      <c r="I1090" s="465">
        <v>2</v>
      </c>
      <c r="J1090" s="465">
        <v>1</v>
      </c>
    </row>
    <row r="1091" spans="4:10" hidden="1" outlineLevel="2" x14ac:dyDescent="0.2">
      <c r="D1091" s="512" t="str">
        <v>GGSN</v>
      </c>
      <c r="E1091" s="512" t="str">
        <v>PDP</v>
      </c>
      <c r="G1091" s="465">
        <v>1000000</v>
      </c>
      <c r="H1091" s="534">
        <f>Utilisation.Servers</f>
        <v>0.8</v>
      </c>
      <c r="I1091" s="465">
        <v>2</v>
      </c>
      <c r="J1091" s="465">
        <v>1</v>
      </c>
    </row>
    <row r="1092" spans="4:10" hidden="1" outlineLevel="2" x14ac:dyDescent="0.2">
      <c r="D1092" s="512" t="str">
        <v>LTE MME</v>
      </c>
      <c r="E1092" s="512" t="str">
        <v>Mbit/s</v>
      </c>
      <c r="G1092" s="465">
        <v>25000</v>
      </c>
      <c r="H1092" s="533">
        <f>Utilisation.Switches</f>
        <v>0.8</v>
      </c>
      <c r="I1092" s="465">
        <v>2</v>
      </c>
      <c r="J1092" s="465">
        <v>1</v>
      </c>
    </row>
    <row r="1093" spans="4:10" hidden="1" outlineLevel="2" x14ac:dyDescent="0.2">
      <c r="D1093" s="512" t="str">
        <v>LTE SGW</v>
      </c>
      <c r="E1093" s="512" t="str">
        <v>Mbit/s</v>
      </c>
      <c r="G1093" s="465">
        <v>20000</v>
      </c>
      <c r="H1093" s="533">
        <f>Utilisation.Switches</f>
        <v>0.8</v>
      </c>
      <c r="I1093" s="465">
        <v>2</v>
      </c>
      <c r="J1093" s="465">
        <v>1</v>
      </c>
    </row>
    <row r="1094" spans="4:10" hidden="1" outlineLevel="2" x14ac:dyDescent="0.2">
      <c r="D1094" s="512" t="str">
        <v>HLR</v>
      </c>
      <c r="E1094" s="512" t="str">
        <v>Subs</v>
      </c>
      <c r="G1094" s="465">
        <v>4000000</v>
      </c>
      <c r="H1094" s="533">
        <f>Utilisation.Switches</f>
        <v>0.8</v>
      </c>
      <c r="I1094" s="465">
        <v>2</v>
      </c>
      <c r="J1094" s="465">
        <v>1</v>
      </c>
    </row>
    <row r="1095" spans="4:10" hidden="1" outlineLevel="2" x14ac:dyDescent="0.2">
      <c r="D1095" s="512" t="str">
        <v>AUC</v>
      </c>
      <c r="E1095" s="512" t="str">
        <v>Subs</v>
      </c>
      <c r="G1095" s="465">
        <v>1700000</v>
      </c>
      <c r="H1095" s="533">
        <f>Utilisation.Switches</f>
        <v>0.8</v>
      </c>
      <c r="I1095" s="465">
        <v>2</v>
      </c>
      <c r="J1095" s="465">
        <v>1</v>
      </c>
    </row>
    <row r="1096" spans="4:10" hidden="1" outlineLevel="2" x14ac:dyDescent="0.2">
      <c r="D1096" s="512" t="str">
        <v>EIR</v>
      </c>
      <c r="E1096" s="512" t="str">
        <v>Subs</v>
      </c>
      <c r="G1096" s="465">
        <v>4500000</v>
      </c>
      <c r="H1096" s="533">
        <f>Utilisation.Switches</f>
        <v>0.8</v>
      </c>
      <c r="I1096" s="465">
        <v>1</v>
      </c>
      <c r="J1096" s="465">
        <v>1</v>
      </c>
    </row>
    <row r="1097" spans="4:10" hidden="1" outlineLevel="2" x14ac:dyDescent="0.2">
      <c r="D1097" s="512" t="str">
        <v>IN (SCP+SMP)</v>
      </c>
      <c r="E1097" s="512" t="str">
        <v>Subs</v>
      </c>
      <c r="G1097" s="465">
        <v>5000000</v>
      </c>
      <c r="H1097" s="534">
        <f>Utilisation.Servers</f>
        <v>0.8</v>
      </c>
      <c r="I1097" s="465">
        <v>1</v>
      </c>
      <c r="J1097" s="465">
        <v>1</v>
      </c>
    </row>
    <row r="1098" spans="4:10" hidden="1" outlineLevel="2" x14ac:dyDescent="0.2">
      <c r="D1098" s="512" t="str">
        <v>Asset spare</v>
      </c>
      <c r="E1098" s="512" t="str">
        <v>Spare</v>
      </c>
      <c r="G1098" s="465">
        <v>0</v>
      </c>
      <c r="H1098" s="535">
        <f t="shared" ref="H1098:H1099" si="127">Utilisation.software</f>
        <v>1</v>
      </c>
      <c r="I1098" s="465">
        <v>0</v>
      </c>
      <c r="J1098" s="465">
        <v>0</v>
      </c>
    </row>
    <row r="1099" spans="4:10" hidden="1" outlineLevel="2" x14ac:dyDescent="0.2">
      <c r="D1099" s="512" t="str">
        <v>Asset spare</v>
      </c>
      <c r="E1099" s="512" t="str">
        <v>Spare</v>
      </c>
      <c r="G1099" s="465">
        <v>0</v>
      </c>
      <c r="H1099" s="535">
        <f t="shared" si="127"/>
        <v>1</v>
      </c>
      <c r="I1099" s="465">
        <v>0</v>
      </c>
      <c r="J1099" s="465">
        <v>0</v>
      </c>
    </row>
    <row r="1100" spans="4:10" hidden="1" outlineLevel="2" x14ac:dyDescent="0.2">
      <c r="D1100" s="512" t="str">
        <v>SMSC</v>
      </c>
      <c r="E1100" s="512" t="str">
        <v>SMS/s</v>
      </c>
      <c r="G1100" s="465">
        <v>5000</v>
      </c>
      <c r="H1100" s="534">
        <f>Utilisation.Servers</f>
        <v>0.8</v>
      </c>
      <c r="I1100" s="465">
        <v>2</v>
      </c>
      <c r="J1100" s="465">
        <v>2</v>
      </c>
    </row>
    <row r="1101" spans="4:10" hidden="1" outlineLevel="2" x14ac:dyDescent="0.2">
      <c r="D1101" s="512" t="str">
        <v>MMSC</v>
      </c>
      <c r="E1101" s="512" t="str">
        <v>1 unit</v>
      </c>
      <c r="G1101" s="465">
        <v>1</v>
      </c>
      <c r="H1101" s="535">
        <f>Utilisation.single.unit</f>
        <v>1</v>
      </c>
      <c r="I1101" s="465">
        <v>1</v>
      </c>
      <c r="J1101" s="465">
        <v>1</v>
      </c>
    </row>
    <row r="1102" spans="4:10" hidden="1" outlineLevel="2" x14ac:dyDescent="0.2">
      <c r="D1102" s="512" t="str">
        <v>Asset spare</v>
      </c>
      <c r="E1102" s="512" t="str">
        <v>Spare</v>
      </c>
      <c r="G1102" s="465">
        <v>0</v>
      </c>
      <c r="H1102" s="535">
        <f t="shared" ref="H1102" si="128">Utilisation.software</f>
        <v>1</v>
      </c>
      <c r="I1102" s="465">
        <v>0</v>
      </c>
      <c r="J1102" s="465">
        <v>0</v>
      </c>
    </row>
    <row r="1103" spans="4:10" hidden="1" outlineLevel="2" x14ac:dyDescent="0.2">
      <c r="D1103" s="512" t="str">
        <v>MSC/MGW STM1 ports for voice traffic</v>
      </c>
      <c r="E1103" s="512" t="str">
        <v>Circuits</v>
      </c>
      <c r="G1103" s="465">
        <v>2422</v>
      </c>
      <c r="H1103" s="536">
        <f>Utilisation.Ports</f>
        <v>0.8</v>
      </c>
      <c r="I1103" s="465">
        <v>4</v>
      </c>
      <c r="J1103" s="465">
        <v>2</v>
      </c>
    </row>
    <row r="1104" spans="4:10" hidden="1" outlineLevel="2" x14ac:dyDescent="0.2">
      <c r="D1104" s="512" t="str">
        <v>PoI STM1 Gateway</v>
      </c>
      <c r="E1104" s="512" t="str">
        <v>BHE</v>
      </c>
      <c r="G1104" s="465">
        <v>2422</v>
      </c>
      <c r="H1104" s="533">
        <f>Utilisation.Switches</f>
        <v>0.8</v>
      </c>
      <c r="I1104" s="465">
        <v>2</v>
      </c>
      <c r="J1104" s="465">
        <v>1</v>
      </c>
    </row>
    <row r="1105" spans="4:10" hidden="1" outlineLevel="2" x14ac:dyDescent="0.2">
      <c r="D1105" s="512" t="str">
        <v>I-SBC</v>
      </c>
      <c r="E1105" s="512" t="str">
        <v>Mbit/s</v>
      </c>
      <c r="G1105" s="465">
        <v>8750</v>
      </c>
      <c r="H1105" s="534">
        <f>Utilisation.Servers</f>
        <v>0.8</v>
      </c>
      <c r="I1105" s="465">
        <v>2</v>
      </c>
      <c r="J1105" s="465">
        <v>1</v>
      </c>
    </row>
    <row r="1106" spans="4:10" hidden="1" outlineLevel="2" x14ac:dyDescent="0.2">
      <c r="D1106" s="512" t="str">
        <v>Asset spare</v>
      </c>
      <c r="E1106" s="512" t="str">
        <v>Spare</v>
      </c>
      <c r="G1106" s="465">
        <v>0</v>
      </c>
      <c r="H1106" s="535">
        <f t="shared" ref="H1106:H1112" si="129">Utilisation.software</f>
        <v>1</v>
      </c>
      <c r="I1106" s="465">
        <v>0</v>
      </c>
      <c r="J1106" s="465">
        <v>0</v>
      </c>
    </row>
    <row r="1107" spans="4:10" hidden="1" outlineLevel="2" x14ac:dyDescent="0.2">
      <c r="D1107" s="512" t="str">
        <v>MSS software</v>
      </c>
      <c r="E1107" s="512" t="str">
        <v>BHCA</v>
      </c>
      <c r="G1107" s="465">
        <v>1600000</v>
      </c>
      <c r="H1107" s="535">
        <f t="shared" si="129"/>
        <v>1</v>
      </c>
      <c r="I1107" s="465">
        <v>2</v>
      </c>
      <c r="J1107" s="465">
        <v>1</v>
      </c>
    </row>
    <row r="1108" spans="4:10" hidden="1" outlineLevel="2" x14ac:dyDescent="0.2">
      <c r="D1108" s="512" t="str">
        <v>SGSN software</v>
      </c>
      <c r="E1108" s="512" t="str">
        <v>SAU</v>
      </c>
      <c r="G1108" s="465">
        <v>1300000</v>
      </c>
      <c r="H1108" s="535">
        <f t="shared" si="129"/>
        <v>1</v>
      </c>
      <c r="I1108" s="465">
        <v>1</v>
      </c>
      <c r="J1108" s="465">
        <v>1</v>
      </c>
    </row>
    <row r="1109" spans="4:10" hidden="1" outlineLevel="2" x14ac:dyDescent="0.2">
      <c r="D1109" s="512" t="str">
        <v>GGSN software</v>
      </c>
      <c r="E1109" s="512" t="str">
        <v>PDP</v>
      </c>
      <c r="G1109" s="465">
        <v>1000000</v>
      </c>
      <c r="H1109" s="535">
        <f t="shared" si="129"/>
        <v>1</v>
      </c>
      <c r="I1109" s="465">
        <v>1</v>
      </c>
      <c r="J1109" s="465">
        <v>1</v>
      </c>
    </row>
    <row r="1110" spans="4:10" hidden="1" outlineLevel="2" x14ac:dyDescent="0.2">
      <c r="D1110" s="512" t="str">
        <v>MME software</v>
      </c>
      <c r="E1110" s="512" t="str">
        <v>Mbit/s</v>
      </c>
      <c r="G1110" s="465">
        <v>25000</v>
      </c>
      <c r="H1110" s="535">
        <f t="shared" si="129"/>
        <v>1</v>
      </c>
      <c r="I1110" s="465">
        <v>2</v>
      </c>
      <c r="J1110" s="465">
        <v>1</v>
      </c>
    </row>
    <row r="1111" spans="4:10" hidden="1" outlineLevel="2" x14ac:dyDescent="0.2">
      <c r="D1111" s="512" t="str">
        <v>SGW software</v>
      </c>
      <c r="E1111" s="512" t="str">
        <v>Mbit/s</v>
      </c>
      <c r="G1111" s="465">
        <v>20000</v>
      </c>
      <c r="H1111" s="535">
        <f t="shared" si="129"/>
        <v>1</v>
      </c>
      <c r="I1111" s="465">
        <v>2</v>
      </c>
      <c r="J1111" s="465">
        <v>1</v>
      </c>
    </row>
    <row r="1112" spans="4:10" hidden="1" outlineLevel="2" x14ac:dyDescent="0.2">
      <c r="D1112" s="512" t="str">
        <v>HLR software</v>
      </c>
      <c r="E1112" s="512" t="str">
        <v>Subs</v>
      </c>
      <c r="G1112" s="465">
        <v>4000000</v>
      </c>
      <c r="H1112" s="535">
        <f t="shared" si="129"/>
        <v>1</v>
      </c>
      <c r="I1112" s="465">
        <v>2</v>
      </c>
      <c r="J1112" s="465">
        <v>1</v>
      </c>
    </row>
    <row r="1113" spans="4:10" hidden="1" outlineLevel="2" x14ac:dyDescent="0.2">
      <c r="D1113" s="512" t="str">
        <v>Call server – hardware</v>
      </c>
      <c r="E1113" s="512" t="str">
        <v>BHCA</v>
      </c>
      <c r="G1113" s="465">
        <v>1500000</v>
      </c>
      <c r="H1113" s="534">
        <f>Utilisation.Servers</f>
        <v>0.8</v>
      </c>
      <c r="I1113" s="465">
        <v>1</v>
      </c>
      <c r="J1113" s="465">
        <v>2</v>
      </c>
    </row>
    <row r="1114" spans="4:10" hidden="1" outlineLevel="2" x14ac:dyDescent="0.2">
      <c r="D1114" s="512" t="str">
        <v>Call server – software</v>
      </c>
      <c r="E1114" s="512" t="str">
        <v>BHCA</v>
      </c>
      <c r="G1114" s="465">
        <v>1500000</v>
      </c>
      <c r="H1114" s="535">
        <f>Utilisation.software</f>
        <v>1</v>
      </c>
      <c r="I1114" s="465">
        <v>1</v>
      </c>
      <c r="J1114" s="465">
        <v>1</v>
      </c>
    </row>
    <row r="1115" spans="4:10" hidden="1" outlineLevel="2" x14ac:dyDescent="0.2">
      <c r="D1115" s="512" t="str">
        <v>Telephony Application Server (TAS)</v>
      </c>
      <c r="E1115" s="512" t="str">
        <v>BHCA</v>
      </c>
      <c r="G1115" s="465">
        <v>500000</v>
      </c>
      <c r="H1115" s="534">
        <f>Utilisation.Servers</f>
        <v>0.8</v>
      </c>
      <c r="I1115" s="465">
        <v>1</v>
      </c>
      <c r="J1115" s="465">
        <v>1</v>
      </c>
    </row>
    <row r="1116" spans="4:10" hidden="1" outlineLevel="2" x14ac:dyDescent="0.2">
      <c r="D1116" s="512" t="str">
        <v>Session border controller (SBC) – hardware</v>
      </c>
      <c r="E1116" s="512" t="str">
        <v>BH voice Mbit/s</v>
      </c>
      <c r="G1116" s="465">
        <v>2000</v>
      </c>
      <c r="H1116" s="534">
        <f>Utilisation.Servers</f>
        <v>0.8</v>
      </c>
      <c r="I1116" s="465">
        <v>1</v>
      </c>
      <c r="J1116" s="465">
        <v>2</v>
      </c>
    </row>
    <row r="1117" spans="4:10" hidden="1" outlineLevel="2" x14ac:dyDescent="0.2">
      <c r="D1117" s="512" t="str">
        <v>Session border controller (SBC) – software</v>
      </c>
      <c r="E1117" s="512" t="str">
        <v>BH voice Mbit/s</v>
      </c>
      <c r="G1117" s="465">
        <v>2000</v>
      </c>
      <c r="H1117" s="535">
        <f>Utilisation.software</f>
        <v>1</v>
      </c>
      <c r="I1117" s="465">
        <v>1</v>
      </c>
      <c r="J1117" s="465">
        <v>1</v>
      </c>
    </row>
    <row r="1118" spans="4:10" hidden="1" outlineLevel="2" x14ac:dyDescent="0.2">
      <c r="D1118" s="512" t="str">
        <v>PCC</v>
      </c>
      <c r="E1118" s="512" t="str">
        <v>BHCA</v>
      </c>
      <c r="G1118" s="465">
        <v>200000</v>
      </c>
      <c r="H1118" s="534">
        <f>Utilisation.Servers</f>
        <v>0.8</v>
      </c>
      <c r="I1118" s="465">
        <v>1</v>
      </c>
      <c r="J1118" s="465">
        <v>2</v>
      </c>
    </row>
    <row r="1119" spans="4:10" hidden="1" outlineLevel="1" x14ac:dyDescent="0.2">
      <c r="D1119" s="512" t="str">
        <v>MGCF</v>
      </c>
      <c r="E1119" s="512" t="str">
        <v>BHCA</v>
      </c>
      <c r="G1119" s="465">
        <v>1000</v>
      </c>
      <c r="H1119" s="534">
        <f>Utilisation.Servers</f>
        <v>0.8</v>
      </c>
      <c r="I1119" s="465">
        <v>1</v>
      </c>
      <c r="J1119" s="465">
        <v>2</v>
      </c>
    </row>
    <row r="1120" spans="4:10" hidden="1" outlineLevel="1" x14ac:dyDescent="0.2"/>
    <row r="1121" spans="3:7" hidden="1" outlineLevel="1" x14ac:dyDescent="0.2"/>
    <row r="1122" spans="3:7" hidden="1" outlineLevel="1" x14ac:dyDescent="0.2">
      <c r="C1122" s="460" t="s">
        <v>1226</v>
      </c>
      <c r="G1122" s="458" t="s">
        <v>880</v>
      </c>
    </row>
    <row r="1123" spans="3:7" hidden="1" outlineLevel="1" x14ac:dyDescent="0.2">
      <c r="D1123" s="512" t="str">
        <f t="array" ref="D1123:D1155">Servers.List</f>
        <v>Asset spare</v>
      </c>
      <c r="E1123" s="512" t="str">
        <f t="array" ref="E1123:E1155">Servers.Units</f>
        <v>Spare</v>
      </c>
      <c r="G1123" s="520">
        <f t="shared" ref="G1123:G1155" si="130">ROUNDUP(IF(G1051=0,0,MAX(I1087,G1051/(G1087*H1087))),0)*J1087</f>
        <v>0</v>
      </c>
    </row>
    <row r="1124" spans="3:7" hidden="1" outlineLevel="2" x14ac:dyDescent="0.2">
      <c r="D1124" s="512" t="str">
        <v>MSS</v>
      </c>
      <c r="E1124" s="512" t="str">
        <v>BHCA</v>
      </c>
      <c r="G1124" s="520">
        <f t="shared" si="130"/>
        <v>6</v>
      </c>
    </row>
    <row r="1125" spans="3:7" hidden="1" outlineLevel="2" x14ac:dyDescent="0.2">
      <c r="D1125" s="512" t="str">
        <v>MGW</v>
      </c>
      <c r="E1125" s="512" t="str">
        <v>BHE</v>
      </c>
      <c r="G1125" s="520">
        <f t="shared" si="130"/>
        <v>10</v>
      </c>
    </row>
    <row r="1126" spans="3:7" hidden="1" outlineLevel="2" x14ac:dyDescent="0.2">
      <c r="D1126" s="512" t="str">
        <v>SGSN</v>
      </c>
      <c r="E1126" s="512" t="str">
        <v>SAU</v>
      </c>
      <c r="G1126" s="520">
        <f t="shared" si="130"/>
        <v>3</v>
      </c>
    </row>
    <row r="1127" spans="3:7" hidden="1" outlineLevel="2" x14ac:dyDescent="0.2">
      <c r="D1127" s="512" t="str">
        <v>GGSN</v>
      </c>
      <c r="E1127" s="512" t="str">
        <v>PDP</v>
      </c>
      <c r="G1127" s="520">
        <f t="shared" si="130"/>
        <v>2</v>
      </c>
    </row>
    <row r="1128" spans="3:7" hidden="1" outlineLevel="2" x14ac:dyDescent="0.2">
      <c r="D1128" s="512" t="str">
        <v>LTE MME</v>
      </c>
      <c r="E1128" s="512" t="str">
        <v>Mbit/s</v>
      </c>
      <c r="G1128" s="520">
        <f t="shared" si="130"/>
        <v>2</v>
      </c>
    </row>
    <row r="1129" spans="3:7" hidden="1" outlineLevel="2" x14ac:dyDescent="0.2">
      <c r="D1129" s="512" t="str">
        <v>LTE SGW</v>
      </c>
      <c r="E1129" s="512" t="str">
        <v>Mbit/s</v>
      </c>
      <c r="G1129" s="520">
        <f t="shared" si="130"/>
        <v>2</v>
      </c>
    </row>
    <row r="1130" spans="3:7" hidden="1" outlineLevel="2" x14ac:dyDescent="0.2">
      <c r="D1130" s="512" t="str">
        <v>HLR</v>
      </c>
      <c r="E1130" s="512" t="str">
        <v>Subs</v>
      </c>
      <c r="G1130" s="520">
        <f t="shared" si="130"/>
        <v>4</v>
      </c>
    </row>
    <row r="1131" spans="3:7" hidden="1" outlineLevel="2" x14ac:dyDescent="0.2">
      <c r="D1131" s="512" t="str">
        <v>AUC</v>
      </c>
      <c r="E1131" s="512" t="str">
        <v>Subs</v>
      </c>
      <c r="G1131" s="520">
        <f t="shared" si="130"/>
        <v>9</v>
      </c>
    </row>
    <row r="1132" spans="3:7" hidden="1" outlineLevel="2" x14ac:dyDescent="0.2">
      <c r="D1132" s="512" t="str">
        <v>EIR</v>
      </c>
      <c r="E1132" s="512" t="str">
        <v>Subs</v>
      </c>
      <c r="G1132" s="520">
        <f t="shared" si="130"/>
        <v>4</v>
      </c>
    </row>
    <row r="1133" spans="3:7" hidden="1" outlineLevel="2" x14ac:dyDescent="0.2">
      <c r="D1133" s="512" t="str">
        <v>IN (SCP+SMP)</v>
      </c>
      <c r="E1133" s="512" t="str">
        <v>Subs</v>
      </c>
      <c r="G1133" s="520">
        <f t="shared" si="130"/>
        <v>3</v>
      </c>
    </row>
    <row r="1134" spans="3:7" hidden="1" outlineLevel="2" x14ac:dyDescent="0.2">
      <c r="D1134" s="512" t="str">
        <v>Asset spare</v>
      </c>
      <c r="E1134" s="512" t="str">
        <v>Spare</v>
      </c>
      <c r="G1134" s="520">
        <f t="shared" si="130"/>
        <v>0</v>
      </c>
    </row>
    <row r="1135" spans="3:7" hidden="1" outlineLevel="2" x14ac:dyDescent="0.2">
      <c r="D1135" s="512" t="str">
        <v>Asset spare</v>
      </c>
      <c r="E1135" s="512" t="str">
        <v>Spare</v>
      </c>
      <c r="G1135" s="520">
        <f t="shared" si="130"/>
        <v>0</v>
      </c>
    </row>
    <row r="1136" spans="3:7" hidden="1" outlineLevel="2" x14ac:dyDescent="0.2">
      <c r="D1136" s="512" t="str">
        <v>SMSC</v>
      </c>
      <c r="E1136" s="512" t="str">
        <v>SMS/s</v>
      </c>
      <c r="G1136" s="520">
        <f t="shared" si="130"/>
        <v>4</v>
      </c>
    </row>
    <row r="1137" spans="1:8" hidden="1" outlineLevel="2" x14ac:dyDescent="0.2">
      <c r="D1137" s="512" t="str">
        <v>MMSC</v>
      </c>
      <c r="E1137" s="512" t="str">
        <v>1 unit</v>
      </c>
      <c r="G1137" s="520">
        <f t="shared" si="130"/>
        <v>1</v>
      </c>
    </row>
    <row r="1138" spans="1:8" hidden="1" outlineLevel="2" x14ac:dyDescent="0.2">
      <c r="D1138" s="512" t="str">
        <v>Asset spare</v>
      </c>
      <c r="E1138" s="512" t="str">
        <v>Spare</v>
      </c>
      <c r="G1138" s="520">
        <f t="shared" si="130"/>
        <v>0</v>
      </c>
    </row>
    <row r="1139" spans="1:8" hidden="1" outlineLevel="2" x14ac:dyDescent="0.2">
      <c r="A1139" s="457"/>
      <c r="D1139" s="512" t="str">
        <v>MSC/MGW STM1 ports for voice traffic</v>
      </c>
      <c r="E1139" s="512" t="str">
        <v>Circuits</v>
      </c>
      <c r="G1139" s="520">
        <f t="shared" si="130"/>
        <v>124</v>
      </c>
      <c r="H1139" s="457"/>
    </row>
    <row r="1140" spans="1:8" hidden="1" outlineLevel="2" x14ac:dyDescent="0.2">
      <c r="D1140" s="512" t="str">
        <v>PoI STM1 Gateway</v>
      </c>
      <c r="E1140" s="512" t="str">
        <v>BHE</v>
      </c>
      <c r="G1140" s="520">
        <f t="shared" si="130"/>
        <v>34</v>
      </c>
    </row>
    <row r="1141" spans="1:8" hidden="1" outlineLevel="2" x14ac:dyDescent="0.2">
      <c r="D1141" s="512" t="str">
        <v>I-SBC</v>
      </c>
      <c r="E1141" s="512" t="str">
        <v>Mbit/s</v>
      </c>
      <c r="G1141" s="520">
        <f t="shared" si="130"/>
        <v>0</v>
      </c>
    </row>
    <row r="1142" spans="1:8" hidden="1" outlineLevel="2" x14ac:dyDescent="0.2">
      <c r="D1142" s="512" t="str">
        <v>Asset spare</v>
      </c>
      <c r="E1142" s="512" t="str">
        <v>Spare</v>
      </c>
      <c r="G1142" s="520">
        <f t="shared" si="130"/>
        <v>0</v>
      </c>
    </row>
    <row r="1143" spans="1:8" hidden="1" outlineLevel="2" x14ac:dyDescent="0.2">
      <c r="D1143" s="512" t="str">
        <v>MSS software</v>
      </c>
      <c r="E1143" s="512" t="str">
        <v>BHCA</v>
      </c>
      <c r="G1143" s="520">
        <f t="shared" si="130"/>
        <v>5</v>
      </c>
    </row>
    <row r="1144" spans="1:8" hidden="1" outlineLevel="2" x14ac:dyDescent="0.2">
      <c r="D1144" s="512" t="str">
        <v>SGSN software</v>
      </c>
      <c r="E1144" s="512" t="str">
        <v>SAU</v>
      </c>
      <c r="G1144" s="520">
        <f t="shared" si="130"/>
        <v>2</v>
      </c>
    </row>
    <row r="1145" spans="1:8" hidden="1" outlineLevel="2" x14ac:dyDescent="0.2">
      <c r="D1145" s="512" t="str">
        <v>GGSN software</v>
      </c>
      <c r="E1145" s="512" t="str">
        <v>PDP</v>
      </c>
      <c r="G1145" s="520">
        <f t="shared" si="130"/>
        <v>2</v>
      </c>
    </row>
    <row r="1146" spans="1:8" hidden="1" outlineLevel="2" x14ac:dyDescent="0.2">
      <c r="D1146" s="512" t="str">
        <v>MME software</v>
      </c>
      <c r="E1146" s="512" t="str">
        <v>Mbit/s</v>
      </c>
      <c r="G1146" s="520">
        <f t="shared" si="130"/>
        <v>2</v>
      </c>
    </row>
    <row r="1147" spans="1:8" hidden="1" outlineLevel="2" x14ac:dyDescent="0.2">
      <c r="D1147" s="512" t="str">
        <v>SGW software</v>
      </c>
      <c r="E1147" s="512" t="str">
        <v>Mbit/s</v>
      </c>
      <c r="G1147" s="520">
        <f t="shared" si="130"/>
        <v>2</v>
      </c>
    </row>
    <row r="1148" spans="1:8" hidden="1" outlineLevel="2" x14ac:dyDescent="0.2">
      <c r="D1148" s="512" t="str">
        <v>HLR software</v>
      </c>
      <c r="E1148" s="512" t="str">
        <v>Subs</v>
      </c>
      <c r="G1148" s="520">
        <f t="shared" si="130"/>
        <v>3</v>
      </c>
    </row>
    <row r="1149" spans="1:8" hidden="1" outlineLevel="2" x14ac:dyDescent="0.2">
      <c r="D1149" s="512" t="str">
        <v>Call server – hardware</v>
      </c>
      <c r="E1149" s="512" t="str">
        <v>BHCA</v>
      </c>
      <c r="G1149" s="520">
        <f t="shared" si="130"/>
        <v>0</v>
      </c>
    </row>
    <row r="1150" spans="1:8" hidden="1" outlineLevel="2" x14ac:dyDescent="0.2">
      <c r="D1150" s="512" t="str">
        <v>Call server – software</v>
      </c>
      <c r="E1150" s="512" t="str">
        <v>BHCA</v>
      </c>
      <c r="G1150" s="520">
        <f t="shared" si="130"/>
        <v>0</v>
      </c>
    </row>
    <row r="1151" spans="1:8" hidden="1" outlineLevel="2" x14ac:dyDescent="0.2">
      <c r="D1151" s="512" t="str">
        <v>Telephony Application Server (TAS)</v>
      </c>
      <c r="E1151" s="512" t="str">
        <v>BHCA</v>
      </c>
      <c r="G1151" s="520">
        <f t="shared" si="130"/>
        <v>0</v>
      </c>
    </row>
    <row r="1152" spans="1:8" hidden="1" outlineLevel="2" x14ac:dyDescent="0.2">
      <c r="D1152" s="512" t="str">
        <v>Session border controller (SBC) – hardware</v>
      </c>
      <c r="E1152" s="512" t="str">
        <v>BH voice Mbit/s</v>
      </c>
      <c r="G1152" s="520">
        <f t="shared" si="130"/>
        <v>0</v>
      </c>
    </row>
    <row r="1153" spans="1:48" hidden="1" outlineLevel="2" x14ac:dyDescent="0.2">
      <c r="D1153" s="512" t="str">
        <v>Session border controller (SBC) – software</v>
      </c>
      <c r="E1153" s="512" t="str">
        <v>BH voice Mbit/s</v>
      </c>
      <c r="G1153" s="520">
        <f t="shared" si="130"/>
        <v>0</v>
      </c>
    </row>
    <row r="1154" spans="1:48" hidden="1" outlineLevel="2" x14ac:dyDescent="0.2">
      <c r="D1154" s="512" t="str">
        <v>PCC</v>
      </c>
      <c r="E1154" s="512" t="str">
        <v>BHCA</v>
      </c>
      <c r="G1154" s="520">
        <f t="shared" si="130"/>
        <v>0</v>
      </c>
    </row>
    <row r="1155" spans="1:48" hidden="1" outlineLevel="1" x14ac:dyDescent="0.2">
      <c r="D1155" s="512" t="str">
        <v>MGCF</v>
      </c>
      <c r="E1155" s="512" t="str">
        <v>BHCA</v>
      </c>
      <c r="G1155" s="520">
        <f t="shared" si="130"/>
        <v>0</v>
      </c>
    </row>
    <row r="1156" spans="1:48" hidden="1" outlineLevel="1" x14ac:dyDescent="0.2">
      <c r="D1156" s="457"/>
      <c r="E1156" s="457"/>
      <c r="G1156" s="466" t="s">
        <v>312</v>
      </c>
    </row>
    <row r="1157" spans="1:48" collapsed="1" x14ac:dyDescent="0.2">
      <c r="D1157" s="457"/>
      <c r="E1157" s="457"/>
      <c r="G1157" s="457"/>
    </row>
    <row r="1158" spans="1:48" x14ac:dyDescent="0.2">
      <c r="D1158" s="457"/>
      <c r="E1158" s="457"/>
      <c r="G1158" s="457"/>
    </row>
    <row r="1159" spans="1:48" s="457" customFormat="1" ht="15.75" x14ac:dyDescent="0.2">
      <c r="A1159" s="456" t="s">
        <v>1314</v>
      </c>
      <c r="B1159" s="456"/>
      <c r="C1159" s="456"/>
      <c r="D1159" s="456"/>
      <c r="E1159" s="456"/>
      <c r="F1159" s="456"/>
      <c r="G1159" s="456"/>
      <c r="H1159" s="456"/>
      <c r="I1159" s="456"/>
      <c r="J1159" s="456"/>
      <c r="K1159" s="456"/>
      <c r="L1159" s="456"/>
      <c r="M1159" s="456"/>
      <c r="N1159" s="456"/>
      <c r="O1159" s="456"/>
      <c r="P1159" s="456"/>
      <c r="Q1159" s="456"/>
      <c r="R1159" s="456"/>
      <c r="S1159" s="456"/>
      <c r="T1159" s="456"/>
      <c r="U1159" s="456"/>
      <c r="V1159" s="456"/>
      <c r="W1159" s="456"/>
      <c r="X1159" s="456"/>
      <c r="Y1159" s="456"/>
      <c r="Z1159" s="456"/>
      <c r="AA1159" s="456"/>
      <c r="AB1159" s="456"/>
      <c r="AC1159" s="456"/>
      <c r="AD1159" s="456"/>
      <c r="AE1159" s="456"/>
      <c r="AF1159" s="456"/>
      <c r="AG1159" s="456"/>
      <c r="AH1159" s="456"/>
      <c r="AI1159" s="456"/>
      <c r="AJ1159" s="456"/>
      <c r="AK1159" s="456"/>
      <c r="AL1159" s="456"/>
      <c r="AM1159" s="456"/>
      <c r="AN1159" s="456"/>
      <c r="AO1159" s="456"/>
      <c r="AP1159" s="456"/>
      <c r="AQ1159" s="456"/>
      <c r="AR1159" s="456"/>
      <c r="AS1159" s="456"/>
      <c r="AT1159" s="456"/>
      <c r="AU1159" s="456"/>
      <c r="AV1159" s="456"/>
    </row>
    <row r="1160" spans="1:48" x14ac:dyDescent="0.2">
      <c r="B1160" s="457"/>
      <c r="D1160" s="457"/>
      <c r="E1160" s="457"/>
      <c r="G1160" s="457"/>
    </row>
    <row r="1161" spans="1:48" ht="15.75" hidden="1" outlineLevel="1" x14ac:dyDescent="0.2">
      <c r="B1161" s="537" t="s">
        <v>1228</v>
      </c>
      <c r="C1161" s="457"/>
      <c r="E1161" s="457"/>
    </row>
    <row r="1162" spans="1:48" hidden="1" outlineLevel="1" x14ac:dyDescent="0.2">
      <c r="B1162" s="457"/>
      <c r="C1162" s="457"/>
      <c r="D1162" s="457"/>
      <c r="E1162" s="457"/>
      <c r="G1162" s="457"/>
    </row>
    <row r="1163" spans="1:48" hidden="1" outlineLevel="1" x14ac:dyDescent="0.2">
      <c r="B1163" s="457"/>
      <c r="C1163" s="472" t="s">
        <v>1229</v>
      </c>
      <c r="D1163" s="457"/>
      <c r="E1163" s="457"/>
      <c r="G1163" s="471">
        <f>IF(G453=G461,G463,I463)</f>
        <v>2.048</v>
      </c>
    </row>
    <row r="1164" spans="1:48" hidden="1" outlineLevel="1" x14ac:dyDescent="0.2">
      <c r="B1164" s="457"/>
      <c r="C1164" s="457"/>
      <c r="D1164" s="457"/>
      <c r="E1164" s="457"/>
      <c r="G1164" s="457"/>
    </row>
    <row r="1165" spans="1:48" hidden="1" outlineLevel="1" x14ac:dyDescent="0.2">
      <c r="B1165" s="457"/>
      <c r="C1165" s="457"/>
      <c r="D1165" s="457"/>
      <c r="E1165" s="457"/>
      <c r="G1165" s="458" t="str">
        <f t="array" ref="G1165:P1165">TRANSPOSE(Geotypes)</f>
        <v>Muy denso</v>
      </c>
      <c r="H1165" s="458" t="str">
        <v>Denso</v>
      </c>
      <c r="I1165" s="458" t="str">
        <v>Poco denso</v>
      </c>
      <c r="J1165" s="458" t="str">
        <v>Otro</v>
      </c>
      <c r="K1165" s="458" t="str">
        <v>Microceldas</v>
      </c>
      <c r="L1165" s="458" t="str">
        <v>spare</v>
      </c>
      <c r="M1165" s="458" t="str">
        <v>spare</v>
      </c>
      <c r="N1165" s="458" t="str">
        <v>spare</v>
      </c>
      <c r="O1165" s="458" t="str">
        <v>spare</v>
      </c>
      <c r="P1165" s="458" t="str">
        <v>spare</v>
      </c>
    </row>
    <row r="1166" spans="1:48" hidden="1" outlineLevel="1" x14ac:dyDescent="0.2">
      <c r="B1166" s="457"/>
      <c r="C1166" s="472" t="s">
        <v>1230</v>
      </c>
      <c r="D1166" s="457"/>
      <c r="E1166" s="457"/>
      <c r="G1166" s="471">
        <f t="array" ref="G1166:P1166">ROUNDUP(G430:P430/G1163,0)*Sites.Total.GSM/Utilisation.Ports</f>
        <v>2862.5</v>
      </c>
      <c r="H1166" s="471">
        <v>1840</v>
      </c>
      <c r="I1166" s="471">
        <v>1660</v>
      </c>
      <c r="J1166" s="471">
        <v>53.75</v>
      </c>
      <c r="K1166" s="471">
        <v>250</v>
      </c>
      <c r="L1166" s="471">
        <v>0</v>
      </c>
      <c r="M1166" s="471">
        <v>0</v>
      </c>
      <c r="N1166" s="471">
        <v>0</v>
      </c>
      <c r="O1166" s="471">
        <v>0</v>
      </c>
      <c r="P1166" s="471">
        <v>0</v>
      </c>
    </row>
    <row r="1167" spans="1:48" hidden="1" outlineLevel="1" x14ac:dyDescent="0.2">
      <c r="B1167" s="457"/>
      <c r="C1167" s="538"/>
      <c r="D1167" s="457"/>
      <c r="E1167" s="457"/>
    </row>
    <row r="1168" spans="1:48" hidden="1" outlineLevel="1" x14ac:dyDescent="0.2">
      <c r="B1168" s="457"/>
      <c r="C1168" s="472" t="s">
        <v>1231</v>
      </c>
      <c r="D1168" s="457"/>
      <c r="E1168" s="457"/>
      <c r="G1168" s="520">
        <f>IF($G$453=$G$461,SUM(G1166:P1166),0)</f>
        <v>6666.25</v>
      </c>
      <c r="H1168" s="466" t="s">
        <v>311</v>
      </c>
    </row>
    <row r="1169" spans="2:16" hidden="1" outlineLevel="1" x14ac:dyDescent="0.2">
      <c r="B1169" s="539"/>
      <c r="C1169" s="457"/>
      <c r="D1169" s="540"/>
      <c r="E1169" s="457"/>
      <c r="G1169" s="457"/>
      <c r="H1169" s="541"/>
      <c r="K1169" s="453" t="s">
        <v>0</v>
      </c>
    </row>
    <row r="1170" spans="2:16" hidden="1" outlineLevel="1" x14ac:dyDescent="0.2">
      <c r="B1170" s="457"/>
      <c r="C1170" s="472" t="s">
        <v>1232</v>
      </c>
      <c r="D1170" s="457"/>
      <c r="E1170" s="457"/>
      <c r="G1170" s="520">
        <f>IF($G$453=$I$461,SUM(G1166:P1166),0)</f>
        <v>0</v>
      </c>
      <c r="H1170" s="466" t="s">
        <v>310</v>
      </c>
    </row>
    <row r="1171" spans="2:16" hidden="1" outlineLevel="1" x14ac:dyDescent="0.2">
      <c r="B1171" s="457"/>
      <c r="C1171" s="457"/>
      <c r="D1171" s="457"/>
      <c r="E1171" s="457"/>
      <c r="G1171" s="457"/>
    </row>
    <row r="1172" spans="2:16" hidden="1" outlineLevel="1" x14ac:dyDescent="0.2">
      <c r="B1172" s="457"/>
      <c r="C1172" s="538"/>
      <c r="D1172" s="457"/>
      <c r="E1172" s="457"/>
      <c r="G1172" s="457"/>
    </row>
    <row r="1173" spans="2:16" ht="15.75" hidden="1" outlineLevel="1" x14ac:dyDescent="0.2">
      <c r="B1173" s="537" t="s">
        <v>1233</v>
      </c>
      <c r="C1173" s="457"/>
      <c r="D1173" s="457"/>
      <c r="E1173" s="457"/>
      <c r="G1173" s="457"/>
    </row>
    <row r="1174" spans="2:16" hidden="1" outlineLevel="1" x14ac:dyDescent="0.2">
      <c r="B1174" s="457"/>
      <c r="C1174" s="457"/>
      <c r="D1174" s="457"/>
      <c r="E1174" s="457"/>
      <c r="G1174" s="457"/>
    </row>
    <row r="1175" spans="2:16" hidden="1" outlineLevel="1" x14ac:dyDescent="0.2">
      <c r="B1175" s="457"/>
      <c r="C1175" s="472" t="s">
        <v>1234</v>
      </c>
      <c r="D1175" s="457"/>
      <c r="E1175" s="457"/>
      <c r="G1175" s="471">
        <f>IF(G454=G461,G463,I463)</f>
        <v>10</v>
      </c>
    </row>
    <row r="1176" spans="2:16" hidden="1" outlineLevel="1" x14ac:dyDescent="0.2">
      <c r="B1176" s="457"/>
      <c r="C1176" s="457"/>
      <c r="D1176" s="457"/>
      <c r="E1176" s="457"/>
      <c r="G1176" s="457"/>
    </row>
    <row r="1177" spans="2:16" hidden="1" outlineLevel="1" x14ac:dyDescent="0.2">
      <c r="B1177" s="457"/>
      <c r="C1177" s="538"/>
      <c r="D1177" s="457"/>
      <c r="E1177" s="457"/>
      <c r="G1177" s="458" t="str">
        <f t="array" ref="G1177:P1177">TRANSPOSE(Geotypes)</f>
        <v>Muy denso</v>
      </c>
      <c r="H1177" s="458" t="str">
        <v>Denso</v>
      </c>
      <c r="I1177" s="458" t="str">
        <v>Poco denso</v>
      </c>
      <c r="J1177" s="458" t="str">
        <v>Otro</v>
      </c>
      <c r="K1177" s="458" t="str">
        <v>Microceldas</v>
      </c>
      <c r="L1177" s="458" t="str">
        <v>spare</v>
      </c>
      <c r="M1177" s="458" t="str">
        <v>spare</v>
      </c>
      <c r="N1177" s="458" t="str">
        <v>spare</v>
      </c>
      <c r="O1177" s="458" t="str">
        <v>spare</v>
      </c>
      <c r="P1177" s="458" t="str">
        <v>spare</v>
      </c>
    </row>
    <row r="1178" spans="2:16" hidden="1" outlineLevel="1" x14ac:dyDescent="0.2">
      <c r="B1178" s="457"/>
      <c r="C1178" s="472" t="s">
        <v>1235</v>
      </c>
      <c r="D1178" s="457"/>
      <c r="E1178" s="457"/>
      <c r="G1178" s="471">
        <f t="array" ref="G1178:P1178">ROUNDUP(G433:P433/G1175,0)*Sites.Total.UMTS/Utilisation.Ports</f>
        <v>1228.75</v>
      </c>
      <c r="H1178" s="471">
        <v>661.25</v>
      </c>
      <c r="I1178" s="471">
        <v>311.25</v>
      </c>
      <c r="J1178" s="471">
        <v>11.25</v>
      </c>
      <c r="K1178" s="471">
        <v>250</v>
      </c>
      <c r="L1178" s="471">
        <v>0</v>
      </c>
      <c r="M1178" s="471">
        <v>0</v>
      </c>
      <c r="N1178" s="471">
        <v>0</v>
      </c>
      <c r="O1178" s="471">
        <v>0</v>
      </c>
      <c r="P1178" s="471">
        <v>0</v>
      </c>
    </row>
    <row r="1179" spans="2:16" hidden="1" outlineLevel="1" x14ac:dyDescent="0.2">
      <c r="B1179" s="457"/>
      <c r="C1179" s="457"/>
      <c r="D1179" s="457"/>
      <c r="E1179" s="457"/>
      <c r="G1179" s="457"/>
    </row>
    <row r="1180" spans="2:16" hidden="1" outlineLevel="1" x14ac:dyDescent="0.2">
      <c r="B1180" s="457"/>
      <c r="C1180" s="472" t="s">
        <v>1237</v>
      </c>
      <c r="D1180" s="457"/>
      <c r="E1180" s="457"/>
      <c r="G1180" s="520">
        <f>IF($G$454=$G$461,SUM(G1178:P1178),0)</f>
        <v>0</v>
      </c>
      <c r="H1180" s="466" t="s">
        <v>309</v>
      </c>
    </row>
    <row r="1181" spans="2:16" hidden="1" outlineLevel="1" x14ac:dyDescent="0.2">
      <c r="B1181" s="539"/>
      <c r="C1181" s="457"/>
      <c r="D1181" s="540"/>
      <c r="E1181" s="457"/>
      <c r="G1181" s="457"/>
      <c r="H1181" s="541"/>
    </row>
    <row r="1182" spans="2:16" hidden="1" outlineLevel="1" x14ac:dyDescent="0.2">
      <c r="B1182" s="457"/>
      <c r="C1182" s="472" t="s">
        <v>1238</v>
      </c>
      <c r="D1182" s="457"/>
      <c r="E1182" s="457"/>
      <c r="G1182" s="520">
        <f>IF($G$454=$I$461,SUM(G1178:P1178),0)</f>
        <v>2462.5</v>
      </c>
      <c r="H1182" s="466" t="s">
        <v>308</v>
      </c>
    </row>
    <row r="1183" spans="2:16" hidden="1" outlineLevel="1" x14ac:dyDescent="0.2">
      <c r="B1183" s="457"/>
      <c r="C1183" s="457"/>
      <c r="D1183" s="457"/>
      <c r="E1183" s="457"/>
      <c r="G1183" s="457"/>
    </row>
    <row r="1184" spans="2:16" hidden="1" outlineLevel="1" x14ac:dyDescent="0.2">
      <c r="B1184" s="457"/>
      <c r="C1184" s="472" t="s">
        <v>1236</v>
      </c>
      <c r="D1184" s="457"/>
      <c r="E1184" s="457"/>
      <c r="G1184" s="471">
        <f t="array" ref="G1184:P1184">ROUNDUP(G436:P436/G1175,0)*Sites.Total.UMTS/Utilisation.Ports</f>
        <v>4915</v>
      </c>
      <c r="H1184" s="471">
        <v>2645</v>
      </c>
      <c r="I1184" s="471">
        <v>1245</v>
      </c>
      <c r="J1184" s="471">
        <v>0</v>
      </c>
      <c r="K1184" s="471">
        <v>500</v>
      </c>
      <c r="L1184" s="471">
        <v>0</v>
      </c>
      <c r="M1184" s="471">
        <v>0</v>
      </c>
      <c r="N1184" s="471">
        <v>0</v>
      </c>
      <c r="O1184" s="471">
        <v>0</v>
      </c>
      <c r="P1184" s="471">
        <v>0</v>
      </c>
    </row>
    <row r="1185" spans="2:17" hidden="1" outlineLevel="1" x14ac:dyDescent="0.2">
      <c r="B1185" s="457"/>
      <c r="C1185" s="457"/>
      <c r="D1185" s="457"/>
      <c r="E1185" s="457"/>
      <c r="G1185" s="457"/>
    </row>
    <row r="1186" spans="2:17" hidden="1" outlineLevel="1" x14ac:dyDescent="0.2">
      <c r="B1186" s="457"/>
      <c r="C1186" s="472" t="s">
        <v>1239</v>
      </c>
      <c r="D1186" s="457"/>
      <c r="E1186" s="457"/>
      <c r="G1186" s="520">
        <f>IF($G$454=$G$461,SUM(G1184:P1184),0)</f>
        <v>0</v>
      </c>
      <c r="H1186" s="466" t="s">
        <v>307</v>
      </c>
    </row>
    <row r="1187" spans="2:17" hidden="1" outlineLevel="1" x14ac:dyDescent="0.2">
      <c r="B1187" s="457"/>
      <c r="C1187" s="457"/>
      <c r="D1187" s="457"/>
      <c r="E1187" s="457"/>
      <c r="G1187" s="457"/>
      <c r="H1187" s="541"/>
    </row>
    <row r="1188" spans="2:17" hidden="1" outlineLevel="1" x14ac:dyDescent="0.2">
      <c r="B1188" s="457"/>
      <c r="C1188" s="472" t="s">
        <v>1240</v>
      </c>
      <c r="D1188" s="457"/>
      <c r="E1188" s="457"/>
      <c r="G1188" s="520">
        <f>IF($G$454=$I$461,SUM(G1184:P1184),0)</f>
        <v>9305</v>
      </c>
      <c r="H1188" s="466" t="s">
        <v>306</v>
      </c>
    </row>
    <row r="1189" spans="2:17" hidden="1" outlineLevel="1" x14ac:dyDescent="0.2">
      <c r="B1189" s="457"/>
      <c r="C1189" s="457"/>
      <c r="D1189" s="457"/>
      <c r="E1189" s="457"/>
      <c r="G1189" s="457"/>
    </row>
    <row r="1190" spans="2:17" hidden="1" outlineLevel="1" x14ac:dyDescent="0.2">
      <c r="B1190" s="457"/>
      <c r="C1190" s="457"/>
      <c r="D1190" s="457"/>
      <c r="E1190" s="457"/>
      <c r="G1190" s="457"/>
    </row>
    <row r="1191" spans="2:17" ht="15.75" hidden="1" outlineLevel="1" x14ac:dyDescent="0.2">
      <c r="B1191" s="537" t="s">
        <v>1241</v>
      </c>
      <c r="C1191" s="457"/>
      <c r="D1191" s="457"/>
      <c r="E1191" s="457"/>
      <c r="G1191" s="457"/>
      <c r="Q1191" s="457"/>
    </row>
    <row r="1192" spans="2:17" hidden="1" outlineLevel="1" x14ac:dyDescent="0.2">
      <c r="B1192" s="457"/>
      <c r="C1192" s="457"/>
      <c r="D1192" s="457"/>
      <c r="E1192" s="457"/>
      <c r="G1192" s="457"/>
      <c r="Q1192" s="457"/>
    </row>
    <row r="1193" spans="2:17" hidden="1" outlineLevel="1" x14ac:dyDescent="0.2">
      <c r="B1193" s="457"/>
      <c r="C1193" s="472" t="s">
        <v>1242</v>
      </c>
      <c r="D1193" s="457"/>
      <c r="E1193" s="457"/>
      <c r="G1193" s="457"/>
      <c r="Q1193" s="457"/>
    </row>
    <row r="1194" spans="2:17" hidden="1" outlineLevel="1" x14ac:dyDescent="0.2">
      <c r="B1194" s="457"/>
      <c r="C1194" s="457"/>
      <c r="D1194" s="502">
        <f t="array" ref="D1194:D1196">BSC.Core.ATM.Ladder</f>
        <v>8.4499999999999993</v>
      </c>
      <c r="E1194" s="457"/>
      <c r="G1194" s="518">
        <f t="array" ref="G1194:G1199">(Required.assets.BSC.Core.LL.Voice.Links+Required.assets.BSC.Core.Fibre.Voice.Links)/Utilisation.Ports</f>
        <v>0</v>
      </c>
      <c r="H1194" s="542"/>
      <c r="I1194" s="542"/>
      <c r="J1194" s="542"/>
      <c r="K1194" s="542"/>
      <c r="L1194" s="542"/>
      <c r="M1194" s="542"/>
      <c r="N1194" s="542"/>
      <c r="O1194" s="542"/>
      <c r="P1194" s="542"/>
      <c r="Q1194" s="457"/>
    </row>
    <row r="1195" spans="2:17" hidden="1" outlineLevel="1" x14ac:dyDescent="0.2">
      <c r="B1195" s="457"/>
      <c r="C1195" s="457"/>
      <c r="D1195" s="502">
        <v>34.369999999999997</v>
      </c>
      <c r="E1195" s="457"/>
      <c r="G1195" s="518">
        <v>0</v>
      </c>
      <c r="H1195" s="542"/>
      <c r="I1195" s="542"/>
      <c r="J1195" s="542"/>
      <c r="K1195" s="542"/>
      <c r="L1195" s="542"/>
      <c r="M1195" s="542"/>
      <c r="N1195" s="542"/>
      <c r="O1195" s="542"/>
      <c r="P1195" s="542"/>
      <c r="Q1195" s="457"/>
    </row>
    <row r="1196" spans="2:17" hidden="1" outlineLevel="1" x14ac:dyDescent="0.2">
      <c r="B1196" s="457"/>
      <c r="C1196" s="457"/>
      <c r="D1196" s="502">
        <v>155.52000000000001</v>
      </c>
      <c r="E1196" s="457"/>
      <c r="G1196" s="518">
        <v>0</v>
      </c>
      <c r="H1196" s="542"/>
      <c r="I1196" s="542"/>
      <c r="J1196" s="542"/>
      <c r="K1196" s="542"/>
      <c r="L1196" s="542"/>
      <c r="M1196" s="542"/>
      <c r="N1196" s="542"/>
      <c r="O1196" s="542"/>
      <c r="P1196" s="542"/>
      <c r="Q1196" s="457"/>
    </row>
    <row r="1197" spans="2:17" hidden="1" outlineLevel="1" x14ac:dyDescent="0.2">
      <c r="B1197" s="457"/>
      <c r="C1197" s="457"/>
      <c r="D1197" s="502">
        <f t="array" ref="D1197:D1199">BSC.Core.Ethernet.Ladder</f>
        <v>30</v>
      </c>
      <c r="E1197" s="457"/>
      <c r="G1197" s="518">
        <v>0</v>
      </c>
      <c r="H1197" s="542"/>
      <c r="I1197" s="542"/>
      <c r="J1197" s="542"/>
      <c r="K1197" s="542"/>
      <c r="L1197" s="542"/>
      <c r="M1197" s="542"/>
      <c r="N1197" s="542"/>
      <c r="O1197" s="542"/>
      <c r="P1197" s="542"/>
      <c r="Q1197" s="457"/>
    </row>
    <row r="1198" spans="2:17" hidden="1" outlineLevel="1" x14ac:dyDescent="0.2">
      <c r="B1198" s="457"/>
      <c r="C1198" s="457"/>
      <c r="D1198" s="502">
        <v>100</v>
      </c>
      <c r="E1198" s="457"/>
      <c r="G1198" s="518">
        <v>0</v>
      </c>
      <c r="H1198" s="542"/>
      <c r="I1198" s="542"/>
      <c r="J1198" s="542"/>
      <c r="K1198" s="542"/>
      <c r="L1198" s="542"/>
      <c r="M1198" s="542"/>
      <c r="N1198" s="542"/>
      <c r="O1198" s="542"/>
      <c r="P1198" s="542"/>
      <c r="Q1198" s="457"/>
    </row>
    <row r="1199" spans="2:17" hidden="1" outlineLevel="1" x14ac:dyDescent="0.2">
      <c r="B1199" s="457"/>
      <c r="C1199" s="457"/>
      <c r="D1199" s="502">
        <v>1024</v>
      </c>
      <c r="E1199" s="457"/>
      <c r="G1199" s="518">
        <v>0</v>
      </c>
      <c r="H1199" s="542"/>
      <c r="I1199" s="542"/>
      <c r="J1199" s="542"/>
      <c r="K1199" s="542"/>
      <c r="L1199" s="542"/>
      <c r="M1199" s="542"/>
      <c r="N1199" s="542"/>
      <c r="O1199" s="542"/>
      <c r="P1199" s="542"/>
      <c r="Q1199" s="457"/>
    </row>
    <row r="1200" spans="2:17" hidden="1" outlineLevel="1" x14ac:dyDescent="0.2">
      <c r="B1200" s="457"/>
      <c r="C1200" s="457"/>
      <c r="D1200" s="457"/>
      <c r="E1200" s="457"/>
      <c r="G1200" s="466" t="s">
        <v>305</v>
      </c>
      <c r="Q1200" s="457"/>
    </row>
    <row r="1201" spans="1:46" hidden="1" outlineLevel="1" x14ac:dyDescent="0.2">
      <c r="B1201" s="457"/>
      <c r="C1201" s="472" t="s">
        <v>1243</v>
      </c>
      <c r="D1201" s="457"/>
      <c r="E1201" s="457"/>
      <c r="G1201" s="457"/>
      <c r="Q1201" s="457"/>
    </row>
    <row r="1202" spans="1:46" hidden="1" outlineLevel="1" x14ac:dyDescent="0.2">
      <c r="B1202" s="457"/>
      <c r="C1202" s="457"/>
      <c r="D1202" s="502">
        <f t="array" ref="D1202:D1204">BSC.Core.ATM.Ladder</f>
        <v>8.4499999999999993</v>
      </c>
      <c r="E1202" s="457"/>
      <c r="G1202" s="518">
        <f t="array" ref="G1202:G1207">(Required.assets.BSC.Core.LL.Data.Links+Required.assets.BSC.Core.Fibre.Data.Links)/Utilisation.Ports</f>
        <v>0</v>
      </c>
      <c r="H1202" s="542"/>
      <c r="I1202" s="542"/>
      <c r="J1202" s="542"/>
      <c r="K1202" s="542"/>
      <c r="L1202" s="542"/>
      <c r="M1202" s="542"/>
      <c r="N1202" s="542"/>
      <c r="O1202" s="542"/>
      <c r="P1202" s="542"/>
      <c r="Q1202" s="457"/>
    </row>
    <row r="1203" spans="1:46" hidden="1" outlineLevel="1" x14ac:dyDescent="0.2">
      <c r="B1203" s="457"/>
      <c r="C1203" s="457"/>
      <c r="D1203" s="502">
        <v>34.369999999999997</v>
      </c>
      <c r="E1203" s="457"/>
      <c r="G1203" s="518">
        <v>0</v>
      </c>
      <c r="H1203" s="542"/>
      <c r="I1203" s="542"/>
      <c r="J1203" s="542"/>
      <c r="K1203" s="542"/>
      <c r="L1203" s="542"/>
      <c r="M1203" s="542"/>
      <c r="N1203" s="542"/>
      <c r="O1203" s="542"/>
      <c r="P1203" s="542"/>
      <c r="Q1203" s="457"/>
    </row>
    <row r="1204" spans="1:46" hidden="1" outlineLevel="1" x14ac:dyDescent="0.2">
      <c r="B1204" s="457"/>
      <c r="C1204" s="457"/>
      <c r="D1204" s="502">
        <v>155.52000000000001</v>
      </c>
      <c r="E1204" s="457"/>
      <c r="G1204" s="518">
        <v>0</v>
      </c>
      <c r="H1204" s="542"/>
      <c r="I1204" s="542"/>
      <c r="J1204" s="542"/>
      <c r="K1204" s="542"/>
      <c r="L1204" s="542"/>
      <c r="M1204" s="542"/>
      <c r="N1204" s="542"/>
      <c r="O1204" s="542"/>
      <c r="P1204" s="542"/>
      <c r="Q1204" s="457"/>
    </row>
    <row r="1205" spans="1:46" hidden="1" outlineLevel="1" x14ac:dyDescent="0.2">
      <c r="B1205" s="457"/>
      <c r="C1205" s="457"/>
      <c r="D1205" s="502">
        <f t="array" ref="D1205:D1207">BSC.Core.Ethernet.Ladder</f>
        <v>30</v>
      </c>
      <c r="E1205" s="457"/>
      <c r="G1205" s="518">
        <v>0</v>
      </c>
      <c r="H1205" s="542"/>
      <c r="I1205" s="542"/>
      <c r="J1205" s="542"/>
      <c r="K1205" s="542"/>
      <c r="L1205" s="542"/>
      <c r="M1205" s="542"/>
      <c r="N1205" s="542"/>
      <c r="O1205" s="542"/>
      <c r="P1205" s="542"/>
      <c r="Q1205" s="457"/>
    </row>
    <row r="1206" spans="1:46" hidden="1" outlineLevel="1" x14ac:dyDescent="0.2">
      <c r="B1206" s="457"/>
      <c r="C1206" s="457"/>
      <c r="D1206" s="502">
        <v>100</v>
      </c>
      <c r="E1206" s="457"/>
      <c r="G1206" s="518">
        <v>0</v>
      </c>
      <c r="H1206" s="542"/>
      <c r="I1206" s="542"/>
      <c r="J1206" s="542"/>
      <c r="K1206" s="542"/>
      <c r="L1206" s="542"/>
      <c r="M1206" s="542"/>
      <c r="N1206" s="542"/>
      <c r="O1206" s="542"/>
      <c r="P1206" s="542"/>
      <c r="Q1206" s="457"/>
    </row>
    <row r="1207" spans="1:46" hidden="1" outlineLevel="1" x14ac:dyDescent="0.2">
      <c r="B1207" s="457"/>
      <c r="C1207" s="457"/>
      <c r="D1207" s="502">
        <v>1024</v>
      </c>
      <c r="E1207" s="457"/>
      <c r="G1207" s="518">
        <v>0</v>
      </c>
      <c r="H1207" s="542"/>
      <c r="I1207" s="542"/>
      <c r="J1207" s="542"/>
      <c r="K1207" s="542"/>
      <c r="L1207" s="542"/>
      <c r="M1207" s="542"/>
      <c r="N1207" s="542"/>
      <c r="O1207" s="542"/>
      <c r="P1207" s="542"/>
      <c r="Q1207" s="457"/>
    </row>
    <row r="1208" spans="1:46" hidden="1" outlineLevel="1" x14ac:dyDescent="0.2">
      <c r="B1208" s="457"/>
      <c r="C1208" s="457"/>
      <c r="D1208" s="457"/>
      <c r="E1208" s="457"/>
      <c r="G1208" s="466" t="s">
        <v>304</v>
      </c>
    </row>
    <row r="1209" spans="1:46" hidden="1" outlineLevel="1" x14ac:dyDescent="0.2">
      <c r="B1209" s="457"/>
      <c r="C1209" s="457"/>
      <c r="D1209" s="457"/>
      <c r="E1209" s="457"/>
      <c r="G1209" s="457"/>
    </row>
    <row r="1210" spans="1:46" ht="24" hidden="1" outlineLevel="1" x14ac:dyDescent="0.2">
      <c r="A1210" s="457"/>
      <c r="B1210" s="457"/>
      <c r="C1210" s="457"/>
      <c r="D1210" s="543"/>
      <c r="E1210" s="457"/>
      <c r="G1210" s="523" t="str">
        <f t="array" ref="G1210:AT1210">TRANSPOSE(Core.nodes)</f>
        <v>Abancay</v>
      </c>
      <c r="H1210" s="523" t="str">
        <v>Arequipa</v>
      </c>
      <c r="I1210" s="523" t="str">
        <v>Ayacucho</v>
      </c>
      <c r="J1210" s="458" t="str">
        <v>Cajamarca</v>
      </c>
      <c r="K1210" s="458" t="str">
        <v>Callao</v>
      </c>
      <c r="L1210" s="458" t="str">
        <v>Cerro de Pasco</v>
      </c>
      <c r="M1210" s="458" t="str">
        <v>Chachapoyas</v>
      </c>
      <c r="N1210" s="458" t="str">
        <v>Chiclayo</v>
      </c>
      <c r="O1210" s="458" t="str">
        <v>Cusco</v>
      </c>
      <c r="P1210" s="458" t="str">
        <v>Huancavelica</v>
      </c>
      <c r="Q1210" s="458" t="str">
        <v>Huancayo</v>
      </c>
      <c r="R1210" s="458" t="str">
        <v>Huaraz</v>
      </c>
      <c r="S1210" s="458" t="str">
        <v>Ica</v>
      </c>
      <c r="T1210" s="458" t="str">
        <v>Iquitos</v>
      </c>
      <c r="U1210" s="458" t="str">
        <v>Lima</v>
      </c>
      <c r="V1210" s="458" t="str">
        <v>Moquegua</v>
      </c>
      <c r="W1210" s="458" t="str">
        <v>Piura</v>
      </c>
      <c r="X1210" s="458" t="str">
        <v>Pucallpa</v>
      </c>
      <c r="Y1210" s="458" t="str">
        <v>Puerto Maldonado</v>
      </c>
      <c r="Z1210" s="458" t="str">
        <v>Puno</v>
      </c>
      <c r="AA1210" s="458" t="str">
        <v>Tacna</v>
      </c>
      <c r="AB1210" s="458" t="str">
        <v>Tarapoto</v>
      </c>
      <c r="AC1210" s="458" t="str">
        <v>Tingo Maria</v>
      </c>
      <c r="AD1210" s="458" t="str">
        <v>Trujillo</v>
      </c>
      <c r="AE1210" s="458" t="str">
        <v>Tumbes</v>
      </c>
      <c r="AF1210" s="458" t="str">
        <v>spare</v>
      </c>
      <c r="AG1210" s="458" t="str">
        <v>spare</v>
      </c>
      <c r="AH1210" s="458" t="str">
        <v>spare</v>
      </c>
      <c r="AI1210" s="458" t="str">
        <v>spare</v>
      </c>
      <c r="AJ1210" s="458" t="str">
        <v>spare</v>
      </c>
      <c r="AK1210" s="458" t="str">
        <v>spare</v>
      </c>
      <c r="AL1210" s="458" t="str">
        <v>spare</v>
      </c>
      <c r="AM1210" s="458" t="str">
        <v>spare</v>
      </c>
      <c r="AN1210" s="458" t="str">
        <v>spare</v>
      </c>
      <c r="AO1210" s="458" t="str">
        <v>spare</v>
      </c>
      <c r="AP1210" s="458" t="str">
        <v>spare</v>
      </c>
      <c r="AQ1210" s="458" t="str">
        <v>spare</v>
      </c>
      <c r="AR1210" s="458" t="str">
        <v>spare</v>
      </c>
      <c r="AS1210" s="458" t="str">
        <v>spare</v>
      </c>
      <c r="AT1210" s="458" t="str">
        <v>spare</v>
      </c>
    </row>
    <row r="1211" spans="1:46" hidden="1" outlineLevel="1" x14ac:dyDescent="0.2">
      <c r="A1211" s="457"/>
      <c r="B1211" s="457"/>
      <c r="C1211" s="472" t="s">
        <v>1244</v>
      </c>
      <c r="D1211" s="457"/>
      <c r="E1211" s="457"/>
    </row>
    <row r="1212" spans="1:46" hidden="1" outlineLevel="1" x14ac:dyDescent="0.2">
      <c r="A1212" s="457"/>
      <c r="B1212" s="457"/>
      <c r="C1212" s="457"/>
      <c r="D1212" s="457" t="s">
        <v>1156</v>
      </c>
      <c r="E1212" s="457"/>
      <c r="G1212" s="475">
        <f t="array" ref="G1212:AT1213">IF(Main.switching.sites=G1210:AT1210,G676:AT677/Utilisation.BSC.Core,0)</f>
        <v>0</v>
      </c>
      <c r="H1212" s="475">
        <v>298.66605189032907</v>
      </c>
      <c r="I1212" s="475">
        <v>0</v>
      </c>
      <c r="J1212" s="475">
        <v>0</v>
      </c>
      <c r="K1212" s="475">
        <v>0</v>
      </c>
      <c r="L1212" s="475">
        <v>0</v>
      </c>
      <c r="M1212" s="475">
        <v>0</v>
      </c>
      <c r="N1212" s="475">
        <v>0</v>
      </c>
      <c r="O1212" s="475">
        <v>0</v>
      </c>
      <c r="P1212" s="475">
        <v>0</v>
      </c>
      <c r="Q1212" s="475">
        <v>0</v>
      </c>
      <c r="R1212" s="475">
        <v>0</v>
      </c>
      <c r="S1212" s="475">
        <v>0</v>
      </c>
      <c r="T1212" s="475">
        <v>41.770806815135352</v>
      </c>
      <c r="U1212" s="475">
        <v>487.12171434286017</v>
      </c>
      <c r="V1212" s="475">
        <v>0</v>
      </c>
      <c r="W1212" s="475">
        <v>0</v>
      </c>
      <c r="X1212" s="475">
        <v>0</v>
      </c>
      <c r="Y1212" s="475">
        <v>0</v>
      </c>
      <c r="Z1212" s="475">
        <v>0</v>
      </c>
      <c r="AA1212" s="475">
        <v>0</v>
      </c>
      <c r="AB1212" s="475">
        <v>0</v>
      </c>
      <c r="AC1212" s="475">
        <v>0</v>
      </c>
      <c r="AD1212" s="475">
        <v>454.80302768620993</v>
      </c>
      <c r="AE1212" s="475">
        <v>0</v>
      </c>
      <c r="AF1212" s="475">
        <v>0</v>
      </c>
      <c r="AG1212" s="475">
        <v>0</v>
      </c>
      <c r="AH1212" s="475">
        <v>0</v>
      </c>
      <c r="AI1212" s="475">
        <v>0</v>
      </c>
      <c r="AJ1212" s="475">
        <v>0</v>
      </c>
      <c r="AK1212" s="475">
        <v>0</v>
      </c>
      <c r="AL1212" s="475">
        <v>0</v>
      </c>
      <c r="AM1212" s="475">
        <v>0</v>
      </c>
      <c r="AN1212" s="475">
        <v>0</v>
      </c>
      <c r="AO1212" s="475">
        <v>0</v>
      </c>
      <c r="AP1212" s="475">
        <v>0</v>
      </c>
      <c r="AQ1212" s="475">
        <v>0</v>
      </c>
      <c r="AR1212" s="475">
        <v>0</v>
      </c>
      <c r="AS1212" s="475">
        <v>0</v>
      </c>
      <c r="AT1212" s="475">
        <v>0</v>
      </c>
    </row>
    <row r="1213" spans="1:46" hidden="1" outlineLevel="1" x14ac:dyDescent="0.2">
      <c r="A1213" s="457"/>
      <c r="B1213" s="457"/>
      <c r="C1213" s="457"/>
      <c r="D1213" s="457" t="s">
        <v>1157</v>
      </c>
      <c r="E1213" s="457"/>
      <c r="G1213" s="475">
        <v>0</v>
      </c>
      <c r="H1213" s="475">
        <v>2883.9644744546754</v>
      </c>
      <c r="I1213" s="475">
        <v>0</v>
      </c>
      <c r="J1213" s="475">
        <v>0</v>
      </c>
      <c r="K1213" s="475">
        <v>0</v>
      </c>
      <c r="L1213" s="475">
        <v>0</v>
      </c>
      <c r="M1213" s="475">
        <v>0</v>
      </c>
      <c r="N1213" s="475">
        <v>0</v>
      </c>
      <c r="O1213" s="475">
        <v>0</v>
      </c>
      <c r="P1213" s="475">
        <v>0</v>
      </c>
      <c r="Q1213" s="475">
        <v>0</v>
      </c>
      <c r="R1213" s="475">
        <v>0</v>
      </c>
      <c r="S1213" s="475">
        <v>0</v>
      </c>
      <c r="T1213" s="475">
        <v>403.34521503767985</v>
      </c>
      <c r="U1213" s="475">
        <v>4703.7207945418877</v>
      </c>
      <c r="V1213" s="475">
        <v>0</v>
      </c>
      <c r="W1213" s="475">
        <v>0</v>
      </c>
      <c r="X1213" s="475">
        <v>0</v>
      </c>
      <c r="Y1213" s="475">
        <v>0</v>
      </c>
      <c r="Z1213" s="475">
        <v>0</v>
      </c>
      <c r="AA1213" s="475">
        <v>0</v>
      </c>
      <c r="AB1213" s="475">
        <v>0</v>
      </c>
      <c r="AC1213" s="475">
        <v>0</v>
      </c>
      <c r="AD1213" s="475">
        <v>4391.6466783546321</v>
      </c>
      <c r="AE1213" s="475">
        <v>0</v>
      </c>
      <c r="AF1213" s="475">
        <v>0</v>
      </c>
      <c r="AG1213" s="475">
        <v>0</v>
      </c>
      <c r="AH1213" s="475">
        <v>0</v>
      </c>
      <c r="AI1213" s="475">
        <v>0</v>
      </c>
      <c r="AJ1213" s="475">
        <v>0</v>
      </c>
      <c r="AK1213" s="475">
        <v>0</v>
      </c>
      <c r="AL1213" s="475">
        <v>0</v>
      </c>
      <c r="AM1213" s="475">
        <v>0</v>
      </c>
      <c r="AN1213" s="475">
        <v>0</v>
      </c>
      <c r="AO1213" s="475">
        <v>0</v>
      </c>
      <c r="AP1213" s="475">
        <v>0</v>
      </c>
      <c r="AQ1213" s="475">
        <v>0</v>
      </c>
      <c r="AR1213" s="475">
        <v>0</v>
      </c>
      <c r="AS1213" s="475">
        <v>0</v>
      </c>
      <c r="AT1213" s="475">
        <v>0</v>
      </c>
    </row>
    <row r="1214" spans="1:46" hidden="1" outlineLevel="1" x14ac:dyDescent="0.2">
      <c r="A1214" s="457"/>
      <c r="B1214" s="457"/>
      <c r="C1214" s="457"/>
      <c r="D1214" s="457"/>
      <c r="E1214" s="457"/>
      <c r="G1214" s="457"/>
    </row>
    <row r="1215" spans="1:46" hidden="1" outlineLevel="1" x14ac:dyDescent="0.2">
      <c r="B1215" s="457"/>
      <c r="C1215" s="472" t="s">
        <v>1249</v>
      </c>
      <c r="D1215" s="457"/>
      <c r="E1215" s="457"/>
      <c r="G1215" s="457"/>
    </row>
    <row r="1216" spans="1:46" hidden="1" outlineLevel="1" x14ac:dyDescent="0.2">
      <c r="B1216" s="457"/>
      <c r="C1216" s="457"/>
      <c r="D1216" s="457" t="s">
        <v>1156</v>
      </c>
      <c r="E1216" s="457"/>
      <c r="G1216" s="476">
        <f t="array" ref="G1216:AT1216">IF(G1212:AT1212=0,0,G1212:AT1212/G$660:AT$660)</f>
        <v>0</v>
      </c>
      <c r="H1216" s="476">
        <v>99.555350630109686</v>
      </c>
      <c r="I1216" s="476">
        <v>0</v>
      </c>
      <c r="J1216" s="476">
        <v>0</v>
      </c>
      <c r="K1216" s="476">
        <v>0</v>
      </c>
      <c r="L1216" s="476">
        <v>0</v>
      </c>
      <c r="M1216" s="476">
        <v>0</v>
      </c>
      <c r="N1216" s="476">
        <v>0</v>
      </c>
      <c r="O1216" s="476">
        <v>0</v>
      </c>
      <c r="P1216" s="476">
        <v>0</v>
      </c>
      <c r="Q1216" s="476">
        <v>0</v>
      </c>
      <c r="R1216" s="476">
        <v>0</v>
      </c>
      <c r="S1216" s="476">
        <v>0</v>
      </c>
      <c r="T1216" s="476">
        <v>41.770806815135352</v>
      </c>
      <c r="U1216" s="476">
        <v>121.78042858571504</v>
      </c>
      <c r="V1216" s="476">
        <v>0</v>
      </c>
      <c r="W1216" s="476">
        <v>0</v>
      </c>
      <c r="X1216" s="476">
        <v>0</v>
      </c>
      <c r="Y1216" s="476">
        <v>0</v>
      </c>
      <c r="Z1216" s="476">
        <v>0</v>
      </c>
      <c r="AA1216" s="476">
        <v>0</v>
      </c>
      <c r="AB1216" s="476">
        <v>0</v>
      </c>
      <c r="AC1216" s="476">
        <v>0</v>
      </c>
      <c r="AD1216" s="476">
        <v>113.70075692155248</v>
      </c>
      <c r="AE1216" s="476">
        <v>0</v>
      </c>
      <c r="AF1216" s="476">
        <v>0</v>
      </c>
      <c r="AG1216" s="476">
        <v>0</v>
      </c>
      <c r="AH1216" s="476">
        <v>0</v>
      </c>
      <c r="AI1216" s="476">
        <v>0</v>
      </c>
      <c r="AJ1216" s="476">
        <v>0</v>
      </c>
      <c r="AK1216" s="476">
        <v>0</v>
      </c>
      <c r="AL1216" s="476">
        <v>0</v>
      </c>
      <c r="AM1216" s="476">
        <v>0</v>
      </c>
      <c r="AN1216" s="476">
        <v>0</v>
      </c>
      <c r="AO1216" s="476">
        <v>0</v>
      </c>
      <c r="AP1216" s="476">
        <v>0</v>
      </c>
      <c r="AQ1216" s="476">
        <v>0</v>
      </c>
      <c r="AR1216" s="476">
        <v>0</v>
      </c>
      <c r="AS1216" s="476">
        <v>0</v>
      </c>
      <c r="AT1216" s="476">
        <v>0</v>
      </c>
    </row>
    <row r="1217" spans="1:46" hidden="1" outlineLevel="1" x14ac:dyDescent="0.2">
      <c r="B1217" s="457"/>
      <c r="C1217" s="457"/>
      <c r="D1217" s="457" t="s">
        <v>1157</v>
      </c>
      <c r="E1217" s="457"/>
      <c r="G1217" s="476">
        <f t="array" ref="G1217:AT1217">IF(G1213:AT1213=0,0,G1213:AT1213/G$660:AT$660)</f>
        <v>0</v>
      </c>
      <c r="H1217" s="476">
        <v>961.32149148489179</v>
      </c>
      <c r="I1217" s="476">
        <v>0</v>
      </c>
      <c r="J1217" s="476">
        <v>0</v>
      </c>
      <c r="K1217" s="476">
        <v>0</v>
      </c>
      <c r="L1217" s="476">
        <v>0</v>
      </c>
      <c r="M1217" s="476">
        <v>0</v>
      </c>
      <c r="N1217" s="476">
        <v>0</v>
      </c>
      <c r="O1217" s="476">
        <v>0</v>
      </c>
      <c r="P1217" s="476">
        <v>0</v>
      </c>
      <c r="Q1217" s="476">
        <v>0</v>
      </c>
      <c r="R1217" s="476">
        <v>0</v>
      </c>
      <c r="S1217" s="476">
        <v>0</v>
      </c>
      <c r="T1217" s="476">
        <v>403.34521503767985</v>
      </c>
      <c r="U1217" s="476">
        <v>1175.9301986354719</v>
      </c>
      <c r="V1217" s="476">
        <v>0</v>
      </c>
      <c r="W1217" s="476">
        <v>0</v>
      </c>
      <c r="X1217" s="476">
        <v>0</v>
      </c>
      <c r="Y1217" s="476">
        <v>0</v>
      </c>
      <c r="Z1217" s="476">
        <v>0</v>
      </c>
      <c r="AA1217" s="476">
        <v>0</v>
      </c>
      <c r="AB1217" s="476">
        <v>0</v>
      </c>
      <c r="AC1217" s="476">
        <v>0</v>
      </c>
      <c r="AD1217" s="476">
        <v>1097.911669588658</v>
      </c>
      <c r="AE1217" s="476">
        <v>0</v>
      </c>
      <c r="AF1217" s="476">
        <v>0</v>
      </c>
      <c r="AG1217" s="476">
        <v>0</v>
      </c>
      <c r="AH1217" s="476">
        <v>0</v>
      </c>
      <c r="AI1217" s="476">
        <v>0</v>
      </c>
      <c r="AJ1217" s="476">
        <v>0</v>
      </c>
      <c r="AK1217" s="476">
        <v>0</v>
      </c>
      <c r="AL1217" s="476">
        <v>0</v>
      </c>
      <c r="AM1217" s="476">
        <v>0</v>
      </c>
      <c r="AN1217" s="476">
        <v>0</v>
      </c>
      <c r="AO1217" s="476">
        <v>0</v>
      </c>
      <c r="AP1217" s="476">
        <v>0</v>
      </c>
      <c r="AQ1217" s="476">
        <v>0</v>
      </c>
      <c r="AR1217" s="476">
        <v>0</v>
      </c>
      <c r="AS1217" s="476">
        <v>0</v>
      </c>
      <c r="AT1217" s="476">
        <v>0</v>
      </c>
    </row>
    <row r="1218" spans="1:46" hidden="1" outlineLevel="1" x14ac:dyDescent="0.2">
      <c r="B1218" s="457"/>
      <c r="C1218" s="457"/>
      <c r="D1218" s="457"/>
      <c r="E1218" s="457"/>
      <c r="G1218" s="457"/>
    </row>
    <row r="1219" spans="1:46" hidden="1" outlineLevel="1" x14ac:dyDescent="0.2">
      <c r="B1219" s="457"/>
      <c r="C1219" s="472" t="s">
        <v>1246</v>
      </c>
      <c r="D1219" s="457"/>
      <c r="E1219" s="457"/>
      <c r="G1219" s="457"/>
    </row>
    <row r="1220" spans="1:46" hidden="1" outlineLevel="1" x14ac:dyDescent="0.2">
      <c r="B1220" s="457"/>
      <c r="C1220" s="457"/>
      <c r="D1220" s="457" t="s">
        <v>1247</v>
      </c>
      <c r="E1220" s="457"/>
      <c r="G1220" s="509" t="str">
        <f>BSC.Core.Voice.Protocol</f>
        <v>ATM / SDH / PDH</v>
      </c>
    </row>
    <row r="1221" spans="1:46" hidden="1" outlineLevel="1" x14ac:dyDescent="0.2">
      <c r="B1221" s="457"/>
      <c r="C1221" s="457"/>
      <c r="D1221" s="457" t="s">
        <v>1248</v>
      </c>
      <c r="E1221" s="457"/>
      <c r="G1221" s="509" t="str">
        <f>BSC.Core.Data.Protocol</f>
        <v>ATM / SDH / PDH</v>
      </c>
    </row>
    <row r="1222" spans="1:46" hidden="1" outlineLevel="1" x14ac:dyDescent="0.2">
      <c r="B1222" s="457"/>
      <c r="C1222" s="457"/>
      <c r="D1222" s="457"/>
      <c r="E1222" s="457"/>
      <c r="G1222" s="457"/>
    </row>
    <row r="1223" spans="1:46" ht="24" hidden="1" outlineLevel="1" x14ac:dyDescent="0.2">
      <c r="B1223" s="457"/>
      <c r="C1223" s="540"/>
      <c r="D1223" s="453" t="s">
        <v>1179</v>
      </c>
      <c r="G1223" s="458" t="str">
        <f>INDEX(Protocols,1,)</f>
        <v>ATM / SDH / PDH</v>
      </c>
      <c r="I1223" s="458" t="str">
        <f>INDEX(Protocols,2,)</f>
        <v>Ethernet</v>
      </c>
    </row>
    <row r="1224" spans="1:46" hidden="1" outlineLevel="1" x14ac:dyDescent="0.2">
      <c r="B1224" s="457"/>
      <c r="C1224" s="540"/>
      <c r="G1224" s="513">
        <v>0</v>
      </c>
      <c r="H1224" s="513">
        <f t="array" ref="H1224:H1226">G1225:G1227</f>
        <v>8.4499999999999993</v>
      </c>
      <c r="I1224" s="513">
        <v>0</v>
      </c>
      <c r="J1224" s="521">
        <f t="array" ref="J1224:J1226">I1225:I1227</f>
        <v>30</v>
      </c>
    </row>
    <row r="1225" spans="1:46" hidden="1" outlineLevel="1" x14ac:dyDescent="0.2">
      <c r="B1225" s="457"/>
      <c r="C1225" s="540"/>
      <c r="G1225" s="514">
        <f t="array" ref="G1225:G1227">BSC.Core.ATM.Ladder</f>
        <v>8.4499999999999993</v>
      </c>
      <c r="H1225" s="513">
        <v>34.369999999999997</v>
      </c>
      <c r="I1225" s="489">
        <f t="array" ref="I1225:I1227">BSC.Core.Ethernet.Ladder</f>
        <v>30</v>
      </c>
      <c r="J1225" s="521">
        <v>100</v>
      </c>
    </row>
    <row r="1226" spans="1:46" hidden="1" outlineLevel="1" x14ac:dyDescent="0.2">
      <c r="B1226" s="457"/>
      <c r="C1226" s="540"/>
      <c r="G1226" s="514">
        <v>34.369999999999997</v>
      </c>
      <c r="H1226" s="513">
        <v>155.52000000000001</v>
      </c>
      <c r="I1226" s="489">
        <v>100</v>
      </c>
      <c r="J1226" s="521">
        <v>1024</v>
      </c>
    </row>
    <row r="1227" spans="1:46" hidden="1" outlineLevel="1" x14ac:dyDescent="0.2">
      <c r="B1227" s="457"/>
      <c r="C1227" s="540"/>
      <c r="G1227" s="514">
        <v>155.52000000000001</v>
      </c>
      <c r="H1227" s="515" t="s">
        <v>299</v>
      </c>
      <c r="I1227" s="489">
        <v>1024</v>
      </c>
      <c r="J1227" s="515" t="s">
        <v>299</v>
      </c>
    </row>
    <row r="1228" spans="1:46" hidden="1" outlineLevel="1" x14ac:dyDescent="0.2">
      <c r="B1228" s="457"/>
      <c r="C1228" s="540"/>
      <c r="D1228" s="540"/>
      <c r="E1228" s="457"/>
      <c r="G1228" s="457"/>
    </row>
    <row r="1229" spans="1:46" ht="24" hidden="1" outlineLevel="1" x14ac:dyDescent="0.2">
      <c r="B1229" s="457"/>
      <c r="D1229" s="457"/>
      <c r="E1229" s="457"/>
      <c r="G1229" s="523" t="str">
        <f t="array" ref="G1229:AT1229">TRANSPOSE(Core.nodes)</f>
        <v>Abancay</v>
      </c>
      <c r="H1229" s="523" t="str">
        <v>Arequipa</v>
      </c>
      <c r="I1229" s="523" t="str">
        <v>Ayacucho</v>
      </c>
      <c r="J1229" s="458" t="str">
        <v>Cajamarca</v>
      </c>
      <c r="K1229" s="458" t="str">
        <v>Callao</v>
      </c>
      <c r="L1229" s="458" t="str">
        <v>Cerro de Pasco</v>
      </c>
      <c r="M1229" s="458" t="str">
        <v>Chachapoyas</v>
      </c>
      <c r="N1229" s="458" t="str">
        <v>Chiclayo</v>
      </c>
      <c r="O1229" s="458" t="str">
        <v>Cusco</v>
      </c>
      <c r="P1229" s="458" t="str">
        <v>Huancavelica</v>
      </c>
      <c r="Q1229" s="458" t="str">
        <v>Huancayo</v>
      </c>
      <c r="R1229" s="458" t="str">
        <v>Huaraz</v>
      </c>
      <c r="S1229" s="458" t="str">
        <v>Ica</v>
      </c>
      <c r="T1229" s="458" t="str">
        <v>Iquitos</v>
      </c>
      <c r="U1229" s="458" t="str">
        <v>Lima</v>
      </c>
      <c r="V1229" s="458" t="str">
        <v>Moquegua</v>
      </c>
      <c r="W1229" s="458" t="str">
        <v>Piura</v>
      </c>
      <c r="X1229" s="458" t="str">
        <v>Pucallpa</v>
      </c>
      <c r="Y1229" s="458" t="str">
        <v>Puerto Maldonado</v>
      </c>
      <c r="Z1229" s="458" t="str">
        <v>Puno</v>
      </c>
      <c r="AA1229" s="458" t="str">
        <v>Tacna</v>
      </c>
      <c r="AB1229" s="458" t="str">
        <v>Tarapoto</v>
      </c>
      <c r="AC1229" s="458" t="str">
        <v>Tingo Maria</v>
      </c>
      <c r="AD1229" s="458" t="str">
        <v>Trujillo</v>
      </c>
      <c r="AE1229" s="458" t="str">
        <v>Tumbes</v>
      </c>
      <c r="AF1229" s="458" t="str">
        <v>spare</v>
      </c>
      <c r="AG1229" s="458" t="str">
        <v>spare</v>
      </c>
      <c r="AH1229" s="458" t="str">
        <v>spare</v>
      </c>
      <c r="AI1229" s="458" t="str">
        <v>spare</v>
      </c>
      <c r="AJ1229" s="458" t="str">
        <v>spare</v>
      </c>
      <c r="AK1229" s="458" t="str">
        <v>spare</v>
      </c>
      <c r="AL1229" s="458" t="str">
        <v>spare</v>
      </c>
      <c r="AM1229" s="458" t="str">
        <v>spare</v>
      </c>
      <c r="AN1229" s="458" t="str">
        <v>spare</v>
      </c>
      <c r="AO1229" s="458" t="str">
        <v>spare</v>
      </c>
      <c r="AP1229" s="458" t="str">
        <v>spare</v>
      </c>
      <c r="AQ1229" s="458" t="str">
        <v>spare</v>
      </c>
      <c r="AR1229" s="458" t="str">
        <v>spare</v>
      </c>
      <c r="AS1229" s="458" t="str">
        <v>spare</v>
      </c>
      <c r="AT1229" s="458" t="str">
        <v>spare</v>
      </c>
    </row>
    <row r="1230" spans="1:46" s="457" customFormat="1" hidden="1" outlineLevel="1" x14ac:dyDescent="0.2">
      <c r="A1230" s="453"/>
      <c r="C1230" s="472" t="s">
        <v>1245</v>
      </c>
      <c r="F1230" s="453"/>
    </row>
    <row r="1231" spans="1:46" hidden="1" outlineLevel="1" x14ac:dyDescent="0.2">
      <c r="B1231" s="457"/>
      <c r="C1231" s="457"/>
      <c r="D1231" s="457" t="s">
        <v>1156</v>
      </c>
      <c r="E1231" s="457"/>
      <c r="G1231" s="475">
        <f t="array" ref="G1231:AT1231">IF(G1216:AT1216=0,0,IF($G1220=$G$1223,VLOOKUP(G1216:AT1216,$G$1224:$H$1227,2),VLOOKUP(G1216:AT1216,$I$1224:$J$1227,2)))</f>
        <v>0</v>
      </c>
      <c r="H1231" s="475">
        <v>155.52000000000001</v>
      </c>
      <c r="I1231" s="475">
        <v>0</v>
      </c>
      <c r="J1231" s="475">
        <v>0</v>
      </c>
      <c r="K1231" s="475">
        <v>0</v>
      </c>
      <c r="L1231" s="475">
        <v>0</v>
      </c>
      <c r="M1231" s="475">
        <v>0</v>
      </c>
      <c r="N1231" s="475">
        <v>0</v>
      </c>
      <c r="O1231" s="475">
        <v>0</v>
      </c>
      <c r="P1231" s="475">
        <v>0</v>
      </c>
      <c r="Q1231" s="475">
        <v>0</v>
      </c>
      <c r="R1231" s="475">
        <v>0</v>
      </c>
      <c r="S1231" s="475">
        <v>0</v>
      </c>
      <c r="T1231" s="475">
        <v>155.52000000000001</v>
      </c>
      <c r="U1231" s="475">
        <v>155.52000000000001</v>
      </c>
      <c r="V1231" s="475">
        <v>0</v>
      </c>
      <c r="W1231" s="475">
        <v>0</v>
      </c>
      <c r="X1231" s="475">
        <v>0</v>
      </c>
      <c r="Y1231" s="475">
        <v>0</v>
      </c>
      <c r="Z1231" s="475">
        <v>0</v>
      </c>
      <c r="AA1231" s="475">
        <v>0</v>
      </c>
      <c r="AB1231" s="475">
        <v>0</v>
      </c>
      <c r="AC1231" s="475">
        <v>0</v>
      </c>
      <c r="AD1231" s="475">
        <v>155.52000000000001</v>
      </c>
      <c r="AE1231" s="475">
        <v>0</v>
      </c>
      <c r="AF1231" s="475">
        <v>0</v>
      </c>
      <c r="AG1231" s="475">
        <v>0</v>
      </c>
      <c r="AH1231" s="475">
        <v>0</v>
      </c>
      <c r="AI1231" s="475">
        <v>0</v>
      </c>
      <c r="AJ1231" s="475">
        <v>0</v>
      </c>
      <c r="AK1231" s="475">
        <v>0</v>
      </c>
      <c r="AL1231" s="475">
        <v>0</v>
      </c>
      <c r="AM1231" s="475">
        <v>0</v>
      </c>
      <c r="AN1231" s="475">
        <v>0</v>
      </c>
      <c r="AO1231" s="475">
        <v>0</v>
      </c>
      <c r="AP1231" s="475">
        <v>0</v>
      </c>
      <c r="AQ1231" s="475">
        <v>0</v>
      </c>
      <c r="AR1231" s="475">
        <v>0</v>
      </c>
      <c r="AS1231" s="475">
        <v>0</v>
      </c>
      <c r="AT1231" s="475">
        <v>0</v>
      </c>
    </row>
    <row r="1232" spans="1:46" hidden="1" outlineLevel="1" x14ac:dyDescent="0.2">
      <c r="B1232" s="457"/>
      <c r="C1232" s="472"/>
      <c r="D1232" s="457" t="s">
        <v>1157</v>
      </c>
      <c r="E1232" s="457"/>
      <c r="G1232" s="475">
        <f t="array" ref="G1232:AT1232">IF(G1217:AT1217=0,0,IF($G1221=$G$1223,VLOOKUP(G1217:AT1217,$G$1224:$H$1227,2),VLOOKUP(G1217:AT1217,$I$1224:$J$1227,2)))</f>
        <v>0</v>
      </c>
      <c r="H1232" s="475" t="str">
        <v>TOO HIGH</v>
      </c>
      <c r="I1232" s="475">
        <v>0</v>
      </c>
      <c r="J1232" s="475">
        <v>0</v>
      </c>
      <c r="K1232" s="475">
        <v>0</v>
      </c>
      <c r="L1232" s="475">
        <v>0</v>
      </c>
      <c r="M1232" s="475">
        <v>0</v>
      </c>
      <c r="N1232" s="475">
        <v>0</v>
      </c>
      <c r="O1232" s="475">
        <v>0</v>
      </c>
      <c r="P1232" s="475">
        <v>0</v>
      </c>
      <c r="Q1232" s="475">
        <v>0</v>
      </c>
      <c r="R1232" s="475">
        <v>0</v>
      </c>
      <c r="S1232" s="475">
        <v>0</v>
      </c>
      <c r="T1232" s="475" t="str">
        <v>TOO HIGH</v>
      </c>
      <c r="U1232" s="475" t="str">
        <v>TOO HIGH</v>
      </c>
      <c r="V1232" s="475">
        <v>0</v>
      </c>
      <c r="W1232" s="475">
        <v>0</v>
      </c>
      <c r="X1232" s="475">
        <v>0</v>
      </c>
      <c r="Y1232" s="475">
        <v>0</v>
      </c>
      <c r="Z1232" s="475">
        <v>0</v>
      </c>
      <c r="AA1232" s="475">
        <v>0</v>
      </c>
      <c r="AB1232" s="475">
        <v>0</v>
      </c>
      <c r="AC1232" s="475">
        <v>0</v>
      </c>
      <c r="AD1232" s="475" t="str">
        <v>TOO HIGH</v>
      </c>
      <c r="AE1232" s="475">
        <v>0</v>
      </c>
      <c r="AF1232" s="475">
        <v>0</v>
      </c>
      <c r="AG1232" s="475">
        <v>0</v>
      </c>
      <c r="AH1232" s="475">
        <v>0</v>
      </c>
      <c r="AI1232" s="475">
        <v>0</v>
      </c>
      <c r="AJ1232" s="475">
        <v>0</v>
      </c>
      <c r="AK1232" s="475">
        <v>0</v>
      </c>
      <c r="AL1232" s="475">
        <v>0</v>
      </c>
      <c r="AM1232" s="475">
        <v>0</v>
      </c>
      <c r="AN1232" s="475">
        <v>0</v>
      </c>
      <c r="AO1232" s="475">
        <v>0</v>
      </c>
      <c r="AP1232" s="475">
        <v>0</v>
      </c>
      <c r="AQ1232" s="475">
        <v>0</v>
      </c>
      <c r="AR1232" s="475">
        <v>0</v>
      </c>
      <c r="AS1232" s="475">
        <v>0</v>
      </c>
      <c r="AT1232" s="475">
        <v>0</v>
      </c>
    </row>
    <row r="1233" spans="2:47" hidden="1" outlineLevel="1" x14ac:dyDescent="0.2">
      <c r="B1233" s="457"/>
      <c r="C1233" s="524"/>
      <c r="D1233" s="457"/>
      <c r="E1233" s="457"/>
      <c r="G1233" s="457"/>
    </row>
    <row r="1234" spans="2:47" hidden="1" outlineLevel="1" x14ac:dyDescent="0.2">
      <c r="B1234" s="457"/>
      <c r="C1234" s="457"/>
      <c r="D1234" s="457" t="s">
        <v>1156</v>
      </c>
      <c r="E1234" s="457"/>
      <c r="G1234" s="457"/>
      <c r="AU1234" s="458" t="s">
        <v>61</v>
      </c>
    </row>
    <row r="1235" spans="2:47" hidden="1" outlineLevel="1" x14ac:dyDescent="0.2">
      <c r="B1235" s="457"/>
      <c r="C1235" s="457"/>
      <c r="D1235" s="514">
        <f t="array" ref="D1235:D1237">BSC.Core.ATM.Ladder</f>
        <v>8.4499999999999993</v>
      </c>
      <c r="E1235" s="457"/>
      <c r="G1235" s="475">
        <f t="array" ref="G1235:AT1240">IF(G$1231:AT$1231=$D1235:$D1240,G$660:AT$660-G$673:AT$673,0)*BSC.Core.Redundancy/Utilisation.Ports</f>
        <v>0</v>
      </c>
      <c r="H1235" s="475">
        <v>0</v>
      </c>
      <c r="I1235" s="475">
        <v>0</v>
      </c>
      <c r="J1235" s="475">
        <v>0</v>
      </c>
      <c r="K1235" s="475">
        <v>0</v>
      </c>
      <c r="L1235" s="475">
        <v>0</v>
      </c>
      <c r="M1235" s="475">
        <v>0</v>
      </c>
      <c r="N1235" s="475">
        <v>0</v>
      </c>
      <c r="O1235" s="475">
        <v>0</v>
      </c>
      <c r="P1235" s="475">
        <v>0</v>
      </c>
      <c r="Q1235" s="475">
        <v>0</v>
      </c>
      <c r="R1235" s="475">
        <v>0</v>
      </c>
      <c r="S1235" s="475">
        <v>0</v>
      </c>
      <c r="T1235" s="475">
        <v>0</v>
      </c>
      <c r="U1235" s="475">
        <v>0</v>
      </c>
      <c r="V1235" s="475">
        <v>0</v>
      </c>
      <c r="W1235" s="475">
        <v>0</v>
      </c>
      <c r="X1235" s="475">
        <v>0</v>
      </c>
      <c r="Y1235" s="475">
        <v>0</v>
      </c>
      <c r="Z1235" s="475">
        <v>0</v>
      </c>
      <c r="AA1235" s="475">
        <v>0</v>
      </c>
      <c r="AB1235" s="475">
        <v>0</v>
      </c>
      <c r="AC1235" s="475">
        <v>0</v>
      </c>
      <c r="AD1235" s="475">
        <v>0</v>
      </c>
      <c r="AE1235" s="475">
        <v>0</v>
      </c>
      <c r="AF1235" s="475">
        <v>0</v>
      </c>
      <c r="AG1235" s="475">
        <v>0</v>
      </c>
      <c r="AH1235" s="475">
        <v>0</v>
      </c>
      <c r="AI1235" s="475">
        <v>0</v>
      </c>
      <c r="AJ1235" s="475">
        <v>0</v>
      </c>
      <c r="AK1235" s="475">
        <v>0</v>
      </c>
      <c r="AL1235" s="475">
        <v>0</v>
      </c>
      <c r="AM1235" s="475">
        <v>0</v>
      </c>
      <c r="AN1235" s="475">
        <v>0</v>
      </c>
      <c r="AO1235" s="475">
        <v>0</v>
      </c>
      <c r="AP1235" s="475">
        <v>0</v>
      </c>
      <c r="AQ1235" s="475">
        <v>0</v>
      </c>
      <c r="AR1235" s="475">
        <v>0</v>
      </c>
      <c r="AS1235" s="475">
        <v>0</v>
      </c>
      <c r="AT1235" s="475">
        <v>0</v>
      </c>
      <c r="AU1235" s="482">
        <f>SUM(G1235:AT1235)</f>
        <v>0</v>
      </c>
    </row>
    <row r="1236" spans="2:47" hidden="1" outlineLevel="1" x14ac:dyDescent="0.2">
      <c r="B1236" s="457"/>
      <c r="C1236" s="457"/>
      <c r="D1236" s="514">
        <v>34.369999999999997</v>
      </c>
      <c r="E1236" s="457"/>
      <c r="G1236" s="475">
        <v>0</v>
      </c>
      <c r="H1236" s="475">
        <v>0</v>
      </c>
      <c r="I1236" s="475">
        <v>0</v>
      </c>
      <c r="J1236" s="475">
        <v>0</v>
      </c>
      <c r="K1236" s="475">
        <v>0</v>
      </c>
      <c r="L1236" s="475">
        <v>0</v>
      </c>
      <c r="M1236" s="475">
        <v>0</v>
      </c>
      <c r="N1236" s="475">
        <v>0</v>
      </c>
      <c r="O1236" s="475">
        <v>0</v>
      </c>
      <c r="P1236" s="475">
        <v>0</v>
      </c>
      <c r="Q1236" s="475">
        <v>0</v>
      </c>
      <c r="R1236" s="475">
        <v>0</v>
      </c>
      <c r="S1236" s="475">
        <v>0</v>
      </c>
      <c r="T1236" s="475">
        <v>0</v>
      </c>
      <c r="U1236" s="475">
        <v>0</v>
      </c>
      <c r="V1236" s="475">
        <v>0</v>
      </c>
      <c r="W1236" s="475">
        <v>0</v>
      </c>
      <c r="X1236" s="475">
        <v>0</v>
      </c>
      <c r="Y1236" s="475">
        <v>0</v>
      </c>
      <c r="Z1236" s="475">
        <v>0</v>
      </c>
      <c r="AA1236" s="475">
        <v>0</v>
      </c>
      <c r="AB1236" s="475">
        <v>0</v>
      </c>
      <c r="AC1236" s="475">
        <v>0</v>
      </c>
      <c r="AD1236" s="475">
        <v>0</v>
      </c>
      <c r="AE1236" s="475">
        <v>0</v>
      </c>
      <c r="AF1236" s="475">
        <v>0</v>
      </c>
      <c r="AG1236" s="475">
        <v>0</v>
      </c>
      <c r="AH1236" s="475">
        <v>0</v>
      </c>
      <c r="AI1236" s="475">
        <v>0</v>
      </c>
      <c r="AJ1236" s="475">
        <v>0</v>
      </c>
      <c r="AK1236" s="475">
        <v>0</v>
      </c>
      <c r="AL1236" s="475">
        <v>0</v>
      </c>
      <c r="AM1236" s="475">
        <v>0</v>
      </c>
      <c r="AN1236" s="475">
        <v>0</v>
      </c>
      <c r="AO1236" s="475">
        <v>0</v>
      </c>
      <c r="AP1236" s="475">
        <v>0</v>
      </c>
      <c r="AQ1236" s="475">
        <v>0</v>
      </c>
      <c r="AR1236" s="475">
        <v>0</v>
      </c>
      <c r="AS1236" s="475">
        <v>0</v>
      </c>
      <c r="AT1236" s="475">
        <v>0</v>
      </c>
      <c r="AU1236" s="482">
        <f t="shared" ref="AU1236:AU1240" si="131">SUM(G1236:AT1236)</f>
        <v>0</v>
      </c>
    </row>
    <row r="1237" spans="2:47" hidden="1" outlineLevel="1" x14ac:dyDescent="0.2">
      <c r="B1237" s="457"/>
      <c r="C1237" s="457"/>
      <c r="D1237" s="514">
        <v>155.52000000000001</v>
      </c>
      <c r="E1237" s="457"/>
      <c r="G1237" s="475">
        <v>0</v>
      </c>
      <c r="H1237" s="475">
        <v>7.5</v>
      </c>
      <c r="I1237" s="475">
        <v>0</v>
      </c>
      <c r="J1237" s="475">
        <v>0</v>
      </c>
      <c r="K1237" s="475">
        <v>0</v>
      </c>
      <c r="L1237" s="475">
        <v>0</v>
      </c>
      <c r="M1237" s="475">
        <v>0</v>
      </c>
      <c r="N1237" s="475">
        <v>0</v>
      </c>
      <c r="O1237" s="475">
        <v>0</v>
      </c>
      <c r="P1237" s="475">
        <v>0</v>
      </c>
      <c r="Q1237" s="475">
        <v>0</v>
      </c>
      <c r="R1237" s="475">
        <v>0</v>
      </c>
      <c r="S1237" s="475">
        <v>0</v>
      </c>
      <c r="T1237" s="475">
        <v>2.5</v>
      </c>
      <c r="U1237" s="475">
        <v>10</v>
      </c>
      <c r="V1237" s="475">
        <v>0</v>
      </c>
      <c r="W1237" s="475">
        <v>0</v>
      </c>
      <c r="X1237" s="475">
        <v>0</v>
      </c>
      <c r="Y1237" s="475">
        <v>0</v>
      </c>
      <c r="Z1237" s="475">
        <v>0</v>
      </c>
      <c r="AA1237" s="475">
        <v>0</v>
      </c>
      <c r="AB1237" s="475">
        <v>0</v>
      </c>
      <c r="AC1237" s="475">
        <v>0</v>
      </c>
      <c r="AD1237" s="475">
        <v>10</v>
      </c>
      <c r="AE1237" s="475">
        <v>0</v>
      </c>
      <c r="AF1237" s="475">
        <v>0</v>
      </c>
      <c r="AG1237" s="475">
        <v>0</v>
      </c>
      <c r="AH1237" s="475">
        <v>0</v>
      </c>
      <c r="AI1237" s="475">
        <v>0</v>
      </c>
      <c r="AJ1237" s="475">
        <v>0</v>
      </c>
      <c r="AK1237" s="475">
        <v>0</v>
      </c>
      <c r="AL1237" s="475">
        <v>0</v>
      </c>
      <c r="AM1237" s="475">
        <v>0</v>
      </c>
      <c r="AN1237" s="475">
        <v>0</v>
      </c>
      <c r="AO1237" s="475">
        <v>0</v>
      </c>
      <c r="AP1237" s="475">
        <v>0</v>
      </c>
      <c r="AQ1237" s="475">
        <v>0</v>
      </c>
      <c r="AR1237" s="475">
        <v>0</v>
      </c>
      <c r="AS1237" s="475">
        <v>0</v>
      </c>
      <c r="AT1237" s="475">
        <v>0</v>
      </c>
      <c r="AU1237" s="482">
        <f t="shared" si="131"/>
        <v>30</v>
      </c>
    </row>
    <row r="1238" spans="2:47" hidden="1" outlineLevel="1" x14ac:dyDescent="0.2">
      <c r="B1238" s="457"/>
      <c r="C1238" s="457"/>
      <c r="D1238" s="489">
        <f t="array" ref="D1238:D1240">BSC.Core.Ethernet.Ladder</f>
        <v>30</v>
      </c>
      <c r="E1238" s="457"/>
      <c r="G1238" s="475">
        <v>0</v>
      </c>
      <c r="H1238" s="475">
        <v>0</v>
      </c>
      <c r="I1238" s="475">
        <v>0</v>
      </c>
      <c r="J1238" s="475">
        <v>0</v>
      </c>
      <c r="K1238" s="475">
        <v>0</v>
      </c>
      <c r="L1238" s="475">
        <v>0</v>
      </c>
      <c r="M1238" s="475">
        <v>0</v>
      </c>
      <c r="N1238" s="475">
        <v>0</v>
      </c>
      <c r="O1238" s="475">
        <v>0</v>
      </c>
      <c r="P1238" s="475">
        <v>0</v>
      </c>
      <c r="Q1238" s="475">
        <v>0</v>
      </c>
      <c r="R1238" s="475">
        <v>0</v>
      </c>
      <c r="S1238" s="475">
        <v>0</v>
      </c>
      <c r="T1238" s="475">
        <v>0</v>
      </c>
      <c r="U1238" s="475">
        <v>0</v>
      </c>
      <c r="V1238" s="475">
        <v>0</v>
      </c>
      <c r="W1238" s="475">
        <v>0</v>
      </c>
      <c r="X1238" s="475">
        <v>0</v>
      </c>
      <c r="Y1238" s="475">
        <v>0</v>
      </c>
      <c r="Z1238" s="475">
        <v>0</v>
      </c>
      <c r="AA1238" s="475">
        <v>0</v>
      </c>
      <c r="AB1238" s="475">
        <v>0</v>
      </c>
      <c r="AC1238" s="475">
        <v>0</v>
      </c>
      <c r="AD1238" s="475">
        <v>0</v>
      </c>
      <c r="AE1238" s="475">
        <v>0</v>
      </c>
      <c r="AF1238" s="475">
        <v>0</v>
      </c>
      <c r="AG1238" s="475">
        <v>0</v>
      </c>
      <c r="AH1238" s="475">
        <v>0</v>
      </c>
      <c r="AI1238" s="475">
        <v>0</v>
      </c>
      <c r="AJ1238" s="475">
        <v>0</v>
      </c>
      <c r="AK1238" s="475">
        <v>0</v>
      </c>
      <c r="AL1238" s="475">
        <v>0</v>
      </c>
      <c r="AM1238" s="475">
        <v>0</v>
      </c>
      <c r="AN1238" s="475">
        <v>0</v>
      </c>
      <c r="AO1238" s="475">
        <v>0</v>
      </c>
      <c r="AP1238" s="475">
        <v>0</v>
      </c>
      <c r="AQ1238" s="475">
        <v>0</v>
      </c>
      <c r="AR1238" s="475">
        <v>0</v>
      </c>
      <c r="AS1238" s="475">
        <v>0</v>
      </c>
      <c r="AT1238" s="475">
        <v>0</v>
      </c>
      <c r="AU1238" s="482">
        <f t="shared" si="131"/>
        <v>0</v>
      </c>
    </row>
    <row r="1239" spans="2:47" hidden="1" outlineLevel="1" x14ac:dyDescent="0.2">
      <c r="B1239" s="457"/>
      <c r="C1239" s="457"/>
      <c r="D1239" s="489">
        <v>100</v>
      </c>
      <c r="E1239" s="457"/>
      <c r="G1239" s="475">
        <v>0</v>
      </c>
      <c r="H1239" s="475">
        <v>0</v>
      </c>
      <c r="I1239" s="475">
        <v>0</v>
      </c>
      <c r="J1239" s="475">
        <v>0</v>
      </c>
      <c r="K1239" s="475">
        <v>0</v>
      </c>
      <c r="L1239" s="475">
        <v>0</v>
      </c>
      <c r="M1239" s="475">
        <v>0</v>
      </c>
      <c r="N1239" s="475">
        <v>0</v>
      </c>
      <c r="O1239" s="475">
        <v>0</v>
      </c>
      <c r="P1239" s="475">
        <v>0</v>
      </c>
      <c r="Q1239" s="475">
        <v>0</v>
      </c>
      <c r="R1239" s="475">
        <v>0</v>
      </c>
      <c r="S1239" s="475">
        <v>0</v>
      </c>
      <c r="T1239" s="475">
        <v>0</v>
      </c>
      <c r="U1239" s="475">
        <v>0</v>
      </c>
      <c r="V1239" s="475">
        <v>0</v>
      </c>
      <c r="W1239" s="475">
        <v>0</v>
      </c>
      <c r="X1239" s="475">
        <v>0</v>
      </c>
      <c r="Y1239" s="475">
        <v>0</v>
      </c>
      <c r="Z1239" s="475">
        <v>0</v>
      </c>
      <c r="AA1239" s="475">
        <v>0</v>
      </c>
      <c r="AB1239" s="475">
        <v>0</v>
      </c>
      <c r="AC1239" s="475">
        <v>0</v>
      </c>
      <c r="AD1239" s="475">
        <v>0</v>
      </c>
      <c r="AE1239" s="475">
        <v>0</v>
      </c>
      <c r="AF1239" s="475">
        <v>0</v>
      </c>
      <c r="AG1239" s="475">
        <v>0</v>
      </c>
      <c r="AH1239" s="475">
        <v>0</v>
      </c>
      <c r="AI1239" s="475">
        <v>0</v>
      </c>
      <c r="AJ1239" s="475">
        <v>0</v>
      </c>
      <c r="AK1239" s="475">
        <v>0</v>
      </c>
      <c r="AL1239" s="475">
        <v>0</v>
      </c>
      <c r="AM1239" s="475">
        <v>0</v>
      </c>
      <c r="AN1239" s="475">
        <v>0</v>
      </c>
      <c r="AO1239" s="475">
        <v>0</v>
      </c>
      <c r="AP1239" s="475">
        <v>0</v>
      </c>
      <c r="AQ1239" s="475">
        <v>0</v>
      </c>
      <c r="AR1239" s="475">
        <v>0</v>
      </c>
      <c r="AS1239" s="475">
        <v>0</v>
      </c>
      <c r="AT1239" s="475">
        <v>0</v>
      </c>
      <c r="AU1239" s="482">
        <f t="shared" si="131"/>
        <v>0</v>
      </c>
    </row>
    <row r="1240" spans="2:47" hidden="1" outlineLevel="1" x14ac:dyDescent="0.2">
      <c r="B1240" s="457"/>
      <c r="C1240" s="457"/>
      <c r="D1240" s="489">
        <v>1024</v>
      </c>
      <c r="E1240" s="457"/>
      <c r="G1240" s="475">
        <v>0</v>
      </c>
      <c r="H1240" s="475">
        <v>0</v>
      </c>
      <c r="I1240" s="475">
        <v>0</v>
      </c>
      <c r="J1240" s="475">
        <v>0</v>
      </c>
      <c r="K1240" s="475">
        <v>0</v>
      </c>
      <c r="L1240" s="475">
        <v>0</v>
      </c>
      <c r="M1240" s="475">
        <v>0</v>
      </c>
      <c r="N1240" s="475">
        <v>0</v>
      </c>
      <c r="O1240" s="475">
        <v>0</v>
      </c>
      <c r="P1240" s="475">
        <v>0</v>
      </c>
      <c r="Q1240" s="475">
        <v>0</v>
      </c>
      <c r="R1240" s="475">
        <v>0</v>
      </c>
      <c r="S1240" s="475">
        <v>0</v>
      </c>
      <c r="T1240" s="475">
        <v>0</v>
      </c>
      <c r="U1240" s="475">
        <v>0</v>
      </c>
      <c r="V1240" s="475">
        <v>0</v>
      </c>
      <c r="W1240" s="475">
        <v>0</v>
      </c>
      <c r="X1240" s="475">
        <v>0</v>
      </c>
      <c r="Y1240" s="475">
        <v>0</v>
      </c>
      <c r="Z1240" s="475">
        <v>0</v>
      </c>
      <c r="AA1240" s="475">
        <v>0</v>
      </c>
      <c r="AB1240" s="475">
        <v>0</v>
      </c>
      <c r="AC1240" s="475">
        <v>0</v>
      </c>
      <c r="AD1240" s="475">
        <v>0</v>
      </c>
      <c r="AE1240" s="475">
        <v>0</v>
      </c>
      <c r="AF1240" s="475">
        <v>0</v>
      </c>
      <c r="AG1240" s="475">
        <v>0</v>
      </c>
      <c r="AH1240" s="475">
        <v>0</v>
      </c>
      <c r="AI1240" s="475">
        <v>0</v>
      </c>
      <c r="AJ1240" s="475">
        <v>0</v>
      </c>
      <c r="AK1240" s="475">
        <v>0</v>
      </c>
      <c r="AL1240" s="475">
        <v>0</v>
      </c>
      <c r="AM1240" s="475">
        <v>0</v>
      </c>
      <c r="AN1240" s="475">
        <v>0</v>
      </c>
      <c r="AO1240" s="475">
        <v>0</v>
      </c>
      <c r="AP1240" s="475">
        <v>0</v>
      </c>
      <c r="AQ1240" s="475">
        <v>0</v>
      </c>
      <c r="AR1240" s="475">
        <v>0</v>
      </c>
      <c r="AS1240" s="475">
        <v>0</v>
      </c>
      <c r="AT1240" s="475">
        <v>0</v>
      </c>
      <c r="AU1240" s="482">
        <f t="shared" si="131"/>
        <v>0</v>
      </c>
    </row>
    <row r="1241" spans="2:47" hidden="1" outlineLevel="1" x14ac:dyDescent="0.2">
      <c r="B1241" s="457"/>
      <c r="C1241" s="457"/>
      <c r="D1241" s="457"/>
      <c r="E1241" s="457"/>
      <c r="G1241" s="457"/>
      <c r="AU1241" s="466" t="s">
        <v>303</v>
      </c>
    </row>
    <row r="1242" spans="2:47" hidden="1" outlineLevel="1" x14ac:dyDescent="0.2">
      <c r="B1242" s="457"/>
      <c r="C1242" s="457"/>
      <c r="D1242" s="457" t="s">
        <v>1157</v>
      </c>
      <c r="E1242" s="457"/>
      <c r="G1242" s="457"/>
      <c r="AU1242" s="458" t="s">
        <v>61</v>
      </c>
    </row>
    <row r="1243" spans="2:47" hidden="1" outlineLevel="1" x14ac:dyDescent="0.2">
      <c r="B1243" s="457"/>
      <c r="C1243" s="457"/>
      <c r="D1243" s="514">
        <f t="array" ref="D1243:D1245">BSC.Core.ATM.Ladder</f>
        <v>8.4499999999999993</v>
      </c>
      <c r="E1243" s="457"/>
      <c r="G1243" s="475">
        <f t="array" ref="G1243:AT1248">IF(G$1232:AT$1232=$D1243:$D1248,G$660:AT$660-G$673:AT$673,0)*BSC.Core.Redundancy/Utilisation.Ports</f>
        <v>0</v>
      </c>
      <c r="H1243" s="475">
        <v>0</v>
      </c>
      <c r="I1243" s="475">
        <v>0</v>
      </c>
      <c r="J1243" s="475">
        <v>0</v>
      </c>
      <c r="K1243" s="475">
        <v>0</v>
      </c>
      <c r="L1243" s="475">
        <v>0</v>
      </c>
      <c r="M1243" s="475">
        <v>0</v>
      </c>
      <c r="N1243" s="475">
        <v>0</v>
      </c>
      <c r="O1243" s="475">
        <v>0</v>
      </c>
      <c r="P1243" s="475">
        <v>0</v>
      </c>
      <c r="Q1243" s="475">
        <v>0</v>
      </c>
      <c r="R1243" s="475">
        <v>0</v>
      </c>
      <c r="S1243" s="475">
        <v>0</v>
      </c>
      <c r="T1243" s="475">
        <v>0</v>
      </c>
      <c r="U1243" s="475">
        <v>0</v>
      </c>
      <c r="V1243" s="475">
        <v>0</v>
      </c>
      <c r="W1243" s="475">
        <v>0</v>
      </c>
      <c r="X1243" s="475">
        <v>0</v>
      </c>
      <c r="Y1243" s="475">
        <v>0</v>
      </c>
      <c r="Z1243" s="475">
        <v>0</v>
      </c>
      <c r="AA1243" s="475">
        <v>0</v>
      </c>
      <c r="AB1243" s="475">
        <v>0</v>
      </c>
      <c r="AC1243" s="475">
        <v>0</v>
      </c>
      <c r="AD1243" s="475">
        <v>0</v>
      </c>
      <c r="AE1243" s="475">
        <v>0</v>
      </c>
      <c r="AF1243" s="475">
        <v>0</v>
      </c>
      <c r="AG1243" s="475">
        <v>0</v>
      </c>
      <c r="AH1243" s="475">
        <v>0</v>
      </c>
      <c r="AI1243" s="475">
        <v>0</v>
      </c>
      <c r="AJ1243" s="475">
        <v>0</v>
      </c>
      <c r="AK1243" s="475">
        <v>0</v>
      </c>
      <c r="AL1243" s="475">
        <v>0</v>
      </c>
      <c r="AM1243" s="475">
        <v>0</v>
      </c>
      <c r="AN1243" s="475">
        <v>0</v>
      </c>
      <c r="AO1243" s="475">
        <v>0</v>
      </c>
      <c r="AP1243" s="475">
        <v>0</v>
      </c>
      <c r="AQ1243" s="475">
        <v>0</v>
      </c>
      <c r="AR1243" s="475">
        <v>0</v>
      </c>
      <c r="AS1243" s="475">
        <v>0</v>
      </c>
      <c r="AT1243" s="475">
        <v>0</v>
      </c>
      <c r="AU1243" s="482">
        <f t="shared" ref="AU1243:AU1248" si="132">SUM(G1243:AT1243)</f>
        <v>0</v>
      </c>
    </row>
    <row r="1244" spans="2:47" hidden="1" outlineLevel="1" x14ac:dyDescent="0.2">
      <c r="B1244" s="457"/>
      <c r="C1244" s="457"/>
      <c r="D1244" s="514">
        <v>34.369999999999997</v>
      </c>
      <c r="E1244" s="457"/>
      <c r="G1244" s="475">
        <v>0</v>
      </c>
      <c r="H1244" s="475">
        <v>0</v>
      </c>
      <c r="I1244" s="475">
        <v>0</v>
      </c>
      <c r="J1244" s="475">
        <v>0</v>
      </c>
      <c r="K1244" s="475">
        <v>0</v>
      </c>
      <c r="L1244" s="475">
        <v>0</v>
      </c>
      <c r="M1244" s="475">
        <v>0</v>
      </c>
      <c r="N1244" s="475">
        <v>0</v>
      </c>
      <c r="O1244" s="475">
        <v>0</v>
      </c>
      <c r="P1244" s="475">
        <v>0</v>
      </c>
      <c r="Q1244" s="475">
        <v>0</v>
      </c>
      <c r="R1244" s="475">
        <v>0</v>
      </c>
      <c r="S1244" s="475">
        <v>0</v>
      </c>
      <c r="T1244" s="475">
        <v>0</v>
      </c>
      <c r="U1244" s="475">
        <v>0</v>
      </c>
      <c r="V1244" s="475">
        <v>0</v>
      </c>
      <c r="W1244" s="475">
        <v>0</v>
      </c>
      <c r="X1244" s="475">
        <v>0</v>
      </c>
      <c r="Y1244" s="475">
        <v>0</v>
      </c>
      <c r="Z1244" s="475">
        <v>0</v>
      </c>
      <c r="AA1244" s="475">
        <v>0</v>
      </c>
      <c r="AB1244" s="475">
        <v>0</v>
      </c>
      <c r="AC1244" s="475">
        <v>0</v>
      </c>
      <c r="AD1244" s="475">
        <v>0</v>
      </c>
      <c r="AE1244" s="475">
        <v>0</v>
      </c>
      <c r="AF1244" s="475">
        <v>0</v>
      </c>
      <c r="AG1244" s="475">
        <v>0</v>
      </c>
      <c r="AH1244" s="475">
        <v>0</v>
      </c>
      <c r="AI1244" s="475">
        <v>0</v>
      </c>
      <c r="AJ1244" s="475">
        <v>0</v>
      </c>
      <c r="AK1244" s="475">
        <v>0</v>
      </c>
      <c r="AL1244" s="475">
        <v>0</v>
      </c>
      <c r="AM1244" s="475">
        <v>0</v>
      </c>
      <c r="AN1244" s="475">
        <v>0</v>
      </c>
      <c r="AO1244" s="475">
        <v>0</v>
      </c>
      <c r="AP1244" s="475">
        <v>0</v>
      </c>
      <c r="AQ1244" s="475">
        <v>0</v>
      </c>
      <c r="AR1244" s="475">
        <v>0</v>
      </c>
      <c r="AS1244" s="475">
        <v>0</v>
      </c>
      <c r="AT1244" s="475">
        <v>0</v>
      </c>
      <c r="AU1244" s="482">
        <f t="shared" si="132"/>
        <v>0</v>
      </c>
    </row>
    <row r="1245" spans="2:47" hidden="1" outlineLevel="1" x14ac:dyDescent="0.2">
      <c r="B1245" s="457"/>
      <c r="C1245" s="457"/>
      <c r="D1245" s="514">
        <v>155.52000000000001</v>
      </c>
      <c r="E1245" s="457"/>
      <c r="G1245" s="475">
        <v>0</v>
      </c>
      <c r="H1245" s="475">
        <v>0</v>
      </c>
      <c r="I1245" s="475">
        <v>0</v>
      </c>
      <c r="J1245" s="475">
        <v>0</v>
      </c>
      <c r="K1245" s="475">
        <v>0</v>
      </c>
      <c r="L1245" s="475">
        <v>0</v>
      </c>
      <c r="M1245" s="475">
        <v>0</v>
      </c>
      <c r="N1245" s="475">
        <v>0</v>
      </c>
      <c r="O1245" s="475">
        <v>0</v>
      </c>
      <c r="P1245" s="475">
        <v>0</v>
      </c>
      <c r="Q1245" s="475">
        <v>0</v>
      </c>
      <c r="R1245" s="475">
        <v>0</v>
      </c>
      <c r="S1245" s="475">
        <v>0</v>
      </c>
      <c r="T1245" s="475">
        <v>0</v>
      </c>
      <c r="U1245" s="475">
        <v>0</v>
      </c>
      <c r="V1245" s="475">
        <v>0</v>
      </c>
      <c r="W1245" s="475">
        <v>0</v>
      </c>
      <c r="X1245" s="475">
        <v>0</v>
      </c>
      <c r="Y1245" s="475">
        <v>0</v>
      </c>
      <c r="Z1245" s="475">
        <v>0</v>
      </c>
      <c r="AA1245" s="475">
        <v>0</v>
      </c>
      <c r="AB1245" s="475">
        <v>0</v>
      </c>
      <c r="AC1245" s="475">
        <v>0</v>
      </c>
      <c r="AD1245" s="475">
        <v>0</v>
      </c>
      <c r="AE1245" s="475">
        <v>0</v>
      </c>
      <c r="AF1245" s="475">
        <v>0</v>
      </c>
      <c r="AG1245" s="475">
        <v>0</v>
      </c>
      <c r="AH1245" s="475">
        <v>0</v>
      </c>
      <c r="AI1245" s="475">
        <v>0</v>
      </c>
      <c r="AJ1245" s="475">
        <v>0</v>
      </c>
      <c r="AK1245" s="475">
        <v>0</v>
      </c>
      <c r="AL1245" s="475">
        <v>0</v>
      </c>
      <c r="AM1245" s="475">
        <v>0</v>
      </c>
      <c r="AN1245" s="475">
        <v>0</v>
      </c>
      <c r="AO1245" s="475">
        <v>0</v>
      </c>
      <c r="AP1245" s="475">
        <v>0</v>
      </c>
      <c r="AQ1245" s="475">
        <v>0</v>
      </c>
      <c r="AR1245" s="475">
        <v>0</v>
      </c>
      <c r="AS1245" s="475">
        <v>0</v>
      </c>
      <c r="AT1245" s="475">
        <v>0</v>
      </c>
      <c r="AU1245" s="482">
        <f t="shared" si="132"/>
        <v>0</v>
      </c>
    </row>
    <row r="1246" spans="2:47" hidden="1" outlineLevel="1" x14ac:dyDescent="0.2">
      <c r="B1246" s="457"/>
      <c r="C1246" s="457"/>
      <c r="D1246" s="489">
        <f t="array" ref="D1246:D1248">BSC.Core.Ethernet.Ladder</f>
        <v>30</v>
      </c>
      <c r="E1246" s="457"/>
      <c r="G1246" s="475">
        <v>0</v>
      </c>
      <c r="H1246" s="475">
        <v>0</v>
      </c>
      <c r="I1246" s="475">
        <v>0</v>
      </c>
      <c r="J1246" s="475">
        <v>0</v>
      </c>
      <c r="K1246" s="475">
        <v>0</v>
      </c>
      <c r="L1246" s="475">
        <v>0</v>
      </c>
      <c r="M1246" s="475">
        <v>0</v>
      </c>
      <c r="N1246" s="475">
        <v>0</v>
      </c>
      <c r="O1246" s="475">
        <v>0</v>
      </c>
      <c r="P1246" s="475">
        <v>0</v>
      </c>
      <c r="Q1246" s="475">
        <v>0</v>
      </c>
      <c r="R1246" s="475">
        <v>0</v>
      </c>
      <c r="S1246" s="475">
        <v>0</v>
      </c>
      <c r="T1246" s="475">
        <v>0</v>
      </c>
      <c r="U1246" s="475">
        <v>0</v>
      </c>
      <c r="V1246" s="475">
        <v>0</v>
      </c>
      <c r="W1246" s="475">
        <v>0</v>
      </c>
      <c r="X1246" s="475">
        <v>0</v>
      </c>
      <c r="Y1246" s="475">
        <v>0</v>
      </c>
      <c r="Z1246" s="475">
        <v>0</v>
      </c>
      <c r="AA1246" s="475">
        <v>0</v>
      </c>
      <c r="AB1246" s="475">
        <v>0</v>
      </c>
      <c r="AC1246" s="475">
        <v>0</v>
      </c>
      <c r="AD1246" s="475">
        <v>0</v>
      </c>
      <c r="AE1246" s="475">
        <v>0</v>
      </c>
      <c r="AF1246" s="475">
        <v>0</v>
      </c>
      <c r="AG1246" s="475">
        <v>0</v>
      </c>
      <c r="AH1246" s="475">
        <v>0</v>
      </c>
      <c r="AI1246" s="475">
        <v>0</v>
      </c>
      <c r="AJ1246" s="475">
        <v>0</v>
      </c>
      <c r="AK1246" s="475">
        <v>0</v>
      </c>
      <c r="AL1246" s="475">
        <v>0</v>
      </c>
      <c r="AM1246" s="475">
        <v>0</v>
      </c>
      <c r="AN1246" s="475">
        <v>0</v>
      </c>
      <c r="AO1246" s="475">
        <v>0</v>
      </c>
      <c r="AP1246" s="475">
        <v>0</v>
      </c>
      <c r="AQ1246" s="475">
        <v>0</v>
      </c>
      <c r="AR1246" s="475">
        <v>0</v>
      </c>
      <c r="AS1246" s="475">
        <v>0</v>
      </c>
      <c r="AT1246" s="475">
        <v>0</v>
      </c>
      <c r="AU1246" s="482">
        <f t="shared" si="132"/>
        <v>0</v>
      </c>
    </row>
    <row r="1247" spans="2:47" hidden="1" outlineLevel="1" x14ac:dyDescent="0.2">
      <c r="B1247" s="457"/>
      <c r="C1247" s="457"/>
      <c r="D1247" s="489">
        <v>100</v>
      </c>
      <c r="E1247" s="457"/>
      <c r="G1247" s="475">
        <v>0</v>
      </c>
      <c r="H1247" s="475">
        <v>0</v>
      </c>
      <c r="I1247" s="475">
        <v>0</v>
      </c>
      <c r="J1247" s="475">
        <v>0</v>
      </c>
      <c r="K1247" s="475">
        <v>0</v>
      </c>
      <c r="L1247" s="475">
        <v>0</v>
      </c>
      <c r="M1247" s="475">
        <v>0</v>
      </c>
      <c r="N1247" s="475">
        <v>0</v>
      </c>
      <c r="O1247" s="475">
        <v>0</v>
      </c>
      <c r="P1247" s="475">
        <v>0</v>
      </c>
      <c r="Q1247" s="475">
        <v>0</v>
      </c>
      <c r="R1247" s="475">
        <v>0</v>
      </c>
      <c r="S1247" s="475">
        <v>0</v>
      </c>
      <c r="T1247" s="475">
        <v>0</v>
      </c>
      <c r="U1247" s="475">
        <v>0</v>
      </c>
      <c r="V1247" s="475">
        <v>0</v>
      </c>
      <c r="W1247" s="475">
        <v>0</v>
      </c>
      <c r="X1247" s="475">
        <v>0</v>
      </c>
      <c r="Y1247" s="475">
        <v>0</v>
      </c>
      <c r="Z1247" s="475">
        <v>0</v>
      </c>
      <c r="AA1247" s="475">
        <v>0</v>
      </c>
      <c r="AB1247" s="475">
        <v>0</v>
      </c>
      <c r="AC1247" s="475">
        <v>0</v>
      </c>
      <c r="AD1247" s="475">
        <v>0</v>
      </c>
      <c r="AE1247" s="475">
        <v>0</v>
      </c>
      <c r="AF1247" s="475">
        <v>0</v>
      </c>
      <c r="AG1247" s="475">
        <v>0</v>
      </c>
      <c r="AH1247" s="475">
        <v>0</v>
      </c>
      <c r="AI1247" s="475">
        <v>0</v>
      </c>
      <c r="AJ1247" s="475">
        <v>0</v>
      </c>
      <c r="AK1247" s="475">
        <v>0</v>
      </c>
      <c r="AL1247" s="475">
        <v>0</v>
      </c>
      <c r="AM1247" s="475">
        <v>0</v>
      </c>
      <c r="AN1247" s="475">
        <v>0</v>
      </c>
      <c r="AO1247" s="475">
        <v>0</v>
      </c>
      <c r="AP1247" s="475">
        <v>0</v>
      </c>
      <c r="AQ1247" s="475">
        <v>0</v>
      </c>
      <c r="AR1247" s="475">
        <v>0</v>
      </c>
      <c r="AS1247" s="475">
        <v>0</v>
      </c>
      <c r="AT1247" s="475">
        <v>0</v>
      </c>
      <c r="AU1247" s="482">
        <f t="shared" si="132"/>
        <v>0</v>
      </c>
    </row>
    <row r="1248" spans="2:47" hidden="1" outlineLevel="1" x14ac:dyDescent="0.2">
      <c r="B1248" s="457"/>
      <c r="C1248" s="457"/>
      <c r="D1248" s="489">
        <v>1024</v>
      </c>
      <c r="E1248" s="457"/>
      <c r="G1248" s="475">
        <v>0</v>
      </c>
      <c r="H1248" s="475">
        <v>0</v>
      </c>
      <c r="I1248" s="475">
        <v>0</v>
      </c>
      <c r="J1248" s="475">
        <v>0</v>
      </c>
      <c r="K1248" s="475">
        <v>0</v>
      </c>
      <c r="L1248" s="475">
        <v>0</v>
      </c>
      <c r="M1248" s="475">
        <v>0</v>
      </c>
      <c r="N1248" s="475">
        <v>0</v>
      </c>
      <c r="O1248" s="475">
        <v>0</v>
      </c>
      <c r="P1248" s="475">
        <v>0</v>
      </c>
      <c r="Q1248" s="475">
        <v>0</v>
      </c>
      <c r="R1248" s="475">
        <v>0</v>
      </c>
      <c r="S1248" s="475">
        <v>0</v>
      </c>
      <c r="T1248" s="475">
        <v>0</v>
      </c>
      <c r="U1248" s="475">
        <v>0</v>
      </c>
      <c r="V1248" s="475">
        <v>0</v>
      </c>
      <c r="W1248" s="475">
        <v>0</v>
      </c>
      <c r="X1248" s="475">
        <v>0</v>
      </c>
      <c r="Y1248" s="475">
        <v>0</v>
      </c>
      <c r="Z1248" s="475">
        <v>0</v>
      </c>
      <c r="AA1248" s="475">
        <v>0</v>
      </c>
      <c r="AB1248" s="475">
        <v>0</v>
      </c>
      <c r="AC1248" s="475">
        <v>0</v>
      </c>
      <c r="AD1248" s="475">
        <v>0</v>
      </c>
      <c r="AE1248" s="475">
        <v>0</v>
      </c>
      <c r="AF1248" s="475">
        <v>0</v>
      </c>
      <c r="AG1248" s="475">
        <v>0</v>
      </c>
      <c r="AH1248" s="475">
        <v>0</v>
      </c>
      <c r="AI1248" s="475">
        <v>0</v>
      </c>
      <c r="AJ1248" s="475">
        <v>0</v>
      </c>
      <c r="AK1248" s="475">
        <v>0</v>
      </c>
      <c r="AL1248" s="475">
        <v>0</v>
      </c>
      <c r="AM1248" s="475">
        <v>0</v>
      </c>
      <c r="AN1248" s="475">
        <v>0</v>
      </c>
      <c r="AO1248" s="475">
        <v>0</v>
      </c>
      <c r="AP1248" s="475">
        <v>0</v>
      </c>
      <c r="AQ1248" s="475">
        <v>0</v>
      </c>
      <c r="AR1248" s="475">
        <v>0</v>
      </c>
      <c r="AS1248" s="475">
        <v>0</v>
      </c>
      <c r="AT1248" s="475">
        <v>0</v>
      </c>
      <c r="AU1248" s="482">
        <f t="shared" si="132"/>
        <v>0</v>
      </c>
    </row>
    <row r="1249" spans="2:47" hidden="1" outlineLevel="1" x14ac:dyDescent="0.2">
      <c r="B1249" s="457"/>
      <c r="C1249" s="457"/>
      <c r="D1249" s="457"/>
      <c r="E1249" s="457"/>
      <c r="G1249" s="457"/>
      <c r="AU1249" s="466" t="s">
        <v>302</v>
      </c>
    </row>
    <row r="1250" spans="2:47" hidden="1" outlineLevel="1" x14ac:dyDescent="0.2">
      <c r="B1250" s="457"/>
      <c r="C1250" s="457"/>
      <c r="D1250" s="457"/>
      <c r="E1250" s="457"/>
      <c r="G1250" s="457"/>
    </row>
    <row r="1251" spans="2:47" ht="15.75" hidden="1" outlineLevel="1" x14ac:dyDescent="0.2">
      <c r="B1251" s="537" t="s">
        <v>1250</v>
      </c>
      <c r="C1251" s="457"/>
      <c r="D1251" s="457"/>
      <c r="E1251" s="457"/>
      <c r="G1251" s="457"/>
    </row>
    <row r="1252" spans="2:47" hidden="1" outlineLevel="1" x14ac:dyDescent="0.2">
      <c r="B1252" s="457"/>
      <c r="C1252" s="457"/>
      <c r="D1252" s="457"/>
      <c r="E1252" s="457"/>
      <c r="G1252" s="457"/>
    </row>
    <row r="1253" spans="2:47" hidden="1" outlineLevel="1" x14ac:dyDescent="0.2">
      <c r="B1253" s="457"/>
      <c r="C1253" s="472" t="s">
        <v>1251</v>
      </c>
      <c r="D1253" s="457"/>
      <c r="E1253" s="457"/>
      <c r="G1253" s="457"/>
      <c r="Q1253" s="457"/>
    </row>
    <row r="1254" spans="2:47" hidden="1" outlineLevel="1" x14ac:dyDescent="0.2">
      <c r="B1254" s="457"/>
      <c r="C1254" s="457"/>
      <c r="D1254" s="502">
        <f t="array" ref="D1254:D1256">RNC.Core.ATM.Ladder</f>
        <v>34.4</v>
      </c>
      <c r="E1254" s="457"/>
      <c r="G1254" s="518">
        <f t="array" ref="G1254:G1259">(Required.assets.RNC.Core.LL.Voice.Links+Required.assets.RNC.Core.Fibre.Voice.Links)/Utilisation.Ports</f>
        <v>0</v>
      </c>
      <c r="H1254" s="542"/>
      <c r="I1254" s="542"/>
      <c r="J1254" s="542"/>
      <c r="K1254" s="542"/>
      <c r="L1254" s="542"/>
      <c r="M1254" s="542"/>
      <c r="N1254" s="542"/>
      <c r="O1254" s="542"/>
      <c r="P1254" s="542"/>
      <c r="Q1254" s="457"/>
    </row>
    <row r="1255" spans="2:47" hidden="1" outlineLevel="1" x14ac:dyDescent="0.2">
      <c r="B1255" s="457"/>
      <c r="C1255" s="457"/>
      <c r="D1255" s="502">
        <v>155.52000000000001</v>
      </c>
      <c r="E1255" s="457"/>
      <c r="G1255" s="518">
        <v>0</v>
      </c>
      <c r="H1255" s="542"/>
      <c r="I1255" s="542"/>
      <c r="J1255" s="542"/>
      <c r="K1255" s="542"/>
      <c r="L1255" s="542"/>
      <c r="M1255" s="542"/>
      <c r="N1255" s="542"/>
      <c r="O1255" s="542"/>
      <c r="P1255" s="542"/>
      <c r="Q1255" s="457"/>
    </row>
    <row r="1256" spans="2:47" hidden="1" outlineLevel="1" x14ac:dyDescent="0.2">
      <c r="B1256" s="457"/>
      <c r="C1256" s="457"/>
      <c r="D1256" s="502">
        <v>622.08000000000004</v>
      </c>
      <c r="E1256" s="457"/>
      <c r="G1256" s="518">
        <v>0</v>
      </c>
      <c r="H1256" s="542"/>
      <c r="I1256" s="542"/>
      <c r="J1256" s="542"/>
      <c r="K1256" s="542"/>
      <c r="L1256" s="542"/>
      <c r="M1256" s="542"/>
      <c r="N1256" s="542"/>
      <c r="O1256" s="542"/>
      <c r="P1256" s="542"/>
      <c r="Q1256" s="457"/>
    </row>
    <row r="1257" spans="2:47" hidden="1" outlineLevel="1" x14ac:dyDescent="0.2">
      <c r="B1257" s="457"/>
      <c r="C1257" s="457"/>
      <c r="D1257" s="502">
        <f t="array" ref="D1257:D1259">RNC.Core.Ethernet.Ladder</f>
        <v>100</v>
      </c>
      <c r="E1257" s="457"/>
      <c r="G1257" s="518">
        <v>0</v>
      </c>
      <c r="H1257" s="542"/>
      <c r="I1257" s="542"/>
      <c r="J1257" s="542"/>
      <c r="K1257" s="542"/>
      <c r="L1257" s="542"/>
      <c r="M1257" s="542"/>
      <c r="N1257" s="542"/>
      <c r="O1257" s="542"/>
      <c r="P1257" s="542"/>
      <c r="Q1257" s="457"/>
    </row>
    <row r="1258" spans="2:47" hidden="1" outlineLevel="1" x14ac:dyDescent="0.2">
      <c r="B1258" s="457"/>
      <c r="C1258" s="457"/>
      <c r="D1258" s="502">
        <v>1024</v>
      </c>
      <c r="E1258" s="457"/>
      <c r="G1258" s="518">
        <v>0</v>
      </c>
      <c r="H1258" s="542"/>
      <c r="I1258" s="542"/>
      <c r="J1258" s="542"/>
      <c r="K1258" s="542"/>
      <c r="L1258" s="542"/>
      <c r="M1258" s="542"/>
      <c r="N1258" s="542"/>
      <c r="O1258" s="542"/>
      <c r="P1258" s="542"/>
      <c r="Q1258" s="457"/>
    </row>
    <row r="1259" spans="2:47" hidden="1" outlineLevel="1" x14ac:dyDescent="0.2">
      <c r="B1259" s="457"/>
      <c r="C1259" s="457"/>
      <c r="D1259" s="502">
        <v>2488</v>
      </c>
      <c r="E1259" s="457"/>
      <c r="G1259" s="518">
        <v>0</v>
      </c>
      <c r="H1259" s="542"/>
      <c r="I1259" s="542"/>
      <c r="J1259" s="542"/>
      <c r="K1259" s="542"/>
      <c r="L1259" s="542"/>
      <c r="M1259" s="542"/>
      <c r="N1259" s="542"/>
      <c r="O1259" s="542"/>
      <c r="P1259" s="542"/>
      <c r="Q1259" s="457"/>
    </row>
    <row r="1260" spans="2:47" hidden="1" outlineLevel="1" x14ac:dyDescent="0.2">
      <c r="B1260" s="457"/>
      <c r="C1260" s="457"/>
      <c r="D1260" s="457"/>
      <c r="E1260" s="457"/>
      <c r="G1260" s="466" t="s">
        <v>301</v>
      </c>
      <c r="Q1260" s="457"/>
    </row>
    <row r="1261" spans="2:47" hidden="1" outlineLevel="1" x14ac:dyDescent="0.2">
      <c r="B1261" s="457"/>
      <c r="C1261" s="472" t="s">
        <v>1252</v>
      </c>
      <c r="D1261" s="457"/>
      <c r="E1261" s="457"/>
      <c r="G1261" s="457"/>
      <c r="Q1261" s="457"/>
    </row>
    <row r="1262" spans="2:47" hidden="1" outlineLevel="1" x14ac:dyDescent="0.2">
      <c r="B1262" s="457"/>
      <c r="C1262" s="457"/>
      <c r="D1262" s="502">
        <f t="array" ref="D1262:D1264">RNC.Core.ATM.Ladder</f>
        <v>34.4</v>
      </c>
      <c r="E1262" s="457"/>
      <c r="G1262" s="518">
        <f t="array" ref="G1262:G1267">(Required.assets.RNC.Core.LL.Data.Links+Required.assets.RNC.Core.Fibre.Data.Links)/Utilisation.Ports</f>
        <v>0</v>
      </c>
      <c r="H1262" s="542"/>
      <c r="I1262" s="542"/>
      <c r="J1262" s="542"/>
      <c r="K1262" s="542"/>
      <c r="L1262" s="542"/>
      <c r="M1262" s="542"/>
      <c r="N1262" s="542"/>
      <c r="O1262" s="542"/>
      <c r="P1262" s="542"/>
      <c r="Q1262" s="457"/>
    </row>
    <row r="1263" spans="2:47" hidden="1" outlineLevel="1" x14ac:dyDescent="0.2">
      <c r="B1263" s="457"/>
      <c r="C1263" s="457"/>
      <c r="D1263" s="502">
        <v>155.52000000000001</v>
      </c>
      <c r="E1263" s="457"/>
      <c r="G1263" s="518">
        <v>0</v>
      </c>
      <c r="H1263" s="542"/>
      <c r="I1263" s="542"/>
      <c r="J1263" s="542"/>
      <c r="K1263" s="542"/>
      <c r="L1263" s="542"/>
      <c r="M1263" s="542"/>
      <c r="N1263" s="542"/>
      <c r="O1263" s="542"/>
      <c r="P1263" s="542"/>
      <c r="Q1263" s="457"/>
    </row>
    <row r="1264" spans="2:47" hidden="1" outlineLevel="1" x14ac:dyDescent="0.2">
      <c r="B1264" s="457"/>
      <c r="C1264" s="457"/>
      <c r="D1264" s="502">
        <v>622.08000000000004</v>
      </c>
      <c r="E1264" s="457"/>
      <c r="G1264" s="518">
        <v>0</v>
      </c>
      <c r="H1264" s="542"/>
      <c r="I1264" s="542"/>
      <c r="J1264" s="542"/>
      <c r="K1264" s="542"/>
      <c r="L1264" s="542"/>
      <c r="M1264" s="542"/>
      <c r="N1264" s="542"/>
      <c r="O1264" s="542"/>
      <c r="P1264" s="542"/>
      <c r="Q1264" s="457"/>
    </row>
    <row r="1265" spans="2:46" hidden="1" outlineLevel="1" x14ac:dyDescent="0.2">
      <c r="B1265" s="457"/>
      <c r="C1265" s="457"/>
      <c r="D1265" s="502">
        <f t="array" ref="D1265:D1267">RNC.Core.Ethernet.Ladder</f>
        <v>100</v>
      </c>
      <c r="E1265" s="457"/>
      <c r="G1265" s="518">
        <v>0</v>
      </c>
      <c r="H1265" s="542"/>
      <c r="I1265" s="542"/>
      <c r="J1265" s="542"/>
      <c r="K1265" s="542"/>
      <c r="L1265" s="542"/>
      <c r="M1265" s="542"/>
      <c r="N1265" s="542"/>
      <c r="O1265" s="542"/>
      <c r="P1265" s="542"/>
      <c r="Q1265" s="457"/>
    </row>
    <row r="1266" spans="2:46" hidden="1" outlineLevel="1" x14ac:dyDescent="0.2">
      <c r="B1266" s="457"/>
      <c r="C1266" s="457"/>
      <c r="D1266" s="502">
        <v>1024</v>
      </c>
      <c r="E1266" s="457"/>
      <c r="G1266" s="518">
        <v>0</v>
      </c>
      <c r="H1266" s="542"/>
      <c r="I1266" s="542"/>
      <c r="J1266" s="542"/>
      <c r="K1266" s="542"/>
      <c r="L1266" s="542"/>
      <c r="M1266" s="542"/>
      <c r="N1266" s="542"/>
      <c r="O1266" s="542"/>
      <c r="P1266" s="542"/>
      <c r="Q1266" s="457"/>
    </row>
    <row r="1267" spans="2:46" hidden="1" outlineLevel="1" x14ac:dyDescent="0.2">
      <c r="B1267" s="457"/>
      <c r="C1267" s="457"/>
      <c r="D1267" s="502">
        <v>2488</v>
      </c>
      <c r="E1267" s="457"/>
      <c r="G1267" s="518">
        <v>0</v>
      </c>
      <c r="H1267" s="542"/>
      <c r="I1267" s="542"/>
      <c r="J1267" s="542"/>
      <c r="K1267" s="542"/>
      <c r="L1267" s="542"/>
      <c r="M1267" s="542"/>
      <c r="N1267" s="542"/>
      <c r="O1267" s="542"/>
      <c r="P1267" s="542"/>
      <c r="Q1267" s="457"/>
    </row>
    <row r="1268" spans="2:46" hidden="1" outlineLevel="1" x14ac:dyDescent="0.2">
      <c r="B1268" s="457"/>
      <c r="C1268" s="457"/>
      <c r="D1268" s="457"/>
      <c r="E1268" s="457"/>
      <c r="G1268" s="466" t="s">
        <v>300</v>
      </c>
    </row>
    <row r="1269" spans="2:46" hidden="1" outlineLevel="1" x14ac:dyDescent="0.2">
      <c r="B1269" s="457"/>
      <c r="C1269" s="457"/>
      <c r="D1269" s="457"/>
      <c r="E1269" s="457"/>
      <c r="G1269" s="457"/>
    </row>
    <row r="1270" spans="2:46" ht="24" hidden="1" outlineLevel="1" x14ac:dyDescent="0.2">
      <c r="B1270" s="457"/>
      <c r="C1270" s="457"/>
      <c r="D1270" s="543"/>
      <c r="E1270" s="457"/>
      <c r="G1270" s="523" t="str">
        <f t="array" ref="G1270:AT1270">TRANSPOSE(Core.nodes)</f>
        <v>Abancay</v>
      </c>
      <c r="H1270" s="523" t="str">
        <v>Arequipa</v>
      </c>
      <c r="I1270" s="523" t="str">
        <v>Ayacucho</v>
      </c>
      <c r="J1270" s="458" t="str">
        <v>Cajamarca</v>
      </c>
      <c r="K1270" s="458" t="str">
        <v>Callao</v>
      </c>
      <c r="L1270" s="458" t="str">
        <v>Cerro de Pasco</v>
      </c>
      <c r="M1270" s="458" t="str">
        <v>Chachapoyas</v>
      </c>
      <c r="N1270" s="458" t="str">
        <v>Chiclayo</v>
      </c>
      <c r="O1270" s="458" t="str">
        <v>Cusco</v>
      </c>
      <c r="P1270" s="458" t="str">
        <v>Huancavelica</v>
      </c>
      <c r="Q1270" s="458" t="str">
        <v>Huancayo</v>
      </c>
      <c r="R1270" s="458" t="str">
        <v>Huaraz</v>
      </c>
      <c r="S1270" s="458" t="str">
        <v>Ica</v>
      </c>
      <c r="T1270" s="458" t="str">
        <v>Iquitos</v>
      </c>
      <c r="U1270" s="458" t="str">
        <v>Lima</v>
      </c>
      <c r="V1270" s="458" t="str">
        <v>Moquegua</v>
      </c>
      <c r="W1270" s="458" t="str">
        <v>Piura</v>
      </c>
      <c r="X1270" s="458" t="str">
        <v>Pucallpa</v>
      </c>
      <c r="Y1270" s="458" t="str">
        <v>Puerto Maldonado</v>
      </c>
      <c r="Z1270" s="458" t="str">
        <v>Puno</v>
      </c>
      <c r="AA1270" s="458" t="str">
        <v>Tacna</v>
      </c>
      <c r="AB1270" s="458" t="str">
        <v>Tarapoto</v>
      </c>
      <c r="AC1270" s="458" t="str">
        <v>Tingo Maria</v>
      </c>
      <c r="AD1270" s="458" t="str">
        <v>Trujillo</v>
      </c>
      <c r="AE1270" s="458" t="str">
        <v>Tumbes</v>
      </c>
      <c r="AF1270" s="458" t="str">
        <v>spare</v>
      </c>
      <c r="AG1270" s="458" t="str">
        <v>spare</v>
      </c>
      <c r="AH1270" s="458" t="str">
        <v>spare</v>
      </c>
      <c r="AI1270" s="458" t="str">
        <v>spare</v>
      </c>
      <c r="AJ1270" s="458" t="str">
        <v>spare</v>
      </c>
      <c r="AK1270" s="458" t="str">
        <v>spare</v>
      </c>
      <c r="AL1270" s="458" t="str">
        <v>spare</v>
      </c>
      <c r="AM1270" s="458" t="str">
        <v>spare</v>
      </c>
      <c r="AN1270" s="458" t="str">
        <v>spare</v>
      </c>
      <c r="AO1270" s="458" t="str">
        <v>spare</v>
      </c>
      <c r="AP1270" s="458" t="str">
        <v>spare</v>
      </c>
      <c r="AQ1270" s="458" t="str">
        <v>spare</v>
      </c>
      <c r="AR1270" s="458" t="str">
        <v>spare</v>
      </c>
      <c r="AS1270" s="458" t="str">
        <v>spare</v>
      </c>
      <c r="AT1270" s="458" t="str">
        <v>spare</v>
      </c>
    </row>
    <row r="1271" spans="2:46" hidden="1" outlineLevel="1" x14ac:dyDescent="0.2">
      <c r="B1271" s="457"/>
      <c r="C1271" s="472" t="s">
        <v>1253</v>
      </c>
      <c r="D1271" s="457"/>
      <c r="E1271" s="457"/>
    </row>
    <row r="1272" spans="2:46" hidden="1" outlineLevel="1" x14ac:dyDescent="0.2">
      <c r="B1272" s="457"/>
      <c r="C1272" s="457"/>
      <c r="D1272" s="457" t="s">
        <v>1156</v>
      </c>
      <c r="E1272" s="457"/>
      <c r="G1272" s="475">
        <f t="array" ref="G1272:AT1273">IF(Main.switching.sites=G1270:AT1270,G714:AT715/Utilisation.RNC.Core,0)</f>
        <v>0</v>
      </c>
      <c r="H1272" s="475">
        <v>895.9981556709871</v>
      </c>
      <c r="I1272" s="475">
        <v>0</v>
      </c>
      <c r="J1272" s="475">
        <v>0</v>
      </c>
      <c r="K1272" s="475">
        <v>0</v>
      </c>
      <c r="L1272" s="475">
        <v>0</v>
      </c>
      <c r="M1272" s="475">
        <v>0</v>
      </c>
      <c r="N1272" s="475">
        <v>0</v>
      </c>
      <c r="O1272" s="475">
        <v>0</v>
      </c>
      <c r="P1272" s="475">
        <v>0</v>
      </c>
      <c r="Q1272" s="475">
        <v>0</v>
      </c>
      <c r="R1272" s="475">
        <v>0</v>
      </c>
      <c r="S1272" s="475">
        <v>0</v>
      </c>
      <c r="T1272" s="475">
        <v>125.31242044540606</v>
      </c>
      <c r="U1272" s="475">
        <v>1461.3651430285804</v>
      </c>
      <c r="V1272" s="475">
        <v>0</v>
      </c>
      <c r="W1272" s="475">
        <v>0</v>
      </c>
      <c r="X1272" s="475">
        <v>0</v>
      </c>
      <c r="Y1272" s="475">
        <v>0</v>
      </c>
      <c r="Z1272" s="475">
        <v>0</v>
      </c>
      <c r="AA1272" s="475">
        <v>0</v>
      </c>
      <c r="AB1272" s="475">
        <v>0</v>
      </c>
      <c r="AC1272" s="475">
        <v>0</v>
      </c>
      <c r="AD1272" s="475">
        <v>1364.4090830586299</v>
      </c>
      <c r="AE1272" s="475">
        <v>0</v>
      </c>
      <c r="AF1272" s="475">
        <v>0</v>
      </c>
      <c r="AG1272" s="475">
        <v>0</v>
      </c>
      <c r="AH1272" s="475">
        <v>0</v>
      </c>
      <c r="AI1272" s="475">
        <v>0</v>
      </c>
      <c r="AJ1272" s="475">
        <v>0</v>
      </c>
      <c r="AK1272" s="475">
        <v>0</v>
      </c>
      <c r="AL1272" s="475">
        <v>0</v>
      </c>
      <c r="AM1272" s="475">
        <v>0</v>
      </c>
      <c r="AN1272" s="475">
        <v>0</v>
      </c>
      <c r="AO1272" s="475">
        <v>0</v>
      </c>
      <c r="AP1272" s="475">
        <v>0</v>
      </c>
      <c r="AQ1272" s="475">
        <v>0</v>
      </c>
      <c r="AR1272" s="475">
        <v>0</v>
      </c>
      <c r="AS1272" s="475">
        <v>0</v>
      </c>
      <c r="AT1272" s="475">
        <v>0</v>
      </c>
    </row>
    <row r="1273" spans="2:46" hidden="1" outlineLevel="1" x14ac:dyDescent="0.2">
      <c r="B1273" s="457"/>
      <c r="C1273" s="457"/>
      <c r="D1273" s="457" t="s">
        <v>1157</v>
      </c>
      <c r="E1273" s="457"/>
      <c r="G1273" s="475">
        <v>0</v>
      </c>
      <c r="H1273" s="475">
        <v>20373.14903739767</v>
      </c>
      <c r="I1273" s="475">
        <v>0</v>
      </c>
      <c r="J1273" s="475">
        <v>0</v>
      </c>
      <c r="K1273" s="475">
        <v>0</v>
      </c>
      <c r="L1273" s="475">
        <v>0</v>
      </c>
      <c r="M1273" s="475">
        <v>0</v>
      </c>
      <c r="N1273" s="475">
        <v>0</v>
      </c>
      <c r="O1273" s="475">
        <v>0</v>
      </c>
      <c r="P1273" s="475">
        <v>0</v>
      </c>
      <c r="Q1273" s="475">
        <v>0</v>
      </c>
      <c r="R1273" s="475">
        <v>0</v>
      </c>
      <c r="S1273" s="475">
        <v>0</v>
      </c>
      <c r="T1273" s="475">
        <v>2849.3458405161809</v>
      </c>
      <c r="U1273" s="475">
        <v>33228.42761287091</v>
      </c>
      <c r="V1273" s="475">
        <v>0</v>
      </c>
      <c r="W1273" s="475">
        <v>0</v>
      </c>
      <c r="X1273" s="475">
        <v>0</v>
      </c>
      <c r="Y1273" s="475">
        <v>0</v>
      </c>
      <c r="Z1273" s="475">
        <v>0</v>
      </c>
      <c r="AA1273" s="475">
        <v>0</v>
      </c>
      <c r="AB1273" s="475">
        <v>0</v>
      </c>
      <c r="AC1273" s="475">
        <v>0</v>
      </c>
      <c r="AD1273" s="475">
        <v>31023.846892090936</v>
      </c>
      <c r="AE1273" s="475">
        <v>0</v>
      </c>
      <c r="AF1273" s="475">
        <v>0</v>
      </c>
      <c r="AG1273" s="475">
        <v>0</v>
      </c>
      <c r="AH1273" s="475">
        <v>0</v>
      </c>
      <c r="AI1273" s="475">
        <v>0</v>
      </c>
      <c r="AJ1273" s="475">
        <v>0</v>
      </c>
      <c r="AK1273" s="475">
        <v>0</v>
      </c>
      <c r="AL1273" s="475">
        <v>0</v>
      </c>
      <c r="AM1273" s="475">
        <v>0</v>
      </c>
      <c r="AN1273" s="475">
        <v>0</v>
      </c>
      <c r="AO1273" s="475">
        <v>0</v>
      </c>
      <c r="AP1273" s="475">
        <v>0</v>
      </c>
      <c r="AQ1273" s="475">
        <v>0</v>
      </c>
      <c r="AR1273" s="475">
        <v>0</v>
      </c>
      <c r="AS1273" s="475">
        <v>0</v>
      </c>
      <c r="AT1273" s="475">
        <v>0</v>
      </c>
    </row>
    <row r="1274" spans="2:46" hidden="1" outlineLevel="1" x14ac:dyDescent="0.2">
      <c r="B1274" s="457"/>
      <c r="C1274" s="457"/>
      <c r="D1274" s="457"/>
      <c r="E1274" s="457"/>
      <c r="G1274" s="457"/>
    </row>
    <row r="1275" spans="2:46" hidden="1" outlineLevel="1" x14ac:dyDescent="0.2">
      <c r="B1275" s="457"/>
      <c r="C1275" s="472" t="s">
        <v>1255</v>
      </c>
      <c r="D1275" s="457"/>
      <c r="E1275" s="457"/>
      <c r="G1275" s="457"/>
    </row>
    <row r="1276" spans="2:46" hidden="1" outlineLevel="1" x14ac:dyDescent="0.2">
      <c r="B1276" s="457"/>
      <c r="C1276" s="457"/>
      <c r="D1276" s="457" t="s">
        <v>1156</v>
      </c>
      <c r="E1276" s="457"/>
      <c r="G1276" s="476">
        <f t="array" ref="G1276:AT1276">IF(G1272:AT1272=0,0,G1272:AT1272/G$698:AT$698)</f>
        <v>0</v>
      </c>
      <c r="H1276" s="476">
        <v>99.555350630109672</v>
      </c>
      <c r="I1276" s="476">
        <v>0</v>
      </c>
      <c r="J1276" s="476">
        <v>0</v>
      </c>
      <c r="K1276" s="476">
        <v>0</v>
      </c>
      <c r="L1276" s="476">
        <v>0</v>
      </c>
      <c r="M1276" s="476">
        <v>0</v>
      </c>
      <c r="N1276" s="476">
        <v>0</v>
      </c>
      <c r="O1276" s="476">
        <v>0</v>
      </c>
      <c r="P1276" s="476">
        <v>0</v>
      </c>
      <c r="Q1276" s="476">
        <v>0</v>
      </c>
      <c r="R1276" s="476">
        <v>0</v>
      </c>
      <c r="S1276" s="476">
        <v>0</v>
      </c>
      <c r="T1276" s="476">
        <v>62.656210222703031</v>
      </c>
      <c r="U1276" s="476">
        <v>104.38322450204146</v>
      </c>
      <c r="V1276" s="476">
        <v>0</v>
      </c>
      <c r="W1276" s="476">
        <v>0</v>
      </c>
      <c r="X1276" s="476">
        <v>0</v>
      </c>
      <c r="Y1276" s="476">
        <v>0</v>
      </c>
      <c r="Z1276" s="476">
        <v>0</v>
      </c>
      <c r="AA1276" s="476">
        <v>0</v>
      </c>
      <c r="AB1276" s="476">
        <v>0</v>
      </c>
      <c r="AC1276" s="476">
        <v>0</v>
      </c>
      <c r="AD1276" s="476">
        <v>104.95454485066384</v>
      </c>
      <c r="AE1276" s="476">
        <v>0</v>
      </c>
      <c r="AF1276" s="476">
        <v>0</v>
      </c>
      <c r="AG1276" s="476">
        <v>0</v>
      </c>
      <c r="AH1276" s="476">
        <v>0</v>
      </c>
      <c r="AI1276" s="476">
        <v>0</v>
      </c>
      <c r="AJ1276" s="476">
        <v>0</v>
      </c>
      <c r="AK1276" s="476">
        <v>0</v>
      </c>
      <c r="AL1276" s="476">
        <v>0</v>
      </c>
      <c r="AM1276" s="476">
        <v>0</v>
      </c>
      <c r="AN1276" s="476">
        <v>0</v>
      </c>
      <c r="AO1276" s="476">
        <v>0</v>
      </c>
      <c r="AP1276" s="476">
        <v>0</v>
      </c>
      <c r="AQ1276" s="476">
        <v>0</v>
      </c>
      <c r="AR1276" s="476">
        <v>0</v>
      </c>
      <c r="AS1276" s="476">
        <v>0</v>
      </c>
      <c r="AT1276" s="476">
        <v>0</v>
      </c>
    </row>
    <row r="1277" spans="2:46" hidden="1" outlineLevel="1" x14ac:dyDescent="0.2">
      <c r="B1277" s="457"/>
      <c r="C1277" s="457"/>
      <c r="D1277" s="457" t="s">
        <v>1157</v>
      </c>
      <c r="E1277" s="457"/>
      <c r="G1277" s="476">
        <f t="array" ref="G1277:AT1277">IF(G1273:AT1273=0,0,G1273:AT1273/G$698:AT$698)</f>
        <v>0</v>
      </c>
      <c r="H1277" s="476">
        <v>2263.6832263775191</v>
      </c>
      <c r="I1277" s="476">
        <v>0</v>
      </c>
      <c r="J1277" s="476">
        <v>0</v>
      </c>
      <c r="K1277" s="476">
        <v>0</v>
      </c>
      <c r="L1277" s="476">
        <v>0</v>
      </c>
      <c r="M1277" s="476">
        <v>0</v>
      </c>
      <c r="N1277" s="476">
        <v>0</v>
      </c>
      <c r="O1277" s="476">
        <v>0</v>
      </c>
      <c r="P1277" s="476">
        <v>0</v>
      </c>
      <c r="Q1277" s="476">
        <v>0</v>
      </c>
      <c r="R1277" s="476">
        <v>0</v>
      </c>
      <c r="S1277" s="476">
        <v>0</v>
      </c>
      <c r="T1277" s="476">
        <v>1424.6729202580905</v>
      </c>
      <c r="U1277" s="476">
        <v>2373.4591152050648</v>
      </c>
      <c r="V1277" s="476">
        <v>0</v>
      </c>
      <c r="W1277" s="476">
        <v>0</v>
      </c>
      <c r="X1277" s="476">
        <v>0</v>
      </c>
      <c r="Y1277" s="476">
        <v>0</v>
      </c>
      <c r="Z1277" s="476">
        <v>0</v>
      </c>
      <c r="AA1277" s="476">
        <v>0</v>
      </c>
      <c r="AB1277" s="476">
        <v>0</v>
      </c>
      <c r="AC1277" s="476">
        <v>0</v>
      </c>
      <c r="AD1277" s="476">
        <v>2386.449760930072</v>
      </c>
      <c r="AE1277" s="476">
        <v>0</v>
      </c>
      <c r="AF1277" s="476">
        <v>0</v>
      </c>
      <c r="AG1277" s="476">
        <v>0</v>
      </c>
      <c r="AH1277" s="476">
        <v>0</v>
      </c>
      <c r="AI1277" s="476">
        <v>0</v>
      </c>
      <c r="AJ1277" s="476">
        <v>0</v>
      </c>
      <c r="AK1277" s="476">
        <v>0</v>
      </c>
      <c r="AL1277" s="476">
        <v>0</v>
      </c>
      <c r="AM1277" s="476">
        <v>0</v>
      </c>
      <c r="AN1277" s="476">
        <v>0</v>
      </c>
      <c r="AO1277" s="476">
        <v>0</v>
      </c>
      <c r="AP1277" s="476">
        <v>0</v>
      </c>
      <c r="AQ1277" s="476">
        <v>0</v>
      </c>
      <c r="AR1277" s="476">
        <v>0</v>
      </c>
      <c r="AS1277" s="476">
        <v>0</v>
      </c>
      <c r="AT1277" s="476">
        <v>0</v>
      </c>
    </row>
    <row r="1278" spans="2:46" hidden="1" outlineLevel="1" x14ac:dyDescent="0.2">
      <c r="B1278" s="457"/>
      <c r="C1278" s="457"/>
      <c r="D1278" s="457"/>
      <c r="E1278" s="457"/>
      <c r="G1278" s="457"/>
    </row>
    <row r="1279" spans="2:46" hidden="1" outlineLevel="1" x14ac:dyDescent="0.2">
      <c r="B1279" s="457"/>
      <c r="C1279" s="472" t="s">
        <v>1254</v>
      </c>
      <c r="D1279" s="457"/>
      <c r="E1279" s="457"/>
      <c r="G1279" s="457"/>
    </row>
    <row r="1280" spans="2:46" hidden="1" outlineLevel="1" x14ac:dyDescent="0.2">
      <c r="B1280" s="457"/>
      <c r="C1280" s="457"/>
      <c r="D1280" s="457" t="s">
        <v>1247</v>
      </c>
      <c r="E1280" s="457"/>
      <c r="G1280" s="509" t="str">
        <f>RNC.Core.Voice.Protocol</f>
        <v>Ethernet</v>
      </c>
    </row>
    <row r="1281" spans="1:47" hidden="1" outlineLevel="1" x14ac:dyDescent="0.2">
      <c r="B1281" s="457"/>
      <c r="C1281" s="457"/>
      <c r="D1281" s="457" t="s">
        <v>1248</v>
      </c>
      <c r="E1281" s="457"/>
      <c r="G1281" s="509" t="str">
        <f>RNC.Core.Data.Protocol</f>
        <v>Ethernet</v>
      </c>
    </row>
    <row r="1282" spans="1:47" hidden="1" outlineLevel="1" x14ac:dyDescent="0.2">
      <c r="B1282" s="457"/>
      <c r="C1282" s="457"/>
      <c r="D1282" s="457"/>
      <c r="E1282" s="457"/>
      <c r="G1282" s="457"/>
    </row>
    <row r="1283" spans="1:47" ht="24" hidden="1" outlineLevel="1" x14ac:dyDescent="0.2">
      <c r="B1283" s="457"/>
      <c r="C1283" s="540"/>
      <c r="D1283" s="453" t="s">
        <v>1179</v>
      </c>
      <c r="G1283" s="458" t="str">
        <f>INDEX(Protocols,1,)</f>
        <v>ATM / SDH / PDH</v>
      </c>
      <c r="I1283" s="458" t="str">
        <f>INDEX(Protocols,2,)</f>
        <v>Ethernet</v>
      </c>
    </row>
    <row r="1284" spans="1:47" hidden="1" outlineLevel="1" x14ac:dyDescent="0.2">
      <c r="B1284" s="457"/>
      <c r="C1284" s="540"/>
      <c r="G1284" s="513">
        <v>0</v>
      </c>
      <c r="H1284" s="513">
        <f t="array" ref="H1284:H1286">G1285:G1287</f>
        <v>34.4</v>
      </c>
      <c r="I1284" s="513">
        <v>0</v>
      </c>
      <c r="J1284" s="521">
        <f t="array" ref="J1284:J1286">I1285:I1287</f>
        <v>100</v>
      </c>
    </row>
    <row r="1285" spans="1:47" hidden="1" outlineLevel="1" x14ac:dyDescent="0.2">
      <c r="B1285" s="457"/>
      <c r="C1285" s="540"/>
      <c r="G1285" s="514">
        <f t="array" ref="G1285:G1287">RNC.Core.ATM.Ladder</f>
        <v>34.4</v>
      </c>
      <c r="H1285" s="513">
        <v>155.52000000000001</v>
      </c>
      <c r="I1285" s="489">
        <f t="array" ref="I1285:I1287">RNC.Core.Ethernet.Ladder</f>
        <v>100</v>
      </c>
      <c r="J1285" s="521">
        <v>1024</v>
      </c>
    </row>
    <row r="1286" spans="1:47" hidden="1" outlineLevel="1" x14ac:dyDescent="0.2">
      <c r="B1286" s="457"/>
      <c r="C1286" s="540"/>
      <c r="G1286" s="514">
        <v>155.52000000000001</v>
      </c>
      <c r="H1286" s="513">
        <v>622.08000000000004</v>
      </c>
      <c r="I1286" s="489">
        <v>1024</v>
      </c>
      <c r="J1286" s="521">
        <v>2488</v>
      </c>
    </row>
    <row r="1287" spans="1:47" hidden="1" outlineLevel="1" x14ac:dyDescent="0.2">
      <c r="B1287" s="457"/>
      <c r="C1287" s="540"/>
      <c r="G1287" s="514">
        <v>622.08000000000004</v>
      </c>
      <c r="H1287" s="515" t="s">
        <v>299</v>
      </c>
      <c r="I1287" s="489">
        <v>2488</v>
      </c>
      <c r="J1287" s="515" t="s">
        <v>299</v>
      </c>
    </row>
    <row r="1288" spans="1:47" hidden="1" outlineLevel="1" x14ac:dyDescent="0.2">
      <c r="B1288" s="457"/>
      <c r="C1288" s="540"/>
      <c r="D1288" s="540"/>
      <c r="E1288" s="457"/>
      <c r="G1288" s="457"/>
    </row>
    <row r="1289" spans="1:47" ht="24" hidden="1" outlineLevel="1" x14ac:dyDescent="0.2">
      <c r="B1289" s="457"/>
      <c r="D1289" s="457"/>
      <c r="E1289" s="457"/>
      <c r="G1289" s="523" t="str">
        <f t="array" ref="G1289:AT1289">TRANSPOSE(Core.nodes)</f>
        <v>Abancay</v>
      </c>
      <c r="H1289" s="523" t="str">
        <v>Arequipa</v>
      </c>
      <c r="I1289" s="523" t="str">
        <v>Ayacucho</v>
      </c>
      <c r="J1289" s="458" t="str">
        <v>Cajamarca</v>
      </c>
      <c r="K1289" s="458" t="str">
        <v>Callao</v>
      </c>
      <c r="L1289" s="458" t="str">
        <v>Cerro de Pasco</v>
      </c>
      <c r="M1289" s="458" t="str">
        <v>Chachapoyas</v>
      </c>
      <c r="N1289" s="458" t="str">
        <v>Chiclayo</v>
      </c>
      <c r="O1289" s="458" t="str">
        <v>Cusco</v>
      </c>
      <c r="P1289" s="458" t="str">
        <v>Huancavelica</v>
      </c>
      <c r="Q1289" s="458" t="str">
        <v>Huancayo</v>
      </c>
      <c r="R1289" s="458" t="str">
        <v>Huaraz</v>
      </c>
      <c r="S1289" s="458" t="str">
        <v>Ica</v>
      </c>
      <c r="T1289" s="458" t="str">
        <v>Iquitos</v>
      </c>
      <c r="U1289" s="458" t="str">
        <v>Lima</v>
      </c>
      <c r="V1289" s="458" t="str">
        <v>Moquegua</v>
      </c>
      <c r="W1289" s="458" t="str">
        <v>Piura</v>
      </c>
      <c r="X1289" s="458" t="str">
        <v>Pucallpa</v>
      </c>
      <c r="Y1289" s="458" t="str">
        <v>Puerto Maldonado</v>
      </c>
      <c r="Z1289" s="458" t="str">
        <v>Puno</v>
      </c>
      <c r="AA1289" s="458" t="str">
        <v>Tacna</v>
      </c>
      <c r="AB1289" s="458" t="str">
        <v>Tarapoto</v>
      </c>
      <c r="AC1289" s="458" t="str">
        <v>Tingo Maria</v>
      </c>
      <c r="AD1289" s="458" t="str">
        <v>Trujillo</v>
      </c>
      <c r="AE1289" s="458" t="str">
        <v>Tumbes</v>
      </c>
      <c r="AF1289" s="458" t="str">
        <v>spare</v>
      </c>
      <c r="AG1289" s="458" t="str">
        <v>spare</v>
      </c>
      <c r="AH1289" s="458" t="str">
        <v>spare</v>
      </c>
      <c r="AI1289" s="458" t="str">
        <v>spare</v>
      </c>
      <c r="AJ1289" s="458" t="str">
        <v>spare</v>
      </c>
      <c r="AK1289" s="458" t="str">
        <v>spare</v>
      </c>
      <c r="AL1289" s="458" t="str">
        <v>spare</v>
      </c>
      <c r="AM1289" s="458" t="str">
        <v>spare</v>
      </c>
      <c r="AN1289" s="458" t="str">
        <v>spare</v>
      </c>
      <c r="AO1289" s="458" t="str">
        <v>spare</v>
      </c>
      <c r="AP1289" s="458" t="str">
        <v>spare</v>
      </c>
      <c r="AQ1289" s="458" t="str">
        <v>spare</v>
      </c>
      <c r="AR1289" s="458" t="str">
        <v>spare</v>
      </c>
      <c r="AS1289" s="458" t="str">
        <v>spare</v>
      </c>
      <c r="AT1289" s="458" t="str">
        <v>spare</v>
      </c>
    </row>
    <row r="1290" spans="1:47" s="457" customFormat="1" hidden="1" outlineLevel="1" x14ac:dyDescent="0.2">
      <c r="A1290" s="453"/>
      <c r="C1290" s="472" t="s">
        <v>1256</v>
      </c>
      <c r="F1290" s="453"/>
    </row>
    <row r="1291" spans="1:47" hidden="1" outlineLevel="1" x14ac:dyDescent="0.2">
      <c r="B1291" s="457"/>
      <c r="C1291" s="457"/>
      <c r="D1291" s="457" t="s">
        <v>1156</v>
      </c>
      <c r="E1291" s="457"/>
      <c r="G1291" s="474">
        <f t="array" ref="G1291:AT1291">IF(G1276:AT1276=0,0,IF($G1280=$G$1283,VLOOKUP(G1276:AT1276,$G$1284:$H$1287,2),VLOOKUP(G1276:AT1276,$I$1284:$J$1287,2)))</f>
        <v>0</v>
      </c>
      <c r="H1291" s="474">
        <v>100</v>
      </c>
      <c r="I1291" s="474">
        <v>0</v>
      </c>
      <c r="J1291" s="474">
        <v>0</v>
      </c>
      <c r="K1291" s="474">
        <v>0</v>
      </c>
      <c r="L1291" s="474">
        <v>0</v>
      </c>
      <c r="M1291" s="474">
        <v>0</v>
      </c>
      <c r="N1291" s="474">
        <v>0</v>
      </c>
      <c r="O1291" s="474">
        <v>0</v>
      </c>
      <c r="P1291" s="474">
        <v>0</v>
      </c>
      <c r="Q1291" s="474">
        <v>0</v>
      </c>
      <c r="R1291" s="474">
        <v>0</v>
      </c>
      <c r="S1291" s="474">
        <v>0</v>
      </c>
      <c r="T1291" s="474">
        <v>100</v>
      </c>
      <c r="U1291" s="474">
        <v>1024</v>
      </c>
      <c r="V1291" s="474">
        <v>0</v>
      </c>
      <c r="W1291" s="474">
        <v>0</v>
      </c>
      <c r="X1291" s="474">
        <v>0</v>
      </c>
      <c r="Y1291" s="474">
        <v>0</v>
      </c>
      <c r="Z1291" s="474">
        <v>0</v>
      </c>
      <c r="AA1291" s="474">
        <v>0</v>
      </c>
      <c r="AB1291" s="474">
        <v>0</v>
      </c>
      <c r="AC1291" s="474">
        <v>0</v>
      </c>
      <c r="AD1291" s="474">
        <v>1024</v>
      </c>
      <c r="AE1291" s="474">
        <v>0</v>
      </c>
      <c r="AF1291" s="474">
        <v>0</v>
      </c>
      <c r="AG1291" s="474">
        <v>0</v>
      </c>
      <c r="AH1291" s="474">
        <v>0</v>
      </c>
      <c r="AI1291" s="474">
        <v>0</v>
      </c>
      <c r="AJ1291" s="474">
        <v>0</v>
      </c>
      <c r="AK1291" s="474">
        <v>0</v>
      </c>
      <c r="AL1291" s="474">
        <v>0</v>
      </c>
      <c r="AM1291" s="474">
        <v>0</v>
      </c>
      <c r="AN1291" s="474">
        <v>0</v>
      </c>
      <c r="AO1291" s="474">
        <v>0</v>
      </c>
      <c r="AP1291" s="474">
        <v>0</v>
      </c>
      <c r="AQ1291" s="474">
        <v>0</v>
      </c>
      <c r="AR1291" s="474">
        <v>0</v>
      </c>
      <c r="AS1291" s="474">
        <v>0</v>
      </c>
      <c r="AT1291" s="474">
        <v>0</v>
      </c>
    </row>
    <row r="1292" spans="1:47" hidden="1" outlineLevel="1" x14ac:dyDescent="0.2">
      <c r="B1292" s="457"/>
      <c r="C1292" s="472"/>
      <c r="D1292" s="457" t="s">
        <v>1157</v>
      </c>
      <c r="E1292" s="457"/>
      <c r="G1292" s="474">
        <f t="array" ref="G1292:AT1292">IF(G1277:AT1277=0,0,IF($G1281=$G$1283,VLOOKUP(G1277:AT1277,$G$1284:$H$1287,2),VLOOKUP(G1277:AT1277,$I$1284:$J$1287,2)))</f>
        <v>0</v>
      </c>
      <c r="H1292" s="474">
        <v>2488</v>
      </c>
      <c r="I1292" s="474">
        <v>0</v>
      </c>
      <c r="J1292" s="474">
        <v>0</v>
      </c>
      <c r="K1292" s="474">
        <v>0</v>
      </c>
      <c r="L1292" s="474">
        <v>0</v>
      </c>
      <c r="M1292" s="474">
        <v>0</v>
      </c>
      <c r="N1292" s="474">
        <v>0</v>
      </c>
      <c r="O1292" s="474">
        <v>0</v>
      </c>
      <c r="P1292" s="474">
        <v>0</v>
      </c>
      <c r="Q1292" s="474">
        <v>0</v>
      </c>
      <c r="R1292" s="474">
        <v>0</v>
      </c>
      <c r="S1292" s="474">
        <v>0</v>
      </c>
      <c r="T1292" s="474">
        <v>2488</v>
      </c>
      <c r="U1292" s="474">
        <v>2488</v>
      </c>
      <c r="V1292" s="474">
        <v>0</v>
      </c>
      <c r="W1292" s="474">
        <v>0</v>
      </c>
      <c r="X1292" s="474">
        <v>0</v>
      </c>
      <c r="Y1292" s="474">
        <v>0</v>
      </c>
      <c r="Z1292" s="474">
        <v>0</v>
      </c>
      <c r="AA1292" s="474">
        <v>0</v>
      </c>
      <c r="AB1292" s="474">
        <v>0</v>
      </c>
      <c r="AC1292" s="474">
        <v>0</v>
      </c>
      <c r="AD1292" s="474">
        <v>2488</v>
      </c>
      <c r="AE1292" s="474">
        <v>0</v>
      </c>
      <c r="AF1292" s="474">
        <v>0</v>
      </c>
      <c r="AG1292" s="474">
        <v>0</v>
      </c>
      <c r="AH1292" s="474">
        <v>0</v>
      </c>
      <c r="AI1292" s="474">
        <v>0</v>
      </c>
      <c r="AJ1292" s="474">
        <v>0</v>
      </c>
      <c r="AK1292" s="474">
        <v>0</v>
      </c>
      <c r="AL1292" s="474">
        <v>0</v>
      </c>
      <c r="AM1292" s="474">
        <v>0</v>
      </c>
      <c r="AN1292" s="474">
        <v>0</v>
      </c>
      <c r="AO1292" s="474">
        <v>0</v>
      </c>
      <c r="AP1292" s="474">
        <v>0</v>
      </c>
      <c r="AQ1292" s="474">
        <v>0</v>
      </c>
      <c r="AR1292" s="474">
        <v>0</v>
      </c>
      <c r="AS1292" s="474">
        <v>0</v>
      </c>
      <c r="AT1292" s="474">
        <v>0</v>
      </c>
    </row>
    <row r="1293" spans="1:47" hidden="1" outlineLevel="1" x14ac:dyDescent="0.2">
      <c r="B1293" s="457"/>
      <c r="C1293" s="524"/>
      <c r="D1293" s="457"/>
      <c r="E1293" s="457"/>
      <c r="G1293" s="457"/>
    </row>
    <row r="1294" spans="1:47" hidden="1" outlineLevel="1" x14ac:dyDescent="0.2">
      <c r="B1294" s="457"/>
      <c r="C1294" s="457"/>
      <c r="D1294" s="457" t="s">
        <v>1156</v>
      </c>
      <c r="E1294" s="457"/>
      <c r="G1294" s="457"/>
      <c r="AU1294" s="458" t="s">
        <v>61</v>
      </c>
    </row>
    <row r="1295" spans="1:47" hidden="1" outlineLevel="1" x14ac:dyDescent="0.2">
      <c r="B1295" s="457"/>
      <c r="C1295" s="457"/>
      <c r="D1295" s="514">
        <f t="array" ref="D1295:D1297">RNC.Core.ATM.Ladder</f>
        <v>34.4</v>
      </c>
      <c r="E1295" s="457"/>
      <c r="G1295" s="475">
        <f t="array" ref="G1295:AT1300">IF(G$1291:AT$1291=$D1295:$D1300,G$698:AT$698-G$711:AT$711,0)*RNC.Core.Redundancy/Utilisation.Ports</f>
        <v>0</v>
      </c>
      <c r="H1295" s="475">
        <v>0</v>
      </c>
      <c r="I1295" s="475">
        <v>0</v>
      </c>
      <c r="J1295" s="475">
        <v>0</v>
      </c>
      <c r="K1295" s="475">
        <v>0</v>
      </c>
      <c r="L1295" s="475">
        <v>0</v>
      </c>
      <c r="M1295" s="475">
        <v>0</v>
      </c>
      <c r="N1295" s="475">
        <v>0</v>
      </c>
      <c r="O1295" s="475">
        <v>0</v>
      </c>
      <c r="P1295" s="475">
        <v>0</v>
      </c>
      <c r="Q1295" s="475">
        <v>0</v>
      </c>
      <c r="R1295" s="475">
        <v>0</v>
      </c>
      <c r="S1295" s="475">
        <v>0</v>
      </c>
      <c r="T1295" s="475">
        <v>0</v>
      </c>
      <c r="U1295" s="475">
        <v>0</v>
      </c>
      <c r="V1295" s="475">
        <v>0</v>
      </c>
      <c r="W1295" s="475">
        <v>0</v>
      </c>
      <c r="X1295" s="475">
        <v>0</v>
      </c>
      <c r="Y1295" s="475">
        <v>0</v>
      </c>
      <c r="Z1295" s="475">
        <v>0</v>
      </c>
      <c r="AA1295" s="475">
        <v>0</v>
      </c>
      <c r="AB1295" s="475">
        <v>0</v>
      </c>
      <c r="AC1295" s="475">
        <v>0</v>
      </c>
      <c r="AD1295" s="475">
        <v>0</v>
      </c>
      <c r="AE1295" s="475">
        <v>0</v>
      </c>
      <c r="AF1295" s="475">
        <v>0</v>
      </c>
      <c r="AG1295" s="475">
        <v>0</v>
      </c>
      <c r="AH1295" s="475">
        <v>0</v>
      </c>
      <c r="AI1295" s="475">
        <v>0</v>
      </c>
      <c r="AJ1295" s="475">
        <v>0</v>
      </c>
      <c r="AK1295" s="475">
        <v>0</v>
      </c>
      <c r="AL1295" s="475">
        <v>0</v>
      </c>
      <c r="AM1295" s="475">
        <v>0</v>
      </c>
      <c r="AN1295" s="475">
        <v>0</v>
      </c>
      <c r="AO1295" s="475">
        <v>0</v>
      </c>
      <c r="AP1295" s="475">
        <v>0</v>
      </c>
      <c r="AQ1295" s="475">
        <v>0</v>
      </c>
      <c r="AR1295" s="475">
        <v>0</v>
      </c>
      <c r="AS1295" s="475">
        <v>0</v>
      </c>
      <c r="AT1295" s="475">
        <v>0</v>
      </c>
      <c r="AU1295" s="482">
        <f>SUM(G1295:AT1295)</f>
        <v>0</v>
      </c>
    </row>
    <row r="1296" spans="1:47" hidden="1" outlineLevel="1" x14ac:dyDescent="0.2">
      <c r="B1296" s="457"/>
      <c r="C1296" s="457"/>
      <c r="D1296" s="514">
        <v>155.52000000000001</v>
      </c>
      <c r="E1296" s="457"/>
      <c r="G1296" s="475">
        <v>0</v>
      </c>
      <c r="H1296" s="475">
        <v>0</v>
      </c>
      <c r="I1296" s="475">
        <v>0</v>
      </c>
      <c r="J1296" s="475">
        <v>0</v>
      </c>
      <c r="K1296" s="475">
        <v>0</v>
      </c>
      <c r="L1296" s="475">
        <v>0</v>
      </c>
      <c r="M1296" s="475">
        <v>0</v>
      </c>
      <c r="N1296" s="475">
        <v>0</v>
      </c>
      <c r="O1296" s="475">
        <v>0</v>
      </c>
      <c r="P1296" s="475">
        <v>0</v>
      </c>
      <c r="Q1296" s="475">
        <v>0</v>
      </c>
      <c r="R1296" s="475">
        <v>0</v>
      </c>
      <c r="S1296" s="475">
        <v>0</v>
      </c>
      <c r="T1296" s="475">
        <v>0</v>
      </c>
      <c r="U1296" s="475">
        <v>0</v>
      </c>
      <c r="V1296" s="475">
        <v>0</v>
      </c>
      <c r="W1296" s="475">
        <v>0</v>
      </c>
      <c r="X1296" s="475">
        <v>0</v>
      </c>
      <c r="Y1296" s="475">
        <v>0</v>
      </c>
      <c r="Z1296" s="475">
        <v>0</v>
      </c>
      <c r="AA1296" s="475">
        <v>0</v>
      </c>
      <c r="AB1296" s="475">
        <v>0</v>
      </c>
      <c r="AC1296" s="475">
        <v>0</v>
      </c>
      <c r="AD1296" s="475">
        <v>0</v>
      </c>
      <c r="AE1296" s="475">
        <v>0</v>
      </c>
      <c r="AF1296" s="475">
        <v>0</v>
      </c>
      <c r="AG1296" s="475">
        <v>0</v>
      </c>
      <c r="AH1296" s="475">
        <v>0</v>
      </c>
      <c r="AI1296" s="475">
        <v>0</v>
      </c>
      <c r="AJ1296" s="475">
        <v>0</v>
      </c>
      <c r="AK1296" s="475">
        <v>0</v>
      </c>
      <c r="AL1296" s="475">
        <v>0</v>
      </c>
      <c r="AM1296" s="475">
        <v>0</v>
      </c>
      <c r="AN1296" s="475">
        <v>0</v>
      </c>
      <c r="AO1296" s="475">
        <v>0</v>
      </c>
      <c r="AP1296" s="475">
        <v>0</v>
      </c>
      <c r="AQ1296" s="475">
        <v>0</v>
      </c>
      <c r="AR1296" s="475">
        <v>0</v>
      </c>
      <c r="AS1296" s="475">
        <v>0</v>
      </c>
      <c r="AT1296" s="475">
        <v>0</v>
      </c>
      <c r="AU1296" s="482">
        <f t="shared" ref="AU1296:AU1300" si="133">SUM(G1296:AT1296)</f>
        <v>0</v>
      </c>
    </row>
    <row r="1297" spans="1:48" hidden="1" outlineLevel="1" x14ac:dyDescent="0.2">
      <c r="B1297" s="457"/>
      <c r="C1297" s="457"/>
      <c r="D1297" s="514">
        <v>622.08000000000004</v>
      </c>
      <c r="E1297" s="457"/>
      <c r="G1297" s="475">
        <v>0</v>
      </c>
      <c r="H1297" s="475">
        <v>0</v>
      </c>
      <c r="I1297" s="475">
        <v>0</v>
      </c>
      <c r="J1297" s="475">
        <v>0</v>
      </c>
      <c r="K1297" s="475">
        <v>0</v>
      </c>
      <c r="L1297" s="475">
        <v>0</v>
      </c>
      <c r="M1297" s="475">
        <v>0</v>
      </c>
      <c r="N1297" s="475">
        <v>0</v>
      </c>
      <c r="O1297" s="475">
        <v>0</v>
      </c>
      <c r="P1297" s="475">
        <v>0</v>
      </c>
      <c r="Q1297" s="475">
        <v>0</v>
      </c>
      <c r="R1297" s="475">
        <v>0</v>
      </c>
      <c r="S1297" s="475">
        <v>0</v>
      </c>
      <c r="T1297" s="475">
        <v>0</v>
      </c>
      <c r="U1297" s="475">
        <v>0</v>
      </c>
      <c r="V1297" s="475">
        <v>0</v>
      </c>
      <c r="W1297" s="475">
        <v>0</v>
      </c>
      <c r="X1297" s="475">
        <v>0</v>
      </c>
      <c r="Y1297" s="475">
        <v>0</v>
      </c>
      <c r="Z1297" s="475">
        <v>0</v>
      </c>
      <c r="AA1297" s="475">
        <v>0</v>
      </c>
      <c r="AB1297" s="475">
        <v>0</v>
      </c>
      <c r="AC1297" s="475">
        <v>0</v>
      </c>
      <c r="AD1297" s="475">
        <v>0</v>
      </c>
      <c r="AE1297" s="475">
        <v>0</v>
      </c>
      <c r="AF1297" s="475">
        <v>0</v>
      </c>
      <c r="AG1297" s="475">
        <v>0</v>
      </c>
      <c r="AH1297" s="475">
        <v>0</v>
      </c>
      <c r="AI1297" s="475">
        <v>0</v>
      </c>
      <c r="AJ1297" s="475">
        <v>0</v>
      </c>
      <c r="AK1297" s="475">
        <v>0</v>
      </c>
      <c r="AL1297" s="475">
        <v>0</v>
      </c>
      <c r="AM1297" s="475">
        <v>0</v>
      </c>
      <c r="AN1297" s="475">
        <v>0</v>
      </c>
      <c r="AO1297" s="475">
        <v>0</v>
      </c>
      <c r="AP1297" s="475">
        <v>0</v>
      </c>
      <c r="AQ1297" s="475">
        <v>0</v>
      </c>
      <c r="AR1297" s="475">
        <v>0</v>
      </c>
      <c r="AS1297" s="475">
        <v>0</v>
      </c>
      <c r="AT1297" s="475">
        <v>0</v>
      </c>
      <c r="AU1297" s="482">
        <f t="shared" si="133"/>
        <v>0</v>
      </c>
    </row>
    <row r="1298" spans="1:48" hidden="1" outlineLevel="1" x14ac:dyDescent="0.2">
      <c r="B1298" s="457"/>
      <c r="C1298" s="457"/>
      <c r="D1298" s="489">
        <f t="array" ref="D1298:D1300">RNC.Core.Ethernet.Ladder</f>
        <v>100</v>
      </c>
      <c r="E1298" s="457"/>
      <c r="G1298" s="475">
        <v>0</v>
      </c>
      <c r="H1298" s="475">
        <v>22.5</v>
      </c>
      <c r="I1298" s="475">
        <v>0</v>
      </c>
      <c r="J1298" s="475">
        <v>0</v>
      </c>
      <c r="K1298" s="475">
        <v>0</v>
      </c>
      <c r="L1298" s="475">
        <v>0</v>
      </c>
      <c r="M1298" s="475">
        <v>0</v>
      </c>
      <c r="N1298" s="475">
        <v>0</v>
      </c>
      <c r="O1298" s="475">
        <v>0</v>
      </c>
      <c r="P1298" s="475">
        <v>0</v>
      </c>
      <c r="Q1298" s="475">
        <v>0</v>
      </c>
      <c r="R1298" s="475">
        <v>0</v>
      </c>
      <c r="S1298" s="475">
        <v>0</v>
      </c>
      <c r="T1298" s="475">
        <v>5</v>
      </c>
      <c r="U1298" s="475">
        <v>0</v>
      </c>
      <c r="V1298" s="475">
        <v>0</v>
      </c>
      <c r="W1298" s="475">
        <v>0</v>
      </c>
      <c r="X1298" s="475">
        <v>0</v>
      </c>
      <c r="Y1298" s="475">
        <v>0</v>
      </c>
      <c r="Z1298" s="475">
        <v>0</v>
      </c>
      <c r="AA1298" s="475">
        <v>0</v>
      </c>
      <c r="AB1298" s="475">
        <v>0</v>
      </c>
      <c r="AC1298" s="475">
        <v>0</v>
      </c>
      <c r="AD1298" s="475">
        <v>0</v>
      </c>
      <c r="AE1298" s="475">
        <v>0</v>
      </c>
      <c r="AF1298" s="475">
        <v>0</v>
      </c>
      <c r="AG1298" s="475">
        <v>0</v>
      </c>
      <c r="AH1298" s="475">
        <v>0</v>
      </c>
      <c r="AI1298" s="475">
        <v>0</v>
      </c>
      <c r="AJ1298" s="475">
        <v>0</v>
      </c>
      <c r="AK1298" s="475">
        <v>0</v>
      </c>
      <c r="AL1298" s="475">
        <v>0</v>
      </c>
      <c r="AM1298" s="475">
        <v>0</v>
      </c>
      <c r="AN1298" s="475">
        <v>0</v>
      </c>
      <c r="AO1298" s="475">
        <v>0</v>
      </c>
      <c r="AP1298" s="475">
        <v>0</v>
      </c>
      <c r="AQ1298" s="475">
        <v>0</v>
      </c>
      <c r="AR1298" s="475">
        <v>0</v>
      </c>
      <c r="AS1298" s="475">
        <v>0</v>
      </c>
      <c r="AT1298" s="475">
        <v>0</v>
      </c>
      <c r="AU1298" s="482">
        <f t="shared" si="133"/>
        <v>27.5</v>
      </c>
    </row>
    <row r="1299" spans="1:48" hidden="1" outlineLevel="1" x14ac:dyDescent="0.2">
      <c r="B1299" s="457"/>
      <c r="C1299" s="457"/>
      <c r="D1299" s="489">
        <v>1024</v>
      </c>
      <c r="E1299" s="457"/>
      <c r="G1299" s="475">
        <v>0</v>
      </c>
      <c r="H1299" s="475">
        <v>0</v>
      </c>
      <c r="I1299" s="475">
        <v>0</v>
      </c>
      <c r="J1299" s="475">
        <v>0</v>
      </c>
      <c r="K1299" s="475">
        <v>0</v>
      </c>
      <c r="L1299" s="475">
        <v>0</v>
      </c>
      <c r="M1299" s="475">
        <v>0</v>
      </c>
      <c r="N1299" s="475">
        <v>0</v>
      </c>
      <c r="O1299" s="475">
        <v>0</v>
      </c>
      <c r="P1299" s="475">
        <v>0</v>
      </c>
      <c r="Q1299" s="475">
        <v>0</v>
      </c>
      <c r="R1299" s="475">
        <v>0</v>
      </c>
      <c r="S1299" s="475">
        <v>0</v>
      </c>
      <c r="T1299" s="475">
        <v>0</v>
      </c>
      <c r="U1299" s="475">
        <v>35</v>
      </c>
      <c r="V1299" s="475">
        <v>0</v>
      </c>
      <c r="W1299" s="475">
        <v>0</v>
      </c>
      <c r="X1299" s="475">
        <v>0</v>
      </c>
      <c r="Y1299" s="475">
        <v>0</v>
      </c>
      <c r="Z1299" s="475">
        <v>0</v>
      </c>
      <c r="AA1299" s="475">
        <v>0</v>
      </c>
      <c r="AB1299" s="475">
        <v>0</v>
      </c>
      <c r="AC1299" s="475">
        <v>0</v>
      </c>
      <c r="AD1299" s="475">
        <v>32.5</v>
      </c>
      <c r="AE1299" s="475">
        <v>0</v>
      </c>
      <c r="AF1299" s="475">
        <v>0</v>
      </c>
      <c r="AG1299" s="475">
        <v>0</v>
      </c>
      <c r="AH1299" s="475">
        <v>0</v>
      </c>
      <c r="AI1299" s="475">
        <v>0</v>
      </c>
      <c r="AJ1299" s="475">
        <v>0</v>
      </c>
      <c r="AK1299" s="475">
        <v>0</v>
      </c>
      <c r="AL1299" s="475">
        <v>0</v>
      </c>
      <c r="AM1299" s="475">
        <v>0</v>
      </c>
      <c r="AN1299" s="475">
        <v>0</v>
      </c>
      <c r="AO1299" s="475">
        <v>0</v>
      </c>
      <c r="AP1299" s="475">
        <v>0</v>
      </c>
      <c r="AQ1299" s="475">
        <v>0</v>
      </c>
      <c r="AR1299" s="475">
        <v>0</v>
      </c>
      <c r="AS1299" s="475">
        <v>0</v>
      </c>
      <c r="AT1299" s="475">
        <v>0</v>
      </c>
      <c r="AU1299" s="482">
        <f t="shared" si="133"/>
        <v>67.5</v>
      </c>
    </row>
    <row r="1300" spans="1:48" hidden="1" outlineLevel="1" x14ac:dyDescent="0.2">
      <c r="B1300" s="457"/>
      <c r="C1300" s="457"/>
      <c r="D1300" s="489">
        <v>2488</v>
      </c>
      <c r="E1300" s="457"/>
      <c r="G1300" s="475">
        <v>0</v>
      </c>
      <c r="H1300" s="475">
        <v>0</v>
      </c>
      <c r="I1300" s="475">
        <v>0</v>
      </c>
      <c r="J1300" s="475">
        <v>0</v>
      </c>
      <c r="K1300" s="475">
        <v>0</v>
      </c>
      <c r="L1300" s="475">
        <v>0</v>
      </c>
      <c r="M1300" s="475">
        <v>0</v>
      </c>
      <c r="N1300" s="475">
        <v>0</v>
      </c>
      <c r="O1300" s="475">
        <v>0</v>
      </c>
      <c r="P1300" s="475">
        <v>0</v>
      </c>
      <c r="Q1300" s="475">
        <v>0</v>
      </c>
      <c r="R1300" s="475">
        <v>0</v>
      </c>
      <c r="S1300" s="475">
        <v>0</v>
      </c>
      <c r="T1300" s="475">
        <v>0</v>
      </c>
      <c r="U1300" s="475">
        <v>0</v>
      </c>
      <c r="V1300" s="475">
        <v>0</v>
      </c>
      <c r="W1300" s="475">
        <v>0</v>
      </c>
      <c r="X1300" s="475">
        <v>0</v>
      </c>
      <c r="Y1300" s="475">
        <v>0</v>
      </c>
      <c r="Z1300" s="475">
        <v>0</v>
      </c>
      <c r="AA1300" s="475">
        <v>0</v>
      </c>
      <c r="AB1300" s="475">
        <v>0</v>
      </c>
      <c r="AC1300" s="475">
        <v>0</v>
      </c>
      <c r="AD1300" s="475">
        <v>0</v>
      </c>
      <c r="AE1300" s="475">
        <v>0</v>
      </c>
      <c r="AF1300" s="475">
        <v>0</v>
      </c>
      <c r="AG1300" s="475">
        <v>0</v>
      </c>
      <c r="AH1300" s="475">
        <v>0</v>
      </c>
      <c r="AI1300" s="475">
        <v>0</v>
      </c>
      <c r="AJ1300" s="475">
        <v>0</v>
      </c>
      <c r="AK1300" s="475">
        <v>0</v>
      </c>
      <c r="AL1300" s="475">
        <v>0</v>
      </c>
      <c r="AM1300" s="475">
        <v>0</v>
      </c>
      <c r="AN1300" s="475">
        <v>0</v>
      </c>
      <c r="AO1300" s="475">
        <v>0</v>
      </c>
      <c r="AP1300" s="475">
        <v>0</v>
      </c>
      <c r="AQ1300" s="475">
        <v>0</v>
      </c>
      <c r="AR1300" s="475">
        <v>0</v>
      </c>
      <c r="AS1300" s="475">
        <v>0</v>
      </c>
      <c r="AT1300" s="475">
        <v>0</v>
      </c>
      <c r="AU1300" s="482">
        <f t="shared" si="133"/>
        <v>0</v>
      </c>
    </row>
    <row r="1301" spans="1:48" hidden="1" outlineLevel="1" x14ac:dyDescent="0.2">
      <c r="B1301" s="457"/>
      <c r="C1301" s="457"/>
      <c r="D1301" s="457"/>
      <c r="E1301" s="457"/>
      <c r="G1301" s="457"/>
      <c r="AU1301" s="466" t="s">
        <v>297</v>
      </c>
    </row>
    <row r="1302" spans="1:48" hidden="1" outlineLevel="1" x14ac:dyDescent="0.2">
      <c r="B1302" s="457"/>
      <c r="C1302" s="457"/>
      <c r="D1302" s="457" t="s">
        <v>1157</v>
      </c>
      <c r="E1302" s="457"/>
      <c r="G1302" s="457"/>
      <c r="AU1302" s="458" t="s">
        <v>61</v>
      </c>
    </row>
    <row r="1303" spans="1:48" hidden="1" outlineLevel="1" x14ac:dyDescent="0.2">
      <c r="B1303" s="457"/>
      <c r="C1303" s="457"/>
      <c r="D1303" s="514">
        <f t="array" ref="D1303:D1305">RNC.Core.ATM.Ladder</f>
        <v>34.4</v>
      </c>
      <c r="E1303" s="457"/>
      <c r="G1303" s="475">
        <f t="array" ref="G1303:AT1308">IF(G$1292:AT$1292=$D1303:$D1308,G$698:AT$698-G$711:AT$711,0)*RNC.Core.Redundancy/Utilisation.Ports</f>
        <v>0</v>
      </c>
      <c r="H1303" s="475">
        <v>0</v>
      </c>
      <c r="I1303" s="475">
        <v>0</v>
      </c>
      <c r="J1303" s="475">
        <v>0</v>
      </c>
      <c r="K1303" s="475">
        <v>0</v>
      </c>
      <c r="L1303" s="475">
        <v>0</v>
      </c>
      <c r="M1303" s="475">
        <v>0</v>
      </c>
      <c r="N1303" s="475">
        <v>0</v>
      </c>
      <c r="O1303" s="475">
        <v>0</v>
      </c>
      <c r="P1303" s="475">
        <v>0</v>
      </c>
      <c r="Q1303" s="475">
        <v>0</v>
      </c>
      <c r="R1303" s="475">
        <v>0</v>
      </c>
      <c r="S1303" s="475">
        <v>0</v>
      </c>
      <c r="T1303" s="475">
        <v>0</v>
      </c>
      <c r="U1303" s="475">
        <v>0</v>
      </c>
      <c r="V1303" s="475">
        <v>0</v>
      </c>
      <c r="W1303" s="475">
        <v>0</v>
      </c>
      <c r="X1303" s="475">
        <v>0</v>
      </c>
      <c r="Y1303" s="475">
        <v>0</v>
      </c>
      <c r="Z1303" s="475">
        <v>0</v>
      </c>
      <c r="AA1303" s="475">
        <v>0</v>
      </c>
      <c r="AB1303" s="475">
        <v>0</v>
      </c>
      <c r="AC1303" s="475">
        <v>0</v>
      </c>
      <c r="AD1303" s="475">
        <v>0</v>
      </c>
      <c r="AE1303" s="475">
        <v>0</v>
      </c>
      <c r="AF1303" s="475">
        <v>0</v>
      </c>
      <c r="AG1303" s="475">
        <v>0</v>
      </c>
      <c r="AH1303" s="475">
        <v>0</v>
      </c>
      <c r="AI1303" s="475">
        <v>0</v>
      </c>
      <c r="AJ1303" s="475">
        <v>0</v>
      </c>
      <c r="AK1303" s="475">
        <v>0</v>
      </c>
      <c r="AL1303" s="475">
        <v>0</v>
      </c>
      <c r="AM1303" s="475">
        <v>0</v>
      </c>
      <c r="AN1303" s="475">
        <v>0</v>
      </c>
      <c r="AO1303" s="475">
        <v>0</v>
      </c>
      <c r="AP1303" s="475">
        <v>0</v>
      </c>
      <c r="AQ1303" s="475">
        <v>0</v>
      </c>
      <c r="AR1303" s="475">
        <v>0</v>
      </c>
      <c r="AS1303" s="475">
        <v>0</v>
      </c>
      <c r="AT1303" s="475">
        <v>0</v>
      </c>
      <c r="AU1303" s="482">
        <f t="shared" ref="AU1303:AU1308" si="134">SUM(G1303:AT1303)</f>
        <v>0</v>
      </c>
    </row>
    <row r="1304" spans="1:48" hidden="1" outlineLevel="1" x14ac:dyDescent="0.2">
      <c r="B1304" s="457"/>
      <c r="C1304" s="457"/>
      <c r="D1304" s="514">
        <v>155.52000000000001</v>
      </c>
      <c r="E1304" s="457"/>
      <c r="G1304" s="475">
        <v>0</v>
      </c>
      <c r="H1304" s="475">
        <v>0</v>
      </c>
      <c r="I1304" s="475">
        <v>0</v>
      </c>
      <c r="J1304" s="475">
        <v>0</v>
      </c>
      <c r="K1304" s="475">
        <v>0</v>
      </c>
      <c r="L1304" s="475">
        <v>0</v>
      </c>
      <c r="M1304" s="475">
        <v>0</v>
      </c>
      <c r="N1304" s="475">
        <v>0</v>
      </c>
      <c r="O1304" s="475">
        <v>0</v>
      </c>
      <c r="P1304" s="475">
        <v>0</v>
      </c>
      <c r="Q1304" s="475">
        <v>0</v>
      </c>
      <c r="R1304" s="475">
        <v>0</v>
      </c>
      <c r="S1304" s="475">
        <v>0</v>
      </c>
      <c r="T1304" s="475">
        <v>0</v>
      </c>
      <c r="U1304" s="475">
        <v>0</v>
      </c>
      <c r="V1304" s="475">
        <v>0</v>
      </c>
      <c r="W1304" s="475">
        <v>0</v>
      </c>
      <c r="X1304" s="475">
        <v>0</v>
      </c>
      <c r="Y1304" s="475">
        <v>0</v>
      </c>
      <c r="Z1304" s="475">
        <v>0</v>
      </c>
      <c r="AA1304" s="475">
        <v>0</v>
      </c>
      <c r="AB1304" s="475">
        <v>0</v>
      </c>
      <c r="AC1304" s="475">
        <v>0</v>
      </c>
      <c r="AD1304" s="475">
        <v>0</v>
      </c>
      <c r="AE1304" s="475">
        <v>0</v>
      </c>
      <c r="AF1304" s="475">
        <v>0</v>
      </c>
      <c r="AG1304" s="475">
        <v>0</v>
      </c>
      <c r="AH1304" s="475">
        <v>0</v>
      </c>
      <c r="AI1304" s="475">
        <v>0</v>
      </c>
      <c r="AJ1304" s="475">
        <v>0</v>
      </c>
      <c r="AK1304" s="475">
        <v>0</v>
      </c>
      <c r="AL1304" s="475">
        <v>0</v>
      </c>
      <c r="AM1304" s="475">
        <v>0</v>
      </c>
      <c r="AN1304" s="475">
        <v>0</v>
      </c>
      <c r="AO1304" s="475">
        <v>0</v>
      </c>
      <c r="AP1304" s="475">
        <v>0</v>
      </c>
      <c r="AQ1304" s="475">
        <v>0</v>
      </c>
      <c r="AR1304" s="475">
        <v>0</v>
      </c>
      <c r="AS1304" s="475">
        <v>0</v>
      </c>
      <c r="AT1304" s="475">
        <v>0</v>
      </c>
      <c r="AU1304" s="482">
        <f t="shared" si="134"/>
        <v>0</v>
      </c>
    </row>
    <row r="1305" spans="1:48" hidden="1" outlineLevel="1" x14ac:dyDescent="0.2">
      <c r="B1305" s="457"/>
      <c r="C1305" s="457"/>
      <c r="D1305" s="514">
        <v>622.08000000000004</v>
      </c>
      <c r="E1305" s="457"/>
      <c r="G1305" s="475">
        <v>0</v>
      </c>
      <c r="H1305" s="475">
        <v>0</v>
      </c>
      <c r="I1305" s="475">
        <v>0</v>
      </c>
      <c r="J1305" s="475">
        <v>0</v>
      </c>
      <c r="K1305" s="475">
        <v>0</v>
      </c>
      <c r="L1305" s="475">
        <v>0</v>
      </c>
      <c r="M1305" s="475">
        <v>0</v>
      </c>
      <c r="N1305" s="475">
        <v>0</v>
      </c>
      <c r="O1305" s="475">
        <v>0</v>
      </c>
      <c r="P1305" s="475">
        <v>0</v>
      </c>
      <c r="Q1305" s="475">
        <v>0</v>
      </c>
      <c r="R1305" s="475">
        <v>0</v>
      </c>
      <c r="S1305" s="475">
        <v>0</v>
      </c>
      <c r="T1305" s="475">
        <v>0</v>
      </c>
      <c r="U1305" s="475">
        <v>0</v>
      </c>
      <c r="V1305" s="475">
        <v>0</v>
      </c>
      <c r="W1305" s="475">
        <v>0</v>
      </c>
      <c r="X1305" s="475">
        <v>0</v>
      </c>
      <c r="Y1305" s="475">
        <v>0</v>
      </c>
      <c r="Z1305" s="475">
        <v>0</v>
      </c>
      <c r="AA1305" s="475">
        <v>0</v>
      </c>
      <c r="AB1305" s="475">
        <v>0</v>
      </c>
      <c r="AC1305" s="475">
        <v>0</v>
      </c>
      <c r="AD1305" s="475">
        <v>0</v>
      </c>
      <c r="AE1305" s="475">
        <v>0</v>
      </c>
      <c r="AF1305" s="475">
        <v>0</v>
      </c>
      <c r="AG1305" s="475">
        <v>0</v>
      </c>
      <c r="AH1305" s="475">
        <v>0</v>
      </c>
      <c r="AI1305" s="475">
        <v>0</v>
      </c>
      <c r="AJ1305" s="475">
        <v>0</v>
      </c>
      <c r="AK1305" s="475">
        <v>0</v>
      </c>
      <c r="AL1305" s="475">
        <v>0</v>
      </c>
      <c r="AM1305" s="475">
        <v>0</v>
      </c>
      <c r="AN1305" s="475">
        <v>0</v>
      </c>
      <c r="AO1305" s="475">
        <v>0</v>
      </c>
      <c r="AP1305" s="475">
        <v>0</v>
      </c>
      <c r="AQ1305" s="475">
        <v>0</v>
      </c>
      <c r="AR1305" s="475">
        <v>0</v>
      </c>
      <c r="AS1305" s="475">
        <v>0</v>
      </c>
      <c r="AT1305" s="475">
        <v>0</v>
      </c>
      <c r="AU1305" s="482">
        <f t="shared" si="134"/>
        <v>0</v>
      </c>
    </row>
    <row r="1306" spans="1:48" hidden="1" outlineLevel="1" x14ac:dyDescent="0.2">
      <c r="B1306" s="457"/>
      <c r="C1306" s="457"/>
      <c r="D1306" s="489">
        <f t="array" ref="D1306:D1308">RNC.Core.Ethernet.Ladder</f>
        <v>100</v>
      </c>
      <c r="E1306" s="457"/>
      <c r="G1306" s="475">
        <v>0</v>
      </c>
      <c r="H1306" s="475">
        <v>0</v>
      </c>
      <c r="I1306" s="475">
        <v>0</v>
      </c>
      <c r="J1306" s="475">
        <v>0</v>
      </c>
      <c r="K1306" s="475">
        <v>0</v>
      </c>
      <c r="L1306" s="475">
        <v>0</v>
      </c>
      <c r="M1306" s="475">
        <v>0</v>
      </c>
      <c r="N1306" s="475">
        <v>0</v>
      </c>
      <c r="O1306" s="475">
        <v>0</v>
      </c>
      <c r="P1306" s="475">
        <v>0</v>
      </c>
      <c r="Q1306" s="475">
        <v>0</v>
      </c>
      <c r="R1306" s="475">
        <v>0</v>
      </c>
      <c r="S1306" s="475">
        <v>0</v>
      </c>
      <c r="T1306" s="475">
        <v>0</v>
      </c>
      <c r="U1306" s="475">
        <v>0</v>
      </c>
      <c r="V1306" s="475">
        <v>0</v>
      </c>
      <c r="W1306" s="475">
        <v>0</v>
      </c>
      <c r="X1306" s="475">
        <v>0</v>
      </c>
      <c r="Y1306" s="475">
        <v>0</v>
      </c>
      <c r="Z1306" s="475">
        <v>0</v>
      </c>
      <c r="AA1306" s="475">
        <v>0</v>
      </c>
      <c r="AB1306" s="475">
        <v>0</v>
      </c>
      <c r="AC1306" s="475">
        <v>0</v>
      </c>
      <c r="AD1306" s="475">
        <v>0</v>
      </c>
      <c r="AE1306" s="475">
        <v>0</v>
      </c>
      <c r="AF1306" s="475">
        <v>0</v>
      </c>
      <c r="AG1306" s="475">
        <v>0</v>
      </c>
      <c r="AH1306" s="475">
        <v>0</v>
      </c>
      <c r="AI1306" s="475">
        <v>0</v>
      </c>
      <c r="AJ1306" s="475">
        <v>0</v>
      </c>
      <c r="AK1306" s="475">
        <v>0</v>
      </c>
      <c r="AL1306" s="475">
        <v>0</v>
      </c>
      <c r="AM1306" s="475">
        <v>0</v>
      </c>
      <c r="AN1306" s="475">
        <v>0</v>
      </c>
      <c r="AO1306" s="475">
        <v>0</v>
      </c>
      <c r="AP1306" s="475">
        <v>0</v>
      </c>
      <c r="AQ1306" s="475">
        <v>0</v>
      </c>
      <c r="AR1306" s="475">
        <v>0</v>
      </c>
      <c r="AS1306" s="475">
        <v>0</v>
      </c>
      <c r="AT1306" s="475">
        <v>0</v>
      </c>
      <c r="AU1306" s="482">
        <f t="shared" si="134"/>
        <v>0</v>
      </c>
    </row>
    <row r="1307" spans="1:48" hidden="1" outlineLevel="1" x14ac:dyDescent="0.2">
      <c r="B1307" s="457"/>
      <c r="C1307" s="457"/>
      <c r="D1307" s="489">
        <v>1024</v>
      </c>
      <c r="E1307" s="457"/>
      <c r="G1307" s="475">
        <v>0</v>
      </c>
      <c r="H1307" s="475">
        <v>0</v>
      </c>
      <c r="I1307" s="475">
        <v>0</v>
      </c>
      <c r="J1307" s="475">
        <v>0</v>
      </c>
      <c r="K1307" s="475">
        <v>0</v>
      </c>
      <c r="L1307" s="475">
        <v>0</v>
      </c>
      <c r="M1307" s="475">
        <v>0</v>
      </c>
      <c r="N1307" s="475">
        <v>0</v>
      </c>
      <c r="O1307" s="475">
        <v>0</v>
      </c>
      <c r="P1307" s="475">
        <v>0</v>
      </c>
      <c r="Q1307" s="475">
        <v>0</v>
      </c>
      <c r="R1307" s="475">
        <v>0</v>
      </c>
      <c r="S1307" s="475">
        <v>0</v>
      </c>
      <c r="T1307" s="475">
        <v>0</v>
      </c>
      <c r="U1307" s="475">
        <v>0</v>
      </c>
      <c r="V1307" s="475">
        <v>0</v>
      </c>
      <c r="W1307" s="475">
        <v>0</v>
      </c>
      <c r="X1307" s="475">
        <v>0</v>
      </c>
      <c r="Y1307" s="475">
        <v>0</v>
      </c>
      <c r="Z1307" s="475">
        <v>0</v>
      </c>
      <c r="AA1307" s="475">
        <v>0</v>
      </c>
      <c r="AB1307" s="475">
        <v>0</v>
      </c>
      <c r="AC1307" s="475">
        <v>0</v>
      </c>
      <c r="AD1307" s="475">
        <v>0</v>
      </c>
      <c r="AE1307" s="475">
        <v>0</v>
      </c>
      <c r="AF1307" s="475">
        <v>0</v>
      </c>
      <c r="AG1307" s="475">
        <v>0</v>
      </c>
      <c r="AH1307" s="475">
        <v>0</v>
      </c>
      <c r="AI1307" s="475">
        <v>0</v>
      </c>
      <c r="AJ1307" s="475">
        <v>0</v>
      </c>
      <c r="AK1307" s="475">
        <v>0</v>
      </c>
      <c r="AL1307" s="475">
        <v>0</v>
      </c>
      <c r="AM1307" s="475">
        <v>0</v>
      </c>
      <c r="AN1307" s="475">
        <v>0</v>
      </c>
      <c r="AO1307" s="475">
        <v>0</v>
      </c>
      <c r="AP1307" s="475">
        <v>0</v>
      </c>
      <c r="AQ1307" s="475">
        <v>0</v>
      </c>
      <c r="AR1307" s="475">
        <v>0</v>
      </c>
      <c r="AS1307" s="475">
        <v>0</v>
      </c>
      <c r="AT1307" s="475">
        <v>0</v>
      </c>
      <c r="AU1307" s="482">
        <f t="shared" si="134"/>
        <v>0</v>
      </c>
    </row>
    <row r="1308" spans="1:48" hidden="1" outlineLevel="1" x14ac:dyDescent="0.2">
      <c r="B1308" s="457"/>
      <c r="C1308" s="457"/>
      <c r="D1308" s="489">
        <v>2488</v>
      </c>
      <c r="E1308" s="457"/>
      <c r="G1308" s="475">
        <v>0</v>
      </c>
      <c r="H1308" s="475">
        <v>22.5</v>
      </c>
      <c r="I1308" s="475">
        <v>0</v>
      </c>
      <c r="J1308" s="475">
        <v>0</v>
      </c>
      <c r="K1308" s="475">
        <v>0</v>
      </c>
      <c r="L1308" s="475">
        <v>0</v>
      </c>
      <c r="M1308" s="475">
        <v>0</v>
      </c>
      <c r="N1308" s="475">
        <v>0</v>
      </c>
      <c r="O1308" s="475">
        <v>0</v>
      </c>
      <c r="P1308" s="475">
        <v>0</v>
      </c>
      <c r="Q1308" s="475">
        <v>0</v>
      </c>
      <c r="R1308" s="475">
        <v>0</v>
      </c>
      <c r="S1308" s="475">
        <v>0</v>
      </c>
      <c r="T1308" s="475">
        <v>5</v>
      </c>
      <c r="U1308" s="475">
        <v>35</v>
      </c>
      <c r="V1308" s="475">
        <v>0</v>
      </c>
      <c r="W1308" s="475">
        <v>0</v>
      </c>
      <c r="X1308" s="475">
        <v>0</v>
      </c>
      <c r="Y1308" s="475">
        <v>0</v>
      </c>
      <c r="Z1308" s="475">
        <v>0</v>
      </c>
      <c r="AA1308" s="475">
        <v>0</v>
      </c>
      <c r="AB1308" s="475">
        <v>0</v>
      </c>
      <c r="AC1308" s="475">
        <v>0</v>
      </c>
      <c r="AD1308" s="475">
        <v>32.5</v>
      </c>
      <c r="AE1308" s="475">
        <v>0</v>
      </c>
      <c r="AF1308" s="475">
        <v>0</v>
      </c>
      <c r="AG1308" s="475">
        <v>0</v>
      </c>
      <c r="AH1308" s="475">
        <v>0</v>
      </c>
      <c r="AI1308" s="475">
        <v>0</v>
      </c>
      <c r="AJ1308" s="475">
        <v>0</v>
      </c>
      <c r="AK1308" s="475">
        <v>0</v>
      </c>
      <c r="AL1308" s="475">
        <v>0</v>
      </c>
      <c r="AM1308" s="475">
        <v>0</v>
      </c>
      <c r="AN1308" s="475">
        <v>0</v>
      </c>
      <c r="AO1308" s="475">
        <v>0</v>
      </c>
      <c r="AP1308" s="475">
        <v>0</v>
      </c>
      <c r="AQ1308" s="475">
        <v>0</v>
      </c>
      <c r="AR1308" s="475">
        <v>0</v>
      </c>
      <c r="AS1308" s="475">
        <v>0</v>
      </c>
      <c r="AT1308" s="475">
        <v>0</v>
      </c>
      <c r="AU1308" s="482">
        <f t="shared" si="134"/>
        <v>95</v>
      </c>
    </row>
    <row r="1309" spans="1:48" hidden="1" outlineLevel="1" x14ac:dyDescent="0.2">
      <c r="B1309" s="457"/>
      <c r="C1309" s="457"/>
      <c r="D1309" s="457"/>
      <c r="E1309" s="457"/>
      <c r="G1309" s="457"/>
      <c r="AU1309" s="466" t="s">
        <v>295</v>
      </c>
    </row>
    <row r="1310" spans="1:48" collapsed="1" x14ac:dyDescent="0.2">
      <c r="B1310" s="457"/>
      <c r="C1310" s="457"/>
      <c r="D1310" s="457"/>
      <c r="E1310" s="457"/>
      <c r="G1310" s="457"/>
    </row>
    <row r="1311" spans="1:48" x14ac:dyDescent="0.2">
      <c r="D1311" s="457"/>
      <c r="E1311" s="457"/>
      <c r="G1311" s="457"/>
    </row>
    <row r="1312" spans="1:48" s="457" customFormat="1" ht="15.75" x14ac:dyDescent="0.2">
      <c r="A1312" s="456" t="s">
        <v>1315</v>
      </c>
      <c r="B1312" s="456"/>
      <c r="C1312" s="456"/>
      <c r="D1312" s="456"/>
      <c r="E1312" s="456"/>
      <c r="F1312" s="456"/>
      <c r="G1312" s="456"/>
      <c r="H1312" s="456"/>
      <c r="I1312" s="456"/>
      <c r="J1312" s="456"/>
      <c r="K1312" s="456"/>
      <c r="L1312" s="456"/>
      <c r="M1312" s="456"/>
      <c r="N1312" s="456"/>
      <c r="O1312" s="456"/>
      <c r="P1312" s="456"/>
      <c r="Q1312" s="456"/>
      <c r="R1312" s="456"/>
      <c r="S1312" s="456"/>
      <c r="T1312" s="456"/>
      <c r="U1312" s="456"/>
      <c r="V1312" s="456"/>
      <c r="W1312" s="456"/>
      <c r="X1312" s="456"/>
      <c r="Y1312" s="456"/>
      <c r="Z1312" s="456"/>
      <c r="AA1312" s="456"/>
      <c r="AB1312" s="456"/>
      <c r="AC1312" s="456"/>
      <c r="AD1312" s="456"/>
      <c r="AE1312" s="456"/>
      <c r="AF1312" s="456"/>
      <c r="AG1312" s="456"/>
      <c r="AH1312" s="456"/>
      <c r="AI1312" s="456"/>
      <c r="AJ1312" s="456"/>
      <c r="AK1312" s="456"/>
      <c r="AL1312" s="456"/>
      <c r="AM1312" s="456"/>
      <c r="AN1312" s="456"/>
      <c r="AO1312" s="456"/>
      <c r="AP1312" s="456"/>
      <c r="AQ1312" s="456"/>
      <c r="AR1312" s="456"/>
      <c r="AS1312" s="456"/>
      <c r="AT1312" s="456"/>
      <c r="AU1312" s="456"/>
      <c r="AV1312" s="456"/>
    </row>
    <row r="1313" spans="1:11" x14ac:dyDescent="0.2">
      <c r="A1313" s="457"/>
    </row>
    <row r="1314" spans="1:11" hidden="1" outlineLevel="1" x14ac:dyDescent="0.2">
      <c r="A1314" s="457"/>
      <c r="C1314" s="511" t="s">
        <v>1278</v>
      </c>
      <c r="D1314" s="457"/>
      <c r="G1314" s="544">
        <v>1</v>
      </c>
    </row>
    <row r="1315" spans="1:11" hidden="1" outlineLevel="1" x14ac:dyDescent="0.2">
      <c r="A1315" s="457"/>
      <c r="G1315" s="466" t="s">
        <v>294</v>
      </c>
    </row>
    <row r="1316" spans="1:11" s="457" customFormat="1" hidden="1" outlineLevel="1" x14ac:dyDescent="0.2"/>
    <row r="1317" spans="1:11" s="457" customFormat="1" hidden="1" outlineLevel="1" x14ac:dyDescent="0.2">
      <c r="C1317" s="460" t="s">
        <v>1279</v>
      </c>
      <c r="D1317" s="453"/>
      <c r="E1317" s="453"/>
      <c r="F1317" s="453"/>
      <c r="G1317" s="453"/>
      <c r="H1317" s="453"/>
      <c r="I1317" s="453"/>
      <c r="J1317" s="453"/>
    </row>
    <row r="1318" spans="1:11" s="457" customFormat="1" hidden="1" outlineLevel="1" x14ac:dyDescent="0.2">
      <c r="C1318" s="453"/>
      <c r="D1318" s="453"/>
      <c r="E1318" s="453"/>
      <c r="F1318" s="453"/>
      <c r="G1318" s="453"/>
      <c r="H1318" s="453"/>
      <c r="I1318" s="453"/>
      <c r="J1318" s="453"/>
    </row>
    <row r="1319" spans="1:11" s="457" customFormat="1" ht="24" hidden="1" outlineLevel="1" x14ac:dyDescent="0.2">
      <c r="C1319" s="545" t="s">
        <v>1280</v>
      </c>
      <c r="D1319" s="453"/>
      <c r="E1319" s="453"/>
      <c r="F1319" s="453"/>
      <c r="G1319" s="523" t="s">
        <v>1281</v>
      </c>
      <c r="H1319" s="523" t="s">
        <v>1282</v>
      </c>
      <c r="I1319" s="523" t="s">
        <v>1283</v>
      </c>
      <c r="J1319" s="523" t="s">
        <v>1633</v>
      </c>
      <c r="K1319" s="523" t="s">
        <v>1628</v>
      </c>
    </row>
    <row r="1320" spans="1:11" s="457" customFormat="1" hidden="1" outlineLevel="1" x14ac:dyDescent="0.2">
      <c r="C1320" s="488" t="s">
        <v>1629</v>
      </c>
      <c r="D1320" s="453"/>
      <c r="E1320" s="453"/>
      <c r="F1320" s="453"/>
      <c r="G1320" s="546">
        <v>1</v>
      </c>
      <c r="H1320" s="546">
        <v>300000</v>
      </c>
      <c r="I1320" s="547">
        <v>3.5000000000000001E-3</v>
      </c>
      <c r="J1320" s="474">
        <f>H1320*I1320*$G$1331</f>
        <v>1233433.7349397591</v>
      </c>
      <c r="K1320" s="474">
        <f>IF($G$1333&lt;=0,0,IF($G$1333&lt;H1320,$G$1333*$G$1331*I1320,J1320))</f>
        <v>1233433.7349397591</v>
      </c>
    </row>
    <row r="1321" spans="1:11" s="457" customFormat="1" hidden="1" outlineLevel="1" x14ac:dyDescent="0.2">
      <c r="C1321" s="488" t="s">
        <v>1630</v>
      </c>
      <c r="D1321" s="453"/>
      <c r="E1321" s="453"/>
      <c r="F1321" s="453"/>
      <c r="G1321" s="548">
        <f>H1320+1</f>
        <v>300001</v>
      </c>
      <c r="H1321" s="546">
        <v>1500000</v>
      </c>
      <c r="I1321" s="547">
        <v>3.0000000000000001E-3</v>
      </c>
      <c r="J1321" s="474">
        <f>(H1321-H1320)*I1321*$G$1331</f>
        <v>4228915.6626506029</v>
      </c>
      <c r="K1321" s="474">
        <f>IF($G$1333&lt;G1321,0,IF(AND($G$1333&lt;H1321,$G$1333&gt;=G1321),($G$1333-H1320)*$G$1331*I1321,J1321))</f>
        <v>4228915.6626506029</v>
      </c>
    </row>
    <row r="1322" spans="1:11" s="457" customFormat="1" hidden="1" outlineLevel="1" x14ac:dyDescent="0.2">
      <c r="C1322" s="488" t="s">
        <v>1631</v>
      </c>
      <c r="D1322" s="453"/>
      <c r="E1322" s="453"/>
      <c r="F1322" s="453"/>
      <c r="G1322" s="548">
        <f>H1321+1</f>
        <v>1500001</v>
      </c>
      <c r="H1322" s="546">
        <v>3000000</v>
      </c>
      <c r="I1322" s="547">
        <v>2.5000000000000001E-3</v>
      </c>
      <c r="J1322" s="474">
        <f>(H1322-H1321)*I1322*$G$1331</f>
        <v>4405120.4819277115</v>
      </c>
      <c r="K1322" s="474">
        <f>IF($G$1333&lt;G1322,0,IF(AND($G$1333&lt;H1322,$G$1333&gt;=G1322),($G$1333-H1321)*$G$1331*I1322,J1322))</f>
        <v>4405120.4819277115</v>
      </c>
    </row>
    <row r="1323" spans="1:11" s="457" customFormat="1" hidden="1" outlineLevel="1" x14ac:dyDescent="0.2">
      <c r="C1323" s="488" t="s">
        <v>1632</v>
      </c>
      <c r="D1323" s="453"/>
      <c r="E1323" s="453"/>
      <c r="F1323" s="453"/>
      <c r="G1323" s="548">
        <f>H1322+1</f>
        <v>3000001</v>
      </c>
      <c r="H1323" s="549"/>
      <c r="I1323" s="547">
        <v>2E-3</v>
      </c>
      <c r="J1323" s="549"/>
      <c r="K1323" s="474">
        <f>IF($G$1333&lt;G1323,0,($G$1333-H1322)*I1323*$G$1331)</f>
        <v>19940996.024096377</v>
      </c>
    </row>
    <row r="1324" spans="1:11" s="457" customFormat="1" hidden="1" outlineLevel="1" x14ac:dyDescent="0.2">
      <c r="C1324" s="453"/>
      <c r="D1324" s="453"/>
      <c r="E1324" s="453"/>
      <c r="F1324" s="453"/>
      <c r="G1324" s="453"/>
      <c r="H1324" s="453"/>
      <c r="I1324" s="453"/>
      <c r="J1324" s="453"/>
    </row>
    <row r="1325" spans="1:11" s="457" customFormat="1" hidden="1" outlineLevel="1" x14ac:dyDescent="0.2">
      <c r="C1325" s="545" t="s">
        <v>1284</v>
      </c>
      <c r="D1325" s="453"/>
      <c r="E1325" s="453"/>
      <c r="F1325" s="453"/>
      <c r="G1325" s="550">
        <v>3850</v>
      </c>
      <c r="H1325" s="453" t="s">
        <v>1285</v>
      </c>
      <c r="I1325" s="453"/>
      <c r="J1325" s="453"/>
    </row>
    <row r="1326" spans="1:11" s="457" customFormat="1" hidden="1" outlineLevel="1" x14ac:dyDescent="0.2">
      <c r="C1326" s="545" t="s">
        <v>1286</v>
      </c>
      <c r="D1326" s="453"/>
      <c r="E1326" s="453"/>
      <c r="F1326" s="453"/>
      <c r="G1326" s="550">
        <v>3950</v>
      </c>
      <c r="H1326" s="453" t="s">
        <v>1285</v>
      </c>
      <c r="I1326" s="453"/>
      <c r="J1326" s="453"/>
    </row>
    <row r="1327" spans="1:11" s="457" customFormat="1" hidden="1" outlineLevel="1" x14ac:dyDescent="0.2">
      <c r="C1327" s="545" t="s">
        <v>1287</v>
      </c>
      <c r="D1327" s="453"/>
      <c r="E1327" s="453"/>
      <c r="F1327" s="453"/>
      <c r="G1327" s="475">
        <f>AVERAGE(G1325:G1326)</f>
        <v>3900</v>
      </c>
      <c r="H1327" s="453" t="s">
        <v>1285</v>
      </c>
      <c r="I1327" s="453"/>
      <c r="J1327" s="453"/>
    </row>
    <row r="1328" spans="1:11" s="457" customFormat="1" hidden="1" outlineLevel="1" x14ac:dyDescent="0.2">
      <c r="C1328" s="453"/>
      <c r="D1328" s="453"/>
      <c r="E1328" s="453"/>
      <c r="F1328" s="453"/>
      <c r="G1328" s="453"/>
      <c r="H1328" s="453"/>
      <c r="I1328" s="453"/>
      <c r="J1328" s="453"/>
    </row>
    <row r="1329" spans="1:48" s="457" customFormat="1" hidden="1" outlineLevel="1" x14ac:dyDescent="0.2">
      <c r="C1329" s="545" t="s">
        <v>1079</v>
      </c>
      <c r="D1329" s="453"/>
      <c r="E1329" s="453"/>
      <c r="F1329" s="453"/>
      <c r="G1329" s="512">
        <f>Sol.per.USD</f>
        <v>3.32</v>
      </c>
      <c r="H1329" s="453"/>
      <c r="I1329" s="453"/>
      <c r="J1329" s="453"/>
    </row>
    <row r="1330" spans="1:48" s="457" customFormat="1" hidden="1" outlineLevel="1" x14ac:dyDescent="0.2">
      <c r="C1330" s="453"/>
      <c r="D1330" s="453"/>
      <c r="E1330" s="453"/>
      <c r="F1330" s="453"/>
      <c r="G1330" s="453"/>
      <c r="H1330" s="453"/>
      <c r="I1330" s="453"/>
      <c r="J1330" s="453"/>
    </row>
    <row r="1331" spans="1:48" s="457" customFormat="1" hidden="1" outlineLevel="1" x14ac:dyDescent="0.2">
      <c r="C1331" s="545" t="s">
        <v>1287</v>
      </c>
      <c r="D1331" s="453"/>
      <c r="E1331" s="453"/>
      <c r="F1331" s="453"/>
      <c r="G1331" s="551">
        <f>G1327/G1329</f>
        <v>1174.698795180723</v>
      </c>
      <c r="H1331" s="453" t="s">
        <v>455</v>
      </c>
      <c r="I1331" s="453"/>
      <c r="J1331" s="453"/>
    </row>
    <row r="1332" spans="1:48" s="457" customFormat="1" hidden="1" outlineLevel="1" x14ac:dyDescent="0.2">
      <c r="C1332" s="453"/>
      <c r="D1332" s="453"/>
      <c r="E1332" s="453"/>
      <c r="F1332" s="453"/>
      <c r="G1332" s="453"/>
      <c r="H1332" s="453"/>
      <c r="I1332" s="453"/>
      <c r="J1332" s="453"/>
    </row>
    <row r="1333" spans="1:48" s="457" customFormat="1" hidden="1" outlineLevel="1" x14ac:dyDescent="0.2">
      <c r="C1333" s="545" t="s">
        <v>1288</v>
      </c>
      <c r="D1333" s="453"/>
      <c r="E1333" s="453"/>
      <c r="F1333" s="453"/>
      <c r="G1333" s="465">
        <f>Subscribers.voice.only+Subscribers.voice.and.data</f>
        <v>11487705.999999996</v>
      </c>
      <c r="H1333" s="453"/>
      <c r="I1333" s="453"/>
      <c r="J1333" s="453"/>
    </row>
    <row r="1334" spans="1:48" s="457" customFormat="1" hidden="1" outlineLevel="1" x14ac:dyDescent="0.2">
      <c r="C1334" s="453"/>
      <c r="D1334" s="453"/>
      <c r="E1334" s="453"/>
      <c r="F1334" s="453"/>
      <c r="G1334" s="453"/>
      <c r="H1334" s="453"/>
      <c r="I1334" s="453"/>
      <c r="J1334" s="453"/>
    </row>
    <row r="1335" spans="1:48" s="457" customFormat="1" hidden="1" outlineLevel="1" x14ac:dyDescent="0.2">
      <c r="C1335" s="552" t="s">
        <v>1289</v>
      </c>
      <c r="D1335" s="453"/>
      <c r="E1335" s="453"/>
      <c r="F1335" s="453"/>
      <c r="G1335" s="498">
        <f>SUM(K1320:K1323)</f>
        <v>29808465.90361445</v>
      </c>
      <c r="H1335" s="466" t="s">
        <v>1290</v>
      </c>
      <c r="I1335" s="453"/>
      <c r="J1335" s="453"/>
    </row>
    <row r="1336" spans="1:48" s="457" customFormat="1" hidden="1" outlineLevel="1" x14ac:dyDescent="0.2"/>
    <row r="1337" spans="1:48" collapsed="1" x14ac:dyDescent="0.2">
      <c r="D1337" s="457"/>
      <c r="E1337" s="457"/>
      <c r="G1337" s="457"/>
    </row>
    <row r="1338" spans="1:48" s="457" customFormat="1" ht="15.75" x14ac:dyDescent="0.2">
      <c r="A1338" s="456" t="s">
        <v>1943</v>
      </c>
      <c r="B1338" s="456"/>
      <c r="C1338" s="456"/>
      <c r="D1338" s="456"/>
      <c r="E1338" s="456"/>
      <c r="F1338" s="456"/>
      <c r="G1338" s="456"/>
      <c r="H1338" s="456"/>
      <c r="I1338" s="456"/>
      <c r="J1338" s="456"/>
      <c r="K1338" s="456"/>
      <c r="L1338" s="456"/>
      <c r="M1338" s="456"/>
      <c r="N1338" s="456"/>
      <c r="O1338" s="456"/>
      <c r="P1338" s="456"/>
      <c r="Q1338" s="456"/>
      <c r="R1338" s="456"/>
      <c r="S1338" s="456"/>
      <c r="T1338" s="456"/>
      <c r="U1338" s="456"/>
      <c r="V1338" s="456"/>
      <c r="W1338" s="456"/>
      <c r="X1338" s="456"/>
      <c r="Y1338" s="456"/>
      <c r="Z1338" s="456"/>
      <c r="AA1338" s="456"/>
      <c r="AB1338" s="456"/>
      <c r="AC1338" s="456"/>
      <c r="AD1338" s="456"/>
      <c r="AE1338" s="456"/>
      <c r="AF1338" s="456"/>
      <c r="AG1338" s="456"/>
      <c r="AH1338" s="456"/>
      <c r="AI1338" s="456"/>
      <c r="AJ1338" s="456"/>
      <c r="AK1338" s="456"/>
      <c r="AL1338" s="456"/>
      <c r="AM1338" s="456"/>
      <c r="AN1338" s="456"/>
      <c r="AO1338" s="456"/>
      <c r="AP1338" s="456"/>
      <c r="AQ1338" s="456"/>
      <c r="AR1338" s="456"/>
      <c r="AS1338" s="456"/>
      <c r="AT1338" s="456"/>
      <c r="AU1338" s="456"/>
      <c r="AV1338" s="456"/>
    </row>
    <row r="1339" spans="1:48" x14ac:dyDescent="0.2">
      <c r="D1339" s="457"/>
      <c r="E1339" s="457"/>
      <c r="G1339" s="457"/>
    </row>
    <row r="1340" spans="1:48" hidden="1" outlineLevel="1" x14ac:dyDescent="0.2">
      <c r="C1340" s="460" t="s">
        <v>1299</v>
      </c>
    </row>
    <row r="1341" spans="1:48" hidden="1" outlineLevel="1" x14ac:dyDescent="0.2">
      <c r="C1341" s="460"/>
      <c r="D1341" s="453" t="s">
        <v>1300</v>
      </c>
      <c r="G1341" s="484">
        <f>Incoming.voice.traffic.from.fixed.national</f>
        <v>400318117.3503893</v>
      </c>
    </row>
    <row r="1342" spans="1:48" hidden="1" outlineLevel="1" x14ac:dyDescent="0.2">
      <c r="D1342" s="453" t="s">
        <v>1301</v>
      </c>
      <c r="G1342" s="484">
        <f>Outgoing.voice.traffic.to.fixed.national</f>
        <v>847663312.90920758</v>
      </c>
    </row>
    <row r="1343" spans="1:48" hidden="1" outlineLevel="1" x14ac:dyDescent="0.2">
      <c r="D1343" s="453" t="s">
        <v>1302</v>
      </c>
      <c r="G1343" s="484">
        <f>Incoming.voice.traffic.from.mobile.national</f>
        <v>7350335944.5361652</v>
      </c>
    </row>
    <row r="1344" spans="1:48" hidden="1" outlineLevel="1" x14ac:dyDescent="0.2">
      <c r="D1344" s="453" t="s">
        <v>1303</v>
      </c>
      <c r="G1344" s="484">
        <f>Outgoing.voice.traffic.to.mobile.national</f>
        <v>7350335944.5361643</v>
      </c>
    </row>
    <row r="1345" spans="3:7" hidden="1" outlineLevel="1" x14ac:dyDescent="0.2"/>
    <row r="1346" spans="3:7" hidden="1" outlineLevel="1" x14ac:dyDescent="0.2">
      <c r="C1346" s="460" t="s">
        <v>1934</v>
      </c>
    </row>
    <row r="1347" spans="3:7" hidden="1" outlineLevel="1" x14ac:dyDescent="0.2">
      <c r="D1347" s="545" t="s">
        <v>1935</v>
      </c>
      <c r="G1347" s="553">
        <v>3.2530000000000003E-2</v>
      </c>
    </row>
    <row r="1348" spans="3:7" hidden="1" outlineLevel="1" x14ac:dyDescent="0.2">
      <c r="D1348" s="545" t="s">
        <v>1936</v>
      </c>
      <c r="G1348" s="553">
        <v>1.7600000000000001E-2</v>
      </c>
    </row>
    <row r="1349" spans="3:7" hidden="1" outlineLevel="1" x14ac:dyDescent="0.2">
      <c r="D1349" s="545" t="s">
        <v>1937</v>
      </c>
      <c r="G1349" s="554">
        <f>AVERAGE(G1347:G1348)</f>
        <v>2.5065000000000004E-2</v>
      </c>
    </row>
    <row r="1350" spans="3:7" hidden="1" outlineLevel="1" x14ac:dyDescent="0.2"/>
    <row r="1351" spans="3:7" hidden="1" outlineLevel="1" x14ac:dyDescent="0.2">
      <c r="C1351" s="460" t="s">
        <v>1938</v>
      </c>
      <c r="G1351" s="555">
        <v>7.2899999999999996E-3</v>
      </c>
    </row>
    <row r="1352" spans="3:7" hidden="1" outlineLevel="1" x14ac:dyDescent="0.2"/>
    <row r="1353" spans="3:7" hidden="1" outlineLevel="1" x14ac:dyDescent="0.2">
      <c r="C1353" s="460" t="s">
        <v>1939</v>
      </c>
      <c r="G1353" s="474">
        <f>(G1341+G1343)*G1349</f>
        <v>194270144.06118652</v>
      </c>
    </row>
    <row r="1354" spans="3:7" hidden="1" outlineLevel="1" x14ac:dyDescent="0.2"/>
    <row r="1355" spans="3:7" hidden="1" outlineLevel="1" x14ac:dyDescent="0.2">
      <c r="C1355" s="460" t="s">
        <v>1940</v>
      </c>
      <c r="G1355" s="474">
        <f>G1342*G1351+G1344*G1349</f>
        <v>190415636.00090712</v>
      </c>
    </row>
    <row r="1356" spans="3:7" hidden="1" outlineLevel="1" x14ac:dyDescent="0.2"/>
    <row r="1357" spans="3:7" hidden="1" outlineLevel="1" x14ac:dyDescent="0.2">
      <c r="C1357" s="460" t="s">
        <v>1941</v>
      </c>
      <c r="G1357" s="475">
        <f>G1353-G1355</f>
        <v>3854508.0602793992</v>
      </c>
    </row>
    <row r="1358" spans="3:7" hidden="1" outlineLevel="1" x14ac:dyDescent="0.2"/>
    <row r="1359" spans="3:7" hidden="1" outlineLevel="1" x14ac:dyDescent="0.2">
      <c r="C1359" s="460" t="s">
        <v>1294</v>
      </c>
      <c r="G1359" s="556">
        <v>0.02</v>
      </c>
    </row>
    <row r="1360" spans="3:7" hidden="1" outlineLevel="1" x14ac:dyDescent="0.2"/>
    <row r="1361" spans="3:8" hidden="1" outlineLevel="1" x14ac:dyDescent="0.2">
      <c r="C1361" s="460" t="s">
        <v>1942</v>
      </c>
      <c r="G1361" s="475">
        <f>G1359*G1357</f>
        <v>77090.161205587981</v>
      </c>
    </row>
    <row r="1362" spans="3:8" hidden="1" outlineLevel="1" x14ac:dyDescent="0.2"/>
    <row r="1363" spans="3:8" hidden="1" outlineLevel="1" x14ac:dyDescent="0.2">
      <c r="C1363" s="460" t="s">
        <v>1966</v>
      </c>
      <c r="G1363" s="557">
        <f>IF(Interconnection.traffic.volume=0,0,G1361/Interconnection.traffic.volume)</f>
        <v>4.7743948579744926E-6</v>
      </c>
      <c r="H1363" s="466" t="s">
        <v>1304</v>
      </c>
    </row>
    <row r="1364" spans="3:8" collapsed="1" x14ac:dyDescent="0.2">
      <c r="D1364" s="457"/>
      <c r="E1364" s="457"/>
      <c r="G1364" s="457"/>
    </row>
    <row r="1365" spans="3:8" x14ac:dyDescent="0.2">
      <c r="C1365" s="460" t="s">
        <v>1967</v>
      </c>
      <c r="G1365" s="557">
        <f>IF(Interconnection.traffic.volume=0,0,G1361/(Incoming.voice.traffic.from.fixed.national+Incoming.voice.traffic.from.mobile.national+ Incoming.voice.traffic.from.international))</f>
        <v>9.7870711841557884E-6</v>
      </c>
      <c r="H1365" s="466" t="s">
        <v>1954</v>
      </c>
    </row>
  </sheetData>
  <mergeCells count="2">
    <mergeCell ref="F3:G3"/>
    <mergeCell ref="F4:G4"/>
  </mergeCells>
  <conditionalFormatting sqref="F4">
    <cfRule type="cellIs" dxfId="239" priority="9" operator="equal">
      <formula>"Correcto"</formula>
    </cfRule>
  </conditionalFormatting>
  <conditionalFormatting sqref="F3">
    <cfRule type="cellIs" dxfId="238" priority="10" operator="notEqual">
      <formula>"ERROR"</formula>
    </cfRule>
    <cfRule type="cellIs" dxfId="237" priority="11" operator="equal">
      <formula>"ERROR"</formula>
    </cfRule>
  </conditionalFormatting>
  <pageMargins left="0.70866141732283472" right="0.70866141732283472" top="0.51181102362204722" bottom="0.51181102362204722" header="0.51181102362204722" footer="0.35433070866141736"/>
  <pageSetup paperSize="9" orientation="landscape" horizontalDpi="4294967292" verticalDpi="4294967292" r:id="rId1"/>
  <headerFooter alignWithMargins="0">
    <oddFooter xml:space="preserve">&amp;L&amp;F : &amp;A&amp;CPrinted at &amp;T on &amp;D&amp;RCommercial in confidence © Analysys Mason </oddFooter>
  </headerFooter>
  <ignoredErrors>
    <ignoredError sqref="I841:N841" formula="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autoPageBreaks="0"/>
  </sheetPr>
  <dimension ref="A1:V248"/>
  <sheetViews>
    <sheetView showGridLines="0" defaultGridColor="0" colorId="22" zoomScale="120" zoomScaleNormal="120" workbookViewId="0">
      <pane xSplit="6" ySplit="31" topLeftCell="G32" activePane="bottomRight" state="frozen"/>
      <selection pane="topRight"/>
      <selection pane="bottomLeft"/>
      <selection pane="bottomRight" activeCell="G32" sqref="G32"/>
    </sheetView>
  </sheetViews>
  <sheetFormatPr baseColWidth="10" defaultColWidth="12.7109375" defaultRowHeight="12" outlineLevelRow="1" x14ac:dyDescent="0.2"/>
  <cols>
    <col min="1" max="1" width="5.5703125" style="570" customWidth="1"/>
    <col min="2" max="2" width="5.42578125" style="570" customWidth="1"/>
    <col min="3" max="3" width="50" style="570" customWidth="1"/>
    <col min="4" max="5" width="26.85546875" style="570" customWidth="1"/>
    <col min="6" max="7" width="12.7109375" style="570" customWidth="1"/>
    <col min="8" max="8" width="16.7109375" style="570" customWidth="1"/>
    <col min="9" max="9" width="15" style="570" customWidth="1"/>
    <col min="10" max="12" width="12.7109375" style="570" customWidth="1"/>
    <col min="13" max="13" width="10.28515625" style="570" customWidth="1"/>
    <col min="14" max="19" width="12.7109375" style="570" customWidth="1"/>
    <col min="20" max="20" width="15.140625" style="570" bestFit="1" customWidth="1"/>
    <col min="21" max="16384" width="12.7109375" style="570"/>
  </cols>
  <sheetData>
    <row r="1" spans="1:19" s="568" customFormat="1" ht="45" customHeight="1" x14ac:dyDescent="0.2">
      <c r="D1" s="569" t="s">
        <v>1732</v>
      </c>
      <c r="E1" s="569"/>
      <c r="F1" s="570"/>
      <c r="G1" s="570"/>
      <c r="H1" s="570"/>
      <c r="I1" s="570"/>
      <c r="J1" s="570"/>
      <c r="L1" s="570"/>
      <c r="M1" s="570"/>
      <c r="N1" s="570"/>
      <c r="O1" s="570"/>
      <c r="P1" s="570"/>
      <c r="Q1" s="570"/>
      <c r="S1" s="570"/>
    </row>
    <row r="4" spans="1:19" ht="18" x14ac:dyDescent="0.2">
      <c r="A4" s="573" t="s">
        <v>1733</v>
      </c>
      <c r="B4" s="574"/>
      <c r="C4" s="574"/>
      <c r="D4" s="574"/>
      <c r="E4" s="574"/>
      <c r="F4" s="574"/>
      <c r="G4" s="574"/>
      <c r="J4" s="574"/>
      <c r="K4" s="757"/>
      <c r="L4" s="574"/>
      <c r="M4" s="574"/>
      <c r="N4" s="574"/>
      <c r="O4" s="574"/>
      <c r="P4" s="574"/>
      <c r="Q4" s="574"/>
      <c r="R4" s="574"/>
    </row>
    <row r="5" spans="1:19" x14ac:dyDescent="0.2">
      <c r="K5" s="757"/>
    </row>
    <row r="6" spans="1:19" ht="15.75" x14ac:dyDescent="0.2">
      <c r="B6" s="575" t="s">
        <v>884</v>
      </c>
      <c r="E6" s="743"/>
      <c r="K6" s="758"/>
    </row>
    <row r="7" spans="1:19" ht="36" x14ac:dyDescent="0.2">
      <c r="H7" s="576" t="s">
        <v>887</v>
      </c>
      <c r="I7" s="576" t="s">
        <v>888</v>
      </c>
      <c r="K7" s="576" t="s">
        <v>886</v>
      </c>
      <c r="P7" s="576" t="s">
        <v>887</v>
      </c>
      <c r="Q7" s="576" t="s">
        <v>888</v>
      </c>
    </row>
    <row r="8" spans="1:19" x14ac:dyDescent="0.2">
      <c r="C8" s="571" t="s">
        <v>1498</v>
      </c>
      <c r="H8" s="580">
        <v>-0.05</v>
      </c>
      <c r="I8" s="577">
        <f t="shared" ref="I8:I26" si="0">(1+H8)*(1+Inflation.rate.average)-1</f>
        <v>-2.2707645436101598E-2</v>
      </c>
      <c r="K8" s="578">
        <v>8</v>
      </c>
      <c r="P8" s="579">
        <v>0</v>
      </c>
      <c r="Q8" s="577">
        <f t="shared" ref="Q8:Q26" si="1">(1+P8)*(1+Inflation.rate.average)-1</f>
        <v>2.872879427778785E-2</v>
      </c>
    </row>
    <row r="9" spans="1:19" hidden="1" outlineLevel="1" x14ac:dyDescent="0.2">
      <c r="C9" s="571" t="s">
        <v>1499</v>
      </c>
      <c r="H9" s="580">
        <v>-0.05</v>
      </c>
      <c r="I9" s="577">
        <f t="shared" si="0"/>
        <v>-2.2707645436101598E-2</v>
      </c>
      <c r="K9" s="578">
        <v>6</v>
      </c>
      <c r="P9" s="579">
        <v>0</v>
      </c>
      <c r="Q9" s="577">
        <f t="shared" si="1"/>
        <v>2.872879427778785E-2</v>
      </c>
    </row>
    <row r="10" spans="1:19" hidden="1" outlineLevel="1" x14ac:dyDescent="0.2">
      <c r="C10" s="571" t="s">
        <v>1538</v>
      </c>
      <c r="H10" s="580">
        <v>0.01</v>
      </c>
      <c r="I10" s="577">
        <f t="shared" si="0"/>
        <v>3.9016082220565629E-2</v>
      </c>
      <c r="K10" s="578">
        <v>25</v>
      </c>
      <c r="P10" s="579">
        <v>0.01</v>
      </c>
      <c r="Q10" s="577">
        <f t="shared" si="1"/>
        <v>3.9016082220565629E-2</v>
      </c>
    </row>
    <row r="11" spans="1:19" hidden="1" outlineLevel="1" x14ac:dyDescent="0.2">
      <c r="C11" s="571" t="s">
        <v>1500</v>
      </c>
      <c r="H11" s="580">
        <v>-0.02</v>
      </c>
      <c r="I11" s="577">
        <f t="shared" si="0"/>
        <v>8.154218392232071E-3</v>
      </c>
      <c r="K11" s="578">
        <v>5</v>
      </c>
      <c r="P11" s="579">
        <v>-0.1</v>
      </c>
      <c r="Q11" s="577">
        <f t="shared" si="1"/>
        <v>-7.4144085149990935E-2</v>
      </c>
    </row>
    <row r="12" spans="1:19" hidden="1" outlineLevel="1" x14ac:dyDescent="0.2">
      <c r="C12" s="571" t="s">
        <v>1501</v>
      </c>
      <c r="H12" s="580">
        <v>-0.05</v>
      </c>
      <c r="I12" s="577">
        <f t="shared" si="0"/>
        <v>-2.2707645436101598E-2</v>
      </c>
      <c r="K12" s="578">
        <v>8</v>
      </c>
      <c r="P12" s="579">
        <v>0</v>
      </c>
      <c r="Q12" s="577">
        <f t="shared" si="1"/>
        <v>2.872879427778785E-2</v>
      </c>
    </row>
    <row r="13" spans="1:19" hidden="1" outlineLevel="1" x14ac:dyDescent="0.2">
      <c r="C13" s="571" t="s">
        <v>1502</v>
      </c>
      <c r="H13" s="580">
        <v>0.01</v>
      </c>
      <c r="I13" s="577">
        <f t="shared" si="0"/>
        <v>3.9016082220565629E-2</v>
      </c>
      <c r="K13" s="578">
        <v>20</v>
      </c>
      <c r="L13" s="757"/>
      <c r="P13" s="579">
        <v>0</v>
      </c>
      <c r="Q13" s="577">
        <f t="shared" si="1"/>
        <v>2.872879427778785E-2</v>
      </c>
    </row>
    <row r="14" spans="1:19" hidden="1" outlineLevel="1" x14ac:dyDescent="0.2">
      <c r="C14" s="571" t="s">
        <v>1503</v>
      </c>
      <c r="H14" s="580">
        <v>-0.05</v>
      </c>
      <c r="I14" s="577">
        <f t="shared" si="0"/>
        <v>-2.2707645436101598E-2</v>
      </c>
      <c r="K14" s="578">
        <v>8</v>
      </c>
      <c r="P14" s="579">
        <v>0</v>
      </c>
      <c r="Q14" s="577">
        <f t="shared" si="1"/>
        <v>2.872879427778785E-2</v>
      </c>
    </row>
    <row r="15" spans="1:19" hidden="1" outlineLevel="1" x14ac:dyDescent="0.2">
      <c r="C15" s="571" t="s">
        <v>376</v>
      </c>
      <c r="H15" s="580">
        <v>-0.05</v>
      </c>
      <c r="I15" s="577">
        <f t="shared" si="0"/>
        <v>-2.2707645436101598E-2</v>
      </c>
      <c r="K15" s="578">
        <v>8</v>
      </c>
      <c r="P15" s="579">
        <v>0</v>
      </c>
      <c r="Q15" s="577">
        <f t="shared" si="1"/>
        <v>2.872879427778785E-2</v>
      </c>
    </row>
    <row r="16" spans="1:19" hidden="1" outlineLevel="1" x14ac:dyDescent="0.2">
      <c r="C16" s="571" t="s">
        <v>374</v>
      </c>
      <c r="H16" s="580">
        <v>-0.05</v>
      </c>
      <c r="I16" s="577">
        <f t="shared" si="0"/>
        <v>-2.2707645436101598E-2</v>
      </c>
      <c r="K16" s="578">
        <v>6</v>
      </c>
      <c r="P16" s="579">
        <v>0</v>
      </c>
      <c r="Q16" s="577">
        <f t="shared" si="1"/>
        <v>2.872879427778785E-2</v>
      </c>
    </row>
    <row r="17" spans="2:18" hidden="1" outlineLevel="1" x14ac:dyDescent="0.2">
      <c r="C17" s="571" t="s">
        <v>373</v>
      </c>
      <c r="H17" s="580">
        <v>-0.05</v>
      </c>
      <c r="I17" s="577">
        <f t="shared" si="0"/>
        <v>-2.2707645436101598E-2</v>
      </c>
      <c r="K17" s="578">
        <v>6</v>
      </c>
      <c r="P17" s="579">
        <v>0</v>
      </c>
      <c r="Q17" s="577">
        <f t="shared" si="1"/>
        <v>2.872879427778785E-2</v>
      </c>
    </row>
    <row r="18" spans="2:18" hidden="1" outlineLevel="1" x14ac:dyDescent="0.2">
      <c r="C18" s="571" t="s">
        <v>509</v>
      </c>
      <c r="H18" s="580">
        <v>-0.05</v>
      </c>
      <c r="I18" s="577">
        <f t="shared" si="0"/>
        <v>-2.2707645436101598E-2</v>
      </c>
      <c r="K18" s="578">
        <v>6</v>
      </c>
      <c r="P18" s="579">
        <v>0</v>
      </c>
      <c r="Q18" s="577">
        <f t="shared" si="1"/>
        <v>2.872879427778785E-2</v>
      </c>
    </row>
    <row r="19" spans="2:18" hidden="1" outlineLevel="1" x14ac:dyDescent="0.2">
      <c r="C19" s="571" t="s">
        <v>372</v>
      </c>
      <c r="H19" s="580">
        <v>-0.05</v>
      </c>
      <c r="I19" s="577">
        <f t="shared" si="0"/>
        <v>-2.2707645436101598E-2</v>
      </c>
      <c r="K19" s="578">
        <v>8</v>
      </c>
      <c r="P19" s="579">
        <v>0</v>
      </c>
      <c r="Q19" s="577">
        <f t="shared" ref="Q19:Q22" si="2">(1+P19)*(1+Inflation.rate.average)-1</f>
        <v>2.872879427778785E-2</v>
      </c>
    </row>
    <row r="20" spans="2:18" hidden="1" outlineLevel="1" x14ac:dyDescent="0.2">
      <c r="C20" s="571" t="s">
        <v>1504</v>
      </c>
      <c r="H20" s="580">
        <v>-0.05</v>
      </c>
      <c r="I20" s="577">
        <f t="shared" si="0"/>
        <v>-2.2707645436101598E-2</v>
      </c>
      <c r="K20" s="578">
        <v>8</v>
      </c>
      <c r="P20" s="579">
        <v>0</v>
      </c>
      <c r="Q20" s="577">
        <f t="shared" si="2"/>
        <v>2.872879427778785E-2</v>
      </c>
    </row>
    <row r="21" spans="2:18" hidden="1" outlineLevel="1" x14ac:dyDescent="0.2">
      <c r="C21" s="571" t="s">
        <v>1505</v>
      </c>
      <c r="H21" s="580">
        <v>0</v>
      </c>
      <c r="I21" s="577">
        <f t="shared" si="0"/>
        <v>2.872879427778785E-2</v>
      </c>
      <c r="K21" s="578">
        <v>15</v>
      </c>
      <c r="P21" s="581">
        <f>H21</f>
        <v>0</v>
      </c>
      <c r="Q21" s="577">
        <f t="shared" si="2"/>
        <v>2.872879427778785E-2</v>
      </c>
    </row>
    <row r="22" spans="2:18" hidden="1" outlineLevel="1" x14ac:dyDescent="0.2">
      <c r="C22" s="582" t="s">
        <v>92</v>
      </c>
      <c r="H22" s="580">
        <v>0</v>
      </c>
      <c r="I22" s="577">
        <f t="shared" si="0"/>
        <v>2.872879427778785E-2</v>
      </c>
      <c r="K22" s="578">
        <v>1</v>
      </c>
      <c r="P22" s="579">
        <v>0</v>
      </c>
      <c r="Q22" s="577">
        <f t="shared" si="2"/>
        <v>2.872879427778785E-2</v>
      </c>
    </row>
    <row r="23" spans="2:18" hidden="1" outlineLevel="1" x14ac:dyDescent="0.2">
      <c r="C23" s="582" t="s">
        <v>92</v>
      </c>
      <c r="H23" s="580">
        <v>0</v>
      </c>
      <c r="I23" s="577">
        <f t="shared" si="0"/>
        <v>2.872879427778785E-2</v>
      </c>
      <c r="K23" s="578">
        <v>1</v>
      </c>
      <c r="P23" s="579">
        <v>0</v>
      </c>
      <c r="Q23" s="577">
        <f t="shared" si="1"/>
        <v>2.872879427778785E-2</v>
      </c>
    </row>
    <row r="24" spans="2:18" hidden="1" outlineLevel="1" x14ac:dyDescent="0.2">
      <c r="C24" s="582" t="s">
        <v>92</v>
      </c>
      <c r="H24" s="580">
        <v>0</v>
      </c>
      <c r="I24" s="577">
        <f t="shared" si="0"/>
        <v>2.872879427778785E-2</v>
      </c>
      <c r="K24" s="578">
        <v>1</v>
      </c>
      <c r="P24" s="579">
        <v>0</v>
      </c>
      <c r="Q24" s="577">
        <f t="shared" si="1"/>
        <v>2.872879427778785E-2</v>
      </c>
    </row>
    <row r="25" spans="2:18" hidden="1" outlineLevel="1" x14ac:dyDescent="0.2">
      <c r="C25" s="582" t="s">
        <v>92</v>
      </c>
      <c r="H25" s="580">
        <v>0</v>
      </c>
      <c r="I25" s="577">
        <f t="shared" si="0"/>
        <v>2.872879427778785E-2</v>
      </c>
      <c r="K25" s="578">
        <v>1</v>
      </c>
      <c r="P25" s="579">
        <v>0</v>
      </c>
      <c r="Q25" s="577">
        <f t="shared" si="1"/>
        <v>2.872879427778785E-2</v>
      </c>
    </row>
    <row r="26" spans="2:18" collapsed="1" x14ac:dyDescent="0.2">
      <c r="C26" s="582" t="s">
        <v>92</v>
      </c>
      <c r="H26" s="580">
        <v>0</v>
      </c>
      <c r="I26" s="577">
        <f t="shared" si="0"/>
        <v>2.872879427778785E-2</v>
      </c>
      <c r="K26" s="578">
        <v>1</v>
      </c>
      <c r="P26" s="579">
        <v>0</v>
      </c>
      <c r="Q26" s="577">
        <f t="shared" si="1"/>
        <v>2.872879427778785E-2</v>
      </c>
    </row>
    <row r="27" spans="2:18" x14ac:dyDescent="0.2">
      <c r="C27" s="583" t="s">
        <v>378</v>
      </c>
      <c r="I27" s="583" t="s">
        <v>568</v>
      </c>
      <c r="K27" s="583" t="s">
        <v>570</v>
      </c>
      <c r="Q27" s="583" t="s">
        <v>569</v>
      </c>
    </row>
    <row r="29" spans="2:18" ht="15.75" x14ac:dyDescent="0.2">
      <c r="B29" s="575" t="s">
        <v>885</v>
      </c>
      <c r="H29" s="571" t="s">
        <v>1659</v>
      </c>
      <c r="J29" s="584" t="str">
        <f>CTRL.year.selected</f>
        <v>2015/2016</v>
      </c>
    </row>
    <row r="30" spans="2:18" x14ac:dyDescent="0.2">
      <c r="H30" s="765" t="s">
        <v>1730</v>
      </c>
      <c r="I30" s="766"/>
      <c r="J30" s="766"/>
      <c r="K30" s="766"/>
      <c r="N30" s="765" t="s">
        <v>1544</v>
      </c>
      <c r="O30" s="765"/>
      <c r="P30" s="765"/>
      <c r="Q30" s="765"/>
      <c r="R30" s="729"/>
    </row>
    <row r="31" spans="2:18" ht="84" x14ac:dyDescent="0.2">
      <c r="C31" s="576" t="s">
        <v>890</v>
      </c>
      <c r="D31" s="576" t="s">
        <v>1539</v>
      </c>
      <c r="E31" s="576" t="s">
        <v>1540</v>
      </c>
      <c r="F31" s="576" t="s">
        <v>1541</v>
      </c>
      <c r="H31" s="742" t="s">
        <v>1657</v>
      </c>
      <c r="I31" s="576" t="s">
        <v>1542</v>
      </c>
      <c r="J31" s="576" t="s">
        <v>1665</v>
      </c>
      <c r="K31" s="576" t="s">
        <v>886</v>
      </c>
      <c r="N31" s="576" t="s">
        <v>1731</v>
      </c>
      <c r="O31" s="576" t="s">
        <v>1543</v>
      </c>
      <c r="P31" s="576" t="s">
        <v>1542</v>
      </c>
      <c r="Q31" s="576" t="s">
        <v>1545</v>
      </c>
    </row>
    <row r="32" spans="2:18" x14ac:dyDescent="0.2">
      <c r="B32" s="585">
        <v>1</v>
      </c>
      <c r="C32" s="572" t="s">
        <v>1911</v>
      </c>
      <c r="D32" s="571" t="s">
        <v>1498</v>
      </c>
      <c r="E32" s="571" t="s">
        <v>1516</v>
      </c>
      <c r="H32" s="586">
        <v>0</v>
      </c>
      <c r="I32" s="587">
        <f t="shared" ref="I32:I64" si="3">INDEX(Capex.cost.trends, MATCH($D32, Assets.cost.trend.names, 0))</f>
        <v>-2.2707645436101598E-2</v>
      </c>
      <c r="J32" s="588">
        <f t="array" ref="J32:J231">H32:H231*(1+I32:I231)^(RIGHT(J$29,4)-RIGHT(H$29,4))</f>
        <v>0</v>
      </c>
      <c r="K32" s="589">
        <f t="shared" ref="K32:K60" si="4">INDEX(Lifetimes, MATCH($D32, Assets.cost.trend.names, 0))</f>
        <v>8</v>
      </c>
      <c r="N32" s="590">
        <v>0</v>
      </c>
      <c r="O32" s="591">
        <v>0</v>
      </c>
      <c r="P32" s="587">
        <f t="shared" ref="P32:P63" si="5">INDEX(Opex.cost.trends, MATCH(D32, Assets.cost.trend.names, 0))</f>
        <v>2.872879427778785E-2</v>
      </c>
      <c r="Q32" s="588">
        <f t="shared" ref="Q32:Q41" si="6">(N32*J32) + (O32*(1+P32)^(RIGHT(J$29,4)-RIGHT(H$29,4)))</f>
        <v>0</v>
      </c>
    </row>
    <row r="33" spans="2:17" outlineLevel="1" x14ac:dyDescent="0.2">
      <c r="B33" s="594">
        <f t="shared" ref="B33:B64" si="7">1+B32</f>
        <v>2</v>
      </c>
      <c r="C33" s="572" t="s">
        <v>1912</v>
      </c>
      <c r="D33" s="571" t="s">
        <v>1498</v>
      </c>
      <c r="E33" s="571" t="s">
        <v>1516</v>
      </c>
      <c r="H33" s="586">
        <v>0</v>
      </c>
      <c r="I33" s="587">
        <f t="shared" si="3"/>
        <v>-2.2707645436101598E-2</v>
      </c>
      <c r="J33" s="588">
        <v>0</v>
      </c>
      <c r="K33" s="589">
        <f t="shared" si="4"/>
        <v>8</v>
      </c>
      <c r="N33" s="590">
        <v>0</v>
      </c>
      <c r="O33" s="591">
        <v>0</v>
      </c>
      <c r="P33" s="587">
        <f t="shared" si="5"/>
        <v>2.872879427778785E-2</v>
      </c>
      <c r="Q33" s="588">
        <f t="shared" si="6"/>
        <v>0</v>
      </c>
    </row>
    <row r="34" spans="2:17" outlineLevel="1" x14ac:dyDescent="0.2">
      <c r="B34" s="594">
        <f t="shared" si="7"/>
        <v>3</v>
      </c>
      <c r="C34" s="572" t="s">
        <v>1913</v>
      </c>
      <c r="D34" s="571" t="s">
        <v>1498</v>
      </c>
      <c r="E34" s="571" t="s">
        <v>1516</v>
      </c>
      <c r="H34" s="586">
        <v>0</v>
      </c>
      <c r="I34" s="587">
        <f t="shared" si="3"/>
        <v>-2.2707645436101598E-2</v>
      </c>
      <c r="J34" s="588">
        <v>0</v>
      </c>
      <c r="K34" s="589">
        <f t="shared" si="4"/>
        <v>8</v>
      </c>
      <c r="N34" s="590">
        <v>0</v>
      </c>
      <c r="O34" s="591">
        <v>0</v>
      </c>
      <c r="P34" s="587">
        <f t="shared" si="5"/>
        <v>2.872879427778785E-2</v>
      </c>
      <c r="Q34" s="588">
        <f t="shared" si="6"/>
        <v>0</v>
      </c>
    </row>
    <row r="35" spans="2:17" outlineLevel="1" x14ac:dyDescent="0.2">
      <c r="B35" s="594">
        <f t="shared" si="7"/>
        <v>4</v>
      </c>
      <c r="C35" s="572" t="s">
        <v>377</v>
      </c>
      <c r="D35" s="571" t="s">
        <v>1499</v>
      </c>
      <c r="E35" s="571" t="s">
        <v>1507</v>
      </c>
      <c r="H35" s="586">
        <v>1400</v>
      </c>
      <c r="I35" s="587">
        <f t="shared" si="3"/>
        <v>-2.2707645436101598E-2</v>
      </c>
      <c r="J35" s="588">
        <v>1400</v>
      </c>
      <c r="K35" s="589">
        <f t="shared" si="4"/>
        <v>6</v>
      </c>
      <c r="N35" s="590">
        <v>0.1</v>
      </c>
      <c r="O35" s="591">
        <v>0</v>
      </c>
      <c r="P35" s="587">
        <f t="shared" si="5"/>
        <v>2.872879427778785E-2</v>
      </c>
      <c r="Q35" s="588">
        <f t="shared" si="6"/>
        <v>140</v>
      </c>
    </row>
    <row r="36" spans="2:17" outlineLevel="1" x14ac:dyDescent="0.2">
      <c r="B36" s="594">
        <f t="shared" si="7"/>
        <v>5</v>
      </c>
      <c r="C36" s="572" t="s">
        <v>1914</v>
      </c>
      <c r="D36" s="571" t="s">
        <v>1498</v>
      </c>
      <c r="E36" s="571" t="s">
        <v>1516</v>
      </c>
      <c r="H36" s="586">
        <v>0</v>
      </c>
      <c r="I36" s="587">
        <f t="shared" si="3"/>
        <v>-2.2707645436101598E-2</v>
      </c>
      <c r="J36" s="588">
        <v>0</v>
      </c>
      <c r="K36" s="589">
        <f t="shared" si="4"/>
        <v>8</v>
      </c>
      <c r="N36" s="590">
        <v>0</v>
      </c>
      <c r="O36" s="591">
        <v>0</v>
      </c>
      <c r="P36" s="587">
        <f t="shared" si="5"/>
        <v>2.872879427778785E-2</v>
      </c>
      <c r="Q36" s="588">
        <f t="shared" si="6"/>
        <v>0</v>
      </c>
    </row>
    <row r="37" spans="2:17" outlineLevel="1" x14ac:dyDescent="0.2">
      <c r="B37" s="594">
        <f t="shared" si="7"/>
        <v>6</v>
      </c>
      <c r="C37" s="572" t="s">
        <v>1915</v>
      </c>
      <c r="D37" s="571" t="s">
        <v>1498</v>
      </c>
      <c r="E37" s="571" t="s">
        <v>1516</v>
      </c>
      <c r="H37" s="586">
        <v>0</v>
      </c>
      <c r="I37" s="587">
        <f t="shared" si="3"/>
        <v>-2.2707645436101598E-2</v>
      </c>
      <c r="J37" s="588">
        <v>0</v>
      </c>
      <c r="K37" s="589">
        <f t="shared" si="4"/>
        <v>8</v>
      </c>
      <c r="N37" s="590">
        <v>0</v>
      </c>
      <c r="O37" s="591">
        <v>0</v>
      </c>
      <c r="P37" s="587">
        <f t="shared" si="5"/>
        <v>2.872879427778785E-2</v>
      </c>
      <c r="Q37" s="588">
        <f t="shared" si="6"/>
        <v>0</v>
      </c>
    </row>
    <row r="38" spans="2:17" outlineLevel="1" x14ac:dyDescent="0.2">
      <c r="B38" s="594">
        <f t="shared" si="7"/>
        <v>7</v>
      </c>
      <c r="C38" s="572" t="s">
        <v>1551</v>
      </c>
      <c r="D38" s="571" t="s">
        <v>1499</v>
      </c>
      <c r="E38" s="571" t="s">
        <v>1509</v>
      </c>
      <c r="H38" s="586">
        <v>4500</v>
      </c>
      <c r="I38" s="587">
        <f t="shared" si="3"/>
        <v>-2.2707645436101598E-2</v>
      </c>
      <c r="J38" s="588">
        <v>4500</v>
      </c>
      <c r="K38" s="589">
        <f t="shared" si="4"/>
        <v>6</v>
      </c>
      <c r="N38" s="590">
        <v>0.1</v>
      </c>
      <c r="O38" s="591">
        <v>0</v>
      </c>
      <c r="P38" s="587">
        <f t="shared" si="5"/>
        <v>2.872879427778785E-2</v>
      </c>
      <c r="Q38" s="588">
        <f t="shared" si="6"/>
        <v>450</v>
      </c>
    </row>
    <row r="39" spans="2:17" outlineLevel="1" x14ac:dyDescent="0.2">
      <c r="B39" s="594">
        <f t="shared" si="7"/>
        <v>8</v>
      </c>
      <c r="C39" s="572" t="s">
        <v>510</v>
      </c>
      <c r="D39" s="571" t="s">
        <v>1499</v>
      </c>
      <c r="E39" s="571" t="s">
        <v>1509</v>
      </c>
      <c r="H39" s="586">
        <v>580</v>
      </c>
      <c r="I39" s="587">
        <f t="shared" si="3"/>
        <v>-2.2707645436101598E-2</v>
      </c>
      <c r="J39" s="588">
        <v>580</v>
      </c>
      <c r="K39" s="589">
        <f t="shared" si="4"/>
        <v>6</v>
      </c>
      <c r="N39" s="590">
        <v>0.06</v>
      </c>
      <c r="O39" s="591">
        <v>0</v>
      </c>
      <c r="P39" s="587">
        <f t="shared" si="5"/>
        <v>2.872879427778785E-2</v>
      </c>
      <c r="Q39" s="588">
        <f t="shared" si="6"/>
        <v>34.799999999999997</v>
      </c>
    </row>
    <row r="40" spans="2:17" outlineLevel="1" x14ac:dyDescent="0.2">
      <c r="B40" s="594">
        <f t="shared" si="7"/>
        <v>9</v>
      </c>
      <c r="C40" s="572" t="str">
        <f t="array" ref="C40:C45">"HSDPA salto a: "&amp;HSDPA.Ladder</f>
        <v>HSDPA salto a: 1.8</v>
      </c>
      <c r="D40" s="571" t="s">
        <v>1499</v>
      </c>
      <c r="E40" s="571" t="s">
        <v>1510</v>
      </c>
      <c r="H40" s="586">
        <v>550</v>
      </c>
      <c r="I40" s="587">
        <f t="shared" si="3"/>
        <v>-2.2707645436101598E-2</v>
      </c>
      <c r="J40" s="588">
        <v>550</v>
      </c>
      <c r="K40" s="589">
        <f t="shared" si="4"/>
        <v>6</v>
      </c>
      <c r="N40" s="590">
        <v>0.21</v>
      </c>
      <c r="O40" s="591">
        <v>0</v>
      </c>
      <c r="P40" s="587">
        <f t="shared" si="5"/>
        <v>2.872879427778785E-2</v>
      </c>
      <c r="Q40" s="588">
        <f t="shared" si="6"/>
        <v>115.5</v>
      </c>
    </row>
    <row r="41" spans="2:17" outlineLevel="1" x14ac:dyDescent="0.2">
      <c r="B41" s="594">
        <f t="shared" si="7"/>
        <v>10</v>
      </c>
      <c r="C41" s="572" t="str">
        <v>HSDPA salto a: 3.6</v>
      </c>
      <c r="D41" s="571" t="s">
        <v>1499</v>
      </c>
      <c r="E41" s="571" t="s">
        <v>1510</v>
      </c>
      <c r="H41" s="586">
        <v>550</v>
      </c>
      <c r="I41" s="587">
        <f t="shared" si="3"/>
        <v>-2.2707645436101598E-2</v>
      </c>
      <c r="J41" s="588">
        <v>550</v>
      </c>
      <c r="K41" s="589">
        <f t="shared" si="4"/>
        <v>6</v>
      </c>
      <c r="N41" s="596">
        <f>N40</f>
        <v>0.21</v>
      </c>
      <c r="O41" s="591">
        <v>0</v>
      </c>
      <c r="P41" s="587">
        <f t="shared" si="5"/>
        <v>2.872879427778785E-2</v>
      </c>
      <c r="Q41" s="588">
        <f t="shared" si="6"/>
        <v>115.5</v>
      </c>
    </row>
    <row r="42" spans="2:17" outlineLevel="1" x14ac:dyDescent="0.2">
      <c r="B42" s="594">
        <f t="shared" si="7"/>
        <v>11</v>
      </c>
      <c r="C42" s="572" t="str">
        <v>HSDPA salto a: 7.2</v>
      </c>
      <c r="D42" s="571" t="s">
        <v>1499</v>
      </c>
      <c r="E42" s="571" t="s">
        <v>1510</v>
      </c>
      <c r="H42" s="586">
        <v>725</v>
      </c>
      <c r="I42" s="587">
        <f t="shared" si="3"/>
        <v>-2.2707645436101598E-2</v>
      </c>
      <c r="J42" s="588">
        <v>725</v>
      </c>
      <c r="K42" s="589">
        <f t="shared" si="4"/>
        <v>6</v>
      </c>
      <c r="N42" s="596">
        <f t="shared" ref="N42:N45" si="8">N41</f>
        <v>0.21</v>
      </c>
      <c r="O42" s="591">
        <v>0</v>
      </c>
      <c r="P42" s="587">
        <f t="shared" si="5"/>
        <v>2.872879427778785E-2</v>
      </c>
      <c r="Q42" s="588">
        <f t="shared" ref="Q42:Q96" si="9">(N42*J42) + (O42*(1+P42)^(RIGHT(J$29,4)-RIGHT(H$29,4)))</f>
        <v>152.25</v>
      </c>
    </row>
    <row r="43" spans="2:17" outlineLevel="1" x14ac:dyDescent="0.2">
      <c r="B43" s="594">
        <f t="shared" si="7"/>
        <v>12</v>
      </c>
      <c r="C43" s="572" t="str">
        <v>HSDPA salto a: 10.1</v>
      </c>
      <c r="D43" s="571" t="s">
        <v>1499</v>
      </c>
      <c r="E43" s="571" t="s">
        <v>1510</v>
      </c>
      <c r="H43" s="586">
        <v>1060</v>
      </c>
      <c r="I43" s="587">
        <f t="shared" si="3"/>
        <v>-2.2707645436101598E-2</v>
      </c>
      <c r="J43" s="588">
        <v>1060</v>
      </c>
      <c r="K43" s="589">
        <f t="shared" si="4"/>
        <v>6</v>
      </c>
      <c r="N43" s="596">
        <f t="shared" si="8"/>
        <v>0.21</v>
      </c>
      <c r="O43" s="591">
        <v>0</v>
      </c>
      <c r="P43" s="587">
        <f t="shared" si="5"/>
        <v>2.872879427778785E-2</v>
      </c>
      <c r="Q43" s="588">
        <f t="shared" si="9"/>
        <v>222.6</v>
      </c>
    </row>
    <row r="44" spans="2:17" outlineLevel="1" x14ac:dyDescent="0.2">
      <c r="B44" s="594">
        <f t="shared" si="7"/>
        <v>13</v>
      </c>
      <c r="C44" s="572" t="str">
        <v>HSDPA salto a: 14.4</v>
      </c>
      <c r="D44" s="571" t="s">
        <v>1499</v>
      </c>
      <c r="E44" s="571" t="s">
        <v>1510</v>
      </c>
      <c r="H44" s="586">
        <v>1500</v>
      </c>
      <c r="I44" s="587">
        <f t="shared" si="3"/>
        <v>-2.2707645436101598E-2</v>
      </c>
      <c r="J44" s="588">
        <v>1500</v>
      </c>
      <c r="K44" s="589">
        <f t="shared" si="4"/>
        <v>6</v>
      </c>
      <c r="N44" s="596">
        <f t="shared" si="8"/>
        <v>0.21</v>
      </c>
      <c r="O44" s="591">
        <v>0</v>
      </c>
      <c r="P44" s="587">
        <f t="shared" si="5"/>
        <v>2.872879427778785E-2</v>
      </c>
      <c r="Q44" s="588">
        <f t="shared" si="9"/>
        <v>315</v>
      </c>
    </row>
    <row r="45" spans="2:17" outlineLevel="1" x14ac:dyDescent="0.2">
      <c r="B45" s="594">
        <f t="shared" si="7"/>
        <v>14</v>
      </c>
      <c r="C45" s="572" t="str">
        <v>HSDPA salto a: 21.1</v>
      </c>
      <c r="D45" s="571" t="s">
        <v>1499</v>
      </c>
      <c r="E45" s="571" t="s">
        <v>1510</v>
      </c>
      <c r="H45" s="586">
        <v>1700</v>
      </c>
      <c r="I45" s="587">
        <f t="shared" si="3"/>
        <v>-2.2707645436101598E-2</v>
      </c>
      <c r="J45" s="588">
        <v>1700</v>
      </c>
      <c r="K45" s="589">
        <f t="shared" si="4"/>
        <v>6</v>
      </c>
      <c r="N45" s="596">
        <f t="shared" si="8"/>
        <v>0.21</v>
      </c>
      <c r="O45" s="591">
        <v>0</v>
      </c>
      <c r="P45" s="587">
        <f t="shared" si="5"/>
        <v>2.872879427778785E-2</v>
      </c>
      <c r="Q45" s="588">
        <f t="shared" si="9"/>
        <v>357</v>
      </c>
    </row>
    <row r="46" spans="2:17" outlineLevel="1" x14ac:dyDescent="0.2">
      <c r="B46" s="594">
        <f t="shared" si="7"/>
        <v>15</v>
      </c>
      <c r="C46" s="572" t="str">
        <f t="array" ref="C46:C51">"HSUPA salto a: "&amp;HSUPA.Ladder</f>
        <v>HSUPA salto a: 0.73</v>
      </c>
      <c r="D46" s="571" t="s">
        <v>1499</v>
      </c>
      <c r="E46" s="571" t="s">
        <v>1511</v>
      </c>
      <c r="H46" s="586">
        <v>190</v>
      </c>
      <c r="I46" s="587">
        <f t="shared" si="3"/>
        <v>-2.2707645436101598E-2</v>
      </c>
      <c r="J46" s="588">
        <v>190</v>
      </c>
      <c r="K46" s="589">
        <f t="shared" si="4"/>
        <v>6</v>
      </c>
      <c r="N46" s="590">
        <v>0.13</v>
      </c>
      <c r="O46" s="591">
        <v>0</v>
      </c>
      <c r="P46" s="587">
        <f t="shared" si="5"/>
        <v>2.872879427778785E-2</v>
      </c>
      <c r="Q46" s="588">
        <f t="shared" si="9"/>
        <v>24.7</v>
      </c>
    </row>
    <row r="47" spans="2:17" outlineLevel="1" x14ac:dyDescent="0.2">
      <c r="B47" s="594">
        <f t="shared" si="7"/>
        <v>16</v>
      </c>
      <c r="C47" s="572" t="str">
        <v>HSUPA salto a: 1.46</v>
      </c>
      <c r="D47" s="571" t="s">
        <v>1499</v>
      </c>
      <c r="E47" s="571" t="s">
        <v>1511</v>
      </c>
      <c r="H47" s="586">
        <v>20</v>
      </c>
      <c r="I47" s="587">
        <f t="shared" si="3"/>
        <v>-2.2707645436101598E-2</v>
      </c>
      <c r="J47" s="588">
        <v>20</v>
      </c>
      <c r="K47" s="589">
        <f t="shared" si="4"/>
        <v>6</v>
      </c>
      <c r="N47" s="596">
        <f>N46</f>
        <v>0.13</v>
      </c>
      <c r="O47" s="591">
        <v>0</v>
      </c>
      <c r="P47" s="587">
        <f t="shared" si="5"/>
        <v>2.872879427778785E-2</v>
      </c>
      <c r="Q47" s="588">
        <f t="shared" si="9"/>
        <v>2.6</v>
      </c>
    </row>
    <row r="48" spans="2:17" outlineLevel="1" x14ac:dyDescent="0.2">
      <c r="B48" s="594">
        <f t="shared" si="7"/>
        <v>17</v>
      </c>
      <c r="C48" s="572" t="str">
        <v>HSUPA salto a: 2</v>
      </c>
      <c r="D48" s="571" t="s">
        <v>1499</v>
      </c>
      <c r="E48" s="571" t="s">
        <v>1511</v>
      </c>
      <c r="H48" s="586">
        <v>20</v>
      </c>
      <c r="I48" s="587">
        <f t="shared" si="3"/>
        <v>-2.2707645436101598E-2</v>
      </c>
      <c r="J48" s="588">
        <v>20</v>
      </c>
      <c r="K48" s="589">
        <f t="shared" si="4"/>
        <v>6</v>
      </c>
      <c r="N48" s="596">
        <f>N47</f>
        <v>0.13</v>
      </c>
      <c r="O48" s="591">
        <v>0</v>
      </c>
      <c r="P48" s="587">
        <f t="shared" si="5"/>
        <v>2.872879427778785E-2</v>
      </c>
      <c r="Q48" s="588">
        <f t="shared" si="9"/>
        <v>2.6</v>
      </c>
    </row>
    <row r="49" spans="2:17" outlineLevel="1" x14ac:dyDescent="0.2">
      <c r="B49" s="594">
        <f t="shared" si="7"/>
        <v>18</v>
      </c>
      <c r="C49" s="572" t="str">
        <v>HSUPA salto a: 2.93</v>
      </c>
      <c r="D49" s="571" t="s">
        <v>1499</v>
      </c>
      <c r="E49" s="571" t="s">
        <v>1511</v>
      </c>
      <c r="H49" s="586">
        <v>20</v>
      </c>
      <c r="I49" s="587">
        <f t="shared" si="3"/>
        <v>-2.2707645436101598E-2</v>
      </c>
      <c r="J49" s="588">
        <v>20</v>
      </c>
      <c r="K49" s="589">
        <f t="shared" si="4"/>
        <v>6</v>
      </c>
      <c r="N49" s="596">
        <f t="shared" ref="N49:N51" si="10">N48</f>
        <v>0.13</v>
      </c>
      <c r="O49" s="591">
        <v>0</v>
      </c>
      <c r="P49" s="587">
        <f t="shared" si="5"/>
        <v>2.872879427778785E-2</v>
      </c>
      <c r="Q49" s="588">
        <f t="shared" si="9"/>
        <v>2.6</v>
      </c>
    </row>
    <row r="50" spans="2:17" outlineLevel="1" x14ac:dyDescent="0.2">
      <c r="B50" s="594">
        <f t="shared" si="7"/>
        <v>19</v>
      </c>
      <c r="C50" s="572" t="str">
        <v>HSUPA salto a: 5.76</v>
      </c>
      <c r="D50" s="571" t="s">
        <v>1499</v>
      </c>
      <c r="E50" s="571" t="s">
        <v>1511</v>
      </c>
      <c r="H50" s="586">
        <v>20</v>
      </c>
      <c r="I50" s="587">
        <f t="shared" si="3"/>
        <v>-2.2707645436101598E-2</v>
      </c>
      <c r="J50" s="588">
        <v>20</v>
      </c>
      <c r="K50" s="589">
        <f t="shared" si="4"/>
        <v>6</v>
      </c>
      <c r="N50" s="596">
        <f t="shared" si="10"/>
        <v>0.13</v>
      </c>
      <c r="O50" s="591">
        <v>0</v>
      </c>
      <c r="P50" s="587">
        <f t="shared" si="5"/>
        <v>2.872879427778785E-2</v>
      </c>
      <c r="Q50" s="588">
        <f t="shared" si="9"/>
        <v>2.6</v>
      </c>
    </row>
    <row r="51" spans="2:17" outlineLevel="1" x14ac:dyDescent="0.2">
      <c r="B51" s="594">
        <f t="shared" si="7"/>
        <v>20</v>
      </c>
      <c r="C51" s="572" t="str">
        <v>HSUPA salto a: 11.5</v>
      </c>
      <c r="D51" s="571" t="s">
        <v>1499</v>
      </c>
      <c r="E51" s="571" t="s">
        <v>1511</v>
      </c>
      <c r="H51" s="586">
        <v>30</v>
      </c>
      <c r="I51" s="587">
        <f t="shared" si="3"/>
        <v>-2.2707645436101598E-2</v>
      </c>
      <c r="J51" s="588">
        <v>30</v>
      </c>
      <c r="K51" s="589">
        <f t="shared" si="4"/>
        <v>6</v>
      </c>
      <c r="N51" s="596">
        <f t="shared" si="10"/>
        <v>0.13</v>
      </c>
      <c r="O51" s="591">
        <v>0</v>
      </c>
      <c r="P51" s="587">
        <f t="shared" si="5"/>
        <v>2.872879427778785E-2</v>
      </c>
      <c r="Q51" s="588">
        <f t="shared" si="9"/>
        <v>3.9000000000000004</v>
      </c>
    </row>
    <row r="52" spans="2:17" outlineLevel="1" x14ac:dyDescent="0.2">
      <c r="B52" s="594">
        <f t="shared" si="7"/>
        <v>21</v>
      </c>
      <c r="C52" s="572" t="s">
        <v>1916</v>
      </c>
      <c r="D52" s="571" t="s">
        <v>1498</v>
      </c>
      <c r="E52" s="571" t="s">
        <v>1516</v>
      </c>
      <c r="H52" s="586">
        <v>0</v>
      </c>
      <c r="I52" s="587">
        <f t="shared" si="3"/>
        <v>-2.2707645436101598E-2</v>
      </c>
      <c r="J52" s="588">
        <v>0</v>
      </c>
      <c r="K52" s="589">
        <f t="shared" si="4"/>
        <v>8</v>
      </c>
      <c r="N52" s="590">
        <v>0</v>
      </c>
      <c r="O52" s="591">
        <v>0</v>
      </c>
      <c r="P52" s="587">
        <f t="shared" si="5"/>
        <v>2.872879427778785E-2</v>
      </c>
      <c r="Q52" s="588">
        <f t="shared" si="9"/>
        <v>0</v>
      </c>
    </row>
    <row r="53" spans="2:17" outlineLevel="1" x14ac:dyDescent="0.2">
      <c r="B53" s="594">
        <f t="shared" si="7"/>
        <v>22</v>
      </c>
      <c r="C53" s="572" t="s">
        <v>1917</v>
      </c>
      <c r="D53" s="571" t="s">
        <v>1498</v>
      </c>
      <c r="E53" s="571" t="s">
        <v>1516</v>
      </c>
      <c r="H53" s="586">
        <v>0</v>
      </c>
      <c r="I53" s="587">
        <f t="shared" si="3"/>
        <v>-2.2707645436101598E-2</v>
      </c>
      <c r="J53" s="588">
        <v>0</v>
      </c>
      <c r="K53" s="589">
        <f t="shared" si="4"/>
        <v>8</v>
      </c>
      <c r="N53" s="590">
        <v>0</v>
      </c>
      <c r="O53" s="591">
        <v>0</v>
      </c>
      <c r="P53" s="587">
        <f t="shared" si="5"/>
        <v>2.872879427778785E-2</v>
      </c>
      <c r="Q53" s="588">
        <f t="shared" si="9"/>
        <v>0</v>
      </c>
    </row>
    <row r="54" spans="2:17" outlineLevel="1" x14ac:dyDescent="0.2">
      <c r="B54" s="594">
        <f t="shared" si="7"/>
        <v>23</v>
      </c>
      <c r="C54" s="572" t="s">
        <v>1568</v>
      </c>
      <c r="D54" s="571" t="s">
        <v>1499</v>
      </c>
      <c r="E54" s="571" t="s">
        <v>1513</v>
      </c>
      <c r="H54" s="586">
        <v>2800</v>
      </c>
      <c r="I54" s="587">
        <f t="shared" si="3"/>
        <v>-2.2707645436101598E-2</v>
      </c>
      <c r="J54" s="588">
        <v>2800</v>
      </c>
      <c r="K54" s="589">
        <f t="shared" si="4"/>
        <v>6</v>
      </c>
      <c r="N54" s="590">
        <v>0.2</v>
      </c>
      <c r="O54" s="591">
        <v>0</v>
      </c>
      <c r="P54" s="587">
        <f t="shared" si="5"/>
        <v>2.872879427778785E-2</v>
      </c>
      <c r="Q54" s="588">
        <f t="shared" si="9"/>
        <v>560</v>
      </c>
    </row>
    <row r="55" spans="2:17" outlineLevel="1" x14ac:dyDescent="0.2">
      <c r="B55" s="594">
        <f t="shared" si="7"/>
        <v>24</v>
      </c>
      <c r="C55" s="572" t="str">
        <f t="array" ref="C55:C60">"LTE salto a: "&amp;LTE.Ladder</f>
        <v>LTE salto a: 10.8</v>
      </c>
      <c r="D55" s="571" t="s">
        <v>1499</v>
      </c>
      <c r="E55" s="571" t="s">
        <v>1513</v>
      </c>
      <c r="H55" s="586">
        <v>1930</v>
      </c>
      <c r="I55" s="587">
        <f t="shared" si="3"/>
        <v>-2.2707645436101598E-2</v>
      </c>
      <c r="J55" s="588">
        <v>1930</v>
      </c>
      <c r="K55" s="589">
        <f t="shared" si="4"/>
        <v>6</v>
      </c>
      <c r="N55" s="590">
        <v>0.16</v>
      </c>
      <c r="O55" s="591">
        <v>0</v>
      </c>
      <c r="P55" s="587">
        <f t="shared" si="5"/>
        <v>2.872879427778785E-2</v>
      </c>
      <c r="Q55" s="588">
        <f t="shared" si="9"/>
        <v>308.8</v>
      </c>
    </row>
    <row r="56" spans="2:17" outlineLevel="1" x14ac:dyDescent="0.2">
      <c r="B56" s="594">
        <f t="shared" si="7"/>
        <v>25</v>
      </c>
      <c r="C56" s="572" t="str">
        <v>LTE salto a: 16.2</v>
      </c>
      <c r="D56" s="571" t="s">
        <v>1499</v>
      </c>
      <c r="E56" s="571" t="s">
        <v>1513</v>
      </c>
      <c r="H56" s="586">
        <v>1550</v>
      </c>
      <c r="I56" s="587">
        <f t="shared" si="3"/>
        <v>-2.2707645436101598E-2</v>
      </c>
      <c r="J56" s="588">
        <v>1550</v>
      </c>
      <c r="K56" s="589">
        <f t="shared" si="4"/>
        <v>6</v>
      </c>
      <c r="N56" s="596">
        <f>N55</f>
        <v>0.16</v>
      </c>
      <c r="O56" s="591">
        <v>0</v>
      </c>
      <c r="P56" s="587">
        <f t="shared" si="5"/>
        <v>2.872879427778785E-2</v>
      </c>
      <c r="Q56" s="588">
        <f t="shared" si="9"/>
        <v>248</v>
      </c>
    </row>
    <row r="57" spans="2:17" outlineLevel="1" x14ac:dyDescent="0.2">
      <c r="B57" s="594">
        <f t="shared" si="7"/>
        <v>26</v>
      </c>
      <c r="C57" s="572" t="str">
        <v>LTE salto a: 21.6</v>
      </c>
      <c r="D57" s="571" t="s">
        <v>1499</v>
      </c>
      <c r="E57" s="571" t="s">
        <v>1513</v>
      </c>
      <c r="H57" s="586">
        <v>1600</v>
      </c>
      <c r="I57" s="587">
        <f t="shared" si="3"/>
        <v>-2.2707645436101598E-2</v>
      </c>
      <c r="J57" s="588">
        <v>1600</v>
      </c>
      <c r="K57" s="589">
        <f t="shared" si="4"/>
        <v>6</v>
      </c>
      <c r="N57" s="596">
        <f>N56</f>
        <v>0.16</v>
      </c>
      <c r="O57" s="591">
        <v>0</v>
      </c>
      <c r="P57" s="587">
        <f t="shared" si="5"/>
        <v>2.872879427778785E-2</v>
      </c>
      <c r="Q57" s="588">
        <f t="shared" si="9"/>
        <v>256</v>
      </c>
    </row>
    <row r="58" spans="2:17" outlineLevel="1" x14ac:dyDescent="0.2">
      <c r="B58" s="594">
        <f t="shared" si="7"/>
        <v>27</v>
      </c>
      <c r="C58" s="572" t="str">
        <v>LTE salto a: 32.4</v>
      </c>
      <c r="D58" s="571" t="s">
        <v>1499</v>
      </c>
      <c r="E58" s="571" t="s">
        <v>1513</v>
      </c>
      <c r="H58" s="586">
        <v>1600</v>
      </c>
      <c r="I58" s="587">
        <f t="shared" si="3"/>
        <v>-2.2707645436101598E-2</v>
      </c>
      <c r="J58" s="588">
        <v>1600</v>
      </c>
      <c r="K58" s="589">
        <f t="shared" si="4"/>
        <v>6</v>
      </c>
      <c r="N58" s="596">
        <f t="shared" ref="N58:N60" si="11">N57</f>
        <v>0.16</v>
      </c>
      <c r="O58" s="591">
        <v>0</v>
      </c>
      <c r="P58" s="587">
        <f t="shared" si="5"/>
        <v>2.872879427778785E-2</v>
      </c>
      <c r="Q58" s="588">
        <f t="shared" si="9"/>
        <v>256</v>
      </c>
    </row>
    <row r="59" spans="2:17" outlineLevel="1" x14ac:dyDescent="0.2">
      <c r="B59" s="594">
        <f t="shared" si="7"/>
        <v>28</v>
      </c>
      <c r="C59" s="572" t="str">
        <v>LTE salto a: 43.2</v>
      </c>
      <c r="D59" s="571" t="s">
        <v>1499</v>
      </c>
      <c r="E59" s="571" t="s">
        <v>1513</v>
      </c>
      <c r="H59" s="586">
        <v>1900</v>
      </c>
      <c r="I59" s="587">
        <f t="shared" si="3"/>
        <v>-2.2707645436101598E-2</v>
      </c>
      <c r="J59" s="588">
        <v>1900</v>
      </c>
      <c r="K59" s="589">
        <f t="shared" si="4"/>
        <v>6</v>
      </c>
      <c r="N59" s="596">
        <f t="shared" si="11"/>
        <v>0.16</v>
      </c>
      <c r="O59" s="591">
        <v>0</v>
      </c>
      <c r="P59" s="587">
        <f t="shared" si="5"/>
        <v>2.872879427778785E-2</v>
      </c>
      <c r="Q59" s="588">
        <f t="shared" si="9"/>
        <v>304</v>
      </c>
    </row>
    <row r="60" spans="2:17" outlineLevel="1" x14ac:dyDescent="0.2">
      <c r="B60" s="594">
        <f t="shared" si="7"/>
        <v>29</v>
      </c>
      <c r="C60" s="572" t="str">
        <v>LTE salto a: 86.4</v>
      </c>
      <c r="D60" s="571" t="s">
        <v>1499</v>
      </c>
      <c r="E60" s="571" t="s">
        <v>1513</v>
      </c>
      <c r="H60" s="586">
        <v>1700</v>
      </c>
      <c r="I60" s="587">
        <f t="shared" si="3"/>
        <v>-2.2707645436101598E-2</v>
      </c>
      <c r="J60" s="588">
        <v>1700</v>
      </c>
      <c r="K60" s="589">
        <f t="shared" si="4"/>
        <v>6</v>
      </c>
      <c r="N60" s="596">
        <f t="shared" si="11"/>
        <v>0.16</v>
      </c>
      <c r="O60" s="591">
        <v>0</v>
      </c>
      <c r="P60" s="587">
        <f t="shared" si="5"/>
        <v>2.872879427778785E-2</v>
      </c>
      <c r="Q60" s="588">
        <f t="shared" si="9"/>
        <v>272</v>
      </c>
    </row>
    <row r="61" spans="2:17" outlineLevel="1" x14ac:dyDescent="0.2">
      <c r="B61" s="594">
        <f t="shared" si="7"/>
        <v>30</v>
      </c>
      <c r="C61" s="572" t="s">
        <v>1569</v>
      </c>
      <c r="D61" s="571" t="s">
        <v>1498</v>
      </c>
      <c r="E61" s="571" t="s">
        <v>1506</v>
      </c>
      <c r="H61" s="598">
        <v>90000</v>
      </c>
      <c r="I61" s="587">
        <f t="shared" si="3"/>
        <v>-2.2707645436101598E-2</v>
      </c>
      <c r="J61" s="588">
        <v>90000</v>
      </c>
      <c r="K61" s="589">
        <f t="shared" ref="K61:K64" si="12">INDEX(Lifetimes, MATCH($D61, Assets.cost.trend.names, 0))</f>
        <v>8</v>
      </c>
      <c r="N61" s="590">
        <v>0.15</v>
      </c>
      <c r="O61" s="591">
        <v>0</v>
      </c>
      <c r="P61" s="587">
        <f t="shared" si="5"/>
        <v>2.872879427778785E-2</v>
      </c>
      <c r="Q61" s="588">
        <f t="shared" si="9"/>
        <v>13500</v>
      </c>
    </row>
    <row r="62" spans="2:17" outlineLevel="1" x14ac:dyDescent="0.2">
      <c r="B62" s="594">
        <f t="shared" si="7"/>
        <v>31</v>
      </c>
      <c r="C62" s="572" t="s">
        <v>1570</v>
      </c>
      <c r="D62" s="571" t="s">
        <v>1498</v>
      </c>
      <c r="E62" s="571" t="s">
        <v>1506</v>
      </c>
      <c r="H62" s="598">
        <v>40000</v>
      </c>
      <c r="I62" s="587">
        <f t="shared" si="3"/>
        <v>-2.2707645436101598E-2</v>
      </c>
      <c r="J62" s="588">
        <v>40000</v>
      </c>
      <c r="K62" s="589">
        <f t="shared" si="12"/>
        <v>8</v>
      </c>
      <c r="N62" s="596">
        <f>N61</f>
        <v>0.15</v>
      </c>
      <c r="O62" s="591">
        <v>0</v>
      </c>
      <c r="P62" s="587">
        <f t="shared" si="5"/>
        <v>2.872879427778785E-2</v>
      </c>
      <c r="Q62" s="588">
        <f t="shared" si="9"/>
        <v>6000</v>
      </c>
    </row>
    <row r="63" spans="2:17" outlineLevel="1" x14ac:dyDescent="0.2">
      <c r="B63" s="594">
        <f t="shared" si="7"/>
        <v>32</v>
      </c>
      <c r="C63" s="572" t="s">
        <v>1597</v>
      </c>
      <c r="D63" s="571" t="s">
        <v>1499</v>
      </c>
      <c r="E63" s="571" t="s">
        <v>1508</v>
      </c>
      <c r="H63" s="586">
        <v>3400</v>
      </c>
      <c r="I63" s="587">
        <f t="shared" si="3"/>
        <v>-2.2707645436101598E-2</v>
      </c>
      <c r="J63" s="588">
        <v>3400</v>
      </c>
      <c r="K63" s="589">
        <f t="shared" si="12"/>
        <v>6</v>
      </c>
      <c r="N63" s="590">
        <v>0.1</v>
      </c>
      <c r="O63" s="591">
        <v>0</v>
      </c>
      <c r="P63" s="587">
        <f t="shared" si="5"/>
        <v>2.872879427778785E-2</v>
      </c>
      <c r="Q63" s="588">
        <f t="shared" si="9"/>
        <v>340</v>
      </c>
    </row>
    <row r="64" spans="2:17" outlineLevel="1" x14ac:dyDescent="0.2">
      <c r="B64" s="594">
        <f t="shared" si="7"/>
        <v>33</v>
      </c>
      <c r="C64" s="572" t="s">
        <v>1598</v>
      </c>
      <c r="D64" s="571" t="s">
        <v>1499</v>
      </c>
      <c r="E64" s="571" t="s">
        <v>1513</v>
      </c>
      <c r="H64" s="586">
        <v>4700</v>
      </c>
      <c r="I64" s="587">
        <f t="shared" si="3"/>
        <v>-2.2707645436101598E-2</v>
      </c>
      <c r="J64" s="588">
        <v>4700</v>
      </c>
      <c r="K64" s="589">
        <f t="shared" si="12"/>
        <v>6</v>
      </c>
      <c r="N64" s="596">
        <f>N63</f>
        <v>0.1</v>
      </c>
      <c r="O64" s="591">
        <v>0</v>
      </c>
      <c r="P64" s="587">
        <f t="shared" ref="P64:P95" si="13">INDEX(Opex.cost.trends, MATCH(D64, Assets.cost.trend.names, 0))</f>
        <v>2.872879427778785E-2</v>
      </c>
      <c r="Q64" s="588">
        <f t="shared" si="9"/>
        <v>470</v>
      </c>
    </row>
    <row r="65" spans="2:17" outlineLevel="1" x14ac:dyDescent="0.2">
      <c r="B65" s="594">
        <f t="shared" ref="B65:B96" si="14">1+B64</f>
        <v>34</v>
      </c>
      <c r="C65" s="572" t="s">
        <v>1918</v>
      </c>
      <c r="D65" s="571" t="s">
        <v>1538</v>
      </c>
      <c r="E65" s="571" t="s">
        <v>1506</v>
      </c>
      <c r="H65" s="586">
        <v>104000</v>
      </c>
      <c r="I65" s="587">
        <f t="shared" ref="I65:I96" si="15">INDEX(Capex.cost.trends, MATCH($D65, Assets.cost.trend.names, 0))</f>
        <v>3.9016082220565629E-2</v>
      </c>
      <c r="J65" s="588">
        <v>104000</v>
      </c>
      <c r="K65" s="589">
        <f t="shared" ref="K65:K97" si="16">INDEX(Lifetimes, MATCH($D65, Assets.cost.trend.names, 0))</f>
        <v>25</v>
      </c>
      <c r="N65" s="590">
        <v>0.1</v>
      </c>
      <c r="O65" s="591">
        <v>0</v>
      </c>
      <c r="P65" s="587">
        <f t="shared" si="13"/>
        <v>3.9016082220565629E-2</v>
      </c>
      <c r="Q65" s="588">
        <f t="shared" si="9"/>
        <v>10400</v>
      </c>
    </row>
    <row r="66" spans="2:17" outlineLevel="1" x14ac:dyDescent="0.2">
      <c r="B66" s="594">
        <f t="shared" si="14"/>
        <v>35</v>
      </c>
      <c r="C66" s="572" t="s">
        <v>1920</v>
      </c>
      <c r="D66" s="571" t="s">
        <v>1538</v>
      </c>
      <c r="E66" s="571" t="s">
        <v>1506</v>
      </c>
      <c r="H66" s="586">
        <v>33600.000000000007</v>
      </c>
      <c r="I66" s="587">
        <f t="shared" si="15"/>
        <v>3.9016082220565629E-2</v>
      </c>
      <c r="J66" s="588">
        <v>33600.000000000007</v>
      </c>
      <c r="K66" s="589">
        <f t="shared" si="16"/>
        <v>25</v>
      </c>
      <c r="N66" s="596">
        <f>N65</f>
        <v>0.1</v>
      </c>
      <c r="O66" s="591">
        <v>0</v>
      </c>
      <c r="P66" s="587">
        <f t="shared" si="13"/>
        <v>3.9016082220565629E-2</v>
      </c>
      <c r="Q66" s="588">
        <f t="shared" si="9"/>
        <v>3360.0000000000009</v>
      </c>
    </row>
    <row r="67" spans="2:17" outlineLevel="1" x14ac:dyDescent="0.2">
      <c r="B67" s="594">
        <f t="shared" si="14"/>
        <v>36</v>
      </c>
      <c r="C67" s="572" t="s">
        <v>1919</v>
      </c>
      <c r="D67" s="571" t="s">
        <v>1538</v>
      </c>
      <c r="E67" s="571" t="s">
        <v>1506</v>
      </c>
      <c r="H67" s="586">
        <v>50000</v>
      </c>
      <c r="I67" s="587">
        <f t="shared" si="15"/>
        <v>3.9016082220565629E-2</v>
      </c>
      <c r="J67" s="588">
        <v>50000</v>
      </c>
      <c r="K67" s="589">
        <f t="shared" si="16"/>
        <v>25</v>
      </c>
      <c r="N67" s="590">
        <v>0</v>
      </c>
      <c r="O67" s="578">
        <v>10000</v>
      </c>
      <c r="P67" s="587">
        <f t="shared" si="13"/>
        <v>3.9016082220565629E-2</v>
      </c>
      <c r="Q67" s="588">
        <f t="shared" si="9"/>
        <v>10000</v>
      </c>
    </row>
    <row r="68" spans="2:17" outlineLevel="1" x14ac:dyDescent="0.2">
      <c r="B68" s="594">
        <f t="shared" si="14"/>
        <v>37</v>
      </c>
      <c r="C68" s="572" t="s">
        <v>1921</v>
      </c>
      <c r="D68" s="571" t="s">
        <v>1538</v>
      </c>
      <c r="E68" s="571" t="s">
        <v>1506</v>
      </c>
      <c r="H68" s="586">
        <v>18000</v>
      </c>
      <c r="I68" s="587">
        <f t="shared" si="15"/>
        <v>3.9016082220565629E-2</v>
      </c>
      <c r="J68" s="588">
        <v>18000</v>
      </c>
      <c r="K68" s="589">
        <f t="shared" si="16"/>
        <v>25</v>
      </c>
      <c r="N68" s="590">
        <v>0</v>
      </c>
      <c r="O68" s="578">
        <v>5000</v>
      </c>
      <c r="P68" s="587">
        <f t="shared" si="13"/>
        <v>3.9016082220565629E-2</v>
      </c>
      <c r="Q68" s="588">
        <f t="shared" si="9"/>
        <v>5000</v>
      </c>
    </row>
    <row r="69" spans="2:17" outlineLevel="1" x14ac:dyDescent="0.2">
      <c r="B69" s="594">
        <f t="shared" si="14"/>
        <v>38</v>
      </c>
      <c r="C69" s="572" t="str">
        <f t="array" ref="C69:C71">"LMA: líneas alquiladas TDM: "&amp;LMA.ladder.ATM</f>
        <v>LMA: líneas alquiladas TDM: 2.048</v>
      </c>
      <c r="D69" s="571" t="s">
        <v>1500</v>
      </c>
      <c r="E69" s="571" t="s">
        <v>1532</v>
      </c>
      <c r="H69" s="598">
        <v>200</v>
      </c>
      <c r="I69" s="587">
        <f t="shared" si="15"/>
        <v>8.154218392232071E-3</v>
      </c>
      <c r="J69" s="588">
        <v>200</v>
      </c>
      <c r="K69" s="589">
        <f t="shared" si="16"/>
        <v>5</v>
      </c>
      <c r="N69" s="590">
        <v>0</v>
      </c>
      <c r="O69" s="592">
        <v>1800</v>
      </c>
      <c r="P69" s="587">
        <f t="shared" si="13"/>
        <v>-7.4144085149990935E-2</v>
      </c>
      <c r="Q69" s="588">
        <f t="shared" si="9"/>
        <v>1800</v>
      </c>
    </row>
    <row r="70" spans="2:17" outlineLevel="1" x14ac:dyDescent="0.2">
      <c r="B70" s="594">
        <f t="shared" si="14"/>
        <v>39</v>
      </c>
      <c r="C70" s="572" t="str">
        <v>LMA: líneas alquiladas TDM: 8.45</v>
      </c>
      <c r="D70" s="571" t="s">
        <v>1500</v>
      </c>
      <c r="E70" s="571" t="s">
        <v>1532</v>
      </c>
      <c r="H70" s="598">
        <v>800</v>
      </c>
      <c r="I70" s="587">
        <f t="shared" si="15"/>
        <v>8.154218392232071E-3</v>
      </c>
      <c r="J70" s="588">
        <v>800</v>
      </c>
      <c r="K70" s="589">
        <f t="shared" si="16"/>
        <v>5</v>
      </c>
      <c r="N70" s="590">
        <v>0</v>
      </c>
      <c r="O70" s="592">
        <v>4800.0000000000009</v>
      </c>
      <c r="P70" s="587">
        <f t="shared" si="13"/>
        <v>-7.4144085149990935E-2</v>
      </c>
      <c r="Q70" s="588">
        <f t="shared" si="9"/>
        <v>4800.0000000000009</v>
      </c>
    </row>
    <row r="71" spans="2:17" outlineLevel="1" x14ac:dyDescent="0.2">
      <c r="B71" s="594">
        <f t="shared" si="14"/>
        <v>40</v>
      </c>
      <c r="C71" s="572" t="str">
        <v>LMA: líneas alquiladas TDM: 34.37</v>
      </c>
      <c r="D71" s="571" t="s">
        <v>1500</v>
      </c>
      <c r="E71" s="571" t="s">
        <v>1532</v>
      </c>
      <c r="H71" s="598">
        <v>2200</v>
      </c>
      <c r="I71" s="587">
        <f t="shared" si="15"/>
        <v>8.154218392232071E-3</v>
      </c>
      <c r="J71" s="588">
        <v>2200</v>
      </c>
      <c r="K71" s="589">
        <f t="shared" si="16"/>
        <v>5</v>
      </c>
      <c r="N71" s="590">
        <v>0</v>
      </c>
      <c r="O71" s="592">
        <v>13199.999999999998</v>
      </c>
      <c r="P71" s="587">
        <f t="shared" si="13"/>
        <v>-7.4144085149990935E-2</v>
      </c>
      <c r="Q71" s="588">
        <f t="shared" si="9"/>
        <v>13199.999999999998</v>
      </c>
    </row>
    <row r="72" spans="2:17" outlineLevel="1" x14ac:dyDescent="0.2">
      <c r="B72" s="594">
        <f t="shared" si="14"/>
        <v>41</v>
      </c>
      <c r="C72" s="572" t="str">
        <f t="array" ref="C72:C74">"LMA: líneas alquiladas Ethernet: "&amp;LMA.ladder.Ethernet</f>
        <v>LMA: líneas alquiladas Ethernet: 10</v>
      </c>
      <c r="D72" s="571" t="s">
        <v>1500</v>
      </c>
      <c r="E72" s="571" t="s">
        <v>1531</v>
      </c>
      <c r="H72" s="598">
        <v>2000</v>
      </c>
      <c r="I72" s="587">
        <f t="shared" si="15"/>
        <v>8.154218392232071E-3</v>
      </c>
      <c r="J72" s="588">
        <v>2000</v>
      </c>
      <c r="K72" s="589">
        <f t="shared" si="16"/>
        <v>5</v>
      </c>
      <c r="N72" s="590">
        <v>0</v>
      </c>
      <c r="O72" s="592">
        <v>4200</v>
      </c>
      <c r="P72" s="587">
        <f t="shared" si="13"/>
        <v>-7.4144085149990935E-2</v>
      </c>
      <c r="Q72" s="588">
        <f t="shared" si="9"/>
        <v>4200</v>
      </c>
    </row>
    <row r="73" spans="2:17" outlineLevel="1" x14ac:dyDescent="0.2">
      <c r="B73" s="594">
        <f t="shared" si="14"/>
        <v>42</v>
      </c>
      <c r="C73" s="572" t="str">
        <v>LMA: líneas alquiladas Ethernet: 30</v>
      </c>
      <c r="D73" s="571" t="s">
        <v>1500</v>
      </c>
      <c r="E73" s="571" t="s">
        <v>1531</v>
      </c>
      <c r="H73" s="598">
        <v>2000</v>
      </c>
      <c r="I73" s="587">
        <f t="shared" si="15"/>
        <v>8.154218392232071E-3</v>
      </c>
      <c r="J73" s="588">
        <v>2000</v>
      </c>
      <c r="K73" s="589">
        <f t="shared" si="16"/>
        <v>5</v>
      </c>
      <c r="N73" s="590">
        <v>0</v>
      </c>
      <c r="O73" s="592">
        <v>9600</v>
      </c>
      <c r="P73" s="587">
        <f t="shared" si="13"/>
        <v>-7.4144085149990935E-2</v>
      </c>
      <c r="Q73" s="588">
        <f t="shared" si="9"/>
        <v>9600</v>
      </c>
    </row>
    <row r="74" spans="2:17" outlineLevel="1" x14ac:dyDescent="0.2">
      <c r="B74" s="594">
        <f t="shared" si="14"/>
        <v>43</v>
      </c>
      <c r="C74" s="572" t="str">
        <v>LMA: líneas alquiladas Ethernet: 100</v>
      </c>
      <c r="D74" s="571" t="s">
        <v>1500</v>
      </c>
      <c r="E74" s="571" t="s">
        <v>1531</v>
      </c>
      <c r="H74" s="598">
        <v>4000</v>
      </c>
      <c r="I74" s="587">
        <f t="shared" si="15"/>
        <v>8.154218392232071E-3</v>
      </c>
      <c r="J74" s="588">
        <v>4000</v>
      </c>
      <c r="K74" s="589">
        <f t="shared" si="16"/>
        <v>5</v>
      </c>
      <c r="N74" s="590">
        <v>0</v>
      </c>
      <c r="O74" s="592">
        <v>22800</v>
      </c>
      <c r="P74" s="587">
        <f t="shared" si="13"/>
        <v>-7.4144085149990935E-2</v>
      </c>
      <c r="Q74" s="588">
        <f t="shared" si="9"/>
        <v>22800</v>
      </c>
    </row>
    <row r="75" spans="2:17" outlineLevel="1" x14ac:dyDescent="0.2">
      <c r="B75" s="594">
        <f t="shared" si="14"/>
        <v>44</v>
      </c>
      <c r="C75" s="572" t="str">
        <f t="array" ref="C75:C77">"LMA: enlace microondas TDM: "&amp;LMA.ladder.ATM</f>
        <v>LMA: enlace microondas TDM: 2.048</v>
      </c>
      <c r="D75" s="571" t="s">
        <v>1501</v>
      </c>
      <c r="E75" s="571" t="s">
        <v>1532</v>
      </c>
      <c r="H75" s="586">
        <v>6300</v>
      </c>
      <c r="I75" s="587">
        <f t="shared" si="15"/>
        <v>-2.2707645436101598E-2</v>
      </c>
      <c r="J75" s="588">
        <v>6300</v>
      </c>
      <c r="K75" s="589">
        <f t="shared" si="16"/>
        <v>8</v>
      </c>
      <c r="N75" s="752">
        <v>0.1</v>
      </c>
      <c r="O75" s="591">
        <v>0</v>
      </c>
      <c r="P75" s="587">
        <f t="shared" si="13"/>
        <v>2.872879427778785E-2</v>
      </c>
      <c r="Q75" s="588">
        <f t="shared" si="9"/>
        <v>630</v>
      </c>
    </row>
    <row r="76" spans="2:17" outlineLevel="1" x14ac:dyDescent="0.2">
      <c r="B76" s="594">
        <f t="shared" si="14"/>
        <v>45</v>
      </c>
      <c r="C76" s="572" t="str">
        <v>LMA: enlace microondas TDM: 8.45</v>
      </c>
      <c r="D76" s="571" t="s">
        <v>1501</v>
      </c>
      <c r="E76" s="571" t="s">
        <v>1532</v>
      </c>
      <c r="H76" s="586">
        <v>7400</v>
      </c>
      <c r="I76" s="587">
        <f t="shared" si="15"/>
        <v>-2.2707645436101598E-2</v>
      </c>
      <c r="J76" s="588">
        <v>7400</v>
      </c>
      <c r="K76" s="589">
        <f t="shared" si="16"/>
        <v>8</v>
      </c>
      <c r="N76" s="752">
        <v>0.1</v>
      </c>
      <c r="O76" s="591">
        <v>0</v>
      </c>
      <c r="P76" s="587">
        <f t="shared" si="13"/>
        <v>2.872879427778785E-2</v>
      </c>
      <c r="Q76" s="588">
        <f t="shared" si="9"/>
        <v>740</v>
      </c>
    </row>
    <row r="77" spans="2:17" outlineLevel="1" x14ac:dyDescent="0.2">
      <c r="B77" s="594">
        <f t="shared" si="14"/>
        <v>46</v>
      </c>
      <c r="C77" s="572" t="str">
        <v>LMA: enlace microondas TDM: 34.37</v>
      </c>
      <c r="D77" s="571" t="s">
        <v>1501</v>
      </c>
      <c r="E77" s="571" t="s">
        <v>1532</v>
      </c>
      <c r="H77" s="586">
        <v>10600</v>
      </c>
      <c r="I77" s="587">
        <f t="shared" si="15"/>
        <v>-2.2707645436101598E-2</v>
      </c>
      <c r="J77" s="588">
        <v>10600</v>
      </c>
      <c r="K77" s="589">
        <f t="shared" si="16"/>
        <v>8</v>
      </c>
      <c r="N77" s="752">
        <v>0.1</v>
      </c>
      <c r="O77" s="591">
        <v>0</v>
      </c>
      <c r="P77" s="587">
        <f t="shared" si="13"/>
        <v>2.872879427778785E-2</v>
      </c>
      <c r="Q77" s="588">
        <f t="shared" si="9"/>
        <v>1060</v>
      </c>
    </row>
    <row r="78" spans="2:17" outlineLevel="1" x14ac:dyDescent="0.2">
      <c r="B78" s="594">
        <f t="shared" si="14"/>
        <v>47</v>
      </c>
      <c r="C78" s="572" t="str">
        <f t="array" ref="C78:C80">"LMA: enlace microondas Ethernet: "&amp;LMA.ladder.Ethernet</f>
        <v>LMA: enlace microondas Ethernet: 10</v>
      </c>
      <c r="D78" s="571" t="s">
        <v>1501</v>
      </c>
      <c r="E78" s="571" t="s">
        <v>1531</v>
      </c>
      <c r="H78" s="586">
        <v>5400</v>
      </c>
      <c r="I78" s="587">
        <f t="shared" si="15"/>
        <v>-2.2707645436101598E-2</v>
      </c>
      <c r="J78" s="588">
        <v>5400</v>
      </c>
      <c r="K78" s="589">
        <f t="shared" si="16"/>
        <v>8</v>
      </c>
      <c r="N78" s="752">
        <v>0.1</v>
      </c>
      <c r="O78" s="591">
        <v>0</v>
      </c>
      <c r="P78" s="587">
        <f t="shared" si="13"/>
        <v>2.872879427778785E-2</v>
      </c>
      <c r="Q78" s="588">
        <f t="shared" si="9"/>
        <v>540</v>
      </c>
    </row>
    <row r="79" spans="2:17" outlineLevel="1" x14ac:dyDescent="0.2">
      <c r="B79" s="594">
        <f t="shared" si="14"/>
        <v>48</v>
      </c>
      <c r="C79" s="572" t="str">
        <v>LMA: enlace microondas Ethernet: 30</v>
      </c>
      <c r="D79" s="571" t="s">
        <v>1501</v>
      </c>
      <c r="E79" s="571" t="s">
        <v>1531</v>
      </c>
      <c r="H79" s="586">
        <v>8700</v>
      </c>
      <c r="I79" s="587">
        <f t="shared" si="15"/>
        <v>-2.2707645436101598E-2</v>
      </c>
      <c r="J79" s="588">
        <v>8700</v>
      </c>
      <c r="K79" s="589">
        <f t="shared" si="16"/>
        <v>8</v>
      </c>
      <c r="N79" s="752">
        <v>0.1</v>
      </c>
      <c r="O79" s="591">
        <v>0</v>
      </c>
      <c r="P79" s="587">
        <f t="shared" si="13"/>
        <v>2.872879427778785E-2</v>
      </c>
      <c r="Q79" s="588">
        <f t="shared" si="9"/>
        <v>870</v>
      </c>
    </row>
    <row r="80" spans="2:17" outlineLevel="1" x14ac:dyDescent="0.2">
      <c r="B80" s="594">
        <f t="shared" si="14"/>
        <v>49</v>
      </c>
      <c r="C80" s="572" t="str">
        <v>LMA: enlace microondas Ethernet: 100</v>
      </c>
      <c r="D80" s="571" t="s">
        <v>1501</v>
      </c>
      <c r="E80" s="571" t="s">
        <v>1531</v>
      </c>
      <c r="H80" s="586">
        <v>14000</v>
      </c>
      <c r="I80" s="587">
        <f t="shared" si="15"/>
        <v>-2.2707645436101598E-2</v>
      </c>
      <c r="J80" s="588">
        <v>14000</v>
      </c>
      <c r="K80" s="589">
        <f t="shared" si="16"/>
        <v>8</v>
      </c>
      <c r="N80" s="752">
        <v>0.1</v>
      </c>
      <c r="O80" s="591">
        <v>0</v>
      </c>
      <c r="P80" s="587">
        <f t="shared" si="13"/>
        <v>2.872879427778785E-2</v>
      </c>
      <c r="Q80" s="588">
        <f t="shared" si="9"/>
        <v>1400</v>
      </c>
    </row>
    <row r="81" spans="2:17" outlineLevel="1" x14ac:dyDescent="0.2">
      <c r="B81" s="594">
        <f t="shared" si="14"/>
        <v>50</v>
      </c>
      <c r="C81" s="572" t="s">
        <v>1571</v>
      </c>
      <c r="D81" s="571" t="s">
        <v>1502</v>
      </c>
      <c r="E81" s="571" t="s">
        <v>1531</v>
      </c>
      <c r="H81" s="586">
        <v>10600</v>
      </c>
      <c r="I81" s="587">
        <f t="shared" si="15"/>
        <v>3.9016082220565629E-2</v>
      </c>
      <c r="J81" s="588">
        <v>10600</v>
      </c>
      <c r="K81" s="589">
        <f t="shared" si="16"/>
        <v>20</v>
      </c>
      <c r="N81" s="590">
        <v>0.05</v>
      </c>
      <c r="O81" s="591">
        <v>0</v>
      </c>
      <c r="P81" s="587">
        <f t="shared" si="13"/>
        <v>2.872879427778785E-2</v>
      </c>
      <c r="Q81" s="588">
        <f t="shared" si="9"/>
        <v>530</v>
      </c>
    </row>
    <row r="82" spans="2:17" outlineLevel="1" x14ac:dyDescent="0.2">
      <c r="B82" s="594">
        <f t="shared" si="14"/>
        <v>51</v>
      </c>
      <c r="C82" s="572" t="str">
        <f t="array" ref="C82:C84">"Hub to core: línea alquilada TDM:  "&amp;Backhaul.ATM.Ladder</f>
        <v>Hub to core: línea alquilada TDM:  8.45</v>
      </c>
      <c r="D82" s="571" t="s">
        <v>1500</v>
      </c>
      <c r="E82" s="571" t="s">
        <v>1532</v>
      </c>
      <c r="H82" s="595">
        <f>H70</f>
        <v>800</v>
      </c>
      <c r="I82" s="587">
        <f t="shared" si="15"/>
        <v>8.154218392232071E-3</v>
      </c>
      <c r="J82" s="588">
        <v>800</v>
      </c>
      <c r="K82" s="589">
        <f t="shared" si="16"/>
        <v>5</v>
      </c>
      <c r="N82" s="590">
        <v>0</v>
      </c>
      <c r="O82" s="593">
        <f>O70</f>
        <v>4800.0000000000009</v>
      </c>
      <c r="P82" s="587">
        <f t="shared" si="13"/>
        <v>-7.4144085149990935E-2</v>
      </c>
      <c r="Q82" s="588">
        <f t="shared" si="9"/>
        <v>4800.0000000000009</v>
      </c>
    </row>
    <row r="83" spans="2:17" outlineLevel="1" x14ac:dyDescent="0.2">
      <c r="B83" s="594">
        <f t="shared" si="14"/>
        <v>52</v>
      </c>
      <c r="C83" s="572" t="str">
        <v>Hub to core: línea alquilada TDM:  34.37</v>
      </c>
      <c r="D83" s="571" t="s">
        <v>1500</v>
      </c>
      <c r="E83" s="571" t="s">
        <v>1532</v>
      </c>
      <c r="H83" s="595">
        <f>H71</f>
        <v>2200</v>
      </c>
      <c r="I83" s="587">
        <f t="shared" si="15"/>
        <v>8.154218392232071E-3</v>
      </c>
      <c r="J83" s="588">
        <v>2200</v>
      </c>
      <c r="K83" s="589">
        <f t="shared" si="16"/>
        <v>5</v>
      </c>
      <c r="N83" s="590">
        <v>0</v>
      </c>
      <c r="O83" s="593">
        <f>O71</f>
        <v>13199.999999999998</v>
      </c>
      <c r="P83" s="587">
        <f t="shared" si="13"/>
        <v>-7.4144085149990935E-2</v>
      </c>
      <c r="Q83" s="588">
        <f t="shared" si="9"/>
        <v>13199.999999999998</v>
      </c>
    </row>
    <row r="84" spans="2:17" outlineLevel="1" x14ac:dyDescent="0.2">
      <c r="B84" s="594">
        <f t="shared" si="14"/>
        <v>53</v>
      </c>
      <c r="C84" s="572" t="str">
        <v>Hub to core: línea alquilada TDM:  155.52</v>
      </c>
      <c r="D84" s="571" t="s">
        <v>1500</v>
      </c>
      <c r="E84" s="571" t="s">
        <v>1532</v>
      </c>
      <c r="H84" s="598">
        <v>7100</v>
      </c>
      <c r="I84" s="587">
        <f t="shared" si="15"/>
        <v>8.154218392232071E-3</v>
      </c>
      <c r="J84" s="588">
        <v>7100</v>
      </c>
      <c r="K84" s="589">
        <f t="shared" si="16"/>
        <v>5</v>
      </c>
      <c r="N84" s="590">
        <v>0</v>
      </c>
      <c r="O84" s="592">
        <v>42000</v>
      </c>
      <c r="P84" s="587">
        <f t="shared" si="13"/>
        <v>-7.4144085149990935E-2</v>
      </c>
      <c r="Q84" s="588">
        <f t="shared" si="9"/>
        <v>42000</v>
      </c>
    </row>
    <row r="85" spans="2:17" outlineLevel="1" x14ac:dyDescent="0.2">
      <c r="B85" s="594">
        <f t="shared" si="14"/>
        <v>54</v>
      </c>
      <c r="C85" s="572" t="str">
        <f t="array" ref="C85:C87">"Hub to core: línea alquilada Ethernet:  "&amp;Backhaul.Ethernet.Ladder</f>
        <v>Hub to core: línea alquilada Ethernet:  10</v>
      </c>
      <c r="D85" s="571" t="s">
        <v>1500</v>
      </c>
      <c r="E85" s="571" t="s">
        <v>1531</v>
      </c>
      <c r="H85" s="595">
        <f>H72</f>
        <v>2000</v>
      </c>
      <c r="I85" s="587">
        <f t="shared" si="15"/>
        <v>8.154218392232071E-3</v>
      </c>
      <c r="J85" s="588">
        <v>2000</v>
      </c>
      <c r="K85" s="589">
        <f t="shared" si="16"/>
        <v>5</v>
      </c>
      <c r="N85" s="590">
        <v>0</v>
      </c>
      <c r="O85" s="593">
        <f>O72</f>
        <v>4200</v>
      </c>
      <c r="P85" s="587">
        <f t="shared" si="13"/>
        <v>-7.4144085149990935E-2</v>
      </c>
      <c r="Q85" s="588">
        <f t="shared" si="9"/>
        <v>4200</v>
      </c>
    </row>
    <row r="86" spans="2:17" outlineLevel="1" x14ac:dyDescent="0.2">
      <c r="B86" s="594">
        <f t="shared" si="14"/>
        <v>55</v>
      </c>
      <c r="C86" s="572" t="str">
        <v>Hub to core: línea alquilada Ethernet:  100</v>
      </c>
      <c r="D86" s="571" t="s">
        <v>1500</v>
      </c>
      <c r="E86" s="571" t="s">
        <v>1531</v>
      </c>
      <c r="H86" s="595">
        <f>H74</f>
        <v>4000</v>
      </c>
      <c r="I86" s="587">
        <f t="shared" si="15"/>
        <v>8.154218392232071E-3</v>
      </c>
      <c r="J86" s="588">
        <v>4000</v>
      </c>
      <c r="K86" s="589">
        <f t="shared" si="16"/>
        <v>5</v>
      </c>
      <c r="N86" s="590">
        <v>0</v>
      </c>
      <c r="O86" s="593">
        <f>O74</f>
        <v>22800</v>
      </c>
      <c r="P86" s="587">
        <f t="shared" si="13"/>
        <v>-7.4144085149990935E-2</v>
      </c>
      <c r="Q86" s="588">
        <f t="shared" si="9"/>
        <v>22800</v>
      </c>
    </row>
    <row r="87" spans="2:17" outlineLevel="1" x14ac:dyDescent="0.2">
      <c r="B87" s="594">
        <f t="shared" si="14"/>
        <v>56</v>
      </c>
      <c r="C87" s="572" t="str">
        <v>Hub to core: línea alquilada Ethernet:  1024</v>
      </c>
      <c r="D87" s="571" t="s">
        <v>1500</v>
      </c>
      <c r="E87" s="571" t="s">
        <v>1531</v>
      </c>
      <c r="H87" s="598">
        <v>4000</v>
      </c>
      <c r="I87" s="587">
        <f t="shared" si="15"/>
        <v>8.154218392232071E-3</v>
      </c>
      <c r="J87" s="588">
        <v>4000</v>
      </c>
      <c r="K87" s="589">
        <f t="shared" si="16"/>
        <v>5</v>
      </c>
      <c r="N87" s="590">
        <v>0</v>
      </c>
      <c r="O87" s="592">
        <v>120000</v>
      </c>
      <c r="P87" s="587">
        <f t="shared" si="13"/>
        <v>-7.4144085149990935E-2</v>
      </c>
      <c r="Q87" s="588">
        <f t="shared" si="9"/>
        <v>120000</v>
      </c>
    </row>
    <row r="88" spans="2:17" outlineLevel="1" x14ac:dyDescent="0.2">
      <c r="B88" s="594">
        <f t="shared" si="14"/>
        <v>57</v>
      </c>
      <c r="C88" s="572" t="str">
        <f t="array" ref="C88:C90">"Hub to Core puntos de acceso a anillos: "&amp;Hub.Core.Link.ATM.Ladder</f>
        <v>Hub to Core puntos de acceso a anillos: 155.52</v>
      </c>
      <c r="D88" s="571" t="s">
        <v>1503</v>
      </c>
      <c r="E88" s="571" t="s">
        <v>1532</v>
      </c>
      <c r="H88" s="586">
        <v>9800</v>
      </c>
      <c r="I88" s="587">
        <f t="shared" si="15"/>
        <v>-2.2707645436101598E-2</v>
      </c>
      <c r="J88" s="588">
        <v>9800</v>
      </c>
      <c r="K88" s="589">
        <f t="shared" si="16"/>
        <v>8</v>
      </c>
      <c r="N88" s="590">
        <v>0.22</v>
      </c>
      <c r="O88" s="591">
        <v>0</v>
      </c>
      <c r="P88" s="587">
        <f t="shared" si="13"/>
        <v>2.872879427778785E-2</v>
      </c>
      <c r="Q88" s="588">
        <f t="shared" si="9"/>
        <v>2156</v>
      </c>
    </row>
    <row r="89" spans="2:17" outlineLevel="1" x14ac:dyDescent="0.2">
      <c r="B89" s="594">
        <f t="shared" si="14"/>
        <v>58</v>
      </c>
      <c r="C89" s="572" t="str">
        <v>Hub to Core puntos de acceso a anillos: 622.08</v>
      </c>
      <c r="D89" s="571" t="s">
        <v>1503</v>
      </c>
      <c r="E89" s="571" t="s">
        <v>1532</v>
      </c>
      <c r="H89" s="586">
        <v>12300</v>
      </c>
      <c r="I89" s="587">
        <f t="shared" si="15"/>
        <v>-2.2707645436101598E-2</v>
      </c>
      <c r="J89" s="588">
        <v>12300</v>
      </c>
      <c r="K89" s="589">
        <f t="shared" si="16"/>
        <v>8</v>
      </c>
      <c r="N89" s="596">
        <f>N88</f>
        <v>0.22</v>
      </c>
      <c r="O89" s="591">
        <v>0</v>
      </c>
      <c r="P89" s="587">
        <f t="shared" si="13"/>
        <v>2.872879427778785E-2</v>
      </c>
      <c r="Q89" s="588">
        <f t="shared" si="9"/>
        <v>2706</v>
      </c>
    </row>
    <row r="90" spans="2:17" outlineLevel="1" x14ac:dyDescent="0.2">
      <c r="B90" s="594">
        <f t="shared" si="14"/>
        <v>59</v>
      </c>
      <c r="C90" s="572" t="str">
        <v>Hub to Core puntos de acceso a anillos: 2488.32</v>
      </c>
      <c r="D90" s="571" t="s">
        <v>1503</v>
      </c>
      <c r="E90" s="571" t="s">
        <v>1532</v>
      </c>
      <c r="H90" s="586">
        <v>16300</v>
      </c>
      <c r="I90" s="587">
        <f t="shared" si="15"/>
        <v>-2.2707645436101598E-2</v>
      </c>
      <c r="J90" s="588">
        <v>16300</v>
      </c>
      <c r="K90" s="589">
        <f t="shared" si="16"/>
        <v>8</v>
      </c>
      <c r="N90" s="596">
        <f t="shared" ref="N90:N93" si="17">N89</f>
        <v>0.22</v>
      </c>
      <c r="O90" s="591">
        <v>0</v>
      </c>
      <c r="P90" s="587">
        <f t="shared" si="13"/>
        <v>2.872879427778785E-2</v>
      </c>
      <c r="Q90" s="588">
        <f t="shared" si="9"/>
        <v>3586</v>
      </c>
    </row>
    <row r="91" spans="2:17" outlineLevel="1" x14ac:dyDescent="0.2">
      <c r="B91" s="594">
        <f t="shared" si="14"/>
        <v>60</v>
      </c>
      <c r="C91" s="572" t="str">
        <f t="array" ref="C91:C93">"Hub to Core punto de acceso a anillos: "&amp;Hub.Core.Link.Ethernet.Ladder</f>
        <v>Hub to Core punto de acceso a anillos: 1024</v>
      </c>
      <c r="D91" s="571" t="s">
        <v>1503</v>
      </c>
      <c r="E91" s="571" t="s">
        <v>1531</v>
      </c>
      <c r="H91" s="586">
        <v>10200</v>
      </c>
      <c r="I91" s="587">
        <f t="shared" si="15"/>
        <v>-2.2707645436101598E-2</v>
      </c>
      <c r="J91" s="588">
        <v>10200</v>
      </c>
      <c r="K91" s="589">
        <f t="shared" si="16"/>
        <v>8</v>
      </c>
      <c r="N91" s="596">
        <f t="shared" si="17"/>
        <v>0.22</v>
      </c>
      <c r="O91" s="591">
        <v>0</v>
      </c>
      <c r="P91" s="587">
        <f t="shared" si="13"/>
        <v>2.872879427778785E-2</v>
      </c>
      <c r="Q91" s="588">
        <f t="shared" si="9"/>
        <v>2244</v>
      </c>
    </row>
    <row r="92" spans="2:17" outlineLevel="1" x14ac:dyDescent="0.2">
      <c r="B92" s="594">
        <f t="shared" si="14"/>
        <v>61</v>
      </c>
      <c r="C92" s="572" t="str">
        <v>Hub to Core punto de acceso a anillos: 2048</v>
      </c>
      <c r="D92" s="571" t="s">
        <v>1503</v>
      </c>
      <c r="E92" s="571" t="s">
        <v>1531</v>
      </c>
      <c r="H92" s="586">
        <v>11400</v>
      </c>
      <c r="I92" s="587">
        <f t="shared" si="15"/>
        <v>-2.2707645436101598E-2</v>
      </c>
      <c r="J92" s="588">
        <v>11400</v>
      </c>
      <c r="K92" s="589">
        <f t="shared" si="16"/>
        <v>8</v>
      </c>
      <c r="N92" s="596">
        <f t="shared" si="17"/>
        <v>0.22</v>
      </c>
      <c r="O92" s="591">
        <v>0</v>
      </c>
      <c r="P92" s="587">
        <f t="shared" si="13"/>
        <v>2.872879427778785E-2</v>
      </c>
      <c r="Q92" s="588">
        <f t="shared" si="9"/>
        <v>2508</v>
      </c>
    </row>
    <row r="93" spans="2:17" outlineLevel="1" x14ac:dyDescent="0.2">
      <c r="B93" s="594">
        <f t="shared" si="14"/>
        <v>62</v>
      </c>
      <c r="C93" s="572" t="str">
        <v>Hub to Core punto de acceso a anillos: 10240</v>
      </c>
      <c r="D93" s="571" t="s">
        <v>1503</v>
      </c>
      <c r="E93" s="571" t="s">
        <v>1531</v>
      </c>
      <c r="H93" s="586">
        <v>12200</v>
      </c>
      <c r="I93" s="587">
        <f t="shared" si="15"/>
        <v>-2.2707645436101598E-2</v>
      </c>
      <c r="J93" s="588">
        <v>12200</v>
      </c>
      <c r="K93" s="589">
        <f t="shared" si="16"/>
        <v>8</v>
      </c>
      <c r="N93" s="596">
        <f t="shared" si="17"/>
        <v>0.22</v>
      </c>
      <c r="O93" s="591">
        <v>0</v>
      </c>
      <c r="P93" s="587">
        <f t="shared" si="13"/>
        <v>2.872879427778785E-2</v>
      </c>
      <c r="Q93" s="588">
        <f t="shared" si="9"/>
        <v>2684</v>
      </c>
    </row>
    <row r="94" spans="2:17" outlineLevel="1" x14ac:dyDescent="0.2">
      <c r="B94" s="594">
        <f t="shared" si="14"/>
        <v>63</v>
      </c>
      <c r="C94" s="572" t="s">
        <v>1572</v>
      </c>
      <c r="D94" s="571" t="s">
        <v>1502</v>
      </c>
      <c r="E94" s="571" t="s">
        <v>1531</v>
      </c>
      <c r="H94" s="586">
        <v>11000</v>
      </c>
      <c r="I94" s="587">
        <f t="shared" si="15"/>
        <v>3.9016082220565629E-2</v>
      </c>
      <c r="J94" s="588">
        <v>11000</v>
      </c>
      <c r="K94" s="589">
        <f t="shared" si="16"/>
        <v>20</v>
      </c>
      <c r="N94" s="590">
        <v>0.05</v>
      </c>
      <c r="O94" s="591">
        <v>0</v>
      </c>
      <c r="P94" s="587">
        <f t="shared" si="13"/>
        <v>2.872879427778785E-2</v>
      </c>
      <c r="Q94" s="588">
        <f t="shared" si="9"/>
        <v>550</v>
      </c>
    </row>
    <row r="95" spans="2:17" outlineLevel="1" x14ac:dyDescent="0.2">
      <c r="B95" s="594">
        <f t="shared" si="14"/>
        <v>64</v>
      </c>
      <c r="C95" s="572" t="s">
        <v>1573</v>
      </c>
      <c r="D95" s="571" t="s">
        <v>1538</v>
      </c>
      <c r="E95" s="571" t="s">
        <v>1507</v>
      </c>
      <c r="H95" s="586">
        <v>200000</v>
      </c>
      <c r="I95" s="587">
        <f t="shared" si="15"/>
        <v>3.9016082220565629E-2</v>
      </c>
      <c r="J95" s="588">
        <v>200000</v>
      </c>
      <c r="K95" s="589">
        <f t="shared" si="16"/>
        <v>25</v>
      </c>
      <c r="N95" s="590">
        <v>7.0000000000000007E-2</v>
      </c>
      <c r="O95" s="591">
        <v>0</v>
      </c>
      <c r="P95" s="587">
        <f t="shared" si="13"/>
        <v>3.9016082220565629E-2</v>
      </c>
      <c r="Q95" s="588">
        <f t="shared" si="9"/>
        <v>14000.000000000002</v>
      </c>
    </row>
    <row r="96" spans="2:17" outlineLevel="1" x14ac:dyDescent="0.2">
      <c r="B96" s="594">
        <f t="shared" si="14"/>
        <v>65</v>
      </c>
      <c r="C96" s="572" t="s">
        <v>1574</v>
      </c>
      <c r="D96" s="571" t="s">
        <v>1538</v>
      </c>
      <c r="E96" s="571" t="s">
        <v>1508</v>
      </c>
      <c r="H96" s="586">
        <v>200000</v>
      </c>
      <c r="I96" s="587">
        <f t="shared" si="15"/>
        <v>3.9016082220565629E-2</v>
      </c>
      <c r="J96" s="588">
        <v>200000</v>
      </c>
      <c r="K96" s="589">
        <f t="shared" si="16"/>
        <v>25</v>
      </c>
      <c r="N96" s="596">
        <f>N95</f>
        <v>7.0000000000000007E-2</v>
      </c>
      <c r="O96" s="591">
        <v>0</v>
      </c>
      <c r="P96" s="587">
        <f t="shared" ref="P96:P127" si="18">INDEX(Opex.cost.trends, MATCH(D96, Assets.cost.trend.names, 0))</f>
        <v>3.9016082220565629E-2</v>
      </c>
      <c r="Q96" s="588">
        <f t="shared" si="9"/>
        <v>14000.000000000002</v>
      </c>
    </row>
    <row r="97" spans="2:17" outlineLevel="1" x14ac:dyDescent="0.2">
      <c r="B97" s="594">
        <f t="shared" ref="B97:B128" si="19">1+B96</f>
        <v>66</v>
      </c>
      <c r="C97" s="572" t="str">
        <f t="array" ref="C97:C99">"BSC: "&amp;BSC.Ladder</f>
        <v>BSC: 2100</v>
      </c>
      <c r="D97" s="571" t="s">
        <v>376</v>
      </c>
      <c r="E97" s="571" t="s">
        <v>1507</v>
      </c>
      <c r="H97" s="586">
        <v>250000</v>
      </c>
      <c r="I97" s="587">
        <f t="shared" ref="I97:I128" si="20">INDEX(Capex.cost.trends, MATCH($D97, Assets.cost.trend.names, 0))</f>
        <v>-2.2707645436101598E-2</v>
      </c>
      <c r="J97" s="588">
        <v>250000</v>
      </c>
      <c r="K97" s="589">
        <f t="shared" si="16"/>
        <v>8</v>
      </c>
      <c r="N97" s="590">
        <v>0.28000000000000003</v>
      </c>
      <c r="O97" s="591">
        <v>0</v>
      </c>
      <c r="P97" s="587">
        <f t="shared" si="18"/>
        <v>2.872879427778785E-2</v>
      </c>
      <c r="Q97" s="588">
        <f t="shared" ref="Q97:Q160" si="21">(N97*J97) + (O97*(1+P97)^(RIGHT(J$29,4)-RIGHT(H$29,4)))</f>
        <v>70000</v>
      </c>
    </row>
    <row r="98" spans="2:17" outlineLevel="1" x14ac:dyDescent="0.2">
      <c r="B98" s="594">
        <f t="shared" si="19"/>
        <v>67</v>
      </c>
      <c r="C98" s="572" t="str">
        <v>BSC: 4200</v>
      </c>
      <c r="D98" s="571" t="s">
        <v>376</v>
      </c>
      <c r="E98" s="571" t="s">
        <v>1507</v>
      </c>
      <c r="H98" s="586">
        <v>350000</v>
      </c>
      <c r="I98" s="587">
        <f t="shared" si="20"/>
        <v>-2.2707645436101598E-2</v>
      </c>
      <c r="J98" s="588">
        <v>350000</v>
      </c>
      <c r="K98" s="589">
        <f t="shared" ref="K98:K128" si="22">INDEX(Lifetimes, MATCH($D98, Assets.cost.trend.names, 0))</f>
        <v>8</v>
      </c>
      <c r="N98" s="596">
        <f>N97</f>
        <v>0.28000000000000003</v>
      </c>
      <c r="O98" s="591">
        <v>0</v>
      </c>
      <c r="P98" s="587">
        <f t="shared" si="18"/>
        <v>2.872879427778785E-2</v>
      </c>
      <c r="Q98" s="588">
        <f t="shared" si="21"/>
        <v>98000.000000000015</v>
      </c>
    </row>
    <row r="99" spans="2:17" outlineLevel="1" x14ac:dyDescent="0.2">
      <c r="B99" s="594">
        <f t="shared" si="19"/>
        <v>68</v>
      </c>
      <c r="C99" s="572" t="str">
        <v>BSC: 8000</v>
      </c>
      <c r="D99" s="571" t="s">
        <v>376</v>
      </c>
      <c r="E99" s="571" t="s">
        <v>1507</v>
      </c>
      <c r="H99" s="586">
        <v>500000</v>
      </c>
      <c r="I99" s="587">
        <f t="shared" si="20"/>
        <v>-2.2707645436101598E-2</v>
      </c>
      <c r="J99" s="588">
        <v>500000</v>
      </c>
      <c r="K99" s="589">
        <f t="shared" si="22"/>
        <v>8</v>
      </c>
      <c r="N99" s="596">
        <f>N98</f>
        <v>0.28000000000000003</v>
      </c>
      <c r="O99" s="591">
        <v>0</v>
      </c>
      <c r="P99" s="587">
        <f t="shared" si="18"/>
        <v>2.872879427778785E-2</v>
      </c>
      <c r="Q99" s="588">
        <f t="shared" si="21"/>
        <v>140000</v>
      </c>
    </row>
    <row r="100" spans="2:17" outlineLevel="1" x14ac:dyDescent="0.2">
      <c r="B100" s="594">
        <f t="shared" si="19"/>
        <v>69</v>
      </c>
      <c r="C100" s="572" t="str">
        <f t="array" ref="C100:C102">"RNC: "&amp;RNC.Ladder</f>
        <v>RNC: 1600</v>
      </c>
      <c r="D100" s="571" t="s">
        <v>376</v>
      </c>
      <c r="E100" s="571" t="s">
        <v>1508</v>
      </c>
      <c r="H100" s="586">
        <v>700000</v>
      </c>
      <c r="I100" s="587">
        <f t="shared" si="20"/>
        <v>-2.2707645436101598E-2</v>
      </c>
      <c r="J100" s="588">
        <v>700000</v>
      </c>
      <c r="K100" s="589">
        <f t="shared" si="22"/>
        <v>8</v>
      </c>
      <c r="N100" s="590">
        <v>0.34</v>
      </c>
      <c r="O100" s="591">
        <v>0</v>
      </c>
      <c r="P100" s="587">
        <f t="shared" si="18"/>
        <v>2.872879427778785E-2</v>
      </c>
      <c r="Q100" s="588">
        <f t="shared" si="21"/>
        <v>238000.00000000003</v>
      </c>
    </row>
    <row r="101" spans="2:17" outlineLevel="1" x14ac:dyDescent="0.2">
      <c r="B101" s="594">
        <f t="shared" si="19"/>
        <v>70</v>
      </c>
      <c r="C101" s="572" t="str">
        <v>RNC: 2600</v>
      </c>
      <c r="D101" s="571" t="s">
        <v>376</v>
      </c>
      <c r="E101" s="571" t="s">
        <v>1508</v>
      </c>
      <c r="H101" s="586">
        <v>1000000</v>
      </c>
      <c r="I101" s="587">
        <f t="shared" si="20"/>
        <v>-2.2707645436101598E-2</v>
      </c>
      <c r="J101" s="588">
        <v>1000000</v>
      </c>
      <c r="K101" s="589">
        <f t="shared" si="22"/>
        <v>8</v>
      </c>
      <c r="N101" s="596">
        <f>N100</f>
        <v>0.34</v>
      </c>
      <c r="O101" s="591">
        <v>0</v>
      </c>
      <c r="P101" s="587">
        <f t="shared" si="18"/>
        <v>2.872879427778785E-2</v>
      </c>
      <c r="Q101" s="588">
        <f t="shared" si="21"/>
        <v>340000</v>
      </c>
    </row>
    <row r="102" spans="2:17" outlineLevel="1" x14ac:dyDescent="0.2">
      <c r="B102" s="594">
        <f t="shared" si="19"/>
        <v>71</v>
      </c>
      <c r="C102" s="572" t="str">
        <v>RNC: 5000</v>
      </c>
      <c r="D102" s="571" t="s">
        <v>376</v>
      </c>
      <c r="E102" s="571" t="s">
        <v>1508</v>
      </c>
      <c r="H102" s="586">
        <v>1500000</v>
      </c>
      <c r="I102" s="587">
        <f t="shared" si="20"/>
        <v>-2.2707645436101598E-2</v>
      </c>
      <c r="J102" s="588">
        <v>1500000</v>
      </c>
      <c r="K102" s="589">
        <f t="shared" si="22"/>
        <v>8</v>
      </c>
      <c r="N102" s="596">
        <f>N101</f>
        <v>0.34</v>
      </c>
      <c r="O102" s="591">
        <v>0</v>
      </c>
      <c r="P102" s="587">
        <f t="shared" si="18"/>
        <v>2.872879427778785E-2</v>
      </c>
      <c r="Q102" s="588">
        <f t="shared" si="21"/>
        <v>510000.00000000006</v>
      </c>
    </row>
    <row r="103" spans="2:17" outlineLevel="1" x14ac:dyDescent="0.2">
      <c r="B103" s="594">
        <f t="shared" si="19"/>
        <v>72</v>
      </c>
      <c r="C103" s="572" t="str">
        <f t="array" ref="C103:C105">"BSC a Core punto de acceso: Voz: "&amp;BSC.Core.ATM.Ladder</f>
        <v>BSC a Core punto de acceso: Voz: 8.45</v>
      </c>
      <c r="D103" s="571" t="s">
        <v>1503</v>
      </c>
      <c r="E103" s="571" t="s">
        <v>1536</v>
      </c>
      <c r="H103" s="586">
        <v>4250</v>
      </c>
      <c r="I103" s="587">
        <f t="shared" si="20"/>
        <v>-2.2707645436101598E-2</v>
      </c>
      <c r="J103" s="588">
        <v>4250</v>
      </c>
      <c r="K103" s="589">
        <f t="shared" si="22"/>
        <v>8</v>
      </c>
      <c r="N103" s="596">
        <f>N$88</f>
        <v>0.22</v>
      </c>
      <c r="O103" s="591">
        <v>0</v>
      </c>
      <c r="P103" s="587">
        <f t="shared" si="18"/>
        <v>2.872879427778785E-2</v>
      </c>
      <c r="Q103" s="588">
        <f t="shared" si="21"/>
        <v>935</v>
      </c>
    </row>
    <row r="104" spans="2:17" outlineLevel="1" x14ac:dyDescent="0.2">
      <c r="B104" s="594">
        <f t="shared" si="19"/>
        <v>73</v>
      </c>
      <c r="C104" s="572" t="str">
        <v>BSC a Core punto de acceso: Voz: 34.37</v>
      </c>
      <c r="D104" s="571" t="s">
        <v>1503</v>
      </c>
      <c r="E104" s="571" t="s">
        <v>1536</v>
      </c>
      <c r="H104" s="586">
        <v>8500</v>
      </c>
      <c r="I104" s="587">
        <f t="shared" si="20"/>
        <v>-2.2707645436101598E-2</v>
      </c>
      <c r="J104" s="588">
        <v>8500</v>
      </c>
      <c r="K104" s="589">
        <f t="shared" si="22"/>
        <v>8</v>
      </c>
      <c r="N104" s="596">
        <f t="shared" ref="N104:N125" si="23">N$88</f>
        <v>0.22</v>
      </c>
      <c r="O104" s="591">
        <v>0</v>
      </c>
      <c r="P104" s="587">
        <f t="shared" si="18"/>
        <v>2.872879427778785E-2</v>
      </c>
      <c r="Q104" s="588">
        <f t="shared" si="21"/>
        <v>1870</v>
      </c>
    </row>
    <row r="105" spans="2:17" outlineLevel="1" x14ac:dyDescent="0.2">
      <c r="B105" s="594">
        <f t="shared" si="19"/>
        <v>74</v>
      </c>
      <c r="C105" s="572" t="str">
        <v>BSC a Core punto de acceso: Voz: 155.52</v>
      </c>
      <c r="D105" s="571" t="s">
        <v>1503</v>
      </c>
      <c r="E105" s="571" t="s">
        <v>1536</v>
      </c>
      <c r="H105" s="586">
        <v>10200</v>
      </c>
      <c r="I105" s="587">
        <f t="shared" si="20"/>
        <v>-2.2707645436101598E-2</v>
      </c>
      <c r="J105" s="588">
        <v>10200</v>
      </c>
      <c r="K105" s="589">
        <f t="shared" si="22"/>
        <v>8</v>
      </c>
      <c r="N105" s="596">
        <f t="shared" si="23"/>
        <v>0.22</v>
      </c>
      <c r="O105" s="591">
        <v>0</v>
      </c>
      <c r="P105" s="587">
        <f t="shared" si="18"/>
        <v>2.872879427778785E-2</v>
      </c>
      <c r="Q105" s="588">
        <f t="shared" si="21"/>
        <v>2244</v>
      </c>
    </row>
    <row r="106" spans="2:17" outlineLevel="1" x14ac:dyDescent="0.2">
      <c r="B106" s="594">
        <f t="shared" si="19"/>
        <v>75</v>
      </c>
      <c r="C106" s="572" t="str">
        <f t="array" ref="C106:C108">"BSC a Core punto de acceso: Voz: "&amp;BSC.Core.Ethernet.Ladder</f>
        <v>BSC a Core punto de acceso: Voz: 30</v>
      </c>
      <c r="D106" s="571" t="s">
        <v>1503</v>
      </c>
      <c r="E106" s="571" t="s">
        <v>1536</v>
      </c>
      <c r="H106" s="586">
        <v>5000</v>
      </c>
      <c r="I106" s="587">
        <f t="shared" si="20"/>
        <v>-2.2707645436101598E-2</v>
      </c>
      <c r="J106" s="588">
        <v>5000</v>
      </c>
      <c r="K106" s="589">
        <f t="shared" si="22"/>
        <v>8</v>
      </c>
      <c r="N106" s="596">
        <f t="shared" si="23"/>
        <v>0.22</v>
      </c>
      <c r="O106" s="591">
        <v>0</v>
      </c>
      <c r="P106" s="587">
        <f t="shared" si="18"/>
        <v>2.872879427778785E-2</v>
      </c>
      <c r="Q106" s="588">
        <f t="shared" si="21"/>
        <v>1100</v>
      </c>
    </row>
    <row r="107" spans="2:17" outlineLevel="1" x14ac:dyDescent="0.2">
      <c r="B107" s="594">
        <f t="shared" si="19"/>
        <v>76</v>
      </c>
      <c r="C107" s="572" t="str">
        <v>BSC a Core punto de acceso: Voz: 100</v>
      </c>
      <c r="D107" s="571" t="s">
        <v>1503</v>
      </c>
      <c r="E107" s="571" t="s">
        <v>1536</v>
      </c>
      <c r="H107" s="586">
        <v>7500</v>
      </c>
      <c r="I107" s="587">
        <f t="shared" si="20"/>
        <v>-2.2707645436101598E-2</v>
      </c>
      <c r="J107" s="588">
        <v>7500</v>
      </c>
      <c r="K107" s="589">
        <f t="shared" si="22"/>
        <v>8</v>
      </c>
      <c r="N107" s="596">
        <f t="shared" si="23"/>
        <v>0.22</v>
      </c>
      <c r="O107" s="591">
        <v>0</v>
      </c>
      <c r="P107" s="587">
        <f t="shared" si="18"/>
        <v>2.872879427778785E-2</v>
      </c>
      <c r="Q107" s="588">
        <f t="shared" si="21"/>
        <v>1650</v>
      </c>
    </row>
    <row r="108" spans="2:17" outlineLevel="1" x14ac:dyDescent="0.2">
      <c r="B108" s="594">
        <f t="shared" si="19"/>
        <v>77</v>
      </c>
      <c r="C108" s="572" t="str">
        <v>BSC a Core punto de acceso: Voz: 1024</v>
      </c>
      <c r="D108" s="571" t="s">
        <v>1503</v>
      </c>
      <c r="E108" s="571" t="s">
        <v>1536</v>
      </c>
      <c r="H108" s="586">
        <v>9000</v>
      </c>
      <c r="I108" s="587">
        <f t="shared" si="20"/>
        <v>-2.2707645436101598E-2</v>
      </c>
      <c r="J108" s="588">
        <v>9000</v>
      </c>
      <c r="K108" s="589">
        <f t="shared" si="22"/>
        <v>8</v>
      </c>
      <c r="N108" s="596">
        <f t="shared" si="23"/>
        <v>0.22</v>
      </c>
      <c r="O108" s="591">
        <v>0</v>
      </c>
      <c r="P108" s="587">
        <f t="shared" si="18"/>
        <v>2.872879427778785E-2</v>
      </c>
      <c r="Q108" s="588">
        <f t="shared" si="21"/>
        <v>1980</v>
      </c>
    </row>
    <row r="109" spans="2:17" outlineLevel="1" x14ac:dyDescent="0.2">
      <c r="B109" s="594">
        <f t="shared" si="19"/>
        <v>78</v>
      </c>
      <c r="C109" s="572" t="str">
        <f t="array" ref="C109:C111">"BSC a Core punto de acceso: Datos: "&amp;BSC.Core.ATM.Ladder</f>
        <v>BSC a Core punto de acceso: Datos: 8.45</v>
      </c>
      <c r="D109" s="571" t="s">
        <v>1503</v>
      </c>
      <c r="E109" s="571" t="s">
        <v>1535</v>
      </c>
      <c r="H109" s="586">
        <v>4250</v>
      </c>
      <c r="I109" s="587">
        <f t="shared" si="20"/>
        <v>-2.2707645436101598E-2</v>
      </c>
      <c r="J109" s="588">
        <v>4250</v>
      </c>
      <c r="K109" s="589">
        <f t="shared" si="22"/>
        <v>8</v>
      </c>
      <c r="N109" s="596">
        <f t="shared" si="23"/>
        <v>0.22</v>
      </c>
      <c r="O109" s="591">
        <v>0</v>
      </c>
      <c r="P109" s="587">
        <f t="shared" si="18"/>
        <v>2.872879427778785E-2</v>
      </c>
      <c r="Q109" s="588">
        <f t="shared" si="21"/>
        <v>935</v>
      </c>
    </row>
    <row r="110" spans="2:17" outlineLevel="1" x14ac:dyDescent="0.2">
      <c r="B110" s="594">
        <f t="shared" si="19"/>
        <v>79</v>
      </c>
      <c r="C110" s="572" t="str">
        <v>BSC a Core punto de acceso: Datos: 34.37</v>
      </c>
      <c r="D110" s="571" t="s">
        <v>1503</v>
      </c>
      <c r="E110" s="571" t="s">
        <v>1535</v>
      </c>
      <c r="H110" s="586">
        <v>8500</v>
      </c>
      <c r="I110" s="587">
        <f t="shared" si="20"/>
        <v>-2.2707645436101598E-2</v>
      </c>
      <c r="J110" s="588">
        <v>8500</v>
      </c>
      <c r="K110" s="589">
        <f t="shared" si="22"/>
        <v>8</v>
      </c>
      <c r="N110" s="596">
        <f t="shared" si="23"/>
        <v>0.22</v>
      </c>
      <c r="O110" s="591">
        <v>0</v>
      </c>
      <c r="P110" s="587">
        <f t="shared" si="18"/>
        <v>2.872879427778785E-2</v>
      </c>
      <c r="Q110" s="588">
        <f t="shared" si="21"/>
        <v>1870</v>
      </c>
    </row>
    <row r="111" spans="2:17" outlineLevel="1" x14ac:dyDescent="0.2">
      <c r="B111" s="594">
        <f t="shared" si="19"/>
        <v>80</v>
      </c>
      <c r="C111" s="572" t="str">
        <v>BSC a Core punto de acceso: Datos: 155.52</v>
      </c>
      <c r="D111" s="571" t="s">
        <v>1503</v>
      </c>
      <c r="E111" s="571" t="s">
        <v>1535</v>
      </c>
      <c r="H111" s="586">
        <v>10200</v>
      </c>
      <c r="I111" s="587">
        <f t="shared" si="20"/>
        <v>-2.2707645436101598E-2</v>
      </c>
      <c r="J111" s="588">
        <v>10200</v>
      </c>
      <c r="K111" s="589">
        <f t="shared" si="22"/>
        <v>8</v>
      </c>
      <c r="N111" s="596">
        <f t="shared" si="23"/>
        <v>0.22</v>
      </c>
      <c r="O111" s="591">
        <v>0</v>
      </c>
      <c r="P111" s="587">
        <f t="shared" si="18"/>
        <v>2.872879427778785E-2</v>
      </c>
      <c r="Q111" s="588">
        <f t="shared" si="21"/>
        <v>2244</v>
      </c>
    </row>
    <row r="112" spans="2:17" outlineLevel="1" x14ac:dyDescent="0.2">
      <c r="B112" s="594">
        <f t="shared" si="19"/>
        <v>81</v>
      </c>
      <c r="C112" s="572" t="str">
        <f t="array" ref="C112:C114">"BSC a Core punto de acceso: Datos: "&amp;BSC.Core.Ethernet.Ladder</f>
        <v>BSC a Core punto de acceso: Datos: 30</v>
      </c>
      <c r="D112" s="571" t="s">
        <v>1503</v>
      </c>
      <c r="E112" s="571" t="s">
        <v>1535</v>
      </c>
      <c r="H112" s="586">
        <v>5000</v>
      </c>
      <c r="I112" s="587">
        <f t="shared" si="20"/>
        <v>-2.2707645436101598E-2</v>
      </c>
      <c r="J112" s="588">
        <v>5000</v>
      </c>
      <c r="K112" s="589">
        <f t="shared" si="22"/>
        <v>8</v>
      </c>
      <c r="N112" s="596">
        <f t="shared" si="23"/>
        <v>0.22</v>
      </c>
      <c r="O112" s="591">
        <v>0</v>
      </c>
      <c r="P112" s="587">
        <f t="shared" si="18"/>
        <v>2.872879427778785E-2</v>
      </c>
      <c r="Q112" s="588">
        <f t="shared" si="21"/>
        <v>1100</v>
      </c>
    </row>
    <row r="113" spans="2:17" outlineLevel="1" x14ac:dyDescent="0.2">
      <c r="B113" s="594">
        <f t="shared" si="19"/>
        <v>82</v>
      </c>
      <c r="C113" s="572" t="str">
        <v>BSC a Core punto de acceso: Datos: 100</v>
      </c>
      <c r="D113" s="571" t="s">
        <v>1503</v>
      </c>
      <c r="E113" s="571" t="s">
        <v>1535</v>
      </c>
      <c r="H113" s="586">
        <v>7500</v>
      </c>
      <c r="I113" s="587">
        <f t="shared" si="20"/>
        <v>-2.2707645436101598E-2</v>
      </c>
      <c r="J113" s="588">
        <v>7500</v>
      </c>
      <c r="K113" s="589">
        <f t="shared" si="22"/>
        <v>8</v>
      </c>
      <c r="N113" s="596">
        <f t="shared" si="23"/>
        <v>0.22</v>
      </c>
      <c r="O113" s="591">
        <v>0</v>
      </c>
      <c r="P113" s="587">
        <f t="shared" si="18"/>
        <v>2.872879427778785E-2</v>
      </c>
      <c r="Q113" s="588">
        <f t="shared" si="21"/>
        <v>1650</v>
      </c>
    </row>
    <row r="114" spans="2:17" outlineLevel="1" x14ac:dyDescent="0.2">
      <c r="B114" s="594">
        <f t="shared" si="19"/>
        <v>83</v>
      </c>
      <c r="C114" s="572" t="str">
        <v>BSC a Core punto de acceso: Datos: 1024</v>
      </c>
      <c r="D114" s="571" t="s">
        <v>1503</v>
      </c>
      <c r="E114" s="571" t="s">
        <v>1535</v>
      </c>
      <c r="H114" s="586">
        <v>9000</v>
      </c>
      <c r="I114" s="587">
        <f t="shared" si="20"/>
        <v>-2.2707645436101598E-2</v>
      </c>
      <c r="J114" s="588">
        <v>9000</v>
      </c>
      <c r="K114" s="589">
        <f t="shared" si="22"/>
        <v>8</v>
      </c>
      <c r="N114" s="596">
        <f t="shared" si="23"/>
        <v>0.22</v>
      </c>
      <c r="O114" s="591">
        <v>0</v>
      </c>
      <c r="P114" s="587">
        <f t="shared" si="18"/>
        <v>2.872879427778785E-2</v>
      </c>
      <c r="Q114" s="588">
        <f t="shared" si="21"/>
        <v>1980</v>
      </c>
    </row>
    <row r="115" spans="2:17" outlineLevel="1" x14ac:dyDescent="0.2">
      <c r="B115" s="594">
        <f t="shared" si="19"/>
        <v>84</v>
      </c>
      <c r="C115" s="572" t="str">
        <f t="array" ref="C115:C117">"RNC a Core punto de acceso: Voz: "&amp;RNC.Core.ATM.Ladder</f>
        <v>RNC a Core punto de acceso: Voz: 34.4</v>
      </c>
      <c r="D115" s="571" t="s">
        <v>1503</v>
      </c>
      <c r="E115" s="571" t="s">
        <v>1537</v>
      </c>
      <c r="H115" s="586">
        <v>8500</v>
      </c>
      <c r="I115" s="587">
        <f t="shared" si="20"/>
        <v>-2.2707645436101598E-2</v>
      </c>
      <c r="J115" s="588">
        <v>8500</v>
      </c>
      <c r="K115" s="589">
        <f t="shared" si="22"/>
        <v>8</v>
      </c>
      <c r="N115" s="596">
        <f t="shared" si="23"/>
        <v>0.22</v>
      </c>
      <c r="O115" s="591">
        <v>0</v>
      </c>
      <c r="P115" s="587">
        <f t="shared" si="18"/>
        <v>2.872879427778785E-2</v>
      </c>
      <c r="Q115" s="588">
        <f t="shared" si="21"/>
        <v>1870</v>
      </c>
    </row>
    <row r="116" spans="2:17" outlineLevel="1" x14ac:dyDescent="0.2">
      <c r="B116" s="594">
        <f t="shared" si="19"/>
        <v>85</v>
      </c>
      <c r="C116" s="572" t="str">
        <v>RNC a Core punto de acceso: Voz: 155.52</v>
      </c>
      <c r="D116" s="571" t="s">
        <v>1503</v>
      </c>
      <c r="E116" s="571" t="s">
        <v>1537</v>
      </c>
      <c r="H116" s="586">
        <v>10200</v>
      </c>
      <c r="I116" s="587">
        <f t="shared" si="20"/>
        <v>-2.2707645436101598E-2</v>
      </c>
      <c r="J116" s="588">
        <v>10200</v>
      </c>
      <c r="K116" s="589">
        <f t="shared" si="22"/>
        <v>8</v>
      </c>
      <c r="N116" s="596">
        <f t="shared" si="23"/>
        <v>0.22</v>
      </c>
      <c r="O116" s="591">
        <v>0</v>
      </c>
      <c r="P116" s="587">
        <f t="shared" si="18"/>
        <v>2.872879427778785E-2</v>
      </c>
      <c r="Q116" s="588">
        <f t="shared" si="21"/>
        <v>2244</v>
      </c>
    </row>
    <row r="117" spans="2:17" outlineLevel="1" x14ac:dyDescent="0.2">
      <c r="B117" s="594">
        <f t="shared" si="19"/>
        <v>86</v>
      </c>
      <c r="C117" s="572" t="str">
        <v>RNC a Core punto de acceso: Voz: 622.08</v>
      </c>
      <c r="D117" s="571" t="s">
        <v>1503</v>
      </c>
      <c r="E117" s="571" t="s">
        <v>1537</v>
      </c>
      <c r="H117" s="586">
        <v>11300</v>
      </c>
      <c r="I117" s="587">
        <f t="shared" si="20"/>
        <v>-2.2707645436101598E-2</v>
      </c>
      <c r="J117" s="588">
        <v>11300</v>
      </c>
      <c r="K117" s="589">
        <f t="shared" si="22"/>
        <v>8</v>
      </c>
      <c r="N117" s="596">
        <f t="shared" si="23"/>
        <v>0.22</v>
      </c>
      <c r="O117" s="591">
        <v>0</v>
      </c>
      <c r="P117" s="587">
        <f t="shared" si="18"/>
        <v>2.872879427778785E-2</v>
      </c>
      <c r="Q117" s="588">
        <f t="shared" si="21"/>
        <v>2486</v>
      </c>
    </row>
    <row r="118" spans="2:17" outlineLevel="1" x14ac:dyDescent="0.2">
      <c r="B118" s="594">
        <f t="shared" si="19"/>
        <v>87</v>
      </c>
      <c r="C118" s="572" t="str">
        <f t="array" ref="C118:C120">"RNC a Core punto de acceso: Voz "&amp;RNC.Core.Ethernet.Ladder</f>
        <v>RNC a Core punto de acceso: Voz 100</v>
      </c>
      <c r="D118" s="571" t="s">
        <v>1503</v>
      </c>
      <c r="E118" s="571" t="s">
        <v>1537</v>
      </c>
      <c r="H118" s="586">
        <v>8500</v>
      </c>
      <c r="I118" s="587">
        <f t="shared" si="20"/>
        <v>-2.2707645436101598E-2</v>
      </c>
      <c r="J118" s="588">
        <v>8500</v>
      </c>
      <c r="K118" s="589">
        <f t="shared" si="22"/>
        <v>8</v>
      </c>
      <c r="N118" s="596">
        <f t="shared" si="23"/>
        <v>0.22</v>
      </c>
      <c r="O118" s="591">
        <v>0</v>
      </c>
      <c r="P118" s="587">
        <f t="shared" si="18"/>
        <v>2.872879427778785E-2</v>
      </c>
      <c r="Q118" s="588">
        <f t="shared" si="21"/>
        <v>1870</v>
      </c>
    </row>
    <row r="119" spans="2:17" outlineLevel="1" x14ac:dyDescent="0.2">
      <c r="B119" s="594">
        <f t="shared" si="19"/>
        <v>88</v>
      </c>
      <c r="C119" s="572" t="str">
        <v>RNC a Core punto de acceso: Voz 1024</v>
      </c>
      <c r="D119" s="571" t="s">
        <v>1503</v>
      </c>
      <c r="E119" s="571" t="s">
        <v>1537</v>
      </c>
      <c r="H119" s="586">
        <v>10750</v>
      </c>
      <c r="I119" s="587">
        <f t="shared" si="20"/>
        <v>-2.2707645436101598E-2</v>
      </c>
      <c r="J119" s="588">
        <v>10750</v>
      </c>
      <c r="K119" s="589">
        <f t="shared" si="22"/>
        <v>8</v>
      </c>
      <c r="N119" s="596">
        <f t="shared" si="23"/>
        <v>0.22</v>
      </c>
      <c r="O119" s="591">
        <v>0</v>
      </c>
      <c r="P119" s="587">
        <f t="shared" si="18"/>
        <v>2.872879427778785E-2</v>
      </c>
      <c r="Q119" s="588">
        <f t="shared" si="21"/>
        <v>2365</v>
      </c>
    </row>
    <row r="120" spans="2:17" outlineLevel="1" x14ac:dyDescent="0.2">
      <c r="B120" s="594">
        <f t="shared" si="19"/>
        <v>89</v>
      </c>
      <c r="C120" s="572" t="str">
        <v>RNC a Core punto de acceso: Voz 2488</v>
      </c>
      <c r="D120" s="571" t="s">
        <v>1503</v>
      </c>
      <c r="E120" s="571" t="s">
        <v>1537</v>
      </c>
      <c r="H120" s="586">
        <v>11300</v>
      </c>
      <c r="I120" s="587">
        <f t="shared" si="20"/>
        <v>-2.2707645436101598E-2</v>
      </c>
      <c r="J120" s="588">
        <v>11300</v>
      </c>
      <c r="K120" s="589">
        <f t="shared" si="22"/>
        <v>8</v>
      </c>
      <c r="N120" s="596">
        <f t="shared" si="23"/>
        <v>0.22</v>
      </c>
      <c r="O120" s="591">
        <v>0</v>
      </c>
      <c r="P120" s="587">
        <f t="shared" si="18"/>
        <v>2.872879427778785E-2</v>
      </c>
      <c r="Q120" s="588">
        <f t="shared" si="21"/>
        <v>2486</v>
      </c>
    </row>
    <row r="121" spans="2:17" outlineLevel="1" x14ac:dyDescent="0.2">
      <c r="B121" s="594">
        <f t="shared" si="19"/>
        <v>90</v>
      </c>
      <c r="C121" s="572" t="str">
        <f t="array" ref="C121:C123">"RNC a Core punto de acceso: Datos: "&amp;RNC.Core.ATM.Ladder</f>
        <v>RNC a Core punto de acceso: Datos: 34.4</v>
      </c>
      <c r="D121" s="571" t="s">
        <v>1503</v>
      </c>
      <c r="E121" s="571" t="s">
        <v>1534</v>
      </c>
      <c r="H121" s="586">
        <v>8500</v>
      </c>
      <c r="I121" s="587">
        <f t="shared" si="20"/>
        <v>-2.2707645436101598E-2</v>
      </c>
      <c r="J121" s="588">
        <v>8500</v>
      </c>
      <c r="K121" s="589">
        <f t="shared" si="22"/>
        <v>8</v>
      </c>
      <c r="N121" s="596">
        <f t="shared" si="23"/>
        <v>0.22</v>
      </c>
      <c r="O121" s="591">
        <v>0</v>
      </c>
      <c r="P121" s="587">
        <f t="shared" si="18"/>
        <v>2.872879427778785E-2</v>
      </c>
      <c r="Q121" s="588">
        <f t="shared" si="21"/>
        <v>1870</v>
      </c>
    </row>
    <row r="122" spans="2:17" outlineLevel="1" x14ac:dyDescent="0.2">
      <c r="B122" s="594">
        <f t="shared" si="19"/>
        <v>91</v>
      </c>
      <c r="C122" s="572" t="str">
        <v>RNC a Core punto de acceso: Datos: 155.52</v>
      </c>
      <c r="D122" s="571" t="s">
        <v>1503</v>
      </c>
      <c r="E122" s="571" t="s">
        <v>1534</v>
      </c>
      <c r="H122" s="586">
        <v>10200</v>
      </c>
      <c r="I122" s="587">
        <f t="shared" si="20"/>
        <v>-2.2707645436101598E-2</v>
      </c>
      <c r="J122" s="588">
        <v>10200</v>
      </c>
      <c r="K122" s="589">
        <f t="shared" si="22"/>
        <v>8</v>
      </c>
      <c r="N122" s="596">
        <f t="shared" si="23"/>
        <v>0.22</v>
      </c>
      <c r="O122" s="591">
        <v>0</v>
      </c>
      <c r="P122" s="587">
        <f t="shared" si="18"/>
        <v>2.872879427778785E-2</v>
      </c>
      <c r="Q122" s="588">
        <f t="shared" si="21"/>
        <v>2244</v>
      </c>
    </row>
    <row r="123" spans="2:17" outlineLevel="1" x14ac:dyDescent="0.2">
      <c r="B123" s="594">
        <f t="shared" si="19"/>
        <v>92</v>
      </c>
      <c r="C123" s="572" t="str">
        <v>RNC a Core punto de acceso: Datos: 622.08</v>
      </c>
      <c r="D123" s="571" t="s">
        <v>1503</v>
      </c>
      <c r="E123" s="571" t="s">
        <v>1534</v>
      </c>
      <c r="H123" s="586">
        <v>11300</v>
      </c>
      <c r="I123" s="587">
        <f t="shared" si="20"/>
        <v>-2.2707645436101598E-2</v>
      </c>
      <c r="J123" s="588">
        <v>11300</v>
      </c>
      <c r="K123" s="589">
        <f t="shared" si="22"/>
        <v>8</v>
      </c>
      <c r="N123" s="596">
        <f t="shared" si="23"/>
        <v>0.22</v>
      </c>
      <c r="O123" s="591">
        <v>0</v>
      </c>
      <c r="P123" s="587">
        <f t="shared" si="18"/>
        <v>2.872879427778785E-2</v>
      </c>
      <c r="Q123" s="588">
        <f t="shared" si="21"/>
        <v>2486</v>
      </c>
    </row>
    <row r="124" spans="2:17" outlineLevel="1" x14ac:dyDescent="0.2">
      <c r="B124" s="594">
        <f t="shared" si="19"/>
        <v>93</v>
      </c>
      <c r="C124" s="572" t="str">
        <f t="array" ref="C124:C126">"RNC a Core punto de acceso: Datos: "&amp;RNC.Core.Ethernet.Ladder</f>
        <v>RNC a Core punto de acceso: Datos: 100</v>
      </c>
      <c r="D124" s="571" t="s">
        <v>1503</v>
      </c>
      <c r="E124" s="571" t="s">
        <v>1534</v>
      </c>
      <c r="H124" s="586">
        <v>8500</v>
      </c>
      <c r="I124" s="587">
        <f t="shared" si="20"/>
        <v>-2.2707645436101598E-2</v>
      </c>
      <c r="J124" s="588">
        <v>8500</v>
      </c>
      <c r="K124" s="589">
        <f t="shared" si="22"/>
        <v>8</v>
      </c>
      <c r="N124" s="596">
        <f t="shared" si="23"/>
        <v>0.22</v>
      </c>
      <c r="O124" s="591">
        <v>0</v>
      </c>
      <c r="P124" s="587">
        <f t="shared" si="18"/>
        <v>2.872879427778785E-2</v>
      </c>
      <c r="Q124" s="588">
        <f t="shared" si="21"/>
        <v>1870</v>
      </c>
    </row>
    <row r="125" spans="2:17" outlineLevel="1" x14ac:dyDescent="0.2">
      <c r="B125" s="594">
        <f t="shared" si="19"/>
        <v>94</v>
      </c>
      <c r="C125" s="572" t="str">
        <v>RNC a Core punto de acceso: Datos: 1024</v>
      </c>
      <c r="D125" s="571" t="s">
        <v>1503</v>
      </c>
      <c r="E125" s="571" t="s">
        <v>1534</v>
      </c>
      <c r="H125" s="586">
        <v>10750</v>
      </c>
      <c r="I125" s="587">
        <f t="shared" si="20"/>
        <v>-2.2707645436101598E-2</v>
      </c>
      <c r="J125" s="588">
        <v>10750</v>
      </c>
      <c r="K125" s="589">
        <f t="shared" si="22"/>
        <v>8</v>
      </c>
      <c r="N125" s="596">
        <f t="shared" si="23"/>
        <v>0.22</v>
      </c>
      <c r="O125" s="591">
        <v>0</v>
      </c>
      <c r="P125" s="587">
        <f t="shared" si="18"/>
        <v>2.872879427778785E-2</v>
      </c>
      <c r="Q125" s="588">
        <f t="shared" si="21"/>
        <v>2365</v>
      </c>
    </row>
    <row r="126" spans="2:17" outlineLevel="1" x14ac:dyDescent="0.2">
      <c r="B126" s="594">
        <f t="shared" si="19"/>
        <v>95</v>
      </c>
      <c r="C126" s="572" t="str">
        <v>RNC a Core punto de acceso: Datos: 2488</v>
      </c>
      <c r="D126" s="571" t="s">
        <v>1503</v>
      </c>
      <c r="E126" s="571" t="s">
        <v>1534</v>
      </c>
      <c r="H126" s="586">
        <v>11300</v>
      </c>
      <c r="I126" s="587">
        <f t="shared" si="20"/>
        <v>-2.2707645436101598E-2</v>
      </c>
      <c r="J126" s="588">
        <v>11300</v>
      </c>
      <c r="K126" s="589">
        <f t="shared" si="22"/>
        <v>8</v>
      </c>
      <c r="N126" s="590">
        <v>0</v>
      </c>
      <c r="O126" s="591">
        <v>0</v>
      </c>
      <c r="P126" s="587">
        <f t="shared" si="18"/>
        <v>2.872879427778785E-2</v>
      </c>
      <c r="Q126" s="588">
        <f t="shared" si="21"/>
        <v>0</v>
      </c>
    </row>
    <row r="127" spans="2:17" outlineLevel="1" x14ac:dyDescent="0.2">
      <c r="B127" s="594">
        <f t="shared" si="19"/>
        <v>96</v>
      </c>
      <c r="C127" s="572" t="str">
        <f t="array" ref="C127:C129">"BSC a Core líneas alquiladas: Voz: "&amp;BSC.Core.ATM.Ladder</f>
        <v>BSC a Core líneas alquiladas: Voz: 8.45</v>
      </c>
      <c r="D127" s="571" t="s">
        <v>1500</v>
      </c>
      <c r="E127" s="571" t="s">
        <v>1536</v>
      </c>
      <c r="H127" s="595">
        <f>H82</f>
        <v>800</v>
      </c>
      <c r="I127" s="587">
        <f t="shared" si="20"/>
        <v>8.154218392232071E-3</v>
      </c>
      <c r="J127" s="588">
        <v>800</v>
      </c>
      <c r="K127" s="589">
        <f t="shared" si="22"/>
        <v>5</v>
      </c>
      <c r="N127" s="590">
        <v>0</v>
      </c>
      <c r="O127" s="593">
        <f>O82</f>
        <v>4800.0000000000009</v>
      </c>
      <c r="P127" s="587">
        <f t="shared" si="18"/>
        <v>-7.4144085149990935E-2</v>
      </c>
      <c r="Q127" s="588">
        <f t="shared" si="21"/>
        <v>4800.0000000000009</v>
      </c>
    </row>
    <row r="128" spans="2:17" outlineLevel="1" x14ac:dyDescent="0.2">
      <c r="B128" s="594">
        <f t="shared" si="19"/>
        <v>97</v>
      </c>
      <c r="C128" s="572" t="str">
        <v>BSC a Core líneas alquiladas: Voz: 34.37</v>
      </c>
      <c r="D128" s="571" t="s">
        <v>1500</v>
      </c>
      <c r="E128" s="571" t="s">
        <v>1536</v>
      </c>
      <c r="H128" s="595">
        <f t="shared" ref="H128:H132" si="24">H83</f>
        <v>2200</v>
      </c>
      <c r="I128" s="587">
        <f t="shared" si="20"/>
        <v>8.154218392232071E-3</v>
      </c>
      <c r="J128" s="588">
        <v>2200</v>
      </c>
      <c r="K128" s="589">
        <f t="shared" si="22"/>
        <v>5</v>
      </c>
      <c r="N128" s="590">
        <v>0</v>
      </c>
      <c r="O128" s="593">
        <f>O83</f>
        <v>13199.999999999998</v>
      </c>
      <c r="P128" s="587">
        <f t="shared" ref="P128:P159" si="25">INDEX(Opex.cost.trends, MATCH(D128, Assets.cost.trend.names, 0))</f>
        <v>-7.4144085149990935E-2</v>
      </c>
      <c r="Q128" s="588">
        <f t="shared" si="21"/>
        <v>13199.999999999998</v>
      </c>
    </row>
    <row r="129" spans="2:17" outlineLevel="1" x14ac:dyDescent="0.2">
      <c r="B129" s="594">
        <f t="shared" ref="B129:B160" si="26">1+B128</f>
        <v>98</v>
      </c>
      <c r="C129" s="572" t="str">
        <v>BSC a Core líneas alquiladas: Voz: 155.52</v>
      </c>
      <c r="D129" s="571" t="s">
        <v>1500</v>
      </c>
      <c r="E129" s="571" t="s">
        <v>1536</v>
      </c>
      <c r="H129" s="595">
        <f t="shared" si="24"/>
        <v>7100</v>
      </c>
      <c r="I129" s="587">
        <f t="shared" ref="I129:I160" si="27">INDEX(Capex.cost.trends, MATCH($D129, Assets.cost.trend.names, 0))</f>
        <v>8.154218392232071E-3</v>
      </c>
      <c r="J129" s="588">
        <v>7100</v>
      </c>
      <c r="K129" s="589">
        <f t="shared" ref="K129:K159" si="28">INDEX(Lifetimes, MATCH($D129, Assets.cost.trend.names, 0))</f>
        <v>5</v>
      </c>
      <c r="N129" s="590">
        <v>0</v>
      </c>
      <c r="O129" s="593">
        <f>O84</f>
        <v>42000</v>
      </c>
      <c r="P129" s="587">
        <f t="shared" si="25"/>
        <v>-7.4144085149990935E-2</v>
      </c>
      <c r="Q129" s="588">
        <f t="shared" si="21"/>
        <v>42000</v>
      </c>
    </row>
    <row r="130" spans="2:17" outlineLevel="1" x14ac:dyDescent="0.2">
      <c r="B130" s="594">
        <f t="shared" si="26"/>
        <v>99</v>
      </c>
      <c r="C130" s="572" t="str">
        <f t="array" ref="C130:C132">"BSC a Core líneas alquiladas: Voz: "&amp;BSC.Core.Ethernet.Ladder</f>
        <v>BSC a Core líneas alquiladas: Voz: 30</v>
      </c>
      <c r="D130" s="571" t="s">
        <v>1500</v>
      </c>
      <c r="E130" s="571" t="s">
        <v>1536</v>
      </c>
      <c r="H130" s="595">
        <f t="shared" si="24"/>
        <v>2000</v>
      </c>
      <c r="I130" s="587">
        <f t="shared" si="27"/>
        <v>8.154218392232071E-3</v>
      </c>
      <c r="J130" s="588">
        <v>2000</v>
      </c>
      <c r="K130" s="589">
        <f t="shared" si="28"/>
        <v>5</v>
      </c>
      <c r="N130" s="590">
        <v>0</v>
      </c>
      <c r="O130" s="593">
        <f>O73</f>
        <v>9600</v>
      </c>
      <c r="P130" s="587">
        <f t="shared" si="25"/>
        <v>-7.4144085149990935E-2</v>
      </c>
      <c r="Q130" s="588">
        <f t="shared" si="21"/>
        <v>9600</v>
      </c>
    </row>
    <row r="131" spans="2:17" outlineLevel="1" x14ac:dyDescent="0.2">
      <c r="B131" s="594">
        <f t="shared" si="26"/>
        <v>100</v>
      </c>
      <c r="C131" s="572" t="str">
        <v>BSC a Core líneas alquiladas: Voz: 100</v>
      </c>
      <c r="D131" s="571" t="s">
        <v>1500</v>
      </c>
      <c r="E131" s="571" t="s">
        <v>1536</v>
      </c>
      <c r="H131" s="595">
        <f t="shared" si="24"/>
        <v>4000</v>
      </c>
      <c r="I131" s="587">
        <f t="shared" si="27"/>
        <v>8.154218392232071E-3</v>
      </c>
      <c r="J131" s="588">
        <v>4000</v>
      </c>
      <c r="K131" s="589">
        <f t="shared" si="28"/>
        <v>5</v>
      </c>
      <c r="N131" s="590">
        <v>0</v>
      </c>
      <c r="O131" s="593">
        <f>O74</f>
        <v>22800</v>
      </c>
      <c r="P131" s="587">
        <f t="shared" si="25"/>
        <v>-7.4144085149990935E-2</v>
      </c>
      <c r="Q131" s="588">
        <f t="shared" si="21"/>
        <v>22800</v>
      </c>
    </row>
    <row r="132" spans="2:17" outlineLevel="1" x14ac:dyDescent="0.2">
      <c r="B132" s="594">
        <f t="shared" si="26"/>
        <v>101</v>
      </c>
      <c r="C132" s="572" t="str">
        <v>BSC a Core líneas alquiladas: Voz: 1024</v>
      </c>
      <c r="D132" s="571" t="s">
        <v>1500</v>
      </c>
      <c r="E132" s="571" t="s">
        <v>1536</v>
      </c>
      <c r="H132" s="595">
        <f t="shared" si="24"/>
        <v>4000</v>
      </c>
      <c r="I132" s="587">
        <f t="shared" si="27"/>
        <v>8.154218392232071E-3</v>
      </c>
      <c r="J132" s="588">
        <v>4000</v>
      </c>
      <c r="K132" s="589">
        <f t="shared" si="28"/>
        <v>5</v>
      </c>
      <c r="N132" s="590">
        <v>0</v>
      </c>
      <c r="O132" s="593">
        <f>O87</f>
        <v>120000</v>
      </c>
      <c r="P132" s="587">
        <f t="shared" si="25"/>
        <v>-7.4144085149990935E-2</v>
      </c>
      <c r="Q132" s="588">
        <f t="shared" si="21"/>
        <v>120000</v>
      </c>
    </row>
    <row r="133" spans="2:17" outlineLevel="1" x14ac:dyDescent="0.2">
      <c r="B133" s="594">
        <f t="shared" si="26"/>
        <v>102</v>
      </c>
      <c r="C133" s="572" t="str">
        <f t="array" ref="C133:C135">"BSC a Core líneas alquiladas: Datos: "&amp;BSC.Core.ATM.Ladder</f>
        <v>BSC a Core líneas alquiladas: Datos: 8.45</v>
      </c>
      <c r="D133" s="571" t="s">
        <v>1500</v>
      </c>
      <c r="E133" s="571" t="s">
        <v>1535</v>
      </c>
      <c r="H133" s="595">
        <f>H127</f>
        <v>800</v>
      </c>
      <c r="I133" s="587">
        <f t="shared" si="27"/>
        <v>8.154218392232071E-3</v>
      </c>
      <c r="J133" s="588">
        <v>800</v>
      </c>
      <c r="K133" s="589">
        <f t="shared" si="28"/>
        <v>5</v>
      </c>
      <c r="N133" s="590">
        <v>0</v>
      </c>
      <c r="O133" s="593">
        <f>O82</f>
        <v>4800.0000000000009</v>
      </c>
      <c r="P133" s="587">
        <f t="shared" si="25"/>
        <v>-7.4144085149990935E-2</v>
      </c>
      <c r="Q133" s="588">
        <f t="shared" si="21"/>
        <v>4800.0000000000009</v>
      </c>
    </row>
    <row r="134" spans="2:17" outlineLevel="1" x14ac:dyDescent="0.2">
      <c r="B134" s="594">
        <f t="shared" si="26"/>
        <v>103</v>
      </c>
      <c r="C134" s="572" t="str">
        <v>BSC a Core líneas alquiladas: Datos: 34.37</v>
      </c>
      <c r="D134" s="571" t="s">
        <v>1500</v>
      </c>
      <c r="E134" s="571" t="s">
        <v>1535</v>
      </c>
      <c r="H134" s="595">
        <f t="shared" ref="H134:H138" si="29">H128</f>
        <v>2200</v>
      </c>
      <c r="I134" s="587">
        <f t="shared" si="27"/>
        <v>8.154218392232071E-3</v>
      </c>
      <c r="J134" s="588">
        <v>2200</v>
      </c>
      <c r="K134" s="589">
        <f t="shared" si="28"/>
        <v>5</v>
      </c>
      <c r="N134" s="590">
        <v>0</v>
      </c>
      <c r="O134" s="593">
        <f>O83</f>
        <v>13199.999999999998</v>
      </c>
      <c r="P134" s="587">
        <f t="shared" si="25"/>
        <v>-7.4144085149990935E-2</v>
      </c>
      <c r="Q134" s="588">
        <f t="shared" si="21"/>
        <v>13199.999999999998</v>
      </c>
    </row>
    <row r="135" spans="2:17" outlineLevel="1" x14ac:dyDescent="0.2">
      <c r="B135" s="594">
        <f t="shared" si="26"/>
        <v>104</v>
      </c>
      <c r="C135" s="572" t="str">
        <v>BSC a Core líneas alquiladas: Datos: 155.52</v>
      </c>
      <c r="D135" s="571" t="s">
        <v>1500</v>
      </c>
      <c r="E135" s="571" t="s">
        <v>1535</v>
      </c>
      <c r="H135" s="595">
        <f t="shared" si="29"/>
        <v>7100</v>
      </c>
      <c r="I135" s="587">
        <f t="shared" si="27"/>
        <v>8.154218392232071E-3</v>
      </c>
      <c r="J135" s="588">
        <v>7100</v>
      </c>
      <c r="K135" s="589">
        <f t="shared" si="28"/>
        <v>5</v>
      </c>
      <c r="N135" s="590">
        <v>0</v>
      </c>
      <c r="O135" s="593">
        <f>O84</f>
        <v>42000</v>
      </c>
      <c r="P135" s="587">
        <f t="shared" si="25"/>
        <v>-7.4144085149990935E-2</v>
      </c>
      <c r="Q135" s="588">
        <f t="shared" si="21"/>
        <v>42000</v>
      </c>
    </row>
    <row r="136" spans="2:17" outlineLevel="1" x14ac:dyDescent="0.2">
      <c r="B136" s="594">
        <f t="shared" si="26"/>
        <v>105</v>
      </c>
      <c r="C136" s="572" t="str">
        <f t="array" ref="C136:C138">"BSC a Core líneas alquiladas: Datos: "&amp;BSC.Core.Ethernet.Ladder</f>
        <v>BSC a Core líneas alquiladas: Datos: 30</v>
      </c>
      <c r="D136" s="571" t="s">
        <v>1500</v>
      </c>
      <c r="E136" s="571" t="s">
        <v>1535</v>
      </c>
      <c r="H136" s="595">
        <f t="shared" si="29"/>
        <v>2000</v>
      </c>
      <c r="I136" s="587">
        <f t="shared" si="27"/>
        <v>8.154218392232071E-3</v>
      </c>
      <c r="J136" s="588">
        <v>2000</v>
      </c>
      <c r="K136" s="589">
        <f t="shared" si="28"/>
        <v>5</v>
      </c>
      <c r="N136" s="590">
        <v>0</v>
      </c>
      <c r="O136" s="593">
        <f>O73</f>
        <v>9600</v>
      </c>
      <c r="P136" s="587">
        <f t="shared" si="25"/>
        <v>-7.4144085149990935E-2</v>
      </c>
      <c r="Q136" s="588">
        <f t="shared" si="21"/>
        <v>9600</v>
      </c>
    </row>
    <row r="137" spans="2:17" outlineLevel="1" x14ac:dyDescent="0.2">
      <c r="B137" s="594">
        <f t="shared" si="26"/>
        <v>106</v>
      </c>
      <c r="C137" s="572" t="str">
        <v>BSC a Core líneas alquiladas: Datos: 100</v>
      </c>
      <c r="D137" s="571" t="s">
        <v>1500</v>
      </c>
      <c r="E137" s="571" t="s">
        <v>1535</v>
      </c>
      <c r="H137" s="595">
        <f t="shared" si="29"/>
        <v>4000</v>
      </c>
      <c r="I137" s="587">
        <f t="shared" si="27"/>
        <v>8.154218392232071E-3</v>
      </c>
      <c r="J137" s="588">
        <v>4000</v>
      </c>
      <c r="K137" s="589">
        <f t="shared" si="28"/>
        <v>5</v>
      </c>
      <c r="N137" s="590">
        <v>0</v>
      </c>
      <c r="O137" s="593">
        <f>O74</f>
        <v>22800</v>
      </c>
      <c r="P137" s="587">
        <f t="shared" si="25"/>
        <v>-7.4144085149990935E-2</v>
      </c>
      <c r="Q137" s="588">
        <f t="shared" si="21"/>
        <v>22800</v>
      </c>
    </row>
    <row r="138" spans="2:17" outlineLevel="1" x14ac:dyDescent="0.2">
      <c r="B138" s="594">
        <f t="shared" si="26"/>
        <v>107</v>
      </c>
      <c r="C138" s="572" t="str">
        <v>BSC a Core líneas alquiladas: Datos: 1024</v>
      </c>
      <c r="D138" s="571" t="s">
        <v>1500</v>
      </c>
      <c r="E138" s="571" t="s">
        <v>1535</v>
      </c>
      <c r="H138" s="595">
        <f t="shared" si="29"/>
        <v>4000</v>
      </c>
      <c r="I138" s="587">
        <f t="shared" si="27"/>
        <v>8.154218392232071E-3</v>
      </c>
      <c r="J138" s="588">
        <v>4000</v>
      </c>
      <c r="K138" s="589">
        <f t="shared" si="28"/>
        <v>5</v>
      </c>
      <c r="N138" s="590">
        <v>0</v>
      </c>
      <c r="O138" s="593">
        <f>O87</f>
        <v>120000</v>
      </c>
      <c r="P138" s="587">
        <f t="shared" si="25"/>
        <v>-7.4144085149990935E-2</v>
      </c>
      <c r="Q138" s="588">
        <f t="shared" si="21"/>
        <v>120000</v>
      </c>
    </row>
    <row r="139" spans="2:17" outlineLevel="1" x14ac:dyDescent="0.2">
      <c r="B139" s="594">
        <f t="shared" si="26"/>
        <v>108</v>
      </c>
      <c r="C139" s="572" t="str">
        <f t="array" ref="C139:C141">"RNC a Core líneas alquiladas: Voz: "&amp;RNC.Core.ATM.Ladder</f>
        <v>RNC a Core líneas alquiladas: Voz: 34.4</v>
      </c>
      <c r="D139" s="571" t="s">
        <v>1500</v>
      </c>
      <c r="E139" s="571" t="s">
        <v>1537</v>
      </c>
      <c r="H139" s="595">
        <f>H128</f>
        <v>2200</v>
      </c>
      <c r="I139" s="587">
        <f t="shared" si="27"/>
        <v>8.154218392232071E-3</v>
      </c>
      <c r="J139" s="588">
        <v>2200</v>
      </c>
      <c r="K139" s="589">
        <f t="shared" si="28"/>
        <v>5</v>
      </c>
      <c r="N139" s="590">
        <v>0</v>
      </c>
      <c r="O139" s="593">
        <f>O83</f>
        <v>13199.999999999998</v>
      </c>
      <c r="P139" s="587">
        <f t="shared" si="25"/>
        <v>-7.4144085149990935E-2</v>
      </c>
      <c r="Q139" s="588">
        <f t="shared" si="21"/>
        <v>13199.999999999998</v>
      </c>
    </row>
    <row r="140" spans="2:17" outlineLevel="1" x14ac:dyDescent="0.2">
      <c r="B140" s="594">
        <f t="shared" si="26"/>
        <v>109</v>
      </c>
      <c r="C140" s="572" t="str">
        <v>RNC a Core líneas alquiladas: Voz: 155.52</v>
      </c>
      <c r="D140" s="571" t="s">
        <v>1500</v>
      </c>
      <c r="E140" s="571" t="s">
        <v>1537</v>
      </c>
      <c r="H140" s="595">
        <f t="shared" ref="H140" si="30">H129</f>
        <v>7100</v>
      </c>
      <c r="I140" s="587">
        <f t="shared" si="27"/>
        <v>8.154218392232071E-3</v>
      </c>
      <c r="J140" s="588">
        <v>7100</v>
      </c>
      <c r="K140" s="589">
        <f t="shared" si="28"/>
        <v>5</v>
      </c>
      <c r="N140" s="590">
        <v>0</v>
      </c>
      <c r="O140" s="593">
        <f>O84</f>
        <v>42000</v>
      </c>
      <c r="P140" s="587">
        <f t="shared" si="25"/>
        <v>-7.4144085149990935E-2</v>
      </c>
      <c r="Q140" s="588">
        <f t="shared" si="21"/>
        <v>42000</v>
      </c>
    </row>
    <row r="141" spans="2:17" outlineLevel="1" x14ac:dyDescent="0.2">
      <c r="B141" s="594">
        <f t="shared" si="26"/>
        <v>110</v>
      </c>
      <c r="C141" s="572" t="str">
        <v>RNC a Core líneas alquiladas: Voz: 622.08</v>
      </c>
      <c r="D141" s="571" t="s">
        <v>1500</v>
      </c>
      <c r="E141" s="571" t="s">
        <v>1537</v>
      </c>
      <c r="H141" s="598">
        <v>23000</v>
      </c>
      <c r="I141" s="587">
        <f t="shared" si="27"/>
        <v>8.154218392232071E-3</v>
      </c>
      <c r="J141" s="588">
        <v>23000</v>
      </c>
      <c r="K141" s="589">
        <f t="shared" si="28"/>
        <v>5</v>
      </c>
      <c r="N141" s="590">
        <v>0</v>
      </c>
      <c r="O141" s="592">
        <v>120000</v>
      </c>
      <c r="P141" s="587">
        <f t="shared" si="25"/>
        <v>-7.4144085149990935E-2</v>
      </c>
      <c r="Q141" s="588">
        <f t="shared" si="21"/>
        <v>120000</v>
      </c>
    </row>
    <row r="142" spans="2:17" outlineLevel="1" x14ac:dyDescent="0.2">
      <c r="B142" s="594">
        <f t="shared" si="26"/>
        <v>111</v>
      </c>
      <c r="C142" s="572" t="str">
        <f t="array" ref="C142:C144">"RNC a Core líneas alquiladas: Voz: "&amp;RNC.Core.Ethernet.Ladder</f>
        <v>RNC a Core líneas alquiladas: Voz: 100</v>
      </c>
      <c r="D142" s="571" t="s">
        <v>1500</v>
      </c>
      <c r="E142" s="571" t="s">
        <v>1537</v>
      </c>
      <c r="H142" s="595">
        <f>H131</f>
        <v>4000</v>
      </c>
      <c r="I142" s="587">
        <f t="shared" si="27"/>
        <v>8.154218392232071E-3</v>
      </c>
      <c r="J142" s="588">
        <v>4000</v>
      </c>
      <c r="K142" s="589">
        <f t="shared" si="28"/>
        <v>5</v>
      </c>
      <c r="N142" s="590">
        <v>0</v>
      </c>
      <c r="O142" s="593">
        <f>O74</f>
        <v>22800</v>
      </c>
      <c r="P142" s="587">
        <f t="shared" si="25"/>
        <v>-7.4144085149990935E-2</v>
      </c>
      <c r="Q142" s="588">
        <f t="shared" si="21"/>
        <v>22800</v>
      </c>
    </row>
    <row r="143" spans="2:17" outlineLevel="1" x14ac:dyDescent="0.2">
      <c r="B143" s="594">
        <f t="shared" si="26"/>
        <v>112</v>
      </c>
      <c r="C143" s="572" t="str">
        <v>RNC a Core líneas alquiladas: Voz: 1024</v>
      </c>
      <c r="D143" s="571" t="s">
        <v>1500</v>
      </c>
      <c r="E143" s="571" t="s">
        <v>1537</v>
      </c>
      <c r="H143" s="595">
        <f t="shared" ref="H143" si="31">H132</f>
        <v>4000</v>
      </c>
      <c r="I143" s="587">
        <f t="shared" si="27"/>
        <v>8.154218392232071E-3</v>
      </c>
      <c r="J143" s="588">
        <v>4000</v>
      </c>
      <c r="K143" s="589">
        <f t="shared" si="28"/>
        <v>5</v>
      </c>
      <c r="N143" s="590">
        <v>0</v>
      </c>
      <c r="O143" s="593">
        <f>O87</f>
        <v>120000</v>
      </c>
      <c r="P143" s="587">
        <f t="shared" si="25"/>
        <v>-7.4144085149990935E-2</v>
      </c>
      <c r="Q143" s="588">
        <f t="shared" si="21"/>
        <v>120000</v>
      </c>
    </row>
    <row r="144" spans="2:17" outlineLevel="1" x14ac:dyDescent="0.2">
      <c r="B144" s="594">
        <f t="shared" si="26"/>
        <v>113</v>
      </c>
      <c r="C144" s="572" t="str">
        <v>RNC a Core líneas alquiladas: Voz: 2488</v>
      </c>
      <c r="D144" s="571" t="s">
        <v>1500</v>
      </c>
      <c r="E144" s="571" t="s">
        <v>1537</v>
      </c>
      <c r="H144" s="598">
        <v>4000</v>
      </c>
      <c r="I144" s="587">
        <f t="shared" si="27"/>
        <v>8.154218392232071E-3</v>
      </c>
      <c r="J144" s="588">
        <v>4000</v>
      </c>
      <c r="K144" s="589">
        <f t="shared" si="28"/>
        <v>5</v>
      </c>
      <c r="N144" s="590">
        <v>0</v>
      </c>
      <c r="O144" s="592">
        <v>204000.00000000003</v>
      </c>
      <c r="P144" s="587">
        <f t="shared" si="25"/>
        <v>-7.4144085149990935E-2</v>
      </c>
      <c r="Q144" s="588">
        <f t="shared" si="21"/>
        <v>204000.00000000003</v>
      </c>
    </row>
    <row r="145" spans="2:17" outlineLevel="1" x14ac:dyDescent="0.2">
      <c r="B145" s="594">
        <f t="shared" si="26"/>
        <v>114</v>
      </c>
      <c r="C145" s="572" t="str">
        <f t="array" ref="C145:C147">"RNC a Core líneas alquiladas: Datos: "&amp;RNC.Core.ATM.Ladder</f>
        <v>RNC a Core líneas alquiladas: Datos: 34.4</v>
      </c>
      <c r="D145" s="571" t="s">
        <v>1500</v>
      </c>
      <c r="E145" s="571" t="s">
        <v>1534</v>
      </c>
      <c r="H145" s="595">
        <f>H139</f>
        <v>2200</v>
      </c>
      <c r="I145" s="587">
        <f t="shared" si="27"/>
        <v>8.154218392232071E-3</v>
      </c>
      <c r="J145" s="588">
        <v>2200</v>
      </c>
      <c r="K145" s="589">
        <f t="shared" si="28"/>
        <v>5</v>
      </c>
      <c r="N145" s="590">
        <v>0</v>
      </c>
      <c r="O145" s="593">
        <f>O71</f>
        <v>13199.999999999998</v>
      </c>
      <c r="P145" s="587">
        <f t="shared" si="25"/>
        <v>-7.4144085149990935E-2</v>
      </c>
      <c r="Q145" s="588">
        <f t="shared" si="21"/>
        <v>13199.999999999998</v>
      </c>
    </row>
    <row r="146" spans="2:17" outlineLevel="1" x14ac:dyDescent="0.2">
      <c r="B146" s="594">
        <f t="shared" si="26"/>
        <v>115</v>
      </c>
      <c r="C146" s="572" t="str">
        <v>RNC a Core líneas alquiladas: Datos: 155.52</v>
      </c>
      <c r="D146" s="571" t="s">
        <v>1500</v>
      </c>
      <c r="E146" s="571" t="s">
        <v>1534</v>
      </c>
      <c r="H146" s="595">
        <f t="shared" ref="H146:H150" si="32">H140</f>
        <v>7100</v>
      </c>
      <c r="I146" s="587">
        <f t="shared" si="27"/>
        <v>8.154218392232071E-3</v>
      </c>
      <c r="J146" s="588">
        <v>7100</v>
      </c>
      <c r="K146" s="589">
        <f t="shared" si="28"/>
        <v>5</v>
      </c>
      <c r="N146" s="590">
        <v>0</v>
      </c>
      <c r="O146" s="593">
        <f>O84</f>
        <v>42000</v>
      </c>
      <c r="P146" s="587">
        <f t="shared" si="25"/>
        <v>-7.4144085149990935E-2</v>
      </c>
      <c r="Q146" s="588">
        <f t="shared" si="21"/>
        <v>42000</v>
      </c>
    </row>
    <row r="147" spans="2:17" outlineLevel="1" x14ac:dyDescent="0.2">
      <c r="B147" s="594">
        <f t="shared" si="26"/>
        <v>116</v>
      </c>
      <c r="C147" s="572" t="str">
        <v>RNC a Core líneas alquiladas: Datos: 622.08</v>
      </c>
      <c r="D147" s="571" t="s">
        <v>1500</v>
      </c>
      <c r="E147" s="571" t="s">
        <v>1534</v>
      </c>
      <c r="H147" s="595">
        <f t="shared" si="32"/>
        <v>23000</v>
      </c>
      <c r="I147" s="587">
        <f t="shared" si="27"/>
        <v>8.154218392232071E-3</v>
      </c>
      <c r="J147" s="588">
        <v>23000</v>
      </c>
      <c r="K147" s="589">
        <f t="shared" si="28"/>
        <v>5</v>
      </c>
      <c r="N147" s="590">
        <v>0</v>
      </c>
      <c r="O147" s="593">
        <f>O141</f>
        <v>120000</v>
      </c>
      <c r="P147" s="587">
        <f t="shared" si="25"/>
        <v>-7.4144085149990935E-2</v>
      </c>
      <c r="Q147" s="588">
        <f t="shared" si="21"/>
        <v>120000</v>
      </c>
    </row>
    <row r="148" spans="2:17" outlineLevel="1" x14ac:dyDescent="0.2">
      <c r="B148" s="594">
        <f t="shared" si="26"/>
        <v>117</v>
      </c>
      <c r="C148" s="572" t="str">
        <f t="array" ref="C148:C150">"RNC a Core líneas alquiladas: Datos: "&amp;RNC.Core.Ethernet.Ladder</f>
        <v>RNC a Core líneas alquiladas: Datos: 100</v>
      </c>
      <c r="D148" s="571" t="s">
        <v>1500</v>
      </c>
      <c r="E148" s="571" t="s">
        <v>1534</v>
      </c>
      <c r="H148" s="595">
        <f t="shared" si="32"/>
        <v>4000</v>
      </c>
      <c r="I148" s="587">
        <f t="shared" si="27"/>
        <v>8.154218392232071E-3</v>
      </c>
      <c r="J148" s="588">
        <v>4000</v>
      </c>
      <c r="K148" s="589">
        <f t="shared" si="28"/>
        <v>5</v>
      </c>
      <c r="N148" s="590">
        <v>0</v>
      </c>
      <c r="O148" s="593">
        <f>O74</f>
        <v>22800</v>
      </c>
      <c r="P148" s="587">
        <f t="shared" si="25"/>
        <v>-7.4144085149990935E-2</v>
      </c>
      <c r="Q148" s="588">
        <f t="shared" si="21"/>
        <v>22800</v>
      </c>
    </row>
    <row r="149" spans="2:17" outlineLevel="1" x14ac:dyDescent="0.2">
      <c r="B149" s="594">
        <f t="shared" si="26"/>
        <v>118</v>
      </c>
      <c r="C149" s="572" t="str">
        <v>RNC a Core líneas alquiladas: Datos: 1024</v>
      </c>
      <c r="D149" s="571" t="s">
        <v>1500</v>
      </c>
      <c r="E149" s="571" t="s">
        <v>1534</v>
      </c>
      <c r="H149" s="595">
        <f t="shared" si="32"/>
        <v>4000</v>
      </c>
      <c r="I149" s="587">
        <f t="shared" si="27"/>
        <v>8.154218392232071E-3</v>
      </c>
      <c r="J149" s="588">
        <v>4000</v>
      </c>
      <c r="K149" s="589">
        <f t="shared" si="28"/>
        <v>5</v>
      </c>
      <c r="N149" s="590">
        <v>0</v>
      </c>
      <c r="O149" s="593">
        <f>O87</f>
        <v>120000</v>
      </c>
      <c r="P149" s="587">
        <f t="shared" si="25"/>
        <v>-7.4144085149990935E-2</v>
      </c>
      <c r="Q149" s="588">
        <f t="shared" si="21"/>
        <v>120000</v>
      </c>
    </row>
    <row r="150" spans="2:17" outlineLevel="1" x14ac:dyDescent="0.2">
      <c r="B150" s="594">
        <f t="shared" si="26"/>
        <v>119</v>
      </c>
      <c r="C150" s="572" t="str">
        <v>RNC a Core líneas alquiladas: Datos: 2488</v>
      </c>
      <c r="D150" s="571" t="s">
        <v>1500</v>
      </c>
      <c r="E150" s="571" t="s">
        <v>1534</v>
      </c>
      <c r="H150" s="595">
        <f t="shared" si="32"/>
        <v>4000</v>
      </c>
      <c r="I150" s="587">
        <f t="shared" si="27"/>
        <v>8.154218392232071E-3</v>
      </c>
      <c r="J150" s="588">
        <v>4000</v>
      </c>
      <c r="K150" s="589">
        <f t="shared" si="28"/>
        <v>5</v>
      </c>
      <c r="N150" s="590">
        <v>0</v>
      </c>
      <c r="O150" s="593">
        <f>O144</f>
        <v>204000.00000000003</v>
      </c>
      <c r="P150" s="587">
        <f t="shared" si="25"/>
        <v>-7.4144085149990935E-2</v>
      </c>
      <c r="Q150" s="588">
        <f t="shared" si="21"/>
        <v>204000.00000000003</v>
      </c>
    </row>
    <row r="151" spans="2:17" outlineLevel="1" x14ac:dyDescent="0.2">
      <c r="B151" s="594">
        <f t="shared" si="26"/>
        <v>120</v>
      </c>
      <c r="C151" s="572" t="str">
        <f t="array" ref="C151:C153">"Core a core: líneas alquiladas, TDM:  "&amp;Core.Core.ATM.Ladder</f>
        <v>Core a core: líneas alquiladas, TDM:  155</v>
      </c>
      <c r="D151" s="571" t="s">
        <v>1500</v>
      </c>
      <c r="E151" s="571" t="s">
        <v>1530</v>
      </c>
      <c r="H151" s="595">
        <f>H146</f>
        <v>7100</v>
      </c>
      <c r="I151" s="587">
        <f t="shared" si="27"/>
        <v>8.154218392232071E-3</v>
      </c>
      <c r="J151" s="588">
        <v>7100</v>
      </c>
      <c r="K151" s="589">
        <f t="shared" si="28"/>
        <v>5</v>
      </c>
      <c r="N151" s="590">
        <v>0</v>
      </c>
      <c r="O151" s="593">
        <f>O84</f>
        <v>42000</v>
      </c>
      <c r="P151" s="587">
        <f t="shared" si="25"/>
        <v>-7.4144085149990935E-2</v>
      </c>
      <c r="Q151" s="588">
        <f t="shared" si="21"/>
        <v>42000</v>
      </c>
    </row>
    <row r="152" spans="2:17" outlineLevel="1" x14ac:dyDescent="0.2">
      <c r="B152" s="594">
        <f t="shared" si="26"/>
        <v>121</v>
      </c>
      <c r="C152" s="572" t="str">
        <v>Core a core: líneas alquiladas, TDM:  622</v>
      </c>
      <c r="D152" s="571" t="s">
        <v>1500</v>
      </c>
      <c r="E152" s="571" t="s">
        <v>1530</v>
      </c>
      <c r="H152" s="595">
        <f>H147</f>
        <v>23000</v>
      </c>
      <c r="I152" s="587">
        <f t="shared" si="27"/>
        <v>8.154218392232071E-3</v>
      </c>
      <c r="J152" s="588">
        <v>23000</v>
      </c>
      <c r="K152" s="589">
        <f t="shared" si="28"/>
        <v>5</v>
      </c>
      <c r="N152" s="590">
        <v>0</v>
      </c>
      <c r="O152" s="593">
        <f>O141</f>
        <v>120000</v>
      </c>
      <c r="P152" s="587">
        <f t="shared" si="25"/>
        <v>-7.4144085149990935E-2</v>
      </c>
      <c r="Q152" s="588">
        <f t="shared" si="21"/>
        <v>120000</v>
      </c>
    </row>
    <row r="153" spans="2:17" outlineLevel="1" x14ac:dyDescent="0.2">
      <c r="B153" s="594">
        <f t="shared" si="26"/>
        <v>122</v>
      </c>
      <c r="C153" s="572" t="str">
        <v>Core a core: líneas alquiladas, TDM:  2488</v>
      </c>
      <c r="D153" s="571" t="s">
        <v>1500</v>
      </c>
      <c r="E153" s="571" t="s">
        <v>1530</v>
      </c>
      <c r="H153" s="598">
        <v>57000</v>
      </c>
      <c r="I153" s="587">
        <f t="shared" si="27"/>
        <v>8.154218392232071E-3</v>
      </c>
      <c r="J153" s="588">
        <v>57000</v>
      </c>
      <c r="K153" s="589">
        <f t="shared" si="28"/>
        <v>5</v>
      </c>
      <c r="N153" s="590">
        <v>0</v>
      </c>
      <c r="O153" s="600">
        <v>299999.99999999994</v>
      </c>
      <c r="P153" s="587">
        <f t="shared" si="25"/>
        <v>-7.4144085149990935E-2</v>
      </c>
      <c r="Q153" s="588">
        <f t="shared" si="21"/>
        <v>299999.99999999994</v>
      </c>
    </row>
    <row r="154" spans="2:17" outlineLevel="1" x14ac:dyDescent="0.2">
      <c r="B154" s="594">
        <f t="shared" si="26"/>
        <v>123</v>
      </c>
      <c r="C154" s="572" t="str">
        <f t="array" ref="C154:C156">"Core a core: líneas alquiladas, Ethernet:  "&amp;Core.Core.Ethernet.Ladder</f>
        <v>Core a core: líneas alquiladas, Ethernet:  1000</v>
      </c>
      <c r="D154" s="571" t="s">
        <v>1500</v>
      </c>
      <c r="E154" s="571" t="s">
        <v>1529</v>
      </c>
      <c r="H154" s="595">
        <f>H149</f>
        <v>4000</v>
      </c>
      <c r="I154" s="587">
        <f t="shared" si="27"/>
        <v>8.154218392232071E-3</v>
      </c>
      <c r="J154" s="588">
        <v>4000</v>
      </c>
      <c r="K154" s="589">
        <f t="shared" si="28"/>
        <v>5</v>
      </c>
      <c r="N154" s="590">
        <v>0</v>
      </c>
      <c r="O154" s="593">
        <f>O87</f>
        <v>120000</v>
      </c>
      <c r="P154" s="587">
        <f t="shared" si="25"/>
        <v>-7.4144085149990935E-2</v>
      </c>
      <c r="Q154" s="588">
        <f t="shared" si="21"/>
        <v>120000</v>
      </c>
    </row>
    <row r="155" spans="2:17" outlineLevel="1" x14ac:dyDescent="0.2">
      <c r="B155" s="594">
        <f t="shared" si="26"/>
        <v>124</v>
      </c>
      <c r="C155" s="572" t="str">
        <v>Core a core: líneas alquiladas, Ethernet:  2500</v>
      </c>
      <c r="D155" s="571" t="s">
        <v>1500</v>
      </c>
      <c r="E155" s="571" t="s">
        <v>1529</v>
      </c>
      <c r="H155" s="595">
        <f>H150</f>
        <v>4000</v>
      </c>
      <c r="I155" s="587">
        <f t="shared" si="27"/>
        <v>8.154218392232071E-3</v>
      </c>
      <c r="J155" s="588">
        <v>4000</v>
      </c>
      <c r="K155" s="589">
        <f t="shared" si="28"/>
        <v>5</v>
      </c>
      <c r="N155" s="590">
        <v>0</v>
      </c>
      <c r="O155" s="593">
        <f>O144</f>
        <v>204000.00000000003</v>
      </c>
      <c r="P155" s="587">
        <f t="shared" si="25"/>
        <v>-7.4144085149990935E-2</v>
      </c>
      <c r="Q155" s="588">
        <f t="shared" si="21"/>
        <v>204000.00000000003</v>
      </c>
    </row>
    <row r="156" spans="2:17" outlineLevel="1" x14ac:dyDescent="0.2">
      <c r="B156" s="594">
        <f t="shared" si="26"/>
        <v>125</v>
      </c>
      <c r="C156" s="572" t="str">
        <v>Core a core: líneas alquiladas, Ethernet:  10000</v>
      </c>
      <c r="D156" s="571" t="s">
        <v>1500</v>
      </c>
      <c r="E156" s="571" t="s">
        <v>1529</v>
      </c>
      <c r="H156" s="598">
        <v>4000</v>
      </c>
      <c r="I156" s="587">
        <f t="shared" si="27"/>
        <v>8.154218392232071E-3</v>
      </c>
      <c r="J156" s="588">
        <v>4000</v>
      </c>
      <c r="K156" s="589">
        <f t="shared" si="28"/>
        <v>5</v>
      </c>
      <c r="N156" s="590">
        <v>0</v>
      </c>
      <c r="O156" s="600">
        <v>408000</v>
      </c>
      <c r="P156" s="587">
        <f t="shared" si="25"/>
        <v>-7.4144085149990935E-2</v>
      </c>
      <c r="Q156" s="588">
        <f t="shared" si="21"/>
        <v>408000</v>
      </c>
    </row>
    <row r="157" spans="2:17" outlineLevel="1" x14ac:dyDescent="0.2">
      <c r="B157" s="594">
        <f t="shared" si="26"/>
        <v>126</v>
      </c>
      <c r="C157" s="572" t="str">
        <f t="array" ref="C157:C160">"Anillo core, puntos de acceso (ADM/multiplexadores): "&amp;Core.Core.ATM.Ladder</f>
        <v>Anillo core, puntos de acceso (ADM/multiplexadores): 155</v>
      </c>
      <c r="D157" s="571" t="s">
        <v>1503</v>
      </c>
      <c r="E157" s="571" t="s">
        <v>1530</v>
      </c>
      <c r="H157" s="586">
        <v>10200</v>
      </c>
      <c r="I157" s="587">
        <f t="shared" si="27"/>
        <v>-2.2707645436101598E-2</v>
      </c>
      <c r="J157" s="588">
        <v>10200</v>
      </c>
      <c r="K157" s="589">
        <f t="shared" si="28"/>
        <v>8</v>
      </c>
      <c r="N157" s="596">
        <f t="shared" ref="N157:N164" si="33">N$88</f>
        <v>0.22</v>
      </c>
      <c r="O157" s="591">
        <v>0</v>
      </c>
      <c r="P157" s="587">
        <f t="shared" si="25"/>
        <v>2.872879427778785E-2</v>
      </c>
      <c r="Q157" s="588">
        <f t="shared" si="21"/>
        <v>2244</v>
      </c>
    </row>
    <row r="158" spans="2:17" outlineLevel="1" x14ac:dyDescent="0.2">
      <c r="B158" s="594">
        <f t="shared" si="26"/>
        <v>127</v>
      </c>
      <c r="C158" s="572" t="str">
        <v>Anillo core, puntos de acceso (ADM/multiplexadores): 622</v>
      </c>
      <c r="D158" s="571" t="s">
        <v>1503</v>
      </c>
      <c r="E158" s="571" t="s">
        <v>1530</v>
      </c>
      <c r="H158" s="586">
        <v>15250</v>
      </c>
      <c r="I158" s="587">
        <f t="shared" si="27"/>
        <v>-2.2707645436101598E-2</v>
      </c>
      <c r="J158" s="588">
        <v>15250</v>
      </c>
      <c r="K158" s="589">
        <f t="shared" si="28"/>
        <v>8</v>
      </c>
      <c r="N158" s="596">
        <f t="shared" si="33"/>
        <v>0.22</v>
      </c>
      <c r="O158" s="591">
        <v>0</v>
      </c>
      <c r="P158" s="587">
        <f t="shared" si="25"/>
        <v>2.872879427778785E-2</v>
      </c>
      <c r="Q158" s="588">
        <f t="shared" si="21"/>
        <v>3355</v>
      </c>
    </row>
    <row r="159" spans="2:17" outlineLevel="1" x14ac:dyDescent="0.2">
      <c r="B159" s="594">
        <f t="shared" si="26"/>
        <v>128</v>
      </c>
      <c r="C159" s="572" t="str">
        <v>Anillo core, puntos de acceso (ADM/multiplexadores): 2488</v>
      </c>
      <c r="D159" s="571" t="s">
        <v>1503</v>
      </c>
      <c r="E159" s="571" t="s">
        <v>1530</v>
      </c>
      <c r="H159" s="586">
        <v>22900</v>
      </c>
      <c r="I159" s="587">
        <f t="shared" si="27"/>
        <v>-2.2707645436101598E-2</v>
      </c>
      <c r="J159" s="588">
        <v>22900</v>
      </c>
      <c r="K159" s="589">
        <f t="shared" si="28"/>
        <v>8</v>
      </c>
      <c r="N159" s="596">
        <f t="shared" si="33"/>
        <v>0.22</v>
      </c>
      <c r="O159" s="591">
        <v>0</v>
      </c>
      <c r="P159" s="587">
        <f t="shared" si="25"/>
        <v>2.872879427778785E-2</v>
      </c>
      <c r="Q159" s="588">
        <f t="shared" si="21"/>
        <v>5038</v>
      </c>
    </row>
    <row r="160" spans="2:17" outlineLevel="1" x14ac:dyDescent="0.2">
      <c r="B160" s="594">
        <f t="shared" si="26"/>
        <v>129</v>
      </c>
      <c r="C160" s="572" t="str">
        <v>Anillo core, puntos de acceso (ADM/multiplexadores): 9952</v>
      </c>
      <c r="D160" s="571" t="s">
        <v>1503</v>
      </c>
      <c r="E160" s="571" t="s">
        <v>1530</v>
      </c>
      <c r="H160" s="586">
        <v>34400</v>
      </c>
      <c r="I160" s="587">
        <f t="shared" si="27"/>
        <v>-2.2707645436101598E-2</v>
      </c>
      <c r="J160" s="588">
        <v>34400</v>
      </c>
      <c r="K160" s="589">
        <f t="shared" ref="K160:K192" si="34">INDEX(Lifetimes, MATCH($D160, Assets.cost.trend.names, 0))</f>
        <v>8</v>
      </c>
      <c r="N160" s="596">
        <f t="shared" si="33"/>
        <v>0.22</v>
      </c>
      <c r="O160" s="591">
        <v>0</v>
      </c>
      <c r="P160" s="587">
        <f t="shared" ref="P160:P191" si="35">INDEX(Opex.cost.trends, MATCH(D160, Assets.cost.trend.names, 0))</f>
        <v>2.872879427778785E-2</v>
      </c>
      <c r="Q160" s="588">
        <f t="shared" si="21"/>
        <v>7568</v>
      </c>
    </row>
    <row r="161" spans="2:22" outlineLevel="1" x14ac:dyDescent="0.2">
      <c r="B161" s="594">
        <f t="shared" ref="B161:B192" si="36">1+B160</f>
        <v>130</v>
      </c>
      <c r="C161" s="572" t="str">
        <f t="array" ref="C161:C164">"Anillo core, puntos de acceso (ADM/multiplexadores): "&amp;Core.Core.Ethernet.Ladder</f>
        <v>Anillo core, puntos de acceso (ADM/multiplexadores): 1000</v>
      </c>
      <c r="D161" s="571" t="s">
        <v>1503</v>
      </c>
      <c r="E161" s="571" t="s">
        <v>1529</v>
      </c>
      <c r="H161" s="586">
        <v>9000</v>
      </c>
      <c r="I161" s="587">
        <f t="shared" ref="I161:I192" si="37">INDEX(Capex.cost.trends, MATCH($D161, Assets.cost.trend.names, 0))</f>
        <v>-2.2707645436101598E-2</v>
      </c>
      <c r="J161" s="588">
        <v>9000</v>
      </c>
      <c r="K161" s="589">
        <f t="shared" si="34"/>
        <v>8</v>
      </c>
      <c r="N161" s="596">
        <f t="shared" si="33"/>
        <v>0.22</v>
      </c>
      <c r="O161" s="591">
        <v>0</v>
      </c>
      <c r="P161" s="587">
        <f t="shared" si="35"/>
        <v>2.872879427778785E-2</v>
      </c>
      <c r="Q161" s="588">
        <f t="shared" ref="Q161:Q224" si="38">(N161*J161) + (O161*(1+P161)^(RIGHT(J$29,4)-RIGHT(H$29,4)))</f>
        <v>1980</v>
      </c>
    </row>
    <row r="162" spans="2:22" outlineLevel="1" x14ac:dyDescent="0.2">
      <c r="B162" s="594">
        <f t="shared" si="36"/>
        <v>131</v>
      </c>
      <c r="C162" s="572" t="str">
        <v>Anillo core, puntos de acceso (ADM/multiplexadores): 2500</v>
      </c>
      <c r="D162" s="571" t="s">
        <v>1503</v>
      </c>
      <c r="E162" s="571" t="s">
        <v>1529</v>
      </c>
      <c r="H162" s="586">
        <v>18000</v>
      </c>
      <c r="I162" s="587">
        <f t="shared" si="37"/>
        <v>-2.2707645436101598E-2</v>
      </c>
      <c r="J162" s="588">
        <v>18000</v>
      </c>
      <c r="K162" s="589">
        <f t="shared" si="34"/>
        <v>8</v>
      </c>
      <c r="N162" s="596">
        <f t="shared" si="33"/>
        <v>0.22</v>
      </c>
      <c r="O162" s="591">
        <v>0</v>
      </c>
      <c r="P162" s="587">
        <f t="shared" si="35"/>
        <v>2.872879427778785E-2</v>
      </c>
      <c r="Q162" s="588">
        <f t="shared" si="38"/>
        <v>3960</v>
      </c>
    </row>
    <row r="163" spans="2:22" outlineLevel="1" x14ac:dyDescent="0.2">
      <c r="B163" s="594">
        <f t="shared" si="36"/>
        <v>132</v>
      </c>
      <c r="C163" s="572" t="str">
        <v>Anillo core, puntos de acceso (ADM/multiplexadores): 10000</v>
      </c>
      <c r="D163" s="571" t="s">
        <v>1503</v>
      </c>
      <c r="E163" s="571" t="s">
        <v>1529</v>
      </c>
      <c r="H163" s="586">
        <v>27000</v>
      </c>
      <c r="I163" s="587">
        <f t="shared" si="37"/>
        <v>-2.2707645436101598E-2</v>
      </c>
      <c r="J163" s="588">
        <v>27000</v>
      </c>
      <c r="K163" s="589">
        <f t="shared" si="34"/>
        <v>8</v>
      </c>
      <c r="N163" s="596">
        <f t="shared" si="33"/>
        <v>0.22</v>
      </c>
      <c r="O163" s="591">
        <v>0</v>
      </c>
      <c r="P163" s="587">
        <f t="shared" si="35"/>
        <v>2.872879427778785E-2</v>
      </c>
      <c r="Q163" s="588">
        <f t="shared" si="38"/>
        <v>5940</v>
      </c>
    </row>
    <row r="164" spans="2:22" outlineLevel="1" x14ac:dyDescent="0.2">
      <c r="B164" s="594">
        <f t="shared" si="36"/>
        <v>133</v>
      </c>
      <c r="C164" s="572" t="str">
        <v>Anillo core, puntos de acceso (ADM/multiplexadores): 40000</v>
      </c>
      <c r="D164" s="571" t="s">
        <v>1503</v>
      </c>
      <c r="E164" s="571" t="s">
        <v>1529</v>
      </c>
      <c r="H164" s="586">
        <v>54000</v>
      </c>
      <c r="I164" s="587">
        <f t="shared" si="37"/>
        <v>-2.2707645436101598E-2</v>
      </c>
      <c r="J164" s="588">
        <v>54000</v>
      </c>
      <c r="K164" s="589">
        <f t="shared" si="34"/>
        <v>8</v>
      </c>
      <c r="N164" s="596">
        <f t="shared" si="33"/>
        <v>0.22</v>
      </c>
      <c r="O164" s="591">
        <v>0</v>
      </c>
      <c r="P164" s="587">
        <f t="shared" si="35"/>
        <v>2.872879427778785E-2</v>
      </c>
      <c r="Q164" s="588">
        <f t="shared" si="38"/>
        <v>11880</v>
      </c>
      <c r="S164"/>
      <c r="T164"/>
      <c r="U164"/>
      <c r="V164"/>
    </row>
    <row r="165" spans="2:22" outlineLevel="1" x14ac:dyDescent="0.2">
      <c r="B165" s="594">
        <f t="shared" si="36"/>
        <v>134</v>
      </c>
      <c r="C165" s="572" t="s">
        <v>1708</v>
      </c>
      <c r="D165" s="571" t="s">
        <v>1502</v>
      </c>
      <c r="E165" s="571" t="s">
        <v>1528</v>
      </c>
      <c r="H165" s="586">
        <v>12200</v>
      </c>
      <c r="I165" s="587">
        <f t="shared" si="37"/>
        <v>3.9016082220565629E-2</v>
      </c>
      <c r="J165" s="588">
        <v>12200</v>
      </c>
      <c r="K165" s="589">
        <f t="shared" si="34"/>
        <v>20</v>
      </c>
      <c r="N165" s="590">
        <v>0.01</v>
      </c>
      <c r="O165" s="591">
        <v>0</v>
      </c>
      <c r="P165" s="587">
        <f t="shared" si="35"/>
        <v>2.872879427778785E-2</v>
      </c>
      <c r="Q165" s="588">
        <f t="shared" si="38"/>
        <v>122</v>
      </c>
      <c r="S165"/>
      <c r="T165"/>
      <c r="U165"/>
      <c r="V165"/>
    </row>
    <row r="166" spans="2:22" outlineLevel="1" x14ac:dyDescent="0.2">
      <c r="B166" s="594">
        <f t="shared" si="36"/>
        <v>135</v>
      </c>
      <c r="C166" s="572" t="s">
        <v>1575</v>
      </c>
      <c r="D166" s="571" t="s">
        <v>1501</v>
      </c>
      <c r="E166" s="571" t="s">
        <v>1528</v>
      </c>
      <c r="H166" s="586">
        <v>100000</v>
      </c>
      <c r="I166" s="587">
        <f t="shared" si="37"/>
        <v>-2.2707645436101598E-2</v>
      </c>
      <c r="J166" s="588">
        <v>100000</v>
      </c>
      <c r="K166" s="589">
        <f t="shared" si="34"/>
        <v>8</v>
      </c>
      <c r="N166" s="590">
        <v>0.1</v>
      </c>
      <c r="O166" s="591">
        <v>0</v>
      </c>
      <c r="P166" s="587">
        <f t="shared" si="35"/>
        <v>2.872879427778785E-2</v>
      </c>
      <c r="Q166" s="588">
        <f t="shared" si="38"/>
        <v>10000</v>
      </c>
      <c r="S166"/>
      <c r="T166"/>
      <c r="U166"/>
      <c r="V166"/>
    </row>
    <row r="167" spans="2:22" outlineLevel="1" x14ac:dyDescent="0.2">
      <c r="B167" s="594">
        <f t="shared" si="36"/>
        <v>136</v>
      </c>
      <c r="C167" s="601" t="s">
        <v>375</v>
      </c>
      <c r="D167" s="571" t="s">
        <v>1538</v>
      </c>
      <c r="E167" s="571" t="s">
        <v>1524</v>
      </c>
      <c r="H167" s="586">
        <v>544000</v>
      </c>
      <c r="I167" s="587">
        <f t="shared" si="37"/>
        <v>3.9016082220565629E-2</v>
      </c>
      <c r="J167" s="588">
        <v>544000</v>
      </c>
      <c r="K167" s="589">
        <f t="shared" si="34"/>
        <v>25</v>
      </c>
      <c r="N167" s="590">
        <v>0.24</v>
      </c>
      <c r="O167" s="591">
        <v>0</v>
      </c>
      <c r="P167" s="587">
        <f t="shared" si="35"/>
        <v>3.9016082220565629E-2</v>
      </c>
      <c r="Q167" s="588">
        <f t="shared" si="38"/>
        <v>130560</v>
      </c>
      <c r="S167"/>
      <c r="T167"/>
      <c r="U167"/>
      <c r="V167"/>
    </row>
    <row r="168" spans="2:22" ht="12" customHeight="1" outlineLevel="1" x14ac:dyDescent="0.2">
      <c r="B168" s="594">
        <f t="shared" si="36"/>
        <v>137</v>
      </c>
      <c r="C168" s="602" t="str">
        <f t="array" ref="C168:C200">Servers.List</f>
        <v>Asset spare</v>
      </c>
      <c r="D168" s="571" t="s">
        <v>92</v>
      </c>
      <c r="E168" s="571" t="s">
        <v>92</v>
      </c>
      <c r="H168" s="586">
        <v>0</v>
      </c>
      <c r="I168" s="587">
        <f t="shared" si="37"/>
        <v>2.872879427778785E-2</v>
      </c>
      <c r="J168" s="588">
        <v>0</v>
      </c>
      <c r="K168" s="589">
        <f t="shared" si="34"/>
        <v>1</v>
      </c>
      <c r="N168" s="590">
        <v>0</v>
      </c>
      <c r="O168" s="591">
        <v>0</v>
      </c>
      <c r="P168" s="587">
        <f t="shared" si="35"/>
        <v>2.872879427778785E-2</v>
      </c>
      <c r="Q168" s="588">
        <f t="shared" si="38"/>
        <v>0</v>
      </c>
      <c r="S168"/>
      <c r="T168"/>
      <c r="U168"/>
      <c r="V168"/>
    </row>
    <row r="169" spans="2:22" outlineLevel="1" x14ac:dyDescent="0.2">
      <c r="B169" s="594">
        <f t="shared" si="36"/>
        <v>138</v>
      </c>
      <c r="C169" s="602" t="str">
        <v>MSS</v>
      </c>
      <c r="D169" s="571" t="s">
        <v>374</v>
      </c>
      <c r="E169" s="571" t="s">
        <v>1518</v>
      </c>
      <c r="H169" s="586">
        <v>1146000</v>
      </c>
      <c r="I169" s="587">
        <f t="shared" si="37"/>
        <v>-2.2707645436101598E-2</v>
      </c>
      <c r="J169" s="588">
        <v>1146000</v>
      </c>
      <c r="K169" s="589">
        <f t="shared" si="34"/>
        <v>6</v>
      </c>
      <c r="N169" s="590">
        <v>0.23</v>
      </c>
      <c r="O169" s="591">
        <v>0</v>
      </c>
      <c r="P169" s="587">
        <f t="shared" si="35"/>
        <v>2.872879427778785E-2</v>
      </c>
      <c r="Q169" s="588">
        <f t="shared" si="38"/>
        <v>263580</v>
      </c>
      <c r="S169"/>
      <c r="T169"/>
      <c r="U169"/>
      <c r="V169"/>
    </row>
    <row r="170" spans="2:22" outlineLevel="1" x14ac:dyDescent="0.2">
      <c r="B170" s="594">
        <f t="shared" si="36"/>
        <v>139</v>
      </c>
      <c r="C170" s="602" t="str">
        <v>MGW</v>
      </c>
      <c r="D170" s="571" t="s">
        <v>374</v>
      </c>
      <c r="E170" s="571" t="s">
        <v>1533</v>
      </c>
      <c r="H170" s="586">
        <v>534600</v>
      </c>
      <c r="I170" s="587">
        <f t="shared" si="37"/>
        <v>-2.2707645436101598E-2</v>
      </c>
      <c r="J170" s="588">
        <v>534600</v>
      </c>
      <c r="K170" s="589">
        <f t="shared" si="34"/>
        <v>6</v>
      </c>
      <c r="N170" s="596">
        <f>N$169</f>
        <v>0.23</v>
      </c>
      <c r="O170" s="591">
        <v>0</v>
      </c>
      <c r="P170" s="587">
        <f t="shared" si="35"/>
        <v>2.872879427778785E-2</v>
      </c>
      <c r="Q170" s="588">
        <f t="shared" si="38"/>
        <v>122958</v>
      </c>
      <c r="S170"/>
      <c r="T170"/>
      <c r="U170"/>
      <c r="V170"/>
    </row>
    <row r="171" spans="2:22" outlineLevel="1" x14ac:dyDescent="0.2">
      <c r="B171" s="594">
        <f t="shared" si="36"/>
        <v>140</v>
      </c>
      <c r="C171" s="602" t="str">
        <v>SGSN</v>
      </c>
      <c r="D171" s="571" t="s">
        <v>373</v>
      </c>
      <c r="E171" s="571" t="s">
        <v>1512</v>
      </c>
      <c r="H171" s="586">
        <v>777300</v>
      </c>
      <c r="I171" s="587">
        <f t="shared" si="37"/>
        <v>-2.2707645436101598E-2</v>
      </c>
      <c r="J171" s="588">
        <v>777300</v>
      </c>
      <c r="K171" s="589">
        <f t="shared" si="34"/>
        <v>6</v>
      </c>
      <c r="N171" s="590">
        <v>0.33</v>
      </c>
      <c r="O171" s="591">
        <v>0</v>
      </c>
      <c r="P171" s="587">
        <f t="shared" si="35"/>
        <v>2.872879427778785E-2</v>
      </c>
      <c r="Q171" s="588">
        <f t="shared" si="38"/>
        <v>256509</v>
      </c>
      <c r="S171"/>
      <c r="T171"/>
      <c r="U171"/>
      <c r="V171"/>
    </row>
    <row r="172" spans="2:22" ht="12" customHeight="1" outlineLevel="1" x14ac:dyDescent="0.2">
      <c r="B172" s="594">
        <f t="shared" si="36"/>
        <v>141</v>
      </c>
      <c r="C172" s="602" t="str">
        <v>GGSN</v>
      </c>
      <c r="D172" s="571" t="s">
        <v>373</v>
      </c>
      <c r="E172" s="571" t="s">
        <v>1512</v>
      </c>
      <c r="H172" s="586">
        <v>1101400</v>
      </c>
      <c r="I172" s="587">
        <f t="shared" si="37"/>
        <v>-2.2707645436101598E-2</v>
      </c>
      <c r="J172" s="588">
        <v>1101400</v>
      </c>
      <c r="K172" s="589">
        <f t="shared" si="34"/>
        <v>6</v>
      </c>
      <c r="N172" s="596">
        <f>N$171</f>
        <v>0.33</v>
      </c>
      <c r="O172" s="591">
        <v>0</v>
      </c>
      <c r="P172" s="587">
        <f t="shared" si="35"/>
        <v>2.872879427778785E-2</v>
      </c>
      <c r="Q172" s="588">
        <f t="shared" si="38"/>
        <v>363462</v>
      </c>
      <c r="S172"/>
      <c r="T172"/>
      <c r="U172"/>
      <c r="V172"/>
    </row>
    <row r="173" spans="2:22" outlineLevel="1" x14ac:dyDescent="0.2">
      <c r="B173" s="594">
        <f t="shared" si="36"/>
        <v>142</v>
      </c>
      <c r="C173" s="602" t="str">
        <v>LTE MME</v>
      </c>
      <c r="D173" s="571" t="s">
        <v>374</v>
      </c>
      <c r="E173" s="571" t="s">
        <v>1513</v>
      </c>
      <c r="H173" s="586">
        <v>2539000</v>
      </c>
      <c r="I173" s="587">
        <f t="shared" si="37"/>
        <v>-2.2707645436101598E-2</v>
      </c>
      <c r="J173" s="588">
        <v>2539000</v>
      </c>
      <c r="K173" s="589">
        <f t="shared" si="34"/>
        <v>6</v>
      </c>
      <c r="N173" s="596">
        <f t="shared" ref="N173:N177" si="39">N$169</f>
        <v>0.23</v>
      </c>
      <c r="O173" s="591">
        <v>0</v>
      </c>
      <c r="P173" s="587">
        <f t="shared" si="35"/>
        <v>2.872879427778785E-2</v>
      </c>
      <c r="Q173" s="588">
        <f t="shared" si="38"/>
        <v>583970</v>
      </c>
      <c r="S173"/>
      <c r="T173"/>
      <c r="U173"/>
      <c r="V173"/>
    </row>
    <row r="174" spans="2:22" outlineLevel="1" x14ac:dyDescent="0.2">
      <c r="B174" s="594">
        <f t="shared" si="36"/>
        <v>143</v>
      </c>
      <c r="C174" s="602" t="str">
        <v>LTE SGW</v>
      </c>
      <c r="D174" s="571" t="s">
        <v>374</v>
      </c>
      <c r="E174" s="571" t="s">
        <v>1513</v>
      </c>
      <c r="H174" s="586">
        <v>3368000</v>
      </c>
      <c r="I174" s="587">
        <f t="shared" si="37"/>
        <v>-2.2707645436101598E-2</v>
      </c>
      <c r="J174" s="588">
        <v>3368000</v>
      </c>
      <c r="K174" s="589">
        <f t="shared" si="34"/>
        <v>6</v>
      </c>
      <c r="N174" s="596">
        <f t="shared" si="39"/>
        <v>0.23</v>
      </c>
      <c r="O174" s="591">
        <v>0</v>
      </c>
      <c r="P174" s="587">
        <f t="shared" si="35"/>
        <v>2.872879427778785E-2</v>
      </c>
      <c r="Q174" s="588">
        <f t="shared" si="38"/>
        <v>774640</v>
      </c>
      <c r="S174"/>
      <c r="T174"/>
      <c r="U174"/>
      <c r="V174"/>
    </row>
    <row r="175" spans="2:22" outlineLevel="1" x14ac:dyDescent="0.2">
      <c r="B175" s="594">
        <f t="shared" si="36"/>
        <v>144</v>
      </c>
      <c r="C175" s="602" t="str">
        <v>HLR</v>
      </c>
      <c r="D175" s="571" t="s">
        <v>374</v>
      </c>
      <c r="E175" s="571" t="s">
        <v>1524</v>
      </c>
      <c r="H175" s="586">
        <v>1504000</v>
      </c>
      <c r="I175" s="587">
        <f t="shared" si="37"/>
        <v>-2.2707645436101598E-2</v>
      </c>
      <c r="J175" s="588">
        <v>1504000</v>
      </c>
      <c r="K175" s="589">
        <f t="shared" si="34"/>
        <v>6</v>
      </c>
      <c r="N175" s="596">
        <f t="shared" si="39"/>
        <v>0.23</v>
      </c>
      <c r="O175" s="591">
        <v>0</v>
      </c>
      <c r="P175" s="587">
        <f t="shared" si="35"/>
        <v>2.872879427778785E-2</v>
      </c>
      <c r="Q175" s="588">
        <f t="shared" si="38"/>
        <v>345920</v>
      </c>
      <c r="S175"/>
      <c r="T175"/>
      <c r="U175"/>
      <c r="V175"/>
    </row>
    <row r="176" spans="2:22" outlineLevel="1" x14ac:dyDescent="0.2">
      <c r="B176" s="594">
        <f t="shared" si="36"/>
        <v>145</v>
      </c>
      <c r="C176" s="602" t="str">
        <v>AUC</v>
      </c>
      <c r="D176" s="571" t="s">
        <v>374</v>
      </c>
      <c r="E176" s="571" t="s">
        <v>1524</v>
      </c>
      <c r="H176" s="586">
        <v>144600</v>
      </c>
      <c r="I176" s="587">
        <f t="shared" si="37"/>
        <v>-2.2707645436101598E-2</v>
      </c>
      <c r="J176" s="588">
        <v>144600</v>
      </c>
      <c r="K176" s="589">
        <f t="shared" si="34"/>
        <v>6</v>
      </c>
      <c r="N176" s="596">
        <f t="shared" si="39"/>
        <v>0.23</v>
      </c>
      <c r="O176" s="591">
        <v>0</v>
      </c>
      <c r="P176" s="587">
        <f t="shared" si="35"/>
        <v>2.872879427778785E-2</v>
      </c>
      <c r="Q176" s="588">
        <f t="shared" si="38"/>
        <v>33258</v>
      </c>
    </row>
    <row r="177" spans="2:17" outlineLevel="1" x14ac:dyDescent="0.2">
      <c r="B177" s="594">
        <f t="shared" si="36"/>
        <v>146</v>
      </c>
      <c r="C177" s="602" t="str">
        <v>EIR</v>
      </c>
      <c r="D177" s="571" t="s">
        <v>374</v>
      </c>
      <c r="E177" s="571" t="s">
        <v>1524</v>
      </c>
      <c r="H177" s="586">
        <v>546300</v>
      </c>
      <c r="I177" s="587">
        <f t="shared" si="37"/>
        <v>-2.2707645436101598E-2</v>
      </c>
      <c r="J177" s="588">
        <v>546300</v>
      </c>
      <c r="K177" s="589">
        <f t="shared" si="34"/>
        <v>6</v>
      </c>
      <c r="N177" s="596">
        <f t="shared" si="39"/>
        <v>0.23</v>
      </c>
      <c r="O177" s="591">
        <v>0</v>
      </c>
      <c r="P177" s="587">
        <f t="shared" si="35"/>
        <v>2.872879427778785E-2</v>
      </c>
      <c r="Q177" s="588">
        <f t="shared" si="38"/>
        <v>125649</v>
      </c>
    </row>
    <row r="178" spans="2:17" outlineLevel="1" x14ac:dyDescent="0.2">
      <c r="B178" s="594">
        <f t="shared" si="36"/>
        <v>147</v>
      </c>
      <c r="C178" s="602" t="str">
        <v>IN (SCP+SMP)</v>
      </c>
      <c r="D178" s="571" t="s">
        <v>373</v>
      </c>
      <c r="E178" s="571" t="s">
        <v>1523</v>
      </c>
      <c r="H178" s="586">
        <v>1356000</v>
      </c>
      <c r="I178" s="587">
        <f t="shared" si="37"/>
        <v>-2.2707645436101598E-2</v>
      </c>
      <c r="J178" s="588">
        <v>1356000</v>
      </c>
      <c r="K178" s="589">
        <f t="shared" si="34"/>
        <v>6</v>
      </c>
      <c r="N178" s="596">
        <f t="shared" ref="N178:N182" si="40">N$171</f>
        <v>0.33</v>
      </c>
      <c r="O178" s="591">
        <v>0</v>
      </c>
      <c r="P178" s="587">
        <f t="shared" si="35"/>
        <v>2.872879427778785E-2</v>
      </c>
      <c r="Q178" s="588">
        <f t="shared" si="38"/>
        <v>447480</v>
      </c>
    </row>
    <row r="179" spans="2:17" outlineLevel="1" x14ac:dyDescent="0.2">
      <c r="B179" s="594">
        <f t="shared" si="36"/>
        <v>148</v>
      </c>
      <c r="C179" s="613" t="str">
        <v>Asset spare</v>
      </c>
      <c r="D179" s="571" t="s">
        <v>92</v>
      </c>
      <c r="E179" s="571" t="s">
        <v>92</v>
      </c>
      <c r="H179" s="586">
        <v>0</v>
      </c>
      <c r="I179" s="587">
        <f t="shared" si="37"/>
        <v>2.872879427778785E-2</v>
      </c>
      <c r="J179" s="588">
        <v>0</v>
      </c>
      <c r="K179" s="589">
        <f t="shared" si="34"/>
        <v>1</v>
      </c>
      <c r="N179" s="596">
        <f t="shared" si="40"/>
        <v>0.33</v>
      </c>
      <c r="O179" s="591">
        <v>0</v>
      </c>
      <c r="P179" s="587">
        <f t="shared" si="35"/>
        <v>2.872879427778785E-2</v>
      </c>
      <c r="Q179" s="588">
        <f t="shared" si="38"/>
        <v>0</v>
      </c>
    </row>
    <row r="180" spans="2:17" outlineLevel="1" x14ac:dyDescent="0.2">
      <c r="B180" s="594">
        <f t="shared" si="36"/>
        <v>149</v>
      </c>
      <c r="C180" s="613" t="str">
        <v>Asset spare</v>
      </c>
      <c r="D180" s="571" t="s">
        <v>92</v>
      </c>
      <c r="E180" s="571" t="s">
        <v>92</v>
      </c>
      <c r="H180" s="586">
        <v>0</v>
      </c>
      <c r="I180" s="587">
        <f t="shared" si="37"/>
        <v>2.872879427778785E-2</v>
      </c>
      <c r="J180" s="588">
        <v>0</v>
      </c>
      <c r="K180" s="589">
        <f t="shared" si="34"/>
        <v>1</v>
      </c>
      <c r="N180" s="596">
        <f t="shared" si="40"/>
        <v>0.33</v>
      </c>
      <c r="O180" s="591">
        <v>0</v>
      </c>
      <c r="P180" s="587">
        <f t="shared" si="35"/>
        <v>2.872879427778785E-2</v>
      </c>
      <c r="Q180" s="588">
        <f t="shared" si="38"/>
        <v>0</v>
      </c>
    </row>
    <row r="181" spans="2:17" outlineLevel="1" x14ac:dyDescent="0.2">
      <c r="B181" s="594">
        <f t="shared" si="36"/>
        <v>150</v>
      </c>
      <c r="C181" s="602" t="str">
        <v>SMSC</v>
      </c>
      <c r="D181" s="571" t="s">
        <v>373</v>
      </c>
      <c r="E181" s="571" t="s">
        <v>1521</v>
      </c>
      <c r="H181" s="586">
        <v>837900</v>
      </c>
      <c r="I181" s="587">
        <f t="shared" si="37"/>
        <v>-2.2707645436101598E-2</v>
      </c>
      <c r="J181" s="588">
        <v>837900</v>
      </c>
      <c r="K181" s="589">
        <f t="shared" si="34"/>
        <v>6</v>
      </c>
      <c r="N181" s="596">
        <f t="shared" si="40"/>
        <v>0.33</v>
      </c>
      <c r="O181" s="591">
        <v>0</v>
      </c>
      <c r="P181" s="587">
        <f t="shared" si="35"/>
        <v>2.872879427778785E-2</v>
      </c>
      <c r="Q181" s="588">
        <f t="shared" si="38"/>
        <v>276507</v>
      </c>
    </row>
    <row r="182" spans="2:17" outlineLevel="1" x14ac:dyDescent="0.2">
      <c r="B182" s="594">
        <f t="shared" si="36"/>
        <v>151</v>
      </c>
      <c r="C182" s="602" t="str">
        <v>MMSC</v>
      </c>
      <c r="D182" s="571" t="s">
        <v>373</v>
      </c>
      <c r="E182" s="571" t="s">
        <v>1521</v>
      </c>
      <c r="H182" s="586">
        <v>808000</v>
      </c>
      <c r="I182" s="587">
        <f t="shared" si="37"/>
        <v>-2.2707645436101598E-2</v>
      </c>
      <c r="J182" s="588">
        <v>808000</v>
      </c>
      <c r="K182" s="589">
        <f t="shared" si="34"/>
        <v>6</v>
      </c>
      <c r="N182" s="596">
        <f t="shared" si="40"/>
        <v>0.33</v>
      </c>
      <c r="O182" s="591">
        <v>0</v>
      </c>
      <c r="P182" s="587">
        <f t="shared" si="35"/>
        <v>2.872879427778785E-2</v>
      </c>
      <c r="Q182" s="588">
        <f t="shared" si="38"/>
        <v>266640</v>
      </c>
    </row>
    <row r="183" spans="2:17" outlineLevel="1" x14ac:dyDescent="0.2">
      <c r="B183" s="594">
        <f t="shared" si="36"/>
        <v>152</v>
      </c>
      <c r="C183" s="602" t="str">
        <v>Asset spare</v>
      </c>
      <c r="D183" s="571" t="s">
        <v>92</v>
      </c>
      <c r="E183" s="571" t="s">
        <v>92</v>
      </c>
      <c r="H183" s="586">
        <v>0</v>
      </c>
      <c r="I183" s="587">
        <f t="shared" si="37"/>
        <v>2.872879427778785E-2</v>
      </c>
      <c r="J183" s="588">
        <v>0</v>
      </c>
      <c r="K183" s="589">
        <f t="shared" si="34"/>
        <v>1</v>
      </c>
      <c r="N183" s="590">
        <v>0</v>
      </c>
      <c r="O183" s="591">
        <v>0</v>
      </c>
      <c r="P183" s="587">
        <f t="shared" si="35"/>
        <v>2.872879427778785E-2</v>
      </c>
      <c r="Q183" s="588">
        <f t="shared" si="38"/>
        <v>0</v>
      </c>
    </row>
    <row r="184" spans="2:17" outlineLevel="1" x14ac:dyDescent="0.2">
      <c r="B184" s="594">
        <f t="shared" si="36"/>
        <v>153</v>
      </c>
      <c r="C184" s="602" t="str">
        <v>MSC/MGW STM1 ports for voice traffic</v>
      </c>
      <c r="D184" s="571" t="s">
        <v>1504</v>
      </c>
      <c r="E184" s="571" t="s">
        <v>1517</v>
      </c>
      <c r="H184" s="586">
        <v>10500</v>
      </c>
      <c r="I184" s="587">
        <f t="shared" si="37"/>
        <v>-2.2707645436101598E-2</v>
      </c>
      <c r="J184" s="588">
        <v>10500</v>
      </c>
      <c r="K184" s="589">
        <f t="shared" si="34"/>
        <v>8</v>
      </c>
      <c r="N184" s="590">
        <v>0.23</v>
      </c>
      <c r="O184" s="591">
        <v>0</v>
      </c>
      <c r="P184" s="587">
        <f t="shared" si="35"/>
        <v>2.872879427778785E-2</v>
      </c>
      <c r="Q184" s="588">
        <f t="shared" si="38"/>
        <v>2415</v>
      </c>
    </row>
    <row r="185" spans="2:17" outlineLevel="1" x14ac:dyDescent="0.2">
      <c r="B185" s="594">
        <f t="shared" si="36"/>
        <v>154</v>
      </c>
      <c r="C185" s="602" t="str">
        <v>PoI STM1 Gateway</v>
      </c>
      <c r="D185" s="571" t="s">
        <v>374</v>
      </c>
      <c r="E185" s="571" t="s">
        <v>1525</v>
      </c>
      <c r="H185" s="586">
        <v>25200</v>
      </c>
      <c r="I185" s="587">
        <f t="shared" si="37"/>
        <v>-2.2707645436101598E-2</v>
      </c>
      <c r="J185" s="588">
        <v>25200</v>
      </c>
      <c r="K185" s="589">
        <f t="shared" si="34"/>
        <v>6</v>
      </c>
      <c r="N185" s="596">
        <f t="shared" ref="N185" si="41">N$169</f>
        <v>0.23</v>
      </c>
      <c r="O185" s="591">
        <v>0</v>
      </c>
      <c r="P185" s="587">
        <f t="shared" si="35"/>
        <v>2.872879427778785E-2</v>
      </c>
      <c r="Q185" s="588">
        <f t="shared" si="38"/>
        <v>5796</v>
      </c>
    </row>
    <row r="186" spans="2:17" outlineLevel="1" x14ac:dyDescent="0.2">
      <c r="B186" s="594">
        <f t="shared" si="36"/>
        <v>155</v>
      </c>
      <c r="C186" s="602" t="str">
        <v>I-SBC</v>
      </c>
      <c r="D186" s="571" t="s">
        <v>373</v>
      </c>
      <c r="E186" s="571" t="s">
        <v>1525</v>
      </c>
      <c r="H186" s="586">
        <v>94900</v>
      </c>
      <c r="I186" s="587">
        <f t="shared" si="37"/>
        <v>-2.2707645436101598E-2</v>
      </c>
      <c r="J186" s="588">
        <v>94900</v>
      </c>
      <c r="K186" s="589">
        <f t="shared" si="34"/>
        <v>6</v>
      </c>
      <c r="N186" s="596">
        <f>N$171</f>
        <v>0.33</v>
      </c>
      <c r="O186" s="591">
        <v>0</v>
      </c>
      <c r="P186" s="587">
        <f t="shared" si="35"/>
        <v>2.872879427778785E-2</v>
      </c>
      <c r="Q186" s="588">
        <f t="shared" si="38"/>
        <v>31317</v>
      </c>
    </row>
    <row r="187" spans="2:17" outlineLevel="1" x14ac:dyDescent="0.2">
      <c r="B187" s="594">
        <f t="shared" si="36"/>
        <v>156</v>
      </c>
      <c r="C187" s="602" t="str">
        <v>Asset spare</v>
      </c>
      <c r="D187" s="571" t="s">
        <v>92</v>
      </c>
      <c r="E187" s="571" t="s">
        <v>92</v>
      </c>
      <c r="H187" s="586">
        <v>0</v>
      </c>
      <c r="I187" s="587">
        <f t="shared" si="37"/>
        <v>2.872879427778785E-2</v>
      </c>
      <c r="J187" s="588">
        <v>0</v>
      </c>
      <c r="K187" s="589">
        <f t="shared" si="34"/>
        <v>1</v>
      </c>
      <c r="N187" s="590">
        <v>0</v>
      </c>
      <c r="O187" s="591">
        <v>0</v>
      </c>
      <c r="P187" s="587">
        <f t="shared" si="35"/>
        <v>2.872879427778785E-2</v>
      </c>
      <c r="Q187" s="588">
        <f t="shared" si="38"/>
        <v>0</v>
      </c>
    </row>
    <row r="188" spans="2:17" outlineLevel="1" x14ac:dyDescent="0.2">
      <c r="B188" s="594">
        <f t="shared" si="36"/>
        <v>157</v>
      </c>
      <c r="C188" s="602" t="str">
        <v>MSS software</v>
      </c>
      <c r="D188" s="571" t="s">
        <v>509</v>
      </c>
      <c r="E188" s="571" t="s">
        <v>1518</v>
      </c>
      <c r="H188" s="586">
        <v>343000</v>
      </c>
      <c r="I188" s="587">
        <f t="shared" si="37"/>
        <v>-2.2707645436101598E-2</v>
      </c>
      <c r="J188" s="588">
        <v>343000</v>
      </c>
      <c r="K188" s="589">
        <f t="shared" si="34"/>
        <v>6</v>
      </c>
      <c r="N188" s="590">
        <v>0.35</v>
      </c>
      <c r="O188" s="591">
        <v>0</v>
      </c>
      <c r="P188" s="587">
        <f t="shared" si="35"/>
        <v>2.872879427778785E-2</v>
      </c>
      <c r="Q188" s="588">
        <f t="shared" si="38"/>
        <v>120049.99999999999</v>
      </c>
    </row>
    <row r="189" spans="2:17" ht="12" customHeight="1" outlineLevel="1" x14ac:dyDescent="0.2">
      <c r="B189" s="594">
        <f t="shared" si="36"/>
        <v>158</v>
      </c>
      <c r="C189" s="602" t="str">
        <v>SGSN software</v>
      </c>
      <c r="D189" s="571" t="s">
        <v>509</v>
      </c>
      <c r="E189" s="571" t="s">
        <v>1512</v>
      </c>
      <c r="H189" s="586">
        <v>2090</v>
      </c>
      <c r="I189" s="587">
        <f t="shared" si="37"/>
        <v>-2.2707645436101598E-2</v>
      </c>
      <c r="J189" s="588">
        <v>2090</v>
      </c>
      <c r="K189" s="589">
        <f t="shared" si="34"/>
        <v>6</v>
      </c>
      <c r="N189" s="596">
        <f>N$188</f>
        <v>0.35</v>
      </c>
      <c r="O189" s="591">
        <v>0</v>
      </c>
      <c r="P189" s="587">
        <f t="shared" si="35"/>
        <v>2.872879427778785E-2</v>
      </c>
      <c r="Q189" s="588">
        <f t="shared" si="38"/>
        <v>731.5</v>
      </c>
    </row>
    <row r="190" spans="2:17" outlineLevel="1" x14ac:dyDescent="0.2">
      <c r="B190" s="594">
        <f t="shared" si="36"/>
        <v>159</v>
      </c>
      <c r="C190" s="602" t="str">
        <v>GGSN software</v>
      </c>
      <c r="D190" s="571" t="s">
        <v>509</v>
      </c>
      <c r="E190" s="571" t="s">
        <v>1512</v>
      </c>
      <c r="H190" s="586">
        <v>3200</v>
      </c>
      <c r="I190" s="587">
        <f t="shared" si="37"/>
        <v>-2.2707645436101598E-2</v>
      </c>
      <c r="J190" s="588">
        <v>3200</v>
      </c>
      <c r="K190" s="589">
        <f t="shared" si="34"/>
        <v>6</v>
      </c>
      <c r="N190" s="596">
        <f t="shared" ref="N190:N193" si="42">N$188</f>
        <v>0.35</v>
      </c>
      <c r="O190" s="591">
        <v>0</v>
      </c>
      <c r="P190" s="587">
        <f t="shared" si="35"/>
        <v>2.872879427778785E-2</v>
      </c>
      <c r="Q190" s="588">
        <f t="shared" si="38"/>
        <v>1120</v>
      </c>
    </row>
    <row r="191" spans="2:17" outlineLevel="1" x14ac:dyDescent="0.2">
      <c r="B191" s="594">
        <f t="shared" si="36"/>
        <v>160</v>
      </c>
      <c r="C191" s="602" t="str">
        <v>MME software</v>
      </c>
      <c r="D191" s="571" t="s">
        <v>509</v>
      </c>
      <c r="E191" s="571" t="s">
        <v>1513</v>
      </c>
      <c r="H191" s="586">
        <v>591500</v>
      </c>
      <c r="I191" s="587">
        <f t="shared" si="37"/>
        <v>-2.2707645436101598E-2</v>
      </c>
      <c r="J191" s="588">
        <v>591500</v>
      </c>
      <c r="K191" s="589">
        <f t="shared" si="34"/>
        <v>6</v>
      </c>
      <c r="N191" s="596">
        <f t="shared" si="42"/>
        <v>0.35</v>
      </c>
      <c r="O191" s="591">
        <v>0</v>
      </c>
      <c r="P191" s="587">
        <f t="shared" si="35"/>
        <v>2.872879427778785E-2</v>
      </c>
      <c r="Q191" s="588">
        <f t="shared" si="38"/>
        <v>207025</v>
      </c>
    </row>
    <row r="192" spans="2:17" outlineLevel="1" x14ac:dyDescent="0.2">
      <c r="B192" s="594">
        <f t="shared" si="36"/>
        <v>161</v>
      </c>
      <c r="C192" s="602" t="str">
        <v>SGW software</v>
      </c>
      <c r="D192" s="571" t="s">
        <v>509</v>
      </c>
      <c r="E192" s="571" t="s">
        <v>1513</v>
      </c>
      <c r="H192" s="586">
        <v>1480</v>
      </c>
      <c r="I192" s="587">
        <f t="shared" si="37"/>
        <v>-2.2707645436101598E-2</v>
      </c>
      <c r="J192" s="588">
        <v>1480</v>
      </c>
      <c r="K192" s="589">
        <f t="shared" si="34"/>
        <v>6</v>
      </c>
      <c r="N192" s="596">
        <f t="shared" si="42"/>
        <v>0.35</v>
      </c>
      <c r="O192" s="591">
        <v>0</v>
      </c>
      <c r="P192" s="587">
        <f t="shared" ref="P192:P223" si="43">INDEX(Opex.cost.trends, MATCH(D192, Assets.cost.trend.names, 0))</f>
        <v>2.872879427778785E-2</v>
      </c>
      <c r="Q192" s="588">
        <f t="shared" si="38"/>
        <v>518</v>
      </c>
    </row>
    <row r="193" spans="2:17" outlineLevel="1" x14ac:dyDescent="0.2">
      <c r="B193" s="594">
        <f t="shared" ref="B193:B224" si="44">1+B192</f>
        <v>162</v>
      </c>
      <c r="C193" s="602" t="str">
        <v>HLR software</v>
      </c>
      <c r="D193" s="571" t="s">
        <v>509</v>
      </c>
      <c r="E193" s="571" t="s">
        <v>1524</v>
      </c>
      <c r="H193" s="586">
        <v>1100</v>
      </c>
      <c r="I193" s="587">
        <f t="shared" ref="I193:I224" si="45">INDEX(Capex.cost.trends, MATCH($D193, Assets.cost.trend.names, 0))</f>
        <v>-2.2707645436101598E-2</v>
      </c>
      <c r="J193" s="588">
        <v>1100</v>
      </c>
      <c r="K193" s="589">
        <f t="shared" ref="K193:K223" si="46">INDEX(Lifetimes, MATCH($D193, Assets.cost.trend.names, 0))</f>
        <v>6</v>
      </c>
      <c r="N193" s="596">
        <f t="shared" si="42"/>
        <v>0.35</v>
      </c>
      <c r="O193" s="591">
        <v>0</v>
      </c>
      <c r="P193" s="587">
        <f t="shared" si="43"/>
        <v>2.872879427778785E-2</v>
      </c>
      <c r="Q193" s="588">
        <f t="shared" si="38"/>
        <v>385</v>
      </c>
    </row>
    <row r="194" spans="2:17" outlineLevel="1" x14ac:dyDescent="0.2">
      <c r="B194" s="594">
        <f t="shared" si="44"/>
        <v>163</v>
      </c>
      <c r="C194" s="602" t="str">
        <v>Call server – hardware</v>
      </c>
      <c r="D194" s="571" t="s">
        <v>373</v>
      </c>
      <c r="E194" s="571" t="s">
        <v>1515</v>
      </c>
      <c r="H194" s="586">
        <v>2650000</v>
      </c>
      <c r="I194" s="587">
        <f t="shared" si="45"/>
        <v>-2.2707645436101598E-2</v>
      </c>
      <c r="J194" s="588">
        <v>2650000</v>
      </c>
      <c r="K194" s="589">
        <f t="shared" si="46"/>
        <v>6</v>
      </c>
      <c r="N194" s="596">
        <f>N$171</f>
        <v>0.33</v>
      </c>
      <c r="O194" s="591">
        <v>0</v>
      </c>
      <c r="P194" s="587">
        <f t="shared" si="43"/>
        <v>2.872879427778785E-2</v>
      </c>
      <c r="Q194" s="588">
        <f t="shared" si="38"/>
        <v>874500</v>
      </c>
    </row>
    <row r="195" spans="2:17" outlineLevel="1" x14ac:dyDescent="0.2">
      <c r="B195" s="594">
        <f t="shared" si="44"/>
        <v>164</v>
      </c>
      <c r="C195" s="602" t="str">
        <v>Call server – software</v>
      </c>
      <c r="D195" s="571" t="s">
        <v>509</v>
      </c>
      <c r="E195" s="571" t="s">
        <v>1515</v>
      </c>
      <c r="H195" s="586">
        <v>3175</v>
      </c>
      <c r="I195" s="587">
        <f t="shared" si="45"/>
        <v>-2.2707645436101598E-2</v>
      </c>
      <c r="J195" s="588">
        <v>3175</v>
      </c>
      <c r="K195" s="589">
        <f t="shared" si="46"/>
        <v>6</v>
      </c>
      <c r="N195" s="596">
        <f>N$188</f>
        <v>0.35</v>
      </c>
      <c r="O195" s="591">
        <v>0</v>
      </c>
      <c r="P195" s="587">
        <f t="shared" si="43"/>
        <v>2.872879427778785E-2</v>
      </c>
      <c r="Q195" s="588">
        <f t="shared" si="38"/>
        <v>1111.25</v>
      </c>
    </row>
    <row r="196" spans="2:17" outlineLevel="1" x14ac:dyDescent="0.2">
      <c r="B196" s="594">
        <f t="shared" si="44"/>
        <v>165</v>
      </c>
      <c r="C196" s="602" t="str">
        <v>Telephony Application Server (TAS)</v>
      </c>
      <c r="D196" s="571" t="s">
        <v>373</v>
      </c>
      <c r="E196" s="571" t="s">
        <v>1515</v>
      </c>
      <c r="H196" s="586">
        <v>63258</v>
      </c>
      <c r="I196" s="587">
        <f t="shared" si="45"/>
        <v>-2.2707645436101598E-2</v>
      </c>
      <c r="J196" s="588">
        <v>63258</v>
      </c>
      <c r="K196" s="589">
        <f t="shared" si="46"/>
        <v>6</v>
      </c>
      <c r="N196" s="596">
        <f t="shared" ref="N196:N197" si="47">N$171</f>
        <v>0.33</v>
      </c>
      <c r="O196" s="591">
        <v>0</v>
      </c>
      <c r="P196" s="587">
        <f t="shared" si="43"/>
        <v>2.872879427778785E-2</v>
      </c>
      <c r="Q196" s="588">
        <f t="shared" si="38"/>
        <v>20875.14</v>
      </c>
    </row>
    <row r="197" spans="2:17" outlineLevel="1" x14ac:dyDescent="0.2">
      <c r="B197" s="594">
        <f t="shared" si="44"/>
        <v>166</v>
      </c>
      <c r="C197" s="602" t="str">
        <v>Session border controller (SBC) – hardware</v>
      </c>
      <c r="D197" s="571" t="s">
        <v>373</v>
      </c>
      <c r="E197" s="571" t="s">
        <v>1515</v>
      </c>
      <c r="H197" s="586">
        <v>637400</v>
      </c>
      <c r="I197" s="587">
        <f t="shared" si="45"/>
        <v>-2.2707645436101598E-2</v>
      </c>
      <c r="J197" s="588">
        <v>637400</v>
      </c>
      <c r="K197" s="589">
        <f t="shared" si="46"/>
        <v>6</v>
      </c>
      <c r="N197" s="596">
        <f t="shared" si="47"/>
        <v>0.33</v>
      </c>
      <c r="O197" s="591">
        <v>0</v>
      </c>
      <c r="P197" s="587">
        <f t="shared" si="43"/>
        <v>2.872879427778785E-2</v>
      </c>
      <c r="Q197" s="588">
        <f t="shared" si="38"/>
        <v>210342</v>
      </c>
    </row>
    <row r="198" spans="2:17" outlineLevel="1" x14ac:dyDescent="0.2">
      <c r="B198" s="594">
        <f t="shared" si="44"/>
        <v>167</v>
      </c>
      <c r="C198" s="602" t="str">
        <v>Session border controller (SBC) – software</v>
      </c>
      <c r="D198" s="571" t="s">
        <v>509</v>
      </c>
      <c r="E198" s="571" t="s">
        <v>1515</v>
      </c>
      <c r="H198" s="586">
        <v>2590400</v>
      </c>
      <c r="I198" s="587">
        <f t="shared" si="45"/>
        <v>-2.2707645436101598E-2</v>
      </c>
      <c r="J198" s="588">
        <v>2590400</v>
      </c>
      <c r="K198" s="589">
        <f t="shared" si="46"/>
        <v>6</v>
      </c>
      <c r="N198" s="596">
        <f>N$188</f>
        <v>0.35</v>
      </c>
      <c r="O198" s="591">
        <v>0</v>
      </c>
      <c r="P198" s="587">
        <f t="shared" si="43"/>
        <v>2.872879427778785E-2</v>
      </c>
      <c r="Q198" s="588">
        <f t="shared" si="38"/>
        <v>906640</v>
      </c>
    </row>
    <row r="199" spans="2:17" outlineLevel="1" x14ac:dyDescent="0.2">
      <c r="B199" s="594">
        <f t="shared" si="44"/>
        <v>168</v>
      </c>
      <c r="C199" s="602" t="str">
        <v>PCC</v>
      </c>
      <c r="D199" s="571" t="s">
        <v>373</v>
      </c>
      <c r="E199" s="571" t="s">
        <v>1515</v>
      </c>
      <c r="H199" s="586">
        <v>20000</v>
      </c>
      <c r="I199" s="587">
        <f t="shared" si="45"/>
        <v>-2.2707645436101598E-2</v>
      </c>
      <c r="J199" s="588">
        <v>20000</v>
      </c>
      <c r="K199" s="589">
        <f t="shared" si="46"/>
        <v>6</v>
      </c>
      <c r="N199" s="596">
        <f t="shared" ref="N199:N200" si="48">N$171</f>
        <v>0.33</v>
      </c>
      <c r="O199" s="591">
        <v>0</v>
      </c>
      <c r="P199" s="587">
        <f t="shared" si="43"/>
        <v>2.872879427778785E-2</v>
      </c>
      <c r="Q199" s="588">
        <f t="shared" si="38"/>
        <v>6600</v>
      </c>
    </row>
    <row r="200" spans="2:17" outlineLevel="1" x14ac:dyDescent="0.2">
      <c r="B200" s="594">
        <f t="shared" si="44"/>
        <v>169</v>
      </c>
      <c r="C200" s="584" t="str">
        <v>MGCF</v>
      </c>
      <c r="D200" s="571" t="s">
        <v>373</v>
      </c>
      <c r="E200" s="571" t="s">
        <v>1515</v>
      </c>
      <c r="H200" s="586">
        <v>20000</v>
      </c>
      <c r="I200" s="587">
        <f t="shared" si="45"/>
        <v>-2.2707645436101598E-2</v>
      </c>
      <c r="J200" s="588">
        <v>20000</v>
      </c>
      <c r="K200" s="589">
        <f t="shared" si="46"/>
        <v>6</v>
      </c>
      <c r="N200" s="596">
        <f t="shared" si="48"/>
        <v>0.33</v>
      </c>
      <c r="O200" s="591">
        <v>0</v>
      </c>
      <c r="P200" s="587">
        <f t="shared" si="43"/>
        <v>2.872879427778785E-2</v>
      </c>
      <c r="Q200" s="588">
        <f t="shared" si="38"/>
        <v>6600</v>
      </c>
    </row>
    <row r="201" spans="2:17" outlineLevel="1" x14ac:dyDescent="0.2">
      <c r="B201" s="594">
        <f t="shared" si="44"/>
        <v>170</v>
      </c>
      <c r="C201" s="603" t="s">
        <v>1576</v>
      </c>
      <c r="D201" s="571" t="s">
        <v>1504</v>
      </c>
      <c r="E201" s="571" t="s">
        <v>1507</v>
      </c>
      <c r="H201" s="586">
        <v>42</v>
      </c>
      <c r="I201" s="587">
        <f t="shared" si="45"/>
        <v>-2.2707645436101598E-2</v>
      </c>
      <c r="J201" s="588">
        <v>42</v>
      </c>
      <c r="K201" s="589">
        <f t="shared" si="46"/>
        <v>8</v>
      </c>
      <c r="N201" s="590">
        <v>0.37</v>
      </c>
      <c r="O201" s="591">
        <v>0</v>
      </c>
      <c r="P201" s="587">
        <f t="shared" si="43"/>
        <v>2.872879427778785E-2</v>
      </c>
      <c r="Q201" s="588">
        <f t="shared" si="38"/>
        <v>15.54</v>
      </c>
    </row>
    <row r="202" spans="2:17" outlineLevel="1" x14ac:dyDescent="0.2">
      <c r="B202" s="594">
        <f t="shared" si="44"/>
        <v>171</v>
      </c>
      <c r="C202" s="603" t="s">
        <v>1577</v>
      </c>
      <c r="D202" s="571" t="s">
        <v>1504</v>
      </c>
      <c r="E202" s="571" t="s">
        <v>1507</v>
      </c>
      <c r="H202" s="586">
        <v>21</v>
      </c>
      <c r="I202" s="587">
        <f t="shared" si="45"/>
        <v>-2.2707645436101598E-2</v>
      </c>
      <c r="J202" s="588">
        <v>21</v>
      </c>
      <c r="K202" s="589">
        <f t="shared" si="46"/>
        <v>8</v>
      </c>
      <c r="N202" s="596">
        <f>N201</f>
        <v>0.37</v>
      </c>
      <c r="O202" s="591">
        <v>0</v>
      </c>
      <c r="P202" s="587">
        <f t="shared" si="43"/>
        <v>2.872879427778785E-2</v>
      </c>
      <c r="Q202" s="588">
        <f t="shared" si="38"/>
        <v>7.77</v>
      </c>
    </row>
    <row r="203" spans="2:17" outlineLevel="1" x14ac:dyDescent="0.2">
      <c r="B203" s="594">
        <f t="shared" si="44"/>
        <v>172</v>
      </c>
      <c r="C203" s="603" t="s">
        <v>1578</v>
      </c>
      <c r="D203" s="571" t="s">
        <v>1504</v>
      </c>
      <c r="E203" s="571" t="s">
        <v>1509</v>
      </c>
      <c r="H203" s="586">
        <v>46</v>
      </c>
      <c r="I203" s="587">
        <f t="shared" si="45"/>
        <v>-2.2707645436101598E-2</v>
      </c>
      <c r="J203" s="588">
        <v>46</v>
      </c>
      <c r="K203" s="589">
        <f t="shared" si="46"/>
        <v>8</v>
      </c>
      <c r="N203" s="596">
        <f t="shared" ref="N203:N230" si="49">N202</f>
        <v>0.37</v>
      </c>
      <c r="O203" s="591">
        <v>0</v>
      </c>
      <c r="P203" s="587">
        <f t="shared" si="43"/>
        <v>2.872879427778785E-2</v>
      </c>
      <c r="Q203" s="588">
        <f t="shared" si="38"/>
        <v>17.02</v>
      </c>
    </row>
    <row r="204" spans="2:17" outlineLevel="1" x14ac:dyDescent="0.2">
      <c r="B204" s="594">
        <f t="shared" si="44"/>
        <v>173</v>
      </c>
      <c r="C204" s="603" t="s">
        <v>1579</v>
      </c>
      <c r="D204" s="571" t="s">
        <v>1504</v>
      </c>
      <c r="E204" s="571" t="s">
        <v>1509</v>
      </c>
      <c r="H204" s="586">
        <v>23</v>
      </c>
      <c r="I204" s="587">
        <f t="shared" si="45"/>
        <v>-2.2707645436101598E-2</v>
      </c>
      <c r="J204" s="588">
        <v>23</v>
      </c>
      <c r="K204" s="589">
        <f t="shared" si="46"/>
        <v>8</v>
      </c>
      <c r="N204" s="596">
        <f t="shared" si="49"/>
        <v>0.37</v>
      </c>
      <c r="O204" s="591">
        <v>0</v>
      </c>
      <c r="P204" s="587">
        <f t="shared" si="43"/>
        <v>2.872879427778785E-2</v>
      </c>
      <c r="Q204" s="588">
        <f t="shared" si="38"/>
        <v>8.51</v>
      </c>
    </row>
    <row r="205" spans="2:17" outlineLevel="1" x14ac:dyDescent="0.2">
      <c r="B205" s="594">
        <f t="shared" si="44"/>
        <v>174</v>
      </c>
      <c r="C205" s="603" t="s">
        <v>1580</v>
      </c>
      <c r="D205" s="571" t="s">
        <v>1504</v>
      </c>
      <c r="E205" s="571" t="s">
        <v>1510</v>
      </c>
      <c r="H205" s="586">
        <v>46</v>
      </c>
      <c r="I205" s="587">
        <f t="shared" si="45"/>
        <v>-2.2707645436101598E-2</v>
      </c>
      <c r="J205" s="588">
        <v>46</v>
      </c>
      <c r="K205" s="589">
        <f t="shared" si="46"/>
        <v>8</v>
      </c>
      <c r="N205" s="596">
        <f t="shared" si="49"/>
        <v>0.37</v>
      </c>
      <c r="O205" s="591">
        <v>0</v>
      </c>
      <c r="P205" s="587">
        <f t="shared" si="43"/>
        <v>2.872879427778785E-2</v>
      </c>
      <c r="Q205" s="588">
        <f t="shared" si="38"/>
        <v>17.02</v>
      </c>
    </row>
    <row r="206" spans="2:17" outlineLevel="1" x14ac:dyDescent="0.2">
      <c r="B206" s="594">
        <f t="shared" si="44"/>
        <v>175</v>
      </c>
      <c r="C206" s="603" t="s">
        <v>1581</v>
      </c>
      <c r="D206" s="571" t="s">
        <v>1504</v>
      </c>
      <c r="E206" s="571" t="s">
        <v>1510</v>
      </c>
      <c r="H206" s="586">
        <v>23</v>
      </c>
      <c r="I206" s="587">
        <f t="shared" si="45"/>
        <v>-2.2707645436101598E-2</v>
      </c>
      <c r="J206" s="588">
        <v>23</v>
      </c>
      <c r="K206" s="589">
        <f t="shared" si="46"/>
        <v>8</v>
      </c>
      <c r="N206" s="596">
        <f t="shared" si="49"/>
        <v>0.37</v>
      </c>
      <c r="O206" s="591">
        <v>0</v>
      </c>
      <c r="P206" s="587">
        <f t="shared" si="43"/>
        <v>2.872879427778785E-2</v>
      </c>
      <c r="Q206" s="588">
        <f t="shared" si="38"/>
        <v>8.51</v>
      </c>
    </row>
    <row r="207" spans="2:17" outlineLevel="1" x14ac:dyDescent="0.2">
      <c r="B207" s="594">
        <f t="shared" si="44"/>
        <v>176</v>
      </c>
      <c r="C207" s="572" t="str">
        <f t="array" ref="C207:C209">"Puertos BSC a Core: Voz: "&amp;BSC.Core.ATM.Ladder</f>
        <v>Puertos BSC a Core: Voz: 8.45</v>
      </c>
      <c r="D207" s="571" t="s">
        <v>1504</v>
      </c>
      <c r="E207" s="571" t="s">
        <v>1536</v>
      </c>
      <c r="H207" s="586">
        <v>633</v>
      </c>
      <c r="I207" s="587">
        <f t="shared" si="45"/>
        <v>-2.2707645436101598E-2</v>
      </c>
      <c r="J207" s="588">
        <v>633</v>
      </c>
      <c r="K207" s="589">
        <f t="shared" si="46"/>
        <v>8</v>
      </c>
      <c r="N207" s="596">
        <f t="shared" si="49"/>
        <v>0.37</v>
      </c>
      <c r="O207" s="591">
        <v>0</v>
      </c>
      <c r="P207" s="587">
        <f t="shared" si="43"/>
        <v>2.872879427778785E-2</v>
      </c>
      <c r="Q207" s="588">
        <f t="shared" si="38"/>
        <v>234.21</v>
      </c>
    </row>
    <row r="208" spans="2:17" outlineLevel="1" x14ac:dyDescent="0.2">
      <c r="B208" s="594">
        <f t="shared" si="44"/>
        <v>177</v>
      </c>
      <c r="C208" s="572" t="str">
        <v>Puertos BSC a Core: Voz: 34.37</v>
      </c>
      <c r="D208" s="571" t="s">
        <v>1504</v>
      </c>
      <c r="E208" s="571" t="s">
        <v>1536</v>
      </c>
      <c r="H208" s="586">
        <v>2535</v>
      </c>
      <c r="I208" s="587">
        <f t="shared" si="45"/>
        <v>-2.2707645436101598E-2</v>
      </c>
      <c r="J208" s="588">
        <v>2535</v>
      </c>
      <c r="K208" s="589">
        <f t="shared" si="46"/>
        <v>8</v>
      </c>
      <c r="N208" s="596">
        <f t="shared" si="49"/>
        <v>0.37</v>
      </c>
      <c r="O208" s="591">
        <v>0</v>
      </c>
      <c r="P208" s="587">
        <f t="shared" si="43"/>
        <v>2.872879427778785E-2</v>
      </c>
      <c r="Q208" s="588">
        <f t="shared" si="38"/>
        <v>937.95</v>
      </c>
    </row>
    <row r="209" spans="2:17" outlineLevel="1" x14ac:dyDescent="0.2">
      <c r="B209" s="594">
        <f t="shared" si="44"/>
        <v>178</v>
      </c>
      <c r="C209" s="572" t="str">
        <v>Puertos BSC a Core: Voz: 155.52</v>
      </c>
      <c r="D209" s="571" t="s">
        <v>1504</v>
      </c>
      <c r="E209" s="571" t="s">
        <v>1536</v>
      </c>
      <c r="H209" s="586">
        <v>7600</v>
      </c>
      <c r="I209" s="587">
        <f t="shared" si="45"/>
        <v>-2.2707645436101598E-2</v>
      </c>
      <c r="J209" s="588">
        <v>7600</v>
      </c>
      <c r="K209" s="589">
        <f t="shared" si="46"/>
        <v>8</v>
      </c>
      <c r="N209" s="596">
        <f t="shared" si="49"/>
        <v>0.37</v>
      </c>
      <c r="O209" s="591">
        <v>0</v>
      </c>
      <c r="P209" s="587">
        <f t="shared" si="43"/>
        <v>2.872879427778785E-2</v>
      </c>
      <c r="Q209" s="588">
        <f t="shared" si="38"/>
        <v>2812</v>
      </c>
    </row>
    <row r="210" spans="2:17" outlineLevel="1" x14ac:dyDescent="0.2">
      <c r="B210" s="594">
        <f t="shared" si="44"/>
        <v>179</v>
      </c>
      <c r="C210" s="572" t="str">
        <f t="array" ref="C210:C212">"Puertos BSC a Core: Voz: "&amp;BSC.Core.Ethernet.Ladder</f>
        <v>Puertos BSC a Core: Voz: 30</v>
      </c>
      <c r="D210" s="571" t="s">
        <v>1504</v>
      </c>
      <c r="E210" s="571" t="s">
        <v>1536</v>
      </c>
      <c r="H210" s="586">
        <v>640</v>
      </c>
      <c r="I210" s="587">
        <f t="shared" si="45"/>
        <v>-2.2707645436101598E-2</v>
      </c>
      <c r="J210" s="588">
        <v>640</v>
      </c>
      <c r="K210" s="589">
        <f t="shared" si="46"/>
        <v>8</v>
      </c>
      <c r="N210" s="596">
        <f t="shared" si="49"/>
        <v>0.37</v>
      </c>
      <c r="O210" s="591">
        <v>0</v>
      </c>
      <c r="P210" s="587">
        <f t="shared" si="43"/>
        <v>2.872879427778785E-2</v>
      </c>
      <c r="Q210" s="588">
        <f t="shared" si="38"/>
        <v>236.8</v>
      </c>
    </row>
    <row r="211" spans="2:17" outlineLevel="1" x14ac:dyDescent="0.2">
      <c r="B211" s="594">
        <f t="shared" si="44"/>
        <v>180</v>
      </c>
      <c r="C211" s="572" t="str">
        <v>Puertos BSC a Core: Voz: 100</v>
      </c>
      <c r="D211" s="571" t="s">
        <v>1504</v>
      </c>
      <c r="E211" s="571" t="s">
        <v>1536</v>
      </c>
      <c r="H211" s="586">
        <v>1280</v>
      </c>
      <c r="I211" s="587">
        <f t="shared" si="45"/>
        <v>-2.2707645436101598E-2</v>
      </c>
      <c r="J211" s="588">
        <v>1280</v>
      </c>
      <c r="K211" s="589">
        <f t="shared" si="46"/>
        <v>8</v>
      </c>
      <c r="N211" s="596">
        <f t="shared" si="49"/>
        <v>0.37</v>
      </c>
      <c r="O211" s="591">
        <v>0</v>
      </c>
      <c r="P211" s="587">
        <f t="shared" si="43"/>
        <v>2.872879427778785E-2</v>
      </c>
      <c r="Q211" s="588">
        <f t="shared" si="38"/>
        <v>473.6</v>
      </c>
    </row>
    <row r="212" spans="2:17" outlineLevel="1" x14ac:dyDescent="0.2">
      <c r="B212" s="594">
        <f t="shared" si="44"/>
        <v>181</v>
      </c>
      <c r="C212" s="572" t="str">
        <v>Puertos BSC a Core: Voz: 1024</v>
      </c>
      <c r="D212" s="571" t="s">
        <v>1504</v>
      </c>
      <c r="E212" s="571" t="s">
        <v>1536</v>
      </c>
      <c r="H212" s="586">
        <v>3841</v>
      </c>
      <c r="I212" s="587">
        <f t="shared" si="45"/>
        <v>-2.2707645436101598E-2</v>
      </c>
      <c r="J212" s="588">
        <v>3841</v>
      </c>
      <c r="K212" s="589">
        <f t="shared" si="46"/>
        <v>8</v>
      </c>
      <c r="N212" s="596">
        <f t="shared" si="49"/>
        <v>0.37</v>
      </c>
      <c r="O212" s="591">
        <v>0</v>
      </c>
      <c r="P212" s="587">
        <f t="shared" si="43"/>
        <v>2.872879427778785E-2</v>
      </c>
      <c r="Q212" s="588">
        <f t="shared" si="38"/>
        <v>1421.17</v>
      </c>
    </row>
    <row r="213" spans="2:17" outlineLevel="1" x14ac:dyDescent="0.2">
      <c r="B213" s="594">
        <f t="shared" si="44"/>
        <v>182</v>
      </c>
      <c r="C213" s="572" t="str">
        <f t="array" ref="C213:C215">"Puertos BSC a Core: Datos: "&amp;BSC.Core.ATM.Ladder</f>
        <v>Puertos BSC a Core: Datos: 8.45</v>
      </c>
      <c r="D213" s="571" t="s">
        <v>1504</v>
      </c>
      <c r="E213" s="571" t="s">
        <v>1535</v>
      </c>
      <c r="H213" s="586">
        <v>634</v>
      </c>
      <c r="I213" s="587">
        <f t="shared" si="45"/>
        <v>-2.2707645436101598E-2</v>
      </c>
      <c r="J213" s="588">
        <v>634</v>
      </c>
      <c r="K213" s="589">
        <f t="shared" si="46"/>
        <v>8</v>
      </c>
      <c r="N213" s="596">
        <f t="shared" si="49"/>
        <v>0.37</v>
      </c>
      <c r="O213" s="591">
        <v>0</v>
      </c>
      <c r="P213" s="587">
        <f t="shared" si="43"/>
        <v>2.872879427778785E-2</v>
      </c>
      <c r="Q213" s="588">
        <f t="shared" si="38"/>
        <v>234.57999999999998</v>
      </c>
    </row>
    <row r="214" spans="2:17" outlineLevel="1" x14ac:dyDescent="0.2">
      <c r="B214" s="594">
        <f t="shared" si="44"/>
        <v>183</v>
      </c>
      <c r="C214" s="572" t="str">
        <v>Puertos BSC a Core: Datos: 34.37</v>
      </c>
      <c r="D214" s="571" t="s">
        <v>1504</v>
      </c>
      <c r="E214" s="571" t="s">
        <v>1535</v>
      </c>
      <c r="H214" s="586">
        <v>2535</v>
      </c>
      <c r="I214" s="587">
        <f t="shared" si="45"/>
        <v>-2.2707645436101598E-2</v>
      </c>
      <c r="J214" s="588">
        <v>2535</v>
      </c>
      <c r="K214" s="589">
        <f t="shared" si="46"/>
        <v>8</v>
      </c>
      <c r="N214" s="596">
        <f t="shared" si="49"/>
        <v>0.37</v>
      </c>
      <c r="O214" s="591">
        <v>0</v>
      </c>
      <c r="P214" s="587">
        <f t="shared" si="43"/>
        <v>2.872879427778785E-2</v>
      </c>
      <c r="Q214" s="588">
        <f t="shared" si="38"/>
        <v>937.95</v>
      </c>
    </row>
    <row r="215" spans="2:17" outlineLevel="1" x14ac:dyDescent="0.2">
      <c r="B215" s="594">
        <f t="shared" si="44"/>
        <v>184</v>
      </c>
      <c r="C215" s="572" t="str">
        <v>Puertos BSC a Core: Datos: 155.52</v>
      </c>
      <c r="D215" s="571" t="s">
        <v>1504</v>
      </c>
      <c r="E215" s="571" t="s">
        <v>1535</v>
      </c>
      <c r="H215" s="586">
        <v>7606</v>
      </c>
      <c r="I215" s="587">
        <f t="shared" si="45"/>
        <v>-2.2707645436101598E-2</v>
      </c>
      <c r="J215" s="588">
        <v>7606</v>
      </c>
      <c r="K215" s="589">
        <f t="shared" si="46"/>
        <v>8</v>
      </c>
      <c r="N215" s="596">
        <f t="shared" si="49"/>
        <v>0.37</v>
      </c>
      <c r="O215" s="591">
        <v>0</v>
      </c>
      <c r="P215" s="587">
        <f t="shared" si="43"/>
        <v>2.872879427778785E-2</v>
      </c>
      <c r="Q215" s="588">
        <f t="shared" si="38"/>
        <v>2814.22</v>
      </c>
    </row>
    <row r="216" spans="2:17" outlineLevel="1" x14ac:dyDescent="0.2">
      <c r="B216" s="594">
        <f t="shared" si="44"/>
        <v>185</v>
      </c>
      <c r="C216" s="572" t="str">
        <f t="array" ref="C216:C218">"Puertos BSC a Core: Datos: "&amp;BSC.Core.Ethernet.Ladder</f>
        <v>Puertos BSC a Core: Datos: 30</v>
      </c>
      <c r="D216" s="571" t="s">
        <v>1504</v>
      </c>
      <c r="E216" s="571" t="s">
        <v>1535</v>
      </c>
      <c r="H216" s="586">
        <v>640</v>
      </c>
      <c r="I216" s="587">
        <f t="shared" si="45"/>
        <v>-2.2707645436101598E-2</v>
      </c>
      <c r="J216" s="588">
        <v>640</v>
      </c>
      <c r="K216" s="589">
        <f t="shared" si="46"/>
        <v>8</v>
      </c>
      <c r="N216" s="596">
        <f t="shared" si="49"/>
        <v>0.37</v>
      </c>
      <c r="O216" s="591">
        <v>0</v>
      </c>
      <c r="P216" s="587">
        <f t="shared" si="43"/>
        <v>2.872879427778785E-2</v>
      </c>
      <c r="Q216" s="588">
        <f t="shared" si="38"/>
        <v>236.8</v>
      </c>
    </row>
    <row r="217" spans="2:17" outlineLevel="1" x14ac:dyDescent="0.2">
      <c r="B217" s="594">
        <f t="shared" si="44"/>
        <v>186</v>
      </c>
      <c r="C217" s="572" t="str">
        <v>Puertos BSC a Core: Datos: 100</v>
      </c>
      <c r="D217" s="571" t="s">
        <v>1504</v>
      </c>
      <c r="E217" s="571" t="s">
        <v>1535</v>
      </c>
      <c r="H217" s="586">
        <v>1280</v>
      </c>
      <c r="I217" s="587">
        <f t="shared" si="45"/>
        <v>-2.2707645436101598E-2</v>
      </c>
      <c r="J217" s="588">
        <v>1280</v>
      </c>
      <c r="K217" s="589">
        <f t="shared" si="46"/>
        <v>8</v>
      </c>
      <c r="N217" s="596">
        <f t="shared" si="49"/>
        <v>0.37</v>
      </c>
      <c r="O217" s="591">
        <v>0</v>
      </c>
      <c r="P217" s="587">
        <f t="shared" si="43"/>
        <v>2.872879427778785E-2</v>
      </c>
      <c r="Q217" s="588">
        <f t="shared" si="38"/>
        <v>473.6</v>
      </c>
    </row>
    <row r="218" spans="2:17" outlineLevel="1" x14ac:dyDescent="0.2">
      <c r="B218" s="594">
        <f t="shared" si="44"/>
        <v>187</v>
      </c>
      <c r="C218" s="572" t="str">
        <v>Puertos BSC a Core: Datos: 1024</v>
      </c>
      <c r="D218" s="571" t="s">
        <v>1504</v>
      </c>
      <c r="E218" s="571" t="s">
        <v>1535</v>
      </c>
      <c r="H218" s="586">
        <v>3841</v>
      </c>
      <c r="I218" s="587">
        <f t="shared" si="45"/>
        <v>-2.2707645436101598E-2</v>
      </c>
      <c r="J218" s="588">
        <v>3841</v>
      </c>
      <c r="K218" s="589">
        <f t="shared" si="46"/>
        <v>8</v>
      </c>
      <c r="N218" s="596">
        <f t="shared" si="49"/>
        <v>0.37</v>
      </c>
      <c r="O218" s="591">
        <v>0</v>
      </c>
      <c r="P218" s="587">
        <f t="shared" si="43"/>
        <v>2.872879427778785E-2</v>
      </c>
      <c r="Q218" s="588">
        <f t="shared" si="38"/>
        <v>1421.17</v>
      </c>
    </row>
    <row r="219" spans="2:17" outlineLevel="1" x14ac:dyDescent="0.2">
      <c r="B219" s="594">
        <f t="shared" si="44"/>
        <v>188</v>
      </c>
      <c r="C219" s="572" t="str">
        <f t="array" ref="C219:C221">"Puertos RNC a Core: Voz: "&amp;RNC.Core.ATM.Ladder</f>
        <v>Puertos RNC a Core: Voz: 34.4</v>
      </c>
      <c r="D219" s="571" t="s">
        <v>1504</v>
      </c>
      <c r="E219" s="571" t="s">
        <v>1537</v>
      </c>
      <c r="H219" s="586">
        <v>330</v>
      </c>
      <c r="I219" s="587">
        <f t="shared" si="45"/>
        <v>-2.2707645436101598E-2</v>
      </c>
      <c r="J219" s="588">
        <v>330</v>
      </c>
      <c r="K219" s="589">
        <f t="shared" si="46"/>
        <v>8</v>
      </c>
      <c r="N219" s="596">
        <f t="shared" si="49"/>
        <v>0.37</v>
      </c>
      <c r="O219" s="591">
        <v>0</v>
      </c>
      <c r="P219" s="587">
        <f t="shared" si="43"/>
        <v>2.872879427778785E-2</v>
      </c>
      <c r="Q219" s="588">
        <f t="shared" si="38"/>
        <v>122.1</v>
      </c>
    </row>
    <row r="220" spans="2:17" outlineLevel="1" x14ac:dyDescent="0.2">
      <c r="B220" s="594">
        <f t="shared" si="44"/>
        <v>189</v>
      </c>
      <c r="C220" s="572" t="str">
        <v>Puertos RNC a Core: Voz: 155.52</v>
      </c>
      <c r="D220" s="571" t="s">
        <v>1504</v>
      </c>
      <c r="E220" s="571" t="s">
        <v>1537</v>
      </c>
      <c r="H220" s="586">
        <v>558</v>
      </c>
      <c r="I220" s="587">
        <f t="shared" si="45"/>
        <v>-2.2707645436101598E-2</v>
      </c>
      <c r="J220" s="588">
        <v>558</v>
      </c>
      <c r="K220" s="589">
        <f t="shared" si="46"/>
        <v>8</v>
      </c>
      <c r="N220" s="596">
        <f t="shared" si="49"/>
        <v>0.37</v>
      </c>
      <c r="O220" s="591">
        <v>0</v>
      </c>
      <c r="P220" s="587">
        <f t="shared" si="43"/>
        <v>2.872879427778785E-2</v>
      </c>
      <c r="Q220" s="588">
        <f t="shared" si="38"/>
        <v>206.46</v>
      </c>
    </row>
    <row r="221" spans="2:17" outlineLevel="1" x14ac:dyDescent="0.2">
      <c r="B221" s="594">
        <f t="shared" si="44"/>
        <v>190</v>
      </c>
      <c r="C221" s="572" t="str">
        <v>Puertos RNC a Core: Voz: 622.08</v>
      </c>
      <c r="D221" s="571" t="s">
        <v>1504</v>
      </c>
      <c r="E221" s="571" t="s">
        <v>1537</v>
      </c>
      <c r="H221" s="586">
        <v>1860</v>
      </c>
      <c r="I221" s="587">
        <f t="shared" si="45"/>
        <v>-2.2707645436101598E-2</v>
      </c>
      <c r="J221" s="588">
        <v>1860</v>
      </c>
      <c r="K221" s="589">
        <f t="shared" si="46"/>
        <v>8</v>
      </c>
      <c r="N221" s="596">
        <f t="shared" si="49"/>
        <v>0.37</v>
      </c>
      <c r="O221" s="591">
        <v>0</v>
      </c>
      <c r="P221" s="587">
        <f t="shared" si="43"/>
        <v>2.872879427778785E-2</v>
      </c>
      <c r="Q221" s="588">
        <f t="shared" si="38"/>
        <v>688.2</v>
      </c>
    </row>
    <row r="222" spans="2:17" outlineLevel="1" x14ac:dyDescent="0.2">
      <c r="B222" s="594">
        <f t="shared" si="44"/>
        <v>191</v>
      </c>
      <c r="C222" s="572" t="str">
        <f t="array" ref="C222:C224">"Puertos RNC a Core: Voz: "&amp;RNC.Core.Ethernet.Ladder</f>
        <v>Puertos RNC a Core: Voz: 100</v>
      </c>
      <c r="D222" s="571" t="s">
        <v>1504</v>
      </c>
      <c r="E222" s="571" t="s">
        <v>1537</v>
      </c>
      <c r="H222" s="586">
        <v>46</v>
      </c>
      <c r="I222" s="587">
        <f t="shared" si="45"/>
        <v>-2.2707645436101598E-2</v>
      </c>
      <c r="J222" s="588">
        <v>46</v>
      </c>
      <c r="K222" s="589">
        <f t="shared" si="46"/>
        <v>8</v>
      </c>
      <c r="N222" s="596">
        <f t="shared" si="49"/>
        <v>0.37</v>
      </c>
      <c r="O222" s="591">
        <v>0</v>
      </c>
      <c r="P222" s="587">
        <f t="shared" si="43"/>
        <v>2.872879427778785E-2</v>
      </c>
      <c r="Q222" s="588">
        <f t="shared" si="38"/>
        <v>17.02</v>
      </c>
    </row>
    <row r="223" spans="2:17" outlineLevel="1" x14ac:dyDescent="0.2">
      <c r="B223" s="594">
        <f t="shared" si="44"/>
        <v>192</v>
      </c>
      <c r="C223" s="572" t="str">
        <v>Puertos RNC a Core: Voz: 1024</v>
      </c>
      <c r="D223" s="571" t="s">
        <v>1504</v>
      </c>
      <c r="E223" s="571" t="s">
        <v>1537</v>
      </c>
      <c r="H223" s="586">
        <v>232</v>
      </c>
      <c r="I223" s="587">
        <f t="shared" si="45"/>
        <v>-2.2707645436101598E-2</v>
      </c>
      <c r="J223" s="588">
        <v>232</v>
      </c>
      <c r="K223" s="589">
        <f t="shared" si="46"/>
        <v>8</v>
      </c>
      <c r="N223" s="596">
        <f t="shared" si="49"/>
        <v>0.37</v>
      </c>
      <c r="O223" s="591">
        <v>0</v>
      </c>
      <c r="P223" s="587">
        <f t="shared" si="43"/>
        <v>2.872879427778785E-2</v>
      </c>
      <c r="Q223" s="588">
        <f t="shared" si="38"/>
        <v>85.84</v>
      </c>
    </row>
    <row r="224" spans="2:17" outlineLevel="1" x14ac:dyDescent="0.2">
      <c r="B224" s="594">
        <f t="shared" si="44"/>
        <v>193</v>
      </c>
      <c r="C224" s="572" t="str">
        <v>Puertos RNC a Core: Voz: 2488</v>
      </c>
      <c r="D224" s="571" t="s">
        <v>1504</v>
      </c>
      <c r="E224" s="571" t="s">
        <v>1537</v>
      </c>
      <c r="H224" s="586">
        <v>465</v>
      </c>
      <c r="I224" s="587">
        <f t="shared" si="45"/>
        <v>-2.2707645436101598E-2</v>
      </c>
      <c r="J224" s="588">
        <v>465</v>
      </c>
      <c r="K224" s="589">
        <f t="shared" ref="K224:K231" si="50">INDEX(Lifetimes, MATCH($D224, Assets.cost.trend.names, 0))</f>
        <v>8</v>
      </c>
      <c r="N224" s="596">
        <f t="shared" si="49"/>
        <v>0.37</v>
      </c>
      <c r="O224" s="591">
        <v>0</v>
      </c>
      <c r="P224" s="587">
        <f t="shared" ref="P224:P231" si="51">INDEX(Opex.cost.trends, MATCH(D224, Assets.cost.trend.names, 0))</f>
        <v>2.872879427778785E-2</v>
      </c>
      <c r="Q224" s="588">
        <f t="shared" si="38"/>
        <v>172.05</v>
      </c>
    </row>
    <row r="225" spans="1:17" outlineLevel="1" x14ac:dyDescent="0.2">
      <c r="B225" s="594">
        <f t="shared" ref="B225:B231" si="52">1+B224</f>
        <v>194</v>
      </c>
      <c r="C225" s="572" t="str">
        <f t="array" ref="C225:C227">"Puertos RNC a Core: Datos: "&amp;RNC.Core.ATM.Ladder</f>
        <v>Puertos RNC a Core: Datos: 34.4</v>
      </c>
      <c r="D225" s="571" t="s">
        <v>1504</v>
      </c>
      <c r="E225" s="571" t="s">
        <v>1534</v>
      </c>
      <c r="H225" s="586">
        <v>465</v>
      </c>
      <c r="I225" s="587">
        <f t="shared" ref="I225:I231" si="53">INDEX(Capex.cost.trends, MATCH($D225, Assets.cost.trend.names, 0))</f>
        <v>-2.2707645436101598E-2</v>
      </c>
      <c r="J225" s="588">
        <v>465</v>
      </c>
      <c r="K225" s="589">
        <f t="shared" si="50"/>
        <v>8</v>
      </c>
      <c r="N225" s="596">
        <f t="shared" si="49"/>
        <v>0.37</v>
      </c>
      <c r="O225" s="591">
        <v>0</v>
      </c>
      <c r="P225" s="587">
        <f t="shared" si="51"/>
        <v>2.872879427778785E-2</v>
      </c>
      <c r="Q225" s="588">
        <f t="shared" ref="Q225:Q231" si="54">(N225*J225) + (O225*(1+P225)^(RIGHT(J$29,4)-RIGHT(H$29,4)))</f>
        <v>172.05</v>
      </c>
    </row>
    <row r="226" spans="1:17" outlineLevel="1" x14ac:dyDescent="0.2">
      <c r="B226" s="594">
        <f t="shared" si="52"/>
        <v>195</v>
      </c>
      <c r="C226" s="572" t="str">
        <v>Puertos RNC a Core: Datos: 155.52</v>
      </c>
      <c r="D226" s="571" t="s">
        <v>1504</v>
      </c>
      <c r="E226" s="571" t="s">
        <v>1534</v>
      </c>
      <c r="H226" s="586">
        <v>558</v>
      </c>
      <c r="I226" s="587">
        <f t="shared" si="53"/>
        <v>-2.2707645436101598E-2</v>
      </c>
      <c r="J226" s="588">
        <v>558</v>
      </c>
      <c r="K226" s="589">
        <f t="shared" si="50"/>
        <v>8</v>
      </c>
      <c r="N226" s="596">
        <f t="shared" si="49"/>
        <v>0.37</v>
      </c>
      <c r="O226" s="591">
        <v>0</v>
      </c>
      <c r="P226" s="587">
        <f t="shared" si="51"/>
        <v>2.872879427778785E-2</v>
      </c>
      <c r="Q226" s="588">
        <f t="shared" si="54"/>
        <v>206.46</v>
      </c>
    </row>
    <row r="227" spans="1:17" outlineLevel="1" x14ac:dyDescent="0.2">
      <c r="B227" s="594">
        <f t="shared" si="52"/>
        <v>196</v>
      </c>
      <c r="C227" s="572" t="str">
        <v>Puertos RNC a Core: Datos: 622.08</v>
      </c>
      <c r="D227" s="571" t="s">
        <v>1504</v>
      </c>
      <c r="E227" s="571" t="s">
        <v>1534</v>
      </c>
      <c r="H227" s="586">
        <v>1860</v>
      </c>
      <c r="I227" s="587">
        <f t="shared" si="53"/>
        <v>-2.2707645436101598E-2</v>
      </c>
      <c r="J227" s="588">
        <v>1860</v>
      </c>
      <c r="K227" s="589">
        <f t="shared" si="50"/>
        <v>8</v>
      </c>
      <c r="N227" s="596">
        <f t="shared" si="49"/>
        <v>0.37</v>
      </c>
      <c r="O227" s="591">
        <v>0</v>
      </c>
      <c r="P227" s="587">
        <f t="shared" si="51"/>
        <v>2.872879427778785E-2</v>
      </c>
      <c r="Q227" s="588">
        <f t="shared" si="54"/>
        <v>688.2</v>
      </c>
    </row>
    <row r="228" spans="1:17" outlineLevel="1" x14ac:dyDescent="0.2">
      <c r="B228" s="594">
        <f t="shared" si="52"/>
        <v>197</v>
      </c>
      <c r="C228" s="572" t="str">
        <f t="array" ref="C228:C230">"Puertos RNC a Core: Datos: "&amp;RNC.Core.Ethernet.Ladder</f>
        <v>Puertos RNC a Core: Datos: 100</v>
      </c>
      <c r="D228" s="571" t="s">
        <v>1504</v>
      </c>
      <c r="E228" s="571" t="s">
        <v>1534</v>
      </c>
      <c r="H228" s="586">
        <v>46</v>
      </c>
      <c r="I228" s="587">
        <f t="shared" si="53"/>
        <v>-2.2707645436101598E-2</v>
      </c>
      <c r="J228" s="588">
        <v>46</v>
      </c>
      <c r="K228" s="589">
        <f t="shared" si="50"/>
        <v>8</v>
      </c>
      <c r="N228" s="596">
        <f t="shared" si="49"/>
        <v>0.37</v>
      </c>
      <c r="O228" s="591">
        <v>0</v>
      </c>
      <c r="P228" s="587">
        <f t="shared" si="51"/>
        <v>2.872879427778785E-2</v>
      </c>
      <c r="Q228" s="588">
        <f t="shared" si="54"/>
        <v>17.02</v>
      </c>
    </row>
    <row r="229" spans="1:17" outlineLevel="1" x14ac:dyDescent="0.2">
      <c r="B229" s="594">
        <f t="shared" si="52"/>
        <v>198</v>
      </c>
      <c r="C229" s="572" t="str">
        <v>Puertos RNC a Core: Datos: 1024</v>
      </c>
      <c r="D229" s="571" t="s">
        <v>1504</v>
      </c>
      <c r="E229" s="571" t="s">
        <v>1534</v>
      </c>
      <c r="H229" s="586">
        <v>232</v>
      </c>
      <c r="I229" s="587">
        <f t="shared" si="53"/>
        <v>-2.2707645436101598E-2</v>
      </c>
      <c r="J229" s="588">
        <v>232</v>
      </c>
      <c r="K229" s="589">
        <f t="shared" si="50"/>
        <v>8</v>
      </c>
      <c r="N229" s="596">
        <f t="shared" si="49"/>
        <v>0.37</v>
      </c>
      <c r="O229" s="591">
        <v>0</v>
      </c>
      <c r="P229" s="587">
        <f t="shared" si="51"/>
        <v>2.872879427778785E-2</v>
      </c>
      <c r="Q229" s="588">
        <f t="shared" si="54"/>
        <v>85.84</v>
      </c>
    </row>
    <row r="230" spans="1:17" outlineLevel="1" x14ac:dyDescent="0.2">
      <c r="B230" s="594">
        <f t="shared" si="52"/>
        <v>199</v>
      </c>
      <c r="C230" s="572" t="str">
        <v>Puertos RNC a Core: Datos: 2488</v>
      </c>
      <c r="D230" s="571" t="s">
        <v>1504</v>
      </c>
      <c r="E230" s="571" t="s">
        <v>1534</v>
      </c>
      <c r="H230" s="586">
        <v>465</v>
      </c>
      <c r="I230" s="587">
        <f t="shared" si="53"/>
        <v>-2.2707645436101598E-2</v>
      </c>
      <c r="J230" s="588">
        <v>465</v>
      </c>
      <c r="K230" s="589">
        <f t="shared" si="50"/>
        <v>8</v>
      </c>
      <c r="N230" s="596">
        <f t="shared" si="49"/>
        <v>0.37</v>
      </c>
      <c r="O230" s="591">
        <v>0</v>
      </c>
      <c r="P230" s="587">
        <f t="shared" si="51"/>
        <v>2.872879427778785E-2</v>
      </c>
      <c r="Q230" s="588">
        <f t="shared" si="54"/>
        <v>172.05</v>
      </c>
    </row>
    <row r="231" spans="1:17" x14ac:dyDescent="0.2">
      <c r="B231" s="594">
        <f t="shared" si="52"/>
        <v>200</v>
      </c>
      <c r="C231" s="572" t="s">
        <v>1293</v>
      </c>
      <c r="D231" s="571" t="s">
        <v>1505</v>
      </c>
      <c r="E231" s="571" t="s">
        <v>1506</v>
      </c>
      <c r="H231" s="599">
        <f>Spectrum.Fee</f>
        <v>0</v>
      </c>
      <c r="I231" s="587">
        <f t="shared" si="53"/>
        <v>2.872879427778785E-2</v>
      </c>
      <c r="J231" s="588">
        <v>0</v>
      </c>
      <c r="K231" s="589">
        <f t="shared" si="50"/>
        <v>15</v>
      </c>
      <c r="N231" s="590">
        <v>0</v>
      </c>
      <c r="O231" s="597">
        <f>Canon.Espectro.USD</f>
        <v>29808465.90361445</v>
      </c>
      <c r="P231" s="587">
        <f t="shared" si="51"/>
        <v>2.872879427778785E-2</v>
      </c>
      <c r="Q231" s="588">
        <f t="shared" si="54"/>
        <v>29808465.90361445</v>
      </c>
    </row>
    <row r="232" spans="1:17" x14ac:dyDescent="0.2">
      <c r="C232" s="583" t="s">
        <v>41</v>
      </c>
      <c r="D232" s="583" t="s">
        <v>371</v>
      </c>
      <c r="E232" s="583" t="s">
        <v>452</v>
      </c>
      <c r="I232" s="583" t="s">
        <v>369</v>
      </c>
      <c r="J232" s="605" t="s">
        <v>368</v>
      </c>
      <c r="K232" s="583" t="s">
        <v>370</v>
      </c>
    </row>
    <row r="235" spans="1:17" x14ac:dyDescent="0.2">
      <c r="Q235" s="583" t="s">
        <v>367</v>
      </c>
    </row>
    <row r="238" spans="1:17" ht="15.75" x14ac:dyDescent="0.2">
      <c r="B238" s="575" t="s">
        <v>1548</v>
      </c>
    </row>
    <row r="239" spans="1:17" x14ac:dyDescent="0.2">
      <c r="A239" s="604"/>
      <c r="B239" s="604"/>
    </row>
    <row r="240" spans="1:17" x14ac:dyDescent="0.2">
      <c r="C240" s="606" t="s">
        <v>1547</v>
      </c>
      <c r="E240" s="570" t="s">
        <v>1546</v>
      </c>
      <c r="G240" s="607">
        <f>30/365*CTRL.WACC</f>
        <v>8.8849315068493147E-3</v>
      </c>
      <c r="H240" s="608" t="s">
        <v>366</v>
      </c>
      <c r="I240" s="608"/>
    </row>
    <row r="244" spans="2:12" ht="15.75" x14ac:dyDescent="0.2">
      <c r="B244" s="575" t="s">
        <v>1549</v>
      </c>
      <c r="C244" s="609"/>
      <c r="D244" s="609"/>
      <c r="E244" s="609"/>
      <c r="F244" s="609"/>
      <c r="G244" s="609"/>
      <c r="H244" s="609"/>
      <c r="I244" s="609"/>
    </row>
    <row r="245" spans="2:12" x14ac:dyDescent="0.2">
      <c r="B245" s="610"/>
      <c r="C245" s="609"/>
      <c r="D245" s="609"/>
      <c r="E245" s="609"/>
      <c r="F245" s="609"/>
      <c r="G245" s="609"/>
      <c r="H245" s="609"/>
      <c r="I245" s="609"/>
    </row>
    <row r="246" spans="2:12" x14ac:dyDescent="0.2">
      <c r="B246" s="609"/>
      <c r="G246" s="576" t="s">
        <v>1659</v>
      </c>
      <c r="H246" s="576" t="s">
        <v>1660</v>
      </c>
      <c r="I246" s="576" t="s">
        <v>1661</v>
      </c>
      <c r="J246" s="576" t="s">
        <v>1662</v>
      </c>
      <c r="K246" s="576" t="s">
        <v>1663</v>
      </c>
      <c r="L246" s="576" t="s">
        <v>95</v>
      </c>
    </row>
    <row r="247" spans="2:12" x14ac:dyDescent="0.2">
      <c r="C247" s="604" t="s">
        <v>1550</v>
      </c>
      <c r="G247" s="611">
        <v>3.9928190387396006E-2</v>
      </c>
      <c r="H247" s="611">
        <v>3.23407810015428E-2</v>
      </c>
      <c r="I247" s="611">
        <v>2.4375000000000001E-2</v>
      </c>
      <c r="J247" s="611">
        <v>2.35E-2</v>
      </c>
      <c r="K247" s="611">
        <v>2.35E-2</v>
      </c>
      <c r="L247" s="612">
        <f>AVERAGE(G247:K247)</f>
        <v>2.872879427778776E-2</v>
      </c>
    </row>
    <row r="248" spans="2:12" x14ac:dyDescent="0.2">
      <c r="G248" s="583" t="s">
        <v>1707</v>
      </c>
      <c r="H248" s="583"/>
      <c r="I248" s="583"/>
      <c r="L248" s="583" t="s">
        <v>365</v>
      </c>
    </row>
  </sheetData>
  <mergeCells count="2">
    <mergeCell ref="H30:K30"/>
    <mergeCell ref="N30:Q30"/>
  </mergeCells>
  <conditionalFormatting sqref="D32:E37 D39:E60 D62:E231">
    <cfRule type="cellIs" dxfId="236" priority="136" operator="equal">
      <formula>"Spare"</formula>
    </cfRule>
  </conditionalFormatting>
  <conditionalFormatting sqref="E201:E231 E67:E164 E32:E37 E166:E183 E39:E51">
    <cfRule type="cellIs" dxfId="235" priority="135" operator="equal">
      <formula>"No routeing"</formula>
    </cfRule>
  </conditionalFormatting>
  <conditionalFormatting sqref="D200">
    <cfRule type="cellIs" dxfId="234" priority="132" operator="equal">
      <formula>"Spare"</formula>
    </cfRule>
  </conditionalFormatting>
  <conditionalFormatting sqref="E200">
    <cfRule type="cellIs" dxfId="233" priority="131" operator="equal">
      <formula>"No routeing"</formula>
    </cfRule>
  </conditionalFormatting>
  <conditionalFormatting sqref="D167">
    <cfRule type="cellIs" dxfId="232" priority="130" operator="equal">
      <formula>"Spare"</formula>
    </cfRule>
  </conditionalFormatting>
  <conditionalFormatting sqref="E167">
    <cfRule type="cellIs" dxfId="231" priority="129" operator="equal">
      <formula>"No routeing"</formula>
    </cfRule>
  </conditionalFormatting>
  <conditionalFormatting sqref="E178">
    <cfRule type="cellIs" dxfId="230" priority="117" operator="equal">
      <formula>"No routeing"</formula>
    </cfRule>
  </conditionalFormatting>
  <conditionalFormatting sqref="D172:D174">
    <cfRule type="cellIs" dxfId="229" priority="126" operator="equal">
      <formula>"Spare"</formula>
    </cfRule>
  </conditionalFormatting>
  <conditionalFormatting sqref="D178">
    <cfRule type="cellIs" dxfId="228" priority="125" operator="equal">
      <formula>"Spare"</formula>
    </cfRule>
  </conditionalFormatting>
  <conditionalFormatting sqref="D184">
    <cfRule type="cellIs" dxfId="227" priority="124" operator="equal">
      <formula>"Spare"</formula>
    </cfRule>
  </conditionalFormatting>
  <conditionalFormatting sqref="D194">
    <cfRule type="cellIs" dxfId="226" priority="123" operator="equal">
      <formula>"Spare"</formula>
    </cfRule>
  </conditionalFormatting>
  <conditionalFormatting sqref="D197">
    <cfRule type="cellIs" dxfId="225" priority="122" operator="equal">
      <formula>"Spare"</formula>
    </cfRule>
  </conditionalFormatting>
  <conditionalFormatting sqref="D198:D200">
    <cfRule type="cellIs" dxfId="224" priority="121" operator="equal">
      <formula>"Spare"</formula>
    </cfRule>
  </conditionalFormatting>
  <conditionalFormatting sqref="D195:D197">
    <cfRule type="cellIs" dxfId="223" priority="120" operator="equal">
      <formula>"Spare"</formula>
    </cfRule>
  </conditionalFormatting>
  <conditionalFormatting sqref="D193">
    <cfRule type="cellIs" dxfId="222" priority="119" operator="equal">
      <formula>"Spare"</formula>
    </cfRule>
  </conditionalFormatting>
  <conditionalFormatting sqref="E184:E186">
    <cfRule type="cellIs" dxfId="221" priority="116" operator="equal">
      <formula>"No routeing"</formula>
    </cfRule>
  </conditionalFormatting>
  <conditionalFormatting sqref="E187">
    <cfRule type="cellIs" dxfId="220" priority="115" operator="equal">
      <formula>"No routeing"</formula>
    </cfRule>
  </conditionalFormatting>
  <conditionalFormatting sqref="E186">
    <cfRule type="cellIs" dxfId="219" priority="114" operator="equal">
      <formula>"No routeing"</formula>
    </cfRule>
  </conditionalFormatting>
  <conditionalFormatting sqref="E188:E193">
    <cfRule type="cellIs" dxfId="218" priority="113" operator="equal">
      <formula>"No routeing"</formula>
    </cfRule>
  </conditionalFormatting>
  <conditionalFormatting sqref="E193:E200">
    <cfRule type="cellIs" dxfId="217" priority="111" operator="equal">
      <formula>"No routeing"</formula>
    </cfRule>
  </conditionalFormatting>
  <conditionalFormatting sqref="D74">
    <cfRule type="cellIs" dxfId="216" priority="106" operator="equal">
      <formula>"Spare"</formula>
    </cfRule>
  </conditionalFormatting>
  <conditionalFormatting sqref="E74">
    <cfRule type="cellIs" dxfId="215" priority="105" operator="equal">
      <formula>"No routeing"</formula>
    </cfRule>
  </conditionalFormatting>
  <conditionalFormatting sqref="D125">
    <cfRule type="cellIs" dxfId="214" priority="104" operator="equal">
      <formula>"Spare"</formula>
    </cfRule>
  </conditionalFormatting>
  <conditionalFormatting sqref="E125">
    <cfRule type="cellIs" dxfId="213" priority="103" operator="equal">
      <formula>"No routeing"</formula>
    </cfRule>
  </conditionalFormatting>
  <conditionalFormatting sqref="D164">
    <cfRule type="cellIs" dxfId="212" priority="102" operator="equal">
      <formula>"Spare"</formula>
    </cfRule>
  </conditionalFormatting>
  <conditionalFormatting sqref="E164:E166">
    <cfRule type="cellIs" dxfId="211" priority="101" operator="equal">
      <formula>"No routeing"</formula>
    </cfRule>
  </conditionalFormatting>
  <conditionalFormatting sqref="D77">
    <cfRule type="cellIs" dxfId="210" priority="98" operator="equal">
      <formula>"Spare"</formula>
    </cfRule>
  </conditionalFormatting>
  <conditionalFormatting sqref="D75">
    <cfRule type="cellIs" dxfId="209" priority="96" operator="equal">
      <formula>"Spare"</formula>
    </cfRule>
  </conditionalFormatting>
  <conditionalFormatting sqref="E75">
    <cfRule type="cellIs" dxfId="208" priority="95" operator="equal">
      <formula>"No routeing"</formula>
    </cfRule>
  </conditionalFormatting>
  <conditionalFormatting sqref="E76:E81">
    <cfRule type="cellIs" dxfId="207" priority="94" operator="equal">
      <formula>"No routeing"</formula>
    </cfRule>
  </conditionalFormatting>
  <conditionalFormatting sqref="D76">
    <cfRule type="cellIs" dxfId="206" priority="93" operator="equal">
      <formula>"Spare"</formula>
    </cfRule>
  </conditionalFormatting>
  <conditionalFormatting sqref="C54:C60 C151:C231 C63:C64 C32:C37 C39:C51">
    <cfRule type="containsText" dxfId="205" priority="90" operator="containsText" text="Asset">
      <formula>NOT(ISERROR(SEARCH("Asset",C32)))</formula>
    </cfRule>
  </conditionalFormatting>
  <conditionalFormatting sqref="D52:D53">
    <cfRule type="cellIs" dxfId="204" priority="69" operator="equal">
      <formula>"Spare"</formula>
    </cfRule>
  </conditionalFormatting>
  <conditionalFormatting sqref="D78:D79">
    <cfRule type="cellIs" dxfId="203" priority="83" operator="equal">
      <formula>"Spare"</formula>
    </cfRule>
  </conditionalFormatting>
  <conditionalFormatting sqref="D78">
    <cfRule type="cellIs" dxfId="202" priority="79" operator="equal">
      <formula>"Spare"</formula>
    </cfRule>
  </conditionalFormatting>
  <conditionalFormatting sqref="D79">
    <cfRule type="cellIs" dxfId="201" priority="77" operator="equal">
      <formula>"Spare"</formula>
    </cfRule>
  </conditionalFormatting>
  <conditionalFormatting sqref="E62 E65:E68">
    <cfRule type="cellIs" dxfId="200" priority="75" operator="equal">
      <formula>"No routeing"</formula>
    </cfRule>
  </conditionalFormatting>
  <conditionalFormatting sqref="D62">
    <cfRule type="cellIs" dxfId="199" priority="74" operator="equal">
      <formula>"Spare"</formula>
    </cfRule>
  </conditionalFormatting>
  <conditionalFormatting sqref="C62">
    <cfRule type="containsText" dxfId="198" priority="73" operator="containsText" text="Asset">
      <formula>NOT(ISERROR(SEARCH("Asset",C62)))</formula>
    </cfRule>
  </conditionalFormatting>
  <conditionalFormatting sqref="E52:E60">
    <cfRule type="cellIs" dxfId="197" priority="68" operator="equal">
      <formula>"No routeing"</formula>
    </cfRule>
  </conditionalFormatting>
  <conditionalFormatting sqref="E86:E90">
    <cfRule type="cellIs" dxfId="196" priority="64" operator="equal">
      <formula>"No routeing"</formula>
    </cfRule>
  </conditionalFormatting>
  <conditionalFormatting sqref="E80:E84">
    <cfRule type="cellIs" dxfId="195" priority="63" operator="equal">
      <formula>"No routeing"</formula>
    </cfRule>
  </conditionalFormatting>
  <conditionalFormatting sqref="E83:E87">
    <cfRule type="cellIs" dxfId="194" priority="62" operator="equal">
      <formula>"No routeing"</formula>
    </cfRule>
  </conditionalFormatting>
  <conditionalFormatting sqref="E183">
    <cfRule type="cellIs" dxfId="193" priority="61" operator="equal">
      <formula>"No routeing"</formula>
    </cfRule>
  </conditionalFormatting>
  <conditionalFormatting sqref="D32:E37 D39:E60 D62:E231">
    <cfRule type="cellIs" dxfId="192" priority="60" operator="equal">
      <formula>"Spare"</formula>
    </cfRule>
  </conditionalFormatting>
  <conditionalFormatting sqref="E168">
    <cfRule type="cellIs" dxfId="191" priority="59" operator="equal">
      <formula>"No routeing"</formula>
    </cfRule>
  </conditionalFormatting>
  <conditionalFormatting sqref="E179">
    <cfRule type="cellIs" dxfId="190" priority="53" operator="equal">
      <formula>"No routeing"</formula>
    </cfRule>
  </conditionalFormatting>
  <conditionalFormatting sqref="D179">
    <cfRule type="cellIs" dxfId="189" priority="58" operator="equal">
      <formula>"Spare"</formula>
    </cfRule>
  </conditionalFormatting>
  <conditionalFormatting sqref="D185">
    <cfRule type="cellIs" dxfId="188" priority="57" operator="equal">
      <formula>"Spare"</formula>
    </cfRule>
  </conditionalFormatting>
  <conditionalFormatting sqref="D195">
    <cfRule type="cellIs" dxfId="187" priority="56" operator="equal">
      <formula>"Spare"</formula>
    </cfRule>
  </conditionalFormatting>
  <conditionalFormatting sqref="D198">
    <cfRule type="cellIs" dxfId="186" priority="55" operator="equal">
      <formula>"Spare"</formula>
    </cfRule>
  </conditionalFormatting>
  <conditionalFormatting sqref="D194">
    <cfRule type="cellIs" dxfId="185" priority="54" operator="equal">
      <formula>"Spare"</formula>
    </cfRule>
  </conditionalFormatting>
  <conditionalFormatting sqref="E188">
    <cfRule type="cellIs" dxfId="184" priority="52" operator="equal">
      <formula>"No routeing"</formula>
    </cfRule>
  </conditionalFormatting>
  <conditionalFormatting sqref="E187">
    <cfRule type="cellIs" dxfId="183" priority="51" operator="equal">
      <formula>"No routeing"</formula>
    </cfRule>
  </conditionalFormatting>
  <conditionalFormatting sqref="E184">
    <cfRule type="cellIs" dxfId="182" priority="50" operator="equal">
      <formula>"No routeing"</formula>
    </cfRule>
  </conditionalFormatting>
  <conditionalFormatting sqref="D165">
    <cfRule type="cellIs" dxfId="181" priority="49" operator="equal">
      <formula>"Spare"</formula>
    </cfRule>
  </conditionalFormatting>
  <conditionalFormatting sqref="C127:C150">
    <cfRule type="containsText" dxfId="180" priority="47" operator="containsText" text="Asset">
      <formula>NOT(ISERROR(SEARCH("Asset",C127)))</formula>
    </cfRule>
  </conditionalFormatting>
  <conditionalFormatting sqref="D76">
    <cfRule type="cellIs" dxfId="179" priority="43" operator="equal">
      <formula>"Spare"</formula>
    </cfRule>
  </conditionalFormatting>
  <conditionalFormatting sqref="E76">
    <cfRule type="cellIs" dxfId="178" priority="42" operator="equal">
      <formula>"No routeing"</formula>
    </cfRule>
  </conditionalFormatting>
  <conditionalFormatting sqref="D79">
    <cfRule type="cellIs" dxfId="177" priority="41" operator="equal">
      <formula>"Spare"</formula>
    </cfRule>
  </conditionalFormatting>
  <conditionalFormatting sqref="D77">
    <cfRule type="cellIs" dxfId="176" priority="40" operator="equal">
      <formula>"Spare"</formula>
    </cfRule>
  </conditionalFormatting>
  <conditionalFormatting sqref="E77">
    <cfRule type="cellIs" dxfId="175" priority="39" operator="equal">
      <formula>"No routeing"</formula>
    </cfRule>
  </conditionalFormatting>
  <conditionalFormatting sqref="D78">
    <cfRule type="cellIs" dxfId="174" priority="38" operator="equal">
      <formula>"Spare"</formula>
    </cfRule>
  </conditionalFormatting>
  <conditionalFormatting sqref="D80:D81">
    <cfRule type="cellIs" dxfId="173" priority="37" operator="equal">
      <formula>"Spare"</formula>
    </cfRule>
  </conditionalFormatting>
  <conditionalFormatting sqref="D80">
    <cfRule type="cellIs" dxfId="172" priority="36" operator="equal">
      <formula>"Spare"</formula>
    </cfRule>
  </conditionalFormatting>
  <conditionalFormatting sqref="D81">
    <cfRule type="cellIs" dxfId="171" priority="35" operator="equal">
      <formula>"Spare"</formula>
    </cfRule>
  </conditionalFormatting>
  <conditionalFormatting sqref="C82:C126 C65 C67:C79">
    <cfRule type="containsText" dxfId="170" priority="34" operator="containsText" text="Asset">
      <formula>NOT(ISERROR(SEARCH("Asset",C65)))</formula>
    </cfRule>
  </conditionalFormatting>
  <conditionalFormatting sqref="C80">
    <cfRule type="containsText" dxfId="169" priority="33" operator="containsText" text="Asset">
      <formula>NOT(ISERROR(SEARCH("Asset",C80)))</formula>
    </cfRule>
  </conditionalFormatting>
  <conditionalFormatting sqref="C81">
    <cfRule type="containsText" dxfId="168" priority="32" operator="containsText" text="Asset">
      <formula>NOT(ISERROR(SEARCH("Asset",C81)))</formula>
    </cfRule>
  </conditionalFormatting>
  <conditionalFormatting sqref="E64">
    <cfRule type="cellIs" dxfId="167" priority="31" operator="equal">
      <formula>"No routeing"</formula>
    </cfRule>
  </conditionalFormatting>
  <conditionalFormatting sqref="E63">
    <cfRule type="cellIs" dxfId="166" priority="30" operator="equal">
      <formula>"No routeing"</formula>
    </cfRule>
  </conditionalFormatting>
  <conditionalFormatting sqref="E187">
    <cfRule type="cellIs" dxfId="165" priority="29" operator="equal">
      <formula>"No routeing"</formula>
    </cfRule>
  </conditionalFormatting>
  <conditionalFormatting sqref="E187">
    <cfRule type="cellIs" dxfId="164" priority="28" operator="equal">
      <formula>"No routeing"</formula>
    </cfRule>
  </conditionalFormatting>
  <conditionalFormatting sqref="E183">
    <cfRule type="cellIs" dxfId="163" priority="27" operator="equal">
      <formula>"No routeing"</formula>
    </cfRule>
  </conditionalFormatting>
  <conditionalFormatting sqref="E183">
    <cfRule type="cellIs" dxfId="162" priority="26" operator="equal">
      <formula>"No routeing"</formula>
    </cfRule>
  </conditionalFormatting>
  <conditionalFormatting sqref="E183">
    <cfRule type="cellIs" dxfId="161" priority="25" operator="equal">
      <formula>"No routeing"</formula>
    </cfRule>
  </conditionalFormatting>
  <conditionalFormatting sqref="E183">
    <cfRule type="cellIs" dxfId="160" priority="24" operator="equal">
      <formula>"No routeing"</formula>
    </cfRule>
  </conditionalFormatting>
  <conditionalFormatting sqref="C52">
    <cfRule type="containsText" dxfId="159" priority="23" operator="containsText" text="Asset">
      <formula>NOT(ISERROR(SEARCH("Asset",C52)))</formula>
    </cfRule>
  </conditionalFormatting>
  <conditionalFormatting sqref="C53">
    <cfRule type="containsText" dxfId="158" priority="22" operator="containsText" text="Asset">
      <formula>NOT(ISERROR(SEARCH("Asset",C53)))</formula>
    </cfRule>
  </conditionalFormatting>
  <conditionalFormatting sqref="C66">
    <cfRule type="containsText" dxfId="157" priority="20" operator="containsText" text="Asset">
      <formula>NOT(ISERROR(SEARCH("Asset",C66)))</formula>
    </cfRule>
  </conditionalFormatting>
  <conditionalFormatting sqref="E52:E53">
    <cfRule type="cellIs" dxfId="156" priority="19" operator="equal">
      <formula>"No routeing"</formula>
    </cfRule>
  </conditionalFormatting>
  <conditionalFormatting sqref="E179">
    <cfRule type="cellIs" dxfId="155" priority="18" operator="equal">
      <formula>"No routeing"</formula>
    </cfRule>
  </conditionalFormatting>
  <conditionalFormatting sqref="E179">
    <cfRule type="cellIs" dxfId="154" priority="17" operator="equal">
      <formula>"No routeing"</formula>
    </cfRule>
  </conditionalFormatting>
  <conditionalFormatting sqref="E179">
    <cfRule type="cellIs" dxfId="153" priority="16" operator="equal">
      <formula>"No routeing"</formula>
    </cfRule>
  </conditionalFormatting>
  <conditionalFormatting sqref="E179">
    <cfRule type="cellIs" dxfId="152" priority="15" operator="equal">
      <formula>"No routeing"</formula>
    </cfRule>
  </conditionalFormatting>
  <conditionalFormatting sqref="E179">
    <cfRule type="cellIs" dxfId="151" priority="14" operator="equal">
      <formula>"No routeing"</formula>
    </cfRule>
  </conditionalFormatting>
  <conditionalFormatting sqref="E180">
    <cfRule type="cellIs" dxfId="150" priority="13" operator="equal">
      <formula>"No routeing"</formula>
    </cfRule>
  </conditionalFormatting>
  <conditionalFormatting sqref="E180">
    <cfRule type="cellIs" dxfId="149" priority="12" operator="equal">
      <formula>"No routeing"</formula>
    </cfRule>
  </conditionalFormatting>
  <conditionalFormatting sqref="E180">
    <cfRule type="cellIs" dxfId="148" priority="11" operator="equal">
      <formula>"No routeing"</formula>
    </cfRule>
  </conditionalFormatting>
  <conditionalFormatting sqref="E180">
    <cfRule type="cellIs" dxfId="147" priority="10" operator="equal">
      <formula>"No routeing"</formula>
    </cfRule>
  </conditionalFormatting>
  <conditionalFormatting sqref="E180">
    <cfRule type="cellIs" dxfId="146" priority="9" operator="equal">
      <formula>"No routeing"</formula>
    </cfRule>
  </conditionalFormatting>
  <conditionalFormatting sqref="D38:E38">
    <cfRule type="cellIs" dxfId="145" priority="8" operator="equal">
      <formula>"Spare"</formula>
    </cfRule>
  </conditionalFormatting>
  <conditionalFormatting sqref="E38">
    <cfRule type="cellIs" dxfId="144" priority="7" operator="equal">
      <formula>"No routeing"</formula>
    </cfRule>
  </conditionalFormatting>
  <conditionalFormatting sqref="C38">
    <cfRule type="containsText" dxfId="143" priority="6" operator="containsText" text="Asset">
      <formula>NOT(ISERROR(SEARCH("Asset",C38)))</formula>
    </cfRule>
  </conditionalFormatting>
  <conditionalFormatting sqref="D38:E38">
    <cfRule type="cellIs" dxfId="142" priority="5" operator="equal">
      <formula>"Spare"</formula>
    </cfRule>
  </conditionalFormatting>
  <conditionalFormatting sqref="D61:E61">
    <cfRule type="cellIs" dxfId="141" priority="4" operator="equal">
      <formula>"Spare"</formula>
    </cfRule>
  </conditionalFormatting>
  <conditionalFormatting sqref="E61">
    <cfRule type="cellIs" dxfId="140" priority="3" operator="equal">
      <formula>"No routeing"</formula>
    </cfRule>
  </conditionalFormatting>
  <conditionalFormatting sqref="C61">
    <cfRule type="containsText" dxfId="139" priority="2" operator="containsText" text="Asset">
      <formula>NOT(ISERROR(SEARCH("Asset",C61)))</formula>
    </cfRule>
  </conditionalFormatting>
  <conditionalFormatting sqref="D61:E61">
    <cfRule type="cellIs" dxfId="138" priority="1" operator="equal">
      <formula>"Spare"</formula>
    </cfRule>
  </conditionalFormatting>
  <dataValidations count="2">
    <dataValidation type="list" allowBlank="1" showInputMessage="1" showErrorMessage="1" sqref="D32:D231">
      <formula1>Assets.cost.trend.names</formula1>
    </dataValidation>
    <dataValidation type="list" allowBlank="1" showInputMessage="1" showErrorMessage="1" sqref="E32:E231">
      <formula1>RF.Option.List</formula1>
    </dataValidation>
  </dataValidations>
  <pageMargins left="0.70866141732283472" right="0.70866141732283472" top="0.51181102362204722" bottom="0.51181102362204722" header="0.51181102362204722" footer="0.35433070866141736"/>
  <pageSetup paperSize="9" orientation="landscape" horizontalDpi="4294967292" verticalDpi="4294967292" r:id="rId1"/>
  <headerFooter alignWithMargins="0">
    <oddFooter xml:space="preserve">&amp;L&amp;F : &amp;A&amp;CPrinted at &amp;T on &amp;D&amp;RCommercial in confidence © Analysys Mason </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autoPageBreaks="0"/>
  </sheetPr>
  <dimension ref="A1:O210"/>
  <sheetViews>
    <sheetView showGridLines="0" defaultGridColor="0" colorId="22" zoomScale="120" zoomScaleNormal="120" workbookViewId="0">
      <pane xSplit="3" ySplit="5" topLeftCell="D6" activePane="bottomRight" state="frozen"/>
      <selection pane="topRight"/>
      <selection pane="bottomLeft"/>
      <selection pane="bottomRight" activeCell="D6" sqref="D6"/>
    </sheetView>
  </sheetViews>
  <sheetFormatPr baseColWidth="10" defaultColWidth="12.7109375" defaultRowHeight="12" outlineLevelRow="1" x14ac:dyDescent="0.2"/>
  <cols>
    <col min="1" max="1" width="6.7109375" style="81" customWidth="1"/>
    <col min="2" max="2" width="5.42578125" style="81" customWidth="1"/>
    <col min="3" max="3" width="51.5703125" style="81" customWidth="1"/>
    <col min="4" max="4" width="8.42578125" style="81" customWidth="1"/>
    <col min="5" max="5" width="12.7109375" style="81"/>
    <col min="6" max="6" width="1.7109375" style="81" customWidth="1"/>
    <col min="7" max="7" width="12.7109375" style="81"/>
    <col min="8" max="8" width="18.140625" style="81" customWidth="1"/>
    <col min="9" max="9" width="16.5703125" style="81" customWidth="1"/>
    <col min="10" max="10" width="1.7109375" style="81" customWidth="1"/>
    <col min="11" max="11" width="14.85546875" style="81" customWidth="1"/>
    <col min="12" max="12" width="17.140625" style="81" customWidth="1"/>
    <col min="13" max="13" width="1.7109375" style="81" customWidth="1"/>
    <col min="14" max="14" width="15.5703125" style="81" customWidth="1"/>
    <col min="15" max="16384" width="12.7109375" style="81"/>
  </cols>
  <sheetData>
    <row r="1" spans="2:14" s="2" customFormat="1" ht="45" customHeight="1" x14ac:dyDescent="0.2">
      <c r="D1" s="3" t="s">
        <v>1596</v>
      </c>
    </row>
    <row r="3" spans="2:14" ht="15.75" customHeight="1" x14ac:dyDescent="0.2">
      <c r="B3" s="69" t="s">
        <v>889</v>
      </c>
    </row>
    <row r="4" spans="2:14" x14ac:dyDescent="0.2">
      <c r="G4" s="132" t="s">
        <v>1734</v>
      </c>
      <c r="H4" s="132"/>
      <c r="I4" s="132"/>
      <c r="K4" s="132" t="s">
        <v>391</v>
      </c>
      <c r="L4" s="132"/>
      <c r="N4" s="132" t="s">
        <v>61</v>
      </c>
    </row>
    <row r="5" spans="2:14" ht="36" x14ac:dyDescent="0.2">
      <c r="C5" s="98" t="s">
        <v>890</v>
      </c>
      <c r="E5" s="98" t="s">
        <v>891</v>
      </c>
      <c r="G5" s="98" t="s">
        <v>892</v>
      </c>
      <c r="H5" s="98" t="s">
        <v>390</v>
      </c>
      <c r="I5" s="98" t="s">
        <v>1735</v>
      </c>
      <c r="K5" s="98" t="s">
        <v>893</v>
      </c>
      <c r="L5" s="98" t="s">
        <v>390</v>
      </c>
      <c r="N5" s="98" t="s">
        <v>894</v>
      </c>
    </row>
    <row r="6" spans="2:14" x14ac:dyDescent="0.2">
      <c r="E6" s="137" t="s">
        <v>389</v>
      </c>
      <c r="F6" s="137"/>
      <c r="G6" s="137" t="s">
        <v>388</v>
      </c>
      <c r="H6" s="137" t="s">
        <v>387</v>
      </c>
      <c r="I6" s="137" t="s">
        <v>386</v>
      </c>
      <c r="J6" s="137"/>
      <c r="K6" s="137" t="s">
        <v>385</v>
      </c>
      <c r="L6" s="137" t="s">
        <v>384</v>
      </c>
      <c r="M6" s="137"/>
      <c r="N6" s="137" t="s">
        <v>383</v>
      </c>
    </row>
    <row r="7" spans="2:14" x14ac:dyDescent="0.2">
      <c r="B7" s="78">
        <v>1</v>
      </c>
      <c r="C7" s="162" t="str">
        <f t="array" ref="C7:C206">Assets.list</f>
        <v>Asset 1</v>
      </c>
      <c r="D7"/>
      <c r="E7" s="558">
        <v>0</v>
      </c>
      <c r="F7" s="104"/>
      <c r="G7" s="233">
        <f t="array" ref="G7:G206">Unit.investment.cost</f>
        <v>0</v>
      </c>
      <c r="H7" s="135">
        <f t="shared" ref="H7:H38" si="0">E7*G7</f>
        <v>0</v>
      </c>
      <c r="I7" s="135">
        <f t="array" ref="I7:I206">Depreciation</f>
        <v>0</v>
      </c>
      <c r="J7" s="104"/>
      <c r="K7" s="233">
        <f t="array" ref="K7:K206">Unit.operating.cost</f>
        <v>0</v>
      </c>
      <c r="L7" s="168">
        <f t="shared" ref="L7:L38" si="1">E7*K7*(1+Working.capital.allowance)</f>
        <v>0</v>
      </c>
      <c r="M7" s="104"/>
      <c r="N7" s="133">
        <f t="shared" ref="N7:N38" si="2">I7+L7</f>
        <v>0</v>
      </c>
    </row>
    <row r="8" spans="2:14" hidden="1" outlineLevel="1" x14ac:dyDescent="0.2">
      <c r="B8" s="78">
        <f t="shared" ref="B8:B39" si="3">1+B7</f>
        <v>2</v>
      </c>
      <c r="C8" s="162" t="str">
        <v>Asset 2</v>
      </c>
      <c r="D8"/>
      <c r="E8" s="558">
        <v>0</v>
      </c>
      <c r="F8" s="104"/>
      <c r="G8" s="233">
        <v>0</v>
      </c>
      <c r="H8" s="135">
        <f t="shared" si="0"/>
        <v>0</v>
      </c>
      <c r="I8" s="135">
        <v>0</v>
      </c>
      <c r="J8" s="104"/>
      <c r="K8" s="233">
        <v>0</v>
      </c>
      <c r="L8" s="168">
        <f t="shared" si="1"/>
        <v>0</v>
      </c>
      <c r="M8" s="104"/>
      <c r="N8" s="133">
        <f t="shared" si="2"/>
        <v>0</v>
      </c>
    </row>
    <row r="9" spans="2:14" hidden="1" outlineLevel="1" x14ac:dyDescent="0.2">
      <c r="B9" s="78">
        <f t="shared" si="3"/>
        <v>3</v>
      </c>
      <c r="C9" s="162" t="str">
        <v>Asset 3</v>
      </c>
      <c r="D9"/>
      <c r="E9" s="558">
        <v>0</v>
      </c>
      <c r="F9" s="104"/>
      <c r="G9" s="233">
        <v>0</v>
      </c>
      <c r="H9" s="135">
        <f t="shared" si="0"/>
        <v>0</v>
      </c>
      <c r="I9" s="135">
        <v>0</v>
      </c>
      <c r="J9" s="104"/>
      <c r="K9" s="233">
        <v>0</v>
      </c>
      <c r="L9" s="168">
        <f t="shared" si="1"/>
        <v>0</v>
      </c>
      <c r="M9" s="104"/>
      <c r="N9" s="133">
        <f t="shared" si="2"/>
        <v>0</v>
      </c>
    </row>
    <row r="10" spans="2:14" hidden="1" outlineLevel="1" x14ac:dyDescent="0.2">
      <c r="B10" s="78">
        <f t="shared" si="3"/>
        <v>4</v>
      </c>
      <c r="C10" s="162" t="str">
        <v>TRX</v>
      </c>
      <c r="D10"/>
      <c r="E10" s="226">
        <f>Required.assets.TRX</f>
        <v>32180</v>
      </c>
      <c r="F10" s="104"/>
      <c r="G10" s="233">
        <v>1400</v>
      </c>
      <c r="H10" s="135">
        <f t="shared" si="0"/>
        <v>45052000</v>
      </c>
      <c r="I10" s="135">
        <v>10591014.085208448</v>
      </c>
      <c r="J10" s="104"/>
      <c r="K10" s="233">
        <v>140</v>
      </c>
      <c r="L10" s="168">
        <f t="shared" si="1"/>
        <v>4545228.3934246572</v>
      </c>
      <c r="M10" s="104"/>
      <c r="N10" s="133">
        <f t="shared" si="2"/>
        <v>15136242.478633106</v>
      </c>
    </row>
    <row r="11" spans="2:14" hidden="1" outlineLevel="1" x14ac:dyDescent="0.2">
      <c r="B11" s="78">
        <f t="shared" si="3"/>
        <v>5</v>
      </c>
      <c r="C11" s="162" t="str">
        <v>Asset 4</v>
      </c>
      <c r="D11"/>
      <c r="E11" s="558">
        <v>0</v>
      </c>
      <c r="F11" s="104"/>
      <c r="G11" s="233">
        <v>0</v>
      </c>
      <c r="H11" s="135">
        <f t="shared" si="0"/>
        <v>0</v>
      </c>
      <c r="I11" s="135">
        <v>0</v>
      </c>
      <c r="J11" s="104"/>
      <c r="K11" s="233">
        <v>0</v>
      </c>
      <c r="L11" s="168">
        <f t="shared" si="1"/>
        <v>0</v>
      </c>
      <c r="M11" s="104"/>
      <c r="N11" s="133">
        <f t="shared" si="2"/>
        <v>0</v>
      </c>
    </row>
    <row r="12" spans="2:14" hidden="1" outlineLevel="1" x14ac:dyDescent="0.2">
      <c r="B12" s="78">
        <f t="shared" si="3"/>
        <v>6</v>
      </c>
      <c r="C12" s="162" t="str">
        <v>Asset 5</v>
      </c>
      <c r="D12"/>
      <c r="E12" s="558">
        <v>0</v>
      </c>
      <c r="F12" s="104"/>
      <c r="G12" s="233">
        <v>0</v>
      </c>
      <c r="H12" s="135">
        <f t="shared" si="0"/>
        <v>0</v>
      </c>
      <c r="I12" s="135">
        <v>0</v>
      </c>
      <c r="J12" s="104"/>
      <c r="K12" s="233">
        <v>0</v>
      </c>
      <c r="L12" s="168">
        <f t="shared" si="1"/>
        <v>0</v>
      </c>
      <c r="M12" s="104"/>
      <c r="N12" s="133">
        <f t="shared" si="2"/>
        <v>0</v>
      </c>
    </row>
    <row r="13" spans="2:14" hidden="1" outlineLevel="1" x14ac:dyDescent="0.2">
      <c r="B13" s="78">
        <f t="shared" si="3"/>
        <v>7</v>
      </c>
      <c r="C13" s="162" t="str">
        <v>Portadora 3G</v>
      </c>
      <c r="D13"/>
      <c r="E13" s="226">
        <f>Required.assets.3G.carriers</f>
        <v>10993</v>
      </c>
      <c r="F13" s="104"/>
      <c r="G13" s="233">
        <v>4500</v>
      </c>
      <c r="H13" s="135">
        <f t="shared" si="0"/>
        <v>49468500</v>
      </c>
      <c r="I13" s="135">
        <v>11629263.523797702</v>
      </c>
      <c r="J13" s="104"/>
      <c r="K13" s="233">
        <v>450</v>
      </c>
      <c r="L13" s="168">
        <f t="shared" si="1"/>
        <v>4990802.4234246574</v>
      </c>
      <c r="M13" s="104"/>
      <c r="N13" s="133">
        <f t="shared" si="2"/>
        <v>16620065.947222359</v>
      </c>
    </row>
    <row r="14" spans="2:14" hidden="1" outlineLevel="1" x14ac:dyDescent="0.2">
      <c r="B14" s="78">
        <f t="shared" si="3"/>
        <v>8</v>
      </c>
      <c r="C14" s="162" t="str">
        <v>Channel kit</v>
      </c>
      <c r="D14"/>
      <c r="E14" s="226">
        <f>Required.assets.CK</f>
        <v>19254</v>
      </c>
      <c r="F14" s="104"/>
      <c r="G14" s="233">
        <v>580</v>
      </c>
      <c r="H14" s="135">
        <f t="shared" si="0"/>
        <v>11167320</v>
      </c>
      <c r="I14" s="135">
        <v>2625260.6635450148</v>
      </c>
      <c r="J14" s="104"/>
      <c r="K14" s="233">
        <v>34.799999999999997</v>
      </c>
      <c r="L14" s="168">
        <f t="shared" si="1"/>
        <v>675992.45239890402</v>
      </c>
      <c r="M14" s="104"/>
      <c r="N14" s="133">
        <f t="shared" si="2"/>
        <v>3301253.1159439189</v>
      </c>
    </row>
    <row r="15" spans="2:14" hidden="1" outlineLevel="1" x14ac:dyDescent="0.2">
      <c r="B15" s="78">
        <f t="shared" si="3"/>
        <v>9</v>
      </c>
      <c r="C15" s="162" t="str">
        <v>HSDPA salto a: 1.8</v>
      </c>
      <c r="D15"/>
      <c r="E15" s="160">
        <f>Required.assets.HSDPA.sites.1.8+Required.assets.HSDPA.sites.3.6+Required.assets.HSDPA.sites.7.2+Required.assets.HSDPA.sites.10.1+Required.assets.HSDPA.sites.14.1+Required.assets.HSDPA.sites.21.1</f>
        <v>5483</v>
      </c>
      <c r="F15" s="104"/>
      <c r="G15" s="233">
        <v>550</v>
      </c>
      <c r="H15" s="135">
        <f t="shared" si="0"/>
        <v>3015650</v>
      </c>
      <c r="I15" s="135">
        <v>708931.71504170413</v>
      </c>
      <c r="J15" s="104"/>
      <c r="K15" s="233">
        <v>115.5</v>
      </c>
      <c r="L15" s="168">
        <f t="shared" si="1"/>
        <v>638913.20717671234</v>
      </c>
      <c r="M15" s="104"/>
      <c r="N15" s="133">
        <f t="shared" si="2"/>
        <v>1347844.9222184164</v>
      </c>
    </row>
    <row r="16" spans="2:14" hidden="1" outlineLevel="1" x14ac:dyDescent="0.2">
      <c r="B16" s="78">
        <f t="shared" si="3"/>
        <v>10</v>
      </c>
      <c r="C16" s="162" t="str">
        <v>HSDPA salto a: 3.6</v>
      </c>
      <c r="D16"/>
      <c r="E16" s="160">
        <f>Required.assets.HSDPA.sites.3.6+Required.assets.HSDPA.sites.7.2+Required.assets.HSDPA.sites.10.1+Required.assets.HSDPA.sites.14.1+Required.assets.HSDPA.sites.21.1</f>
        <v>5483</v>
      </c>
      <c r="F16" s="104"/>
      <c r="G16" s="233">
        <v>550</v>
      </c>
      <c r="H16" s="135">
        <f t="shared" si="0"/>
        <v>3015650</v>
      </c>
      <c r="I16" s="135">
        <v>708931.71504170413</v>
      </c>
      <c r="J16" s="104"/>
      <c r="K16" s="233">
        <v>115.5</v>
      </c>
      <c r="L16" s="168">
        <f t="shared" si="1"/>
        <v>638913.20717671234</v>
      </c>
      <c r="M16" s="104"/>
      <c r="N16" s="133">
        <f t="shared" si="2"/>
        <v>1347844.9222184164</v>
      </c>
    </row>
    <row r="17" spans="2:14" hidden="1" outlineLevel="1" x14ac:dyDescent="0.2">
      <c r="B17" s="78">
        <f t="shared" si="3"/>
        <v>11</v>
      </c>
      <c r="C17" s="162" t="str">
        <v>HSDPA salto a: 7.2</v>
      </c>
      <c r="D17"/>
      <c r="E17" s="160">
        <f>Required.assets.HSDPA.sites.7.2+Required.assets.HSDPA.sites.10.1+Required.assets.HSDPA.sites.14.1+Required.assets.HSDPA.sites.21.1</f>
        <v>5483</v>
      </c>
      <c r="F17" s="104"/>
      <c r="G17" s="233">
        <v>725</v>
      </c>
      <c r="H17" s="135">
        <f t="shared" si="0"/>
        <v>3975175</v>
      </c>
      <c r="I17" s="135">
        <v>934500.89710042824</v>
      </c>
      <c r="J17" s="104"/>
      <c r="K17" s="233">
        <v>152.25</v>
      </c>
      <c r="L17" s="168">
        <f t="shared" si="1"/>
        <v>842203.7730965754</v>
      </c>
      <c r="M17" s="104"/>
      <c r="N17" s="133">
        <f t="shared" si="2"/>
        <v>1776704.6701970035</v>
      </c>
    </row>
    <row r="18" spans="2:14" hidden="1" outlineLevel="1" x14ac:dyDescent="0.2">
      <c r="B18" s="78">
        <f t="shared" si="3"/>
        <v>12</v>
      </c>
      <c r="C18" s="162" t="str">
        <v>HSDPA salto a: 10.1</v>
      </c>
      <c r="D18"/>
      <c r="E18" s="160">
        <f>Required.assets.HSDPA.sites.10.1+Required.assets.HSDPA.sites.14.1+Required.assets.HSDPA.sites.21.1</f>
        <v>5483</v>
      </c>
      <c r="F18" s="104"/>
      <c r="G18" s="233">
        <v>1060</v>
      </c>
      <c r="H18" s="135">
        <f t="shared" si="0"/>
        <v>5811980</v>
      </c>
      <c r="I18" s="135">
        <v>1366304.7598985571</v>
      </c>
      <c r="J18" s="104"/>
      <c r="K18" s="233">
        <v>222.6</v>
      </c>
      <c r="L18" s="168">
        <f t="shared" si="1"/>
        <v>1231359.9992860274</v>
      </c>
      <c r="M18" s="104"/>
      <c r="N18" s="133">
        <f t="shared" si="2"/>
        <v>2597664.7591845845</v>
      </c>
    </row>
    <row r="19" spans="2:14" hidden="1" outlineLevel="1" x14ac:dyDescent="0.2">
      <c r="B19" s="78">
        <f t="shared" si="3"/>
        <v>13</v>
      </c>
      <c r="C19" s="162" t="str">
        <v>HSDPA salto a: 14.4</v>
      </c>
      <c r="D19"/>
      <c r="E19" s="160">
        <f>Required.assets.HSDPA.sites.14.1+Required.assets.HSDPA.sites.21.1</f>
        <v>5483</v>
      </c>
      <c r="F19" s="104"/>
      <c r="G19" s="233">
        <v>1500</v>
      </c>
      <c r="H19" s="135">
        <f t="shared" si="0"/>
        <v>8224500</v>
      </c>
      <c r="I19" s="135">
        <v>1933450.1319319203</v>
      </c>
      <c r="J19" s="104"/>
      <c r="K19" s="233">
        <v>315</v>
      </c>
      <c r="L19" s="168">
        <f t="shared" si="1"/>
        <v>1742490.5650273974</v>
      </c>
      <c r="M19" s="104"/>
      <c r="N19" s="133">
        <f t="shared" si="2"/>
        <v>3675940.6969593177</v>
      </c>
    </row>
    <row r="20" spans="2:14" hidden="1" outlineLevel="1" x14ac:dyDescent="0.2">
      <c r="B20" s="78">
        <f t="shared" si="3"/>
        <v>14</v>
      </c>
      <c r="C20" s="162" t="str">
        <v>HSDPA salto a: 21.1</v>
      </c>
      <c r="D20"/>
      <c r="E20" s="226">
        <f>Required.assets.HSDPA.sites.21.1</f>
        <v>5483</v>
      </c>
      <c r="F20" s="104"/>
      <c r="G20" s="233">
        <v>1700</v>
      </c>
      <c r="H20" s="135">
        <f t="shared" si="0"/>
        <v>9321100</v>
      </c>
      <c r="I20" s="135">
        <v>2191243.4828561763</v>
      </c>
      <c r="J20" s="104"/>
      <c r="K20" s="233">
        <v>357</v>
      </c>
      <c r="L20" s="168">
        <f t="shared" si="1"/>
        <v>1974822.6403643836</v>
      </c>
      <c r="M20" s="104"/>
      <c r="N20" s="133">
        <f t="shared" si="2"/>
        <v>4166066.1232205601</v>
      </c>
    </row>
    <row r="21" spans="2:14" hidden="1" outlineLevel="1" x14ac:dyDescent="0.2">
      <c r="B21" s="78">
        <f t="shared" si="3"/>
        <v>15</v>
      </c>
      <c r="C21" s="162" t="str">
        <v>HSUPA salto a: 0.73</v>
      </c>
      <c r="D21"/>
      <c r="E21" s="160">
        <f>Required.assets.HSUPA.sites.0.73+Required.assets.HSUPA.sites.1.46+Required.assets.HSUPA.sites.2+Required.assets.HSUPA.sites.2.93+Required.assets.HSUPA.sites.5.76+Required.assets.HSUPA.sites.11.5</f>
        <v>5483</v>
      </c>
      <c r="F21" s="104"/>
      <c r="G21" s="233">
        <v>190</v>
      </c>
      <c r="H21" s="135">
        <f t="shared" si="0"/>
        <v>1041770</v>
      </c>
      <c r="I21" s="135">
        <v>244903.68337804326</v>
      </c>
      <c r="J21" s="104"/>
      <c r="K21" s="233">
        <v>24.7</v>
      </c>
      <c r="L21" s="168">
        <f t="shared" si="1"/>
        <v>136633.38716246575</v>
      </c>
      <c r="M21" s="104"/>
      <c r="N21" s="133">
        <f t="shared" si="2"/>
        <v>381537.07054050901</v>
      </c>
    </row>
    <row r="22" spans="2:14" hidden="1" outlineLevel="1" x14ac:dyDescent="0.2">
      <c r="B22" s="78">
        <f t="shared" si="3"/>
        <v>16</v>
      </c>
      <c r="C22" s="162" t="str">
        <v>HSUPA salto a: 1.46</v>
      </c>
      <c r="D22"/>
      <c r="E22" s="160">
        <f>Required.assets.HSUPA.sites.1.46+Required.assets.HSUPA.sites.2+Required.assets.HSUPA.sites.2.93+Required.assets.HSUPA.sites.5.76+Required.assets.HSUPA.sites.11.5</f>
        <v>5483</v>
      </c>
      <c r="F22" s="104"/>
      <c r="G22" s="233">
        <v>20</v>
      </c>
      <c r="H22" s="135">
        <f t="shared" si="0"/>
        <v>109660</v>
      </c>
      <c r="I22" s="135">
        <v>25779.335092425605</v>
      </c>
      <c r="J22" s="104"/>
      <c r="K22" s="233">
        <v>2.6</v>
      </c>
      <c r="L22" s="168">
        <f t="shared" si="1"/>
        <v>14382.461806575344</v>
      </c>
      <c r="M22" s="104"/>
      <c r="N22" s="133">
        <f t="shared" si="2"/>
        <v>40161.796899000947</v>
      </c>
    </row>
    <row r="23" spans="2:14" hidden="1" outlineLevel="1" x14ac:dyDescent="0.2">
      <c r="B23" s="78">
        <f t="shared" si="3"/>
        <v>17</v>
      </c>
      <c r="C23" s="162" t="str">
        <v>HSUPA salto a: 2</v>
      </c>
      <c r="D23"/>
      <c r="E23" s="160">
        <f>Required.assets.HSUPA.sites.2+Required.assets.HSUPA.sites.2.93+Required.assets.HSUPA.sites.5.76+Required.assets.HSUPA.sites.11.5</f>
        <v>5483</v>
      </c>
      <c r="F23" s="104"/>
      <c r="G23" s="233">
        <v>20</v>
      </c>
      <c r="H23" s="135">
        <f t="shared" si="0"/>
        <v>109660</v>
      </c>
      <c r="I23" s="135">
        <v>25779.335092425605</v>
      </c>
      <c r="J23" s="104"/>
      <c r="K23" s="233">
        <v>2.6</v>
      </c>
      <c r="L23" s="168">
        <f t="shared" si="1"/>
        <v>14382.461806575344</v>
      </c>
      <c r="M23" s="104"/>
      <c r="N23" s="133">
        <f t="shared" si="2"/>
        <v>40161.796899000947</v>
      </c>
    </row>
    <row r="24" spans="2:14" hidden="1" outlineLevel="1" x14ac:dyDescent="0.2">
      <c r="B24" s="78">
        <f t="shared" si="3"/>
        <v>18</v>
      </c>
      <c r="C24" s="162" t="str">
        <v>HSUPA salto a: 2.93</v>
      </c>
      <c r="D24"/>
      <c r="E24" s="160">
        <f>Required.assets.HSUPA.sites.2.93+Required.assets.HSUPA.sites.5.76+Required.assets.HSUPA.sites.11.5</f>
        <v>5483</v>
      </c>
      <c r="F24" s="104"/>
      <c r="G24" s="233">
        <v>20</v>
      </c>
      <c r="H24" s="135">
        <f t="shared" si="0"/>
        <v>109660</v>
      </c>
      <c r="I24" s="135">
        <v>25779.335092425605</v>
      </c>
      <c r="J24" s="104"/>
      <c r="K24" s="233">
        <v>2.6</v>
      </c>
      <c r="L24" s="168">
        <f t="shared" si="1"/>
        <v>14382.461806575344</v>
      </c>
      <c r="M24" s="104"/>
      <c r="N24" s="133">
        <f t="shared" si="2"/>
        <v>40161.796899000947</v>
      </c>
    </row>
    <row r="25" spans="2:14" hidden="1" outlineLevel="1" x14ac:dyDescent="0.2">
      <c r="B25" s="78">
        <f t="shared" si="3"/>
        <v>19</v>
      </c>
      <c r="C25" s="162" t="str">
        <v>HSUPA salto a: 5.76</v>
      </c>
      <c r="D25"/>
      <c r="E25" s="160">
        <f>Required.assets.HSUPA.sites.5.76+Required.assets.HSUPA.sites.11.5</f>
        <v>5483</v>
      </c>
      <c r="F25" s="104"/>
      <c r="G25" s="233">
        <v>20</v>
      </c>
      <c r="H25" s="135">
        <f t="shared" si="0"/>
        <v>109660</v>
      </c>
      <c r="I25" s="135">
        <v>25779.335092425605</v>
      </c>
      <c r="J25" s="104"/>
      <c r="K25" s="233">
        <v>2.6</v>
      </c>
      <c r="L25" s="168">
        <f t="shared" si="1"/>
        <v>14382.461806575344</v>
      </c>
      <c r="M25" s="104"/>
      <c r="N25" s="133">
        <f t="shared" si="2"/>
        <v>40161.796899000947</v>
      </c>
    </row>
    <row r="26" spans="2:14" hidden="1" outlineLevel="1" x14ac:dyDescent="0.2">
      <c r="B26" s="78">
        <f t="shared" si="3"/>
        <v>20</v>
      </c>
      <c r="C26" s="162" t="str">
        <v>HSUPA salto a: 11.5</v>
      </c>
      <c r="D26"/>
      <c r="E26" s="226">
        <f>Required.assets.HSUPA.sites.11.5</f>
        <v>0</v>
      </c>
      <c r="F26" s="104"/>
      <c r="G26" s="233">
        <v>30</v>
      </c>
      <c r="H26" s="135">
        <f t="shared" si="0"/>
        <v>0</v>
      </c>
      <c r="I26" s="135">
        <v>0</v>
      </c>
      <c r="J26" s="104"/>
      <c r="K26" s="233">
        <v>3.9000000000000004</v>
      </c>
      <c r="L26" s="168">
        <f t="shared" si="1"/>
        <v>0</v>
      </c>
      <c r="M26" s="104"/>
      <c r="N26" s="133">
        <f t="shared" si="2"/>
        <v>0</v>
      </c>
    </row>
    <row r="27" spans="2:14" hidden="1" outlineLevel="1" x14ac:dyDescent="0.2">
      <c r="B27" s="78">
        <f t="shared" si="3"/>
        <v>21</v>
      </c>
      <c r="C27" s="162" t="str">
        <v>Asset 21</v>
      </c>
      <c r="D27"/>
      <c r="E27" s="558">
        <v>0</v>
      </c>
      <c r="F27" s="104"/>
      <c r="G27" s="233">
        <v>0</v>
      </c>
      <c r="H27" s="135">
        <f t="shared" si="0"/>
        <v>0</v>
      </c>
      <c r="I27" s="135">
        <v>0</v>
      </c>
      <c r="J27" s="104"/>
      <c r="K27" s="233">
        <v>0</v>
      </c>
      <c r="L27" s="168">
        <f t="shared" si="1"/>
        <v>0</v>
      </c>
      <c r="M27" s="104"/>
      <c r="N27" s="133">
        <f t="shared" si="2"/>
        <v>0</v>
      </c>
    </row>
    <row r="28" spans="2:14" hidden="1" outlineLevel="1" x14ac:dyDescent="0.2">
      <c r="B28" s="78">
        <f t="shared" si="3"/>
        <v>22</v>
      </c>
      <c r="C28" s="162" t="str">
        <v>Asset 22</v>
      </c>
      <c r="D28"/>
      <c r="E28" s="558">
        <v>0</v>
      </c>
      <c r="F28" s="104"/>
      <c r="G28" s="233">
        <v>0</v>
      </c>
      <c r="H28" s="135">
        <f t="shared" si="0"/>
        <v>0</v>
      </c>
      <c r="I28" s="135">
        <v>0</v>
      </c>
      <c r="J28" s="104"/>
      <c r="K28" s="233">
        <v>0</v>
      </c>
      <c r="L28" s="168">
        <f t="shared" si="1"/>
        <v>0</v>
      </c>
      <c r="M28" s="104"/>
      <c r="N28" s="133">
        <f t="shared" si="2"/>
        <v>0</v>
      </c>
    </row>
    <row r="29" spans="2:14" hidden="1" outlineLevel="1" x14ac:dyDescent="0.2">
      <c r="B29" s="78">
        <f t="shared" si="3"/>
        <v>23</v>
      </c>
      <c r="C29" s="162" t="str">
        <v>Portadora LTE</v>
      </c>
      <c r="D29"/>
      <c r="E29" s="224">
        <f>Required.assets.LTE.carriers</f>
        <v>11299</v>
      </c>
      <c r="F29" s="104"/>
      <c r="G29" s="233">
        <v>2800</v>
      </c>
      <c r="H29" s="135">
        <f t="shared" si="0"/>
        <v>31637200</v>
      </c>
      <c r="I29" s="135">
        <v>7437406.348587337</v>
      </c>
      <c r="J29" s="104"/>
      <c r="K29" s="233">
        <v>560</v>
      </c>
      <c r="L29" s="168">
        <f t="shared" si="1"/>
        <v>6383658.8710136991</v>
      </c>
      <c r="M29" s="104"/>
      <c r="N29" s="133">
        <f t="shared" si="2"/>
        <v>13821065.219601035</v>
      </c>
    </row>
    <row r="30" spans="2:14" hidden="1" outlineLevel="1" x14ac:dyDescent="0.2">
      <c r="B30" s="78">
        <f t="shared" si="3"/>
        <v>24</v>
      </c>
      <c r="C30" s="162" t="str">
        <v>LTE salto a: 10.8</v>
      </c>
      <c r="D30"/>
      <c r="E30" s="160">
        <f>Required.assets.LTE.sites.10.8+Required.assets.LTE.sites.16.2+Required.assets.LTE.sites.21.6+Required.assets.LTE.sites.32.4+Required.assets.LTE.sites.43.2+Required.assets.LTE.sites.86.4</f>
        <v>11299</v>
      </c>
      <c r="F30" s="104"/>
      <c r="G30" s="233">
        <v>1930</v>
      </c>
      <c r="H30" s="135">
        <f t="shared" si="0"/>
        <v>21807070</v>
      </c>
      <c r="I30" s="135">
        <v>5126497.9474191284</v>
      </c>
      <c r="J30" s="104"/>
      <c r="K30" s="233">
        <v>308.8</v>
      </c>
      <c r="L30" s="168">
        <f t="shared" si="1"/>
        <v>3520131.891730411</v>
      </c>
      <c r="M30" s="104"/>
      <c r="N30" s="133">
        <f t="shared" si="2"/>
        <v>8646629.8391495384</v>
      </c>
    </row>
    <row r="31" spans="2:14" hidden="1" outlineLevel="1" x14ac:dyDescent="0.2">
      <c r="B31" s="78">
        <f t="shared" si="3"/>
        <v>25</v>
      </c>
      <c r="C31" s="162" t="str">
        <v>LTE salto a: 16.2</v>
      </c>
      <c r="D31"/>
      <c r="E31" s="160">
        <f>Required.assets.LTE.sites.16.2+Required.assets.LTE.sites.21.6+Required.assets.LTE.sites.32.4+Required.assets.LTE.sites.43.2+Required.assets.LTE.sites.86.4</f>
        <v>11299</v>
      </c>
      <c r="F31" s="104"/>
      <c r="G31" s="233">
        <v>1550</v>
      </c>
      <c r="H31" s="135">
        <f t="shared" si="0"/>
        <v>17513450</v>
      </c>
      <c r="I31" s="135">
        <v>4117135.6572537045</v>
      </c>
      <c r="J31" s="104"/>
      <c r="K31" s="233">
        <v>248</v>
      </c>
      <c r="L31" s="168">
        <f t="shared" si="1"/>
        <v>2827048.9285917808</v>
      </c>
      <c r="M31" s="104"/>
      <c r="N31" s="133">
        <f t="shared" si="2"/>
        <v>6944184.5858454853</v>
      </c>
    </row>
    <row r="32" spans="2:14" hidden="1" outlineLevel="1" x14ac:dyDescent="0.2">
      <c r="B32" s="78">
        <f t="shared" si="3"/>
        <v>26</v>
      </c>
      <c r="C32" s="162" t="str">
        <v>LTE salto a: 21.6</v>
      </c>
      <c r="D32"/>
      <c r="E32" s="160">
        <f>Required.assets.LTE.sites.21.6+Required.assets.LTE.sites.32.4+Required.assets.LTE.sites.43.2+Required.assets.LTE.sites.86.4</f>
        <v>11299</v>
      </c>
      <c r="F32" s="104"/>
      <c r="G32" s="233">
        <v>1600</v>
      </c>
      <c r="H32" s="135">
        <f t="shared" si="0"/>
        <v>18078400</v>
      </c>
      <c r="I32" s="135">
        <v>4249946.4849070497</v>
      </c>
      <c r="J32" s="104"/>
      <c r="K32" s="233">
        <v>256</v>
      </c>
      <c r="L32" s="168">
        <f t="shared" si="1"/>
        <v>2918244.0553205479</v>
      </c>
      <c r="M32" s="104"/>
      <c r="N32" s="133">
        <f t="shared" si="2"/>
        <v>7168190.5402275976</v>
      </c>
    </row>
    <row r="33" spans="2:14" hidden="1" outlineLevel="1" x14ac:dyDescent="0.2">
      <c r="B33" s="78">
        <f t="shared" si="3"/>
        <v>27</v>
      </c>
      <c r="C33" s="162" t="str">
        <v>LTE salto a: 32.4</v>
      </c>
      <c r="D33"/>
      <c r="E33" s="160">
        <f>Required.assets.LTE.sites.32.4+Required.assets.LTE.sites.43.2+Required.assets.LTE.sites.86.4</f>
        <v>11299</v>
      </c>
      <c r="F33" s="104"/>
      <c r="G33" s="233">
        <v>1600</v>
      </c>
      <c r="H33" s="135">
        <f t="shared" si="0"/>
        <v>18078400</v>
      </c>
      <c r="I33" s="135">
        <v>4249946.4849070497</v>
      </c>
      <c r="J33" s="104"/>
      <c r="K33" s="233">
        <v>256</v>
      </c>
      <c r="L33" s="168">
        <f t="shared" si="1"/>
        <v>2918244.0553205479</v>
      </c>
      <c r="M33" s="104"/>
      <c r="N33" s="133">
        <f t="shared" si="2"/>
        <v>7168190.5402275976</v>
      </c>
    </row>
    <row r="34" spans="2:14" hidden="1" outlineLevel="1" x14ac:dyDescent="0.2">
      <c r="B34" s="78">
        <f t="shared" si="3"/>
        <v>28</v>
      </c>
      <c r="C34" s="162" t="str">
        <v>LTE salto a: 43.2</v>
      </c>
      <c r="D34"/>
      <c r="E34" s="160">
        <f>Required.assets.LTE.sites.43.2+Required.assets.LTE.sites.86.4</f>
        <v>0</v>
      </c>
      <c r="F34" s="104"/>
      <c r="G34" s="233">
        <v>1900</v>
      </c>
      <c r="H34" s="135">
        <f t="shared" si="0"/>
        <v>0</v>
      </c>
      <c r="I34" s="135">
        <v>0</v>
      </c>
      <c r="J34" s="104"/>
      <c r="K34" s="233">
        <v>304</v>
      </c>
      <c r="L34" s="168">
        <f t="shared" si="1"/>
        <v>0</v>
      </c>
      <c r="M34" s="104"/>
      <c r="N34" s="133">
        <f t="shared" si="2"/>
        <v>0</v>
      </c>
    </row>
    <row r="35" spans="2:14" hidden="1" outlineLevel="1" x14ac:dyDescent="0.2">
      <c r="B35" s="78">
        <f t="shared" si="3"/>
        <v>29</v>
      </c>
      <c r="C35" s="162" t="str">
        <v>LTE salto a: 86.4</v>
      </c>
      <c r="D35"/>
      <c r="E35" s="226">
        <f>Required.assets.LTE.sites.86.4</f>
        <v>0</v>
      </c>
      <c r="F35" s="104"/>
      <c r="G35" s="233">
        <v>1700</v>
      </c>
      <c r="H35" s="135">
        <f t="shared" si="0"/>
        <v>0</v>
      </c>
      <c r="I35" s="135">
        <v>0</v>
      </c>
      <c r="J35" s="104"/>
      <c r="K35" s="233">
        <v>272</v>
      </c>
      <c r="L35" s="168">
        <f t="shared" si="1"/>
        <v>0</v>
      </c>
      <c r="M35" s="104"/>
      <c r="N35" s="133">
        <f t="shared" si="2"/>
        <v>0</v>
      </c>
    </row>
    <row r="36" spans="2:14" hidden="1" outlineLevel="1" x14ac:dyDescent="0.2">
      <c r="B36" s="78">
        <f t="shared" si="3"/>
        <v>30</v>
      </c>
      <c r="C36" s="162" t="str">
        <v>Estación base Single RAN - macro</v>
      </c>
      <c r="D36"/>
      <c r="E36" s="224">
        <f t="array" ref="E36:E37">Required.assets.single.RAN.base.station</f>
        <v>4075</v>
      </c>
      <c r="F36" s="104"/>
      <c r="G36" s="233">
        <v>90000</v>
      </c>
      <c r="H36" s="135">
        <f t="shared" si="0"/>
        <v>366750000</v>
      </c>
      <c r="I36" s="135">
        <v>70785051.61086449</v>
      </c>
      <c r="J36" s="104"/>
      <c r="K36" s="233">
        <v>13500</v>
      </c>
      <c r="L36" s="168">
        <f t="shared" si="1"/>
        <v>55501282.294520549</v>
      </c>
      <c r="M36" s="104"/>
      <c r="N36" s="133">
        <f t="shared" si="2"/>
        <v>126286333.90538505</v>
      </c>
    </row>
    <row r="37" spans="2:14" hidden="1" outlineLevel="1" x14ac:dyDescent="0.2">
      <c r="B37" s="78">
        <f t="shared" si="3"/>
        <v>31</v>
      </c>
      <c r="C37" s="162" t="str">
        <v>Estación base Single RAN - micro</v>
      </c>
      <c r="D37"/>
      <c r="E37" s="224">
        <v>200</v>
      </c>
      <c r="F37" s="104"/>
      <c r="G37" s="233">
        <v>40000</v>
      </c>
      <c r="H37" s="135">
        <f t="shared" si="0"/>
        <v>8000000</v>
      </c>
      <c r="I37" s="135">
        <v>1544050.2055539628</v>
      </c>
      <c r="J37" s="104"/>
      <c r="K37" s="233">
        <v>6000</v>
      </c>
      <c r="L37" s="168">
        <f t="shared" si="1"/>
        <v>1210661.9178082191</v>
      </c>
      <c r="M37" s="104"/>
      <c r="N37" s="133">
        <f t="shared" si="2"/>
        <v>2754712.1233621817</v>
      </c>
    </row>
    <row r="38" spans="2:14" hidden="1" outlineLevel="1" x14ac:dyDescent="0.2">
      <c r="B38" s="78">
        <f t="shared" si="3"/>
        <v>32</v>
      </c>
      <c r="C38" s="162" t="str">
        <v>BBU tarjeta 3G en estación base Single RAN</v>
      </c>
      <c r="D38"/>
      <c r="E38" s="224">
        <f>Required.assets.3G.BBU.cards.for.single.RAN</f>
        <v>10993</v>
      </c>
      <c r="F38" s="104"/>
      <c r="G38" s="233">
        <v>3400</v>
      </c>
      <c r="H38" s="135">
        <f t="shared" si="0"/>
        <v>37376200</v>
      </c>
      <c r="I38" s="135">
        <v>8786554.6624249313</v>
      </c>
      <c r="J38" s="104"/>
      <c r="K38" s="233">
        <v>340</v>
      </c>
      <c r="L38" s="168">
        <f t="shared" si="1"/>
        <v>3770828.4976986302</v>
      </c>
      <c r="M38" s="104"/>
      <c r="N38" s="133">
        <f t="shared" si="2"/>
        <v>12557383.160123561</v>
      </c>
    </row>
    <row r="39" spans="2:14" hidden="1" outlineLevel="1" x14ac:dyDescent="0.2">
      <c r="B39" s="78">
        <f t="shared" si="3"/>
        <v>33</v>
      </c>
      <c r="C39" s="162" t="str">
        <v>BBU tarjeta 4G en estación base Single RAN</v>
      </c>
      <c r="D39"/>
      <c r="E39" s="224">
        <f>Required.assets.4G.BBU.cards.for.single.RAN</f>
        <v>11299</v>
      </c>
      <c r="F39" s="104"/>
      <c r="G39" s="233">
        <v>4700</v>
      </c>
      <c r="H39" s="135">
        <f t="shared" ref="H39:H70" si="4">E39*G39</f>
        <v>53105300</v>
      </c>
      <c r="I39" s="135">
        <v>12484217.799414458</v>
      </c>
      <c r="J39" s="104"/>
      <c r="K39" s="233">
        <v>470</v>
      </c>
      <c r="L39" s="168">
        <f t="shared" ref="L39:L70" si="5">E39*K39*(1+Working.capital.allowance)</f>
        <v>5357713.6953150686</v>
      </c>
      <c r="M39" s="104"/>
      <c r="N39" s="133">
        <f t="shared" ref="N39:N70" si="6">I39+L39</f>
        <v>17841931.494729526</v>
      </c>
    </row>
    <row r="40" spans="2:14" hidden="1" outlineLevel="1" x14ac:dyDescent="0.2">
      <c r="B40" s="78">
        <f t="shared" ref="B40:B71" si="7">1+B39</f>
        <v>34</v>
      </c>
      <c r="C40" s="162" t="str">
        <v>Sitios propios - macro</v>
      </c>
      <c r="D40"/>
      <c r="E40" s="226">
        <f t="array" ref="E40:E41">Required.assets.own.sites</f>
        <v>3347</v>
      </c>
      <c r="F40" s="104"/>
      <c r="G40" s="233">
        <v>104000</v>
      </c>
      <c r="H40" s="135">
        <f t="shared" si="4"/>
        <v>348088000</v>
      </c>
      <c r="I40" s="135">
        <v>40759858.826604702</v>
      </c>
      <c r="J40" s="104"/>
      <c r="K40" s="233">
        <v>10400</v>
      </c>
      <c r="L40" s="168">
        <f t="shared" si="5"/>
        <v>35118073.803835616</v>
      </c>
      <c r="M40" s="104"/>
      <c r="N40" s="133">
        <f t="shared" si="6"/>
        <v>75877932.630440325</v>
      </c>
    </row>
    <row r="41" spans="2:14" hidden="1" outlineLevel="1" x14ac:dyDescent="0.2">
      <c r="B41" s="78">
        <f t="shared" si="7"/>
        <v>35</v>
      </c>
      <c r="C41" s="162" t="str">
        <v>Sitios propios - micro</v>
      </c>
      <c r="D41"/>
      <c r="E41" s="226">
        <v>198</v>
      </c>
      <c r="F41" s="104"/>
      <c r="G41" s="233">
        <v>33600.000000000007</v>
      </c>
      <c r="H41" s="135">
        <f t="shared" si="4"/>
        <v>6652800.0000000019</v>
      </c>
      <c r="I41" s="135">
        <v>779019.06644766801</v>
      </c>
      <c r="J41" s="104"/>
      <c r="K41" s="233">
        <v>3360.0000000000009</v>
      </c>
      <c r="L41" s="168">
        <f t="shared" si="5"/>
        <v>671190.96723287692</v>
      </c>
      <c r="M41" s="104"/>
      <c r="N41" s="133">
        <f t="shared" si="6"/>
        <v>1450210.0336805449</v>
      </c>
    </row>
    <row r="42" spans="2:14" hidden="1" outlineLevel="1" x14ac:dyDescent="0.2">
      <c r="B42" s="78">
        <f t="shared" si="7"/>
        <v>36</v>
      </c>
      <c r="C42" s="162" t="str">
        <v>Sitios de terceros - macro</v>
      </c>
      <c r="D42"/>
      <c r="E42" s="226">
        <f t="array" ref="E42:E43">Required.assets.third.party.sites</f>
        <v>728</v>
      </c>
      <c r="F42" s="104"/>
      <c r="G42" s="233">
        <v>50000</v>
      </c>
      <c r="H42" s="135">
        <f t="shared" si="4"/>
        <v>36400000</v>
      </c>
      <c r="I42" s="135">
        <v>4262309.7069948148</v>
      </c>
      <c r="J42" s="104"/>
      <c r="K42" s="233">
        <v>10000</v>
      </c>
      <c r="L42" s="168">
        <f t="shared" si="5"/>
        <v>7344682.3013698626</v>
      </c>
      <c r="M42" s="104"/>
      <c r="N42" s="133">
        <f t="shared" si="6"/>
        <v>11606992.008364677</v>
      </c>
    </row>
    <row r="43" spans="2:14" hidden="1" outlineLevel="1" x14ac:dyDescent="0.2">
      <c r="B43" s="78">
        <f t="shared" si="7"/>
        <v>37</v>
      </c>
      <c r="C43" s="162" t="str">
        <v>Sitios de terceros - micro</v>
      </c>
      <c r="D43"/>
      <c r="E43" s="226">
        <v>2</v>
      </c>
      <c r="F43" s="104"/>
      <c r="G43" s="233">
        <v>18000</v>
      </c>
      <c r="H43" s="135">
        <f t="shared" si="4"/>
        <v>36000</v>
      </c>
      <c r="I43" s="135">
        <v>4215.4711387860807</v>
      </c>
      <c r="J43" s="104"/>
      <c r="K43" s="233">
        <v>5000</v>
      </c>
      <c r="L43" s="168">
        <f t="shared" si="5"/>
        <v>10088.849315068494</v>
      </c>
      <c r="M43" s="104"/>
      <c r="N43" s="133">
        <f t="shared" si="6"/>
        <v>14304.320453854574</v>
      </c>
    </row>
    <row r="44" spans="2:14" hidden="1" outlineLevel="1" x14ac:dyDescent="0.2">
      <c r="B44" s="78">
        <f t="shared" si="7"/>
        <v>38</v>
      </c>
      <c r="C44" s="162" t="str">
        <v>LMA: líneas alquiladas TDM: 2.048</v>
      </c>
      <c r="D44"/>
      <c r="E44" s="226">
        <f t="array" ref="E44:E49">Required.assets.LMA.leased.lines</f>
        <v>0.29070000000000001</v>
      </c>
      <c r="F44" s="104"/>
      <c r="G44" s="233">
        <v>200</v>
      </c>
      <c r="H44" s="135">
        <f t="shared" si="4"/>
        <v>58.14</v>
      </c>
      <c r="I44" s="135">
        <v>15.655840989089398</v>
      </c>
      <c r="J44" s="104"/>
      <c r="K44" s="233">
        <v>1800</v>
      </c>
      <c r="L44" s="168">
        <f t="shared" si="5"/>
        <v>527.90912926027397</v>
      </c>
      <c r="M44" s="104"/>
      <c r="N44" s="133">
        <f t="shared" si="6"/>
        <v>543.56497024936334</v>
      </c>
    </row>
    <row r="45" spans="2:14" hidden="1" outlineLevel="1" x14ac:dyDescent="0.2">
      <c r="B45" s="78">
        <f t="shared" si="7"/>
        <v>39</v>
      </c>
      <c r="C45" s="162" t="str">
        <v>LMA: líneas alquiladas TDM: 8.45</v>
      </c>
      <c r="D45"/>
      <c r="E45" s="226">
        <v>2.5564500000000003</v>
      </c>
      <c r="F45" s="104"/>
      <c r="G45" s="233">
        <v>800</v>
      </c>
      <c r="H45" s="135">
        <f t="shared" si="4"/>
        <v>2045.1600000000003</v>
      </c>
      <c r="I45" s="135">
        <v>550.7172300867918</v>
      </c>
      <c r="J45" s="104"/>
      <c r="K45" s="233">
        <v>4800.0000000000009</v>
      </c>
      <c r="L45" s="168">
        <f t="shared" si="5"/>
        <v>12379.986639123292</v>
      </c>
      <c r="M45" s="104"/>
      <c r="N45" s="133">
        <f t="shared" si="6"/>
        <v>12930.703869210083</v>
      </c>
    </row>
    <row r="46" spans="2:14" hidden="1" outlineLevel="1" x14ac:dyDescent="0.2">
      <c r="B46" s="78">
        <f t="shared" si="7"/>
        <v>40</v>
      </c>
      <c r="C46" s="162" t="str">
        <v>LMA: líneas alquiladas TDM: 34.37</v>
      </c>
      <c r="D46"/>
      <c r="E46" s="226">
        <v>0</v>
      </c>
      <c r="F46" s="104"/>
      <c r="G46" s="233">
        <v>2200</v>
      </c>
      <c r="H46" s="135">
        <f t="shared" si="4"/>
        <v>0</v>
      </c>
      <c r="I46" s="135">
        <v>0</v>
      </c>
      <c r="J46" s="104"/>
      <c r="K46" s="233">
        <v>13199.999999999998</v>
      </c>
      <c r="L46" s="168">
        <f t="shared" si="5"/>
        <v>0</v>
      </c>
      <c r="M46" s="104"/>
      <c r="N46" s="133">
        <f t="shared" si="6"/>
        <v>0</v>
      </c>
    </row>
    <row r="47" spans="2:14" hidden="1" outlineLevel="1" x14ac:dyDescent="0.2">
      <c r="B47" s="78">
        <f t="shared" si="7"/>
        <v>41</v>
      </c>
      <c r="C47" s="162" t="str">
        <v>LMA: líneas alquiladas Ethernet: 10</v>
      </c>
      <c r="D47"/>
      <c r="E47" s="226">
        <v>7.6949999999999991E-2</v>
      </c>
      <c r="F47" s="104"/>
      <c r="G47" s="233">
        <v>2000</v>
      </c>
      <c r="H47" s="135">
        <f t="shared" si="4"/>
        <v>153.89999999999998</v>
      </c>
      <c r="I47" s="135">
        <v>41.441932029942514</v>
      </c>
      <c r="J47" s="104"/>
      <c r="K47" s="233">
        <v>4200</v>
      </c>
      <c r="L47" s="168">
        <f t="shared" si="5"/>
        <v>326.06152101369855</v>
      </c>
      <c r="M47" s="104"/>
      <c r="N47" s="133">
        <f t="shared" si="6"/>
        <v>367.50345304364106</v>
      </c>
    </row>
    <row r="48" spans="2:14" hidden="1" outlineLevel="1" x14ac:dyDescent="0.2">
      <c r="B48" s="78">
        <f t="shared" si="7"/>
        <v>42</v>
      </c>
      <c r="C48" s="162" t="str">
        <v>LMA: líneas alquiladas Ethernet: 30</v>
      </c>
      <c r="D48"/>
      <c r="E48" s="226">
        <v>1.9</v>
      </c>
      <c r="F48" s="104"/>
      <c r="G48" s="233">
        <v>2000</v>
      </c>
      <c r="H48" s="135">
        <f t="shared" si="4"/>
        <v>3800</v>
      </c>
      <c r="I48" s="135">
        <v>1023.2575809862351</v>
      </c>
      <c r="J48" s="104"/>
      <c r="K48" s="233">
        <v>9600</v>
      </c>
      <c r="L48" s="168">
        <f t="shared" si="5"/>
        <v>18402.061150684931</v>
      </c>
      <c r="M48" s="104"/>
      <c r="N48" s="133">
        <f t="shared" si="6"/>
        <v>19425.318731671166</v>
      </c>
    </row>
    <row r="49" spans="1:15" hidden="1" outlineLevel="1" x14ac:dyDescent="0.2">
      <c r="B49" s="78">
        <f t="shared" si="7"/>
        <v>43</v>
      </c>
      <c r="C49" s="162" t="str">
        <v>LMA: líneas alquiladas Ethernet: 100</v>
      </c>
      <c r="D49"/>
      <c r="E49" s="226">
        <v>35.463499999999996</v>
      </c>
      <c r="F49" s="104"/>
      <c r="G49" s="233">
        <v>4000</v>
      </c>
      <c r="H49" s="135">
        <f t="shared" si="4"/>
        <v>141853.99999999997</v>
      </c>
      <c r="I49" s="135">
        <v>38198.20549821615</v>
      </c>
      <c r="J49" s="104"/>
      <c r="K49" s="233">
        <v>22800</v>
      </c>
      <c r="L49" s="168">
        <f t="shared" si="5"/>
        <v>815751.86952164373</v>
      </c>
      <c r="M49" s="104"/>
      <c r="N49" s="133">
        <f t="shared" si="6"/>
        <v>853950.07501985994</v>
      </c>
    </row>
    <row r="50" spans="1:15" hidden="1" outlineLevel="1" x14ac:dyDescent="0.2">
      <c r="B50" s="78">
        <f t="shared" si="7"/>
        <v>44</v>
      </c>
      <c r="C50" s="162" t="str">
        <v>LMA: enlace microondas TDM: 2.048</v>
      </c>
      <c r="D50"/>
      <c r="E50" s="224">
        <f t="array" ref="E50:E55">Required.assets.LMA.microwave.links</f>
        <v>18.451799999999999</v>
      </c>
      <c r="F50" s="104"/>
      <c r="G50" s="233">
        <v>6300</v>
      </c>
      <c r="H50" s="135">
        <f t="shared" si="4"/>
        <v>116246.34</v>
      </c>
      <c r="I50" s="135">
        <v>22436.273146486983</v>
      </c>
      <c r="J50" s="104"/>
      <c r="K50" s="233">
        <v>630</v>
      </c>
      <c r="L50" s="168">
        <f t="shared" si="5"/>
        <v>11727.918076882192</v>
      </c>
      <c r="M50" s="104"/>
      <c r="N50" s="133">
        <f t="shared" si="6"/>
        <v>34164.191223369176</v>
      </c>
    </row>
    <row r="51" spans="1:15" hidden="1" outlineLevel="1" x14ac:dyDescent="0.2">
      <c r="A51"/>
      <c r="B51" s="78">
        <f t="shared" si="7"/>
        <v>45</v>
      </c>
      <c r="C51" s="162" t="str">
        <v>LMA: enlace microondas TDM: 8.45</v>
      </c>
      <c r="D51"/>
      <c r="E51" s="224">
        <v>162.26730000000001</v>
      </c>
      <c r="F51" s="104"/>
      <c r="G51" s="233">
        <v>7400</v>
      </c>
      <c r="H51" s="135">
        <f t="shared" si="4"/>
        <v>1200778.02</v>
      </c>
      <c r="I51" s="135">
        <v>231757.69357571009</v>
      </c>
      <c r="J51" s="104"/>
      <c r="K51" s="233">
        <v>740</v>
      </c>
      <c r="L51" s="168">
        <f t="shared" si="5"/>
        <v>121144.68504626302</v>
      </c>
      <c r="M51" s="104"/>
      <c r="N51" s="133">
        <f t="shared" si="6"/>
        <v>352902.3786219731</v>
      </c>
    </row>
    <row r="52" spans="1:15" hidden="1" outlineLevel="1" x14ac:dyDescent="0.2">
      <c r="B52" s="78">
        <f t="shared" si="7"/>
        <v>46</v>
      </c>
      <c r="C52" s="162" t="str">
        <v>LMA: enlace microondas TDM: 34.37</v>
      </c>
      <c r="D52"/>
      <c r="E52" s="224">
        <v>0</v>
      </c>
      <c r="F52" s="104"/>
      <c r="G52" s="233">
        <v>10600</v>
      </c>
      <c r="H52" s="135">
        <f t="shared" si="4"/>
        <v>0</v>
      </c>
      <c r="I52" s="135">
        <v>0</v>
      </c>
      <c r="J52" s="104"/>
      <c r="K52" s="233">
        <v>1060</v>
      </c>
      <c r="L52" s="168">
        <f t="shared" si="5"/>
        <v>0</v>
      </c>
      <c r="M52" s="104"/>
      <c r="N52" s="133">
        <f t="shared" si="6"/>
        <v>0</v>
      </c>
    </row>
    <row r="53" spans="1:15" hidden="1" outlineLevel="1" x14ac:dyDescent="0.2">
      <c r="B53" s="78">
        <f t="shared" si="7"/>
        <v>47</v>
      </c>
      <c r="C53" s="162" t="str">
        <v>LMA: enlace microondas Ethernet: 10</v>
      </c>
      <c r="D53"/>
      <c r="E53" s="224">
        <v>4.8842999999999996</v>
      </c>
      <c r="F53" s="104"/>
      <c r="G53" s="233">
        <v>5400</v>
      </c>
      <c r="H53" s="135">
        <f t="shared" si="4"/>
        <v>26375.219999999998</v>
      </c>
      <c r="I53" s="135">
        <v>5090.5829828163733</v>
      </c>
      <c r="J53" s="104"/>
      <c r="K53" s="233">
        <v>540</v>
      </c>
      <c r="L53" s="168">
        <f t="shared" si="5"/>
        <v>2660.9562023178082</v>
      </c>
      <c r="M53" s="104"/>
      <c r="N53" s="133">
        <f t="shared" si="6"/>
        <v>7751.539185134181</v>
      </c>
    </row>
    <row r="54" spans="1:15" hidden="1" outlineLevel="1" x14ac:dyDescent="0.2">
      <c r="B54" s="78">
        <f t="shared" si="7"/>
        <v>48</v>
      </c>
      <c r="C54" s="162" t="str">
        <v>LMA: enlace microondas Ethernet: 30</v>
      </c>
      <c r="D54"/>
      <c r="E54" s="224">
        <v>120.6</v>
      </c>
      <c r="F54" s="104"/>
      <c r="G54" s="233">
        <v>8700</v>
      </c>
      <c r="H54" s="135">
        <f t="shared" si="4"/>
        <v>1049220</v>
      </c>
      <c r="I54" s="135">
        <v>202506.04458391611</v>
      </c>
      <c r="J54" s="104"/>
      <c r="K54" s="233">
        <v>870</v>
      </c>
      <c r="L54" s="168">
        <f t="shared" si="5"/>
        <v>105854.22478356164</v>
      </c>
      <c r="M54" s="104"/>
      <c r="N54" s="133">
        <f t="shared" si="6"/>
        <v>308360.26936747774</v>
      </c>
    </row>
    <row r="55" spans="1:15" hidden="1" outlineLevel="1" x14ac:dyDescent="0.2">
      <c r="B55" s="78">
        <f t="shared" si="7"/>
        <v>49</v>
      </c>
      <c r="C55" s="162" t="str">
        <v>LMA: enlace microondas Ethernet: 100</v>
      </c>
      <c r="D55"/>
      <c r="E55" s="224">
        <v>2250.9989999999998</v>
      </c>
      <c r="F55" s="104"/>
      <c r="G55" s="233">
        <v>14000</v>
      </c>
      <c r="H55" s="135">
        <f t="shared" si="4"/>
        <v>31513985.999999996</v>
      </c>
      <c r="I55" s="135">
        <v>6082397.0701405881</v>
      </c>
      <c r="J55" s="104"/>
      <c r="K55" s="233">
        <v>1400</v>
      </c>
      <c r="L55" s="168">
        <f t="shared" si="5"/>
        <v>3179398.5607117806</v>
      </c>
      <c r="M55" s="104"/>
      <c r="N55" s="133">
        <f t="shared" si="6"/>
        <v>9261795.6308523677</v>
      </c>
    </row>
    <row r="56" spans="1:15" hidden="1" outlineLevel="1" x14ac:dyDescent="0.2">
      <c r="B56" s="78">
        <f t="shared" si="7"/>
        <v>50</v>
      </c>
      <c r="C56" s="162" t="str">
        <v>LMA: enlace de fibra propia</v>
      </c>
      <c r="D56"/>
      <c r="E56" s="226">
        <f>Required.assets.LMA.fibre.links</f>
        <v>1490.9062500000005</v>
      </c>
      <c r="F56" s="104"/>
      <c r="G56" s="233">
        <v>10600</v>
      </c>
      <c r="H56" s="135">
        <f t="shared" si="4"/>
        <v>15803606.250000006</v>
      </c>
      <c r="I56" s="135">
        <v>1959943.0206955434</v>
      </c>
      <c r="J56" s="104"/>
      <c r="K56" s="233">
        <v>530</v>
      </c>
      <c r="L56" s="168">
        <f t="shared" si="5"/>
        <v>797201.01045462349</v>
      </c>
      <c r="M56" s="104"/>
      <c r="N56" s="133">
        <f t="shared" si="6"/>
        <v>2757144.0311501669</v>
      </c>
    </row>
    <row r="57" spans="1:15" hidden="1" outlineLevel="1" x14ac:dyDescent="0.2">
      <c r="B57" s="78">
        <f t="shared" si="7"/>
        <v>51</v>
      </c>
      <c r="C57" s="162" t="str">
        <v>Hub to core: línea alquilada TDM:  8.45</v>
      </c>
      <c r="D57"/>
      <c r="E57" s="226">
        <f t="array" ref="E57:E62">Required.assets.hub.core.leased.lines</f>
        <v>0</v>
      </c>
      <c r="F57" s="104"/>
      <c r="G57" s="233">
        <v>800</v>
      </c>
      <c r="H57" s="135">
        <f t="shared" si="4"/>
        <v>0</v>
      </c>
      <c r="I57" s="135">
        <v>0</v>
      </c>
      <c r="J57" s="104"/>
      <c r="K57" s="233">
        <v>4800.0000000000009</v>
      </c>
      <c r="L57" s="168">
        <f t="shared" si="5"/>
        <v>0</v>
      </c>
      <c r="M57" s="104"/>
      <c r="N57" s="133">
        <f t="shared" si="6"/>
        <v>0</v>
      </c>
    </row>
    <row r="58" spans="1:15" hidden="1" outlineLevel="1" x14ac:dyDescent="0.2">
      <c r="B58" s="78">
        <f t="shared" si="7"/>
        <v>52</v>
      </c>
      <c r="C58" s="162" t="str">
        <v>Hub to core: línea alquilada TDM:  34.37</v>
      </c>
      <c r="D58"/>
      <c r="E58" s="226">
        <v>0</v>
      </c>
      <c r="F58" s="104"/>
      <c r="G58" s="233">
        <v>2200</v>
      </c>
      <c r="H58" s="135">
        <f t="shared" si="4"/>
        <v>0</v>
      </c>
      <c r="I58" s="135">
        <v>0</v>
      </c>
      <c r="J58" s="104"/>
      <c r="K58" s="233">
        <v>13199.999999999998</v>
      </c>
      <c r="L58" s="168">
        <f t="shared" si="5"/>
        <v>0</v>
      </c>
      <c r="M58" s="104"/>
      <c r="N58" s="133">
        <f t="shared" si="6"/>
        <v>0</v>
      </c>
    </row>
    <row r="59" spans="1:15" hidden="1" outlineLevel="1" x14ac:dyDescent="0.2">
      <c r="B59" s="78">
        <f t="shared" si="7"/>
        <v>53</v>
      </c>
      <c r="C59" s="162" t="str">
        <v>Hub to core: línea alquilada TDM:  155.52</v>
      </c>
      <c r="D59"/>
      <c r="E59" s="226">
        <v>0</v>
      </c>
      <c r="F59" s="104"/>
      <c r="G59" s="233">
        <v>7100</v>
      </c>
      <c r="H59" s="135">
        <f t="shared" si="4"/>
        <v>0</v>
      </c>
      <c r="I59" s="135">
        <v>0</v>
      </c>
      <c r="J59" s="104"/>
      <c r="K59" s="233">
        <v>42000</v>
      </c>
      <c r="L59" s="168">
        <f t="shared" si="5"/>
        <v>0</v>
      </c>
      <c r="M59" s="104"/>
      <c r="N59" s="133">
        <f t="shared" si="6"/>
        <v>0</v>
      </c>
    </row>
    <row r="60" spans="1:15" hidden="1" outlineLevel="1" x14ac:dyDescent="0.2">
      <c r="B60" s="78">
        <f t="shared" si="7"/>
        <v>54</v>
      </c>
      <c r="C60" s="162" t="str">
        <v>Hub to core: línea alquilada Ethernet:  10</v>
      </c>
      <c r="D60"/>
      <c r="E60" s="226">
        <v>0</v>
      </c>
      <c r="F60" s="104"/>
      <c r="G60" s="233">
        <v>2000</v>
      </c>
      <c r="H60" s="135">
        <f t="shared" si="4"/>
        <v>0</v>
      </c>
      <c r="I60" s="135">
        <v>0</v>
      </c>
      <c r="J60" s="104"/>
      <c r="K60" s="233">
        <v>4200</v>
      </c>
      <c r="L60" s="168">
        <f t="shared" si="5"/>
        <v>0</v>
      </c>
      <c r="M60" s="104"/>
      <c r="N60" s="133">
        <f t="shared" si="6"/>
        <v>0</v>
      </c>
    </row>
    <row r="61" spans="1:15" hidden="1" outlineLevel="1" x14ac:dyDescent="0.2">
      <c r="B61" s="78">
        <f t="shared" si="7"/>
        <v>55</v>
      </c>
      <c r="C61" s="162" t="str">
        <v>Hub to core: línea alquilada Ethernet:  100</v>
      </c>
      <c r="D61"/>
      <c r="E61" s="224">
        <v>0</v>
      </c>
      <c r="F61" s="104"/>
      <c r="G61" s="233">
        <v>4000</v>
      </c>
      <c r="H61" s="135">
        <f t="shared" si="4"/>
        <v>0</v>
      </c>
      <c r="I61" s="135">
        <v>0</v>
      </c>
      <c r="J61" s="104"/>
      <c r="K61" s="233">
        <v>22800</v>
      </c>
      <c r="L61" s="168">
        <f t="shared" si="5"/>
        <v>0</v>
      </c>
      <c r="M61" s="104"/>
      <c r="N61" s="133">
        <f t="shared" si="6"/>
        <v>0</v>
      </c>
    </row>
    <row r="62" spans="1:15" hidden="1" outlineLevel="1" x14ac:dyDescent="0.2">
      <c r="B62" s="78">
        <f t="shared" si="7"/>
        <v>56</v>
      </c>
      <c r="C62" s="162" t="str">
        <v>Hub to core: línea alquilada Ethernet:  1024</v>
      </c>
      <c r="D62"/>
      <c r="E62" s="224">
        <v>647</v>
      </c>
      <c r="F62" s="104"/>
      <c r="G62" s="233">
        <v>4000</v>
      </c>
      <c r="H62" s="135">
        <f t="shared" si="4"/>
        <v>2588000</v>
      </c>
      <c r="I62" s="135">
        <v>696892.26831378334</v>
      </c>
      <c r="J62" s="104"/>
      <c r="K62" s="233">
        <v>120000</v>
      </c>
      <c r="L62" s="168">
        <f t="shared" si="5"/>
        <v>78329826.08219178</v>
      </c>
      <c r="M62" s="104"/>
      <c r="N62" s="133">
        <f t="shared" si="6"/>
        <v>79026718.350505561</v>
      </c>
      <c r="O62" s="136"/>
    </row>
    <row r="63" spans="1:15" hidden="1" outlineLevel="1" x14ac:dyDescent="0.2">
      <c r="B63" s="78">
        <f t="shared" si="7"/>
        <v>57</v>
      </c>
      <c r="C63" s="162" t="str">
        <v>Hub to Core puntos de acceso a anillos: 155.52</v>
      </c>
      <c r="D63"/>
      <c r="E63" s="224">
        <f t="array" ref="E63:E68">Required.assets.hub.core.ring.access.points</f>
        <v>0</v>
      </c>
      <c r="F63" s="104"/>
      <c r="G63" s="233">
        <v>9800</v>
      </c>
      <c r="H63" s="135">
        <f t="shared" si="4"/>
        <v>0</v>
      </c>
      <c r="I63" s="135">
        <v>0</v>
      </c>
      <c r="J63" s="104"/>
      <c r="K63" s="233">
        <v>2156</v>
      </c>
      <c r="L63" s="168">
        <f t="shared" si="5"/>
        <v>0</v>
      </c>
      <c r="M63" s="104"/>
      <c r="N63" s="133">
        <f t="shared" si="6"/>
        <v>0</v>
      </c>
    </row>
    <row r="64" spans="1:15" hidden="1" outlineLevel="1" x14ac:dyDescent="0.2">
      <c r="B64" s="78">
        <f t="shared" si="7"/>
        <v>58</v>
      </c>
      <c r="C64" s="162" t="str">
        <v>Hub to Core puntos de acceso a anillos: 622.08</v>
      </c>
      <c r="D64"/>
      <c r="E64" s="224">
        <v>0</v>
      </c>
      <c r="F64" s="104"/>
      <c r="G64" s="233">
        <v>12300</v>
      </c>
      <c r="H64" s="135">
        <f t="shared" si="4"/>
        <v>0</v>
      </c>
      <c r="I64" s="135">
        <v>0</v>
      </c>
      <c r="J64" s="104"/>
      <c r="K64" s="233">
        <v>2706</v>
      </c>
      <c r="L64" s="168">
        <f t="shared" si="5"/>
        <v>0</v>
      </c>
      <c r="M64" s="104"/>
      <c r="N64" s="133">
        <f t="shared" si="6"/>
        <v>0</v>
      </c>
    </row>
    <row r="65" spans="2:14" hidden="1" outlineLevel="1" x14ac:dyDescent="0.2">
      <c r="B65" s="78">
        <f t="shared" si="7"/>
        <v>59</v>
      </c>
      <c r="C65" s="162" t="str">
        <v>Hub to Core puntos de acceso a anillos: 2488.32</v>
      </c>
      <c r="D65"/>
      <c r="E65" s="224">
        <v>0</v>
      </c>
      <c r="F65" s="104"/>
      <c r="G65" s="233">
        <v>16300</v>
      </c>
      <c r="H65" s="135">
        <f t="shared" si="4"/>
        <v>0</v>
      </c>
      <c r="I65" s="135">
        <v>0</v>
      </c>
      <c r="J65" s="104"/>
      <c r="K65" s="233">
        <v>3586</v>
      </c>
      <c r="L65" s="168">
        <f t="shared" si="5"/>
        <v>0</v>
      </c>
      <c r="M65" s="104"/>
      <c r="N65" s="133">
        <f t="shared" si="6"/>
        <v>0</v>
      </c>
    </row>
    <row r="66" spans="2:14" hidden="1" outlineLevel="1" x14ac:dyDescent="0.2">
      <c r="B66" s="78">
        <f t="shared" si="7"/>
        <v>60</v>
      </c>
      <c r="C66" s="162" t="str">
        <v>Hub to Core punto de acceso a anillos: 1024</v>
      </c>
      <c r="D66"/>
      <c r="E66" s="224">
        <v>0</v>
      </c>
      <c r="F66" s="104"/>
      <c r="G66" s="233">
        <v>10200</v>
      </c>
      <c r="H66" s="135">
        <f t="shared" si="4"/>
        <v>0</v>
      </c>
      <c r="I66" s="135">
        <v>0</v>
      </c>
      <c r="J66" s="104"/>
      <c r="K66" s="233">
        <v>2244</v>
      </c>
      <c r="L66" s="168">
        <f t="shared" si="5"/>
        <v>0</v>
      </c>
      <c r="M66" s="104"/>
      <c r="N66" s="133">
        <f t="shared" si="6"/>
        <v>0</v>
      </c>
    </row>
    <row r="67" spans="2:14" hidden="1" outlineLevel="1" x14ac:dyDescent="0.2">
      <c r="B67" s="78">
        <f t="shared" si="7"/>
        <v>61</v>
      </c>
      <c r="C67" s="162" t="str">
        <v>Hub to Core punto de acceso a anillos: 2048</v>
      </c>
      <c r="D67"/>
      <c r="E67" s="224">
        <v>0</v>
      </c>
      <c r="F67" s="104"/>
      <c r="G67" s="233">
        <v>11400</v>
      </c>
      <c r="H67" s="135">
        <f t="shared" si="4"/>
        <v>0</v>
      </c>
      <c r="I67" s="135">
        <v>0</v>
      </c>
      <c r="J67" s="104"/>
      <c r="K67" s="233">
        <v>2508</v>
      </c>
      <c r="L67" s="168">
        <f t="shared" si="5"/>
        <v>0</v>
      </c>
      <c r="M67" s="104"/>
      <c r="N67" s="133">
        <f t="shared" si="6"/>
        <v>0</v>
      </c>
    </row>
    <row r="68" spans="2:14" hidden="1" outlineLevel="1" x14ac:dyDescent="0.2">
      <c r="B68" s="78">
        <f t="shared" si="7"/>
        <v>62</v>
      </c>
      <c r="C68" s="162" t="str">
        <v>Hub to Core punto de acceso a anillos: 10240</v>
      </c>
      <c r="D68"/>
      <c r="E68" s="224">
        <v>0</v>
      </c>
      <c r="F68" s="104"/>
      <c r="G68" s="233">
        <v>12200</v>
      </c>
      <c r="H68" s="135">
        <f t="shared" si="4"/>
        <v>0</v>
      </c>
      <c r="I68" s="135">
        <v>0</v>
      </c>
      <c r="J68" s="104"/>
      <c r="K68" s="233">
        <v>2684</v>
      </c>
      <c r="L68" s="168">
        <f t="shared" si="5"/>
        <v>0</v>
      </c>
      <c r="M68" s="104"/>
      <c r="N68" s="133">
        <f t="shared" si="6"/>
        <v>0</v>
      </c>
    </row>
    <row r="69" spans="2:14" hidden="1" outlineLevel="1" x14ac:dyDescent="0.2">
      <c r="B69" s="78">
        <f t="shared" si="7"/>
        <v>63</v>
      </c>
      <c r="C69" s="162" t="str">
        <v>Hub to Core - longitud de los anillos de fibra</v>
      </c>
      <c r="D69"/>
      <c r="E69" s="224">
        <f>Required.assets.hub.core.ring.fibre.length</f>
        <v>0</v>
      </c>
      <c r="F69" s="104"/>
      <c r="G69" s="233">
        <v>11000</v>
      </c>
      <c r="H69" s="135">
        <f t="shared" si="4"/>
        <v>0</v>
      </c>
      <c r="I69" s="135">
        <v>0</v>
      </c>
      <c r="J69" s="104"/>
      <c r="K69" s="233">
        <v>550</v>
      </c>
      <c r="L69" s="168">
        <f t="shared" si="5"/>
        <v>0</v>
      </c>
      <c r="M69" s="104"/>
      <c r="N69" s="133">
        <f t="shared" si="6"/>
        <v>0</v>
      </c>
    </row>
    <row r="70" spans="2:14" hidden="1" outlineLevel="1" x14ac:dyDescent="0.2">
      <c r="B70" s="78">
        <f t="shared" si="7"/>
        <v>64</v>
      </c>
      <c r="C70" s="162" t="str">
        <v>Sitios BSC remotos</v>
      </c>
      <c r="D70"/>
      <c r="E70" s="224">
        <f>Required.assets.BSC.site</f>
        <v>0</v>
      </c>
      <c r="F70" s="104"/>
      <c r="G70" s="233">
        <v>200000</v>
      </c>
      <c r="H70" s="135">
        <f t="shared" si="4"/>
        <v>0</v>
      </c>
      <c r="I70" s="135">
        <v>0</v>
      </c>
      <c r="J70" s="104"/>
      <c r="K70" s="233">
        <v>14000.000000000002</v>
      </c>
      <c r="L70" s="168">
        <f t="shared" si="5"/>
        <v>0</v>
      </c>
      <c r="M70" s="104"/>
      <c r="N70" s="133">
        <f t="shared" si="6"/>
        <v>0</v>
      </c>
    </row>
    <row r="71" spans="2:14" hidden="1" outlineLevel="1" x14ac:dyDescent="0.2">
      <c r="B71" s="78">
        <f t="shared" si="7"/>
        <v>65</v>
      </c>
      <c r="C71" s="162" t="str">
        <v>Sitios RNC remotos</v>
      </c>
      <c r="D71"/>
      <c r="E71" s="224">
        <f>Required.assets.RNC.site</f>
        <v>0</v>
      </c>
      <c r="F71" s="104"/>
      <c r="G71" s="233">
        <v>200000</v>
      </c>
      <c r="H71" s="135">
        <f t="shared" ref="H71:H102" si="8">E71*G71</f>
        <v>0</v>
      </c>
      <c r="I71" s="135">
        <v>0</v>
      </c>
      <c r="J71" s="104"/>
      <c r="K71" s="233">
        <v>14000.000000000002</v>
      </c>
      <c r="L71" s="168">
        <f t="shared" ref="L71:L102" si="9">E71*K71*(1+Working.capital.allowance)</f>
        <v>0</v>
      </c>
      <c r="M71" s="104"/>
      <c r="N71" s="133">
        <f t="shared" ref="N71:N102" si="10">I71+L71</f>
        <v>0</v>
      </c>
    </row>
    <row r="72" spans="2:14" hidden="1" outlineLevel="1" x14ac:dyDescent="0.2">
      <c r="B72" s="78">
        <f t="shared" ref="B72:B103" si="11">1+B71</f>
        <v>66</v>
      </c>
      <c r="C72" s="162" t="str">
        <v>BSC: 2100</v>
      </c>
      <c r="D72"/>
      <c r="E72" s="224">
        <f t="array" ref="E72:E74">Required.assets.BSC</f>
        <v>0</v>
      </c>
      <c r="F72" s="104"/>
      <c r="G72" s="233">
        <v>250000</v>
      </c>
      <c r="H72" s="135">
        <f t="shared" si="8"/>
        <v>0</v>
      </c>
      <c r="I72" s="135">
        <v>0</v>
      </c>
      <c r="J72" s="104"/>
      <c r="K72" s="233">
        <v>70000</v>
      </c>
      <c r="L72" s="168">
        <f t="shared" si="9"/>
        <v>0</v>
      </c>
      <c r="M72" s="104"/>
      <c r="N72" s="133">
        <f t="shared" si="10"/>
        <v>0</v>
      </c>
    </row>
    <row r="73" spans="2:14" hidden="1" outlineLevel="1" x14ac:dyDescent="0.2">
      <c r="B73" s="78">
        <f t="shared" si="11"/>
        <v>67</v>
      </c>
      <c r="C73" s="162" t="str">
        <v>BSC: 4200</v>
      </c>
      <c r="D73"/>
      <c r="E73" s="224">
        <v>12</v>
      </c>
      <c r="F73" s="104"/>
      <c r="G73" s="233">
        <v>350000</v>
      </c>
      <c r="H73" s="135">
        <f t="shared" si="8"/>
        <v>4200000</v>
      </c>
      <c r="I73" s="135">
        <v>810626.35791583057</v>
      </c>
      <c r="J73" s="104"/>
      <c r="K73" s="233">
        <v>98000.000000000015</v>
      </c>
      <c r="L73" s="168">
        <f t="shared" si="9"/>
        <v>1186448.6794520551</v>
      </c>
      <c r="M73" s="104"/>
      <c r="N73" s="133">
        <f t="shared" si="10"/>
        <v>1997075.0373678857</v>
      </c>
    </row>
    <row r="74" spans="2:14" hidden="1" outlineLevel="1" x14ac:dyDescent="0.2">
      <c r="B74" s="78">
        <f t="shared" si="11"/>
        <v>68</v>
      </c>
      <c r="C74" s="162" t="str">
        <v>BSC: 8000</v>
      </c>
      <c r="D74"/>
      <c r="E74" s="224">
        <v>0</v>
      </c>
      <c r="F74" s="104"/>
      <c r="G74" s="233">
        <v>500000</v>
      </c>
      <c r="H74" s="135">
        <f t="shared" si="8"/>
        <v>0</v>
      </c>
      <c r="I74" s="135">
        <v>0</v>
      </c>
      <c r="J74" s="104"/>
      <c r="K74" s="233">
        <v>140000</v>
      </c>
      <c r="L74" s="168">
        <f t="shared" si="9"/>
        <v>0</v>
      </c>
      <c r="M74" s="104"/>
      <c r="N74" s="133">
        <f t="shared" si="10"/>
        <v>0</v>
      </c>
    </row>
    <row r="75" spans="2:14" hidden="1" outlineLevel="1" x14ac:dyDescent="0.2">
      <c r="B75" s="78">
        <f t="shared" si="11"/>
        <v>69</v>
      </c>
      <c r="C75" s="162" t="str">
        <v>RNC: 1600</v>
      </c>
      <c r="D75"/>
      <c r="E75" s="224">
        <f t="array" ref="E75:E77">Required.assets.RNC</f>
        <v>0</v>
      </c>
      <c r="F75" s="104"/>
      <c r="G75" s="233">
        <v>700000</v>
      </c>
      <c r="H75" s="135">
        <f t="shared" si="8"/>
        <v>0</v>
      </c>
      <c r="I75" s="135">
        <v>0</v>
      </c>
      <c r="J75" s="104"/>
      <c r="K75" s="233">
        <v>238000.00000000003</v>
      </c>
      <c r="L75" s="168">
        <f t="shared" si="9"/>
        <v>0</v>
      </c>
      <c r="M75" s="104"/>
      <c r="N75" s="133">
        <f t="shared" si="10"/>
        <v>0</v>
      </c>
    </row>
    <row r="76" spans="2:14" hidden="1" outlineLevel="1" x14ac:dyDescent="0.2">
      <c r="B76" s="78">
        <f t="shared" si="11"/>
        <v>70</v>
      </c>
      <c r="C76" s="162" t="str">
        <v>RNC: 2600</v>
      </c>
      <c r="D76"/>
      <c r="E76" s="224">
        <v>38</v>
      </c>
      <c r="F76" s="104"/>
      <c r="G76" s="233">
        <v>1000000</v>
      </c>
      <c r="H76" s="135">
        <f t="shared" si="8"/>
        <v>38000000</v>
      </c>
      <c r="I76" s="135">
        <v>7334238.4763813233</v>
      </c>
      <c r="J76" s="104"/>
      <c r="K76" s="233">
        <v>340000</v>
      </c>
      <c r="L76" s="168">
        <f t="shared" si="9"/>
        <v>13034793.315068493</v>
      </c>
      <c r="M76" s="104"/>
      <c r="N76" s="133">
        <f t="shared" si="10"/>
        <v>20369031.791449815</v>
      </c>
    </row>
    <row r="77" spans="2:14" hidden="1" outlineLevel="1" x14ac:dyDescent="0.2">
      <c r="B77" s="78">
        <f t="shared" si="11"/>
        <v>71</v>
      </c>
      <c r="C77" s="162" t="str">
        <v>RNC: 5000</v>
      </c>
      <c r="D77"/>
      <c r="E77" s="224">
        <v>0</v>
      </c>
      <c r="F77" s="104"/>
      <c r="G77" s="233">
        <v>1500000</v>
      </c>
      <c r="H77" s="135">
        <f t="shared" si="8"/>
        <v>0</v>
      </c>
      <c r="I77" s="135">
        <v>0</v>
      </c>
      <c r="J77" s="104"/>
      <c r="K77" s="233">
        <v>510000.00000000006</v>
      </c>
      <c r="L77" s="168">
        <f t="shared" si="9"/>
        <v>0</v>
      </c>
      <c r="M77" s="104"/>
      <c r="N77" s="133">
        <f t="shared" si="10"/>
        <v>0</v>
      </c>
    </row>
    <row r="78" spans="2:14" hidden="1" outlineLevel="1" x14ac:dyDescent="0.2">
      <c r="B78" s="78">
        <f t="shared" si="11"/>
        <v>72</v>
      </c>
      <c r="C78" s="162" t="str">
        <v>BSC a Core punto de acceso: Voz: 8.45</v>
      </c>
      <c r="D78"/>
      <c r="E78" s="224">
        <f t="array" ref="E78:E83">Required.assets.BSC.Core.Fibre.Voice.Links</f>
        <v>0</v>
      </c>
      <c r="F78" s="104"/>
      <c r="G78" s="233">
        <v>4250</v>
      </c>
      <c r="H78" s="135">
        <f t="shared" si="8"/>
        <v>0</v>
      </c>
      <c r="I78" s="135">
        <v>0</v>
      </c>
      <c r="J78" s="104"/>
      <c r="K78" s="233">
        <v>935</v>
      </c>
      <c r="L78" s="168">
        <f t="shared" si="9"/>
        <v>0</v>
      </c>
      <c r="M78" s="104"/>
      <c r="N78" s="133">
        <f t="shared" si="10"/>
        <v>0</v>
      </c>
    </row>
    <row r="79" spans="2:14" hidden="1" outlineLevel="1" x14ac:dyDescent="0.2">
      <c r="B79" s="78">
        <f t="shared" si="11"/>
        <v>73</v>
      </c>
      <c r="C79" s="162" t="str">
        <v>BSC a Core punto de acceso: Voz: 34.37</v>
      </c>
      <c r="D79"/>
      <c r="E79" s="224">
        <v>0</v>
      </c>
      <c r="F79" s="104"/>
      <c r="G79" s="233">
        <v>8500</v>
      </c>
      <c r="H79" s="135">
        <f t="shared" si="8"/>
        <v>0</v>
      </c>
      <c r="I79" s="135">
        <v>0</v>
      </c>
      <c r="J79" s="104"/>
      <c r="K79" s="233">
        <v>1870</v>
      </c>
      <c r="L79" s="168">
        <f t="shared" si="9"/>
        <v>0</v>
      </c>
      <c r="M79" s="104"/>
      <c r="N79" s="133">
        <f t="shared" si="10"/>
        <v>0</v>
      </c>
    </row>
    <row r="80" spans="2:14" hidden="1" outlineLevel="1" x14ac:dyDescent="0.2">
      <c r="B80" s="78">
        <f t="shared" si="11"/>
        <v>74</v>
      </c>
      <c r="C80" s="162" t="str">
        <v>BSC a Core punto de acceso: Voz: 155.52</v>
      </c>
      <c r="D80"/>
      <c r="E80" s="224">
        <v>0</v>
      </c>
      <c r="F80" s="104"/>
      <c r="G80" s="233">
        <v>10200</v>
      </c>
      <c r="H80" s="135">
        <f t="shared" si="8"/>
        <v>0</v>
      </c>
      <c r="I80" s="135">
        <v>0</v>
      </c>
      <c r="J80" s="104"/>
      <c r="K80" s="233">
        <v>2244</v>
      </c>
      <c r="L80" s="168">
        <f t="shared" si="9"/>
        <v>0</v>
      </c>
      <c r="M80" s="104"/>
      <c r="N80" s="133">
        <f t="shared" si="10"/>
        <v>0</v>
      </c>
    </row>
    <row r="81" spans="2:15" hidden="1" outlineLevel="1" x14ac:dyDescent="0.2">
      <c r="B81" s="78">
        <f t="shared" si="11"/>
        <v>75</v>
      </c>
      <c r="C81" s="162" t="str">
        <v>BSC a Core punto de acceso: Voz: 30</v>
      </c>
      <c r="D81"/>
      <c r="E81" s="224">
        <v>0</v>
      </c>
      <c r="F81" s="104"/>
      <c r="G81" s="233">
        <v>5000</v>
      </c>
      <c r="H81" s="135">
        <f t="shared" si="8"/>
        <v>0</v>
      </c>
      <c r="I81" s="135">
        <v>0</v>
      </c>
      <c r="J81" s="104"/>
      <c r="K81" s="233">
        <v>1100</v>
      </c>
      <c r="L81" s="168">
        <f t="shared" si="9"/>
        <v>0</v>
      </c>
      <c r="M81" s="104"/>
      <c r="N81" s="133">
        <f t="shared" si="10"/>
        <v>0</v>
      </c>
    </row>
    <row r="82" spans="2:15" hidden="1" outlineLevel="1" x14ac:dyDescent="0.2">
      <c r="B82" s="78">
        <f t="shared" si="11"/>
        <v>76</v>
      </c>
      <c r="C82" s="162" t="str">
        <v>BSC a Core punto de acceso: Voz: 100</v>
      </c>
      <c r="D82"/>
      <c r="E82" s="224">
        <v>0</v>
      </c>
      <c r="F82" s="104"/>
      <c r="G82" s="233">
        <v>7500</v>
      </c>
      <c r="H82" s="135">
        <f t="shared" si="8"/>
        <v>0</v>
      </c>
      <c r="I82" s="135">
        <v>0</v>
      </c>
      <c r="J82" s="104"/>
      <c r="K82" s="233">
        <v>1650</v>
      </c>
      <c r="L82" s="168">
        <f t="shared" si="9"/>
        <v>0</v>
      </c>
      <c r="M82" s="104"/>
      <c r="N82" s="133">
        <f t="shared" si="10"/>
        <v>0</v>
      </c>
      <c r="O82" s="100"/>
    </row>
    <row r="83" spans="2:15" hidden="1" outlineLevel="1" x14ac:dyDescent="0.2">
      <c r="B83" s="78">
        <f t="shared" si="11"/>
        <v>77</v>
      </c>
      <c r="C83" s="162" t="str">
        <v>BSC a Core punto de acceso: Voz: 1024</v>
      </c>
      <c r="D83"/>
      <c r="E83" s="224">
        <v>0</v>
      </c>
      <c r="F83" s="104"/>
      <c r="G83" s="233">
        <v>9000</v>
      </c>
      <c r="H83" s="135">
        <f t="shared" si="8"/>
        <v>0</v>
      </c>
      <c r="I83" s="135">
        <v>0</v>
      </c>
      <c r="J83" s="104"/>
      <c r="K83" s="233">
        <v>1980</v>
      </c>
      <c r="L83" s="168">
        <f t="shared" si="9"/>
        <v>0</v>
      </c>
      <c r="M83" s="104"/>
      <c r="N83" s="133">
        <f t="shared" si="10"/>
        <v>0</v>
      </c>
      <c r="O83" s="100"/>
    </row>
    <row r="84" spans="2:15" hidden="1" outlineLevel="1" x14ac:dyDescent="0.2">
      <c r="B84" s="78">
        <f t="shared" si="11"/>
        <v>78</v>
      </c>
      <c r="C84" s="162" t="str">
        <v>BSC a Core punto de acceso: Datos: 8.45</v>
      </c>
      <c r="D84"/>
      <c r="E84" s="224">
        <f t="array" ref="E84:E89">Required.assets.BSC.Core.Fibre.Data.Links</f>
        <v>0</v>
      </c>
      <c r="F84" s="104"/>
      <c r="G84" s="233">
        <v>4250</v>
      </c>
      <c r="H84" s="135">
        <f t="shared" si="8"/>
        <v>0</v>
      </c>
      <c r="I84" s="135">
        <v>0</v>
      </c>
      <c r="J84" s="104"/>
      <c r="K84" s="233">
        <v>935</v>
      </c>
      <c r="L84" s="168">
        <f t="shared" si="9"/>
        <v>0</v>
      </c>
      <c r="M84" s="104"/>
      <c r="N84" s="133">
        <f t="shared" si="10"/>
        <v>0</v>
      </c>
      <c r="O84" s="100"/>
    </row>
    <row r="85" spans="2:15" hidden="1" outlineLevel="1" x14ac:dyDescent="0.2">
      <c r="B85" s="78">
        <f t="shared" si="11"/>
        <v>79</v>
      </c>
      <c r="C85" s="162" t="str">
        <v>BSC a Core punto de acceso: Datos: 34.37</v>
      </c>
      <c r="D85"/>
      <c r="E85" s="224">
        <v>0</v>
      </c>
      <c r="F85" s="104"/>
      <c r="G85" s="233">
        <v>8500</v>
      </c>
      <c r="H85" s="135">
        <f t="shared" si="8"/>
        <v>0</v>
      </c>
      <c r="I85" s="135">
        <v>0</v>
      </c>
      <c r="J85" s="104"/>
      <c r="K85" s="233">
        <v>1870</v>
      </c>
      <c r="L85" s="168">
        <f t="shared" si="9"/>
        <v>0</v>
      </c>
      <c r="M85" s="104"/>
      <c r="N85" s="133">
        <f t="shared" si="10"/>
        <v>0</v>
      </c>
      <c r="O85" s="100"/>
    </row>
    <row r="86" spans="2:15" hidden="1" outlineLevel="1" x14ac:dyDescent="0.2">
      <c r="B86" s="78">
        <f t="shared" si="11"/>
        <v>80</v>
      </c>
      <c r="C86" s="162" t="str">
        <v>BSC a Core punto de acceso: Datos: 155.52</v>
      </c>
      <c r="D86"/>
      <c r="E86" s="224">
        <v>0</v>
      </c>
      <c r="F86" s="104"/>
      <c r="G86" s="233">
        <v>10200</v>
      </c>
      <c r="H86" s="135">
        <f t="shared" si="8"/>
        <v>0</v>
      </c>
      <c r="I86" s="135">
        <v>0</v>
      </c>
      <c r="J86" s="104"/>
      <c r="K86" s="233">
        <v>2244</v>
      </c>
      <c r="L86" s="168">
        <f t="shared" si="9"/>
        <v>0</v>
      </c>
      <c r="M86" s="104"/>
      <c r="N86" s="133">
        <f t="shared" si="10"/>
        <v>0</v>
      </c>
      <c r="O86" s="100"/>
    </row>
    <row r="87" spans="2:15" hidden="1" outlineLevel="1" x14ac:dyDescent="0.2">
      <c r="B87" s="78">
        <f t="shared" si="11"/>
        <v>81</v>
      </c>
      <c r="C87" s="162" t="str">
        <v>BSC a Core punto de acceso: Datos: 30</v>
      </c>
      <c r="D87"/>
      <c r="E87" s="224">
        <v>0</v>
      </c>
      <c r="F87" s="104"/>
      <c r="G87" s="233">
        <v>5000</v>
      </c>
      <c r="H87" s="135">
        <f t="shared" si="8"/>
        <v>0</v>
      </c>
      <c r="I87" s="135">
        <v>0</v>
      </c>
      <c r="J87" s="104"/>
      <c r="K87" s="233">
        <v>1100</v>
      </c>
      <c r="L87" s="168">
        <f t="shared" si="9"/>
        <v>0</v>
      </c>
      <c r="M87" s="104"/>
      <c r="N87" s="133">
        <f t="shared" si="10"/>
        <v>0</v>
      </c>
      <c r="O87" s="100"/>
    </row>
    <row r="88" spans="2:15" hidden="1" outlineLevel="1" x14ac:dyDescent="0.2">
      <c r="B88" s="78">
        <f t="shared" si="11"/>
        <v>82</v>
      </c>
      <c r="C88" s="162" t="str">
        <v>BSC a Core punto de acceso: Datos: 100</v>
      </c>
      <c r="D88"/>
      <c r="E88" s="224">
        <v>0</v>
      </c>
      <c r="F88" s="104"/>
      <c r="G88" s="233">
        <v>7500</v>
      </c>
      <c r="H88" s="135">
        <f t="shared" si="8"/>
        <v>0</v>
      </c>
      <c r="I88" s="135">
        <v>0</v>
      </c>
      <c r="J88" s="104"/>
      <c r="K88" s="233">
        <v>1650</v>
      </c>
      <c r="L88" s="168">
        <f t="shared" si="9"/>
        <v>0</v>
      </c>
      <c r="M88" s="104"/>
      <c r="N88" s="133">
        <f t="shared" si="10"/>
        <v>0</v>
      </c>
      <c r="O88" s="100"/>
    </row>
    <row r="89" spans="2:15" hidden="1" outlineLevel="1" x14ac:dyDescent="0.2">
      <c r="B89" s="78">
        <f t="shared" si="11"/>
        <v>83</v>
      </c>
      <c r="C89" s="162" t="str">
        <v>BSC a Core punto de acceso: Datos: 1024</v>
      </c>
      <c r="D89"/>
      <c r="E89" s="224">
        <v>0</v>
      </c>
      <c r="F89" s="104"/>
      <c r="G89" s="233">
        <v>9000</v>
      </c>
      <c r="H89" s="135">
        <f t="shared" si="8"/>
        <v>0</v>
      </c>
      <c r="I89" s="135">
        <v>0</v>
      </c>
      <c r="J89" s="104"/>
      <c r="K89" s="233">
        <v>1980</v>
      </c>
      <c r="L89" s="168">
        <f t="shared" si="9"/>
        <v>0</v>
      </c>
      <c r="M89" s="104"/>
      <c r="N89" s="133">
        <f t="shared" si="10"/>
        <v>0</v>
      </c>
      <c r="O89" s="100"/>
    </row>
    <row r="90" spans="2:15" hidden="1" outlineLevel="1" x14ac:dyDescent="0.2">
      <c r="B90" s="78">
        <f t="shared" si="11"/>
        <v>84</v>
      </c>
      <c r="C90" s="162" t="str">
        <v>RNC a Core punto de acceso: Voz: 34.4</v>
      </c>
      <c r="D90"/>
      <c r="E90" s="224">
        <f t="array" ref="E90:E95">Required.assets.RNC.Core.Fibre.Voice.Links</f>
        <v>0</v>
      </c>
      <c r="F90" s="104"/>
      <c r="G90" s="233">
        <v>8500</v>
      </c>
      <c r="H90" s="135">
        <f t="shared" si="8"/>
        <v>0</v>
      </c>
      <c r="I90" s="135">
        <v>0</v>
      </c>
      <c r="J90" s="104"/>
      <c r="K90" s="233">
        <v>1870</v>
      </c>
      <c r="L90" s="168">
        <f t="shared" si="9"/>
        <v>0</v>
      </c>
      <c r="M90" s="104"/>
      <c r="N90" s="133">
        <f t="shared" si="10"/>
        <v>0</v>
      </c>
      <c r="O90" s="100"/>
    </row>
    <row r="91" spans="2:15" hidden="1" outlineLevel="1" x14ac:dyDescent="0.2">
      <c r="B91" s="78">
        <f t="shared" si="11"/>
        <v>85</v>
      </c>
      <c r="C91" s="162" t="str">
        <v>RNC a Core punto de acceso: Voz: 155.52</v>
      </c>
      <c r="D91"/>
      <c r="E91" s="224">
        <v>0</v>
      </c>
      <c r="F91" s="104"/>
      <c r="G91" s="233">
        <v>10200</v>
      </c>
      <c r="H91" s="135">
        <f t="shared" si="8"/>
        <v>0</v>
      </c>
      <c r="I91" s="135">
        <v>0</v>
      </c>
      <c r="J91" s="104"/>
      <c r="K91" s="233">
        <v>2244</v>
      </c>
      <c r="L91" s="168">
        <f t="shared" si="9"/>
        <v>0</v>
      </c>
      <c r="M91" s="104"/>
      <c r="N91" s="133">
        <f t="shared" si="10"/>
        <v>0</v>
      </c>
    </row>
    <row r="92" spans="2:15" hidden="1" outlineLevel="1" x14ac:dyDescent="0.2">
      <c r="B92" s="78">
        <f t="shared" si="11"/>
        <v>86</v>
      </c>
      <c r="C92" s="162" t="str">
        <v>RNC a Core punto de acceso: Voz: 622.08</v>
      </c>
      <c r="D92"/>
      <c r="E92" s="224">
        <v>0</v>
      </c>
      <c r="F92" s="104"/>
      <c r="G92" s="233">
        <v>11300</v>
      </c>
      <c r="H92" s="135">
        <f t="shared" si="8"/>
        <v>0</v>
      </c>
      <c r="I92" s="135">
        <v>0</v>
      </c>
      <c r="J92" s="104"/>
      <c r="K92" s="233">
        <v>2486</v>
      </c>
      <c r="L92" s="168">
        <f t="shared" si="9"/>
        <v>0</v>
      </c>
      <c r="M92" s="104"/>
      <c r="N92" s="133">
        <f t="shared" si="10"/>
        <v>0</v>
      </c>
      <c r="O92" s="100"/>
    </row>
    <row r="93" spans="2:15" hidden="1" outlineLevel="1" x14ac:dyDescent="0.2">
      <c r="B93" s="78">
        <f t="shared" si="11"/>
        <v>87</v>
      </c>
      <c r="C93" s="162" t="str">
        <v>RNC a Core punto de acceso: Voz 100</v>
      </c>
      <c r="D93"/>
      <c r="E93" s="224">
        <v>0</v>
      </c>
      <c r="F93" s="104"/>
      <c r="G93" s="233">
        <v>8500</v>
      </c>
      <c r="H93" s="135">
        <f t="shared" si="8"/>
        <v>0</v>
      </c>
      <c r="I93" s="135">
        <v>0</v>
      </c>
      <c r="J93" s="104"/>
      <c r="K93" s="233">
        <v>1870</v>
      </c>
      <c r="L93" s="168">
        <f t="shared" si="9"/>
        <v>0</v>
      </c>
      <c r="M93" s="104"/>
      <c r="N93" s="133">
        <f t="shared" si="10"/>
        <v>0</v>
      </c>
      <c r="O93" s="100"/>
    </row>
    <row r="94" spans="2:15" hidden="1" outlineLevel="1" x14ac:dyDescent="0.2">
      <c r="B94" s="78">
        <f t="shared" si="11"/>
        <v>88</v>
      </c>
      <c r="C94" s="162" t="str">
        <v>RNC a Core punto de acceso: Voz 1024</v>
      </c>
      <c r="D94"/>
      <c r="E94" s="224">
        <v>0</v>
      </c>
      <c r="F94" s="104"/>
      <c r="G94" s="233">
        <v>10750</v>
      </c>
      <c r="H94" s="135">
        <f t="shared" si="8"/>
        <v>0</v>
      </c>
      <c r="I94" s="135">
        <v>0</v>
      </c>
      <c r="J94" s="104"/>
      <c r="K94" s="233">
        <v>2365</v>
      </c>
      <c r="L94" s="168">
        <f t="shared" si="9"/>
        <v>0</v>
      </c>
      <c r="M94" s="104"/>
      <c r="N94" s="133">
        <f t="shared" si="10"/>
        <v>0</v>
      </c>
    </row>
    <row r="95" spans="2:15" hidden="1" outlineLevel="1" x14ac:dyDescent="0.2">
      <c r="B95" s="78">
        <f t="shared" si="11"/>
        <v>89</v>
      </c>
      <c r="C95" s="162" t="str">
        <v>RNC a Core punto de acceso: Voz 2488</v>
      </c>
      <c r="D95"/>
      <c r="E95" s="224">
        <v>0</v>
      </c>
      <c r="F95" s="104"/>
      <c r="G95" s="233">
        <v>11300</v>
      </c>
      <c r="H95" s="135">
        <f t="shared" si="8"/>
        <v>0</v>
      </c>
      <c r="I95" s="135">
        <v>0</v>
      </c>
      <c r="J95" s="104"/>
      <c r="K95" s="233">
        <v>2486</v>
      </c>
      <c r="L95" s="168">
        <f t="shared" si="9"/>
        <v>0</v>
      </c>
      <c r="M95" s="104"/>
      <c r="N95" s="133">
        <f t="shared" si="10"/>
        <v>0</v>
      </c>
    </row>
    <row r="96" spans="2:15" hidden="1" outlineLevel="1" x14ac:dyDescent="0.2">
      <c r="B96" s="78">
        <f t="shared" si="11"/>
        <v>90</v>
      </c>
      <c r="C96" s="162" t="str">
        <v>RNC a Core punto de acceso: Datos: 34.4</v>
      </c>
      <c r="D96"/>
      <c r="E96" s="224">
        <f t="array" ref="E96:E101">Required.assets.RNC.Core.Fibre.Data.Links</f>
        <v>0</v>
      </c>
      <c r="F96" s="104"/>
      <c r="G96" s="233">
        <v>8500</v>
      </c>
      <c r="H96" s="135">
        <f t="shared" si="8"/>
        <v>0</v>
      </c>
      <c r="I96" s="135">
        <v>0</v>
      </c>
      <c r="J96" s="104"/>
      <c r="K96" s="233">
        <v>1870</v>
      </c>
      <c r="L96" s="168">
        <f t="shared" si="9"/>
        <v>0</v>
      </c>
      <c r="M96" s="104"/>
      <c r="N96" s="133">
        <f t="shared" si="10"/>
        <v>0</v>
      </c>
    </row>
    <row r="97" spans="2:14" hidden="1" outlineLevel="1" x14ac:dyDescent="0.2">
      <c r="B97" s="78">
        <f t="shared" si="11"/>
        <v>91</v>
      </c>
      <c r="C97" s="162" t="str">
        <v>RNC a Core punto de acceso: Datos: 155.52</v>
      </c>
      <c r="D97"/>
      <c r="E97" s="224">
        <v>0</v>
      </c>
      <c r="F97" s="104"/>
      <c r="G97" s="233">
        <v>10200</v>
      </c>
      <c r="H97" s="135">
        <f t="shared" si="8"/>
        <v>0</v>
      </c>
      <c r="I97" s="135">
        <v>0</v>
      </c>
      <c r="J97" s="104"/>
      <c r="K97" s="233">
        <v>2244</v>
      </c>
      <c r="L97" s="168">
        <f t="shared" si="9"/>
        <v>0</v>
      </c>
      <c r="M97" s="104"/>
      <c r="N97" s="133">
        <f t="shared" si="10"/>
        <v>0</v>
      </c>
    </row>
    <row r="98" spans="2:14" hidden="1" outlineLevel="1" x14ac:dyDescent="0.2">
      <c r="B98" s="78">
        <f t="shared" si="11"/>
        <v>92</v>
      </c>
      <c r="C98" s="162" t="str">
        <v>RNC a Core punto de acceso: Datos: 622.08</v>
      </c>
      <c r="D98"/>
      <c r="E98" s="224">
        <v>0</v>
      </c>
      <c r="F98" s="104"/>
      <c r="G98" s="233">
        <v>11300</v>
      </c>
      <c r="H98" s="135">
        <f t="shared" si="8"/>
        <v>0</v>
      </c>
      <c r="I98" s="135">
        <v>0</v>
      </c>
      <c r="J98" s="104"/>
      <c r="K98" s="233">
        <v>2486</v>
      </c>
      <c r="L98" s="168">
        <f t="shared" si="9"/>
        <v>0</v>
      </c>
      <c r="M98" s="104"/>
      <c r="N98" s="133">
        <f t="shared" si="10"/>
        <v>0</v>
      </c>
    </row>
    <row r="99" spans="2:14" hidden="1" outlineLevel="1" x14ac:dyDescent="0.2">
      <c r="B99" s="78">
        <f t="shared" si="11"/>
        <v>93</v>
      </c>
      <c r="C99" s="162" t="str">
        <v>RNC a Core punto de acceso: Datos: 100</v>
      </c>
      <c r="D99"/>
      <c r="E99" s="224">
        <v>0</v>
      </c>
      <c r="F99" s="104"/>
      <c r="G99" s="233">
        <v>8500</v>
      </c>
      <c r="H99" s="135">
        <f t="shared" si="8"/>
        <v>0</v>
      </c>
      <c r="I99" s="135">
        <v>0</v>
      </c>
      <c r="J99" s="104"/>
      <c r="K99" s="233">
        <v>1870</v>
      </c>
      <c r="L99" s="168">
        <f t="shared" si="9"/>
        <v>0</v>
      </c>
      <c r="M99" s="104"/>
      <c r="N99" s="133">
        <f t="shared" si="10"/>
        <v>0</v>
      </c>
    </row>
    <row r="100" spans="2:14" hidden="1" outlineLevel="1" x14ac:dyDescent="0.2">
      <c r="B100" s="78">
        <f t="shared" si="11"/>
        <v>94</v>
      </c>
      <c r="C100" s="162" t="str">
        <v>RNC a Core punto de acceso: Datos: 1024</v>
      </c>
      <c r="D100"/>
      <c r="E100" s="224">
        <v>0</v>
      </c>
      <c r="F100" s="104"/>
      <c r="G100" s="233">
        <v>10750</v>
      </c>
      <c r="H100" s="135">
        <f t="shared" si="8"/>
        <v>0</v>
      </c>
      <c r="I100" s="135">
        <v>0</v>
      </c>
      <c r="J100" s="104"/>
      <c r="K100" s="233">
        <v>2365</v>
      </c>
      <c r="L100" s="168">
        <f t="shared" si="9"/>
        <v>0</v>
      </c>
      <c r="M100" s="104"/>
      <c r="N100" s="133">
        <f t="shared" si="10"/>
        <v>0</v>
      </c>
    </row>
    <row r="101" spans="2:14" hidden="1" outlineLevel="1" x14ac:dyDescent="0.2">
      <c r="B101" s="78">
        <f t="shared" si="11"/>
        <v>95</v>
      </c>
      <c r="C101" s="162" t="str">
        <v>RNC a Core punto de acceso: Datos: 2488</v>
      </c>
      <c r="D101"/>
      <c r="E101" s="224">
        <v>0</v>
      </c>
      <c r="F101" s="104"/>
      <c r="G101" s="233">
        <v>11300</v>
      </c>
      <c r="H101" s="135">
        <f t="shared" si="8"/>
        <v>0</v>
      </c>
      <c r="I101" s="135">
        <v>0</v>
      </c>
      <c r="J101" s="104"/>
      <c r="K101" s="233">
        <v>0</v>
      </c>
      <c r="L101" s="168">
        <f t="shared" si="9"/>
        <v>0</v>
      </c>
      <c r="M101" s="104"/>
      <c r="N101" s="133">
        <f t="shared" si="10"/>
        <v>0</v>
      </c>
    </row>
    <row r="102" spans="2:14" hidden="1" outlineLevel="1" x14ac:dyDescent="0.2">
      <c r="B102" s="78">
        <f t="shared" si="11"/>
        <v>96</v>
      </c>
      <c r="C102" s="162" t="str">
        <v>BSC a Core líneas alquiladas: Voz: 8.45</v>
      </c>
      <c r="D102"/>
      <c r="E102" s="224">
        <f t="array" ref="E102:E107">Required.assets.BSC.Core.LL.Voice.Links</f>
        <v>0</v>
      </c>
      <c r="F102" s="104"/>
      <c r="G102" s="233">
        <v>800</v>
      </c>
      <c r="H102" s="135">
        <f t="shared" si="8"/>
        <v>0</v>
      </c>
      <c r="I102" s="135">
        <v>0</v>
      </c>
      <c r="J102" s="104"/>
      <c r="K102" s="233">
        <v>4800.0000000000009</v>
      </c>
      <c r="L102" s="168">
        <f t="shared" si="9"/>
        <v>0</v>
      </c>
      <c r="M102" s="104"/>
      <c r="N102" s="133">
        <f t="shared" si="10"/>
        <v>0</v>
      </c>
    </row>
    <row r="103" spans="2:14" hidden="1" outlineLevel="1" x14ac:dyDescent="0.2">
      <c r="B103" s="78">
        <f t="shared" si="11"/>
        <v>97</v>
      </c>
      <c r="C103" s="162" t="str">
        <v>BSC a Core líneas alquiladas: Voz: 34.37</v>
      </c>
      <c r="D103"/>
      <c r="E103" s="224">
        <v>0</v>
      </c>
      <c r="F103" s="104"/>
      <c r="G103" s="233">
        <v>2200</v>
      </c>
      <c r="H103" s="135">
        <f t="shared" ref="H103:H134" si="12">E103*G103</f>
        <v>0</v>
      </c>
      <c r="I103" s="135">
        <v>0</v>
      </c>
      <c r="J103" s="104"/>
      <c r="K103" s="233">
        <v>13199.999999999998</v>
      </c>
      <c r="L103" s="168">
        <f t="shared" ref="L103:L134" si="13">E103*K103*(1+Working.capital.allowance)</f>
        <v>0</v>
      </c>
      <c r="M103" s="104"/>
      <c r="N103" s="133">
        <f t="shared" ref="N103:N134" si="14">I103+L103</f>
        <v>0</v>
      </c>
    </row>
    <row r="104" spans="2:14" hidden="1" outlineLevel="1" x14ac:dyDescent="0.2">
      <c r="B104" s="78">
        <f t="shared" ref="B104:B135" si="15">1+B103</f>
        <v>98</v>
      </c>
      <c r="C104" s="162" t="str">
        <v>BSC a Core líneas alquiladas: Voz: 155.52</v>
      </c>
      <c r="D104"/>
      <c r="E104" s="224">
        <v>0</v>
      </c>
      <c r="F104" s="104"/>
      <c r="G104" s="233">
        <v>7100</v>
      </c>
      <c r="H104" s="135">
        <f t="shared" si="12"/>
        <v>0</v>
      </c>
      <c r="I104" s="135">
        <v>0</v>
      </c>
      <c r="J104" s="104"/>
      <c r="K104" s="233">
        <v>42000</v>
      </c>
      <c r="L104" s="168">
        <f t="shared" si="13"/>
        <v>0</v>
      </c>
      <c r="M104" s="104"/>
      <c r="N104" s="133">
        <f t="shared" si="14"/>
        <v>0</v>
      </c>
    </row>
    <row r="105" spans="2:14" hidden="1" outlineLevel="1" x14ac:dyDescent="0.2">
      <c r="B105" s="78">
        <f t="shared" si="15"/>
        <v>99</v>
      </c>
      <c r="C105" s="162" t="str">
        <v>BSC a Core líneas alquiladas: Voz: 30</v>
      </c>
      <c r="D105"/>
      <c r="E105" s="224">
        <v>0</v>
      </c>
      <c r="F105" s="104"/>
      <c r="G105" s="233">
        <v>2000</v>
      </c>
      <c r="H105" s="135">
        <f t="shared" si="12"/>
        <v>0</v>
      </c>
      <c r="I105" s="135">
        <v>0</v>
      </c>
      <c r="J105" s="104"/>
      <c r="K105" s="233">
        <v>9600</v>
      </c>
      <c r="L105" s="168">
        <f t="shared" si="13"/>
        <v>0</v>
      </c>
      <c r="M105" s="104"/>
      <c r="N105" s="133">
        <f t="shared" si="14"/>
        <v>0</v>
      </c>
    </row>
    <row r="106" spans="2:14" hidden="1" outlineLevel="1" x14ac:dyDescent="0.2">
      <c r="B106" s="78">
        <f t="shared" si="15"/>
        <v>100</v>
      </c>
      <c r="C106" s="162" t="str">
        <v>BSC a Core líneas alquiladas: Voz: 100</v>
      </c>
      <c r="D106"/>
      <c r="E106" s="224">
        <v>0</v>
      </c>
      <c r="F106" s="104"/>
      <c r="G106" s="233">
        <v>4000</v>
      </c>
      <c r="H106" s="135">
        <f t="shared" si="12"/>
        <v>0</v>
      </c>
      <c r="I106" s="135">
        <v>0</v>
      </c>
      <c r="J106" s="104"/>
      <c r="K106" s="233">
        <v>22800</v>
      </c>
      <c r="L106" s="168">
        <f t="shared" si="13"/>
        <v>0</v>
      </c>
      <c r="M106" s="104"/>
      <c r="N106" s="133">
        <f t="shared" si="14"/>
        <v>0</v>
      </c>
    </row>
    <row r="107" spans="2:14" hidden="1" outlineLevel="1" x14ac:dyDescent="0.2">
      <c r="B107" s="78">
        <f t="shared" si="15"/>
        <v>101</v>
      </c>
      <c r="C107" s="162" t="str">
        <v>BSC a Core líneas alquiladas: Voz: 1024</v>
      </c>
      <c r="D107"/>
      <c r="E107" s="224">
        <v>0</v>
      </c>
      <c r="G107" s="163">
        <v>4000</v>
      </c>
      <c r="H107" s="135">
        <f t="shared" si="12"/>
        <v>0</v>
      </c>
      <c r="I107" s="134">
        <v>0</v>
      </c>
      <c r="K107" s="163">
        <v>120000</v>
      </c>
      <c r="L107" s="168">
        <f t="shared" si="13"/>
        <v>0</v>
      </c>
      <c r="N107" s="133">
        <f t="shared" si="14"/>
        <v>0</v>
      </c>
    </row>
    <row r="108" spans="2:14" hidden="1" outlineLevel="1" x14ac:dyDescent="0.2">
      <c r="B108" s="78">
        <f t="shared" si="15"/>
        <v>102</v>
      </c>
      <c r="C108" s="162" t="str">
        <v>BSC a Core líneas alquiladas: Datos: 8.45</v>
      </c>
      <c r="D108"/>
      <c r="E108" s="224">
        <f t="array" ref="E108:E113">Required.assets.BSC.Core.LL.Data.Links</f>
        <v>0</v>
      </c>
      <c r="G108" s="163">
        <v>800</v>
      </c>
      <c r="H108" s="135">
        <f t="shared" si="12"/>
        <v>0</v>
      </c>
      <c r="I108" s="134">
        <v>0</v>
      </c>
      <c r="K108" s="163">
        <v>4800.0000000000009</v>
      </c>
      <c r="L108" s="168">
        <f t="shared" si="13"/>
        <v>0</v>
      </c>
      <c r="N108" s="133">
        <f t="shared" si="14"/>
        <v>0</v>
      </c>
    </row>
    <row r="109" spans="2:14" hidden="1" outlineLevel="1" x14ac:dyDescent="0.2">
      <c r="B109" s="78">
        <f t="shared" si="15"/>
        <v>103</v>
      </c>
      <c r="C109" s="162" t="str">
        <v>BSC a Core líneas alquiladas: Datos: 34.37</v>
      </c>
      <c r="D109"/>
      <c r="E109" s="224">
        <v>0</v>
      </c>
      <c r="G109" s="163">
        <v>2200</v>
      </c>
      <c r="H109" s="135">
        <f t="shared" si="12"/>
        <v>0</v>
      </c>
      <c r="I109" s="134">
        <v>0</v>
      </c>
      <c r="K109" s="163">
        <v>13199.999999999998</v>
      </c>
      <c r="L109" s="168">
        <f t="shared" si="13"/>
        <v>0</v>
      </c>
      <c r="N109" s="133">
        <f t="shared" si="14"/>
        <v>0</v>
      </c>
    </row>
    <row r="110" spans="2:14" hidden="1" outlineLevel="1" x14ac:dyDescent="0.2">
      <c r="B110" s="78">
        <f t="shared" si="15"/>
        <v>104</v>
      </c>
      <c r="C110" s="162" t="str">
        <v>BSC a Core líneas alquiladas: Datos: 155.52</v>
      </c>
      <c r="D110"/>
      <c r="E110" s="224">
        <v>0</v>
      </c>
      <c r="G110" s="163">
        <v>7100</v>
      </c>
      <c r="H110" s="135">
        <f t="shared" si="12"/>
        <v>0</v>
      </c>
      <c r="I110" s="134">
        <v>0</v>
      </c>
      <c r="K110" s="163">
        <v>42000</v>
      </c>
      <c r="L110" s="168">
        <f t="shared" si="13"/>
        <v>0</v>
      </c>
      <c r="N110" s="133">
        <f t="shared" si="14"/>
        <v>0</v>
      </c>
    </row>
    <row r="111" spans="2:14" hidden="1" outlineLevel="1" x14ac:dyDescent="0.2">
      <c r="B111" s="78">
        <f t="shared" si="15"/>
        <v>105</v>
      </c>
      <c r="C111" s="162" t="str">
        <v>BSC a Core líneas alquiladas: Datos: 30</v>
      </c>
      <c r="D111"/>
      <c r="E111" s="224">
        <v>0</v>
      </c>
      <c r="G111" s="163">
        <v>2000</v>
      </c>
      <c r="H111" s="135">
        <f t="shared" si="12"/>
        <v>0</v>
      </c>
      <c r="I111" s="134">
        <v>0</v>
      </c>
      <c r="K111" s="163">
        <v>9600</v>
      </c>
      <c r="L111" s="168">
        <f t="shared" si="13"/>
        <v>0</v>
      </c>
      <c r="N111" s="133">
        <f t="shared" si="14"/>
        <v>0</v>
      </c>
    </row>
    <row r="112" spans="2:14" hidden="1" outlineLevel="1" x14ac:dyDescent="0.2">
      <c r="B112" s="78">
        <f t="shared" si="15"/>
        <v>106</v>
      </c>
      <c r="C112" s="162" t="str">
        <v>BSC a Core líneas alquiladas: Datos: 100</v>
      </c>
      <c r="D112"/>
      <c r="E112" s="224">
        <v>0</v>
      </c>
      <c r="G112" s="163">
        <v>4000</v>
      </c>
      <c r="H112" s="135">
        <f t="shared" si="12"/>
        <v>0</v>
      </c>
      <c r="I112" s="134">
        <v>0</v>
      </c>
      <c r="K112" s="163">
        <v>22800</v>
      </c>
      <c r="L112" s="168">
        <f t="shared" si="13"/>
        <v>0</v>
      </c>
      <c r="N112" s="133">
        <f t="shared" si="14"/>
        <v>0</v>
      </c>
    </row>
    <row r="113" spans="2:14" hidden="1" outlineLevel="1" x14ac:dyDescent="0.2">
      <c r="B113" s="78">
        <f t="shared" si="15"/>
        <v>107</v>
      </c>
      <c r="C113" s="162" t="str">
        <v>BSC a Core líneas alquiladas: Datos: 1024</v>
      </c>
      <c r="D113"/>
      <c r="E113" s="224">
        <v>0</v>
      </c>
      <c r="G113" s="163">
        <v>4000</v>
      </c>
      <c r="H113" s="135">
        <f t="shared" si="12"/>
        <v>0</v>
      </c>
      <c r="I113" s="134">
        <v>0</v>
      </c>
      <c r="K113" s="163">
        <v>120000</v>
      </c>
      <c r="L113" s="168">
        <f t="shared" si="13"/>
        <v>0</v>
      </c>
      <c r="N113" s="133">
        <f t="shared" si="14"/>
        <v>0</v>
      </c>
    </row>
    <row r="114" spans="2:14" hidden="1" outlineLevel="1" x14ac:dyDescent="0.2">
      <c r="B114" s="78">
        <f t="shared" si="15"/>
        <v>108</v>
      </c>
      <c r="C114" s="162" t="str">
        <v>RNC a Core líneas alquiladas: Voz: 34.4</v>
      </c>
      <c r="D114"/>
      <c r="E114" s="224">
        <f t="array" ref="E114:E119">Required.assets.RNC.Core.LL.Voice.Links</f>
        <v>0</v>
      </c>
      <c r="G114" s="163">
        <v>2200</v>
      </c>
      <c r="H114" s="135">
        <f t="shared" si="12"/>
        <v>0</v>
      </c>
      <c r="I114" s="134">
        <v>0</v>
      </c>
      <c r="K114" s="163">
        <v>13199.999999999998</v>
      </c>
      <c r="L114" s="168">
        <f t="shared" si="13"/>
        <v>0</v>
      </c>
      <c r="N114" s="133">
        <f t="shared" si="14"/>
        <v>0</v>
      </c>
    </row>
    <row r="115" spans="2:14" hidden="1" outlineLevel="1" x14ac:dyDescent="0.2">
      <c r="B115" s="78">
        <f t="shared" si="15"/>
        <v>109</v>
      </c>
      <c r="C115" s="162" t="str">
        <v>RNC a Core líneas alquiladas: Voz: 155.52</v>
      </c>
      <c r="D115"/>
      <c r="E115" s="224">
        <v>0</v>
      </c>
      <c r="G115" s="163">
        <v>7100</v>
      </c>
      <c r="H115" s="135">
        <f t="shared" si="12"/>
        <v>0</v>
      </c>
      <c r="I115" s="134">
        <v>0</v>
      </c>
      <c r="K115" s="163">
        <v>42000</v>
      </c>
      <c r="L115" s="168">
        <f t="shared" si="13"/>
        <v>0</v>
      </c>
      <c r="N115" s="133">
        <f t="shared" si="14"/>
        <v>0</v>
      </c>
    </row>
    <row r="116" spans="2:14" hidden="1" outlineLevel="1" x14ac:dyDescent="0.2">
      <c r="B116" s="78">
        <f t="shared" si="15"/>
        <v>110</v>
      </c>
      <c r="C116" s="162" t="str">
        <v>RNC a Core líneas alquiladas: Voz: 622.08</v>
      </c>
      <c r="D116"/>
      <c r="E116" s="224">
        <v>0</v>
      </c>
      <c r="G116" s="163">
        <v>23000</v>
      </c>
      <c r="H116" s="135">
        <f t="shared" si="12"/>
        <v>0</v>
      </c>
      <c r="I116" s="134">
        <v>0</v>
      </c>
      <c r="K116" s="163">
        <v>120000</v>
      </c>
      <c r="L116" s="168">
        <f t="shared" si="13"/>
        <v>0</v>
      </c>
      <c r="N116" s="133">
        <f t="shared" si="14"/>
        <v>0</v>
      </c>
    </row>
    <row r="117" spans="2:14" hidden="1" outlineLevel="1" x14ac:dyDescent="0.2">
      <c r="B117" s="78">
        <f t="shared" si="15"/>
        <v>111</v>
      </c>
      <c r="C117" s="162" t="str">
        <v>RNC a Core líneas alquiladas: Voz: 100</v>
      </c>
      <c r="D117"/>
      <c r="E117" s="224">
        <v>0</v>
      </c>
      <c r="G117" s="163">
        <v>4000</v>
      </c>
      <c r="H117" s="135">
        <f t="shared" si="12"/>
        <v>0</v>
      </c>
      <c r="I117" s="134">
        <v>0</v>
      </c>
      <c r="K117" s="163">
        <v>22800</v>
      </c>
      <c r="L117" s="168">
        <f t="shared" si="13"/>
        <v>0</v>
      </c>
      <c r="N117" s="133">
        <f t="shared" si="14"/>
        <v>0</v>
      </c>
    </row>
    <row r="118" spans="2:14" hidden="1" outlineLevel="1" x14ac:dyDescent="0.2">
      <c r="B118" s="78">
        <f t="shared" si="15"/>
        <v>112</v>
      </c>
      <c r="C118" s="162" t="str">
        <v>RNC a Core líneas alquiladas: Voz: 1024</v>
      </c>
      <c r="D118"/>
      <c r="E118" s="224">
        <v>0</v>
      </c>
      <c r="G118" s="163">
        <v>4000</v>
      </c>
      <c r="H118" s="135">
        <f t="shared" si="12"/>
        <v>0</v>
      </c>
      <c r="I118" s="134">
        <v>0</v>
      </c>
      <c r="K118" s="163">
        <v>120000</v>
      </c>
      <c r="L118" s="168">
        <f t="shared" si="13"/>
        <v>0</v>
      </c>
      <c r="N118" s="133">
        <f t="shared" si="14"/>
        <v>0</v>
      </c>
    </row>
    <row r="119" spans="2:14" hidden="1" outlineLevel="1" x14ac:dyDescent="0.2">
      <c r="B119" s="78">
        <f t="shared" si="15"/>
        <v>113</v>
      </c>
      <c r="C119" s="162" t="str">
        <v>RNC a Core líneas alquiladas: Voz: 2488</v>
      </c>
      <c r="D119"/>
      <c r="E119" s="224">
        <v>0</v>
      </c>
      <c r="G119" s="163">
        <v>4000</v>
      </c>
      <c r="H119" s="135">
        <f t="shared" si="12"/>
        <v>0</v>
      </c>
      <c r="I119" s="134">
        <v>0</v>
      </c>
      <c r="K119" s="163">
        <v>204000.00000000003</v>
      </c>
      <c r="L119" s="168">
        <f t="shared" si="13"/>
        <v>0</v>
      </c>
      <c r="N119" s="133">
        <f t="shared" si="14"/>
        <v>0</v>
      </c>
    </row>
    <row r="120" spans="2:14" hidden="1" outlineLevel="1" x14ac:dyDescent="0.2">
      <c r="B120" s="78">
        <f t="shared" si="15"/>
        <v>114</v>
      </c>
      <c r="C120" s="162" t="str">
        <v>RNC a Core líneas alquiladas: Datos: 34.4</v>
      </c>
      <c r="D120"/>
      <c r="E120" s="224">
        <f t="array" ref="E120:E125">Required.assets.RNC.Core.LL.Data.Links</f>
        <v>0</v>
      </c>
      <c r="G120" s="163">
        <v>2200</v>
      </c>
      <c r="H120" s="135">
        <f t="shared" si="12"/>
        <v>0</v>
      </c>
      <c r="I120" s="134">
        <v>0</v>
      </c>
      <c r="K120" s="163">
        <v>13199.999999999998</v>
      </c>
      <c r="L120" s="168">
        <f t="shared" si="13"/>
        <v>0</v>
      </c>
      <c r="N120" s="133">
        <f t="shared" si="14"/>
        <v>0</v>
      </c>
    </row>
    <row r="121" spans="2:14" hidden="1" outlineLevel="1" x14ac:dyDescent="0.2">
      <c r="B121" s="78">
        <f t="shared" si="15"/>
        <v>115</v>
      </c>
      <c r="C121" s="162" t="str">
        <v>RNC a Core líneas alquiladas: Datos: 155.52</v>
      </c>
      <c r="D121"/>
      <c r="E121" s="224">
        <v>0</v>
      </c>
      <c r="G121" s="163">
        <v>7100</v>
      </c>
      <c r="H121" s="135">
        <f t="shared" si="12"/>
        <v>0</v>
      </c>
      <c r="I121" s="134">
        <v>0</v>
      </c>
      <c r="K121" s="163">
        <v>42000</v>
      </c>
      <c r="L121" s="168">
        <f t="shared" si="13"/>
        <v>0</v>
      </c>
      <c r="N121" s="133">
        <f t="shared" si="14"/>
        <v>0</v>
      </c>
    </row>
    <row r="122" spans="2:14" hidden="1" outlineLevel="1" x14ac:dyDescent="0.2">
      <c r="B122" s="78">
        <f t="shared" si="15"/>
        <v>116</v>
      </c>
      <c r="C122" s="162" t="str">
        <v>RNC a Core líneas alquiladas: Datos: 622.08</v>
      </c>
      <c r="D122"/>
      <c r="E122" s="224">
        <v>0</v>
      </c>
      <c r="G122" s="163">
        <v>23000</v>
      </c>
      <c r="H122" s="135">
        <f t="shared" si="12"/>
        <v>0</v>
      </c>
      <c r="I122" s="134">
        <v>0</v>
      </c>
      <c r="K122" s="163">
        <v>120000</v>
      </c>
      <c r="L122" s="168">
        <f t="shared" si="13"/>
        <v>0</v>
      </c>
      <c r="N122" s="133">
        <f t="shared" si="14"/>
        <v>0</v>
      </c>
    </row>
    <row r="123" spans="2:14" hidden="1" outlineLevel="1" x14ac:dyDescent="0.2">
      <c r="B123" s="78">
        <f t="shared" si="15"/>
        <v>117</v>
      </c>
      <c r="C123" s="162" t="str">
        <v>RNC a Core líneas alquiladas: Datos: 100</v>
      </c>
      <c r="D123"/>
      <c r="E123" s="224">
        <v>0</v>
      </c>
      <c r="G123" s="163">
        <v>4000</v>
      </c>
      <c r="H123" s="135">
        <f t="shared" si="12"/>
        <v>0</v>
      </c>
      <c r="I123" s="134">
        <v>0</v>
      </c>
      <c r="K123" s="163">
        <v>22800</v>
      </c>
      <c r="L123" s="168">
        <f t="shared" si="13"/>
        <v>0</v>
      </c>
      <c r="N123" s="133">
        <f t="shared" si="14"/>
        <v>0</v>
      </c>
    </row>
    <row r="124" spans="2:14" hidden="1" outlineLevel="1" x14ac:dyDescent="0.2">
      <c r="B124" s="78">
        <f t="shared" si="15"/>
        <v>118</v>
      </c>
      <c r="C124" s="162" t="str">
        <v>RNC a Core líneas alquiladas: Datos: 1024</v>
      </c>
      <c r="D124"/>
      <c r="E124" s="224">
        <v>0</v>
      </c>
      <c r="G124" s="163">
        <v>4000</v>
      </c>
      <c r="H124" s="135">
        <f t="shared" si="12"/>
        <v>0</v>
      </c>
      <c r="I124" s="134">
        <v>0</v>
      </c>
      <c r="K124" s="163">
        <v>120000</v>
      </c>
      <c r="L124" s="168">
        <f t="shared" si="13"/>
        <v>0</v>
      </c>
      <c r="N124" s="133">
        <f t="shared" si="14"/>
        <v>0</v>
      </c>
    </row>
    <row r="125" spans="2:14" hidden="1" outlineLevel="1" x14ac:dyDescent="0.2">
      <c r="B125" s="78">
        <f t="shared" si="15"/>
        <v>119</v>
      </c>
      <c r="C125" s="162" t="str">
        <v>RNC a Core líneas alquiladas: Datos: 2488</v>
      </c>
      <c r="D125"/>
      <c r="E125" s="224">
        <v>0</v>
      </c>
      <c r="G125" s="163">
        <v>4000</v>
      </c>
      <c r="H125" s="135">
        <f t="shared" si="12"/>
        <v>0</v>
      </c>
      <c r="I125" s="134">
        <v>0</v>
      </c>
      <c r="K125" s="163">
        <v>204000.00000000003</v>
      </c>
      <c r="L125" s="168">
        <f t="shared" si="13"/>
        <v>0</v>
      </c>
      <c r="N125" s="133">
        <f t="shared" si="14"/>
        <v>0</v>
      </c>
    </row>
    <row r="126" spans="2:14" hidden="1" outlineLevel="1" x14ac:dyDescent="0.2">
      <c r="B126" s="78">
        <f t="shared" si="15"/>
        <v>120</v>
      </c>
      <c r="C126" s="162" t="str">
        <v>Core a core: líneas alquiladas, TDM:  155</v>
      </c>
      <c r="D126"/>
      <c r="E126" s="224">
        <f t="array" ref="E126:E131">Required.assets.core.leased.lines</f>
        <v>0</v>
      </c>
      <c r="G126" s="163">
        <v>7100</v>
      </c>
      <c r="H126" s="135">
        <f t="shared" si="12"/>
        <v>0</v>
      </c>
      <c r="I126" s="134">
        <v>0</v>
      </c>
      <c r="K126" s="163">
        <v>42000</v>
      </c>
      <c r="L126" s="168">
        <f t="shared" si="13"/>
        <v>0</v>
      </c>
      <c r="N126" s="133">
        <f t="shared" si="14"/>
        <v>0</v>
      </c>
    </row>
    <row r="127" spans="2:14" hidden="1" outlineLevel="1" x14ac:dyDescent="0.2">
      <c r="B127" s="78">
        <f t="shared" si="15"/>
        <v>121</v>
      </c>
      <c r="C127" s="162" t="str">
        <v>Core a core: líneas alquiladas, TDM:  622</v>
      </c>
      <c r="D127"/>
      <c r="E127" s="224">
        <v>0</v>
      </c>
      <c r="G127" s="163">
        <v>23000</v>
      </c>
      <c r="H127" s="135">
        <f t="shared" si="12"/>
        <v>0</v>
      </c>
      <c r="I127" s="134">
        <v>0</v>
      </c>
      <c r="K127" s="163">
        <v>120000</v>
      </c>
      <c r="L127" s="168">
        <f t="shared" si="13"/>
        <v>0</v>
      </c>
      <c r="N127" s="133">
        <f t="shared" si="14"/>
        <v>0</v>
      </c>
    </row>
    <row r="128" spans="2:14" hidden="1" outlineLevel="1" x14ac:dyDescent="0.2">
      <c r="B128" s="78">
        <f t="shared" si="15"/>
        <v>122</v>
      </c>
      <c r="C128" s="162" t="str">
        <v>Core a core: líneas alquiladas, TDM:  2488</v>
      </c>
      <c r="D128"/>
      <c r="E128" s="224">
        <v>0</v>
      </c>
      <c r="G128" s="163">
        <v>57000</v>
      </c>
      <c r="H128" s="135">
        <f t="shared" si="12"/>
        <v>0</v>
      </c>
      <c r="I128" s="134">
        <v>0</v>
      </c>
      <c r="K128" s="163">
        <v>299999.99999999994</v>
      </c>
      <c r="L128" s="168">
        <f t="shared" si="13"/>
        <v>0</v>
      </c>
      <c r="N128" s="133">
        <f t="shared" si="14"/>
        <v>0</v>
      </c>
    </row>
    <row r="129" spans="2:14" hidden="1" outlineLevel="1" x14ac:dyDescent="0.2">
      <c r="B129" s="78">
        <f t="shared" si="15"/>
        <v>123</v>
      </c>
      <c r="C129" s="162" t="str">
        <v>Core a core: líneas alquiladas, Ethernet:  1000</v>
      </c>
      <c r="D129"/>
      <c r="E129" s="224">
        <v>0</v>
      </c>
      <c r="G129" s="163">
        <v>4000</v>
      </c>
      <c r="H129" s="135">
        <f t="shared" si="12"/>
        <v>0</v>
      </c>
      <c r="I129" s="134">
        <v>0</v>
      </c>
      <c r="K129" s="163">
        <v>120000</v>
      </c>
      <c r="L129" s="168">
        <f t="shared" si="13"/>
        <v>0</v>
      </c>
      <c r="N129" s="133">
        <f t="shared" si="14"/>
        <v>0</v>
      </c>
    </row>
    <row r="130" spans="2:14" hidden="1" outlineLevel="1" x14ac:dyDescent="0.2">
      <c r="B130" s="78">
        <f t="shared" si="15"/>
        <v>124</v>
      </c>
      <c r="C130" s="162" t="str">
        <v>Core a core: líneas alquiladas, Ethernet:  2500</v>
      </c>
      <c r="D130"/>
      <c r="E130" s="224">
        <v>0</v>
      </c>
      <c r="G130" s="163">
        <v>4000</v>
      </c>
      <c r="H130" s="135">
        <f t="shared" si="12"/>
        <v>0</v>
      </c>
      <c r="I130" s="134">
        <v>0</v>
      </c>
      <c r="K130" s="163">
        <v>204000.00000000003</v>
      </c>
      <c r="L130" s="168">
        <f t="shared" si="13"/>
        <v>0</v>
      </c>
      <c r="N130" s="133">
        <f t="shared" si="14"/>
        <v>0</v>
      </c>
    </row>
    <row r="131" spans="2:14" hidden="1" outlineLevel="1" x14ac:dyDescent="0.2">
      <c r="B131" s="78">
        <f t="shared" si="15"/>
        <v>125</v>
      </c>
      <c r="C131" s="162" t="str">
        <v>Core a core: líneas alquiladas, Ethernet:  10000</v>
      </c>
      <c r="D131"/>
      <c r="E131" s="224">
        <v>0</v>
      </c>
      <c r="G131" s="163">
        <v>4000</v>
      </c>
      <c r="H131" s="135">
        <f t="shared" si="12"/>
        <v>0</v>
      </c>
      <c r="I131" s="134">
        <v>0</v>
      </c>
      <c r="K131" s="163">
        <v>408000</v>
      </c>
      <c r="L131" s="168">
        <f t="shared" si="13"/>
        <v>0</v>
      </c>
      <c r="N131" s="133">
        <f t="shared" si="14"/>
        <v>0</v>
      </c>
    </row>
    <row r="132" spans="2:14" hidden="1" outlineLevel="1" x14ac:dyDescent="0.2">
      <c r="B132" s="78">
        <f t="shared" si="15"/>
        <v>126</v>
      </c>
      <c r="C132" s="162" t="str">
        <v>Anillo core, puntos de acceso (ADM/multiplexadores): 155</v>
      </c>
      <c r="D132"/>
      <c r="E132" s="224">
        <f t="array" ref="E132:E139">Required.assets.Core.Nodes.By.Speed</f>
        <v>0</v>
      </c>
      <c r="G132" s="163">
        <v>10200</v>
      </c>
      <c r="H132" s="135">
        <f t="shared" si="12"/>
        <v>0</v>
      </c>
      <c r="I132" s="134">
        <v>0</v>
      </c>
      <c r="K132" s="163">
        <v>2244</v>
      </c>
      <c r="L132" s="168">
        <f t="shared" si="13"/>
        <v>0</v>
      </c>
      <c r="N132" s="133">
        <f t="shared" si="14"/>
        <v>0</v>
      </c>
    </row>
    <row r="133" spans="2:14" hidden="1" outlineLevel="1" x14ac:dyDescent="0.2">
      <c r="B133" s="78">
        <f t="shared" si="15"/>
        <v>127</v>
      </c>
      <c r="C133" s="162" t="str">
        <v>Anillo core, puntos de acceso (ADM/multiplexadores): 622</v>
      </c>
      <c r="D133"/>
      <c r="E133" s="224">
        <v>0</v>
      </c>
      <c r="G133" s="163">
        <v>15250</v>
      </c>
      <c r="H133" s="135">
        <f t="shared" si="12"/>
        <v>0</v>
      </c>
      <c r="I133" s="134">
        <v>0</v>
      </c>
      <c r="K133" s="163">
        <v>3355</v>
      </c>
      <c r="L133" s="168">
        <f t="shared" si="13"/>
        <v>0</v>
      </c>
      <c r="N133" s="133">
        <f t="shared" si="14"/>
        <v>0</v>
      </c>
    </row>
    <row r="134" spans="2:14" hidden="1" outlineLevel="1" x14ac:dyDescent="0.2">
      <c r="B134" s="78">
        <f t="shared" si="15"/>
        <v>128</v>
      </c>
      <c r="C134" s="162" t="str">
        <v>Anillo core, puntos de acceso (ADM/multiplexadores): 2488</v>
      </c>
      <c r="D134"/>
      <c r="E134" s="224">
        <v>0</v>
      </c>
      <c r="G134" s="163">
        <v>22900</v>
      </c>
      <c r="H134" s="135">
        <f t="shared" si="12"/>
        <v>0</v>
      </c>
      <c r="I134" s="134">
        <v>0</v>
      </c>
      <c r="K134" s="163">
        <v>5038</v>
      </c>
      <c r="L134" s="168">
        <f t="shared" si="13"/>
        <v>0</v>
      </c>
      <c r="N134" s="133">
        <f t="shared" si="14"/>
        <v>0</v>
      </c>
    </row>
    <row r="135" spans="2:14" hidden="1" outlineLevel="1" x14ac:dyDescent="0.2">
      <c r="B135" s="78">
        <f t="shared" si="15"/>
        <v>129</v>
      </c>
      <c r="C135" s="162" t="str">
        <v>Anillo core, puntos de acceso (ADM/multiplexadores): 9952</v>
      </c>
      <c r="D135"/>
      <c r="E135" s="224">
        <v>0</v>
      </c>
      <c r="G135" s="163">
        <v>34400</v>
      </c>
      <c r="H135" s="135">
        <f t="shared" ref="H135:H166" si="16">E135*G135</f>
        <v>0</v>
      </c>
      <c r="I135" s="134">
        <v>0</v>
      </c>
      <c r="K135" s="163">
        <v>7568</v>
      </c>
      <c r="L135" s="168">
        <f t="shared" ref="L135:L166" si="17">E135*K135*(1+Working.capital.allowance)</f>
        <v>0</v>
      </c>
      <c r="N135" s="133">
        <f t="shared" ref="N135:N166" si="18">I135+L135</f>
        <v>0</v>
      </c>
    </row>
    <row r="136" spans="2:14" hidden="1" outlineLevel="1" x14ac:dyDescent="0.2">
      <c r="B136" s="78">
        <f t="shared" ref="B136:B167" si="19">1+B135</f>
        <v>130</v>
      </c>
      <c r="C136" s="162" t="str">
        <v>Anillo core, puntos de acceso (ADM/multiplexadores): 1000</v>
      </c>
      <c r="D136"/>
      <c r="E136" s="224">
        <v>0</v>
      </c>
      <c r="G136" s="163">
        <v>9000</v>
      </c>
      <c r="H136" s="135">
        <f t="shared" si="16"/>
        <v>0</v>
      </c>
      <c r="I136" s="134">
        <v>0</v>
      </c>
      <c r="K136" s="163">
        <v>1980</v>
      </c>
      <c r="L136" s="168">
        <f t="shared" si="17"/>
        <v>0</v>
      </c>
      <c r="N136" s="133">
        <f t="shared" si="18"/>
        <v>0</v>
      </c>
    </row>
    <row r="137" spans="2:14" hidden="1" outlineLevel="1" x14ac:dyDescent="0.2">
      <c r="B137" s="78">
        <f t="shared" si="19"/>
        <v>131</v>
      </c>
      <c r="C137" s="162" t="str">
        <v>Anillo core, puntos de acceso (ADM/multiplexadores): 2500</v>
      </c>
      <c r="D137"/>
      <c r="E137" s="224">
        <v>0</v>
      </c>
      <c r="G137" s="163">
        <v>18000</v>
      </c>
      <c r="H137" s="135">
        <f t="shared" si="16"/>
        <v>0</v>
      </c>
      <c r="I137" s="134">
        <v>0</v>
      </c>
      <c r="K137" s="163">
        <v>3960</v>
      </c>
      <c r="L137" s="168">
        <f t="shared" si="17"/>
        <v>0</v>
      </c>
      <c r="N137" s="133">
        <f t="shared" si="18"/>
        <v>0</v>
      </c>
    </row>
    <row r="138" spans="2:14" hidden="1" outlineLevel="1" x14ac:dyDescent="0.2">
      <c r="B138" s="78">
        <f t="shared" si="19"/>
        <v>132</v>
      </c>
      <c r="C138" s="162" t="str">
        <v>Anillo core, puntos de acceso (ADM/multiplexadores): 10000</v>
      </c>
      <c r="D138"/>
      <c r="E138" s="224">
        <v>0</v>
      </c>
      <c r="G138" s="163">
        <v>27000</v>
      </c>
      <c r="H138" s="135">
        <f t="shared" si="16"/>
        <v>0</v>
      </c>
      <c r="I138" s="134">
        <v>0</v>
      </c>
      <c r="K138" s="163">
        <v>5940</v>
      </c>
      <c r="L138" s="168">
        <f t="shared" si="17"/>
        <v>0</v>
      </c>
      <c r="N138" s="133">
        <f t="shared" si="18"/>
        <v>0</v>
      </c>
    </row>
    <row r="139" spans="2:14" hidden="1" outlineLevel="1" x14ac:dyDescent="0.2">
      <c r="B139" s="78">
        <f t="shared" si="19"/>
        <v>133</v>
      </c>
      <c r="C139" s="162" t="str">
        <v>Anillo core, puntos de acceso (ADM/multiplexadores): 40000</v>
      </c>
      <c r="D139"/>
      <c r="E139" s="224">
        <v>4</v>
      </c>
      <c r="G139" s="163">
        <v>54000</v>
      </c>
      <c r="H139" s="135">
        <f t="shared" si="16"/>
        <v>216000</v>
      </c>
      <c r="I139" s="134">
        <v>41689.355549956999</v>
      </c>
      <c r="K139" s="163">
        <v>11880</v>
      </c>
      <c r="L139" s="168">
        <f t="shared" si="17"/>
        <v>47942.211945205483</v>
      </c>
      <c r="N139" s="133">
        <f t="shared" si="18"/>
        <v>89631.567495162482</v>
      </c>
    </row>
    <row r="140" spans="2:14" hidden="1" outlineLevel="1" x14ac:dyDescent="0.2">
      <c r="B140" s="78">
        <f t="shared" si="19"/>
        <v>134</v>
      </c>
      <c r="C140" s="162" t="str">
        <v>Fibra en la red core (km)</v>
      </c>
      <c r="D140"/>
      <c r="E140" s="224">
        <f>Required.assets.core.core.ring.fibre.length</f>
        <v>9876</v>
      </c>
      <c r="G140" s="163">
        <v>12200</v>
      </c>
      <c r="H140" s="135">
        <f t="shared" si="16"/>
        <v>120487200</v>
      </c>
      <c r="I140" s="134">
        <v>14942668.337054271</v>
      </c>
      <c r="K140" s="163">
        <v>122</v>
      </c>
      <c r="L140" s="168">
        <f t="shared" si="17"/>
        <v>1215577.2051945205</v>
      </c>
      <c r="N140" s="133">
        <f t="shared" si="18"/>
        <v>16158245.542248791</v>
      </c>
    </row>
    <row r="141" spans="2:14" hidden="1" outlineLevel="1" x14ac:dyDescent="0.2">
      <c r="B141" s="78">
        <f t="shared" si="19"/>
        <v>135</v>
      </c>
      <c r="C141" s="162" t="str">
        <v>Salto MW core a core</v>
      </c>
      <c r="D141"/>
      <c r="E141" s="224">
        <f>Required.assets.core.core.MW.hops</f>
        <v>8</v>
      </c>
      <c r="G141" s="163">
        <v>100000</v>
      </c>
      <c r="H141" s="135">
        <f t="shared" si="16"/>
        <v>800000</v>
      </c>
      <c r="I141" s="134">
        <v>154405.0205553963</v>
      </c>
      <c r="K141" s="163">
        <v>10000</v>
      </c>
      <c r="L141" s="168">
        <f t="shared" si="17"/>
        <v>80710.794520547948</v>
      </c>
      <c r="N141" s="133">
        <f t="shared" si="18"/>
        <v>235115.81507594424</v>
      </c>
    </row>
    <row r="142" spans="2:14" hidden="1" outlineLevel="1" x14ac:dyDescent="0.2">
      <c r="B142" s="78">
        <f t="shared" si="19"/>
        <v>136</v>
      </c>
      <c r="C142" s="162" t="str">
        <v>Main switching/core sites</v>
      </c>
      <c r="D142"/>
      <c r="E142" s="224">
        <f>Required.assets.main.switching.sites</f>
        <v>4</v>
      </c>
      <c r="G142" s="163">
        <v>544000</v>
      </c>
      <c r="H142" s="135">
        <f t="shared" si="16"/>
        <v>2176000</v>
      </c>
      <c r="I142" s="134">
        <v>254801.81105551423</v>
      </c>
      <c r="K142" s="163">
        <v>130560</v>
      </c>
      <c r="L142" s="168">
        <f t="shared" si="17"/>
        <v>526880.06663013704</v>
      </c>
      <c r="N142" s="133">
        <f t="shared" si="18"/>
        <v>781681.8776856513</v>
      </c>
    </row>
    <row r="143" spans="2:14" hidden="1" outlineLevel="1" x14ac:dyDescent="0.2">
      <c r="B143" s="78">
        <f t="shared" si="19"/>
        <v>137</v>
      </c>
      <c r="C143" s="162" t="str">
        <v>Asset spare</v>
      </c>
      <c r="D143"/>
      <c r="E143" s="224">
        <f t="array" ref="E143:E175">Required.assets.servers</f>
        <v>0</v>
      </c>
      <c r="G143" s="163">
        <v>0</v>
      </c>
      <c r="H143" s="135">
        <f t="shared" si="16"/>
        <v>0</v>
      </c>
      <c r="I143" s="134">
        <v>0</v>
      </c>
      <c r="K143" s="163">
        <v>0</v>
      </c>
      <c r="L143" s="168">
        <f t="shared" si="17"/>
        <v>0</v>
      </c>
      <c r="N143" s="133">
        <f t="shared" si="18"/>
        <v>0</v>
      </c>
    </row>
    <row r="144" spans="2:14" hidden="1" outlineLevel="1" x14ac:dyDescent="0.2">
      <c r="B144" s="78">
        <f t="shared" si="19"/>
        <v>138</v>
      </c>
      <c r="C144" s="162" t="str">
        <v>MSS</v>
      </c>
      <c r="D144"/>
      <c r="E144" s="224">
        <v>6</v>
      </c>
      <c r="G144" s="163">
        <v>1146000</v>
      </c>
      <c r="H144" s="135">
        <f t="shared" si="16"/>
        <v>6876000</v>
      </c>
      <c r="I144" s="134">
        <v>1616439.0670756744</v>
      </c>
      <c r="K144" s="163">
        <v>263580</v>
      </c>
      <c r="L144" s="168">
        <f t="shared" si="17"/>
        <v>1595531.3414794521</v>
      </c>
      <c r="N144" s="133">
        <f t="shared" si="18"/>
        <v>3211970.4085551267</v>
      </c>
    </row>
    <row r="145" spans="2:14" hidden="1" outlineLevel="1" x14ac:dyDescent="0.2">
      <c r="B145" s="78">
        <f t="shared" si="19"/>
        <v>139</v>
      </c>
      <c r="C145" s="162" t="str">
        <v>MGW</v>
      </c>
      <c r="D145"/>
      <c r="E145" s="224">
        <v>10</v>
      </c>
      <c r="G145" s="163">
        <v>534600</v>
      </c>
      <c r="H145" s="135">
        <f t="shared" si="16"/>
        <v>5346000</v>
      </c>
      <c r="I145" s="134">
        <v>1256760.2170719248</v>
      </c>
      <c r="K145" s="163">
        <v>122958</v>
      </c>
      <c r="L145" s="168">
        <f t="shared" si="17"/>
        <v>1240504.7340821917</v>
      </c>
      <c r="N145" s="133">
        <f t="shared" si="18"/>
        <v>2497264.9511541165</v>
      </c>
    </row>
    <row r="146" spans="2:14" hidden="1" outlineLevel="1" x14ac:dyDescent="0.2">
      <c r="B146" s="78">
        <f t="shared" si="19"/>
        <v>140</v>
      </c>
      <c r="C146" s="162" t="str">
        <v>SGSN</v>
      </c>
      <c r="D146"/>
      <c r="E146" s="224">
        <v>3</v>
      </c>
      <c r="G146" s="163">
        <v>777300</v>
      </c>
      <c r="H146" s="135">
        <f t="shared" si="16"/>
        <v>2331900</v>
      </c>
      <c r="I146" s="134">
        <v>548192.88256453827</v>
      </c>
      <c r="K146" s="163">
        <v>256509</v>
      </c>
      <c r="L146" s="168">
        <f t="shared" si="17"/>
        <v>776364.19468767126</v>
      </c>
      <c r="N146" s="133">
        <f t="shared" si="18"/>
        <v>1324557.0772522097</v>
      </c>
    </row>
    <row r="147" spans="2:14" hidden="1" outlineLevel="1" x14ac:dyDescent="0.2">
      <c r="B147" s="78">
        <f t="shared" si="19"/>
        <v>141</v>
      </c>
      <c r="C147" s="162" t="str">
        <v>GGSN</v>
      </c>
      <c r="D147"/>
      <c r="E147" s="224">
        <v>2</v>
      </c>
      <c r="G147" s="163">
        <v>1101400</v>
      </c>
      <c r="H147" s="135">
        <f t="shared" si="16"/>
        <v>2202800</v>
      </c>
      <c r="I147" s="134">
        <v>517843.51031912386</v>
      </c>
      <c r="K147" s="163">
        <v>363462</v>
      </c>
      <c r="L147" s="168">
        <f t="shared" si="17"/>
        <v>733382.66995068488</v>
      </c>
      <c r="N147" s="133">
        <f t="shared" si="18"/>
        <v>1251226.1802698087</v>
      </c>
    </row>
    <row r="148" spans="2:14" hidden="1" outlineLevel="1" x14ac:dyDescent="0.2">
      <c r="B148" s="78">
        <f t="shared" si="19"/>
        <v>142</v>
      </c>
      <c r="C148" s="162" t="str">
        <v>LTE MME</v>
      </c>
      <c r="D148"/>
      <c r="E148" s="224">
        <v>2</v>
      </c>
      <c r="G148" s="163">
        <v>2539000</v>
      </c>
      <c r="H148" s="135">
        <f t="shared" si="16"/>
        <v>5078000</v>
      </c>
      <c r="I148" s="134">
        <v>1193757.6472673465</v>
      </c>
      <c r="K148" s="163">
        <v>583970</v>
      </c>
      <c r="L148" s="168">
        <f t="shared" si="17"/>
        <v>1178317.0669041097</v>
      </c>
      <c r="N148" s="133">
        <f t="shared" si="18"/>
        <v>2372074.7141714562</v>
      </c>
    </row>
    <row r="149" spans="2:14" hidden="1" outlineLevel="1" x14ac:dyDescent="0.2">
      <c r="B149" s="78">
        <f t="shared" si="19"/>
        <v>143</v>
      </c>
      <c r="C149" s="162" t="str">
        <v>LTE SGW</v>
      </c>
      <c r="D149"/>
      <c r="E149" s="224">
        <v>2</v>
      </c>
      <c r="G149" s="163">
        <v>3368000</v>
      </c>
      <c r="H149" s="135">
        <f t="shared" si="16"/>
        <v>6736000</v>
      </c>
      <c r="I149" s="134">
        <v>1583527.2768792529</v>
      </c>
      <c r="K149" s="163">
        <v>774640</v>
      </c>
      <c r="L149" s="168">
        <f t="shared" si="17"/>
        <v>1563045.2466849315</v>
      </c>
      <c r="N149" s="133">
        <f t="shared" si="18"/>
        <v>3146572.5235641841</v>
      </c>
    </row>
    <row r="150" spans="2:14" hidden="1" outlineLevel="1" x14ac:dyDescent="0.2">
      <c r="B150" s="78">
        <f t="shared" si="19"/>
        <v>144</v>
      </c>
      <c r="C150" s="162" t="str">
        <v>HLR</v>
      </c>
      <c r="D150"/>
      <c r="E150" s="224">
        <v>4</v>
      </c>
      <c r="G150" s="163">
        <v>1504000</v>
      </c>
      <c r="H150" s="135">
        <f t="shared" si="16"/>
        <v>6016000</v>
      </c>
      <c r="I150" s="134">
        <v>1414266.6415833707</v>
      </c>
      <c r="K150" s="163">
        <v>345920</v>
      </c>
      <c r="L150" s="168">
        <f t="shared" si="17"/>
        <v>1395973.9020273972</v>
      </c>
      <c r="N150" s="133">
        <f t="shared" si="18"/>
        <v>2810240.5436107679</v>
      </c>
    </row>
    <row r="151" spans="2:14" hidden="1" outlineLevel="1" x14ac:dyDescent="0.2">
      <c r="B151" s="78">
        <f t="shared" si="19"/>
        <v>145</v>
      </c>
      <c r="C151" s="162" t="str">
        <v>AUC</v>
      </c>
      <c r="D151"/>
      <c r="E151" s="224">
        <v>9</v>
      </c>
      <c r="G151" s="163">
        <v>144600</v>
      </c>
      <c r="H151" s="135">
        <f t="shared" si="16"/>
        <v>1301400</v>
      </c>
      <c r="I151" s="134">
        <v>305938.59829730698</v>
      </c>
      <c r="K151" s="163">
        <v>33258</v>
      </c>
      <c r="L151" s="168">
        <f t="shared" si="17"/>
        <v>301981.45546849316</v>
      </c>
      <c r="N151" s="133">
        <f t="shared" si="18"/>
        <v>607920.05376580008</v>
      </c>
    </row>
    <row r="152" spans="2:14" hidden="1" outlineLevel="1" x14ac:dyDescent="0.2">
      <c r="B152" s="78">
        <f t="shared" si="19"/>
        <v>146</v>
      </c>
      <c r="C152" s="162" t="str">
        <v>EIR</v>
      </c>
      <c r="D152"/>
      <c r="E152" s="224">
        <v>4</v>
      </c>
      <c r="G152" s="163">
        <v>546300</v>
      </c>
      <c r="H152" s="135">
        <f t="shared" si="16"/>
        <v>2185200</v>
      </c>
      <c r="I152" s="134">
        <v>513706.02812300232</v>
      </c>
      <c r="K152" s="163">
        <v>125649</v>
      </c>
      <c r="L152" s="168">
        <f t="shared" si="17"/>
        <v>507061.53103561647</v>
      </c>
      <c r="N152" s="133">
        <f t="shared" si="18"/>
        <v>1020767.5591586188</v>
      </c>
    </row>
    <row r="153" spans="2:14" hidden="1" outlineLevel="1" x14ac:dyDescent="0.2">
      <c r="B153" s="78">
        <f t="shared" si="19"/>
        <v>147</v>
      </c>
      <c r="C153" s="162" t="str">
        <v>IN (SCP+SMP)</v>
      </c>
      <c r="D153"/>
      <c r="E153" s="224">
        <v>3</v>
      </c>
      <c r="G153" s="163">
        <v>1356000</v>
      </c>
      <c r="H153" s="135">
        <f t="shared" si="16"/>
        <v>4068000</v>
      </c>
      <c r="I153" s="134">
        <v>956322.5894217341</v>
      </c>
      <c r="K153" s="163">
        <v>447480</v>
      </c>
      <c r="L153" s="168">
        <f t="shared" si="17"/>
        <v>1354367.4874520549</v>
      </c>
      <c r="N153" s="133">
        <f t="shared" si="18"/>
        <v>2310690.0768737891</v>
      </c>
    </row>
    <row r="154" spans="2:14" hidden="1" outlineLevel="1" x14ac:dyDescent="0.2">
      <c r="B154" s="78">
        <f t="shared" si="19"/>
        <v>148</v>
      </c>
      <c r="C154" s="162" t="str">
        <v>Asset spare</v>
      </c>
      <c r="D154"/>
      <c r="E154" s="224">
        <v>0</v>
      </c>
      <c r="G154" s="163">
        <v>0</v>
      </c>
      <c r="H154" s="135">
        <f t="shared" si="16"/>
        <v>0</v>
      </c>
      <c r="I154" s="134">
        <v>0</v>
      </c>
      <c r="K154" s="163">
        <v>0</v>
      </c>
      <c r="L154" s="168">
        <f t="shared" si="17"/>
        <v>0</v>
      </c>
      <c r="N154" s="133">
        <f t="shared" si="18"/>
        <v>0</v>
      </c>
    </row>
    <row r="155" spans="2:14" hidden="1" outlineLevel="1" x14ac:dyDescent="0.2">
      <c r="B155" s="78">
        <f t="shared" si="19"/>
        <v>149</v>
      </c>
      <c r="C155" s="162" t="str">
        <v>Asset spare</v>
      </c>
      <c r="D155"/>
      <c r="E155" s="224">
        <v>0</v>
      </c>
      <c r="G155" s="163">
        <v>0</v>
      </c>
      <c r="H155" s="135">
        <f t="shared" si="16"/>
        <v>0</v>
      </c>
      <c r="I155" s="134">
        <v>0</v>
      </c>
      <c r="K155" s="163">
        <v>0</v>
      </c>
      <c r="L155" s="168">
        <f t="shared" si="17"/>
        <v>0</v>
      </c>
      <c r="N155" s="133">
        <f t="shared" si="18"/>
        <v>0</v>
      </c>
    </row>
    <row r="156" spans="2:14" hidden="1" outlineLevel="1" x14ac:dyDescent="0.2">
      <c r="B156" s="78">
        <f t="shared" si="19"/>
        <v>150</v>
      </c>
      <c r="C156" s="162" t="str">
        <v>SMSC</v>
      </c>
      <c r="D156"/>
      <c r="E156" s="224">
        <v>4</v>
      </c>
      <c r="G156" s="163">
        <v>837900</v>
      </c>
      <c r="H156" s="135">
        <f t="shared" si="16"/>
        <v>3351600</v>
      </c>
      <c r="I156" s="134">
        <v>787908.25730233139</v>
      </c>
      <c r="K156" s="163">
        <v>276507</v>
      </c>
      <c r="L156" s="168">
        <f t="shared" si="17"/>
        <v>1115854.9830246575</v>
      </c>
      <c r="N156" s="133">
        <f t="shared" si="18"/>
        <v>1903763.240326989</v>
      </c>
    </row>
    <row r="157" spans="2:14" hidden="1" outlineLevel="1" x14ac:dyDescent="0.2">
      <c r="B157" s="78">
        <f t="shared" si="19"/>
        <v>151</v>
      </c>
      <c r="C157" s="162" t="str">
        <v>MMSC</v>
      </c>
      <c r="D157"/>
      <c r="E157" s="224">
        <v>1</v>
      </c>
      <c r="G157" s="163">
        <v>808000</v>
      </c>
      <c r="H157" s="135">
        <f t="shared" si="16"/>
        <v>808000</v>
      </c>
      <c r="I157" s="134">
        <v>189948.04627648997</v>
      </c>
      <c r="K157" s="163">
        <v>266640</v>
      </c>
      <c r="L157" s="168">
        <f t="shared" si="17"/>
        <v>269009.0781369863</v>
      </c>
      <c r="N157" s="133">
        <f t="shared" si="18"/>
        <v>458957.12441347627</v>
      </c>
    </row>
    <row r="158" spans="2:14" hidden="1" outlineLevel="1" x14ac:dyDescent="0.2">
      <c r="B158" s="78">
        <f t="shared" si="19"/>
        <v>152</v>
      </c>
      <c r="C158" s="162" t="str">
        <v>Asset spare</v>
      </c>
      <c r="D158"/>
      <c r="E158" s="224">
        <v>0</v>
      </c>
      <c r="G158" s="163">
        <v>0</v>
      </c>
      <c r="H158" s="135">
        <f t="shared" si="16"/>
        <v>0</v>
      </c>
      <c r="I158" s="134">
        <v>0</v>
      </c>
      <c r="K158" s="163">
        <v>0</v>
      </c>
      <c r="L158" s="168">
        <f t="shared" si="17"/>
        <v>0</v>
      </c>
      <c r="N158" s="133">
        <f t="shared" si="18"/>
        <v>0</v>
      </c>
    </row>
    <row r="159" spans="2:14" hidden="1" outlineLevel="1" x14ac:dyDescent="0.2">
      <c r="B159" s="78">
        <f t="shared" si="19"/>
        <v>153</v>
      </c>
      <c r="C159" s="162" t="str">
        <v>MSC/MGW STM1 ports for voice traffic</v>
      </c>
      <c r="D159"/>
      <c r="E159" s="224">
        <v>124</v>
      </c>
      <c r="G159" s="163">
        <v>10500</v>
      </c>
      <c r="H159" s="135">
        <f t="shared" si="16"/>
        <v>1302000</v>
      </c>
      <c r="I159" s="134">
        <v>251294.17095390745</v>
      </c>
      <c r="K159" s="163">
        <v>2415</v>
      </c>
      <c r="L159" s="168">
        <f t="shared" si="17"/>
        <v>302120.68158904108</v>
      </c>
      <c r="N159" s="133">
        <f t="shared" si="18"/>
        <v>553414.85254294856</v>
      </c>
    </row>
    <row r="160" spans="2:14" hidden="1" outlineLevel="1" x14ac:dyDescent="0.2">
      <c r="B160" s="78">
        <f t="shared" si="19"/>
        <v>154</v>
      </c>
      <c r="C160" s="162" t="str">
        <v>PoI STM1 Gateway</v>
      </c>
      <c r="D160"/>
      <c r="E160" s="224">
        <v>34</v>
      </c>
      <c r="G160" s="163">
        <v>25200</v>
      </c>
      <c r="H160" s="135">
        <f t="shared" si="16"/>
        <v>856800</v>
      </c>
      <c r="I160" s="134">
        <v>201420.15600209974</v>
      </c>
      <c r="K160" s="163">
        <v>5796</v>
      </c>
      <c r="L160" s="168">
        <f t="shared" si="17"/>
        <v>198814.90014246575</v>
      </c>
      <c r="N160" s="133">
        <f t="shared" si="18"/>
        <v>400235.05614456546</v>
      </c>
    </row>
    <row r="161" spans="2:14" hidden="1" outlineLevel="1" x14ac:dyDescent="0.2">
      <c r="B161" s="78">
        <f t="shared" si="19"/>
        <v>155</v>
      </c>
      <c r="C161" s="162" t="str">
        <v>I-SBC</v>
      </c>
      <c r="D161"/>
      <c r="E161" s="224">
        <v>0</v>
      </c>
      <c r="G161" s="163">
        <v>94900</v>
      </c>
      <c r="H161" s="135">
        <f t="shared" si="16"/>
        <v>0</v>
      </c>
      <c r="I161" s="134">
        <v>0</v>
      </c>
      <c r="K161" s="163">
        <v>31317</v>
      </c>
      <c r="L161" s="168">
        <f t="shared" si="17"/>
        <v>0</v>
      </c>
      <c r="N161" s="133">
        <f t="shared" si="18"/>
        <v>0</v>
      </c>
    </row>
    <row r="162" spans="2:14" hidden="1" outlineLevel="1" x14ac:dyDescent="0.2">
      <c r="B162" s="78">
        <f t="shared" si="19"/>
        <v>156</v>
      </c>
      <c r="C162" s="162" t="str">
        <v>Asset spare</v>
      </c>
      <c r="D162"/>
      <c r="E162" s="224">
        <v>0</v>
      </c>
      <c r="G162" s="163">
        <v>0</v>
      </c>
      <c r="H162" s="135">
        <f t="shared" si="16"/>
        <v>0</v>
      </c>
      <c r="I162" s="134">
        <v>0</v>
      </c>
      <c r="K162" s="163">
        <v>0</v>
      </c>
      <c r="L162" s="168">
        <f t="shared" si="17"/>
        <v>0</v>
      </c>
      <c r="N162" s="133">
        <f t="shared" si="18"/>
        <v>0</v>
      </c>
    </row>
    <row r="163" spans="2:14" hidden="1" outlineLevel="1" x14ac:dyDescent="0.2">
      <c r="B163" s="78">
        <f t="shared" si="19"/>
        <v>157</v>
      </c>
      <c r="C163" s="162" t="str">
        <v>MSS software</v>
      </c>
      <c r="D163"/>
      <c r="E163" s="224">
        <v>5</v>
      </c>
      <c r="G163" s="163">
        <v>343000</v>
      </c>
      <c r="H163" s="135">
        <f t="shared" si="16"/>
        <v>1715000</v>
      </c>
      <c r="I163" s="134">
        <v>403169.42990616371</v>
      </c>
      <c r="K163" s="163">
        <v>120049.99999999999</v>
      </c>
      <c r="L163" s="168">
        <f t="shared" si="17"/>
        <v>605583.18013698619</v>
      </c>
      <c r="N163" s="133">
        <f t="shared" si="18"/>
        <v>1008752.6100431499</v>
      </c>
    </row>
    <row r="164" spans="2:14" hidden="1" outlineLevel="1" x14ac:dyDescent="0.2">
      <c r="B164" s="78">
        <f t="shared" si="19"/>
        <v>158</v>
      </c>
      <c r="C164" s="162" t="str">
        <v>SGSN software</v>
      </c>
      <c r="D164"/>
      <c r="E164" s="224">
        <v>2</v>
      </c>
      <c r="G164" s="163">
        <v>2090</v>
      </c>
      <c r="H164" s="135">
        <f t="shared" si="16"/>
        <v>4180</v>
      </c>
      <c r="I164" s="134">
        <v>982.65202157887131</v>
      </c>
      <c r="K164" s="163">
        <v>731.5</v>
      </c>
      <c r="L164" s="168">
        <f t="shared" si="17"/>
        <v>1475.9986547945205</v>
      </c>
      <c r="N164" s="133">
        <f t="shared" si="18"/>
        <v>2458.6506763733919</v>
      </c>
    </row>
    <row r="165" spans="2:14" hidden="1" outlineLevel="1" x14ac:dyDescent="0.2">
      <c r="B165" s="78">
        <f t="shared" si="19"/>
        <v>159</v>
      </c>
      <c r="C165" s="162" t="str">
        <v>GGSN software</v>
      </c>
      <c r="D165"/>
      <c r="E165" s="224">
        <v>2</v>
      </c>
      <c r="G165" s="163">
        <v>3200</v>
      </c>
      <c r="H165" s="135">
        <f t="shared" si="16"/>
        <v>6400</v>
      </c>
      <c r="I165" s="134">
        <v>1504.5389804078413</v>
      </c>
      <c r="K165" s="163">
        <v>1120</v>
      </c>
      <c r="L165" s="168">
        <f t="shared" si="17"/>
        <v>2259.9022465753424</v>
      </c>
      <c r="N165" s="133">
        <f t="shared" si="18"/>
        <v>3764.4412269831837</v>
      </c>
    </row>
    <row r="166" spans="2:14" hidden="1" outlineLevel="1" x14ac:dyDescent="0.2">
      <c r="B166" s="78">
        <f t="shared" si="19"/>
        <v>160</v>
      </c>
      <c r="C166" s="162" t="str">
        <v>MME software</v>
      </c>
      <c r="D166"/>
      <c r="E166" s="224">
        <v>2</v>
      </c>
      <c r="G166" s="163">
        <v>591500</v>
      </c>
      <c r="H166" s="135">
        <f t="shared" si="16"/>
        <v>1183000</v>
      </c>
      <c r="I166" s="134">
        <v>278104.62715976191</v>
      </c>
      <c r="K166" s="163">
        <v>207025</v>
      </c>
      <c r="L166" s="168">
        <f t="shared" si="17"/>
        <v>417728.80589041096</v>
      </c>
      <c r="N166" s="133">
        <f t="shared" si="18"/>
        <v>695833.43305017287</v>
      </c>
    </row>
    <row r="167" spans="2:14" hidden="1" outlineLevel="1" x14ac:dyDescent="0.2">
      <c r="B167" s="78">
        <f t="shared" si="19"/>
        <v>161</v>
      </c>
      <c r="C167" s="162" t="str">
        <v>SGW software</v>
      </c>
      <c r="D167"/>
      <c r="E167" s="224">
        <v>2</v>
      </c>
      <c r="G167" s="163">
        <v>1480</v>
      </c>
      <c r="H167" s="135">
        <f t="shared" ref="H167:H198" si="20">E167*G167</f>
        <v>2960</v>
      </c>
      <c r="I167" s="134">
        <v>695.84927843862658</v>
      </c>
      <c r="K167" s="163">
        <v>518</v>
      </c>
      <c r="L167" s="168">
        <f t="shared" ref="L167:L198" si="21">E167*K167*(1+Working.capital.allowance)</f>
        <v>1045.2047890410959</v>
      </c>
      <c r="N167" s="133">
        <f t="shared" ref="N167:N198" si="22">I167+L167</f>
        <v>1741.0540674797226</v>
      </c>
    </row>
    <row r="168" spans="2:14" hidden="1" outlineLevel="1" x14ac:dyDescent="0.2">
      <c r="B168" s="78">
        <f t="shared" ref="B168:B199" si="23">1+B167</f>
        <v>162</v>
      </c>
      <c r="C168" s="162" t="str">
        <v>HLR software</v>
      </c>
      <c r="D168"/>
      <c r="E168" s="224">
        <v>3</v>
      </c>
      <c r="G168" s="163">
        <v>1100</v>
      </c>
      <c r="H168" s="135">
        <f t="shared" si="20"/>
        <v>3300</v>
      </c>
      <c r="I168" s="134">
        <v>775.77791177279312</v>
      </c>
      <c r="K168" s="163">
        <v>385</v>
      </c>
      <c r="L168" s="168">
        <f t="shared" si="21"/>
        <v>1165.262095890411</v>
      </c>
      <c r="N168" s="133">
        <f t="shared" si="22"/>
        <v>1941.0400076632041</v>
      </c>
    </row>
    <row r="169" spans="2:14" hidden="1" outlineLevel="1" x14ac:dyDescent="0.2">
      <c r="B169" s="78">
        <f t="shared" si="23"/>
        <v>163</v>
      </c>
      <c r="C169" s="162" t="str">
        <v>Call server – hardware</v>
      </c>
      <c r="D169"/>
      <c r="E169" s="224">
        <v>0</v>
      </c>
      <c r="G169" s="163">
        <v>2650000</v>
      </c>
      <c r="H169" s="135">
        <f t="shared" si="20"/>
        <v>0</v>
      </c>
      <c r="I169" s="134">
        <v>0</v>
      </c>
      <c r="K169" s="163">
        <v>874500</v>
      </c>
      <c r="L169" s="168">
        <f t="shared" si="21"/>
        <v>0</v>
      </c>
      <c r="N169" s="133">
        <f t="shared" si="22"/>
        <v>0</v>
      </c>
    </row>
    <row r="170" spans="2:14" hidden="1" outlineLevel="1" x14ac:dyDescent="0.2">
      <c r="B170" s="78">
        <f t="shared" si="23"/>
        <v>164</v>
      </c>
      <c r="C170" s="162" t="str">
        <v>Call server – software</v>
      </c>
      <c r="D170"/>
      <c r="E170" s="224">
        <v>0</v>
      </c>
      <c r="G170" s="163">
        <v>3175</v>
      </c>
      <c r="H170" s="135">
        <f t="shared" si="20"/>
        <v>0</v>
      </c>
      <c r="I170" s="134">
        <v>0</v>
      </c>
      <c r="K170" s="163">
        <v>1111.25</v>
      </c>
      <c r="L170" s="168">
        <f t="shared" si="21"/>
        <v>0</v>
      </c>
      <c r="N170" s="133">
        <f t="shared" si="22"/>
        <v>0</v>
      </c>
    </row>
    <row r="171" spans="2:14" hidden="1" outlineLevel="1" x14ac:dyDescent="0.2">
      <c r="B171" s="78">
        <f t="shared" si="23"/>
        <v>165</v>
      </c>
      <c r="C171" s="162" t="str">
        <v>Telephony Application Server (TAS)</v>
      </c>
      <c r="D171"/>
      <c r="E171" s="224">
        <v>0</v>
      </c>
      <c r="G171" s="163">
        <v>63258</v>
      </c>
      <c r="H171" s="135">
        <f t="shared" si="20"/>
        <v>0</v>
      </c>
      <c r="I171" s="134">
        <v>0</v>
      </c>
      <c r="K171" s="163">
        <v>20875.14</v>
      </c>
      <c r="L171" s="168">
        <f t="shared" si="21"/>
        <v>0</v>
      </c>
      <c r="N171" s="133">
        <f t="shared" si="22"/>
        <v>0</v>
      </c>
    </row>
    <row r="172" spans="2:14" hidden="1" outlineLevel="1" x14ac:dyDescent="0.2">
      <c r="B172" s="78">
        <f t="shared" si="23"/>
        <v>166</v>
      </c>
      <c r="C172" s="162" t="str">
        <v>Session border controller (SBC) – hardware</v>
      </c>
      <c r="D172"/>
      <c r="E172" s="224">
        <v>0</v>
      </c>
      <c r="G172" s="163">
        <v>637400</v>
      </c>
      <c r="H172" s="135">
        <f t="shared" si="20"/>
        <v>0</v>
      </c>
      <c r="I172" s="134">
        <v>0</v>
      </c>
      <c r="K172" s="163">
        <v>210342</v>
      </c>
      <c r="L172" s="168">
        <f t="shared" si="21"/>
        <v>0</v>
      </c>
      <c r="N172" s="133">
        <f t="shared" si="22"/>
        <v>0</v>
      </c>
    </row>
    <row r="173" spans="2:14" hidden="1" outlineLevel="1" x14ac:dyDescent="0.2">
      <c r="B173" s="78">
        <f t="shared" si="23"/>
        <v>167</v>
      </c>
      <c r="C173" s="162" t="str">
        <v>Session border controller (SBC) – software</v>
      </c>
      <c r="D173"/>
      <c r="E173" s="224">
        <v>0</v>
      </c>
      <c r="G173" s="163">
        <v>2590400</v>
      </c>
      <c r="H173" s="135">
        <f t="shared" si="20"/>
        <v>0</v>
      </c>
      <c r="I173" s="134">
        <v>0</v>
      </c>
      <c r="K173" s="163">
        <v>906640</v>
      </c>
      <c r="L173" s="168">
        <f t="shared" si="21"/>
        <v>0</v>
      </c>
      <c r="N173" s="133">
        <f t="shared" si="22"/>
        <v>0</v>
      </c>
    </row>
    <row r="174" spans="2:14" hidden="1" outlineLevel="1" x14ac:dyDescent="0.2">
      <c r="B174" s="78">
        <f t="shared" si="23"/>
        <v>168</v>
      </c>
      <c r="C174" s="162" t="str">
        <v>PCC</v>
      </c>
      <c r="D174"/>
      <c r="E174" s="224">
        <v>0</v>
      </c>
      <c r="G174" s="163">
        <v>20000</v>
      </c>
      <c r="H174" s="135">
        <f t="shared" si="20"/>
        <v>0</v>
      </c>
      <c r="I174" s="134">
        <v>0</v>
      </c>
      <c r="K174" s="163">
        <v>6600</v>
      </c>
      <c r="L174" s="168">
        <f t="shared" si="21"/>
        <v>0</v>
      </c>
      <c r="N174" s="133">
        <f t="shared" si="22"/>
        <v>0</v>
      </c>
    </row>
    <row r="175" spans="2:14" hidden="1" outlineLevel="1" x14ac:dyDescent="0.2">
      <c r="B175" s="78">
        <f t="shared" si="23"/>
        <v>169</v>
      </c>
      <c r="C175" s="162" t="str">
        <v>MGCF</v>
      </c>
      <c r="E175" s="224">
        <v>0</v>
      </c>
      <c r="G175" s="163">
        <v>20000</v>
      </c>
      <c r="H175" s="135">
        <f t="shared" si="20"/>
        <v>0</v>
      </c>
      <c r="I175" s="134">
        <v>0</v>
      </c>
      <c r="K175" s="163">
        <v>6600</v>
      </c>
      <c r="L175" s="168">
        <f t="shared" si="21"/>
        <v>0</v>
      </c>
      <c r="N175" s="133">
        <f t="shared" si="22"/>
        <v>0</v>
      </c>
    </row>
    <row r="176" spans="2:14" hidden="1" outlineLevel="1" x14ac:dyDescent="0.2">
      <c r="B176" s="78">
        <f t="shared" si="23"/>
        <v>170</v>
      </c>
      <c r="C176" s="162" t="str">
        <v>Puertos BSC - sitios E1</v>
      </c>
      <c r="E176" s="224">
        <f>Required.assets.Ports.BSC.E1</f>
        <v>6666.25</v>
      </c>
      <c r="G176" s="163">
        <v>42</v>
      </c>
      <c r="H176" s="135">
        <f t="shared" si="20"/>
        <v>279982.5</v>
      </c>
      <c r="I176" s="134">
        <v>54038.379584564049</v>
      </c>
      <c r="K176" s="163">
        <v>15.54</v>
      </c>
      <c r="L176" s="168">
        <f t="shared" si="21"/>
        <v>104513.94637417808</v>
      </c>
      <c r="N176" s="133">
        <f t="shared" si="22"/>
        <v>158552.32595874212</v>
      </c>
    </row>
    <row r="177" spans="2:14" hidden="1" outlineLevel="1" x14ac:dyDescent="0.2">
      <c r="B177" s="78">
        <f t="shared" si="23"/>
        <v>171</v>
      </c>
      <c r="C177" s="162" t="str">
        <v>Puertos BSC - sitios 10M</v>
      </c>
      <c r="E177" s="224">
        <f>Required.assets.Ports.BSC.10M</f>
        <v>0</v>
      </c>
      <c r="G177" s="163">
        <v>21</v>
      </c>
      <c r="H177" s="135">
        <f t="shared" si="20"/>
        <v>0</v>
      </c>
      <c r="I177" s="134">
        <v>0</v>
      </c>
      <c r="K177" s="163">
        <v>7.77</v>
      </c>
      <c r="L177" s="168">
        <f t="shared" si="21"/>
        <v>0</v>
      </c>
      <c r="N177" s="133">
        <f t="shared" si="22"/>
        <v>0</v>
      </c>
    </row>
    <row r="178" spans="2:14" hidden="1" outlineLevel="1" x14ac:dyDescent="0.2">
      <c r="B178" s="78">
        <f t="shared" si="23"/>
        <v>172</v>
      </c>
      <c r="C178" s="162" t="str">
        <v>Puertos RNC - sitios E1 para voz</v>
      </c>
      <c r="E178" s="224">
        <f>Required.assets.Ports.RNC.voice.E1</f>
        <v>0</v>
      </c>
      <c r="G178" s="163">
        <v>46</v>
      </c>
      <c r="H178" s="135">
        <f t="shared" si="20"/>
        <v>0</v>
      </c>
      <c r="I178" s="134">
        <v>0</v>
      </c>
      <c r="K178" s="163">
        <v>17.02</v>
      </c>
      <c r="L178" s="168">
        <f t="shared" si="21"/>
        <v>0</v>
      </c>
      <c r="N178" s="133">
        <f t="shared" si="22"/>
        <v>0</v>
      </c>
    </row>
    <row r="179" spans="2:14" hidden="1" outlineLevel="1" x14ac:dyDescent="0.2">
      <c r="B179" s="78">
        <f t="shared" si="23"/>
        <v>173</v>
      </c>
      <c r="C179" s="162" t="str">
        <v>Puertos RNC - sitios 10M para voz</v>
      </c>
      <c r="E179" s="224">
        <f>Required.assets.Ports.RNC.voice.10M</f>
        <v>2462.5</v>
      </c>
      <c r="G179" s="163">
        <v>23</v>
      </c>
      <c r="H179" s="135">
        <f t="shared" si="20"/>
        <v>56637.5</v>
      </c>
      <c r="I179" s="134">
        <v>10931.392939632822</v>
      </c>
      <c r="K179" s="163">
        <v>8.51</v>
      </c>
      <c r="L179" s="168">
        <f t="shared" si="21"/>
        <v>21142.066514041097</v>
      </c>
      <c r="N179" s="133">
        <f>I179+L179</f>
        <v>32073.459453673917</v>
      </c>
    </row>
    <row r="180" spans="2:14" hidden="1" outlineLevel="1" x14ac:dyDescent="0.2">
      <c r="B180" s="78">
        <f t="shared" si="23"/>
        <v>174</v>
      </c>
      <c r="C180" s="162" t="str">
        <v>Puertos RNC - sitios E1 para datos</v>
      </c>
      <c r="E180" s="224">
        <f>Required.assets.Ports.RNC.data.E1</f>
        <v>0</v>
      </c>
      <c r="G180" s="163">
        <v>46</v>
      </c>
      <c r="H180" s="135">
        <f t="shared" si="20"/>
        <v>0</v>
      </c>
      <c r="I180" s="134">
        <v>0</v>
      </c>
      <c r="K180" s="163">
        <v>17.02</v>
      </c>
      <c r="L180" s="168">
        <f t="shared" si="21"/>
        <v>0</v>
      </c>
      <c r="N180" s="133">
        <f t="shared" si="22"/>
        <v>0</v>
      </c>
    </row>
    <row r="181" spans="2:14" hidden="1" outlineLevel="1" x14ac:dyDescent="0.2">
      <c r="B181" s="78">
        <f t="shared" si="23"/>
        <v>175</v>
      </c>
      <c r="C181" s="162" t="str">
        <v>Puertos RNC - sitios 10M para datos</v>
      </c>
      <c r="E181" s="224">
        <f>Required.assets.Ports.RNC.data.10M</f>
        <v>9305</v>
      </c>
      <c r="G181" s="163">
        <v>23</v>
      </c>
      <c r="H181" s="135">
        <f t="shared" si="20"/>
        <v>214015</v>
      </c>
      <c r="I181" s="134">
        <v>41306.238092703919</v>
      </c>
      <c r="K181" s="163">
        <v>8.51</v>
      </c>
      <c r="L181" s="168">
        <f t="shared" si="21"/>
        <v>79889.108188082202</v>
      </c>
      <c r="N181" s="133">
        <f t="shared" si="22"/>
        <v>121195.34628078612</v>
      </c>
    </row>
    <row r="182" spans="2:14" hidden="1" outlineLevel="1" x14ac:dyDescent="0.2">
      <c r="B182" s="78">
        <f t="shared" si="23"/>
        <v>176</v>
      </c>
      <c r="C182" s="162" t="str">
        <v>Puertos BSC a Core: Voz: 8.45</v>
      </c>
      <c r="E182" s="224">
        <f t="array" ref="E182:E187">Required.assets.BSC.ports.remote.voice+Required.assets.BSC.ports.colocated.voice</f>
        <v>0</v>
      </c>
      <c r="G182" s="163">
        <v>633</v>
      </c>
      <c r="H182" s="135">
        <f t="shared" si="20"/>
        <v>0</v>
      </c>
      <c r="I182" s="134">
        <v>0</v>
      </c>
      <c r="K182" s="163">
        <v>234.21</v>
      </c>
      <c r="L182" s="168">
        <f t="shared" si="21"/>
        <v>0</v>
      </c>
      <c r="N182" s="133">
        <f t="shared" si="22"/>
        <v>0</v>
      </c>
    </row>
    <row r="183" spans="2:14" hidden="1" outlineLevel="1" x14ac:dyDescent="0.2">
      <c r="B183" s="78">
        <f t="shared" si="23"/>
        <v>177</v>
      </c>
      <c r="C183" s="162" t="str">
        <v>Puertos BSC a Core: Voz: 34.37</v>
      </c>
      <c r="E183" s="224">
        <v>0</v>
      </c>
      <c r="G183" s="163">
        <v>2535</v>
      </c>
      <c r="H183" s="135">
        <f t="shared" si="20"/>
        <v>0</v>
      </c>
      <c r="I183" s="134">
        <v>0</v>
      </c>
      <c r="K183" s="163">
        <v>937.95</v>
      </c>
      <c r="L183" s="168">
        <f t="shared" si="21"/>
        <v>0</v>
      </c>
      <c r="N183" s="133">
        <f t="shared" si="22"/>
        <v>0</v>
      </c>
    </row>
    <row r="184" spans="2:14" hidden="1" outlineLevel="1" x14ac:dyDescent="0.2">
      <c r="B184" s="78">
        <f t="shared" si="23"/>
        <v>178</v>
      </c>
      <c r="C184" s="162" t="str">
        <v>Puertos BSC a Core: Voz: 155.52</v>
      </c>
      <c r="E184" s="224">
        <v>30</v>
      </c>
      <c r="G184" s="163">
        <v>7600</v>
      </c>
      <c r="H184" s="135">
        <f t="shared" si="20"/>
        <v>228000</v>
      </c>
      <c r="I184" s="134">
        <v>44005.430858287946</v>
      </c>
      <c r="K184" s="163">
        <v>2812</v>
      </c>
      <c r="L184" s="168">
        <f t="shared" si="21"/>
        <v>85109.532821917805</v>
      </c>
      <c r="N184" s="133">
        <f t="shared" si="22"/>
        <v>129114.96368020575</v>
      </c>
    </row>
    <row r="185" spans="2:14" hidden="1" outlineLevel="1" x14ac:dyDescent="0.2">
      <c r="B185" s="78">
        <f t="shared" si="23"/>
        <v>179</v>
      </c>
      <c r="C185" s="162" t="str">
        <v>Puertos BSC a Core: Voz: 30</v>
      </c>
      <c r="E185" s="224">
        <v>0</v>
      </c>
      <c r="G185" s="163">
        <v>640</v>
      </c>
      <c r="H185" s="135">
        <f t="shared" si="20"/>
        <v>0</v>
      </c>
      <c r="I185" s="134">
        <v>0</v>
      </c>
      <c r="K185" s="163">
        <v>236.8</v>
      </c>
      <c r="L185" s="168">
        <f t="shared" si="21"/>
        <v>0</v>
      </c>
      <c r="N185" s="133">
        <f t="shared" si="22"/>
        <v>0</v>
      </c>
    </row>
    <row r="186" spans="2:14" hidden="1" outlineLevel="1" x14ac:dyDescent="0.2">
      <c r="B186" s="78">
        <f t="shared" si="23"/>
        <v>180</v>
      </c>
      <c r="C186" s="162" t="str">
        <v>Puertos BSC a Core: Voz: 100</v>
      </c>
      <c r="E186" s="224">
        <v>0</v>
      </c>
      <c r="G186" s="163">
        <v>1280</v>
      </c>
      <c r="H186" s="135">
        <f t="shared" si="20"/>
        <v>0</v>
      </c>
      <c r="I186" s="134">
        <v>0</v>
      </c>
      <c r="K186" s="163">
        <v>473.6</v>
      </c>
      <c r="L186" s="168">
        <f t="shared" si="21"/>
        <v>0</v>
      </c>
      <c r="N186" s="133">
        <f t="shared" si="22"/>
        <v>0</v>
      </c>
    </row>
    <row r="187" spans="2:14" hidden="1" outlineLevel="1" x14ac:dyDescent="0.2">
      <c r="B187" s="78">
        <f t="shared" si="23"/>
        <v>181</v>
      </c>
      <c r="C187" s="162" t="str">
        <v>Puertos BSC a Core: Voz: 1024</v>
      </c>
      <c r="E187" s="224">
        <v>0</v>
      </c>
      <c r="G187" s="163">
        <v>3841</v>
      </c>
      <c r="H187" s="135">
        <f t="shared" si="20"/>
        <v>0</v>
      </c>
      <c r="I187" s="134">
        <v>0</v>
      </c>
      <c r="K187" s="163">
        <v>1421.17</v>
      </c>
      <c r="L187" s="168">
        <f t="shared" si="21"/>
        <v>0</v>
      </c>
      <c r="N187" s="133">
        <f t="shared" si="22"/>
        <v>0</v>
      </c>
    </row>
    <row r="188" spans="2:14" hidden="1" outlineLevel="1" x14ac:dyDescent="0.2">
      <c r="B188" s="78">
        <f t="shared" si="23"/>
        <v>182</v>
      </c>
      <c r="C188" s="162" t="str">
        <v>Puertos BSC a Core: Datos: 8.45</v>
      </c>
      <c r="E188" s="224">
        <f t="array" ref="E188:E193">Required.assets.BSC.ports.remote.data+Required.assets.BSC.ports.colocated.data</f>
        <v>0</v>
      </c>
      <c r="G188" s="163">
        <v>634</v>
      </c>
      <c r="H188" s="135">
        <f t="shared" si="20"/>
        <v>0</v>
      </c>
      <c r="I188" s="134">
        <v>0</v>
      </c>
      <c r="K188" s="163">
        <v>234.57999999999998</v>
      </c>
      <c r="L188" s="168">
        <f t="shared" si="21"/>
        <v>0</v>
      </c>
      <c r="N188" s="133">
        <f t="shared" si="22"/>
        <v>0</v>
      </c>
    </row>
    <row r="189" spans="2:14" hidden="1" outlineLevel="1" x14ac:dyDescent="0.2">
      <c r="B189" s="78">
        <f t="shared" si="23"/>
        <v>183</v>
      </c>
      <c r="C189" s="162" t="str">
        <v>Puertos BSC a Core: Datos: 34.37</v>
      </c>
      <c r="E189" s="224">
        <v>0</v>
      </c>
      <c r="G189" s="163">
        <v>2535</v>
      </c>
      <c r="H189" s="135">
        <f t="shared" si="20"/>
        <v>0</v>
      </c>
      <c r="I189" s="134">
        <v>0</v>
      </c>
      <c r="K189" s="163">
        <v>937.95</v>
      </c>
      <c r="L189" s="168">
        <f t="shared" si="21"/>
        <v>0</v>
      </c>
      <c r="N189" s="133">
        <f t="shared" si="22"/>
        <v>0</v>
      </c>
    </row>
    <row r="190" spans="2:14" hidden="1" outlineLevel="1" x14ac:dyDescent="0.2">
      <c r="B190" s="78">
        <f t="shared" si="23"/>
        <v>184</v>
      </c>
      <c r="C190" s="162" t="str">
        <v>Puertos BSC a Core: Datos: 155.52</v>
      </c>
      <c r="E190" s="224">
        <v>0</v>
      </c>
      <c r="G190" s="163">
        <v>7606</v>
      </c>
      <c r="H190" s="135">
        <f t="shared" si="20"/>
        <v>0</v>
      </c>
      <c r="I190" s="134">
        <v>0</v>
      </c>
      <c r="K190" s="163">
        <v>2814.22</v>
      </c>
      <c r="L190" s="168">
        <f t="shared" si="21"/>
        <v>0</v>
      </c>
      <c r="N190" s="133">
        <f t="shared" si="22"/>
        <v>0</v>
      </c>
    </row>
    <row r="191" spans="2:14" hidden="1" outlineLevel="1" x14ac:dyDescent="0.2">
      <c r="B191" s="78">
        <f t="shared" si="23"/>
        <v>185</v>
      </c>
      <c r="C191" s="162" t="str">
        <v>Puertos BSC a Core: Datos: 30</v>
      </c>
      <c r="E191" s="224">
        <v>0</v>
      </c>
      <c r="G191" s="163">
        <v>640</v>
      </c>
      <c r="H191" s="135">
        <f t="shared" si="20"/>
        <v>0</v>
      </c>
      <c r="I191" s="134">
        <v>0</v>
      </c>
      <c r="K191" s="163">
        <v>236.8</v>
      </c>
      <c r="L191" s="168">
        <f t="shared" si="21"/>
        <v>0</v>
      </c>
      <c r="N191" s="133">
        <f t="shared" si="22"/>
        <v>0</v>
      </c>
    </row>
    <row r="192" spans="2:14" hidden="1" outlineLevel="1" x14ac:dyDescent="0.2">
      <c r="B192" s="78">
        <f t="shared" si="23"/>
        <v>186</v>
      </c>
      <c r="C192" s="162" t="str">
        <v>Puertos BSC a Core: Datos: 100</v>
      </c>
      <c r="E192" s="224">
        <v>0</v>
      </c>
      <c r="G192" s="163">
        <v>1280</v>
      </c>
      <c r="H192" s="135">
        <f t="shared" si="20"/>
        <v>0</v>
      </c>
      <c r="I192" s="134">
        <v>0</v>
      </c>
      <c r="K192" s="163">
        <v>473.6</v>
      </c>
      <c r="L192" s="168">
        <f t="shared" si="21"/>
        <v>0</v>
      </c>
      <c r="N192" s="133">
        <f t="shared" si="22"/>
        <v>0</v>
      </c>
    </row>
    <row r="193" spans="2:14" hidden="1" outlineLevel="1" x14ac:dyDescent="0.2">
      <c r="B193" s="78">
        <f t="shared" si="23"/>
        <v>187</v>
      </c>
      <c r="C193" s="162" t="str">
        <v>Puertos BSC a Core: Datos: 1024</v>
      </c>
      <c r="E193" s="224">
        <v>0</v>
      </c>
      <c r="G193" s="163">
        <v>3841</v>
      </c>
      <c r="H193" s="135">
        <f t="shared" si="20"/>
        <v>0</v>
      </c>
      <c r="I193" s="134">
        <v>0</v>
      </c>
      <c r="K193" s="163">
        <v>1421.17</v>
      </c>
      <c r="L193" s="168">
        <f t="shared" si="21"/>
        <v>0</v>
      </c>
      <c r="N193" s="133">
        <f t="shared" si="22"/>
        <v>0</v>
      </c>
    </row>
    <row r="194" spans="2:14" hidden="1" outlineLevel="1" x14ac:dyDescent="0.2">
      <c r="B194" s="78">
        <f t="shared" si="23"/>
        <v>188</v>
      </c>
      <c r="C194" s="162" t="str">
        <v>Puertos RNC a Core: Voz: 34.4</v>
      </c>
      <c r="E194" s="224">
        <f t="array" ref="E194:E199">Required.assets.RNC.ports.remote.voice+Required.assets.RNC.ports.colocated.voice</f>
        <v>0</v>
      </c>
      <c r="G194" s="163">
        <v>330</v>
      </c>
      <c r="H194" s="135">
        <f t="shared" si="20"/>
        <v>0</v>
      </c>
      <c r="I194" s="134">
        <v>0</v>
      </c>
      <c r="K194" s="163">
        <v>122.1</v>
      </c>
      <c r="L194" s="168">
        <f t="shared" si="21"/>
        <v>0</v>
      </c>
      <c r="N194" s="133">
        <f t="shared" si="22"/>
        <v>0</v>
      </c>
    </row>
    <row r="195" spans="2:14" hidden="1" outlineLevel="1" x14ac:dyDescent="0.2">
      <c r="B195" s="78">
        <f t="shared" si="23"/>
        <v>189</v>
      </c>
      <c r="C195" s="162" t="str">
        <v>Puertos RNC a Core: Voz: 155.52</v>
      </c>
      <c r="E195" s="224">
        <v>0</v>
      </c>
      <c r="G195" s="163">
        <v>558</v>
      </c>
      <c r="H195" s="135">
        <f t="shared" si="20"/>
        <v>0</v>
      </c>
      <c r="I195" s="134">
        <v>0</v>
      </c>
      <c r="K195" s="163">
        <v>206.46</v>
      </c>
      <c r="L195" s="168">
        <f t="shared" si="21"/>
        <v>0</v>
      </c>
      <c r="N195" s="133">
        <f t="shared" si="22"/>
        <v>0</v>
      </c>
    </row>
    <row r="196" spans="2:14" hidden="1" outlineLevel="1" x14ac:dyDescent="0.2">
      <c r="B196" s="78">
        <f t="shared" si="23"/>
        <v>190</v>
      </c>
      <c r="C196" s="162" t="str">
        <v>Puertos RNC a Core: Voz: 622.08</v>
      </c>
      <c r="E196" s="224">
        <v>0</v>
      </c>
      <c r="G196" s="163">
        <v>1860</v>
      </c>
      <c r="H196" s="135">
        <f t="shared" si="20"/>
        <v>0</v>
      </c>
      <c r="I196" s="134">
        <v>0</v>
      </c>
      <c r="K196" s="163">
        <v>688.2</v>
      </c>
      <c r="L196" s="168">
        <f t="shared" si="21"/>
        <v>0</v>
      </c>
      <c r="N196" s="133">
        <f t="shared" si="22"/>
        <v>0</v>
      </c>
    </row>
    <row r="197" spans="2:14" hidden="1" outlineLevel="1" x14ac:dyDescent="0.2">
      <c r="B197" s="78">
        <f t="shared" si="23"/>
        <v>191</v>
      </c>
      <c r="C197" s="162" t="str">
        <v>Puertos RNC a Core: Voz: 100</v>
      </c>
      <c r="E197" s="224">
        <v>27.5</v>
      </c>
      <c r="G197" s="163">
        <v>46</v>
      </c>
      <c r="H197" s="135">
        <f t="shared" si="20"/>
        <v>1265</v>
      </c>
      <c r="I197" s="134">
        <v>244.15293875322038</v>
      </c>
      <c r="K197" s="163">
        <v>17.02</v>
      </c>
      <c r="L197" s="168">
        <f t="shared" si="21"/>
        <v>472.20859219178084</v>
      </c>
      <c r="N197" s="133">
        <f t="shared" si="22"/>
        <v>716.36153094500128</v>
      </c>
    </row>
    <row r="198" spans="2:14" hidden="1" outlineLevel="1" x14ac:dyDescent="0.2">
      <c r="B198" s="78">
        <f t="shared" si="23"/>
        <v>192</v>
      </c>
      <c r="C198" s="162" t="str">
        <v>Puertos RNC a Core: Voz: 1024</v>
      </c>
      <c r="E198" s="224">
        <v>67.5</v>
      </c>
      <c r="G198" s="163">
        <v>232</v>
      </c>
      <c r="H198" s="135">
        <f t="shared" si="20"/>
        <v>15660</v>
      </c>
      <c r="I198" s="134">
        <v>3022.4782773718825</v>
      </c>
      <c r="K198" s="163">
        <v>85.84</v>
      </c>
      <c r="L198" s="168">
        <f t="shared" si="21"/>
        <v>5845.6810701369859</v>
      </c>
      <c r="N198" s="133">
        <f t="shared" si="22"/>
        <v>8868.1593475088684</v>
      </c>
    </row>
    <row r="199" spans="2:14" hidden="1" outlineLevel="1" x14ac:dyDescent="0.2">
      <c r="B199" s="78">
        <f t="shared" si="23"/>
        <v>193</v>
      </c>
      <c r="C199" s="162" t="str">
        <v>Puertos RNC a Core: Voz: 2488</v>
      </c>
      <c r="E199" s="224">
        <v>0</v>
      </c>
      <c r="G199" s="163">
        <v>465</v>
      </c>
      <c r="H199" s="135">
        <f t="shared" ref="H199:H206" si="24">E199*G199</f>
        <v>0</v>
      </c>
      <c r="I199" s="134">
        <v>0</v>
      </c>
      <c r="K199" s="163">
        <v>172.05</v>
      </c>
      <c r="L199" s="168">
        <f t="shared" ref="L199:L206" si="25">E199*K199*(1+Working.capital.allowance)</f>
        <v>0</v>
      </c>
      <c r="N199" s="133">
        <f t="shared" ref="N199:N206" si="26">I199+L199</f>
        <v>0</v>
      </c>
    </row>
    <row r="200" spans="2:14" hidden="1" outlineLevel="1" x14ac:dyDescent="0.2">
      <c r="B200" s="78">
        <f t="shared" ref="B200:B206" si="27">1+B199</f>
        <v>194</v>
      </c>
      <c r="C200" s="162" t="str">
        <v>Puertos RNC a Core: Datos: 34.4</v>
      </c>
      <c r="E200" s="224">
        <f t="array" ref="E200:E205">Required.assets.RNC.ports.remote.data+Required.assets.RNC.ports.colocated.data</f>
        <v>0</v>
      </c>
      <c r="G200" s="163">
        <v>465</v>
      </c>
      <c r="H200" s="135">
        <f t="shared" si="24"/>
        <v>0</v>
      </c>
      <c r="I200" s="134">
        <v>0</v>
      </c>
      <c r="K200" s="163">
        <v>172.05</v>
      </c>
      <c r="L200" s="168">
        <f t="shared" si="25"/>
        <v>0</v>
      </c>
      <c r="N200" s="133">
        <f t="shared" si="26"/>
        <v>0</v>
      </c>
    </row>
    <row r="201" spans="2:14" hidden="1" outlineLevel="1" x14ac:dyDescent="0.2">
      <c r="B201" s="78">
        <f t="shared" si="27"/>
        <v>195</v>
      </c>
      <c r="C201" s="162" t="str">
        <v>Puertos RNC a Core: Datos: 155.52</v>
      </c>
      <c r="E201" s="224">
        <v>0</v>
      </c>
      <c r="G201" s="163">
        <v>558</v>
      </c>
      <c r="H201" s="135">
        <f t="shared" si="24"/>
        <v>0</v>
      </c>
      <c r="I201" s="134">
        <v>0</v>
      </c>
      <c r="K201" s="163">
        <v>206.46</v>
      </c>
      <c r="L201" s="168">
        <f t="shared" si="25"/>
        <v>0</v>
      </c>
      <c r="N201" s="133">
        <f t="shared" si="26"/>
        <v>0</v>
      </c>
    </row>
    <row r="202" spans="2:14" hidden="1" outlineLevel="1" x14ac:dyDescent="0.2">
      <c r="B202" s="78">
        <f t="shared" si="27"/>
        <v>196</v>
      </c>
      <c r="C202" s="162" t="str">
        <v>Puertos RNC a Core: Datos: 622.08</v>
      </c>
      <c r="E202" s="224">
        <v>0</v>
      </c>
      <c r="G202" s="163">
        <v>1860</v>
      </c>
      <c r="H202" s="135">
        <f t="shared" si="24"/>
        <v>0</v>
      </c>
      <c r="I202" s="134">
        <v>0</v>
      </c>
      <c r="K202" s="163">
        <v>688.2</v>
      </c>
      <c r="L202" s="168">
        <f t="shared" si="25"/>
        <v>0</v>
      </c>
      <c r="N202" s="133">
        <f t="shared" si="26"/>
        <v>0</v>
      </c>
    </row>
    <row r="203" spans="2:14" hidden="1" outlineLevel="1" x14ac:dyDescent="0.2">
      <c r="B203" s="78">
        <f t="shared" si="27"/>
        <v>197</v>
      </c>
      <c r="C203" s="162" t="str">
        <v>Puertos RNC a Core: Datos: 100</v>
      </c>
      <c r="E203" s="224">
        <v>0</v>
      </c>
      <c r="G203" s="163">
        <v>46</v>
      </c>
      <c r="H203" s="135">
        <f t="shared" si="24"/>
        <v>0</v>
      </c>
      <c r="I203" s="134">
        <v>0</v>
      </c>
      <c r="K203" s="163">
        <v>17.02</v>
      </c>
      <c r="L203" s="168">
        <f t="shared" si="25"/>
        <v>0</v>
      </c>
      <c r="N203" s="133">
        <f t="shared" si="26"/>
        <v>0</v>
      </c>
    </row>
    <row r="204" spans="2:14" hidden="1" outlineLevel="1" x14ac:dyDescent="0.2">
      <c r="B204" s="78">
        <f t="shared" si="27"/>
        <v>198</v>
      </c>
      <c r="C204" s="162" t="str">
        <v>Puertos RNC a Core: Datos: 1024</v>
      </c>
      <c r="E204" s="224">
        <v>0</v>
      </c>
      <c r="G204" s="163">
        <v>232</v>
      </c>
      <c r="H204" s="135">
        <f t="shared" si="24"/>
        <v>0</v>
      </c>
      <c r="I204" s="134">
        <v>0</v>
      </c>
      <c r="K204" s="163">
        <v>85.84</v>
      </c>
      <c r="L204" s="168">
        <f t="shared" si="25"/>
        <v>0</v>
      </c>
      <c r="N204" s="133">
        <f t="shared" si="26"/>
        <v>0</v>
      </c>
    </row>
    <row r="205" spans="2:14" hidden="1" outlineLevel="1" x14ac:dyDescent="0.2">
      <c r="B205" s="78">
        <f t="shared" si="27"/>
        <v>199</v>
      </c>
      <c r="C205" s="162" t="str">
        <v>Puertos RNC a Core: Datos: 2488</v>
      </c>
      <c r="E205" s="224">
        <v>95</v>
      </c>
      <c r="G205" s="163">
        <v>465</v>
      </c>
      <c r="H205" s="135">
        <f t="shared" si="24"/>
        <v>44175</v>
      </c>
      <c r="I205" s="134">
        <v>8526.052228793289</v>
      </c>
      <c r="K205" s="163">
        <v>172.05</v>
      </c>
      <c r="L205" s="168">
        <f t="shared" si="25"/>
        <v>16489.971984246578</v>
      </c>
      <c r="N205" s="133">
        <f t="shared" si="26"/>
        <v>25016.024213039869</v>
      </c>
    </row>
    <row r="206" spans="2:14" collapsed="1" x14ac:dyDescent="0.2">
      <c r="B206" s="78">
        <f t="shared" si="27"/>
        <v>200</v>
      </c>
      <c r="C206" s="162" t="str">
        <v>Canon de espectro</v>
      </c>
      <c r="E206" s="224">
        <f>Required.assets.licence.fees</f>
        <v>1</v>
      </c>
      <c r="G206" s="163">
        <v>0</v>
      </c>
      <c r="H206" s="135">
        <f t="shared" si="24"/>
        <v>0</v>
      </c>
      <c r="I206" s="134">
        <v>0</v>
      </c>
      <c r="K206" s="163">
        <v>29808465.90361445</v>
      </c>
      <c r="L206" s="168">
        <f t="shared" si="25"/>
        <v>30073312.08149232</v>
      </c>
      <c r="N206" s="133">
        <f t="shared" si="26"/>
        <v>30073312.08149232</v>
      </c>
    </row>
    <row r="207" spans="2:14" x14ac:dyDescent="0.2">
      <c r="E207" s="88"/>
      <c r="H207" s="88" t="s">
        <v>382</v>
      </c>
      <c r="I207" s="88" t="s">
        <v>381</v>
      </c>
      <c r="L207" s="88" t="s">
        <v>380</v>
      </c>
      <c r="N207" s="88" t="s">
        <v>379</v>
      </c>
    </row>
    <row r="209" spans="3:14" x14ac:dyDescent="0.2">
      <c r="C209" s="41" t="s">
        <v>61</v>
      </c>
      <c r="H209" s="77">
        <f>SUM(H7:H206)</f>
        <v>1374594703.0300002</v>
      </c>
      <c r="I209" s="77">
        <f>SUM(I7:I206)</f>
        <v>242587045.95003721</v>
      </c>
      <c r="L209" s="77">
        <f>SUM(L7:L206)</f>
        <v>288462655.84659415</v>
      </c>
      <c r="N209" s="77">
        <f>SUM(N7:N206)</f>
        <v>531049701.7966314</v>
      </c>
    </row>
    <row r="210" spans="3:14" x14ac:dyDescent="0.2">
      <c r="I210"/>
    </row>
  </sheetData>
  <conditionalFormatting sqref="C7:C206">
    <cfRule type="containsText" dxfId="137" priority="1" operator="containsText" text="Asset">
      <formula>NOT(ISERROR(SEARCH("Asset",C7)))</formula>
    </cfRule>
  </conditionalFormatting>
  <pageMargins left="0.70866141732283472" right="0.70866141732283472" top="0.51181102362204722" bottom="0.51181102362204722" header="0.51181102362204722" footer="0.35433070866141736"/>
  <pageSetup paperSize="9" orientation="landscape" horizontalDpi="4294967292" verticalDpi="4294967292" r:id="rId1"/>
  <headerFooter alignWithMargins="0">
    <oddFooter xml:space="preserve">&amp;L&amp;F : &amp;A&amp;CPrinted at &amp;T on &amp;D&amp;RCommercial in confidence © Analysys Mason </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autoPageBreaks="0"/>
  </sheetPr>
  <dimension ref="A1:S209"/>
  <sheetViews>
    <sheetView showGridLines="0" defaultGridColor="0" colorId="22" zoomScale="120" zoomScaleNormal="120" workbookViewId="0">
      <pane xSplit="3" ySplit="2" topLeftCell="D3" activePane="bottomRight" state="frozen"/>
      <selection pane="topRight"/>
      <selection pane="bottomLeft"/>
      <selection pane="bottomRight" activeCell="D3" sqref="D3"/>
    </sheetView>
  </sheetViews>
  <sheetFormatPr baseColWidth="10" defaultColWidth="12.7109375" defaultRowHeight="12" outlineLevelRow="1" x14ac:dyDescent="0.2"/>
  <cols>
    <col min="1" max="2" width="6.7109375" style="81" customWidth="1"/>
    <col min="3" max="3" width="37.42578125" style="81" customWidth="1"/>
    <col min="4" max="4" width="12.7109375" style="81" customWidth="1"/>
    <col min="5" max="5" width="13.7109375" style="81" customWidth="1"/>
    <col min="6" max="6" width="21.42578125" style="81" customWidth="1"/>
    <col min="7" max="7" width="17.5703125" style="81" customWidth="1"/>
    <col min="8" max="8" width="1.7109375" style="81" customWidth="1"/>
    <col min="9" max="9" width="12.7109375" style="81"/>
    <col min="10" max="10" width="1.7109375" style="81" customWidth="1"/>
    <col min="11" max="11" width="13.5703125" style="81" customWidth="1"/>
    <col min="12" max="13" width="12.7109375" style="81"/>
    <col min="14" max="14" width="1.7109375" style="81" customWidth="1"/>
    <col min="15" max="15" width="12.7109375" style="81"/>
    <col min="16" max="16" width="1.7109375" style="81" customWidth="1"/>
    <col min="17" max="17" width="12.7109375" style="81"/>
    <col min="18" max="18" width="14" style="81" customWidth="1"/>
    <col min="19" max="16384" width="12.7109375" style="81"/>
  </cols>
  <sheetData>
    <row r="1" spans="1:19" s="2" customFormat="1" ht="45" customHeight="1" x14ac:dyDescent="0.2">
      <c r="D1" s="3" t="s">
        <v>1960</v>
      </c>
      <c r="F1" s="3"/>
      <c r="G1" s="3"/>
      <c r="P1" s="2" t="s">
        <v>0</v>
      </c>
    </row>
    <row r="2" spans="1:19" ht="12" customHeight="1" x14ac:dyDescent="0.2">
      <c r="D2" s="2"/>
    </row>
    <row r="4" spans="1:19" ht="18" x14ac:dyDescent="0.2">
      <c r="A4" s="103" t="s">
        <v>901</v>
      </c>
      <c r="B4" s="103"/>
      <c r="C4" s="102"/>
      <c r="D4" s="102"/>
      <c r="E4" s="102"/>
      <c r="F4" s="102"/>
      <c r="G4" s="102"/>
      <c r="H4" s="102"/>
      <c r="I4" s="102"/>
      <c r="J4" s="102"/>
      <c r="K4" s="102"/>
      <c r="L4" s="102"/>
      <c r="M4" s="102"/>
      <c r="N4" s="102"/>
      <c r="O4" s="102"/>
      <c r="P4" s="102"/>
      <c r="Q4" s="102"/>
      <c r="R4" s="102"/>
      <c r="S4" s="102"/>
    </row>
    <row r="6" spans="1:19" ht="14.25" customHeight="1" x14ac:dyDescent="0.2">
      <c r="E6" s="132" t="s">
        <v>1961</v>
      </c>
      <c r="F6" s="132"/>
      <c r="G6" s="132"/>
      <c r="I6" s="98"/>
      <c r="K6" s="132" t="s">
        <v>896</v>
      </c>
      <c r="L6" s="132"/>
      <c r="M6" s="132"/>
      <c r="O6" s="132" t="s">
        <v>895</v>
      </c>
      <c r="Q6" s="132" t="s">
        <v>691</v>
      </c>
      <c r="R6" s="132"/>
      <c r="S6" s="132"/>
    </row>
    <row r="7" spans="1:19" ht="36" x14ac:dyDescent="0.2">
      <c r="E7" s="98" t="s">
        <v>1962</v>
      </c>
      <c r="F7" s="98" t="s">
        <v>898</v>
      </c>
      <c r="G7" s="98" t="s">
        <v>899</v>
      </c>
      <c r="I7" s="98" t="s">
        <v>900</v>
      </c>
      <c r="K7" s="98" t="s">
        <v>897</v>
      </c>
      <c r="L7" s="98" t="s">
        <v>903</v>
      </c>
      <c r="M7" s="98" t="s">
        <v>902</v>
      </c>
      <c r="O7" s="231" t="s">
        <v>902</v>
      </c>
      <c r="Q7" s="98" t="s">
        <v>904</v>
      </c>
      <c r="R7" s="98" t="s">
        <v>905</v>
      </c>
      <c r="S7" s="231" t="s">
        <v>902</v>
      </c>
    </row>
    <row r="9" spans="1:19" x14ac:dyDescent="0.2">
      <c r="C9" s="26" t="str">
        <f t="array" ref="C9:C208">Assets.list</f>
        <v>Asset 1</v>
      </c>
      <c r="E9" s="167">
        <f xml:space="preserve"> CHOOSE(G9, M9, O9, S9,#REF!)</f>
        <v>0</v>
      </c>
      <c r="F9" s="89" t="str">
        <f t="shared" ref="F9:F40" si="0">CTRL.depreciation.selected</f>
        <v>Anualidad simple</v>
      </c>
      <c r="G9" s="64">
        <f t="shared" ref="G9:G40" si="1">MATCH(F9,Depreciation.methodologies,0)</f>
        <v>2</v>
      </c>
      <c r="I9" s="89">
        <f t="array" ref="I9:I208">Asset.lifetimes</f>
        <v>8</v>
      </c>
      <c r="K9" s="100">
        <f t="array" ref="K9:K208">IF(Asset.lifetimes=0, 0,Network.capex.by.element/Asset.lifetimes)</f>
        <v>0</v>
      </c>
      <c r="L9" s="100">
        <f t="array" ref="L9:L208">CTRL.NBV.assumption*CTRL.WACC*Network.capex.by.element</f>
        <v>0</v>
      </c>
      <c r="M9" s="100">
        <f t="array" ref="M9:M208">K9:K208+L9:L208</f>
        <v>0</v>
      </c>
      <c r="O9" s="100">
        <f t="array" ref="O9:O208">IF(((1/(1+CTRL.WACC))^Asset.lifetimes)=1,0,Network.capex.by.element*(CTRL.WACC/(1-((1/(1+CTRL.WACC))^Asset.lifetimes))))</f>
        <v>0</v>
      </c>
      <c r="Q9" s="55">
        <f t="array" ref="Q9:Q208">Capex.cost.trend.by.asset</f>
        <v>-2.2707645436101598E-2</v>
      </c>
      <c r="R9" s="107">
        <f t="array" ref="R9:R208">1-(((1+Q9:Q208)/(1+CTRL.WACC))^Asset.lifetimes)</f>
        <v>0.6339298045684586</v>
      </c>
      <c r="S9" s="100">
        <f t="array" ref="S9:S208">IF(R9:R208=0, 0,Network.capex.by.element*(CTRL.WACC-Q9:Q208)/R9:R208)</f>
        <v>0</v>
      </c>
    </row>
    <row r="10" spans="1:19" outlineLevel="1" x14ac:dyDescent="0.2">
      <c r="C10" s="26" t="str">
        <v>Asset 2</v>
      </c>
      <c r="E10" s="167">
        <f xml:space="preserve"> CHOOSE(G10, M10, O10, S10,#REF!)</f>
        <v>0</v>
      </c>
      <c r="F10" s="89" t="str">
        <f t="shared" si="0"/>
        <v>Anualidad simple</v>
      </c>
      <c r="G10" s="64">
        <f t="shared" si="1"/>
        <v>2</v>
      </c>
      <c r="I10" s="89">
        <v>8</v>
      </c>
      <c r="K10" s="100">
        <v>0</v>
      </c>
      <c r="L10" s="100">
        <v>0</v>
      </c>
      <c r="M10" s="100">
        <v>0</v>
      </c>
      <c r="O10" s="100">
        <v>0</v>
      </c>
      <c r="Q10" s="55">
        <v>-2.2707645436101598E-2</v>
      </c>
      <c r="R10" s="107">
        <v>0.6339298045684586</v>
      </c>
      <c r="S10" s="100">
        <v>0</v>
      </c>
    </row>
    <row r="11" spans="1:19" outlineLevel="1" x14ac:dyDescent="0.2">
      <c r="C11" s="26" t="str">
        <v>Asset 3</v>
      </c>
      <c r="E11" s="167">
        <f xml:space="preserve"> CHOOSE(G11, M11, O11, S11,#REF!)</f>
        <v>0</v>
      </c>
      <c r="F11" s="89" t="str">
        <f t="shared" si="0"/>
        <v>Anualidad simple</v>
      </c>
      <c r="G11" s="64">
        <f t="shared" si="1"/>
        <v>2</v>
      </c>
      <c r="I11" s="89">
        <v>8</v>
      </c>
      <c r="K11" s="100">
        <v>0</v>
      </c>
      <c r="L11" s="100">
        <v>0</v>
      </c>
      <c r="M11" s="100">
        <v>0</v>
      </c>
      <c r="O11" s="100">
        <v>0</v>
      </c>
      <c r="Q11" s="55">
        <v>-2.2707645436101598E-2</v>
      </c>
      <c r="R11" s="107">
        <v>0.6339298045684586</v>
      </c>
      <c r="S11" s="100">
        <v>0</v>
      </c>
    </row>
    <row r="12" spans="1:19" outlineLevel="1" x14ac:dyDescent="0.2">
      <c r="C12" s="26" t="str">
        <v>TRX</v>
      </c>
      <c r="E12" s="167">
        <f xml:space="preserve"> CHOOSE(G12, M12, O12, S12,#REF!)</f>
        <v>10591014.085208448</v>
      </c>
      <c r="F12" s="89" t="str">
        <f t="shared" si="0"/>
        <v>Anualidad simple</v>
      </c>
      <c r="G12" s="64">
        <f t="shared" si="1"/>
        <v>2</v>
      </c>
      <c r="I12" s="89">
        <v>6</v>
      </c>
      <c r="K12" s="100">
        <v>7508666.666666667</v>
      </c>
      <c r="L12" s="100">
        <v>2435060.6</v>
      </c>
      <c r="M12" s="100">
        <v>9943727.2666666675</v>
      </c>
      <c r="O12" s="100">
        <v>10591014.085208448</v>
      </c>
      <c r="Q12" s="55">
        <v>-2.2707645436101598E-2</v>
      </c>
      <c r="R12" s="107">
        <v>0.52937685870732099</v>
      </c>
      <c r="S12" s="100">
        <v>11132232.067298243</v>
      </c>
    </row>
    <row r="13" spans="1:19" outlineLevel="1" x14ac:dyDescent="0.2">
      <c r="C13" s="105" t="str">
        <v>Asset 4</v>
      </c>
      <c r="E13" s="167">
        <f xml:space="preserve"> CHOOSE(G13, M13, O13, S13,#REF!)</f>
        <v>0</v>
      </c>
      <c r="F13" s="89" t="str">
        <f t="shared" si="0"/>
        <v>Anualidad simple</v>
      </c>
      <c r="G13" s="64">
        <f t="shared" si="1"/>
        <v>2</v>
      </c>
      <c r="I13" s="89">
        <v>8</v>
      </c>
      <c r="K13" s="100">
        <v>0</v>
      </c>
      <c r="L13" s="100">
        <v>0</v>
      </c>
      <c r="M13" s="100">
        <v>0</v>
      </c>
      <c r="O13" s="100">
        <v>0</v>
      </c>
      <c r="Q13" s="55">
        <v>-2.2707645436101598E-2</v>
      </c>
      <c r="R13" s="107">
        <v>0.6339298045684586</v>
      </c>
      <c r="S13" s="100">
        <v>0</v>
      </c>
    </row>
    <row r="14" spans="1:19" outlineLevel="1" x14ac:dyDescent="0.2">
      <c r="C14" s="26" t="str">
        <v>Asset 5</v>
      </c>
      <c r="E14" s="167">
        <f xml:space="preserve"> CHOOSE(G14, M14, O14, S14,#REF!)</f>
        <v>0</v>
      </c>
      <c r="F14" s="89" t="str">
        <f t="shared" si="0"/>
        <v>Anualidad simple</v>
      </c>
      <c r="G14" s="64">
        <f t="shared" si="1"/>
        <v>2</v>
      </c>
      <c r="I14" s="89">
        <v>8</v>
      </c>
      <c r="K14" s="100">
        <v>0</v>
      </c>
      <c r="L14" s="100">
        <v>0</v>
      </c>
      <c r="M14" s="100">
        <v>0</v>
      </c>
      <c r="O14" s="100">
        <v>0</v>
      </c>
      <c r="Q14" s="55">
        <v>-2.2707645436101598E-2</v>
      </c>
      <c r="R14" s="107">
        <v>0.6339298045684586</v>
      </c>
      <c r="S14" s="100">
        <v>0</v>
      </c>
    </row>
    <row r="15" spans="1:19" outlineLevel="1" x14ac:dyDescent="0.2">
      <c r="C15" s="26" t="str">
        <v>Portadora 3G</v>
      </c>
      <c r="E15" s="167">
        <f xml:space="preserve"> CHOOSE(G15, M15, O15, S15,#REF!)</f>
        <v>11629263.523797702</v>
      </c>
      <c r="F15" s="89" t="str">
        <f t="shared" si="0"/>
        <v>Anualidad simple</v>
      </c>
      <c r="G15" s="64">
        <f t="shared" si="1"/>
        <v>2</v>
      </c>
      <c r="I15" s="89">
        <v>6</v>
      </c>
      <c r="K15" s="100">
        <v>8244750</v>
      </c>
      <c r="L15" s="100">
        <v>2673772.4249999998</v>
      </c>
      <c r="M15" s="100">
        <v>10918522.425000001</v>
      </c>
      <c r="O15" s="100">
        <v>11629263.523797702</v>
      </c>
      <c r="Q15" s="55">
        <v>-2.2707645436101598E-2</v>
      </c>
      <c r="R15" s="107">
        <v>0.52937685870732099</v>
      </c>
      <c r="S15" s="100">
        <v>12223537.734643148</v>
      </c>
    </row>
    <row r="16" spans="1:19" outlineLevel="1" x14ac:dyDescent="0.2">
      <c r="C16" s="26" t="str">
        <v>Channel kit</v>
      </c>
      <c r="E16" s="167">
        <f xml:space="preserve"> CHOOSE(G16, M16, O16, S16,#REF!)</f>
        <v>2625260.6635450148</v>
      </c>
      <c r="F16" s="89" t="str">
        <f t="shared" si="0"/>
        <v>Anualidad simple</v>
      </c>
      <c r="G16" s="64">
        <f t="shared" si="1"/>
        <v>2</v>
      </c>
      <c r="I16" s="89">
        <v>6</v>
      </c>
      <c r="K16" s="100">
        <v>1861220</v>
      </c>
      <c r="L16" s="100">
        <v>603593.64600000007</v>
      </c>
      <c r="M16" s="100">
        <v>2464813.6460000002</v>
      </c>
      <c r="O16" s="100">
        <v>2625260.6635450148</v>
      </c>
      <c r="Q16" s="55">
        <v>-2.2707645436101598E-2</v>
      </c>
      <c r="R16" s="107">
        <v>0.52937685870732099</v>
      </c>
      <c r="S16" s="100">
        <v>2759415.737587255</v>
      </c>
    </row>
    <row r="17" spans="3:19" outlineLevel="1" x14ac:dyDescent="0.2">
      <c r="C17" s="105" t="str">
        <v>HSDPA salto a: 1.8</v>
      </c>
      <c r="E17" s="167">
        <f xml:space="preserve"> CHOOSE(G17, M17, O17, S17,#REF!)</f>
        <v>708931.71504170413</v>
      </c>
      <c r="F17" s="89" t="str">
        <f t="shared" si="0"/>
        <v>Anualidad simple</v>
      </c>
      <c r="G17" s="64">
        <f t="shared" si="1"/>
        <v>2</v>
      </c>
      <c r="I17" s="89">
        <v>6</v>
      </c>
      <c r="K17" s="100">
        <v>502608.33333333331</v>
      </c>
      <c r="L17" s="100">
        <v>162995.88250000001</v>
      </c>
      <c r="M17" s="100">
        <v>665604.21583333332</v>
      </c>
      <c r="O17" s="100">
        <v>708931.71504170413</v>
      </c>
      <c r="Q17" s="55">
        <v>-2.2707645436101598E-2</v>
      </c>
      <c r="R17" s="107">
        <v>0.52937685870732099</v>
      </c>
      <c r="S17" s="100">
        <v>745159.27447722503</v>
      </c>
    </row>
    <row r="18" spans="3:19" outlineLevel="1" x14ac:dyDescent="0.2">
      <c r="C18" s="26" t="str">
        <v>HSDPA salto a: 3.6</v>
      </c>
      <c r="E18" s="167">
        <f xml:space="preserve"> CHOOSE(G18, M18, O18, S18,#REF!)</f>
        <v>708931.71504170413</v>
      </c>
      <c r="F18" s="89" t="str">
        <f t="shared" si="0"/>
        <v>Anualidad simple</v>
      </c>
      <c r="G18" s="64">
        <f t="shared" si="1"/>
        <v>2</v>
      </c>
      <c r="I18" s="89">
        <v>6</v>
      </c>
      <c r="K18" s="100">
        <v>502608.33333333331</v>
      </c>
      <c r="L18" s="100">
        <v>162995.88250000001</v>
      </c>
      <c r="M18" s="100">
        <v>665604.21583333332</v>
      </c>
      <c r="O18" s="100">
        <v>708931.71504170413</v>
      </c>
      <c r="Q18" s="55">
        <v>-2.2707645436101598E-2</v>
      </c>
      <c r="R18" s="107">
        <v>0.52937685870732099</v>
      </c>
      <c r="S18" s="100">
        <v>745159.27447722503</v>
      </c>
    </row>
    <row r="19" spans="3:19" outlineLevel="1" x14ac:dyDescent="0.2">
      <c r="C19" s="26" t="str">
        <v>HSDPA salto a: 7.2</v>
      </c>
      <c r="E19" s="167">
        <f xml:space="preserve"> CHOOSE(G19, M19, O19, S19,#REF!)</f>
        <v>934500.89710042824</v>
      </c>
      <c r="F19" s="89" t="str">
        <f t="shared" si="0"/>
        <v>Anualidad simple</v>
      </c>
      <c r="G19" s="64">
        <f t="shared" si="1"/>
        <v>2</v>
      </c>
      <c r="I19" s="89">
        <v>6</v>
      </c>
      <c r="K19" s="100">
        <v>662529.16666666663</v>
      </c>
      <c r="L19" s="100">
        <v>214858.20874999999</v>
      </c>
      <c r="M19" s="100">
        <v>877387.37541666662</v>
      </c>
      <c r="O19" s="100">
        <v>934500.89710042824</v>
      </c>
      <c r="Q19" s="55">
        <v>-2.2707645436101598E-2</v>
      </c>
      <c r="R19" s="107">
        <v>0.52937685870732099</v>
      </c>
      <c r="S19" s="100">
        <v>982255.40726543311</v>
      </c>
    </row>
    <row r="20" spans="3:19" outlineLevel="1" x14ac:dyDescent="0.2">
      <c r="C20" s="26" t="str">
        <v>HSDPA salto a: 10.1</v>
      </c>
      <c r="E20" s="167">
        <f xml:space="preserve"> CHOOSE(G20, M20, O20, S20,#REF!)</f>
        <v>1366304.7598985571</v>
      </c>
      <c r="F20" s="89" t="str">
        <f t="shared" si="0"/>
        <v>Anualidad simple</v>
      </c>
      <c r="G20" s="64">
        <f t="shared" si="1"/>
        <v>2</v>
      </c>
      <c r="I20" s="89">
        <v>6</v>
      </c>
      <c r="K20" s="100">
        <v>968663.33333333337</v>
      </c>
      <c r="L20" s="100">
        <v>314137.51900000003</v>
      </c>
      <c r="M20" s="100">
        <v>1282800.8523333333</v>
      </c>
      <c r="O20" s="100">
        <v>1366304.7598985571</v>
      </c>
      <c r="Q20" s="55">
        <v>-2.2707645436101598E-2</v>
      </c>
      <c r="R20" s="107">
        <v>0.52937685870732099</v>
      </c>
      <c r="S20" s="100">
        <v>1436125.1471742883</v>
      </c>
    </row>
    <row r="21" spans="3:19" outlineLevel="1" x14ac:dyDescent="0.2">
      <c r="C21" s="26" t="str">
        <v>HSDPA salto a: 14.4</v>
      </c>
      <c r="E21" s="167">
        <f xml:space="preserve"> CHOOSE(G21, M21, O21, S21,#REF!)</f>
        <v>1933450.1319319203</v>
      </c>
      <c r="F21" s="89" t="str">
        <f t="shared" si="0"/>
        <v>Anualidad simple</v>
      </c>
      <c r="G21" s="64">
        <f t="shared" si="1"/>
        <v>2</v>
      </c>
      <c r="I21" s="89">
        <v>6</v>
      </c>
      <c r="K21" s="100">
        <v>1370750</v>
      </c>
      <c r="L21" s="100">
        <v>444534.22500000003</v>
      </c>
      <c r="M21" s="100">
        <v>1815284.2250000001</v>
      </c>
      <c r="O21" s="100">
        <v>1933450.1319319203</v>
      </c>
      <c r="Q21" s="55">
        <v>-2.2707645436101598E-2</v>
      </c>
      <c r="R21" s="107">
        <v>0.52937685870732099</v>
      </c>
      <c r="S21" s="100">
        <v>2032252.5667560683</v>
      </c>
    </row>
    <row r="22" spans="3:19" outlineLevel="1" x14ac:dyDescent="0.2">
      <c r="C22" s="26" t="str">
        <v>HSDPA salto a: 21.1</v>
      </c>
      <c r="E22" s="167">
        <f xml:space="preserve"> CHOOSE(G22, M22, O22, S22,#REF!)</f>
        <v>2191243.4828561763</v>
      </c>
      <c r="F22" s="89" t="str">
        <f t="shared" si="0"/>
        <v>Anualidad simple</v>
      </c>
      <c r="G22" s="64">
        <f t="shared" si="1"/>
        <v>2</v>
      </c>
      <c r="I22" s="89">
        <v>6</v>
      </c>
      <c r="K22" s="100">
        <v>1553516.6666666667</v>
      </c>
      <c r="L22" s="100">
        <v>503805.45500000002</v>
      </c>
      <c r="M22" s="100">
        <v>2057322.1216666668</v>
      </c>
      <c r="O22" s="100">
        <v>2191243.4828561763</v>
      </c>
      <c r="Q22" s="55">
        <v>-2.2707645436101598E-2</v>
      </c>
      <c r="R22" s="107">
        <v>0.52937685870732099</v>
      </c>
      <c r="S22" s="100">
        <v>2303219.5756568774</v>
      </c>
    </row>
    <row r="23" spans="3:19" outlineLevel="1" x14ac:dyDescent="0.2">
      <c r="C23" s="26" t="str">
        <v>HSUPA salto a: 0.73</v>
      </c>
      <c r="E23" s="167">
        <f xml:space="preserve"> CHOOSE(G23, M23, O23, S23,#REF!)</f>
        <v>244903.68337804326</v>
      </c>
      <c r="F23" s="89" t="str">
        <f t="shared" si="0"/>
        <v>Anualidad simple</v>
      </c>
      <c r="G23" s="64">
        <f t="shared" si="1"/>
        <v>2</v>
      </c>
      <c r="I23" s="89">
        <v>6</v>
      </c>
      <c r="K23" s="100">
        <v>173628.33333333334</v>
      </c>
      <c r="L23" s="100">
        <v>56307.6685</v>
      </c>
      <c r="M23" s="100">
        <v>229936.00183333334</v>
      </c>
      <c r="O23" s="100">
        <v>244903.68337804326</v>
      </c>
      <c r="Q23" s="55">
        <v>-2.2707645436101598E-2</v>
      </c>
      <c r="R23" s="107">
        <v>0.52937685870732099</v>
      </c>
      <c r="S23" s="100">
        <v>257418.65845576863</v>
      </c>
    </row>
    <row r="24" spans="3:19" outlineLevel="1" x14ac:dyDescent="0.2">
      <c r="C24" s="26" t="str">
        <v>HSUPA salto a: 1.46</v>
      </c>
      <c r="E24" s="167">
        <f xml:space="preserve"> CHOOSE(G24, M24, O24, S24,#REF!)</f>
        <v>25779.335092425605</v>
      </c>
      <c r="F24" s="89" t="str">
        <f t="shared" si="0"/>
        <v>Anualidad simple</v>
      </c>
      <c r="G24" s="64">
        <f t="shared" si="1"/>
        <v>2</v>
      </c>
      <c r="I24" s="89">
        <v>6</v>
      </c>
      <c r="K24" s="100">
        <v>18276.666666666668</v>
      </c>
      <c r="L24" s="100">
        <v>5927.1230000000005</v>
      </c>
      <c r="M24" s="100">
        <v>24203.789666666667</v>
      </c>
      <c r="O24" s="100">
        <v>25779.335092425605</v>
      </c>
      <c r="Q24" s="55">
        <v>-2.2707645436101598E-2</v>
      </c>
      <c r="R24" s="107">
        <v>0.52937685870732099</v>
      </c>
      <c r="S24" s="100">
        <v>27096.700890080912</v>
      </c>
    </row>
    <row r="25" spans="3:19" outlineLevel="1" x14ac:dyDescent="0.2">
      <c r="C25" s="26" t="str">
        <v>HSUPA salto a: 2</v>
      </c>
      <c r="E25" s="167">
        <f xml:space="preserve"> CHOOSE(G25, M25, O25, S25,#REF!)</f>
        <v>25779.335092425605</v>
      </c>
      <c r="F25" s="89" t="str">
        <f t="shared" si="0"/>
        <v>Anualidad simple</v>
      </c>
      <c r="G25" s="64">
        <f t="shared" si="1"/>
        <v>2</v>
      </c>
      <c r="I25" s="89">
        <v>6</v>
      </c>
      <c r="K25" s="100">
        <v>18276.666666666668</v>
      </c>
      <c r="L25" s="100">
        <v>5927.1230000000005</v>
      </c>
      <c r="M25" s="100">
        <v>24203.789666666667</v>
      </c>
      <c r="O25" s="100">
        <v>25779.335092425605</v>
      </c>
      <c r="Q25" s="55">
        <v>-2.2707645436101598E-2</v>
      </c>
      <c r="R25" s="107">
        <v>0.52937685870732099</v>
      </c>
      <c r="S25" s="100">
        <v>27096.700890080912</v>
      </c>
    </row>
    <row r="26" spans="3:19" outlineLevel="1" x14ac:dyDescent="0.2">
      <c r="C26" s="26" t="str">
        <v>HSUPA salto a: 2.93</v>
      </c>
      <c r="E26" s="167">
        <f xml:space="preserve"> CHOOSE(G26, M26, O26, S26,#REF!)</f>
        <v>25779.335092425605</v>
      </c>
      <c r="F26" s="89" t="str">
        <f t="shared" si="0"/>
        <v>Anualidad simple</v>
      </c>
      <c r="G26" s="64">
        <f t="shared" si="1"/>
        <v>2</v>
      </c>
      <c r="I26" s="89">
        <v>6</v>
      </c>
      <c r="K26" s="100">
        <v>18276.666666666668</v>
      </c>
      <c r="L26" s="100">
        <v>5927.1230000000005</v>
      </c>
      <c r="M26" s="100">
        <v>24203.789666666667</v>
      </c>
      <c r="O26" s="100">
        <v>25779.335092425605</v>
      </c>
      <c r="Q26" s="55">
        <v>-2.2707645436101598E-2</v>
      </c>
      <c r="R26" s="107">
        <v>0.52937685870732099</v>
      </c>
      <c r="S26" s="100">
        <v>27096.700890080912</v>
      </c>
    </row>
    <row r="27" spans="3:19" outlineLevel="1" x14ac:dyDescent="0.2">
      <c r="C27" s="26" t="str">
        <v>HSUPA salto a: 5.76</v>
      </c>
      <c r="E27" s="167">
        <f xml:space="preserve"> CHOOSE(G27, M27, O27, S27,#REF!)</f>
        <v>25779.335092425605</v>
      </c>
      <c r="F27" s="89" t="str">
        <f t="shared" si="0"/>
        <v>Anualidad simple</v>
      </c>
      <c r="G27" s="64">
        <f t="shared" si="1"/>
        <v>2</v>
      </c>
      <c r="I27" s="89">
        <v>6</v>
      </c>
      <c r="K27" s="100">
        <v>18276.666666666668</v>
      </c>
      <c r="L27" s="100">
        <v>5927.1230000000005</v>
      </c>
      <c r="M27" s="100">
        <v>24203.789666666667</v>
      </c>
      <c r="O27" s="100">
        <v>25779.335092425605</v>
      </c>
      <c r="Q27" s="55">
        <v>-2.2707645436101598E-2</v>
      </c>
      <c r="R27" s="107">
        <v>0.52937685870732099</v>
      </c>
      <c r="S27" s="100">
        <v>27096.700890080912</v>
      </c>
    </row>
    <row r="28" spans="3:19" outlineLevel="1" x14ac:dyDescent="0.2">
      <c r="C28" s="26" t="str">
        <v>HSUPA salto a: 11.5</v>
      </c>
      <c r="E28" s="167">
        <f xml:space="preserve"> CHOOSE(G28, M28, O28, S28,#REF!)</f>
        <v>0</v>
      </c>
      <c r="F28" s="89" t="str">
        <f t="shared" si="0"/>
        <v>Anualidad simple</v>
      </c>
      <c r="G28" s="64">
        <f t="shared" si="1"/>
        <v>2</v>
      </c>
      <c r="I28" s="89">
        <v>6</v>
      </c>
      <c r="K28" s="100">
        <v>0</v>
      </c>
      <c r="L28" s="100">
        <v>0</v>
      </c>
      <c r="M28" s="100">
        <v>0</v>
      </c>
      <c r="O28" s="100">
        <v>0</v>
      </c>
      <c r="Q28" s="55">
        <v>-2.2707645436101598E-2</v>
      </c>
      <c r="R28" s="107">
        <v>0.52937685870732099</v>
      </c>
      <c r="S28" s="100">
        <v>0</v>
      </c>
    </row>
    <row r="29" spans="3:19" outlineLevel="1" x14ac:dyDescent="0.2">
      <c r="C29" s="26" t="str">
        <v>Asset 21</v>
      </c>
      <c r="E29" s="167">
        <f xml:space="preserve"> CHOOSE(G29, M29, O29, S29,#REF!)</f>
        <v>0</v>
      </c>
      <c r="F29" s="89" t="str">
        <f t="shared" si="0"/>
        <v>Anualidad simple</v>
      </c>
      <c r="G29" s="64">
        <f t="shared" si="1"/>
        <v>2</v>
      </c>
      <c r="I29" s="89">
        <v>8</v>
      </c>
      <c r="K29" s="100">
        <v>0</v>
      </c>
      <c r="L29" s="100">
        <v>0</v>
      </c>
      <c r="M29" s="100">
        <v>0</v>
      </c>
      <c r="O29" s="100">
        <v>0</v>
      </c>
      <c r="Q29" s="55">
        <v>-2.2707645436101598E-2</v>
      </c>
      <c r="R29" s="107">
        <v>0.6339298045684586</v>
      </c>
      <c r="S29" s="100">
        <v>0</v>
      </c>
    </row>
    <row r="30" spans="3:19" outlineLevel="1" x14ac:dyDescent="0.2">
      <c r="C30" s="105" t="str">
        <v>Asset 22</v>
      </c>
      <c r="E30" s="167">
        <f xml:space="preserve"> CHOOSE(G30, M30, O30, S30,#REF!)</f>
        <v>0</v>
      </c>
      <c r="F30" s="89" t="str">
        <f t="shared" si="0"/>
        <v>Anualidad simple</v>
      </c>
      <c r="G30" s="64">
        <f t="shared" si="1"/>
        <v>2</v>
      </c>
      <c r="I30" s="89">
        <v>8</v>
      </c>
      <c r="K30" s="100">
        <v>0</v>
      </c>
      <c r="L30" s="100">
        <v>0</v>
      </c>
      <c r="M30" s="100">
        <v>0</v>
      </c>
      <c r="O30" s="100">
        <v>0</v>
      </c>
      <c r="Q30" s="55">
        <v>-2.2707645436101598E-2</v>
      </c>
      <c r="R30" s="107">
        <v>0.6339298045684586</v>
      </c>
      <c r="S30" s="100">
        <v>0</v>
      </c>
    </row>
    <row r="31" spans="3:19" outlineLevel="1" x14ac:dyDescent="0.2">
      <c r="C31" s="26" t="str">
        <v>Portadora LTE</v>
      </c>
      <c r="E31" s="167">
        <f xml:space="preserve"> CHOOSE(G31, M31, O31, S31,#REF!)</f>
        <v>7437406.348587337</v>
      </c>
      <c r="F31" s="89" t="str">
        <f t="shared" si="0"/>
        <v>Anualidad simple</v>
      </c>
      <c r="G31" s="64">
        <f t="shared" si="1"/>
        <v>2</v>
      </c>
      <c r="I31" s="89">
        <v>6</v>
      </c>
      <c r="K31" s="100">
        <v>5272866.666666667</v>
      </c>
      <c r="L31" s="100">
        <v>1709990.66</v>
      </c>
      <c r="M31" s="100">
        <v>6982857.3266666671</v>
      </c>
      <c r="O31" s="100">
        <v>7437406.348587337</v>
      </c>
      <c r="Q31" s="55">
        <v>-2.2707645436101598E-2</v>
      </c>
      <c r="R31" s="107">
        <v>0.52937685870732099</v>
      </c>
      <c r="S31" s="100">
        <v>7817469.8650343586</v>
      </c>
    </row>
    <row r="32" spans="3:19" outlineLevel="1" x14ac:dyDescent="0.2">
      <c r="C32" s="26" t="str">
        <v>LTE salto a: 10.8</v>
      </c>
      <c r="E32" s="167">
        <f xml:space="preserve"> CHOOSE(G32, M32, O32, S32,#REF!)</f>
        <v>5126497.9474191284</v>
      </c>
      <c r="F32" s="89" t="str">
        <f t="shared" si="0"/>
        <v>Anualidad simple</v>
      </c>
      <c r="G32" s="64">
        <f t="shared" si="1"/>
        <v>2</v>
      </c>
      <c r="I32" s="89">
        <v>6</v>
      </c>
      <c r="K32" s="100">
        <v>3634511.6666666665</v>
      </c>
      <c r="L32" s="100">
        <v>1178672.1335</v>
      </c>
      <c r="M32" s="100">
        <v>4813183.8001666665</v>
      </c>
      <c r="O32" s="100">
        <v>5126497.9474191284</v>
      </c>
      <c r="Q32" s="55">
        <v>-2.2707645436101598E-2</v>
      </c>
      <c r="R32" s="107">
        <v>0.52937685870732099</v>
      </c>
      <c r="S32" s="100">
        <v>5388470.2998272553</v>
      </c>
    </row>
    <row r="33" spans="3:19" outlineLevel="1" x14ac:dyDescent="0.2">
      <c r="C33" s="26" t="str">
        <v>LTE salto a: 16.2</v>
      </c>
      <c r="E33" s="167">
        <f xml:space="preserve"> CHOOSE(G33, M33, O33, S33,#REF!)</f>
        <v>4117135.6572537045</v>
      </c>
      <c r="F33" s="89" t="str">
        <f t="shared" si="0"/>
        <v>Anualidad simple</v>
      </c>
      <c r="G33" s="64">
        <f t="shared" si="1"/>
        <v>2</v>
      </c>
      <c r="I33" s="89">
        <v>6</v>
      </c>
      <c r="K33" s="100">
        <v>2918908.3333333335</v>
      </c>
      <c r="L33" s="100">
        <v>946601.97250000003</v>
      </c>
      <c r="M33" s="100">
        <v>3865510.3058333336</v>
      </c>
      <c r="O33" s="100">
        <v>4117135.6572537045</v>
      </c>
      <c r="Q33" s="55">
        <v>-2.2707645436101598E-2</v>
      </c>
      <c r="R33" s="107">
        <v>0.52937685870732099</v>
      </c>
      <c r="S33" s="100">
        <v>4327527.9610011633</v>
      </c>
    </row>
    <row r="34" spans="3:19" outlineLevel="1" x14ac:dyDescent="0.2">
      <c r="C34" s="26" t="str">
        <v>LTE salto a: 21.6</v>
      </c>
      <c r="E34" s="167">
        <f xml:space="preserve"> CHOOSE(G34, M34, O34, S34,#REF!)</f>
        <v>4249946.4849070497</v>
      </c>
      <c r="F34" s="89" t="str">
        <f t="shared" si="0"/>
        <v>Anualidad simple</v>
      </c>
      <c r="G34" s="64">
        <f t="shared" si="1"/>
        <v>2</v>
      </c>
      <c r="I34" s="89">
        <v>6</v>
      </c>
      <c r="K34" s="100">
        <v>3013066.6666666665</v>
      </c>
      <c r="L34" s="100">
        <v>977137.52</v>
      </c>
      <c r="M34" s="100">
        <v>3990204.1866666665</v>
      </c>
      <c r="O34" s="100">
        <v>4249946.4849070497</v>
      </c>
      <c r="Q34" s="55">
        <v>-2.2707645436101598E-2</v>
      </c>
      <c r="R34" s="107">
        <v>0.52937685870732099</v>
      </c>
      <c r="S34" s="100">
        <v>4467125.6371624907</v>
      </c>
    </row>
    <row r="35" spans="3:19" outlineLevel="1" x14ac:dyDescent="0.2">
      <c r="C35" s="26" t="str">
        <v>LTE salto a: 32.4</v>
      </c>
      <c r="E35" s="167">
        <f xml:space="preserve"> CHOOSE(G35, M35, O35, S35,#REF!)</f>
        <v>4249946.4849070497</v>
      </c>
      <c r="F35" s="89" t="str">
        <f t="shared" si="0"/>
        <v>Anualidad simple</v>
      </c>
      <c r="G35" s="64">
        <f t="shared" si="1"/>
        <v>2</v>
      </c>
      <c r="I35" s="89">
        <v>6</v>
      </c>
      <c r="K35" s="100">
        <v>3013066.6666666665</v>
      </c>
      <c r="L35" s="100">
        <v>977137.52</v>
      </c>
      <c r="M35" s="100">
        <v>3990204.1866666665</v>
      </c>
      <c r="O35" s="100">
        <v>4249946.4849070497</v>
      </c>
      <c r="Q35" s="55">
        <v>-2.2707645436101598E-2</v>
      </c>
      <c r="R35" s="107">
        <v>0.52937685870732099</v>
      </c>
      <c r="S35" s="100">
        <v>4467125.6371624907</v>
      </c>
    </row>
    <row r="36" spans="3:19" outlineLevel="1" x14ac:dyDescent="0.2">
      <c r="C36" s="105" t="str">
        <v>LTE salto a: 43.2</v>
      </c>
      <c r="E36" s="167">
        <f xml:space="preserve"> CHOOSE(G36, M36, O36, S36,#REF!)</f>
        <v>0</v>
      </c>
      <c r="F36" s="89" t="str">
        <f t="shared" si="0"/>
        <v>Anualidad simple</v>
      </c>
      <c r="G36" s="64">
        <f t="shared" si="1"/>
        <v>2</v>
      </c>
      <c r="I36" s="89">
        <v>6</v>
      </c>
      <c r="K36" s="100">
        <v>0</v>
      </c>
      <c r="L36" s="100">
        <v>0</v>
      </c>
      <c r="M36" s="100">
        <v>0</v>
      </c>
      <c r="O36" s="100">
        <v>0</v>
      </c>
      <c r="Q36" s="55">
        <v>-2.2707645436101598E-2</v>
      </c>
      <c r="R36" s="107">
        <v>0.52937685870732099</v>
      </c>
      <c r="S36" s="100">
        <v>0</v>
      </c>
    </row>
    <row r="37" spans="3:19" outlineLevel="1" x14ac:dyDescent="0.2">
      <c r="C37" s="26" t="str">
        <v>LTE salto a: 86.4</v>
      </c>
      <c r="E37" s="167">
        <f xml:space="preserve"> CHOOSE(G37, M37, O37, S37,#REF!)</f>
        <v>0</v>
      </c>
      <c r="F37" s="89" t="str">
        <f t="shared" si="0"/>
        <v>Anualidad simple</v>
      </c>
      <c r="G37" s="64">
        <f t="shared" si="1"/>
        <v>2</v>
      </c>
      <c r="I37" s="89">
        <v>6</v>
      </c>
      <c r="K37" s="100">
        <v>0</v>
      </c>
      <c r="L37" s="100">
        <v>0</v>
      </c>
      <c r="M37" s="100">
        <v>0</v>
      </c>
      <c r="O37" s="100">
        <v>0</v>
      </c>
      <c r="Q37" s="55">
        <v>-2.2707645436101598E-2</v>
      </c>
      <c r="R37" s="107">
        <v>0.52937685870732099</v>
      </c>
      <c r="S37" s="100">
        <v>0</v>
      </c>
    </row>
    <row r="38" spans="3:19" outlineLevel="1" x14ac:dyDescent="0.2">
      <c r="C38" s="26" t="str">
        <v>Estación base Single RAN - macro</v>
      </c>
      <c r="E38" s="167">
        <f xml:space="preserve"> CHOOSE(G38, M38, O38, S38,#REF!)</f>
        <v>70785051.61086449</v>
      </c>
      <c r="F38" s="89" t="str">
        <f t="shared" si="0"/>
        <v>Anualidad simple</v>
      </c>
      <c r="G38" s="64">
        <f t="shared" si="1"/>
        <v>2</v>
      </c>
      <c r="I38" s="89">
        <v>8</v>
      </c>
      <c r="K38" s="100">
        <v>45843750</v>
      </c>
      <c r="L38" s="100">
        <v>19822837.5</v>
      </c>
      <c r="M38" s="100">
        <v>65666587.5</v>
      </c>
      <c r="O38" s="100">
        <v>70785051.61086449</v>
      </c>
      <c r="Q38" s="55">
        <v>-2.2707645436101598E-2</v>
      </c>
      <c r="R38" s="107">
        <v>0.6339298045684586</v>
      </c>
      <c r="S38" s="100">
        <v>75676681.578882188</v>
      </c>
    </row>
    <row r="39" spans="3:19" outlineLevel="1" x14ac:dyDescent="0.2">
      <c r="C39" s="26" t="str">
        <v>Estación base Single RAN - micro</v>
      </c>
      <c r="E39" s="167">
        <f xml:space="preserve"> CHOOSE(G39, M39, O39, S39,#REF!)</f>
        <v>1544050.2055539628</v>
      </c>
      <c r="F39" s="89" t="str">
        <f t="shared" si="0"/>
        <v>Anualidad simple</v>
      </c>
      <c r="G39" s="64">
        <f t="shared" si="1"/>
        <v>2</v>
      </c>
      <c r="I39" s="89">
        <v>8</v>
      </c>
      <c r="K39" s="100">
        <v>1000000</v>
      </c>
      <c r="L39" s="100">
        <v>432400</v>
      </c>
      <c r="M39" s="100">
        <v>1432400</v>
      </c>
      <c r="O39" s="100">
        <v>1544050.2055539628</v>
      </c>
      <c r="Q39" s="55">
        <v>-2.2707645436101598E-2</v>
      </c>
      <c r="R39" s="107">
        <v>0.6339298045684586</v>
      </c>
      <c r="S39" s="100">
        <v>1650752.4270785481</v>
      </c>
    </row>
    <row r="40" spans="3:19" outlineLevel="1" x14ac:dyDescent="0.2">
      <c r="C40" s="26" t="str">
        <v>BBU tarjeta 3G en estación base Single RAN</v>
      </c>
      <c r="E40" s="167">
        <f xml:space="preserve"> CHOOSE(G40, M40, O40, S40,#REF!)</f>
        <v>8786554.6624249313</v>
      </c>
      <c r="F40" s="89" t="str">
        <f t="shared" si="0"/>
        <v>Anualidad simple</v>
      </c>
      <c r="G40" s="64">
        <f t="shared" si="1"/>
        <v>2</v>
      </c>
      <c r="I40" s="89">
        <v>6</v>
      </c>
      <c r="K40" s="100">
        <v>6229366.666666667</v>
      </c>
      <c r="L40" s="100">
        <v>2020183.61</v>
      </c>
      <c r="M40" s="100">
        <v>8249550.2766666673</v>
      </c>
      <c r="O40" s="100">
        <v>8786554.6624249313</v>
      </c>
      <c r="Q40" s="55">
        <v>-2.2707645436101598E-2</v>
      </c>
      <c r="R40" s="107">
        <v>0.52937685870732099</v>
      </c>
      <c r="S40" s="100">
        <v>9235561.8439525999</v>
      </c>
    </row>
    <row r="41" spans="3:19" outlineLevel="1" x14ac:dyDescent="0.2">
      <c r="C41" s="26" t="str">
        <v>BBU tarjeta 4G en estación base Single RAN</v>
      </c>
      <c r="E41" s="167">
        <f xml:space="preserve"> CHOOSE(G41, M41, O41, S41,#REF!)</f>
        <v>12484217.799414458</v>
      </c>
      <c r="F41" s="89" t="str">
        <f t="shared" ref="F41:F72" si="2">CTRL.depreciation.selected</f>
        <v>Anualidad simple</v>
      </c>
      <c r="G41" s="64">
        <f t="shared" ref="G41:G72" si="3">MATCH(F41,Depreciation.methodologies,0)</f>
        <v>2</v>
      </c>
      <c r="I41" s="89">
        <v>6</v>
      </c>
      <c r="K41" s="100">
        <v>8850883.333333334</v>
      </c>
      <c r="L41" s="100">
        <v>2870341.4649999999</v>
      </c>
      <c r="M41" s="100">
        <v>11721224.798333334</v>
      </c>
      <c r="O41" s="100">
        <v>12484217.799414458</v>
      </c>
      <c r="Q41" s="55">
        <v>-2.2707645436101598E-2</v>
      </c>
      <c r="R41" s="107">
        <v>0.52937685870732099</v>
      </c>
      <c r="S41" s="100">
        <v>13122181.559164817</v>
      </c>
    </row>
    <row r="42" spans="3:19" outlineLevel="1" x14ac:dyDescent="0.2">
      <c r="C42" s="26" t="str">
        <v>Sitios propios - macro</v>
      </c>
      <c r="E42" s="167">
        <f xml:space="preserve"> CHOOSE(G42, M42, O42, S42,#REF!)</f>
        <v>40759858.826604702</v>
      </c>
      <c r="F42" s="89" t="str">
        <f t="shared" si="2"/>
        <v>Anualidad simple</v>
      </c>
      <c r="G42" s="64">
        <f t="shared" si="3"/>
        <v>2</v>
      </c>
      <c r="I42" s="89">
        <v>25</v>
      </c>
      <c r="K42" s="100">
        <v>13923520</v>
      </c>
      <c r="L42" s="100">
        <v>18814156.399999999</v>
      </c>
      <c r="M42" s="100">
        <v>32737676.399999999</v>
      </c>
      <c r="O42" s="100">
        <v>40759858.826604702</v>
      </c>
      <c r="Q42" s="55">
        <v>3.9016082220565629E-2</v>
      </c>
      <c r="R42" s="107">
        <v>0.79997564806073584</v>
      </c>
      <c r="S42" s="100">
        <v>30060018.489690367</v>
      </c>
    </row>
    <row r="43" spans="3:19" outlineLevel="1" x14ac:dyDescent="0.2">
      <c r="C43" s="26" t="str">
        <v>Sitios propios - micro</v>
      </c>
      <c r="E43" s="167">
        <f xml:space="preserve"> CHOOSE(G43, M43, O43, S43,#REF!)</f>
        <v>779019.06644766801</v>
      </c>
      <c r="F43" s="89" t="str">
        <f t="shared" si="2"/>
        <v>Anualidad simple</v>
      </c>
      <c r="G43" s="64">
        <f t="shared" si="3"/>
        <v>2</v>
      </c>
      <c r="I43" s="89">
        <v>25</v>
      </c>
      <c r="K43" s="100">
        <v>266112.00000000006</v>
      </c>
      <c r="L43" s="100">
        <v>359583.84000000008</v>
      </c>
      <c r="M43" s="100">
        <v>625695.84000000008</v>
      </c>
      <c r="O43" s="100">
        <v>779019.06644766801</v>
      </c>
      <c r="Q43" s="55">
        <v>3.9016082220565629E-2</v>
      </c>
      <c r="R43" s="107">
        <v>0.79997564806073584</v>
      </c>
      <c r="S43" s="100">
        <v>574519.34857912979</v>
      </c>
    </row>
    <row r="44" spans="3:19" outlineLevel="1" x14ac:dyDescent="0.2">
      <c r="C44" s="26" t="str">
        <v>Sitios de terceros - macro</v>
      </c>
      <c r="E44" s="167">
        <f xml:space="preserve"> CHOOSE(G44, M44, O44, S44,#REF!)</f>
        <v>4262309.7069948148</v>
      </c>
      <c r="F44" s="89" t="str">
        <f t="shared" si="2"/>
        <v>Anualidad simple</v>
      </c>
      <c r="G44" s="64">
        <f t="shared" si="3"/>
        <v>2</v>
      </c>
      <c r="I44" s="89">
        <v>25</v>
      </c>
      <c r="K44" s="100">
        <v>1456000</v>
      </c>
      <c r="L44" s="100">
        <v>1967420</v>
      </c>
      <c r="M44" s="100">
        <v>3423420</v>
      </c>
      <c r="O44" s="100">
        <v>4262309.7069948148</v>
      </c>
      <c r="Q44" s="55">
        <v>3.9016082220565629E-2</v>
      </c>
      <c r="R44" s="107">
        <v>0.79997564806073584</v>
      </c>
      <c r="S44" s="100">
        <v>3143413.9442460793</v>
      </c>
    </row>
    <row r="45" spans="3:19" outlineLevel="1" x14ac:dyDescent="0.2">
      <c r="C45" s="26" t="str">
        <v>Sitios de terceros - micro</v>
      </c>
      <c r="E45" s="167">
        <f xml:space="preserve"> CHOOSE(G45, M45, O45, S45,#REF!)</f>
        <v>4215.4711387860807</v>
      </c>
      <c r="F45" s="89" t="str">
        <f t="shared" si="2"/>
        <v>Anualidad simple</v>
      </c>
      <c r="G45" s="64">
        <f t="shared" si="3"/>
        <v>2</v>
      </c>
      <c r="I45" s="89">
        <v>25</v>
      </c>
      <c r="K45" s="100">
        <v>1440</v>
      </c>
      <c r="L45" s="100">
        <v>1945.8</v>
      </c>
      <c r="M45" s="100">
        <v>3385.8</v>
      </c>
      <c r="O45" s="100">
        <v>4215.4711387860807</v>
      </c>
      <c r="Q45" s="55">
        <v>3.9016082220565629E-2</v>
      </c>
      <c r="R45" s="107">
        <v>0.79997564806073584</v>
      </c>
      <c r="S45" s="100">
        <v>3108.870933869749</v>
      </c>
    </row>
    <row r="46" spans="3:19" outlineLevel="1" x14ac:dyDescent="0.2">
      <c r="C46" s="26" t="str">
        <v>LMA: líneas alquiladas TDM: 2.048</v>
      </c>
      <c r="E46" s="167">
        <f xml:space="preserve"> CHOOSE(G46, M46, O46, S46,#REF!)</f>
        <v>15.655840989089398</v>
      </c>
      <c r="F46" s="89" t="str">
        <f t="shared" si="2"/>
        <v>Anualidad simple</v>
      </c>
      <c r="G46" s="64">
        <f t="shared" si="3"/>
        <v>2</v>
      </c>
      <c r="I46" s="89">
        <v>5</v>
      </c>
      <c r="K46" s="100">
        <v>11.628</v>
      </c>
      <c r="L46" s="100">
        <v>3.1424669999999999</v>
      </c>
      <c r="M46" s="100">
        <v>14.770467</v>
      </c>
      <c r="O46" s="100">
        <v>15.655840989089398</v>
      </c>
      <c r="Q46" s="55">
        <v>8.154218392232071E-3</v>
      </c>
      <c r="R46" s="107">
        <v>0.3766383449242624</v>
      </c>
      <c r="S46" s="100">
        <v>15.428189458097055</v>
      </c>
    </row>
    <row r="47" spans="3:19" outlineLevel="1" x14ac:dyDescent="0.2">
      <c r="C47" s="26" t="str">
        <v>LMA: líneas alquiladas TDM: 8.45</v>
      </c>
      <c r="E47" s="167">
        <f xml:space="preserve"> CHOOSE(G47, M47, O47, S47,#REF!)</f>
        <v>550.7172300867918</v>
      </c>
      <c r="F47" s="89" t="str">
        <f t="shared" si="2"/>
        <v>Anualidad simple</v>
      </c>
      <c r="G47" s="64">
        <f t="shared" si="3"/>
        <v>2</v>
      </c>
      <c r="I47" s="89">
        <v>5</v>
      </c>
      <c r="K47" s="100">
        <v>409.03200000000004</v>
      </c>
      <c r="L47" s="100">
        <v>110.54089800000001</v>
      </c>
      <c r="M47" s="100">
        <v>519.57289800000001</v>
      </c>
      <c r="O47" s="100">
        <v>550.7172300867918</v>
      </c>
      <c r="Q47" s="55">
        <v>8.154218392232071E-3</v>
      </c>
      <c r="R47" s="107">
        <v>0.3766383449242624</v>
      </c>
      <c r="S47" s="100">
        <v>542.7092527024729</v>
      </c>
    </row>
    <row r="48" spans="3:19" outlineLevel="1" x14ac:dyDescent="0.2">
      <c r="C48" s="26" t="str">
        <v>LMA: líneas alquiladas TDM: 34.37</v>
      </c>
      <c r="E48" s="167">
        <f xml:space="preserve"> CHOOSE(G48, M48, O48, S48,#REF!)</f>
        <v>0</v>
      </c>
      <c r="F48" s="89" t="str">
        <f t="shared" si="2"/>
        <v>Anualidad simple</v>
      </c>
      <c r="G48" s="64">
        <f t="shared" si="3"/>
        <v>2</v>
      </c>
      <c r="I48" s="89">
        <v>5</v>
      </c>
      <c r="K48" s="100">
        <v>0</v>
      </c>
      <c r="L48" s="100">
        <v>0</v>
      </c>
      <c r="M48" s="100">
        <v>0</v>
      </c>
      <c r="O48" s="100">
        <v>0</v>
      </c>
      <c r="Q48" s="55">
        <v>8.154218392232071E-3</v>
      </c>
      <c r="R48" s="107">
        <v>0.3766383449242624</v>
      </c>
      <c r="S48" s="100">
        <v>0</v>
      </c>
    </row>
    <row r="49" spans="3:19" outlineLevel="1" x14ac:dyDescent="0.2">
      <c r="C49" s="26" t="str">
        <v>LMA: líneas alquiladas Ethernet: 10</v>
      </c>
      <c r="E49" s="167">
        <f xml:space="preserve"> CHOOSE(G49, M49, O49, S49,#REF!)</f>
        <v>41.441932029942514</v>
      </c>
      <c r="F49" s="89" t="str">
        <f t="shared" si="2"/>
        <v>Anualidad simple</v>
      </c>
      <c r="G49" s="64">
        <f t="shared" si="3"/>
        <v>2</v>
      </c>
      <c r="I49" s="89">
        <v>5</v>
      </c>
      <c r="K49" s="100">
        <v>30.779999999999994</v>
      </c>
      <c r="L49" s="100">
        <v>8.3182949999999991</v>
      </c>
      <c r="M49" s="100">
        <v>39.098294999999993</v>
      </c>
      <c r="O49" s="100">
        <v>41.441932029942514</v>
      </c>
      <c r="Q49" s="55">
        <v>8.154218392232071E-3</v>
      </c>
      <c r="R49" s="107">
        <v>0.3766383449242624</v>
      </c>
      <c r="S49" s="100">
        <v>40.839325036139257</v>
      </c>
    </row>
    <row r="50" spans="3:19" outlineLevel="1" x14ac:dyDescent="0.2">
      <c r="C50" s="105" t="str">
        <v>LMA: líneas alquiladas Ethernet: 30</v>
      </c>
      <c r="E50" s="167">
        <f xml:space="preserve"> CHOOSE(G50, M50, O50, S50,#REF!)</f>
        <v>1023.2575809862351</v>
      </c>
      <c r="F50" s="89" t="str">
        <f t="shared" si="2"/>
        <v>Anualidad simple</v>
      </c>
      <c r="G50" s="64">
        <f t="shared" si="3"/>
        <v>2</v>
      </c>
      <c r="I50" s="89">
        <v>5</v>
      </c>
      <c r="K50" s="100">
        <v>760</v>
      </c>
      <c r="L50" s="100">
        <v>205.39000000000001</v>
      </c>
      <c r="M50" s="100">
        <v>965.39</v>
      </c>
      <c r="O50" s="100">
        <v>1023.2575809862351</v>
      </c>
      <c r="Q50" s="55">
        <v>8.154218392232071E-3</v>
      </c>
      <c r="R50" s="107">
        <v>0.3766383449242624</v>
      </c>
      <c r="S50" s="100">
        <v>1008.3783959540558</v>
      </c>
    </row>
    <row r="51" spans="3:19" outlineLevel="1" x14ac:dyDescent="0.2">
      <c r="C51" s="105" t="str">
        <v>LMA: líneas alquiladas Ethernet: 100</v>
      </c>
      <c r="E51" s="167">
        <f xml:space="preserve"> CHOOSE(G51, M51, O51, S51,#REF!)</f>
        <v>38198.20549821615</v>
      </c>
      <c r="F51" s="89" t="str">
        <f t="shared" si="2"/>
        <v>Anualidad simple</v>
      </c>
      <c r="G51" s="64">
        <f t="shared" si="3"/>
        <v>2</v>
      </c>
      <c r="I51" s="89">
        <v>5</v>
      </c>
      <c r="K51" s="100">
        <v>28370.799999999996</v>
      </c>
      <c r="L51" s="100">
        <v>7667.2086999999983</v>
      </c>
      <c r="M51" s="100">
        <v>36038.008699999991</v>
      </c>
      <c r="O51" s="100">
        <v>38198.20549821615</v>
      </c>
      <c r="Q51" s="55">
        <v>8.154218392232071E-3</v>
      </c>
      <c r="R51" s="107">
        <v>0.3766383449242624</v>
      </c>
      <c r="S51" s="100">
        <v>37642.765520964895</v>
      </c>
    </row>
    <row r="52" spans="3:19" outlineLevel="1" x14ac:dyDescent="0.2">
      <c r="C52" s="105" t="str">
        <v>LMA: enlace microondas TDM: 2.048</v>
      </c>
      <c r="E52" s="167">
        <f xml:space="preserve"> CHOOSE(G52, M52, O52, S52,#REF!)</f>
        <v>22436.273146486983</v>
      </c>
      <c r="F52" s="89" t="str">
        <f t="shared" si="2"/>
        <v>Anualidad simple</v>
      </c>
      <c r="G52" s="64">
        <f t="shared" si="3"/>
        <v>2</v>
      </c>
      <c r="I52" s="89">
        <v>8</v>
      </c>
      <c r="K52" s="100">
        <v>14530.7925</v>
      </c>
      <c r="L52" s="100">
        <v>6283.1146769999996</v>
      </c>
      <c r="M52" s="100">
        <v>20813.907177000001</v>
      </c>
      <c r="O52" s="100">
        <v>22436.273146486983</v>
      </c>
      <c r="Q52" s="55">
        <v>-2.2707645436101598E-2</v>
      </c>
      <c r="R52" s="107">
        <v>0.6339298045684586</v>
      </c>
      <c r="S52" s="100">
        <v>23986.740986749766</v>
      </c>
    </row>
    <row r="53" spans="3:19" outlineLevel="1" x14ac:dyDescent="0.2">
      <c r="C53" s="105" t="str">
        <v>LMA: enlace microondas TDM: 8.45</v>
      </c>
      <c r="E53" s="167">
        <f xml:space="preserve"> CHOOSE(G53, M53, O53, S53,#REF!)</f>
        <v>231757.69357571009</v>
      </c>
      <c r="F53" s="89" t="str">
        <f t="shared" si="2"/>
        <v>Anualidad simple</v>
      </c>
      <c r="G53" s="64">
        <f t="shared" si="3"/>
        <v>2</v>
      </c>
      <c r="I53" s="89">
        <v>8</v>
      </c>
      <c r="K53" s="100">
        <v>150097.2525</v>
      </c>
      <c r="L53" s="100">
        <v>64902.051981000004</v>
      </c>
      <c r="M53" s="100">
        <v>214999.304481</v>
      </c>
      <c r="O53" s="100">
        <v>231757.69357571009</v>
      </c>
      <c r="Q53" s="55">
        <v>-2.2707645436101598E-2</v>
      </c>
      <c r="R53" s="107">
        <v>0.6339298045684586</v>
      </c>
      <c r="S53" s="100">
        <v>247773.40386219669</v>
      </c>
    </row>
    <row r="54" spans="3:19" outlineLevel="1" x14ac:dyDescent="0.2">
      <c r="C54" s="105" t="str">
        <v>LMA: enlace microondas TDM: 34.37</v>
      </c>
      <c r="E54" s="167">
        <f xml:space="preserve"> CHOOSE(G54, M54, O54, S54,#REF!)</f>
        <v>0</v>
      </c>
      <c r="F54" s="89" t="str">
        <f t="shared" si="2"/>
        <v>Anualidad simple</v>
      </c>
      <c r="G54" s="64">
        <f t="shared" si="3"/>
        <v>2</v>
      </c>
      <c r="I54" s="89">
        <v>8</v>
      </c>
      <c r="K54" s="100">
        <v>0</v>
      </c>
      <c r="L54" s="100">
        <v>0</v>
      </c>
      <c r="M54" s="100">
        <v>0</v>
      </c>
      <c r="O54" s="100">
        <v>0</v>
      </c>
      <c r="Q54" s="55">
        <v>-2.2707645436101598E-2</v>
      </c>
      <c r="R54" s="107">
        <v>0.6339298045684586</v>
      </c>
      <c r="S54" s="100">
        <v>0</v>
      </c>
    </row>
    <row r="55" spans="3:19" outlineLevel="1" x14ac:dyDescent="0.2">
      <c r="C55" s="26" t="str">
        <v>LMA: enlace microondas Ethernet: 10</v>
      </c>
      <c r="E55" s="167">
        <f xml:space="preserve"> CHOOSE(G55, M55, O55, S55,#REF!)</f>
        <v>5090.5829828163733</v>
      </c>
      <c r="F55" s="89" t="str">
        <f t="shared" si="2"/>
        <v>Anualidad simple</v>
      </c>
      <c r="G55" s="64">
        <f t="shared" si="3"/>
        <v>2</v>
      </c>
      <c r="I55" s="89">
        <v>8</v>
      </c>
      <c r="K55" s="100">
        <v>3296.9024999999997</v>
      </c>
      <c r="L55" s="100">
        <v>1425.5806409999998</v>
      </c>
      <c r="M55" s="100">
        <v>4722.4831409999997</v>
      </c>
      <c r="O55" s="100">
        <v>5090.5829828163733</v>
      </c>
      <c r="Q55" s="55">
        <v>-2.2707645436101598E-2</v>
      </c>
      <c r="R55" s="107">
        <v>0.6339298045684586</v>
      </c>
      <c r="S55" s="100">
        <v>5442.3698037163331</v>
      </c>
    </row>
    <row r="56" spans="3:19" outlineLevel="1" x14ac:dyDescent="0.2">
      <c r="C56" s="26" t="str">
        <v>LMA: enlace microondas Ethernet: 30</v>
      </c>
      <c r="E56" s="167">
        <f xml:space="preserve"> CHOOSE(G56, M56, O56, S56,#REF!)</f>
        <v>202506.04458391611</v>
      </c>
      <c r="F56" s="89" t="str">
        <f t="shared" si="2"/>
        <v>Anualidad simple</v>
      </c>
      <c r="G56" s="64">
        <f t="shared" si="3"/>
        <v>2</v>
      </c>
      <c r="I56" s="89">
        <v>8</v>
      </c>
      <c r="K56" s="100">
        <v>131152.5</v>
      </c>
      <c r="L56" s="100">
        <v>56710.341</v>
      </c>
      <c r="M56" s="100">
        <v>187862.84100000001</v>
      </c>
      <c r="O56" s="100">
        <v>202506.04458391611</v>
      </c>
      <c r="Q56" s="55">
        <v>-2.2707645436101598E-2</v>
      </c>
      <c r="R56" s="107">
        <v>0.6339298045684586</v>
      </c>
      <c r="S56" s="100">
        <v>216500.3076924193</v>
      </c>
    </row>
    <row r="57" spans="3:19" outlineLevel="1" x14ac:dyDescent="0.2">
      <c r="C57" s="26" t="str">
        <v>LMA: enlace microondas Ethernet: 100</v>
      </c>
      <c r="E57" s="167">
        <f xml:space="preserve"> CHOOSE(G57, M57, O57, S57,#REF!)</f>
        <v>6082397.0701405881</v>
      </c>
      <c r="F57" s="89" t="str">
        <f t="shared" si="2"/>
        <v>Anualidad simple</v>
      </c>
      <c r="G57" s="64">
        <f t="shared" si="3"/>
        <v>2</v>
      </c>
      <c r="I57" s="89">
        <v>8</v>
      </c>
      <c r="K57" s="100">
        <v>3939248.2499999995</v>
      </c>
      <c r="L57" s="100">
        <v>1703330.9432999999</v>
      </c>
      <c r="M57" s="100">
        <v>5642579.1932999995</v>
      </c>
      <c r="O57" s="100">
        <v>6082397.0701405881</v>
      </c>
      <c r="Q57" s="55">
        <v>-2.2707645436101598E-2</v>
      </c>
      <c r="R57" s="107">
        <v>0.6339298045684586</v>
      </c>
      <c r="S57" s="100">
        <v>6502723.6095524235</v>
      </c>
    </row>
    <row r="58" spans="3:19" outlineLevel="1" x14ac:dyDescent="0.2">
      <c r="C58" s="26" t="str">
        <v>LMA: enlace de fibra propia</v>
      </c>
      <c r="E58" s="167">
        <f xml:space="preserve"> CHOOSE(G58, M58, O58, S58,#REF!)</f>
        <v>1959943.0206955434</v>
      </c>
      <c r="F58" s="89" t="str">
        <f t="shared" si="2"/>
        <v>Anualidad simple</v>
      </c>
      <c r="G58" s="64">
        <f t="shared" si="3"/>
        <v>2</v>
      </c>
      <c r="I58" s="89">
        <v>20</v>
      </c>
      <c r="K58" s="100">
        <v>790180.31250000023</v>
      </c>
      <c r="L58" s="100">
        <v>854184.91781250027</v>
      </c>
      <c r="M58" s="100">
        <v>1644365.2303125006</v>
      </c>
      <c r="O58" s="100">
        <v>1959943.0206955434</v>
      </c>
      <c r="Q58" s="55">
        <v>3.9016082220565629E-2</v>
      </c>
      <c r="R58" s="107">
        <v>0.72402718876068883</v>
      </c>
      <c r="S58" s="100">
        <v>1507919.939667373</v>
      </c>
    </row>
    <row r="59" spans="3:19" outlineLevel="1" x14ac:dyDescent="0.2">
      <c r="C59" s="26" t="str">
        <v>Hub to core: línea alquilada TDM:  8.45</v>
      </c>
      <c r="E59" s="167">
        <f xml:space="preserve"> CHOOSE(G59, M59, O59, S59,#REF!)</f>
        <v>0</v>
      </c>
      <c r="F59" s="89" t="str">
        <f t="shared" si="2"/>
        <v>Anualidad simple</v>
      </c>
      <c r="G59" s="64">
        <f t="shared" si="3"/>
        <v>2</v>
      </c>
      <c r="I59" s="89">
        <v>5</v>
      </c>
      <c r="K59" s="100">
        <v>0</v>
      </c>
      <c r="L59" s="100">
        <v>0</v>
      </c>
      <c r="M59" s="100">
        <v>0</v>
      </c>
      <c r="O59" s="100">
        <v>0</v>
      </c>
      <c r="Q59" s="55">
        <v>8.154218392232071E-3</v>
      </c>
      <c r="R59" s="107">
        <v>0.3766383449242624</v>
      </c>
      <c r="S59" s="100">
        <v>0</v>
      </c>
    </row>
    <row r="60" spans="3:19" outlineLevel="1" x14ac:dyDescent="0.2">
      <c r="C60" s="26" t="str">
        <v>Hub to core: línea alquilada TDM:  34.37</v>
      </c>
      <c r="E60" s="167">
        <f xml:space="preserve"> CHOOSE(G60, M60, O60, S60,#REF!)</f>
        <v>0</v>
      </c>
      <c r="F60" s="89" t="str">
        <f t="shared" si="2"/>
        <v>Anualidad simple</v>
      </c>
      <c r="G60" s="64">
        <f t="shared" si="3"/>
        <v>2</v>
      </c>
      <c r="I60" s="89">
        <v>5</v>
      </c>
      <c r="K60" s="100">
        <v>0</v>
      </c>
      <c r="L60" s="100">
        <v>0</v>
      </c>
      <c r="M60" s="100">
        <v>0</v>
      </c>
      <c r="O60" s="100">
        <v>0</v>
      </c>
      <c r="Q60" s="55">
        <v>8.154218392232071E-3</v>
      </c>
      <c r="R60" s="107">
        <v>0.3766383449242624</v>
      </c>
      <c r="S60" s="100">
        <v>0</v>
      </c>
    </row>
    <row r="61" spans="3:19" outlineLevel="1" x14ac:dyDescent="0.2">
      <c r="C61" s="105" t="str">
        <v>Hub to core: línea alquilada TDM:  155.52</v>
      </c>
      <c r="E61" s="167">
        <f xml:space="preserve"> CHOOSE(G61, M61, O61, S61,#REF!)</f>
        <v>0</v>
      </c>
      <c r="F61" s="89" t="str">
        <f t="shared" si="2"/>
        <v>Anualidad simple</v>
      </c>
      <c r="G61" s="64">
        <f t="shared" si="3"/>
        <v>2</v>
      </c>
      <c r="I61" s="89">
        <v>5</v>
      </c>
      <c r="K61" s="100">
        <v>0</v>
      </c>
      <c r="L61" s="100">
        <v>0</v>
      </c>
      <c r="M61" s="100">
        <v>0</v>
      </c>
      <c r="O61" s="100">
        <v>0</v>
      </c>
      <c r="Q61" s="55">
        <v>8.154218392232071E-3</v>
      </c>
      <c r="R61" s="107">
        <v>0.3766383449242624</v>
      </c>
      <c r="S61" s="100">
        <v>0</v>
      </c>
    </row>
    <row r="62" spans="3:19" outlineLevel="1" x14ac:dyDescent="0.2">
      <c r="C62" s="26" t="str">
        <v>Hub to core: línea alquilada Ethernet:  10</v>
      </c>
      <c r="E62" s="167">
        <f xml:space="preserve"> CHOOSE(G62, M62, O62, S62,#REF!)</f>
        <v>0</v>
      </c>
      <c r="F62" s="89" t="str">
        <f t="shared" si="2"/>
        <v>Anualidad simple</v>
      </c>
      <c r="G62" s="64">
        <f t="shared" si="3"/>
        <v>2</v>
      </c>
      <c r="I62" s="89">
        <v>5</v>
      </c>
      <c r="K62" s="100">
        <v>0</v>
      </c>
      <c r="L62" s="100">
        <v>0</v>
      </c>
      <c r="M62" s="100">
        <v>0</v>
      </c>
      <c r="O62" s="100">
        <v>0</v>
      </c>
      <c r="Q62" s="55">
        <v>8.154218392232071E-3</v>
      </c>
      <c r="R62" s="107">
        <v>0.3766383449242624</v>
      </c>
      <c r="S62" s="100">
        <v>0</v>
      </c>
    </row>
    <row r="63" spans="3:19" outlineLevel="1" x14ac:dyDescent="0.2">
      <c r="C63" s="26" t="str">
        <v>Hub to core: línea alquilada Ethernet:  100</v>
      </c>
      <c r="E63" s="167">
        <f xml:space="preserve"> CHOOSE(G63, M63, O63, S63,#REF!)</f>
        <v>0</v>
      </c>
      <c r="F63" s="89" t="str">
        <f t="shared" si="2"/>
        <v>Anualidad simple</v>
      </c>
      <c r="G63" s="64">
        <f t="shared" si="3"/>
        <v>2</v>
      </c>
      <c r="I63" s="89">
        <v>5</v>
      </c>
      <c r="K63" s="100">
        <v>0</v>
      </c>
      <c r="L63" s="100">
        <v>0</v>
      </c>
      <c r="M63" s="100">
        <v>0</v>
      </c>
      <c r="O63" s="100">
        <v>0</v>
      </c>
      <c r="Q63" s="55">
        <v>8.154218392232071E-3</v>
      </c>
      <c r="R63" s="107">
        <v>0.3766383449242624</v>
      </c>
      <c r="S63" s="100">
        <v>0</v>
      </c>
    </row>
    <row r="64" spans="3:19" outlineLevel="1" x14ac:dyDescent="0.2">
      <c r="C64" s="26" t="str">
        <v>Hub to core: línea alquilada Ethernet:  1024</v>
      </c>
      <c r="E64" s="167">
        <f xml:space="preserve"> CHOOSE(G64, M64, O64, S64,#REF!)</f>
        <v>696892.26831378334</v>
      </c>
      <c r="F64" s="89" t="str">
        <f t="shared" si="2"/>
        <v>Anualidad simple</v>
      </c>
      <c r="G64" s="64">
        <f t="shared" si="3"/>
        <v>2</v>
      </c>
      <c r="I64" s="89">
        <v>5</v>
      </c>
      <c r="K64" s="100">
        <v>517600</v>
      </c>
      <c r="L64" s="100">
        <v>139881.4</v>
      </c>
      <c r="M64" s="100">
        <v>657481.4</v>
      </c>
      <c r="O64" s="100">
        <v>696892.26831378334</v>
      </c>
      <c r="Q64" s="55">
        <v>8.154218392232071E-3</v>
      </c>
      <c r="R64" s="107">
        <v>0.3766383449242624</v>
      </c>
      <c r="S64" s="100">
        <v>686758.76019186748</v>
      </c>
    </row>
    <row r="65" spans="3:19" outlineLevel="1" x14ac:dyDescent="0.2">
      <c r="C65" s="26" t="str">
        <v>Hub to Core puntos de acceso a anillos: 155.52</v>
      </c>
      <c r="E65" s="167">
        <f xml:space="preserve"> CHOOSE(G65, M65, O65, S65,#REF!)</f>
        <v>0</v>
      </c>
      <c r="F65" s="89" t="str">
        <f t="shared" si="2"/>
        <v>Anualidad simple</v>
      </c>
      <c r="G65" s="64">
        <f t="shared" si="3"/>
        <v>2</v>
      </c>
      <c r="I65" s="89">
        <v>8</v>
      </c>
      <c r="K65" s="100">
        <v>0</v>
      </c>
      <c r="L65" s="100">
        <v>0</v>
      </c>
      <c r="M65" s="100">
        <v>0</v>
      </c>
      <c r="O65" s="100">
        <v>0</v>
      </c>
      <c r="Q65" s="55">
        <v>-2.2707645436101598E-2</v>
      </c>
      <c r="R65" s="107">
        <v>0.6339298045684586</v>
      </c>
      <c r="S65" s="100">
        <v>0</v>
      </c>
    </row>
    <row r="66" spans="3:19" outlineLevel="1" x14ac:dyDescent="0.2">
      <c r="C66" s="26" t="str">
        <v>Hub to Core puntos de acceso a anillos: 622.08</v>
      </c>
      <c r="E66" s="167">
        <f xml:space="preserve"> CHOOSE(G66, M66, O66, S66,#REF!)</f>
        <v>0</v>
      </c>
      <c r="F66" s="89" t="str">
        <f t="shared" si="2"/>
        <v>Anualidad simple</v>
      </c>
      <c r="G66" s="64">
        <f t="shared" si="3"/>
        <v>2</v>
      </c>
      <c r="I66" s="89">
        <v>8</v>
      </c>
      <c r="K66" s="100">
        <v>0</v>
      </c>
      <c r="L66" s="100">
        <v>0</v>
      </c>
      <c r="M66" s="100">
        <v>0</v>
      </c>
      <c r="O66" s="100">
        <v>0</v>
      </c>
      <c r="Q66" s="55">
        <v>-2.2707645436101598E-2</v>
      </c>
      <c r="R66" s="107">
        <v>0.6339298045684586</v>
      </c>
      <c r="S66" s="100">
        <v>0</v>
      </c>
    </row>
    <row r="67" spans="3:19" outlineLevel="1" x14ac:dyDescent="0.2">
      <c r="C67" s="26" t="str">
        <v>Hub to Core puntos de acceso a anillos: 2488.32</v>
      </c>
      <c r="E67" s="167">
        <f xml:space="preserve"> CHOOSE(G67, M67, O67, S67,#REF!)</f>
        <v>0</v>
      </c>
      <c r="F67" s="89" t="str">
        <f t="shared" si="2"/>
        <v>Anualidad simple</v>
      </c>
      <c r="G67" s="64">
        <f t="shared" si="3"/>
        <v>2</v>
      </c>
      <c r="I67" s="89">
        <v>8</v>
      </c>
      <c r="K67" s="100">
        <v>0</v>
      </c>
      <c r="L67" s="100">
        <v>0</v>
      </c>
      <c r="M67" s="100">
        <v>0</v>
      </c>
      <c r="O67" s="100">
        <v>0</v>
      </c>
      <c r="Q67" s="55">
        <v>-2.2707645436101598E-2</v>
      </c>
      <c r="R67" s="107">
        <v>0.6339298045684586</v>
      </c>
      <c r="S67" s="100">
        <v>0</v>
      </c>
    </row>
    <row r="68" spans="3:19" outlineLevel="1" x14ac:dyDescent="0.2">
      <c r="C68" s="26" t="str">
        <v>Hub to Core punto de acceso a anillos: 1024</v>
      </c>
      <c r="E68" s="167">
        <f xml:space="preserve"> CHOOSE(G68, M68, O68, S68,#REF!)</f>
        <v>0</v>
      </c>
      <c r="F68" s="89" t="str">
        <f t="shared" si="2"/>
        <v>Anualidad simple</v>
      </c>
      <c r="G68" s="64">
        <f t="shared" si="3"/>
        <v>2</v>
      </c>
      <c r="I68" s="89">
        <v>8</v>
      </c>
      <c r="K68" s="100">
        <v>0</v>
      </c>
      <c r="L68" s="100">
        <v>0</v>
      </c>
      <c r="M68" s="100">
        <v>0</v>
      </c>
      <c r="O68" s="100">
        <v>0</v>
      </c>
      <c r="Q68" s="55">
        <v>-2.2707645436101598E-2</v>
      </c>
      <c r="R68" s="107">
        <v>0.6339298045684586</v>
      </c>
      <c r="S68" s="100">
        <v>0</v>
      </c>
    </row>
    <row r="69" spans="3:19" outlineLevel="1" x14ac:dyDescent="0.2">
      <c r="C69" s="105" t="str">
        <v>Hub to Core punto de acceso a anillos: 2048</v>
      </c>
      <c r="E69" s="167">
        <f xml:space="preserve"> CHOOSE(G69, M69, O69, S69,#REF!)</f>
        <v>0</v>
      </c>
      <c r="F69" s="89" t="str">
        <f t="shared" si="2"/>
        <v>Anualidad simple</v>
      </c>
      <c r="G69" s="64">
        <f t="shared" si="3"/>
        <v>2</v>
      </c>
      <c r="I69" s="89">
        <v>8</v>
      </c>
      <c r="K69" s="100">
        <v>0</v>
      </c>
      <c r="L69" s="100">
        <v>0</v>
      </c>
      <c r="M69" s="100">
        <v>0</v>
      </c>
      <c r="O69" s="100">
        <v>0</v>
      </c>
      <c r="Q69" s="55">
        <v>-2.2707645436101598E-2</v>
      </c>
      <c r="R69" s="107">
        <v>0.6339298045684586</v>
      </c>
      <c r="S69" s="100">
        <v>0</v>
      </c>
    </row>
    <row r="70" spans="3:19" outlineLevel="1" x14ac:dyDescent="0.2">
      <c r="C70" s="105" t="str">
        <v>Hub to Core punto de acceso a anillos: 10240</v>
      </c>
      <c r="E70" s="167">
        <f xml:space="preserve"> CHOOSE(G70, M70, O70, S70,#REF!)</f>
        <v>0</v>
      </c>
      <c r="F70" s="89" t="str">
        <f t="shared" si="2"/>
        <v>Anualidad simple</v>
      </c>
      <c r="G70" s="64">
        <f t="shared" si="3"/>
        <v>2</v>
      </c>
      <c r="I70" s="89">
        <v>8</v>
      </c>
      <c r="K70" s="100">
        <v>0</v>
      </c>
      <c r="L70" s="100">
        <v>0</v>
      </c>
      <c r="M70" s="100">
        <v>0</v>
      </c>
      <c r="O70" s="100">
        <v>0</v>
      </c>
      <c r="Q70" s="55">
        <v>-2.2707645436101598E-2</v>
      </c>
      <c r="R70" s="107">
        <v>0.6339298045684586</v>
      </c>
      <c r="S70" s="100">
        <v>0</v>
      </c>
    </row>
    <row r="71" spans="3:19" outlineLevel="1" x14ac:dyDescent="0.2">
      <c r="C71" s="105" t="str">
        <v>Hub to Core - longitud de los anillos de fibra</v>
      </c>
      <c r="E71" s="167">
        <f xml:space="preserve"> CHOOSE(G71, M71, O71, S71,#REF!)</f>
        <v>0</v>
      </c>
      <c r="F71" s="89" t="str">
        <f t="shared" si="2"/>
        <v>Anualidad simple</v>
      </c>
      <c r="G71" s="64">
        <f t="shared" si="3"/>
        <v>2</v>
      </c>
      <c r="I71" s="89">
        <v>20</v>
      </c>
      <c r="K71" s="100">
        <v>0</v>
      </c>
      <c r="L71" s="100">
        <v>0</v>
      </c>
      <c r="M71" s="100">
        <v>0</v>
      </c>
      <c r="O71" s="100">
        <v>0</v>
      </c>
      <c r="Q71" s="55">
        <v>3.9016082220565629E-2</v>
      </c>
      <c r="R71" s="107">
        <v>0.72402718876068883</v>
      </c>
      <c r="S71" s="100">
        <v>0</v>
      </c>
    </row>
    <row r="72" spans="3:19" outlineLevel="1" x14ac:dyDescent="0.2">
      <c r="C72" s="105" t="str">
        <v>Sitios BSC remotos</v>
      </c>
      <c r="E72" s="167">
        <f xml:space="preserve"> CHOOSE(G72, M72, O72, S72,#REF!)</f>
        <v>0</v>
      </c>
      <c r="F72" s="89" t="str">
        <f t="shared" si="2"/>
        <v>Anualidad simple</v>
      </c>
      <c r="G72" s="64">
        <f t="shared" si="3"/>
        <v>2</v>
      </c>
      <c r="I72" s="89">
        <v>25</v>
      </c>
      <c r="K72" s="100">
        <v>0</v>
      </c>
      <c r="L72" s="100">
        <v>0</v>
      </c>
      <c r="M72" s="100">
        <v>0</v>
      </c>
      <c r="O72" s="100">
        <v>0</v>
      </c>
      <c r="Q72" s="55">
        <v>3.9016082220565629E-2</v>
      </c>
      <c r="R72" s="107">
        <v>0.79997564806073584</v>
      </c>
      <c r="S72" s="100">
        <v>0</v>
      </c>
    </row>
    <row r="73" spans="3:19" outlineLevel="1" x14ac:dyDescent="0.2">
      <c r="C73" s="26" t="str">
        <v>Sitios RNC remotos</v>
      </c>
      <c r="E73" s="167">
        <f xml:space="preserve"> CHOOSE(G73, M73, O73, S73,#REF!)</f>
        <v>0</v>
      </c>
      <c r="F73" s="89" t="str">
        <f t="shared" ref="F73:F104" si="4">CTRL.depreciation.selected</f>
        <v>Anualidad simple</v>
      </c>
      <c r="G73" s="64">
        <f t="shared" ref="G73:G104" si="5">MATCH(F73,Depreciation.methodologies,0)</f>
        <v>2</v>
      </c>
      <c r="I73" s="89">
        <v>25</v>
      </c>
      <c r="K73" s="100">
        <v>0</v>
      </c>
      <c r="L73" s="100">
        <v>0</v>
      </c>
      <c r="M73" s="100">
        <v>0</v>
      </c>
      <c r="O73" s="100">
        <v>0</v>
      </c>
      <c r="Q73" s="55">
        <v>3.9016082220565629E-2</v>
      </c>
      <c r="R73" s="107">
        <v>0.79997564806073584</v>
      </c>
      <c r="S73" s="100">
        <v>0</v>
      </c>
    </row>
    <row r="74" spans="3:19" outlineLevel="1" x14ac:dyDescent="0.2">
      <c r="C74" s="26" t="str">
        <v>BSC: 2100</v>
      </c>
      <c r="E74" s="167">
        <f xml:space="preserve"> CHOOSE(G74, M74, O74, S74,#REF!)</f>
        <v>0</v>
      </c>
      <c r="F74" s="89" t="str">
        <f t="shared" si="4"/>
        <v>Anualidad simple</v>
      </c>
      <c r="G74" s="64">
        <f t="shared" si="5"/>
        <v>2</v>
      </c>
      <c r="I74" s="89">
        <v>8</v>
      </c>
      <c r="K74" s="100">
        <v>0</v>
      </c>
      <c r="L74" s="100">
        <v>0</v>
      </c>
      <c r="M74" s="100">
        <v>0</v>
      </c>
      <c r="O74" s="100">
        <v>0</v>
      </c>
      <c r="Q74" s="55">
        <v>-2.2707645436101598E-2</v>
      </c>
      <c r="R74" s="107">
        <v>0.6339298045684586</v>
      </c>
      <c r="S74" s="100">
        <v>0</v>
      </c>
    </row>
    <row r="75" spans="3:19" outlineLevel="1" x14ac:dyDescent="0.2">
      <c r="C75" s="26" t="str">
        <v>BSC: 4200</v>
      </c>
      <c r="E75" s="167">
        <f xml:space="preserve"> CHOOSE(G75, M75, O75, S75,#REF!)</f>
        <v>810626.35791583057</v>
      </c>
      <c r="F75" s="89" t="str">
        <f t="shared" si="4"/>
        <v>Anualidad simple</v>
      </c>
      <c r="G75" s="64">
        <f t="shared" si="5"/>
        <v>2</v>
      </c>
      <c r="I75" s="89">
        <v>8</v>
      </c>
      <c r="K75" s="100">
        <v>525000</v>
      </c>
      <c r="L75" s="100">
        <v>227010</v>
      </c>
      <c r="M75" s="100">
        <v>752010</v>
      </c>
      <c r="O75" s="100">
        <v>810626.35791583057</v>
      </c>
      <c r="Q75" s="55">
        <v>-2.2707645436101598E-2</v>
      </c>
      <c r="R75" s="107">
        <v>0.6339298045684586</v>
      </c>
      <c r="S75" s="100">
        <v>866645.02421623783</v>
      </c>
    </row>
    <row r="76" spans="3:19" outlineLevel="1" x14ac:dyDescent="0.2">
      <c r="C76" s="26" t="str">
        <v>BSC: 8000</v>
      </c>
      <c r="E76" s="167">
        <f xml:space="preserve"> CHOOSE(G76, M76, O76, S76,#REF!)</f>
        <v>0</v>
      </c>
      <c r="F76" s="89" t="str">
        <f t="shared" si="4"/>
        <v>Anualidad simple</v>
      </c>
      <c r="G76" s="64">
        <f t="shared" si="5"/>
        <v>2</v>
      </c>
      <c r="I76" s="89">
        <v>8</v>
      </c>
      <c r="K76" s="100">
        <v>0</v>
      </c>
      <c r="L76" s="100">
        <v>0</v>
      </c>
      <c r="M76" s="100">
        <v>0</v>
      </c>
      <c r="O76" s="100">
        <v>0</v>
      </c>
      <c r="Q76" s="55">
        <v>-2.2707645436101598E-2</v>
      </c>
      <c r="R76" s="107">
        <v>0.6339298045684586</v>
      </c>
      <c r="S76" s="100">
        <v>0</v>
      </c>
    </row>
    <row r="77" spans="3:19" outlineLevel="1" x14ac:dyDescent="0.2">
      <c r="C77" s="26" t="str">
        <v>RNC: 1600</v>
      </c>
      <c r="E77" s="167">
        <f xml:space="preserve"> CHOOSE(G77, M77, O77, S77,#REF!)</f>
        <v>0</v>
      </c>
      <c r="F77" s="89" t="str">
        <f t="shared" si="4"/>
        <v>Anualidad simple</v>
      </c>
      <c r="G77" s="64">
        <f t="shared" si="5"/>
        <v>2</v>
      </c>
      <c r="I77" s="89">
        <v>8</v>
      </c>
      <c r="K77" s="100">
        <v>0</v>
      </c>
      <c r="L77" s="100">
        <v>0</v>
      </c>
      <c r="M77" s="100">
        <v>0</v>
      </c>
      <c r="O77" s="100">
        <v>0</v>
      </c>
      <c r="Q77" s="55">
        <v>-2.2707645436101598E-2</v>
      </c>
      <c r="R77" s="107">
        <v>0.6339298045684586</v>
      </c>
      <c r="S77" s="100">
        <v>0</v>
      </c>
    </row>
    <row r="78" spans="3:19" outlineLevel="1" x14ac:dyDescent="0.2">
      <c r="C78" s="26" t="str">
        <v>RNC: 2600</v>
      </c>
      <c r="E78" s="167">
        <f xml:space="preserve"> CHOOSE(G78, M78, O78, S78,#REF!)</f>
        <v>7334238.4763813233</v>
      </c>
      <c r="F78" s="89" t="str">
        <f t="shared" si="4"/>
        <v>Anualidad simple</v>
      </c>
      <c r="G78" s="64">
        <f t="shared" si="5"/>
        <v>2</v>
      </c>
      <c r="I78" s="89">
        <v>8</v>
      </c>
      <c r="K78" s="100">
        <v>4750000</v>
      </c>
      <c r="L78" s="100">
        <v>2053900</v>
      </c>
      <c r="M78" s="100">
        <v>6803900</v>
      </c>
      <c r="O78" s="100">
        <v>7334238.4763813233</v>
      </c>
      <c r="Q78" s="55">
        <v>-2.2707645436101598E-2</v>
      </c>
      <c r="R78" s="107">
        <v>0.6339298045684586</v>
      </c>
      <c r="S78" s="100">
        <v>7841074.0286231041</v>
      </c>
    </row>
    <row r="79" spans="3:19" outlineLevel="1" x14ac:dyDescent="0.2">
      <c r="C79" s="26" t="str">
        <v>RNC: 5000</v>
      </c>
      <c r="E79" s="167">
        <f xml:space="preserve"> CHOOSE(G79, M79, O79, S79,#REF!)</f>
        <v>0</v>
      </c>
      <c r="F79" s="89" t="str">
        <f t="shared" si="4"/>
        <v>Anualidad simple</v>
      </c>
      <c r="G79" s="64">
        <f t="shared" si="5"/>
        <v>2</v>
      </c>
      <c r="I79" s="89">
        <v>8</v>
      </c>
      <c r="K79" s="100">
        <v>0</v>
      </c>
      <c r="L79" s="100">
        <v>0</v>
      </c>
      <c r="M79" s="100">
        <v>0</v>
      </c>
      <c r="O79" s="100">
        <v>0</v>
      </c>
      <c r="Q79" s="55">
        <v>-2.2707645436101598E-2</v>
      </c>
      <c r="R79" s="107">
        <v>0.6339298045684586</v>
      </c>
      <c r="S79" s="100">
        <v>0</v>
      </c>
    </row>
    <row r="80" spans="3:19" outlineLevel="1" x14ac:dyDescent="0.2">
      <c r="C80" s="26" t="str">
        <v>BSC a Core punto de acceso: Voz: 8.45</v>
      </c>
      <c r="E80" s="167">
        <f xml:space="preserve"> CHOOSE(G80, M80, O80, S80,#REF!)</f>
        <v>0</v>
      </c>
      <c r="F80" s="89" t="str">
        <f t="shared" si="4"/>
        <v>Anualidad simple</v>
      </c>
      <c r="G80" s="64">
        <f t="shared" si="5"/>
        <v>2</v>
      </c>
      <c r="I80" s="89">
        <v>8</v>
      </c>
      <c r="K80" s="100">
        <v>0</v>
      </c>
      <c r="L80" s="100">
        <v>0</v>
      </c>
      <c r="M80" s="100">
        <v>0</v>
      </c>
      <c r="O80" s="100">
        <v>0</v>
      </c>
      <c r="Q80" s="55">
        <v>-2.2707645436101598E-2</v>
      </c>
      <c r="R80" s="107">
        <v>0.6339298045684586</v>
      </c>
      <c r="S80" s="100">
        <v>0</v>
      </c>
    </row>
    <row r="81" spans="3:19" outlineLevel="1" x14ac:dyDescent="0.2">
      <c r="C81" s="105" t="str">
        <v>BSC a Core punto de acceso: Voz: 34.37</v>
      </c>
      <c r="E81" s="167">
        <f xml:space="preserve"> CHOOSE(G81, M81, O81, S81,#REF!)</f>
        <v>0</v>
      </c>
      <c r="F81" s="89" t="str">
        <f t="shared" si="4"/>
        <v>Anualidad simple</v>
      </c>
      <c r="G81" s="64">
        <f t="shared" si="5"/>
        <v>2</v>
      </c>
      <c r="I81" s="89">
        <v>8</v>
      </c>
      <c r="K81" s="100">
        <v>0</v>
      </c>
      <c r="L81" s="100">
        <v>0</v>
      </c>
      <c r="M81" s="100">
        <v>0</v>
      </c>
      <c r="O81" s="100">
        <v>0</v>
      </c>
      <c r="Q81" s="55">
        <v>-2.2707645436101598E-2</v>
      </c>
      <c r="R81" s="107">
        <v>0.6339298045684586</v>
      </c>
      <c r="S81" s="100">
        <v>0</v>
      </c>
    </row>
    <row r="82" spans="3:19" outlineLevel="1" x14ac:dyDescent="0.2">
      <c r="C82" s="26" t="str">
        <v>BSC a Core punto de acceso: Voz: 155.52</v>
      </c>
      <c r="E82" s="167">
        <f xml:space="preserve"> CHOOSE(G82, M82, O82, S82,#REF!)</f>
        <v>0</v>
      </c>
      <c r="F82" s="89" t="str">
        <f t="shared" si="4"/>
        <v>Anualidad simple</v>
      </c>
      <c r="G82" s="64">
        <f t="shared" si="5"/>
        <v>2</v>
      </c>
      <c r="I82" s="89">
        <v>8</v>
      </c>
      <c r="K82" s="100">
        <v>0</v>
      </c>
      <c r="L82" s="100">
        <v>0</v>
      </c>
      <c r="M82" s="100">
        <v>0</v>
      </c>
      <c r="O82" s="100">
        <v>0</v>
      </c>
      <c r="Q82" s="55">
        <v>-2.2707645436101598E-2</v>
      </c>
      <c r="R82" s="107">
        <v>0.6339298045684586</v>
      </c>
      <c r="S82" s="100">
        <v>0</v>
      </c>
    </row>
    <row r="83" spans="3:19" outlineLevel="1" x14ac:dyDescent="0.2">
      <c r="C83" s="26" t="str">
        <v>BSC a Core punto de acceso: Voz: 30</v>
      </c>
      <c r="E83" s="167">
        <f xml:space="preserve"> CHOOSE(G83, M83, O83, S83,#REF!)</f>
        <v>0</v>
      </c>
      <c r="F83" s="89" t="str">
        <f t="shared" si="4"/>
        <v>Anualidad simple</v>
      </c>
      <c r="G83" s="64">
        <f t="shared" si="5"/>
        <v>2</v>
      </c>
      <c r="I83" s="89">
        <v>8</v>
      </c>
      <c r="K83" s="100">
        <v>0</v>
      </c>
      <c r="L83" s="100">
        <v>0</v>
      </c>
      <c r="M83" s="100">
        <v>0</v>
      </c>
      <c r="O83" s="100">
        <v>0</v>
      </c>
      <c r="Q83" s="55">
        <v>-2.2707645436101598E-2</v>
      </c>
      <c r="R83" s="107">
        <v>0.6339298045684586</v>
      </c>
      <c r="S83" s="100">
        <v>0</v>
      </c>
    </row>
    <row r="84" spans="3:19" outlineLevel="1" x14ac:dyDescent="0.2">
      <c r="C84" s="26" t="str">
        <v>BSC a Core punto de acceso: Voz: 100</v>
      </c>
      <c r="E84" s="167">
        <f xml:space="preserve"> CHOOSE(G84, M84, O84, S84,#REF!)</f>
        <v>0</v>
      </c>
      <c r="F84" s="89" t="str">
        <f t="shared" si="4"/>
        <v>Anualidad simple</v>
      </c>
      <c r="G84" s="64">
        <f t="shared" si="5"/>
        <v>2</v>
      </c>
      <c r="I84" s="89">
        <v>8</v>
      </c>
      <c r="K84" s="100">
        <v>0</v>
      </c>
      <c r="L84" s="100">
        <v>0</v>
      </c>
      <c r="M84" s="100">
        <v>0</v>
      </c>
      <c r="O84" s="100">
        <v>0</v>
      </c>
      <c r="Q84" s="55">
        <v>-2.2707645436101598E-2</v>
      </c>
      <c r="R84" s="107">
        <v>0.6339298045684586</v>
      </c>
      <c r="S84" s="100">
        <v>0</v>
      </c>
    </row>
    <row r="85" spans="3:19" outlineLevel="1" x14ac:dyDescent="0.2">
      <c r="C85" s="26" t="str">
        <v>BSC a Core punto de acceso: Voz: 1024</v>
      </c>
      <c r="E85" s="167">
        <f xml:space="preserve"> CHOOSE(G85, M85, O85, S85,#REF!)</f>
        <v>0</v>
      </c>
      <c r="F85" s="89" t="str">
        <f t="shared" si="4"/>
        <v>Anualidad simple</v>
      </c>
      <c r="G85" s="64">
        <f t="shared" si="5"/>
        <v>2</v>
      </c>
      <c r="I85" s="89">
        <v>8</v>
      </c>
      <c r="K85" s="100">
        <v>0</v>
      </c>
      <c r="L85" s="100">
        <v>0</v>
      </c>
      <c r="M85" s="100">
        <v>0</v>
      </c>
      <c r="O85" s="100">
        <v>0</v>
      </c>
      <c r="Q85" s="55">
        <v>-2.2707645436101598E-2</v>
      </c>
      <c r="R85" s="107">
        <v>0.6339298045684586</v>
      </c>
      <c r="S85" s="100">
        <v>0</v>
      </c>
    </row>
    <row r="86" spans="3:19" outlineLevel="1" x14ac:dyDescent="0.2">
      <c r="C86" s="26" t="str">
        <v>BSC a Core punto de acceso: Datos: 8.45</v>
      </c>
      <c r="E86" s="167">
        <f xml:space="preserve"> CHOOSE(G86, M86, O86, S86,#REF!)</f>
        <v>0</v>
      </c>
      <c r="F86" s="89" t="str">
        <f t="shared" si="4"/>
        <v>Anualidad simple</v>
      </c>
      <c r="G86" s="64">
        <f t="shared" si="5"/>
        <v>2</v>
      </c>
      <c r="I86" s="89">
        <v>8</v>
      </c>
      <c r="K86" s="100">
        <v>0</v>
      </c>
      <c r="L86" s="100">
        <v>0</v>
      </c>
      <c r="M86" s="100">
        <v>0</v>
      </c>
      <c r="O86" s="100">
        <v>0</v>
      </c>
      <c r="Q86" s="55">
        <v>-2.2707645436101598E-2</v>
      </c>
      <c r="R86" s="107">
        <v>0.6339298045684586</v>
      </c>
      <c r="S86" s="100">
        <v>0</v>
      </c>
    </row>
    <row r="87" spans="3:19" outlineLevel="1" x14ac:dyDescent="0.2">
      <c r="C87" s="26" t="str">
        <v>BSC a Core punto de acceso: Datos: 34.37</v>
      </c>
      <c r="E87" s="167">
        <f xml:space="preserve"> CHOOSE(G87, M87, O87, S87,#REF!)</f>
        <v>0</v>
      </c>
      <c r="F87" s="89" t="str">
        <f t="shared" si="4"/>
        <v>Anualidad simple</v>
      </c>
      <c r="G87" s="64">
        <f t="shared" si="5"/>
        <v>2</v>
      </c>
      <c r="I87" s="89">
        <v>8</v>
      </c>
      <c r="K87" s="100">
        <v>0</v>
      </c>
      <c r="L87" s="100">
        <v>0</v>
      </c>
      <c r="M87" s="100">
        <v>0</v>
      </c>
      <c r="O87" s="100">
        <v>0</v>
      </c>
      <c r="Q87" s="55">
        <v>-2.2707645436101598E-2</v>
      </c>
      <c r="R87" s="107">
        <v>0.6339298045684586</v>
      </c>
      <c r="S87" s="100">
        <v>0</v>
      </c>
    </row>
    <row r="88" spans="3:19" outlineLevel="1" x14ac:dyDescent="0.2">
      <c r="C88" s="26" t="str">
        <v>BSC a Core punto de acceso: Datos: 155.52</v>
      </c>
      <c r="E88" s="167">
        <f xml:space="preserve"> CHOOSE(G88, M88, O88, S88,#REF!)</f>
        <v>0</v>
      </c>
      <c r="F88" s="89" t="str">
        <f t="shared" si="4"/>
        <v>Anualidad simple</v>
      </c>
      <c r="G88" s="64">
        <f t="shared" si="5"/>
        <v>2</v>
      </c>
      <c r="I88" s="89">
        <v>8</v>
      </c>
      <c r="K88" s="100">
        <v>0</v>
      </c>
      <c r="L88" s="100">
        <v>0</v>
      </c>
      <c r="M88" s="100">
        <v>0</v>
      </c>
      <c r="O88" s="100">
        <v>0</v>
      </c>
      <c r="Q88" s="55">
        <v>-2.2707645436101598E-2</v>
      </c>
      <c r="R88" s="107">
        <v>0.6339298045684586</v>
      </c>
      <c r="S88" s="100">
        <v>0</v>
      </c>
    </row>
    <row r="89" spans="3:19" outlineLevel="1" x14ac:dyDescent="0.2">
      <c r="C89" s="26" t="str">
        <v>BSC a Core punto de acceso: Datos: 30</v>
      </c>
      <c r="E89" s="167">
        <f xml:space="preserve"> CHOOSE(G89, M89, O89, S89,#REF!)</f>
        <v>0</v>
      </c>
      <c r="F89" s="89" t="str">
        <f t="shared" si="4"/>
        <v>Anualidad simple</v>
      </c>
      <c r="G89" s="64">
        <f t="shared" si="5"/>
        <v>2</v>
      </c>
      <c r="I89" s="89">
        <v>8</v>
      </c>
      <c r="K89" s="100">
        <v>0</v>
      </c>
      <c r="L89" s="100">
        <v>0</v>
      </c>
      <c r="M89" s="100">
        <v>0</v>
      </c>
      <c r="O89" s="100">
        <v>0</v>
      </c>
      <c r="Q89" s="55">
        <v>-2.2707645436101598E-2</v>
      </c>
      <c r="R89" s="107">
        <v>0.6339298045684586</v>
      </c>
      <c r="S89" s="100">
        <v>0</v>
      </c>
    </row>
    <row r="90" spans="3:19" outlineLevel="1" x14ac:dyDescent="0.2">
      <c r="C90" s="26" t="str">
        <v>BSC a Core punto de acceso: Datos: 100</v>
      </c>
      <c r="E90" s="167">
        <f xml:space="preserve"> CHOOSE(G90, M90, O90, S90,#REF!)</f>
        <v>0</v>
      </c>
      <c r="F90" s="89" t="str">
        <f t="shared" si="4"/>
        <v>Anualidad simple</v>
      </c>
      <c r="G90" s="64">
        <f t="shared" si="5"/>
        <v>2</v>
      </c>
      <c r="I90" s="89">
        <v>8</v>
      </c>
      <c r="K90" s="100">
        <v>0</v>
      </c>
      <c r="L90" s="100">
        <v>0</v>
      </c>
      <c r="M90" s="100">
        <v>0</v>
      </c>
      <c r="O90" s="100">
        <v>0</v>
      </c>
      <c r="Q90" s="55">
        <v>-2.2707645436101598E-2</v>
      </c>
      <c r="R90" s="107">
        <v>0.6339298045684586</v>
      </c>
      <c r="S90" s="100">
        <v>0</v>
      </c>
    </row>
    <row r="91" spans="3:19" outlineLevel="1" x14ac:dyDescent="0.2">
      <c r="C91" s="26" t="str">
        <v>BSC a Core punto de acceso: Datos: 1024</v>
      </c>
      <c r="E91" s="167">
        <f xml:space="preserve"> CHOOSE(G91, M91, O91, S91,#REF!)</f>
        <v>0</v>
      </c>
      <c r="F91" s="89" t="str">
        <f t="shared" si="4"/>
        <v>Anualidad simple</v>
      </c>
      <c r="G91" s="64">
        <f t="shared" si="5"/>
        <v>2</v>
      </c>
      <c r="I91" s="89">
        <v>8</v>
      </c>
      <c r="K91" s="100">
        <v>0</v>
      </c>
      <c r="L91" s="100">
        <v>0</v>
      </c>
      <c r="M91" s="100">
        <v>0</v>
      </c>
      <c r="O91" s="100">
        <v>0</v>
      </c>
      <c r="Q91" s="55">
        <v>-2.2707645436101598E-2</v>
      </c>
      <c r="R91" s="107">
        <v>0.6339298045684586</v>
      </c>
      <c r="S91" s="100">
        <v>0</v>
      </c>
    </row>
    <row r="92" spans="3:19" outlineLevel="1" x14ac:dyDescent="0.2">
      <c r="C92" s="26" t="str">
        <v>RNC a Core punto de acceso: Voz: 34.4</v>
      </c>
      <c r="E92" s="167">
        <f xml:space="preserve"> CHOOSE(G92, M92, O92, S92,#REF!)</f>
        <v>0</v>
      </c>
      <c r="F92" s="89" t="str">
        <f t="shared" si="4"/>
        <v>Anualidad simple</v>
      </c>
      <c r="G92" s="64">
        <f t="shared" si="5"/>
        <v>2</v>
      </c>
      <c r="I92" s="89">
        <v>8</v>
      </c>
      <c r="K92" s="100">
        <v>0</v>
      </c>
      <c r="L92" s="100">
        <v>0</v>
      </c>
      <c r="M92" s="100">
        <v>0</v>
      </c>
      <c r="O92" s="100">
        <v>0</v>
      </c>
      <c r="Q92" s="55">
        <v>-2.2707645436101598E-2</v>
      </c>
      <c r="R92" s="107">
        <v>0.6339298045684586</v>
      </c>
      <c r="S92" s="100">
        <v>0</v>
      </c>
    </row>
    <row r="93" spans="3:19" outlineLevel="1" x14ac:dyDescent="0.2">
      <c r="C93" s="26" t="str">
        <v>RNC a Core punto de acceso: Voz: 155.52</v>
      </c>
      <c r="E93" s="167">
        <f xml:space="preserve"> CHOOSE(G93, M93, O93, S93,#REF!)</f>
        <v>0</v>
      </c>
      <c r="F93" s="89" t="str">
        <f t="shared" si="4"/>
        <v>Anualidad simple</v>
      </c>
      <c r="G93" s="64">
        <f t="shared" si="5"/>
        <v>2</v>
      </c>
      <c r="I93" s="89">
        <v>8</v>
      </c>
      <c r="K93" s="100">
        <v>0</v>
      </c>
      <c r="L93" s="100">
        <v>0</v>
      </c>
      <c r="M93" s="100">
        <v>0</v>
      </c>
      <c r="O93" s="100">
        <v>0</v>
      </c>
      <c r="Q93" s="55">
        <v>-2.2707645436101598E-2</v>
      </c>
      <c r="R93" s="107">
        <v>0.6339298045684586</v>
      </c>
      <c r="S93" s="100">
        <v>0</v>
      </c>
    </row>
    <row r="94" spans="3:19" outlineLevel="1" x14ac:dyDescent="0.2">
      <c r="C94" s="26" t="str">
        <v>RNC a Core punto de acceso: Voz: 622.08</v>
      </c>
      <c r="E94" s="167">
        <f xml:space="preserve"> CHOOSE(G94, M94, O94, S94,#REF!)</f>
        <v>0</v>
      </c>
      <c r="F94" s="89" t="str">
        <f t="shared" si="4"/>
        <v>Anualidad simple</v>
      </c>
      <c r="G94" s="64">
        <f t="shared" si="5"/>
        <v>2</v>
      </c>
      <c r="I94" s="89">
        <v>8</v>
      </c>
      <c r="K94" s="100">
        <v>0</v>
      </c>
      <c r="L94" s="100">
        <v>0</v>
      </c>
      <c r="M94" s="100">
        <v>0</v>
      </c>
      <c r="O94" s="100">
        <v>0</v>
      </c>
      <c r="Q94" s="55">
        <v>-2.2707645436101598E-2</v>
      </c>
      <c r="R94" s="107">
        <v>0.6339298045684586</v>
      </c>
      <c r="S94" s="100">
        <v>0</v>
      </c>
    </row>
    <row r="95" spans="3:19" outlineLevel="1" x14ac:dyDescent="0.2">
      <c r="C95" s="26" t="str">
        <v>RNC a Core punto de acceso: Voz 100</v>
      </c>
      <c r="E95" s="167">
        <f xml:space="preserve"> CHOOSE(G95, M95, O95, S95,#REF!)</f>
        <v>0</v>
      </c>
      <c r="F95" s="89" t="str">
        <f t="shared" si="4"/>
        <v>Anualidad simple</v>
      </c>
      <c r="G95" s="64">
        <f t="shared" si="5"/>
        <v>2</v>
      </c>
      <c r="I95" s="89">
        <v>8</v>
      </c>
      <c r="K95" s="100">
        <v>0</v>
      </c>
      <c r="L95" s="100">
        <v>0</v>
      </c>
      <c r="M95" s="100">
        <v>0</v>
      </c>
      <c r="O95" s="100">
        <v>0</v>
      </c>
      <c r="Q95" s="55">
        <v>-2.2707645436101598E-2</v>
      </c>
      <c r="R95" s="107">
        <v>0.6339298045684586</v>
      </c>
      <c r="S95" s="100">
        <v>0</v>
      </c>
    </row>
    <row r="96" spans="3:19" outlineLevel="1" x14ac:dyDescent="0.2">
      <c r="C96" s="26" t="str">
        <v>RNC a Core punto de acceso: Voz 1024</v>
      </c>
      <c r="E96" s="167">
        <f xml:space="preserve"> CHOOSE(G96, M96, O96, S96,#REF!)</f>
        <v>0</v>
      </c>
      <c r="F96" s="89" t="str">
        <f t="shared" si="4"/>
        <v>Anualidad simple</v>
      </c>
      <c r="G96" s="64">
        <f t="shared" si="5"/>
        <v>2</v>
      </c>
      <c r="I96" s="89">
        <v>8</v>
      </c>
      <c r="K96" s="100">
        <v>0</v>
      </c>
      <c r="L96" s="100">
        <v>0</v>
      </c>
      <c r="M96" s="100">
        <v>0</v>
      </c>
      <c r="O96" s="100">
        <v>0</v>
      </c>
      <c r="Q96" s="55">
        <v>-2.2707645436101598E-2</v>
      </c>
      <c r="R96" s="107">
        <v>0.6339298045684586</v>
      </c>
      <c r="S96" s="100">
        <v>0</v>
      </c>
    </row>
    <row r="97" spans="3:19" outlineLevel="1" x14ac:dyDescent="0.2">
      <c r="C97" s="26" t="str">
        <v>RNC a Core punto de acceso: Voz 2488</v>
      </c>
      <c r="E97" s="167">
        <f xml:space="preserve"> CHOOSE(G97, M97, O97, S97,#REF!)</f>
        <v>0</v>
      </c>
      <c r="F97" s="89" t="str">
        <f t="shared" si="4"/>
        <v>Anualidad simple</v>
      </c>
      <c r="G97" s="64">
        <f t="shared" si="5"/>
        <v>2</v>
      </c>
      <c r="I97" s="89">
        <v>8</v>
      </c>
      <c r="K97" s="100">
        <v>0</v>
      </c>
      <c r="L97" s="100">
        <v>0</v>
      </c>
      <c r="M97" s="100">
        <v>0</v>
      </c>
      <c r="O97" s="100">
        <v>0</v>
      </c>
      <c r="Q97" s="55">
        <v>-2.2707645436101598E-2</v>
      </c>
      <c r="R97" s="107">
        <v>0.6339298045684586</v>
      </c>
      <c r="S97" s="100">
        <v>0</v>
      </c>
    </row>
    <row r="98" spans="3:19" outlineLevel="1" x14ac:dyDescent="0.2">
      <c r="C98" s="26" t="str">
        <v>RNC a Core punto de acceso: Datos: 34.4</v>
      </c>
      <c r="E98" s="167">
        <f xml:space="preserve"> CHOOSE(G98, M98, O98, S98,#REF!)</f>
        <v>0</v>
      </c>
      <c r="F98" s="89" t="str">
        <f t="shared" si="4"/>
        <v>Anualidad simple</v>
      </c>
      <c r="G98" s="64">
        <f t="shared" si="5"/>
        <v>2</v>
      </c>
      <c r="I98" s="89">
        <v>8</v>
      </c>
      <c r="K98" s="100">
        <v>0</v>
      </c>
      <c r="L98" s="100">
        <v>0</v>
      </c>
      <c r="M98" s="100">
        <v>0</v>
      </c>
      <c r="O98" s="100">
        <v>0</v>
      </c>
      <c r="Q98" s="55">
        <v>-2.2707645436101598E-2</v>
      </c>
      <c r="R98" s="107">
        <v>0.6339298045684586</v>
      </c>
      <c r="S98" s="100">
        <v>0</v>
      </c>
    </row>
    <row r="99" spans="3:19" outlineLevel="1" x14ac:dyDescent="0.2">
      <c r="C99" s="26" t="str">
        <v>RNC a Core punto de acceso: Datos: 155.52</v>
      </c>
      <c r="E99" s="167">
        <f xml:space="preserve"> CHOOSE(G99, M99, O99, S99,#REF!)</f>
        <v>0</v>
      </c>
      <c r="F99" s="89" t="str">
        <f t="shared" si="4"/>
        <v>Anualidad simple</v>
      </c>
      <c r="G99" s="64">
        <f t="shared" si="5"/>
        <v>2</v>
      </c>
      <c r="I99" s="89">
        <v>8</v>
      </c>
      <c r="K99" s="100">
        <v>0</v>
      </c>
      <c r="L99" s="100">
        <v>0</v>
      </c>
      <c r="M99" s="100">
        <v>0</v>
      </c>
      <c r="O99" s="100">
        <v>0</v>
      </c>
      <c r="Q99" s="55">
        <v>-2.2707645436101598E-2</v>
      </c>
      <c r="R99" s="107">
        <v>0.6339298045684586</v>
      </c>
      <c r="S99" s="100">
        <v>0</v>
      </c>
    </row>
    <row r="100" spans="3:19" outlineLevel="1" x14ac:dyDescent="0.2">
      <c r="C100" s="26" t="str">
        <v>RNC a Core punto de acceso: Datos: 622.08</v>
      </c>
      <c r="E100" s="167">
        <f xml:space="preserve"> CHOOSE(G100, M100, O100, S100,#REF!)</f>
        <v>0</v>
      </c>
      <c r="F100" s="89" t="str">
        <f t="shared" si="4"/>
        <v>Anualidad simple</v>
      </c>
      <c r="G100" s="64">
        <f t="shared" si="5"/>
        <v>2</v>
      </c>
      <c r="I100" s="89">
        <v>8</v>
      </c>
      <c r="K100" s="100">
        <v>0</v>
      </c>
      <c r="L100" s="100">
        <v>0</v>
      </c>
      <c r="M100" s="100">
        <v>0</v>
      </c>
      <c r="O100" s="100">
        <v>0</v>
      </c>
      <c r="Q100" s="55">
        <v>-2.2707645436101598E-2</v>
      </c>
      <c r="R100" s="107">
        <v>0.6339298045684586</v>
      </c>
      <c r="S100" s="100">
        <v>0</v>
      </c>
    </row>
    <row r="101" spans="3:19" outlineLevel="1" x14ac:dyDescent="0.2">
      <c r="C101" s="26" t="str">
        <v>RNC a Core punto de acceso: Datos: 100</v>
      </c>
      <c r="E101" s="167">
        <f xml:space="preserve"> CHOOSE(G101, M101, O101, S101,#REF!)</f>
        <v>0</v>
      </c>
      <c r="F101" s="89" t="str">
        <f t="shared" si="4"/>
        <v>Anualidad simple</v>
      </c>
      <c r="G101" s="64">
        <f t="shared" si="5"/>
        <v>2</v>
      </c>
      <c r="I101" s="89">
        <v>8</v>
      </c>
      <c r="K101" s="100">
        <v>0</v>
      </c>
      <c r="L101" s="100">
        <v>0</v>
      </c>
      <c r="M101" s="100">
        <v>0</v>
      </c>
      <c r="O101" s="100">
        <v>0</v>
      </c>
      <c r="Q101" s="55">
        <v>-2.2707645436101598E-2</v>
      </c>
      <c r="R101" s="107">
        <v>0.6339298045684586</v>
      </c>
      <c r="S101" s="100">
        <v>0</v>
      </c>
    </row>
    <row r="102" spans="3:19" outlineLevel="1" x14ac:dyDescent="0.2">
      <c r="C102" s="26" t="str">
        <v>RNC a Core punto de acceso: Datos: 1024</v>
      </c>
      <c r="E102" s="167">
        <f xml:space="preserve"> CHOOSE(G102, M102, O102, S102,#REF!)</f>
        <v>0</v>
      </c>
      <c r="F102" s="89" t="str">
        <f t="shared" si="4"/>
        <v>Anualidad simple</v>
      </c>
      <c r="G102" s="64">
        <f t="shared" si="5"/>
        <v>2</v>
      </c>
      <c r="I102" s="89">
        <v>8</v>
      </c>
      <c r="K102" s="100">
        <v>0</v>
      </c>
      <c r="L102" s="100">
        <v>0</v>
      </c>
      <c r="M102" s="100">
        <v>0</v>
      </c>
      <c r="O102" s="100">
        <v>0</v>
      </c>
      <c r="Q102" s="55">
        <v>-2.2707645436101598E-2</v>
      </c>
      <c r="R102" s="107">
        <v>0.6339298045684586</v>
      </c>
      <c r="S102" s="100">
        <v>0</v>
      </c>
    </row>
    <row r="103" spans="3:19" outlineLevel="1" x14ac:dyDescent="0.2">
      <c r="C103" s="26" t="str">
        <v>RNC a Core punto de acceso: Datos: 2488</v>
      </c>
      <c r="E103" s="167">
        <f xml:space="preserve"> CHOOSE(G103, M103, O103, S103,#REF!)</f>
        <v>0</v>
      </c>
      <c r="F103" s="89" t="str">
        <f t="shared" si="4"/>
        <v>Anualidad simple</v>
      </c>
      <c r="G103" s="64">
        <f t="shared" si="5"/>
        <v>2</v>
      </c>
      <c r="I103" s="89">
        <v>8</v>
      </c>
      <c r="K103" s="100">
        <v>0</v>
      </c>
      <c r="L103" s="100">
        <v>0</v>
      </c>
      <c r="M103" s="100">
        <v>0</v>
      </c>
      <c r="O103" s="100">
        <v>0</v>
      </c>
      <c r="Q103" s="55">
        <v>-2.2707645436101598E-2</v>
      </c>
      <c r="R103" s="107">
        <v>0.6339298045684586</v>
      </c>
      <c r="S103" s="100">
        <v>0</v>
      </c>
    </row>
    <row r="104" spans="3:19" outlineLevel="1" x14ac:dyDescent="0.2">
      <c r="C104" s="26" t="str">
        <v>BSC a Core líneas alquiladas: Voz: 8.45</v>
      </c>
      <c r="E104" s="167">
        <f xml:space="preserve"> CHOOSE(G104, M104, O104, S104,#REF!)</f>
        <v>0</v>
      </c>
      <c r="F104" s="89" t="str">
        <f t="shared" si="4"/>
        <v>Anualidad simple</v>
      </c>
      <c r="G104" s="64">
        <f t="shared" si="5"/>
        <v>2</v>
      </c>
      <c r="I104" s="89">
        <v>5</v>
      </c>
      <c r="K104" s="100">
        <v>0</v>
      </c>
      <c r="L104" s="100">
        <v>0</v>
      </c>
      <c r="M104" s="100">
        <v>0</v>
      </c>
      <c r="O104" s="100">
        <v>0</v>
      </c>
      <c r="Q104" s="55">
        <v>8.154218392232071E-3</v>
      </c>
      <c r="R104" s="107">
        <v>0.3766383449242624</v>
      </c>
      <c r="S104" s="100">
        <v>0</v>
      </c>
    </row>
    <row r="105" spans="3:19" outlineLevel="1" x14ac:dyDescent="0.2">
      <c r="C105" s="26" t="str">
        <v>BSC a Core líneas alquiladas: Voz: 34.37</v>
      </c>
      <c r="E105" s="167">
        <f xml:space="preserve"> CHOOSE(G105, M105, O105, S105,#REF!)</f>
        <v>0</v>
      </c>
      <c r="F105" s="89" t="str">
        <f t="shared" ref="F105:F136" si="6">CTRL.depreciation.selected</f>
        <v>Anualidad simple</v>
      </c>
      <c r="G105" s="64">
        <f t="shared" ref="G105:G136" si="7">MATCH(F105,Depreciation.methodologies,0)</f>
        <v>2</v>
      </c>
      <c r="I105" s="89">
        <v>5</v>
      </c>
      <c r="K105" s="100">
        <v>0</v>
      </c>
      <c r="L105" s="100">
        <v>0</v>
      </c>
      <c r="M105" s="100">
        <v>0</v>
      </c>
      <c r="O105" s="100">
        <v>0</v>
      </c>
      <c r="Q105" s="55">
        <v>8.154218392232071E-3</v>
      </c>
      <c r="R105" s="107">
        <v>0.3766383449242624</v>
      </c>
      <c r="S105" s="100">
        <v>0</v>
      </c>
    </row>
    <row r="106" spans="3:19" outlineLevel="1" x14ac:dyDescent="0.2">
      <c r="C106" s="26" t="str">
        <v>BSC a Core líneas alquiladas: Voz: 155.52</v>
      </c>
      <c r="E106" s="167">
        <f xml:space="preserve"> CHOOSE(G106, M106, O106, S106,#REF!)</f>
        <v>0</v>
      </c>
      <c r="F106" s="89" t="str">
        <f t="shared" si="6"/>
        <v>Anualidad simple</v>
      </c>
      <c r="G106" s="64">
        <f t="shared" si="7"/>
        <v>2</v>
      </c>
      <c r="I106" s="89">
        <v>5</v>
      </c>
      <c r="K106" s="100">
        <v>0</v>
      </c>
      <c r="L106" s="100">
        <v>0</v>
      </c>
      <c r="M106" s="100">
        <v>0</v>
      </c>
      <c r="O106" s="100">
        <v>0</v>
      </c>
      <c r="Q106" s="55">
        <v>8.154218392232071E-3</v>
      </c>
      <c r="R106" s="107">
        <v>0.3766383449242624</v>
      </c>
      <c r="S106" s="100">
        <v>0</v>
      </c>
    </row>
    <row r="107" spans="3:19" outlineLevel="1" x14ac:dyDescent="0.2">
      <c r="C107" s="105" t="str">
        <v>BSC a Core líneas alquiladas: Voz: 30</v>
      </c>
      <c r="E107" s="167">
        <f xml:space="preserve"> CHOOSE(G107, M107, O107, S107,#REF!)</f>
        <v>0</v>
      </c>
      <c r="F107" s="89" t="str">
        <f t="shared" si="6"/>
        <v>Anualidad simple</v>
      </c>
      <c r="G107" s="64">
        <f t="shared" si="7"/>
        <v>2</v>
      </c>
      <c r="I107" s="89">
        <v>5</v>
      </c>
      <c r="K107" s="100">
        <v>0</v>
      </c>
      <c r="L107" s="100">
        <v>0</v>
      </c>
      <c r="M107" s="100">
        <v>0</v>
      </c>
      <c r="O107" s="100">
        <v>0</v>
      </c>
      <c r="Q107" s="55">
        <v>8.154218392232071E-3</v>
      </c>
      <c r="R107" s="107">
        <v>0.3766383449242624</v>
      </c>
      <c r="S107" s="100">
        <v>0</v>
      </c>
    </row>
    <row r="108" spans="3:19" outlineLevel="1" x14ac:dyDescent="0.2">
      <c r="C108" s="26" t="str">
        <v>BSC a Core líneas alquiladas: Voz: 100</v>
      </c>
      <c r="E108" s="167">
        <f xml:space="preserve"> CHOOSE(G108, M108, O108, S108,#REF!)</f>
        <v>0</v>
      </c>
      <c r="F108" s="89" t="str">
        <f t="shared" si="6"/>
        <v>Anualidad simple</v>
      </c>
      <c r="G108" s="64">
        <f t="shared" si="7"/>
        <v>2</v>
      </c>
      <c r="I108" s="89">
        <v>5</v>
      </c>
      <c r="K108" s="100">
        <v>0</v>
      </c>
      <c r="L108" s="100">
        <v>0</v>
      </c>
      <c r="M108" s="100">
        <v>0</v>
      </c>
      <c r="O108" s="100">
        <v>0</v>
      </c>
      <c r="Q108" s="55">
        <v>8.154218392232071E-3</v>
      </c>
      <c r="R108" s="107">
        <v>0.3766383449242624</v>
      </c>
      <c r="S108" s="100">
        <v>0</v>
      </c>
    </row>
    <row r="109" spans="3:19" outlineLevel="1" x14ac:dyDescent="0.2">
      <c r="C109" s="26" t="str">
        <v>BSC a Core líneas alquiladas: Voz: 1024</v>
      </c>
      <c r="E109" s="167">
        <f xml:space="preserve"> CHOOSE(G109, M109, O109, S109,#REF!)</f>
        <v>0</v>
      </c>
      <c r="F109" s="89" t="str">
        <f t="shared" si="6"/>
        <v>Anualidad simple</v>
      </c>
      <c r="G109" s="64">
        <f t="shared" si="7"/>
        <v>2</v>
      </c>
      <c r="I109" s="89">
        <v>5</v>
      </c>
      <c r="K109" s="100">
        <v>0</v>
      </c>
      <c r="L109" s="100">
        <v>0</v>
      </c>
      <c r="M109" s="100">
        <v>0</v>
      </c>
      <c r="O109" s="100">
        <v>0</v>
      </c>
      <c r="Q109" s="55">
        <v>8.154218392232071E-3</v>
      </c>
      <c r="R109" s="107">
        <v>0.3766383449242624</v>
      </c>
      <c r="S109" s="100">
        <v>0</v>
      </c>
    </row>
    <row r="110" spans="3:19" outlineLevel="1" x14ac:dyDescent="0.2">
      <c r="C110" s="26" t="str">
        <v>BSC a Core líneas alquiladas: Datos: 8.45</v>
      </c>
      <c r="E110" s="167">
        <f xml:space="preserve"> CHOOSE(G110, M110, O110, S110,#REF!)</f>
        <v>0</v>
      </c>
      <c r="F110" s="89" t="str">
        <f t="shared" si="6"/>
        <v>Anualidad simple</v>
      </c>
      <c r="G110" s="64">
        <f t="shared" si="7"/>
        <v>2</v>
      </c>
      <c r="I110" s="89">
        <v>5</v>
      </c>
      <c r="K110" s="100">
        <v>0</v>
      </c>
      <c r="L110" s="100">
        <v>0</v>
      </c>
      <c r="M110" s="100">
        <v>0</v>
      </c>
      <c r="O110" s="100">
        <v>0</v>
      </c>
      <c r="Q110" s="55">
        <v>8.154218392232071E-3</v>
      </c>
      <c r="R110" s="107">
        <v>0.3766383449242624</v>
      </c>
      <c r="S110" s="100">
        <v>0</v>
      </c>
    </row>
    <row r="111" spans="3:19" outlineLevel="1" x14ac:dyDescent="0.2">
      <c r="C111" s="26" t="str">
        <v>BSC a Core líneas alquiladas: Datos: 34.37</v>
      </c>
      <c r="E111" s="167">
        <f xml:space="preserve"> CHOOSE(G111, M111, O111, S111,#REF!)</f>
        <v>0</v>
      </c>
      <c r="F111" s="89" t="str">
        <f t="shared" si="6"/>
        <v>Anualidad simple</v>
      </c>
      <c r="G111" s="64">
        <f t="shared" si="7"/>
        <v>2</v>
      </c>
      <c r="I111" s="89">
        <v>5</v>
      </c>
      <c r="K111" s="100">
        <v>0</v>
      </c>
      <c r="L111" s="100">
        <v>0</v>
      </c>
      <c r="M111" s="100">
        <v>0</v>
      </c>
      <c r="O111" s="100">
        <v>0</v>
      </c>
      <c r="Q111" s="55">
        <v>8.154218392232071E-3</v>
      </c>
      <c r="R111" s="107">
        <v>0.3766383449242624</v>
      </c>
      <c r="S111" s="100">
        <v>0</v>
      </c>
    </row>
    <row r="112" spans="3:19" outlineLevel="1" x14ac:dyDescent="0.2">
      <c r="C112" s="26" t="str">
        <v>BSC a Core líneas alquiladas: Datos: 155.52</v>
      </c>
      <c r="E112" s="167">
        <f xml:space="preserve"> CHOOSE(G112, M112, O112, S112,#REF!)</f>
        <v>0</v>
      </c>
      <c r="F112" s="89" t="str">
        <f t="shared" si="6"/>
        <v>Anualidad simple</v>
      </c>
      <c r="G112" s="64">
        <f t="shared" si="7"/>
        <v>2</v>
      </c>
      <c r="I112" s="89">
        <v>5</v>
      </c>
      <c r="K112" s="100">
        <v>0</v>
      </c>
      <c r="L112" s="100">
        <v>0</v>
      </c>
      <c r="M112" s="100">
        <v>0</v>
      </c>
      <c r="O112" s="100">
        <v>0</v>
      </c>
      <c r="Q112" s="55">
        <v>8.154218392232071E-3</v>
      </c>
      <c r="R112" s="107">
        <v>0.3766383449242624</v>
      </c>
      <c r="S112" s="100">
        <v>0</v>
      </c>
    </row>
    <row r="113" spans="3:19" outlineLevel="1" x14ac:dyDescent="0.2">
      <c r="C113" s="26" t="str">
        <v>BSC a Core líneas alquiladas: Datos: 30</v>
      </c>
      <c r="E113" s="167">
        <f xml:space="preserve"> CHOOSE(G113, M113, O113, S113,#REF!)</f>
        <v>0</v>
      </c>
      <c r="F113" s="89" t="str">
        <f t="shared" si="6"/>
        <v>Anualidad simple</v>
      </c>
      <c r="G113" s="64">
        <f t="shared" si="7"/>
        <v>2</v>
      </c>
      <c r="I113" s="89">
        <v>5</v>
      </c>
      <c r="K113" s="100">
        <v>0</v>
      </c>
      <c r="L113" s="100">
        <v>0</v>
      </c>
      <c r="M113" s="100">
        <v>0</v>
      </c>
      <c r="O113" s="100">
        <v>0</v>
      </c>
      <c r="Q113" s="55">
        <v>8.154218392232071E-3</v>
      </c>
      <c r="R113" s="107">
        <v>0.3766383449242624</v>
      </c>
      <c r="S113" s="100">
        <v>0</v>
      </c>
    </row>
    <row r="114" spans="3:19" outlineLevel="1" x14ac:dyDescent="0.2">
      <c r="C114" s="26" t="str">
        <v>BSC a Core líneas alquiladas: Datos: 100</v>
      </c>
      <c r="E114" s="167">
        <f xml:space="preserve"> CHOOSE(G114, M114, O114, S114,#REF!)</f>
        <v>0</v>
      </c>
      <c r="F114" s="89" t="str">
        <f t="shared" si="6"/>
        <v>Anualidad simple</v>
      </c>
      <c r="G114" s="64">
        <f t="shared" si="7"/>
        <v>2</v>
      </c>
      <c r="I114" s="89">
        <v>5</v>
      </c>
      <c r="K114" s="100">
        <v>0</v>
      </c>
      <c r="L114" s="100">
        <v>0</v>
      </c>
      <c r="M114" s="100">
        <v>0</v>
      </c>
      <c r="O114" s="100">
        <v>0</v>
      </c>
      <c r="Q114" s="55">
        <v>8.154218392232071E-3</v>
      </c>
      <c r="R114" s="107">
        <v>0.3766383449242624</v>
      </c>
      <c r="S114" s="100">
        <v>0</v>
      </c>
    </row>
    <row r="115" spans="3:19" outlineLevel="1" x14ac:dyDescent="0.2">
      <c r="C115" s="26" t="str">
        <v>BSC a Core líneas alquiladas: Datos: 1024</v>
      </c>
      <c r="E115" s="167">
        <f xml:space="preserve"> CHOOSE(G115, M115, O115, S115,#REF!)</f>
        <v>0</v>
      </c>
      <c r="F115" s="89" t="str">
        <f t="shared" si="6"/>
        <v>Anualidad simple</v>
      </c>
      <c r="G115" s="64">
        <f t="shared" si="7"/>
        <v>2</v>
      </c>
      <c r="I115" s="89">
        <v>5</v>
      </c>
      <c r="K115" s="100">
        <v>0</v>
      </c>
      <c r="L115" s="100">
        <v>0</v>
      </c>
      <c r="M115" s="100">
        <v>0</v>
      </c>
      <c r="O115" s="100">
        <v>0</v>
      </c>
      <c r="Q115" s="55">
        <v>8.154218392232071E-3</v>
      </c>
      <c r="R115" s="107">
        <v>0.3766383449242624</v>
      </c>
      <c r="S115" s="100">
        <v>0</v>
      </c>
    </row>
    <row r="116" spans="3:19" outlineLevel="1" x14ac:dyDescent="0.2">
      <c r="C116" s="26" t="str">
        <v>RNC a Core líneas alquiladas: Voz: 34.4</v>
      </c>
      <c r="E116" s="167">
        <f xml:space="preserve"> CHOOSE(G116, M116, O116, S116,#REF!)</f>
        <v>0</v>
      </c>
      <c r="F116" s="89" t="str">
        <f t="shared" si="6"/>
        <v>Anualidad simple</v>
      </c>
      <c r="G116" s="64">
        <f t="shared" si="7"/>
        <v>2</v>
      </c>
      <c r="I116" s="89">
        <v>5</v>
      </c>
      <c r="K116" s="100">
        <v>0</v>
      </c>
      <c r="L116" s="100">
        <v>0</v>
      </c>
      <c r="M116" s="100">
        <v>0</v>
      </c>
      <c r="O116" s="100">
        <v>0</v>
      </c>
      <c r="Q116" s="55">
        <v>8.154218392232071E-3</v>
      </c>
      <c r="R116" s="107">
        <v>0.3766383449242624</v>
      </c>
      <c r="S116" s="100">
        <v>0</v>
      </c>
    </row>
    <row r="117" spans="3:19" outlineLevel="1" x14ac:dyDescent="0.2">
      <c r="C117" s="26" t="str">
        <v>RNC a Core líneas alquiladas: Voz: 155.52</v>
      </c>
      <c r="E117" s="167">
        <f xml:space="preserve"> CHOOSE(G117, M117, O117, S117,#REF!)</f>
        <v>0</v>
      </c>
      <c r="F117" s="89" t="str">
        <f t="shared" si="6"/>
        <v>Anualidad simple</v>
      </c>
      <c r="G117" s="64">
        <f t="shared" si="7"/>
        <v>2</v>
      </c>
      <c r="I117" s="89">
        <v>5</v>
      </c>
      <c r="K117" s="100">
        <v>0</v>
      </c>
      <c r="L117" s="100">
        <v>0</v>
      </c>
      <c r="M117" s="100">
        <v>0</v>
      </c>
      <c r="O117" s="100">
        <v>0</v>
      </c>
      <c r="Q117" s="55">
        <v>8.154218392232071E-3</v>
      </c>
      <c r="R117" s="107">
        <v>0.3766383449242624</v>
      </c>
      <c r="S117" s="100">
        <v>0</v>
      </c>
    </row>
    <row r="118" spans="3:19" outlineLevel="1" x14ac:dyDescent="0.2">
      <c r="C118" s="26" t="str">
        <v>RNC a Core líneas alquiladas: Voz: 622.08</v>
      </c>
      <c r="E118" s="167">
        <f xml:space="preserve"> CHOOSE(G118, M118, O118, S118,#REF!)</f>
        <v>0</v>
      </c>
      <c r="F118" s="89" t="str">
        <f t="shared" si="6"/>
        <v>Anualidad simple</v>
      </c>
      <c r="G118" s="64">
        <f t="shared" si="7"/>
        <v>2</v>
      </c>
      <c r="I118" s="89">
        <v>5</v>
      </c>
      <c r="K118" s="100">
        <v>0</v>
      </c>
      <c r="L118" s="100">
        <v>0</v>
      </c>
      <c r="M118" s="100">
        <v>0</v>
      </c>
      <c r="O118" s="100">
        <v>0</v>
      </c>
      <c r="Q118" s="55">
        <v>8.154218392232071E-3</v>
      </c>
      <c r="R118" s="107">
        <v>0.3766383449242624</v>
      </c>
      <c r="S118" s="100">
        <v>0</v>
      </c>
    </row>
    <row r="119" spans="3:19" outlineLevel="1" x14ac:dyDescent="0.2">
      <c r="C119" s="26" t="str">
        <v>RNC a Core líneas alquiladas: Voz: 100</v>
      </c>
      <c r="E119" s="167">
        <f xml:space="preserve"> CHOOSE(G119, M119, O119, S119,#REF!)</f>
        <v>0</v>
      </c>
      <c r="F119" s="89" t="str">
        <f t="shared" si="6"/>
        <v>Anualidad simple</v>
      </c>
      <c r="G119" s="64">
        <f t="shared" si="7"/>
        <v>2</v>
      </c>
      <c r="I119" s="89">
        <v>5</v>
      </c>
      <c r="K119" s="100">
        <v>0</v>
      </c>
      <c r="L119" s="100">
        <v>0</v>
      </c>
      <c r="M119" s="100">
        <v>0</v>
      </c>
      <c r="O119" s="100">
        <v>0</v>
      </c>
      <c r="Q119" s="55">
        <v>8.154218392232071E-3</v>
      </c>
      <c r="R119" s="107">
        <v>0.3766383449242624</v>
      </c>
      <c r="S119" s="100">
        <v>0</v>
      </c>
    </row>
    <row r="120" spans="3:19" outlineLevel="1" x14ac:dyDescent="0.2">
      <c r="C120" s="26" t="str">
        <v>RNC a Core líneas alquiladas: Voz: 1024</v>
      </c>
      <c r="E120" s="167">
        <f xml:space="preserve"> CHOOSE(G120, M120, O120, S120,#REF!)</f>
        <v>0</v>
      </c>
      <c r="F120" s="89" t="str">
        <f t="shared" si="6"/>
        <v>Anualidad simple</v>
      </c>
      <c r="G120" s="64">
        <f t="shared" si="7"/>
        <v>2</v>
      </c>
      <c r="I120" s="89">
        <v>5</v>
      </c>
      <c r="K120" s="100">
        <v>0</v>
      </c>
      <c r="L120" s="100">
        <v>0</v>
      </c>
      <c r="M120" s="100">
        <v>0</v>
      </c>
      <c r="O120" s="100">
        <v>0</v>
      </c>
      <c r="Q120" s="55">
        <v>8.154218392232071E-3</v>
      </c>
      <c r="R120" s="107">
        <v>0.3766383449242624</v>
      </c>
      <c r="S120" s="100">
        <v>0</v>
      </c>
    </row>
    <row r="121" spans="3:19" outlineLevel="1" x14ac:dyDescent="0.2">
      <c r="C121" s="26" t="str">
        <v>RNC a Core líneas alquiladas: Voz: 2488</v>
      </c>
      <c r="E121" s="167">
        <f xml:space="preserve"> CHOOSE(G121, M121, O121, S121,#REF!)</f>
        <v>0</v>
      </c>
      <c r="F121" s="89" t="str">
        <f t="shared" si="6"/>
        <v>Anualidad simple</v>
      </c>
      <c r="G121" s="64">
        <f t="shared" si="7"/>
        <v>2</v>
      </c>
      <c r="I121" s="89">
        <v>5</v>
      </c>
      <c r="K121" s="100">
        <v>0</v>
      </c>
      <c r="L121" s="100">
        <v>0</v>
      </c>
      <c r="M121" s="100">
        <v>0</v>
      </c>
      <c r="O121" s="100">
        <v>0</v>
      </c>
      <c r="Q121" s="55">
        <v>8.154218392232071E-3</v>
      </c>
      <c r="R121" s="107">
        <v>0.3766383449242624</v>
      </c>
      <c r="S121" s="100">
        <v>0</v>
      </c>
    </row>
    <row r="122" spans="3:19" outlineLevel="1" x14ac:dyDescent="0.2">
      <c r="C122" s="26" t="str">
        <v>RNC a Core líneas alquiladas: Datos: 34.4</v>
      </c>
      <c r="E122" s="167">
        <f xml:space="preserve"> CHOOSE(G122, M122, O122, S122,#REF!)</f>
        <v>0</v>
      </c>
      <c r="F122" s="89" t="str">
        <f t="shared" si="6"/>
        <v>Anualidad simple</v>
      </c>
      <c r="G122" s="64">
        <f t="shared" si="7"/>
        <v>2</v>
      </c>
      <c r="I122" s="89">
        <v>5</v>
      </c>
      <c r="K122" s="100">
        <v>0</v>
      </c>
      <c r="L122" s="100">
        <v>0</v>
      </c>
      <c r="M122" s="100">
        <v>0</v>
      </c>
      <c r="O122" s="100">
        <v>0</v>
      </c>
      <c r="Q122" s="55">
        <v>8.154218392232071E-3</v>
      </c>
      <c r="R122" s="107">
        <v>0.3766383449242624</v>
      </c>
      <c r="S122" s="100">
        <v>0</v>
      </c>
    </row>
    <row r="123" spans="3:19" outlineLevel="1" x14ac:dyDescent="0.2">
      <c r="C123" s="26" t="str">
        <v>RNC a Core líneas alquiladas: Datos: 155.52</v>
      </c>
      <c r="E123" s="167">
        <f xml:space="preserve"> CHOOSE(G123, M123, O123, S123,#REF!)</f>
        <v>0</v>
      </c>
      <c r="F123" s="89" t="str">
        <f t="shared" si="6"/>
        <v>Anualidad simple</v>
      </c>
      <c r="G123" s="64">
        <f t="shared" si="7"/>
        <v>2</v>
      </c>
      <c r="I123" s="89">
        <v>5</v>
      </c>
      <c r="K123" s="100">
        <v>0</v>
      </c>
      <c r="L123" s="100">
        <v>0</v>
      </c>
      <c r="M123" s="100">
        <v>0</v>
      </c>
      <c r="O123" s="100">
        <v>0</v>
      </c>
      <c r="Q123" s="55">
        <v>8.154218392232071E-3</v>
      </c>
      <c r="R123" s="107">
        <v>0.3766383449242624</v>
      </c>
      <c r="S123" s="100">
        <v>0</v>
      </c>
    </row>
    <row r="124" spans="3:19" outlineLevel="1" x14ac:dyDescent="0.2">
      <c r="C124" s="26" t="str">
        <v>RNC a Core líneas alquiladas: Datos: 622.08</v>
      </c>
      <c r="E124" s="167">
        <f xml:space="preserve"> CHOOSE(G124, M124, O124, S124,#REF!)</f>
        <v>0</v>
      </c>
      <c r="F124" s="89" t="str">
        <f t="shared" si="6"/>
        <v>Anualidad simple</v>
      </c>
      <c r="G124" s="64">
        <f t="shared" si="7"/>
        <v>2</v>
      </c>
      <c r="I124" s="89">
        <v>5</v>
      </c>
      <c r="K124" s="100">
        <v>0</v>
      </c>
      <c r="L124" s="100">
        <v>0</v>
      </c>
      <c r="M124" s="100">
        <v>0</v>
      </c>
      <c r="O124" s="100">
        <v>0</v>
      </c>
      <c r="Q124" s="55">
        <v>8.154218392232071E-3</v>
      </c>
      <c r="R124" s="107">
        <v>0.3766383449242624</v>
      </c>
      <c r="S124" s="100">
        <v>0</v>
      </c>
    </row>
    <row r="125" spans="3:19" outlineLevel="1" x14ac:dyDescent="0.2">
      <c r="C125" s="26" t="str">
        <v>RNC a Core líneas alquiladas: Datos: 100</v>
      </c>
      <c r="E125" s="167">
        <f xml:space="preserve"> CHOOSE(G125, M125, O125, S125,#REF!)</f>
        <v>0</v>
      </c>
      <c r="F125" s="89" t="str">
        <f t="shared" si="6"/>
        <v>Anualidad simple</v>
      </c>
      <c r="G125" s="64">
        <f t="shared" si="7"/>
        <v>2</v>
      </c>
      <c r="I125" s="89">
        <v>5</v>
      </c>
      <c r="K125" s="100">
        <v>0</v>
      </c>
      <c r="L125" s="100">
        <v>0</v>
      </c>
      <c r="M125" s="100">
        <v>0</v>
      </c>
      <c r="O125" s="100">
        <v>0</v>
      </c>
      <c r="Q125" s="55">
        <v>8.154218392232071E-3</v>
      </c>
      <c r="R125" s="107">
        <v>0.3766383449242624</v>
      </c>
      <c r="S125" s="100">
        <v>0</v>
      </c>
    </row>
    <row r="126" spans="3:19" outlineLevel="1" x14ac:dyDescent="0.2">
      <c r="C126" s="26" t="str">
        <v>RNC a Core líneas alquiladas: Datos: 1024</v>
      </c>
      <c r="E126" s="167">
        <f xml:space="preserve"> CHOOSE(G126, M126, O126, S126,#REF!)</f>
        <v>0</v>
      </c>
      <c r="F126" s="89" t="str">
        <f t="shared" si="6"/>
        <v>Anualidad simple</v>
      </c>
      <c r="G126" s="64">
        <f t="shared" si="7"/>
        <v>2</v>
      </c>
      <c r="I126" s="89">
        <v>5</v>
      </c>
      <c r="K126" s="100">
        <v>0</v>
      </c>
      <c r="L126" s="100">
        <v>0</v>
      </c>
      <c r="M126" s="100">
        <v>0</v>
      </c>
      <c r="O126" s="100">
        <v>0</v>
      </c>
      <c r="Q126" s="55">
        <v>8.154218392232071E-3</v>
      </c>
      <c r="R126" s="107">
        <v>0.3766383449242624</v>
      </c>
      <c r="S126" s="100">
        <v>0</v>
      </c>
    </row>
    <row r="127" spans="3:19" outlineLevel="1" x14ac:dyDescent="0.2">
      <c r="C127" s="26" t="str">
        <v>RNC a Core líneas alquiladas: Datos: 2488</v>
      </c>
      <c r="E127" s="167">
        <f xml:space="preserve"> CHOOSE(G127, M127, O127, S127,#REF!)</f>
        <v>0</v>
      </c>
      <c r="F127" s="89" t="str">
        <f t="shared" si="6"/>
        <v>Anualidad simple</v>
      </c>
      <c r="G127" s="64">
        <f t="shared" si="7"/>
        <v>2</v>
      </c>
      <c r="I127" s="89">
        <v>5</v>
      </c>
      <c r="K127" s="100">
        <v>0</v>
      </c>
      <c r="L127" s="100">
        <v>0</v>
      </c>
      <c r="M127" s="100">
        <v>0</v>
      </c>
      <c r="O127" s="100">
        <v>0</v>
      </c>
      <c r="Q127" s="55">
        <v>8.154218392232071E-3</v>
      </c>
      <c r="R127" s="107">
        <v>0.3766383449242624</v>
      </c>
      <c r="S127" s="100">
        <v>0</v>
      </c>
    </row>
    <row r="128" spans="3:19" outlineLevel="1" x14ac:dyDescent="0.2">
      <c r="C128" s="26" t="str">
        <v>Core a core: líneas alquiladas, TDM:  155</v>
      </c>
      <c r="E128" s="167">
        <f xml:space="preserve"> CHOOSE(G128, M128, O128, S128,#REF!)</f>
        <v>0</v>
      </c>
      <c r="F128" s="89" t="str">
        <f t="shared" si="6"/>
        <v>Anualidad simple</v>
      </c>
      <c r="G128" s="64">
        <f t="shared" si="7"/>
        <v>2</v>
      </c>
      <c r="I128" s="89">
        <v>5</v>
      </c>
      <c r="K128" s="100">
        <v>0</v>
      </c>
      <c r="L128" s="100">
        <v>0</v>
      </c>
      <c r="M128" s="100">
        <v>0</v>
      </c>
      <c r="O128" s="100">
        <v>0</v>
      </c>
      <c r="Q128" s="55">
        <v>8.154218392232071E-3</v>
      </c>
      <c r="R128" s="107">
        <v>0.3766383449242624</v>
      </c>
      <c r="S128" s="100">
        <v>0</v>
      </c>
    </row>
    <row r="129" spans="3:19" outlineLevel="1" x14ac:dyDescent="0.2">
      <c r="C129" s="26" t="str">
        <v>Core a core: líneas alquiladas, TDM:  622</v>
      </c>
      <c r="E129" s="167">
        <f xml:space="preserve"> CHOOSE(G129, M129, O129, S129,#REF!)</f>
        <v>0</v>
      </c>
      <c r="F129" s="89" t="str">
        <f t="shared" si="6"/>
        <v>Anualidad simple</v>
      </c>
      <c r="G129" s="64">
        <f t="shared" si="7"/>
        <v>2</v>
      </c>
      <c r="I129" s="89">
        <v>5</v>
      </c>
      <c r="K129" s="100">
        <v>0</v>
      </c>
      <c r="L129" s="100">
        <v>0</v>
      </c>
      <c r="M129" s="100">
        <v>0</v>
      </c>
      <c r="O129" s="100">
        <v>0</v>
      </c>
      <c r="Q129" s="55">
        <v>8.154218392232071E-3</v>
      </c>
      <c r="R129" s="107">
        <v>0.3766383449242624</v>
      </c>
      <c r="S129" s="100">
        <v>0</v>
      </c>
    </row>
    <row r="130" spans="3:19" outlineLevel="1" x14ac:dyDescent="0.2">
      <c r="C130" s="26" t="str">
        <v>Core a core: líneas alquiladas, TDM:  2488</v>
      </c>
      <c r="E130" s="167">
        <f xml:space="preserve"> CHOOSE(G130, M130, O130, S130,#REF!)</f>
        <v>0</v>
      </c>
      <c r="F130" s="89" t="str">
        <f t="shared" si="6"/>
        <v>Anualidad simple</v>
      </c>
      <c r="G130" s="64">
        <f t="shared" si="7"/>
        <v>2</v>
      </c>
      <c r="I130" s="89">
        <v>5</v>
      </c>
      <c r="K130" s="100">
        <v>0</v>
      </c>
      <c r="L130" s="100">
        <v>0</v>
      </c>
      <c r="M130" s="100">
        <v>0</v>
      </c>
      <c r="O130" s="100">
        <v>0</v>
      </c>
      <c r="Q130" s="55">
        <v>8.154218392232071E-3</v>
      </c>
      <c r="R130" s="107">
        <v>0.3766383449242624</v>
      </c>
      <c r="S130" s="100">
        <v>0</v>
      </c>
    </row>
    <row r="131" spans="3:19" outlineLevel="1" x14ac:dyDescent="0.2">
      <c r="C131" s="26" t="str">
        <v>Core a core: líneas alquiladas, Ethernet:  1000</v>
      </c>
      <c r="E131" s="167">
        <f xml:space="preserve"> CHOOSE(G131, M131, O131, S131,#REF!)</f>
        <v>0</v>
      </c>
      <c r="F131" s="89" t="str">
        <f t="shared" si="6"/>
        <v>Anualidad simple</v>
      </c>
      <c r="G131" s="64">
        <f t="shared" si="7"/>
        <v>2</v>
      </c>
      <c r="I131" s="89">
        <v>5</v>
      </c>
      <c r="K131" s="100">
        <v>0</v>
      </c>
      <c r="L131" s="100">
        <v>0</v>
      </c>
      <c r="M131" s="100">
        <v>0</v>
      </c>
      <c r="O131" s="100">
        <v>0</v>
      </c>
      <c r="Q131" s="55">
        <v>8.154218392232071E-3</v>
      </c>
      <c r="R131" s="107">
        <v>0.3766383449242624</v>
      </c>
      <c r="S131" s="100">
        <v>0</v>
      </c>
    </row>
    <row r="132" spans="3:19" outlineLevel="1" x14ac:dyDescent="0.2">
      <c r="C132" s="105" t="str">
        <v>Core a core: líneas alquiladas, Ethernet:  2500</v>
      </c>
      <c r="E132" s="167">
        <f xml:space="preserve"> CHOOSE(G132, M132, O132, S132,#REF!)</f>
        <v>0</v>
      </c>
      <c r="F132" s="89" t="str">
        <f t="shared" si="6"/>
        <v>Anualidad simple</v>
      </c>
      <c r="G132" s="64">
        <f t="shared" si="7"/>
        <v>2</v>
      </c>
      <c r="I132" s="89">
        <v>5</v>
      </c>
      <c r="K132" s="100">
        <v>0</v>
      </c>
      <c r="L132" s="100">
        <v>0</v>
      </c>
      <c r="M132" s="100">
        <v>0</v>
      </c>
      <c r="O132" s="100">
        <v>0</v>
      </c>
      <c r="Q132" s="55">
        <v>8.154218392232071E-3</v>
      </c>
      <c r="R132" s="107">
        <v>0.3766383449242624</v>
      </c>
      <c r="S132" s="100">
        <v>0</v>
      </c>
    </row>
    <row r="133" spans="3:19" outlineLevel="1" x14ac:dyDescent="0.2">
      <c r="C133" s="26" t="str">
        <v>Core a core: líneas alquiladas, Ethernet:  10000</v>
      </c>
      <c r="E133" s="167">
        <f xml:space="preserve"> CHOOSE(G133, M133, O133, S133,#REF!)</f>
        <v>0</v>
      </c>
      <c r="F133" s="89" t="str">
        <f t="shared" si="6"/>
        <v>Anualidad simple</v>
      </c>
      <c r="G133" s="64">
        <f t="shared" si="7"/>
        <v>2</v>
      </c>
      <c r="I133" s="89">
        <v>5</v>
      </c>
      <c r="K133" s="100">
        <v>0</v>
      </c>
      <c r="L133" s="100">
        <v>0</v>
      </c>
      <c r="M133" s="100">
        <v>0</v>
      </c>
      <c r="O133" s="100">
        <v>0</v>
      </c>
      <c r="Q133" s="55">
        <v>8.154218392232071E-3</v>
      </c>
      <c r="R133" s="107">
        <v>0.3766383449242624</v>
      </c>
      <c r="S133" s="100">
        <v>0</v>
      </c>
    </row>
    <row r="134" spans="3:19" outlineLevel="1" x14ac:dyDescent="0.2">
      <c r="C134" s="26" t="str">
        <v>Anillo core, puntos de acceso (ADM/multiplexadores): 155</v>
      </c>
      <c r="E134" s="167">
        <f xml:space="preserve"> CHOOSE(G134, M134, O134, S134,#REF!)</f>
        <v>0</v>
      </c>
      <c r="F134" s="89" t="str">
        <f t="shared" si="6"/>
        <v>Anualidad simple</v>
      </c>
      <c r="G134" s="64">
        <f t="shared" si="7"/>
        <v>2</v>
      </c>
      <c r="I134" s="89">
        <v>8</v>
      </c>
      <c r="K134" s="100">
        <v>0</v>
      </c>
      <c r="L134" s="100">
        <v>0</v>
      </c>
      <c r="M134" s="100">
        <v>0</v>
      </c>
      <c r="O134" s="100">
        <v>0</v>
      </c>
      <c r="Q134" s="55">
        <v>-2.2707645436101598E-2</v>
      </c>
      <c r="R134" s="107">
        <v>0.6339298045684586</v>
      </c>
      <c r="S134" s="100">
        <v>0</v>
      </c>
    </row>
    <row r="135" spans="3:19" outlineLevel="1" x14ac:dyDescent="0.2">
      <c r="C135" s="26" t="str">
        <v>Anillo core, puntos de acceso (ADM/multiplexadores): 622</v>
      </c>
      <c r="E135" s="167">
        <f xml:space="preserve"> CHOOSE(G135, M135, O135, S135,#REF!)</f>
        <v>0</v>
      </c>
      <c r="F135" s="89" t="str">
        <f t="shared" si="6"/>
        <v>Anualidad simple</v>
      </c>
      <c r="G135" s="64">
        <f t="shared" si="7"/>
        <v>2</v>
      </c>
      <c r="I135" s="89">
        <v>8</v>
      </c>
      <c r="K135" s="100">
        <v>0</v>
      </c>
      <c r="L135" s="100">
        <v>0</v>
      </c>
      <c r="M135" s="100">
        <v>0</v>
      </c>
      <c r="O135" s="100">
        <v>0</v>
      </c>
      <c r="Q135" s="55">
        <v>-2.2707645436101598E-2</v>
      </c>
      <c r="R135" s="107">
        <v>0.6339298045684586</v>
      </c>
      <c r="S135" s="100">
        <v>0</v>
      </c>
    </row>
    <row r="136" spans="3:19" outlineLevel="1" x14ac:dyDescent="0.2">
      <c r="C136" s="26" t="str">
        <v>Anillo core, puntos de acceso (ADM/multiplexadores): 2488</v>
      </c>
      <c r="E136" s="167">
        <f xml:space="preserve"> CHOOSE(G136, M136, O136, S136,#REF!)</f>
        <v>0</v>
      </c>
      <c r="F136" s="89" t="str">
        <f t="shared" si="6"/>
        <v>Anualidad simple</v>
      </c>
      <c r="G136" s="64">
        <f t="shared" si="7"/>
        <v>2</v>
      </c>
      <c r="I136" s="89">
        <v>8</v>
      </c>
      <c r="K136" s="100">
        <v>0</v>
      </c>
      <c r="L136" s="100">
        <v>0</v>
      </c>
      <c r="M136" s="100">
        <v>0</v>
      </c>
      <c r="O136" s="100">
        <v>0</v>
      </c>
      <c r="Q136" s="55">
        <v>-2.2707645436101598E-2</v>
      </c>
      <c r="R136" s="107">
        <v>0.6339298045684586</v>
      </c>
      <c r="S136" s="100">
        <v>0</v>
      </c>
    </row>
    <row r="137" spans="3:19" outlineLevel="1" x14ac:dyDescent="0.2">
      <c r="C137" s="26" t="str">
        <v>Anillo core, puntos de acceso (ADM/multiplexadores): 9952</v>
      </c>
      <c r="E137" s="167">
        <f xml:space="preserve"> CHOOSE(G137, M137, O137, S137,#REF!)</f>
        <v>0</v>
      </c>
      <c r="F137" s="89" t="str">
        <f t="shared" ref="F137:F168" si="8">CTRL.depreciation.selected</f>
        <v>Anualidad simple</v>
      </c>
      <c r="G137" s="64">
        <f t="shared" ref="G137:G168" si="9">MATCH(F137,Depreciation.methodologies,0)</f>
        <v>2</v>
      </c>
      <c r="I137" s="89">
        <v>8</v>
      </c>
      <c r="K137" s="100">
        <v>0</v>
      </c>
      <c r="L137" s="100">
        <v>0</v>
      </c>
      <c r="M137" s="100">
        <v>0</v>
      </c>
      <c r="O137" s="100">
        <v>0</v>
      </c>
      <c r="Q137" s="55">
        <v>-2.2707645436101598E-2</v>
      </c>
      <c r="R137" s="107">
        <v>0.6339298045684586</v>
      </c>
      <c r="S137" s="100">
        <v>0</v>
      </c>
    </row>
    <row r="138" spans="3:19" outlineLevel="1" x14ac:dyDescent="0.2">
      <c r="C138" s="26" t="str">
        <v>Anillo core, puntos de acceso (ADM/multiplexadores): 1000</v>
      </c>
      <c r="E138" s="167">
        <f xml:space="preserve"> CHOOSE(G138, M138, O138, S138,#REF!)</f>
        <v>0</v>
      </c>
      <c r="F138" s="89" t="str">
        <f t="shared" si="8"/>
        <v>Anualidad simple</v>
      </c>
      <c r="G138" s="64">
        <f t="shared" si="9"/>
        <v>2</v>
      </c>
      <c r="I138" s="89">
        <v>8</v>
      </c>
      <c r="K138" s="100">
        <v>0</v>
      </c>
      <c r="L138" s="100">
        <v>0</v>
      </c>
      <c r="M138" s="100">
        <v>0</v>
      </c>
      <c r="O138" s="100">
        <v>0</v>
      </c>
      <c r="Q138" s="55">
        <v>-2.2707645436101598E-2</v>
      </c>
      <c r="R138" s="107">
        <v>0.6339298045684586</v>
      </c>
      <c r="S138" s="100">
        <v>0</v>
      </c>
    </row>
    <row r="139" spans="3:19" outlineLevel="1" x14ac:dyDescent="0.2">
      <c r="C139" s="105" t="str">
        <v>Anillo core, puntos de acceso (ADM/multiplexadores): 2500</v>
      </c>
      <c r="E139" s="167">
        <f xml:space="preserve"> CHOOSE(G139, M139, O139, S139,#REF!)</f>
        <v>0</v>
      </c>
      <c r="F139" s="89" t="str">
        <f t="shared" si="8"/>
        <v>Anualidad simple</v>
      </c>
      <c r="G139" s="64">
        <f t="shared" si="9"/>
        <v>2</v>
      </c>
      <c r="I139" s="89">
        <v>8</v>
      </c>
      <c r="K139" s="100">
        <v>0</v>
      </c>
      <c r="L139" s="100">
        <v>0</v>
      </c>
      <c r="M139" s="100">
        <v>0</v>
      </c>
      <c r="O139" s="100">
        <v>0</v>
      </c>
      <c r="Q139" s="55">
        <v>-2.2707645436101598E-2</v>
      </c>
      <c r="R139" s="107">
        <v>0.6339298045684586</v>
      </c>
      <c r="S139" s="100">
        <v>0</v>
      </c>
    </row>
    <row r="140" spans="3:19" outlineLevel="1" x14ac:dyDescent="0.2">
      <c r="C140" s="26" t="str">
        <v>Anillo core, puntos de acceso (ADM/multiplexadores): 10000</v>
      </c>
      <c r="E140" s="167">
        <f xml:space="preserve"> CHOOSE(G140, M140, O140, S140,#REF!)</f>
        <v>0</v>
      </c>
      <c r="F140" s="89" t="str">
        <f t="shared" si="8"/>
        <v>Anualidad simple</v>
      </c>
      <c r="G140" s="64">
        <f t="shared" si="9"/>
        <v>2</v>
      </c>
      <c r="I140" s="89">
        <v>8</v>
      </c>
      <c r="K140" s="100">
        <v>0</v>
      </c>
      <c r="L140" s="100">
        <v>0</v>
      </c>
      <c r="M140" s="100">
        <v>0</v>
      </c>
      <c r="O140" s="100">
        <v>0</v>
      </c>
      <c r="Q140" s="55">
        <v>-2.2707645436101598E-2</v>
      </c>
      <c r="R140" s="107">
        <v>0.6339298045684586</v>
      </c>
      <c r="S140" s="100">
        <v>0</v>
      </c>
    </row>
    <row r="141" spans="3:19" outlineLevel="1" x14ac:dyDescent="0.2">
      <c r="C141" s="26" t="str">
        <v>Anillo core, puntos de acceso (ADM/multiplexadores): 40000</v>
      </c>
      <c r="E141" s="167">
        <f xml:space="preserve"> CHOOSE(G141, M141, O141, S141,#REF!)</f>
        <v>41689.355549956999</v>
      </c>
      <c r="F141" s="89" t="str">
        <f t="shared" si="8"/>
        <v>Anualidad simple</v>
      </c>
      <c r="G141" s="64">
        <f t="shared" si="9"/>
        <v>2</v>
      </c>
      <c r="I141" s="89">
        <v>8</v>
      </c>
      <c r="K141" s="100">
        <v>27000</v>
      </c>
      <c r="L141" s="100">
        <v>11674.8</v>
      </c>
      <c r="M141" s="100">
        <v>38674.800000000003</v>
      </c>
      <c r="O141" s="100">
        <v>41689.355549956999</v>
      </c>
      <c r="Q141" s="55">
        <v>-2.2707645436101598E-2</v>
      </c>
      <c r="R141" s="107">
        <v>0.6339298045684586</v>
      </c>
      <c r="S141" s="100">
        <v>44570.315531120803</v>
      </c>
    </row>
    <row r="142" spans="3:19" outlineLevel="1" x14ac:dyDescent="0.2">
      <c r="C142" s="26" t="str">
        <v>Fibra en la red core (km)</v>
      </c>
      <c r="E142" s="167">
        <f xml:space="preserve"> CHOOSE(G142, M142, O142, S142,#REF!)</f>
        <v>14942668.337054271</v>
      </c>
      <c r="F142" s="89" t="str">
        <f t="shared" si="8"/>
        <v>Anualidad simple</v>
      </c>
      <c r="G142" s="64">
        <f t="shared" si="9"/>
        <v>2</v>
      </c>
      <c r="I142" s="89">
        <v>20</v>
      </c>
      <c r="K142" s="100">
        <v>6024360</v>
      </c>
      <c r="L142" s="100">
        <v>6512333.1600000001</v>
      </c>
      <c r="M142" s="100">
        <v>12536693.16</v>
      </c>
      <c r="O142" s="100">
        <v>14942668.337054271</v>
      </c>
      <c r="Q142" s="55">
        <v>3.9016082220565629E-2</v>
      </c>
      <c r="R142" s="107">
        <v>0.72402718876068883</v>
      </c>
      <c r="S142" s="100">
        <v>11496429.895846756</v>
      </c>
    </row>
    <row r="143" spans="3:19" outlineLevel="1" x14ac:dyDescent="0.2">
      <c r="C143" s="26" t="str">
        <v>Salto MW core a core</v>
      </c>
      <c r="E143" s="167">
        <f xml:space="preserve"> CHOOSE(G143, M143, O143, S143,#REF!)</f>
        <v>154405.0205553963</v>
      </c>
      <c r="F143" s="89" t="str">
        <f t="shared" si="8"/>
        <v>Anualidad simple</v>
      </c>
      <c r="G143" s="64">
        <f t="shared" si="9"/>
        <v>2</v>
      </c>
      <c r="I143" s="89">
        <v>8</v>
      </c>
      <c r="K143" s="100">
        <v>100000</v>
      </c>
      <c r="L143" s="100">
        <v>43240</v>
      </c>
      <c r="M143" s="100">
        <v>143240</v>
      </c>
      <c r="O143" s="100">
        <v>154405.0205553963</v>
      </c>
      <c r="Q143" s="55">
        <v>-2.2707645436101598E-2</v>
      </c>
      <c r="R143" s="107">
        <v>0.6339298045684586</v>
      </c>
      <c r="S143" s="100">
        <v>165075.24270785481</v>
      </c>
    </row>
    <row r="144" spans="3:19" outlineLevel="1" x14ac:dyDescent="0.2">
      <c r="C144" s="26" t="str">
        <v>Main switching/core sites</v>
      </c>
      <c r="E144" s="167">
        <f xml:space="preserve"> CHOOSE(G144, M144, O144, S144,#REF!)</f>
        <v>254801.81105551423</v>
      </c>
      <c r="F144" s="89" t="str">
        <f t="shared" si="8"/>
        <v>Anualidad simple</v>
      </c>
      <c r="G144" s="64">
        <f t="shared" si="9"/>
        <v>2</v>
      </c>
      <c r="I144" s="89">
        <v>25</v>
      </c>
      <c r="K144" s="100">
        <v>87040</v>
      </c>
      <c r="L144" s="100">
        <v>117612.8</v>
      </c>
      <c r="M144" s="100">
        <v>204652.79999999999</v>
      </c>
      <c r="O144" s="100">
        <v>254801.81105551423</v>
      </c>
      <c r="Q144" s="55">
        <v>3.9016082220565629E-2</v>
      </c>
      <c r="R144" s="107">
        <v>0.79997564806073584</v>
      </c>
      <c r="S144" s="100">
        <v>187913.97644723815</v>
      </c>
    </row>
    <row r="145" spans="3:19" outlineLevel="1" x14ac:dyDescent="0.2">
      <c r="C145" s="26" t="str">
        <v>Asset spare</v>
      </c>
      <c r="E145" s="167">
        <f xml:space="preserve"> CHOOSE(G145, M145, O145, S145,#REF!)</f>
        <v>0</v>
      </c>
      <c r="F145" s="89" t="str">
        <f t="shared" si="8"/>
        <v>Anualidad simple</v>
      </c>
      <c r="G145" s="64">
        <f t="shared" si="9"/>
        <v>2</v>
      </c>
      <c r="I145" s="89">
        <v>1</v>
      </c>
      <c r="K145" s="100">
        <v>0</v>
      </c>
      <c r="L145" s="100">
        <v>0</v>
      </c>
      <c r="M145" s="100">
        <v>0</v>
      </c>
      <c r="O145" s="100">
        <v>0</v>
      </c>
      <c r="Q145" s="55">
        <v>2.872879427778785E-2</v>
      </c>
      <c r="R145" s="107">
        <v>7.1628197565393181E-2</v>
      </c>
      <c r="S145" s="100">
        <v>0</v>
      </c>
    </row>
    <row r="146" spans="3:19" outlineLevel="1" x14ac:dyDescent="0.2">
      <c r="C146" s="26" t="str">
        <v>MSS</v>
      </c>
      <c r="E146" s="167">
        <f xml:space="preserve"> CHOOSE(G146, M146, O146, S146,#REF!)</f>
        <v>1616439.0670756744</v>
      </c>
      <c r="F146" s="89" t="str">
        <f t="shared" si="8"/>
        <v>Anualidad simple</v>
      </c>
      <c r="G146" s="64">
        <f t="shared" si="9"/>
        <v>2</v>
      </c>
      <c r="I146" s="89">
        <v>6</v>
      </c>
      <c r="K146" s="100">
        <v>1146000</v>
      </c>
      <c r="L146" s="100">
        <v>371647.8</v>
      </c>
      <c r="M146" s="100">
        <v>1517647.8</v>
      </c>
      <c r="O146" s="100">
        <v>1616439.0670756744</v>
      </c>
      <c r="Q146" s="55">
        <v>-2.2707645436101598E-2</v>
      </c>
      <c r="R146" s="107">
        <v>0.52937685870732099</v>
      </c>
      <c r="S146" s="100">
        <v>1699041.7227812908</v>
      </c>
    </row>
    <row r="147" spans="3:19" outlineLevel="1" x14ac:dyDescent="0.2">
      <c r="C147" s="26" t="str">
        <v>MGW</v>
      </c>
      <c r="E147" s="167">
        <f xml:space="preserve"> CHOOSE(G147, M147, O147, S147,#REF!)</f>
        <v>1256760.2170719248</v>
      </c>
      <c r="F147" s="89" t="str">
        <f t="shared" si="8"/>
        <v>Anualidad simple</v>
      </c>
      <c r="G147" s="64">
        <f t="shared" si="9"/>
        <v>2</v>
      </c>
      <c r="I147" s="89">
        <v>6</v>
      </c>
      <c r="K147" s="100">
        <v>891000</v>
      </c>
      <c r="L147" s="100">
        <v>288951.3</v>
      </c>
      <c r="M147" s="100">
        <v>1179951.3</v>
      </c>
      <c r="O147" s="100">
        <v>1256760.2170719248</v>
      </c>
      <c r="Q147" s="55">
        <v>-2.2707645436101598E-2</v>
      </c>
      <c r="R147" s="107">
        <v>0.52937685870732099</v>
      </c>
      <c r="S147" s="100">
        <v>1320982.7006964486</v>
      </c>
    </row>
    <row r="148" spans="3:19" outlineLevel="1" x14ac:dyDescent="0.2">
      <c r="C148" s="26" t="str">
        <v>SGSN</v>
      </c>
      <c r="E148" s="167">
        <f xml:space="preserve"> CHOOSE(G148, M148, O148, S148,#REF!)</f>
        <v>548192.88256453827</v>
      </c>
      <c r="F148" s="89" t="str">
        <f t="shared" si="8"/>
        <v>Anualidad simple</v>
      </c>
      <c r="G148" s="64">
        <f t="shared" si="9"/>
        <v>2</v>
      </c>
      <c r="I148" s="89">
        <v>6</v>
      </c>
      <c r="K148" s="100">
        <v>388650</v>
      </c>
      <c r="L148" s="100">
        <v>126039.19500000001</v>
      </c>
      <c r="M148" s="100">
        <v>514689.19500000001</v>
      </c>
      <c r="O148" s="100">
        <v>548192.88256453827</v>
      </c>
      <c r="Q148" s="55">
        <v>-2.2707645436101598E-2</v>
      </c>
      <c r="R148" s="107">
        <v>0.52937685870732099</v>
      </c>
      <c r="S148" s="100">
        <v>576206.4271893095</v>
      </c>
    </row>
    <row r="149" spans="3:19" outlineLevel="1" x14ac:dyDescent="0.2">
      <c r="C149" s="105" t="str">
        <v>GGSN</v>
      </c>
      <c r="E149" s="167">
        <f xml:space="preserve"> CHOOSE(G149, M149, O149, S149,#REF!)</f>
        <v>517843.51031912386</v>
      </c>
      <c r="F149" s="89" t="str">
        <f t="shared" si="8"/>
        <v>Anualidad simple</v>
      </c>
      <c r="G149" s="64">
        <f t="shared" si="9"/>
        <v>2</v>
      </c>
      <c r="I149" s="89">
        <v>6</v>
      </c>
      <c r="K149" s="100">
        <v>367133.33333333331</v>
      </c>
      <c r="L149" s="100">
        <v>119061.34</v>
      </c>
      <c r="M149" s="100">
        <v>486194.67333333334</v>
      </c>
      <c r="O149" s="100">
        <v>517843.51031912386</v>
      </c>
      <c r="Q149" s="55">
        <v>-2.2707645436101598E-2</v>
      </c>
      <c r="R149" s="107">
        <v>0.52937685870732099</v>
      </c>
      <c r="S149" s="100">
        <v>544306.15284215054</v>
      </c>
    </row>
    <row r="150" spans="3:19" outlineLevel="1" x14ac:dyDescent="0.2">
      <c r="C150" s="26" t="str">
        <v>LTE MME</v>
      </c>
      <c r="E150" s="167">
        <f xml:space="preserve"> CHOOSE(G150, M150, O150, S150,#REF!)</f>
        <v>1193757.6472673465</v>
      </c>
      <c r="F150" s="89" t="str">
        <f t="shared" si="8"/>
        <v>Anualidad simple</v>
      </c>
      <c r="G150" s="64">
        <f t="shared" si="9"/>
        <v>2</v>
      </c>
      <c r="I150" s="89">
        <v>6</v>
      </c>
      <c r="K150" s="100">
        <v>846333.33333333337</v>
      </c>
      <c r="L150" s="100">
        <v>274465.90000000002</v>
      </c>
      <c r="M150" s="100">
        <v>1120799.2333333334</v>
      </c>
      <c r="O150" s="100">
        <v>1193757.6472673465</v>
      </c>
      <c r="Q150" s="55">
        <v>-2.2707645436101598E-2</v>
      </c>
      <c r="R150" s="107">
        <v>0.52937685870732099</v>
      </c>
      <c r="S150" s="100">
        <v>1254760.5974815872</v>
      </c>
    </row>
    <row r="151" spans="3:19" outlineLevel="1" x14ac:dyDescent="0.2">
      <c r="C151" s="105" t="str">
        <v>LTE SGW</v>
      </c>
      <c r="E151" s="167">
        <f xml:space="preserve"> CHOOSE(G151, M151, O151, S151,#REF!)</f>
        <v>1583527.2768792529</v>
      </c>
      <c r="F151" s="89" t="str">
        <f t="shared" si="8"/>
        <v>Anualidad simple</v>
      </c>
      <c r="G151" s="64">
        <f t="shared" si="9"/>
        <v>2</v>
      </c>
      <c r="I151" s="89">
        <v>6</v>
      </c>
      <c r="K151" s="100">
        <v>1122666.6666666667</v>
      </c>
      <c r="L151" s="100">
        <v>364080.8</v>
      </c>
      <c r="M151" s="100">
        <v>1486747.4666666668</v>
      </c>
      <c r="O151" s="100">
        <v>1583527.2768792529</v>
      </c>
      <c r="Q151" s="55">
        <v>-2.2707645436101598E-2</v>
      </c>
      <c r="R151" s="107">
        <v>0.52937685870732099</v>
      </c>
      <c r="S151" s="100">
        <v>1664448.0867735273</v>
      </c>
    </row>
    <row r="152" spans="3:19" outlineLevel="1" x14ac:dyDescent="0.2">
      <c r="C152" s="105" t="str">
        <v>HLR</v>
      </c>
      <c r="E152" s="167">
        <f xml:space="preserve"> CHOOSE(G152, M152, O152, S152,#REF!)</f>
        <v>1414266.6415833707</v>
      </c>
      <c r="F152" s="89" t="str">
        <f t="shared" si="8"/>
        <v>Anualidad simple</v>
      </c>
      <c r="G152" s="64">
        <f t="shared" si="9"/>
        <v>2</v>
      </c>
      <c r="I152" s="89">
        <v>6</v>
      </c>
      <c r="K152" s="100">
        <v>1002666.6666666666</v>
      </c>
      <c r="L152" s="100">
        <v>325164.79999999999</v>
      </c>
      <c r="M152" s="100">
        <v>1327831.4666666666</v>
      </c>
      <c r="O152" s="100">
        <v>1414266.6415833707</v>
      </c>
      <c r="Q152" s="55">
        <v>-2.2707645436101598E-2</v>
      </c>
      <c r="R152" s="107">
        <v>0.52937685870732099</v>
      </c>
      <c r="S152" s="100">
        <v>1486537.9587336017</v>
      </c>
    </row>
    <row r="153" spans="3:19" outlineLevel="1" x14ac:dyDescent="0.2">
      <c r="C153" s="26" t="str">
        <v>AUC</v>
      </c>
      <c r="E153" s="167">
        <f xml:space="preserve"> CHOOSE(G153, M153, O153, S153,#REF!)</f>
        <v>305938.59829730698</v>
      </c>
      <c r="F153" s="89" t="str">
        <f t="shared" si="8"/>
        <v>Anualidad simple</v>
      </c>
      <c r="G153" s="64">
        <f t="shared" si="9"/>
        <v>2</v>
      </c>
      <c r="I153" s="89">
        <v>6</v>
      </c>
      <c r="K153" s="100">
        <v>216900</v>
      </c>
      <c r="L153" s="100">
        <v>70340.67</v>
      </c>
      <c r="M153" s="100">
        <v>287240.67</v>
      </c>
      <c r="O153" s="100">
        <v>305938.59829730698</v>
      </c>
      <c r="Q153" s="55">
        <v>-2.2707645436101598E-2</v>
      </c>
      <c r="R153" s="107">
        <v>0.52937685870732099</v>
      </c>
      <c r="S153" s="100">
        <v>321572.55643216573</v>
      </c>
    </row>
    <row r="154" spans="3:19" outlineLevel="1" x14ac:dyDescent="0.2">
      <c r="C154" s="26" t="str">
        <v>EIR</v>
      </c>
      <c r="E154" s="167">
        <f xml:space="preserve"> CHOOSE(G154, M154, O154, S154,#REF!)</f>
        <v>513706.02812300232</v>
      </c>
      <c r="F154" s="89" t="str">
        <f t="shared" si="8"/>
        <v>Anualidad simple</v>
      </c>
      <c r="G154" s="64">
        <f t="shared" si="9"/>
        <v>2</v>
      </c>
      <c r="I154" s="89">
        <v>6</v>
      </c>
      <c r="K154" s="100">
        <v>364200</v>
      </c>
      <c r="L154" s="100">
        <v>118110.06</v>
      </c>
      <c r="M154" s="100">
        <v>482310.06</v>
      </c>
      <c r="O154" s="100">
        <v>513706.02812300232</v>
      </c>
      <c r="Q154" s="55">
        <v>-2.2707645436101598E-2</v>
      </c>
      <c r="R154" s="107">
        <v>0.52937685870732099</v>
      </c>
      <c r="S154" s="100">
        <v>539957.23860117467</v>
      </c>
    </row>
    <row r="155" spans="3:19" outlineLevel="1" x14ac:dyDescent="0.2">
      <c r="C155" s="105" t="str">
        <v>IN (SCP+SMP)</v>
      </c>
      <c r="E155" s="167">
        <f xml:space="preserve"> CHOOSE(G155, M155, O155, S155,#REF!)</f>
        <v>956322.5894217341</v>
      </c>
      <c r="F155" s="89" t="str">
        <f t="shared" si="8"/>
        <v>Anualidad simple</v>
      </c>
      <c r="G155" s="64">
        <f t="shared" si="9"/>
        <v>2</v>
      </c>
      <c r="I155" s="89">
        <v>6</v>
      </c>
      <c r="K155" s="100">
        <v>678000</v>
      </c>
      <c r="L155" s="100">
        <v>219875.4</v>
      </c>
      <c r="M155" s="100">
        <v>897875.4</v>
      </c>
      <c r="O155" s="100">
        <v>956322.5894217341</v>
      </c>
      <c r="Q155" s="55">
        <v>-2.2707645436101598E-2</v>
      </c>
      <c r="R155" s="107">
        <v>0.52937685870732099</v>
      </c>
      <c r="S155" s="100">
        <v>1005192.2234255804</v>
      </c>
    </row>
    <row r="156" spans="3:19" outlineLevel="1" x14ac:dyDescent="0.2">
      <c r="C156" s="105" t="str">
        <v>Asset spare</v>
      </c>
      <c r="E156" s="167">
        <f xml:space="preserve"> CHOOSE(G156, M156, O156, S156,#REF!)</f>
        <v>0</v>
      </c>
      <c r="F156" s="89" t="str">
        <f t="shared" si="8"/>
        <v>Anualidad simple</v>
      </c>
      <c r="G156" s="64">
        <f t="shared" si="9"/>
        <v>2</v>
      </c>
      <c r="I156" s="89">
        <v>1</v>
      </c>
      <c r="K156" s="100">
        <v>0</v>
      </c>
      <c r="L156" s="100">
        <v>0</v>
      </c>
      <c r="M156" s="100">
        <v>0</v>
      </c>
      <c r="O156" s="100">
        <v>0</v>
      </c>
      <c r="Q156" s="55">
        <v>2.872879427778785E-2</v>
      </c>
      <c r="R156" s="107">
        <v>7.1628197565393181E-2</v>
      </c>
      <c r="S156" s="100">
        <v>0</v>
      </c>
    </row>
    <row r="157" spans="3:19" outlineLevel="1" x14ac:dyDescent="0.2">
      <c r="C157" s="26" t="str">
        <v>Asset spare</v>
      </c>
      <c r="E157" s="167">
        <f xml:space="preserve"> CHOOSE(G157, M157, O157, S157,#REF!)</f>
        <v>0</v>
      </c>
      <c r="F157" s="89" t="str">
        <f t="shared" si="8"/>
        <v>Anualidad simple</v>
      </c>
      <c r="G157" s="64">
        <f t="shared" si="9"/>
        <v>2</v>
      </c>
      <c r="I157" s="89">
        <v>1</v>
      </c>
      <c r="K157" s="100">
        <v>0</v>
      </c>
      <c r="L157" s="100">
        <v>0</v>
      </c>
      <c r="M157" s="100">
        <v>0</v>
      </c>
      <c r="O157" s="100">
        <v>0</v>
      </c>
      <c r="Q157" s="55">
        <v>2.872879427778785E-2</v>
      </c>
      <c r="R157" s="107">
        <v>7.1628197565393181E-2</v>
      </c>
      <c r="S157" s="100">
        <v>0</v>
      </c>
    </row>
    <row r="158" spans="3:19" outlineLevel="1" x14ac:dyDescent="0.2">
      <c r="C158" s="26" t="str">
        <v>SMSC</v>
      </c>
      <c r="E158" s="167">
        <f xml:space="preserve"> CHOOSE(G158, M158, O158, S158,#REF!)</f>
        <v>787908.25730233139</v>
      </c>
      <c r="F158" s="89" t="str">
        <f t="shared" si="8"/>
        <v>Anualidad simple</v>
      </c>
      <c r="G158" s="64">
        <f t="shared" si="9"/>
        <v>2</v>
      </c>
      <c r="I158" s="89">
        <v>6</v>
      </c>
      <c r="K158" s="100">
        <v>558600</v>
      </c>
      <c r="L158" s="100">
        <v>181153.98</v>
      </c>
      <c r="M158" s="100">
        <v>739753.98</v>
      </c>
      <c r="O158" s="100">
        <v>787908.25730233139</v>
      </c>
      <c r="Q158" s="55">
        <v>-2.2707645436101598E-2</v>
      </c>
      <c r="R158" s="107">
        <v>0.52937685870732099</v>
      </c>
      <c r="S158" s="100">
        <v>828171.64602585428</v>
      </c>
    </row>
    <row r="159" spans="3:19" outlineLevel="1" x14ac:dyDescent="0.2">
      <c r="C159" s="26" t="str">
        <v>MMSC</v>
      </c>
      <c r="E159" s="167">
        <f xml:space="preserve"> CHOOSE(G159, M159, O159, S159,#REF!)</f>
        <v>189948.04627648997</v>
      </c>
      <c r="F159" s="89" t="str">
        <f t="shared" si="8"/>
        <v>Anualidad simple</v>
      </c>
      <c r="G159" s="64">
        <f t="shared" si="9"/>
        <v>2</v>
      </c>
      <c r="I159" s="89">
        <v>6</v>
      </c>
      <c r="K159" s="100">
        <v>134666.66666666666</v>
      </c>
      <c r="L159" s="100">
        <v>43672.4</v>
      </c>
      <c r="M159" s="100">
        <v>178339.06666666665</v>
      </c>
      <c r="O159" s="100">
        <v>189948.04627648997</v>
      </c>
      <c r="Q159" s="55">
        <v>-2.2707645436101598E-2</v>
      </c>
      <c r="R159" s="107">
        <v>0.52937685870732099</v>
      </c>
      <c r="S159" s="100">
        <v>199654.69924480555</v>
      </c>
    </row>
    <row r="160" spans="3:19" outlineLevel="1" x14ac:dyDescent="0.2">
      <c r="C160" s="26" t="str">
        <v>Asset spare</v>
      </c>
      <c r="E160" s="167">
        <f xml:space="preserve"> CHOOSE(G160, M160, O160, S160,#REF!)</f>
        <v>0</v>
      </c>
      <c r="F160" s="89" t="str">
        <f t="shared" si="8"/>
        <v>Anualidad simple</v>
      </c>
      <c r="G160" s="64">
        <f t="shared" si="9"/>
        <v>2</v>
      </c>
      <c r="I160" s="89">
        <v>1</v>
      </c>
      <c r="K160" s="100">
        <v>0</v>
      </c>
      <c r="L160" s="100">
        <v>0</v>
      </c>
      <c r="M160" s="100">
        <v>0</v>
      </c>
      <c r="O160" s="100">
        <v>0</v>
      </c>
      <c r="Q160" s="55">
        <v>2.872879427778785E-2</v>
      </c>
      <c r="R160" s="107">
        <v>7.1628197565393181E-2</v>
      </c>
      <c r="S160" s="100">
        <v>0</v>
      </c>
    </row>
    <row r="161" spans="3:19" outlineLevel="1" x14ac:dyDescent="0.2">
      <c r="C161" s="26" t="str">
        <v>MSC/MGW STM1 ports for voice traffic</v>
      </c>
      <c r="E161" s="167">
        <f xml:space="preserve"> CHOOSE(G161, M161, O161, S161,#REF!)</f>
        <v>251294.17095390745</v>
      </c>
      <c r="F161" s="89" t="str">
        <f t="shared" si="8"/>
        <v>Anualidad simple</v>
      </c>
      <c r="G161" s="64">
        <f t="shared" si="9"/>
        <v>2</v>
      </c>
      <c r="I161" s="89">
        <v>8</v>
      </c>
      <c r="K161" s="100">
        <v>162750</v>
      </c>
      <c r="L161" s="100">
        <v>70373.100000000006</v>
      </c>
      <c r="M161" s="100">
        <v>233123.1</v>
      </c>
      <c r="O161" s="100">
        <v>251294.17095390745</v>
      </c>
      <c r="Q161" s="55">
        <v>-2.2707645436101598E-2</v>
      </c>
      <c r="R161" s="107">
        <v>0.6339298045684586</v>
      </c>
      <c r="S161" s="100">
        <v>268659.95750703372</v>
      </c>
    </row>
    <row r="162" spans="3:19" outlineLevel="1" x14ac:dyDescent="0.2">
      <c r="C162" s="26" t="str">
        <v>PoI STM1 Gateway</v>
      </c>
      <c r="E162" s="167">
        <f xml:space="preserve"> CHOOSE(G162, M162, O162, S162,#REF!)</f>
        <v>201420.15600209974</v>
      </c>
      <c r="F162" s="89" t="str">
        <f t="shared" si="8"/>
        <v>Anualidad simple</v>
      </c>
      <c r="G162" s="64">
        <f t="shared" si="9"/>
        <v>2</v>
      </c>
      <c r="I162" s="89">
        <v>6</v>
      </c>
      <c r="K162" s="100">
        <v>142800</v>
      </c>
      <c r="L162" s="100">
        <v>46310.04</v>
      </c>
      <c r="M162" s="100">
        <v>189110.04</v>
      </c>
      <c r="O162" s="100">
        <v>201420.15600209974</v>
      </c>
      <c r="Q162" s="55">
        <v>-2.2707645436101598E-2</v>
      </c>
      <c r="R162" s="107">
        <v>0.52937685870732099</v>
      </c>
      <c r="S162" s="100">
        <v>211713.05236751164</v>
      </c>
    </row>
    <row r="163" spans="3:19" outlineLevel="1" x14ac:dyDescent="0.2">
      <c r="C163" s="26" t="str">
        <v>I-SBC</v>
      </c>
      <c r="E163" s="167">
        <f xml:space="preserve"> CHOOSE(G163, M163, O163, S163,#REF!)</f>
        <v>0</v>
      </c>
      <c r="F163" s="89" t="str">
        <f t="shared" si="8"/>
        <v>Anualidad simple</v>
      </c>
      <c r="G163" s="64">
        <f t="shared" si="9"/>
        <v>2</v>
      </c>
      <c r="I163" s="89">
        <v>6</v>
      </c>
      <c r="K163" s="100">
        <v>0</v>
      </c>
      <c r="L163" s="100">
        <v>0</v>
      </c>
      <c r="M163" s="100">
        <v>0</v>
      </c>
      <c r="O163" s="100">
        <v>0</v>
      </c>
      <c r="Q163" s="55">
        <v>-2.2707645436101598E-2</v>
      </c>
      <c r="R163" s="107">
        <v>0.52937685870732099</v>
      </c>
      <c r="S163" s="100">
        <v>0</v>
      </c>
    </row>
    <row r="164" spans="3:19" outlineLevel="1" x14ac:dyDescent="0.2">
      <c r="C164" s="105" t="str">
        <v>Asset spare</v>
      </c>
      <c r="E164" s="167">
        <f xml:space="preserve"> CHOOSE(G164, M164, O164, S164,#REF!)</f>
        <v>0</v>
      </c>
      <c r="F164" s="89" t="str">
        <f t="shared" si="8"/>
        <v>Anualidad simple</v>
      </c>
      <c r="G164" s="64">
        <f t="shared" si="9"/>
        <v>2</v>
      </c>
      <c r="I164" s="89">
        <v>1</v>
      </c>
      <c r="K164" s="100">
        <v>0</v>
      </c>
      <c r="L164" s="100">
        <v>0</v>
      </c>
      <c r="M164" s="100">
        <v>0</v>
      </c>
      <c r="O164" s="100">
        <v>0</v>
      </c>
      <c r="Q164" s="55">
        <v>2.872879427778785E-2</v>
      </c>
      <c r="R164" s="107">
        <v>7.1628197565393181E-2</v>
      </c>
      <c r="S164" s="100">
        <v>0</v>
      </c>
    </row>
    <row r="165" spans="3:19" outlineLevel="1" x14ac:dyDescent="0.2">
      <c r="C165" s="26" t="str">
        <v>MSS software</v>
      </c>
      <c r="E165" s="167">
        <f xml:space="preserve"> CHOOSE(G165, M165, O165, S165,#REF!)</f>
        <v>403169.42990616371</v>
      </c>
      <c r="F165" s="89" t="str">
        <f t="shared" si="8"/>
        <v>Anualidad simple</v>
      </c>
      <c r="G165" s="64">
        <f t="shared" si="9"/>
        <v>2</v>
      </c>
      <c r="I165" s="89">
        <v>6</v>
      </c>
      <c r="K165" s="100">
        <v>285833.33333333331</v>
      </c>
      <c r="L165" s="100">
        <v>92695.75</v>
      </c>
      <c r="M165" s="100">
        <v>378529.08333333331</v>
      </c>
      <c r="O165" s="100">
        <v>403169.42990616371</v>
      </c>
      <c r="Q165" s="55">
        <v>-2.2707645436101598E-2</v>
      </c>
      <c r="R165" s="107">
        <v>0.52937685870732099</v>
      </c>
      <c r="S165" s="100">
        <v>423772.04109510093</v>
      </c>
    </row>
    <row r="166" spans="3:19" outlineLevel="1" x14ac:dyDescent="0.2">
      <c r="C166" s="26" t="str">
        <v>SGSN software</v>
      </c>
      <c r="E166" s="167">
        <f xml:space="preserve"> CHOOSE(G166, M166, O166, S166,#REF!)</f>
        <v>982.65202157887131</v>
      </c>
      <c r="F166" s="89" t="str">
        <f t="shared" si="8"/>
        <v>Anualidad simple</v>
      </c>
      <c r="G166" s="64">
        <f t="shared" si="9"/>
        <v>2</v>
      </c>
      <c r="I166" s="89">
        <v>6</v>
      </c>
      <c r="K166" s="100">
        <v>696.66666666666663</v>
      </c>
      <c r="L166" s="100">
        <v>225.929</v>
      </c>
      <c r="M166" s="100">
        <v>922.5956666666666</v>
      </c>
      <c r="O166" s="100">
        <v>982.65202157887131</v>
      </c>
      <c r="Q166" s="55">
        <v>-2.2707645436101598E-2</v>
      </c>
      <c r="R166" s="107">
        <v>0.52937685870732099</v>
      </c>
      <c r="S166" s="100">
        <v>1032.8671322317912</v>
      </c>
    </row>
    <row r="167" spans="3:19" outlineLevel="1" x14ac:dyDescent="0.2">
      <c r="C167" s="105" t="str">
        <v>GGSN software</v>
      </c>
      <c r="E167" s="167">
        <f xml:space="preserve"> CHOOSE(G167, M167, O167, S167,#REF!)</f>
        <v>1504.5389804078413</v>
      </c>
      <c r="F167" s="89" t="str">
        <f t="shared" si="8"/>
        <v>Anualidad simple</v>
      </c>
      <c r="G167" s="64">
        <f t="shared" si="9"/>
        <v>2</v>
      </c>
      <c r="I167" s="89">
        <v>6</v>
      </c>
      <c r="K167" s="100">
        <v>1066.6666666666667</v>
      </c>
      <c r="L167" s="100">
        <v>345.92</v>
      </c>
      <c r="M167" s="100">
        <v>1412.5866666666668</v>
      </c>
      <c r="O167" s="100">
        <v>1504.5389804078413</v>
      </c>
      <c r="Q167" s="55">
        <v>-2.2707645436101598E-2</v>
      </c>
      <c r="R167" s="107">
        <v>0.52937685870732099</v>
      </c>
      <c r="S167" s="100">
        <v>1581.4233603548955</v>
      </c>
    </row>
    <row r="168" spans="3:19" outlineLevel="1" x14ac:dyDescent="0.2">
      <c r="C168" s="26" t="str">
        <v>MME software</v>
      </c>
      <c r="E168" s="167">
        <f xml:space="preserve"> CHOOSE(G168, M168, O168, S168,#REF!)</f>
        <v>278104.62715976191</v>
      </c>
      <c r="F168" s="89" t="str">
        <f t="shared" si="8"/>
        <v>Anualidad simple</v>
      </c>
      <c r="G168" s="64">
        <f t="shared" si="9"/>
        <v>2</v>
      </c>
      <c r="I168" s="89">
        <v>6</v>
      </c>
      <c r="K168" s="100">
        <v>197166.66666666666</v>
      </c>
      <c r="L168" s="100">
        <v>63941.15</v>
      </c>
      <c r="M168" s="100">
        <v>261107.81666666665</v>
      </c>
      <c r="O168" s="100">
        <v>278104.62715976191</v>
      </c>
      <c r="Q168" s="55">
        <v>-2.2707645436101598E-2</v>
      </c>
      <c r="R168" s="107">
        <v>0.52937685870732099</v>
      </c>
      <c r="S168" s="100">
        <v>292316.22426560021</v>
      </c>
    </row>
    <row r="169" spans="3:19" outlineLevel="1" x14ac:dyDescent="0.2">
      <c r="C169" s="26" t="str">
        <v>SGW software</v>
      </c>
      <c r="E169" s="167">
        <f xml:space="preserve"> CHOOSE(G169, M169, O169, S169,#REF!)</f>
        <v>695.84927843862658</v>
      </c>
      <c r="F169" s="89" t="str">
        <f t="shared" ref="F169:F200" si="10">CTRL.depreciation.selected</f>
        <v>Anualidad simple</v>
      </c>
      <c r="G169" s="64">
        <f t="shared" ref="G169:G200" si="11">MATCH(F169,Depreciation.methodologies,0)</f>
        <v>2</v>
      </c>
      <c r="I169" s="89">
        <v>6</v>
      </c>
      <c r="K169" s="100">
        <v>493.33333333333331</v>
      </c>
      <c r="L169" s="100">
        <v>159.988</v>
      </c>
      <c r="M169" s="100">
        <v>653.32133333333331</v>
      </c>
      <c r="O169" s="100">
        <v>695.84927843862658</v>
      </c>
      <c r="Q169" s="55">
        <v>-2.2707645436101598E-2</v>
      </c>
      <c r="R169" s="107">
        <v>0.52937685870732099</v>
      </c>
      <c r="S169" s="100">
        <v>731.40830416413905</v>
      </c>
    </row>
    <row r="170" spans="3:19" outlineLevel="1" x14ac:dyDescent="0.2">
      <c r="C170" s="26" t="str">
        <v>HLR software</v>
      </c>
      <c r="E170" s="167">
        <f xml:space="preserve"> CHOOSE(G170, M170, O170, S170,#REF!)</f>
        <v>775.77791177279312</v>
      </c>
      <c r="F170" s="89" t="str">
        <f t="shared" si="10"/>
        <v>Anualidad simple</v>
      </c>
      <c r="G170" s="64">
        <f t="shared" si="11"/>
        <v>2</v>
      </c>
      <c r="I170" s="89">
        <v>6</v>
      </c>
      <c r="K170" s="100">
        <v>550</v>
      </c>
      <c r="L170" s="100">
        <v>178.36500000000001</v>
      </c>
      <c r="M170" s="100">
        <v>728.36500000000001</v>
      </c>
      <c r="O170" s="100">
        <v>775.77791177279312</v>
      </c>
      <c r="Q170" s="55">
        <v>-2.2707645436101598E-2</v>
      </c>
      <c r="R170" s="107">
        <v>0.52937685870732099</v>
      </c>
      <c r="S170" s="100">
        <v>815.42142018299296</v>
      </c>
    </row>
    <row r="171" spans="3:19" outlineLevel="1" x14ac:dyDescent="0.2">
      <c r="C171" s="26" t="str">
        <v>Call server – hardware</v>
      </c>
      <c r="E171" s="167">
        <f xml:space="preserve"> CHOOSE(G171, M171, O171, S171,#REF!)</f>
        <v>0</v>
      </c>
      <c r="F171" s="89" t="str">
        <f t="shared" si="10"/>
        <v>Anualidad simple</v>
      </c>
      <c r="G171" s="64">
        <f t="shared" si="11"/>
        <v>2</v>
      </c>
      <c r="I171" s="89">
        <v>6</v>
      </c>
      <c r="K171" s="100">
        <v>0</v>
      </c>
      <c r="L171" s="100">
        <v>0</v>
      </c>
      <c r="M171" s="100">
        <v>0</v>
      </c>
      <c r="O171" s="100">
        <v>0</v>
      </c>
      <c r="Q171" s="55">
        <v>-2.2707645436101598E-2</v>
      </c>
      <c r="R171" s="107">
        <v>0.52937685870732099</v>
      </c>
      <c r="S171" s="100">
        <v>0</v>
      </c>
    </row>
    <row r="172" spans="3:19" outlineLevel="1" x14ac:dyDescent="0.2">
      <c r="C172" s="105" t="str">
        <v>Call server – software</v>
      </c>
      <c r="E172" s="167">
        <f xml:space="preserve"> CHOOSE(G172, M172, O172, S172,#REF!)</f>
        <v>0</v>
      </c>
      <c r="F172" s="89" t="str">
        <f t="shared" si="10"/>
        <v>Anualidad simple</v>
      </c>
      <c r="G172" s="64">
        <f t="shared" si="11"/>
        <v>2</v>
      </c>
      <c r="I172" s="89">
        <v>6</v>
      </c>
      <c r="K172" s="100">
        <v>0</v>
      </c>
      <c r="L172" s="100">
        <v>0</v>
      </c>
      <c r="M172" s="100">
        <v>0</v>
      </c>
      <c r="O172" s="100">
        <v>0</v>
      </c>
      <c r="Q172" s="55">
        <v>-2.2707645436101598E-2</v>
      </c>
      <c r="R172" s="107">
        <v>0.52937685870732099</v>
      </c>
      <c r="S172" s="100">
        <v>0</v>
      </c>
    </row>
    <row r="173" spans="3:19" outlineLevel="1" x14ac:dyDescent="0.2">
      <c r="C173" s="105" t="str">
        <v>Telephony Application Server (TAS)</v>
      </c>
      <c r="E173" s="167">
        <f xml:space="preserve"> CHOOSE(G173, M173, O173, S173,#REF!)</f>
        <v>0</v>
      </c>
      <c r="F173" s="89" t="str">
        <f t="shared" si="10"/>
        <v>Anualidad simple</v>
      </c>
      <c r="G173" s="64">
        <f t="shared" si="11"/>
        <v>2</v>
      </c>
      <c r="I173" s="89">
        <v>6</v>
      </c>
      <c r="K173" s="100">
        <v>0</v>
      </c>
      <c r="L173" s="100">
        <v>0</v>
      </c>
      <c r="M173" s="100">
        <v>0</v>
      </c>
      <c r="O173" s="100">
        <v>0</v>
      </c>
      <c r="Q173" s="55">
        <v>-2.2707645436101598E-2</v>
      </c>
      <c r="R173" s="107">
        <v>0.52937685870732099</v>
      </c>
      <c r="S173" s="100">
        <v>0</v>
      </c>
    </row>
    <row r="174" spans="3:19" outlineLevel="1" x14ac:dyDescent="0.2">
      <c r="C174" s="105" t="str">
        <v>Session border controller (SBC) – hardware</v>
      </c>
      <c r="E174" s="167">
        <f xml:space="preserve"> CHOOSE(G174, M174, O174, S174,#REF!)</f>
        <v>0</v>
      </c>
      <c r="F174" s="89" t="str">
        <f t="shared" si="10"/>
        <v>Anualidad simple</v>
      </c>
      <c r="G174" s="64">
        <f t="shared" si="11"/>
        <v>2</v>
      </c>
      <c r="I174" s="89">
        <v>6</v>
      </c>
      <c r="K174" s="100">
        <v>0</v>
      </c>
      <c r="L174" s="100">
        <v>0</v>
      </c>
      <c r="M174" s="100">
        <v>0</v>
      </c>
      <c r="O174" s="100">
        <v>0</v>
      </c>
      <c r="Q174" s="55">
        <v>-2.2707645436101598E-2</v>
      </c>
      <c r="R174" s="107">
        <v>0.52937685870732099</v>
      </c>
      <c r="S174" s="100">
        <v>0</v>
      </c>
    </row>
    <row r="175" spans="3:19" outlineLevel="1" x14ac:dyDescent="0.2">
      <c r="C175" s="105" t="str">
        <v>Session border controller (SBC) – software</v>
      </c>
      <c r="E175" s="167">
        <f xml:space="preserve"> CHOOSE(G175, M175, O175, S175,#REF!)</f>
        <v>0</v>
      </c>
      <c r="F175" s="89" t="str">
        <f t="shared" si="10"/>
        <v>Anualidad simple</v>
      </c>
      <c r="G175" s="64">
        <f t="shared" si="11"/>
        <v>2</v>
      </c>
      <c r="I175" s="89">
        <v>6</v>
      </c>
      <c r="K175" s="100">
        <v>0</v>
      </c>
      <c r="L175" s="100">
        <v>0</v>
      </c>
      <c r="M175" s="100">
        <v>0</v>
      </c>
      <c r="O175" s="100">
        <v>0</v>
      </c>
      <c r="Q175" s="55">
        <v>-2.2707645436101598E-2</v>
      </c>
      <c r="R175" s="107">
        <v>0.52937685870732099</v>
      </c>
      <c r="S175" s="100">
        <v>0</v>
      </c>
    </row>
    <row r="176" spans="3:19" outlineLevel="1" x14ac:dyDescent="0.2">
      <c r="C176" s="26" t="str">
        <v>PCC</v>
      </c>
      <c r="E176" s="167">
        <f xml:space="preserve"> CHOOSE(G176, M176, O176, S176,#REF!)</f>
        <v>0</v>
      </c>
      <c r="F176" s="89" t="str">
        <f t="shared" si="10"/>
        <v>Anualidad simple</v>
      </c>
      <c r="G176" s="64">
        <f t="shared" si="11"/>
        <v>2</v>
      </c>
      <c r="I176" s="89">
        <v>6</v>
      </c>
      <c r="K176" s="100">
        <v>0</v>
      </c>
      <c r="L176" s="100">
        <v>0</v>
      </c>
      <c r="M176" s="100">
        <v>0</v>
      </c>
      <c r="O176" s="100">
        <v>0</v>
      </c>
      <c r="Q176" s="55">
        <v>-2.2707645436101598E-2</v>
      </c>
      <c r="R176" s="107">
        <v>0.52937685870732099</v>
      </c>
      <c r="S176" s="100">
        <v>0</v>
      </c>
    </row>
    <row r="177" spans="3:19" outlineLevel="1" x14ac:dyDescent="0.2">
      <c r="C177" s="26" t="str">
        <v>MGCF</v>
      </c>
      <c r="E177" s="167">
        <f xml:space="preserve"> CHOOSE(G177, M177, O177, S177,#REF!)</f>
        <v>0</v>
      </c>
      <c r="F177" s="89" t="str">
        <f t="shared" si="10"/>
        <v>Anualidad simple</v>
      </c>
      <c r="G177" s="64">
        <f t="shared" si="11"/>
        <v>2</v>
      </c>
      <c r="I177" s="89">
        <v>6</v>
      </c>
      <c r="K177" s="100">
        <v>0</v>
      </c>
      <c r="L177" s="100">
        <v>0</v>
      </c>
      <c r="M177" s="100">
        <v>0</v>
      </c>
      <c r="O177" s="100">
        <v>0</v>
      </c>
      <c r="Q177" s="55">
        <v>-2.2707645436101598E-2</v>
      </c>
      <c r="R177" s="107">
        <v>0.52937685870732099</v>
      </c>
      <c r="S177" s="100">
        <v>0</v>
      </c>
    </row>
    <row r="178" spans="3:19" outlineLevel="1" x14ac:dyDescent="0.2">
      <c r="C178" s="26" t="str">
        <v>Puertos BSC - sitios E1</v>
      </c>
      <c r="E178" s="167">
        <f xml:space="preserve"> CHOOSE(G178, M178, O178, S178,#REF!)</f>
        <v>54038.379584564049</v>
      </c>
      <c r="F178" s="89" t="str">
        <f t="shared" si="10"/>
        <v>Anualidad simple</v>
      </c>
      <c r="G178" s="64">
        <f t="shared" si="11"/>
        <v>2</v>
      </c>
      <c r="I178" s="89">
        <v>8</v>
      </c>
      <c r="K178" s="100">
        <v>34997.8125</v>
      </c>
      <c r="L178" s="100">
        <v>15133.054125000001</v>
      </c>
      <c r="M178" s="100">
        <v>50130.866625000002</v>
      </c>
      <c r="O178" s="100">
        <v>54038.379584564049</v>
      </c>
      <c r="Q178" s="55">
        <v>-2.2707645436101598E-2</v>
      </c>
      <c r="R178" s="107">
        <v>0.6339298045684586</v>
      </c>
      <c r="S178" s="100">
        <v>57772.72392681495</v>
      </c>
    </row>
    <row r="179" spans="3:19" outlineLevel="1" x14ac:dyDescent="0.2">
      <c r="C179" s="26" t="str">
        <v>Puertos BSC - sitios 10M</v>
      </c>
      <c r="E179" s="167">
        <f xml:space="preserve"> CHOOSE(G179, M179, O179, S179,#REF!)</f>
        <v>0</v>
      </c>
      <c r="F179" s="89" t="str">
        <f t="shared" si="10"/>
        <v>Anualidad simple</v>
      </c>
      <c r="G179" s="64">
        <f t="shared" si="11"/>
        <v>2</v>
      </c>
      <c r="I179" s="89">
        <v>8</v>
      </c>
      <c r="K179" s="100">
        <v>0</v>
      </c>
      <c r="L179" s="100">
        <v>0</v>
      </c>
      <c r="M179" s="100">
        <v>0</v>
      </c>
      <c r="O179" s="100">
        <v>0</v>
      </c>
      <c r="Q179" s="55">
        <v>-2.2707645436101598E-2</v>
      </c>
      <c r="R179" s="107">
        <v>0.6339298045684586</v>
      </c>
      <c r="S179" s="100">
        <v>0</v>
      </c>
    </row>
    <row r="180" spans="3:19" outlineLevel="1" x14ac:dyDescent="0.2">
      <c r="C180" s="26" t="str">
        <v>Puertos RNC - sitios E1 para voz</v>
      </c>
      <c r="E180" s="167">
        <f xml:space="preserve"> CHOOSE(G180, M180, O180, S180,#REF!)</f>
        <v>0</v>
      </c>
      <c r="F180" s="89" t="str">
        <f t="shared" si="10"/>
        <v>Anualidad simple</v>
      </c>
      <c r="G180" s="64">
        <f t="shared" si="11"/>
        <v>2</v>
      </c>
      <c r="I180" s="89">
        <v>8</v>
      </c>
      <c r="K180" s="100">
        <v>0</v>
      </c>
      <c r="L180" s="100">
        <v>0</v>
      </c>
      <c r="M180" s="100">
        <v>0</v>
      </c>
      <c r="O180" s="100">
        <v>0</v>
      </c>
      <c r="Q180" s="55">
        <v>-2.2707645436101598E-2</v>
      </c>
      <c r="R180" s="107">
        <v>0.6339298045684586</v>
      </c>
      <c r="S180" s="100">
        <v>0</v>
      </c>
    </row>
    <row r="181" spans="3:19" outlineLevel="1" x14ac:dyDescent="0.2">
      <c r="C181" s="26" t="str">
        <v>Puertos RNC - sitios 10M para voz</v>
      </c>
      <c r="E181" s="167">
        <f xml:space="preserve"> CHOOSE(G181, M181, O181, S181,#REF!)</f>
        <v>10931.392939632822</v>
      </c>
      <c r="F181" s="89" t="str">
        <f t="shared" si="10"/>
        <v>Anualidad simple</v>
      </c>
      <c r="G181" s="64">
        <f t="shared" si="11"/>
        <v>2</v>
      </c>
      <c r="I181" s="89">
        <v>8</v>
      </c>
      <c r="K181" s="100">
        <v>7079.6875</v>
      </c>
      <c r="L181" s="100">
        <v>3061.256875</v>
      </c>
      <c r="M181" s="100">
        <v>10140.944374999999</v>
      </c>
      <c r="O181" s="100">
        <v>10931.392939632822</v>
      </c>
      <c r="Q181" s="55">
        <v>-2.2707645436101598E-2</v>
      </c>
      <c r="R181" s="107">
        <v>0.6339298045684586</v>
      </c>
      <c r="S181" s="100">
        <v>11686.81132358266</v>
      </c>
    </row>
    <row r="182" spans="3:19" outlineLevel="1" x14ac:dyDescent="0.2">
      <c r="C182" s="26" t="str">
        <v>Puertos RNC - sitios E1 para datos</v>
      </c>
      <c r="E182" s="167">
        <f xml:space="preserve"> CHOOSE(G182, M182, O182, S182,#REF!)</f>
        <v>0</v>
      </c>
      <c r="F182" s="89" t="str">
        <f t="shared" si="10"/>
        <v>Anualidad simple</v>
      </c>
      <c r="G182" s="64">
        <f t="shared" si="11"/>
        <v>2</v>
      </c>
      <c r="I182" s="89">
        <v>8</v>
      </c>
      <c r="K182" s="100">
        <v>0</v>
      </c>
      <c r="L182" s="100">
        <v>0</v>
      </c>
      <c r="M182" s="100">
        <v>0</v>
      </c>
      <c r="O182" s="100">
        <v>0</v>
      </c>
      <c r="Q182" s="55">
        <v>-2.2707645436101598E-2</v>
      </c>
      <c r="R182" s="107">
        <v>0.6339298045684586</v>
      </c>
      <c r="S182" s="100">
        <v>0</v>
      </c>
    </row>
    <row r="183" spans="3:19" outlineLevel="1" x14ac:dyDescent="0.2">
      <c r="C183" s="26" t="str">
        <v>Puertos RNC - sitios 10M para datos</v>
      </c>
      <c r="E183" s="167">
        <f xml:space="preserve"> CHOOSE(G183, M183, O183, S183,#REF!)</f>
        <v>41306.238092703919</v>
      </c>
      <c r="F183" s="89" t="str">
        <f t="shared" si="10"/>
        <v>Anualidad simple</v>
      </c>
      <c r="G183" s="64">
        <f t="shared" si="11"/>
        <v>2</v>
      </c>
      <c r="I183" s="89">
        <v>8</v>
      </c>
      <c r="K183" s="100">
        <v>26751.875</v>
      </c>
      <c r="L183" s="100">
        <v>11567.510749999999</v>
      </c>
      <c r="M183" s="100">
        <v>38319.385750000001</v>
      </c>
      <c r="O183" s="100">
        <v>41306.238092703919</v>
      </c>
      <c r="Q183" s="55">
        <v>-2.2707645436101598E-2</v>
      </c>
      <c r="R183" s="107">
        <v>0.6339298045684586</v>
      </c>
      <c r="S183" s="100">
        <v>44160.722585151932</v>
      </c>
    </row>
    <row r="184" spans="3:19" outlineLevel="1" x14ac:dyDescent="0.2">
      <c r="C184" s="26" t="str">
        <v>Puertos BSC a Core: Voz: 8.45</v>
      </c>
      <c r="E184" s="167">
        <f xml:space="preserve"> CHOOSE(G184, M184, O184, S184,#REF!)</f>
        <v>0</v>
      </c>
      <c r="F184" s="89" t="str">
        <f t="shared" si="10"/>
        <v>Anualidad simple</v>
      </c>
      <c r="G184" s="64">
        <f t="shared" si="11"/>
        <v>2</v>
      </c>
      <c r="I184" s="89">
        <v>8</v>
      </c>
      <c r="K184" s="100">
        <v>0</v>
      </c>
      <c r="L184" s="100">
        <v>0</v>
      </c>
      <c r="M184" s="100">
        <v>0</v>
      </c>
      <c r="O184" s="100">
        <v>0</v>
      </c>
      <c r="Q184" s="55">
        <v>-2.2707645436101598E-2</v>
      </c>
      <c r="R184" s="107">
        <v>0.6339298045684586</v>
      </c>
      <c r="S184" s="100">
        <v>0</v>
      </c>
    </row>
    <row r="185" spans="3:19" outlineLevel="1" x14ac:dyDescent="0.2">
      <c r="C185" s="26" t="str">
        <v>Puertos BSC a Core: Voz: 34.37</v>
      </c>
      <c r="E185" s="167">
        <f xml:space="preserve"> CHOOSE(G185, M185, O185, S185,#REF!)</f>
        <v>0</v>
      </c>
      <c r="F185" s="89" t="str">
        <f t="shared" si="10"/>
        <v>Anualidad simple</v>
      </c>
      <c r="G185" s="64">
        <f t="shared" si="11"/>
        <v>2</v>
      </c>
      <c r="I185" s="89">
        <v>8</v>
      </c>
      <c r="K185" s="100">
        <v>0</v>
      </c>
      <c r="L185" s="100">
        <v>0</v>
      </c>
      <c r="M185" s="100">
        <v>0</v>
      </c>
      <c r="O185" s="100">
        <v>0</v>
      </c>
      <c r="Q185" s="55">
        <v>-2.2707645436101598E-2</v>
      </c>
      <c r="R185" s="107">
        <v>0.6339298045684586</v>
      </c>
      <c r="S185" s="100">
        <v>0</v>
      </c>
    </row>
    <row r="186" spans="3:19" outlineLevel="1" x14ac:dyDescent="0.2">
      <c r="C186" s="26" t="str">
        <v>Puertos BSC a Core: Voz: 155.52</v>
      </c>
      <c r="E186" s="167">
        <f xml:space="preserve"> CHOOSE(G186, M186, O186, S186,#REF!)</f>
        <v>44005.430858287946</v>
      </c>
      <c r="F186" s="89" t="str">
        <f t="shared" si="10"/>
        <v>Anualidad simple</v>
      </c>
      <c r="G186" s="64">
        <f t="shared" si="11"/>
        <v>2</v>
      </c>
      <c r="I186" s="89">
        <v>8</v>
      </c>
      <c r="K186" s="100">
        <v>28500</v>
      </c>
      <c r="L186" s="100">
        <v>12323.4</v>
      </c>
      <c r="M186" s="100">
        <v>40823.4</v>
      </c>
      <c r="O186" s="100">
        <v>44005.430858287946</v>
      </c>
      <c r="Q186" s="55">
        <v>-2.2707645436101598E-2</v>
      </c>
      <c r="R186" s="107">
        <v>0.6339298045684586</v>
      </c>
      <c r="S186" s="100">
        <v>47046.444171738629</v>
      </c>
    </row>
    <row r="187" spans="3:19" outlineLevel="1" x14ac:dyDescent="0.2">
      <c r="C187" s="26" t="str">
        <v>Puertos BSC a Core: Voz: 30</v>
      </c>
      <c r="E187" s="167">
        <f xml:space="preserve"> CHOOSE(G187, M187, O187, S187,#REF!)</f>
        <v>0</v>
      </c>
      <c r="F187" s="89" t="str">
        <f t="shared" si="10"/>
        <v>Anualidad simple</v>
      </c>
      <c r="G187" s="64">
        <f t="shared" si="11"/>
        <v>2</v>
      </c>
      <c r="I187" s="89">
        <v>8</v>
      </c>
      <c r="K187" s="100">
        <v>0</v>
      </c>
      <c r="L187" s="100">
        <v>0</v>
      </c>
      <c r="M187" s="100">
        <v>0</v>
      </c>
      <c r="O187" s="100">
        <v>0</v>
      </c>
      <c r="Q187" s="55">
        <v>-2.2707645436101598E-2</v>
      </c>
      <c r="R187" s="107">
        <v>0.6339298045684586</v>
      </c>
      <c r="S187" s="100">
        <v>0</v>
      </c>
    </row>
    <row r="188" spans="3:19" outlineLevel="1" x14ac:dyDescent="0.2">
      <c r="C188" s="26" t="str">
        <v>Puertos BSC a Core: Voz: 100</v>
      </c>
      <c r="E188" s="167">
        <f xml:space="preserve"> CHOOSE(G188, M188, O188, S188,#REF!)</f>
        <v>0</v>
      </c>
      <c r="F188" s="89" t="str">
        <f t="shared" si="10"/>
        <v>Anualidad simple</v>
      </c>
      <c r="G188" s="64">
        <f t="shared" si="11"/>
        <v>2</v>
      </c>
      <c r="I188" s="89">
        <v>8</v>
      </c>
      <c r="K188" s="100">
        <v>0</v>
      </c>
      <c r="L188" s="100">
        <v>0</v>
      </c>
      <c r="M188" s="100">
        <v>0</v>
      </c>
      <c r="O188" s="100">
        <v>0</v>
      </c>
      <c r="Q188" s="55">
        <v>-2.2707645436101598E-2</v>
      </c>
      <c r="R188" s="107">
        <v>0.6339298045684586</v>
      </c>
      <c r="S188" s="100">
        <v>0</v>
      </c>
    </row>
    <row r="189" spans="3:19" outlineLevel="1" x14ac:dyDescent="0.2">
      <c r="C189" s="26" t="str">
        <v>Puertos BSC a Core: Voz: 1024</v>
      </c>
      <c r="E189" s="167">
        <f xml:space="preserve"> CHOOSE(G189, M189, O189, S189,#REF!)</f>
        <v>0</v>
      </c>
      <c r="F189" s="89" t="str">
        <f t="shared" si="10"/>
        <v>Anualidad simple</v>
      </c>
      <c r="G189" s="64">
        <f t="shared" si="11"/>
        <v>2</v>
      </c>
      <c r="I189" s="89">
        <v>8</v>
      </c>
      <c r="K189" s="100">
        <v>0</v>
      </c>
      <c r="L189" s="100">
        <v>0</v>
      </c>
      <c r="M189" s="100">
        <v>0</v>
      </c>
      <c r="O189" s="100">
        <v>0</v>
      </c>
      <c r="Q189" s="55">
        <v>-2.2707645436101598E-2</v>
      </c>
      <c r="R189" s="107">
        <v>0.6339298045684586</v>
      </c>
      <c r="S189" s="100">
        <v>0</v>
      </c>
    </row>
    <row r="190" spans="3:19" outlineLevel="1" x14ac:dyDescent="0.2">
      <c r="C190" s="26" t="str">
        <v>Puertos BSC a Core: Datos: 8.45</v>
      </c>
      <c r="E190" s="167">
        <f xml:space="preserve"> CHOOSE(G190, M190, O190, S190,#REF!)</f>
        <v>0</v>
      </c>
      <c r="F190" s="89" t="str">
        <f t="shared" si="10"/>
        <v>Anualidad simple</v>
      </c>
      <c r="G190" s="64">
        <f t="shared" si="11"/>
        <v>2</v>
      </c>
      <c r="I190" s="89">
        <v>8</v>
      </c>
      <c r="K190" s="100">
        <v>0</v>
      </c>
      <c r="L190" s="100">
        <v>0</v>
      </c>
      <c r="M190" s="100">
        <v>0</v>
      </c>
      <c r="O190" s="100">
        <v>0</v>
      </c>
      <c r="Q190" s="55">
        <v>-2.2707645436101598E-2</v>
      </c>
      <c r="R190" s="107">
        <v>0.6339298045684586</v>
      </c>
      <c r="S190" s="100">
        <v>0</v>
      </c>
    </row>
    <row r="191" spans="3:19" outlineLevel="1" x14ac:dyDescent="0.2">
      <c r="C191" s="26" t="str">
        <v>Puertos BSC a Core: Datos: 34.37</v>
      </c>
      <c r="E191" s="167">
        <f xml:space="preserve"> CHOOSE(G191, M191, O191, S191,#REF!)</f>
        <v>0</v>
      </c>
      <c r="F191" s="89" t="str">
        <f t="shared" si="10"/>
        <v>Anualidad simple</v>
      </c>
      <c r="G191" s="64">
        <f t="shared" si="11"/>
        <v>2</v>
      </c>
      <c r="I191" s="89">
        <v>8</v>
      </c>
      <c r="K191" s="100">
        <v>0</v>
      </c>
      <c r="L191" s="100">
        <v>0</v>
      </c>
      <c r="M191" s="100">
        <v>0</v>
      </c>
      <c r="O191" s="100">
        <v>0</v>
      </c>
      <c r="Q191" s="55">
        <v>-2.2707645436101598E-2</v>
      </c>
      <c r="R191" s="107">
        <v>0.6339298045684586</v>
      </c>
      <c r="S191" s="100">
        <v>0</v>
      </c>
    </row>
    <row r="192" spans="3:19" outlineLevel="1" x14ac:dyDescent="0.2">
      <c r="C192" s="26" t="str">
        <v>Puertos BSC a Core: Datos: 155.52</v>
      </c>
      <c r="E192" s="167">
        <f xml:space="preserve"> CHOOSE(G192, M192, O192, S192,#REF!)</f>
        <v>0</v>
      </c>
      <c r="F192" s="89" t="str">
        <f t="shared" si="10"/>
        <v>Anualidad simple</v>
      </c>
      <c r="G192" s="64">
        <f t="shared" si="11"/>
        <v>2</v>
      </c>
      <c r="I192" s="89">
        <v>8</v>
      </c>
      <c r="K192" s="100">
        <v>0</v>
      </c>
      <c r="L192" s="100">
        <v>0</v>
      </c>
      <c r="M192" s="100">
        <v>0</v>
      </c>
      <c r="O192" s="100">
        <v>0</v>
      </c>
      <c r="Q192" s="55">
        <v>-2.2707645436101598E-2</v>
      </c>
      <c r="R192" s="107">
        <v>0.6339298045684586</v>
      </c>
      <c r="S192" s="100">
        <v>0</v>
      </c>
    </row>
    <row r="193" spans="3:19" outlineLevel="1" x14ac:dyDescent="0.2">
      <c r="C193" s="26" t="str">
        <v>Puertos BSC a Core: Datos: 30</v>
      </c>
      <c r="E193" s="167">
        <f xml:space="preserve"> CHOOSE(G193, M193, O193, S193,#REF!)</f>
        <v>0</v>
      </c>
      <c r="F193" s="89" t="str">
        <f t="shared" si="10"/>
        <v>Anualidad simple</v>
      </c>
      <c r="G193" s="64">
        <f t="shared" si="11"/>
        <v>2</v>
      </c>
      <c r="I193" s="89">
        <v>8</v>
      </c>
      <c r="K193" s="100">
        <v>0</v>
      </c>
      <c r="L193" s="100">
        <v>0</v>
      </c>
      <c r="M193" s="100">
        <v>0</v>
      </c>
      <c r="O193" s="100">
        <v>0</v>
      </c>
      <c r="Q193" s="55">
        <v>-2.2707645436101598E-2</v>
      </c>
      <c r="R193" s="107">
        <v>0.6339298045684586</v>
      </c>
      <c r="S193" s="100">
        <v>0</v>
      </c>
    </row>
    <row r="194" spans="3:19" outlineLevel="1" x14ac:dyDescent="0.2">
      <c r="C194" s="26" t="str">
        <v>Puertos BSC a Core: Datos: 100</v>
      </c>
      <c r="E194" s="167">
        <f xml:space="preserve"> CHOOSE(G194, M194, O194, S194,#REF!)</f>
        <v>0</v>
      </c>
      <c r="F194" s="89" t="str">
        <f t="shared" si="10"/>
        <v>Anualidad simple</v>
      </c>
      <c r="G194" s="64">
        <f t="shared" si="11"/>
        <v>2</v>
      </c>
      <c r="I194" s="89">
        <v>8</v>
      </c>
      <c r="K194" s="100">
        <v>0</v>
      </c>
      <c r="L194" s="100">
        <v>0</v>
      </c>
      <c r="M194" s="100">
        <v>0</v>
      </c>
      <c r="O194" s="100">
        <v>0</v>
      </c>
      <c r="Q194" s="55">
        <v>-2.2707645436101598E-2</v>
      </c>
      <c r="R194" s="107">
        <v>0.6339298045684586</v>
      </c>
      <c r="S194" s="100">
        <v>0</v>
      </c>
    </row>
    <row r="195" spans="3:19" outlineLevel="1" x14ac:dyDescent="0.2">
      <c r="C195" s="26" t="str">
        <v>Puertos BSC a Core: Datos: 1024</v>
      </c>
      <c r="E195" s="167">
        <f xml:space="preserve"> CHOOSE(G195, M195, O195, S195,#REF!)</f>
        <v>0</v>
      </c>
      <c r="F195" s="89" t="str">
        <f t="shared" si="10"/>
        <v>Anualidad simple</v>
      </c>
      <c r="G195" s="64">
        <f t="shared" si="11"/>
        <v>2</v>
      </c>
      <c r="I195" s="89">
        <v>8</v>
      </c>
      <c r="K195" s="100">
        <v>0</v>
      </c>
      <c r="L195" s="100">
        <v>0</v>
      </c>
      <c r="M195" s="100">
        <v>0</v>
      </c>
      <c r="O195" s="100">
        <v>0</v>
      </c>
      <c r="Q195" s="55">
        <v>-2.2707645436101598E-2</v>
      </c>
      <c r="R195" s="107">
        <v>0.6339298045684586</v>
      </c>
      <c r="S195" s="100">
        <v>0</v>
      </c>
    </row>
    <row r="196" spans="3:19" outlineLevel="1" x14ac:dyDescent="0.2">
      <c r="C196" s="26" t="str">
        <v>Puertos RNC a Core: Voz: 34.4</v>
      </c>
      <c r="E196" s="167">
        <f xml:space="preserve"> CHOOSE(G196, M196, O196, S196,#REF!)</f>
        <v>0</v>
      </c>
      <c r="F196" s="89" t="str">
        <f t="shared" si="10"/>
        <v>Anualidad simple</v>
      </c>
      <c r="G196" s="64">
        <f t="shared" si="11"/>
        <v>2</v>
      </c>
      <c r="I196" s="89">
        <v>8</v>
      </c>
      <c r="K196" s="100">
        <v>0</v>
      </c>
      <c r="L196" s="100">
        <v>0</v>
      </c>
      <c r="M196" s="100">
        <v>0</v>
      </c>
      <c r="O196" s="100">
        <v>0</v>
      </c>
      <c r="Q196" s="55">
        <v>-2.2707645436101598E-2</v>
      </c>
      <c r="R196" s="107">
        <v>0.6339298045684586</v>
      </c>
      <c r="S196" s="100">
        <v>0</v>
      </c>
    </row>
    <row r="197" spans="3:19" outlineLevel="1" x14ac:dyDescent="0.2">
      <c r="C197" s="26" t="str">
        <v>Puertos RNC a Core: Voz: 155.52</v>
      </c>
      <c r="E197" s="167">
        <f xml:space="preserve"> CHOOSE(G197, M197, O197, S197,#REF!)</f>
        <v>0</v>
      </c>
      <c r="F197" s="89" t="str">
        <f t="shared" si="10"/>
        <v>Anualidad simple</v>
      </c>
      <c r="G197" s="64">
        <f t="shared" si="11"/>
        <v>2</v>
      </c>
      <c r="I197" s="89">
        <v>8</v>
      </c>
      <c r="K197" s="100">
        <v>0</v>
      </c>
      <c r="L197" s="100">
        <v>0</v>
      </c>
      <c r="M197" s="100">
        <v>0</v>
      </c>
      <c r="O197" s="100">
        <v>0</v>
      </c>
      <c r="Q197" s="55">
        <v>-2.2707645436101598E-2</v>
      </c>
      <c r="R197" s="107">
        <v>0.6339298045684586</v>
      </c>
      <c r="S197" s="100">
        <v>0</v>
      </c>
    </row>
    <row r="198" spans="3:19" outlineLevel="1" x14ac:dyDescent="0.2">
      <c r="C198" s="26" t="str">
        <v>Puertos RNC a Core: Voz: 622.08</v>
      </c>
      <c r="E198" s="167">
        <f xml:space="preserve"> CHOOSE(G198, M198, O198, S198,#REF!)</f>
        <v>0</v>
      </c>
      <c r="F198" s="89" t="str">
        <f t="shared" si="10"/>
        <v>Anualidad simple</v>
      </c>
      <c r="G198" s="64">
        <f t="shared" si="11"/>
        <v>2</v>
      </c>
      <c r="I198" s="89">
        <v>8</v>
      </c>
      <c r="K198" s="100">
        <v>0</v>
      </c>
      <c r="L198" s="100">
        <v>0</v>
      </c>
      <c r="M198" s="100">
        <v>0</v>
      </c>
      <c r="O198" s="100">
        <v>0</v>
      </c>
      <c r="Q198" s="55">
        <v>-2.2707645436101598E-2</v>
      </c>
      <c r="R198" s="107">
        <v>0.6339298045684586</v>
      </c>
      <c r="S198" s="100">
        <v>0</v>
      </c>
    </row>
    <row r="199" spans="3:19" outlineLevel="1" x14ac:dyDescent="0.2">
      <c r="C199" s="26" t="str">
        <v>Puertos RNC a Core: Voz: 100</v>
      </c>
      <c r="E199" s="167">
        <f xml:space="preserve"> CHOOSE(G199, M199, O199, S199,#REF!)</f>
        <v>244.15293875322038</v>
      </c>
      <c r="F199" s="89" t="str">
        <f t="shared" si="10"/>
        <v>Anualidad simple</v>
      </c>
      <c r="G199" s="64">
        <f t="shared" si="11"/>
        <v>2</v>
      </c>
      <c r="I199" s="89">
        <v>8</v>
      </c>
      <c r="K199" s="100">
        <v>158.125</v>
      </c>
      <c r="L199" s="100">
        <v>68.373249999999999</v>
      </c>
      <c r="M199" s="100">
        <v>226.49824999999998</v>
      </c>
      <c r="O199" s="100">
        <v>244.15293875322038</v>
      </c>
      <c r="Q199" s="55">
        <v>-2.2707645436101598E-2</v>
      </c>
      <c r="R199" s="107">
        <v>0.6339298045684586</v>
      </c>
      <c r="S199" s="100">
        <v>261.02522753179545</v>
      </c>
    </row>
    <row r="200" spans="3:19" outlineLevel="1" x14ac:dyDescent="0.2">
      <c r="C200" s="26" t="str">
        <v>Puertos RNC a Core: Voz: 1024</v>
      </c>
      <c r="E200" s="167">
        <f xml:space="preserve"> CHOOSE(G200, M200, O200, S200,#REF!)</f>
        <v>3022.4782773718825</v>
      </c>
      <c r="F200" s="89" t="str">
        <f t="shared" si="10"/>
        <v>Anualidad simple</v>
      </c>
      <c r="G200" s="64">
        <f t="shared" si="11"/>
        <v>2</v>
      </c>
      <c r="I200" s="89">
        <v>8</v>
      </c>
      <c r="K200" s="100">
        <v>1957.5</v>
      </c>
      <c r="L200" s="100">
        <v>846.423</v>
      </c>
      <c r="M200" s="100">
        <v>2803.9229999999998</v>
      </c>
      <c r="O200" s="100">
        <v>3022.4782773718825</v>
      </c>
      <c r="Q200" s="55">
        <v>-2.2707645436101598E-2</v>
      </c>
      <c r="R200" s="107">
        <v>0.6339298045684586</v>
      </c>
      <c r="S200" s="100">
        <v>3231.3478760062585</v>
      </c>
    </row>
    <row r="201" spans="3:19" outlineLevel="1" x14ac:dyDescent="0.2">
      <c r="C201" s="26" t="str">
        <v>Puertos RNC a Core: Voz: 2488</v>
      </c>
      <c r="E201" s="167">
        <f xml:space="preserve"> CHOOSE(G201, M201, O201, S201,#REF!)</f>
        <v>0</v>
      </c>
      <c r="F201" s="89" t="str">
        <f t="shared" ref="F201:F208" si="12">CTRL.depreciation.selected</f>
        <v>Anualidad simple</v>
      </c>
      <c r="G201" s="64">
        <f t="shared" ref="G201:G208" si="13">MATCH(F201,Depreciation.methodologies,0)</f>
        <v>2</v>
      </c>
      <c r="I201" s="89">
        <v>8</v>
      </c>
      <c r="K201" s="100">
        <v>0</v>
      </c>
      <c r="L201" s="100">
        <v>0</v>
      </c>
      <c r="M201" s="100">
        <v>0</v>
      </c>
      <c r="O201" s="100">
        <v>0</v>
      </c>
      <c r="Q201" s="55">
        <v>-2.2707645436101598E-2</v>
      </c>
      <c r="R201" s="107">
        <v>0.6339298045684586</v>
      </c>
      <c r="S201" s="100">
        <v>0</v>
      </c>
    </row>
    <row r="202" spans="3:19" outlineLevel="1" x14ac:dyDescent="0.2">
      <c r="C202" s="26" t="str">
        <v>Puertos RNC a Core: Datos: 34.4</v>
      </c>
      <c r="E202" s="167">
        <f xml:space="preserve"> CHOOSE(G202, M202, O202, S202,#REF!)</f>
        <v>0</v>
      </c>
      <c r="F202" s="89" t="str">
        <f t="shared" si="12"/>
        <v>Anualidad simple</v>
      </c>
      <c r="G202" s="64">
        <f t="shared" si="13"/>
        <v>2</v>
      </c>
      <c r="I202" s="89">
        <v>8</v>
      </c>
      <c r="K202" s="100">
        <v>0</v>
      </c>
      <c r="L202" s="100">
        <v>0</v>
      </c>
      <c r="M202" s="100">
        <v>0</v>
      </c>
      <c r="O202" s="100">
        <v>0</v>
      </c>
      <c r="Q202" s="55">
        <v>-2.2707645436101598E-2</v>
      </c>
      <c r="R202" s="107">
        <v>0.6339298045684586</v>
      </c>
      <c r="S202" s="100">
        <v>0</v>
      </c>
    </row>
    <row r="203" spans="3:19" outlineLevel="1" x14ac:dyDescent="0.2">
      <c r="C203" s="26" t="str">
        <v>Puertos RNC a Core: Datos: 155.52</v>
      </c>
      <c r="E203" s="167">
        <f xml:space="preserve"> CHOOSE(G203, M203, O203, S203,#REF!)</f>
        <v>0</v>
      </c>
      <c r="F203" s="89" t="str">
        <f t="shared" si="12"/>
        <v>Anualidad simple</v>
      </c>
      <c r="G203" s="64">
        <f t="shared" si="13"/>
        <v>2</v>
      </c>
      <c r="I203" s="89">
        <v>8</v>
      </c>
      <c r="K203" s="100">
        <v>0</v>
      </c>
      <c r="L203" s="100">
        <v>0</v>
      </c>
      <c r="M203" s="100">
        <v>0</v>
      </c>
      <c r="O203" s="100">
        <v>0</v>
      </c>
      <c r="Q203" s="55">
        <v>-2.2707645436101598E-2</v>
      </c>
      <c r="R203" s="107">
        <v>0.6339298045684586</v>
      </c>
      <c r="S203" s="100">
        <v>0</v>
      </c>
    </row>
    <row r="204" spans="3:19" outlineLevel="1" x14ac:dyDescent="0.2">
      <c r="C204" s="26" t="str">
        <v>Puertos RNC a Core: Datos: 622.08</v>
      </c>
      <c r="E204" s="167">
        <f xml:space="preserve"> CHOOSE(G204, M204, O204, S204,#REF!)</f>
        <v>0</v>
      </c>
      <c r="F204" s="89" t="str">
        <f t="shared" si="12"/>
        <v>Anualidad simple</v>
      </c>
      <c r="G204" s="64">
        <f t="shared" si="13"/>
        <v>2</v>
      </c>
      <c r="I204" s="89">
        <v>8</v>
      </c>
      <c r="K204" s="100">
        <v>0</v>
      </c>
      <c r="L204" s="100">
        <v>0</v>
      </c>
      <c r="M204" s="100">
        <v>0</v>
      </c>
      <c r="O204" s="100">
        <v>0</v>
      </c>
      <c r="Q204" s="55">
        <v>-2.2707645436101598E-2</v>
      </c>
      <c r="R204" s="107">
        <v>0.6339298045684586</v>
      </c>
      <c r="S204" s="100">
        <v>0</v>
      </c>
    </row>
    <row r="205" spans="3:19" outlineLevel="1" x14ac:dyDescent="0.2">
      <c r="C205" s="26" t="str">
        <v>Puertos RNC a Core: Datos: 100</v>
      </c>
      <c r="E205" s="167">
        <f xml:space="preserve"> CHOOSE(G205, M205, O205, S205,#REF!)</f>
        <v>0</v>
      </c>
      <c r="F205" s="89" t="str">
        <f t="shared" si="12"/>
        <v>Anualidad simple</v>
      </c>
      <c r="G205" s="64">
        <f t="shared" si="13"/>
        <v>2</v>
      </c>
      <c r="I205" s="89">
        <v>8</v>
      </c>
      <c r="K205" s="100">
        <v>0</v>
      </c>
      <c r="L205" s="100">
        <v>0</v>
      </c>
      <c r="M205" s="100">
        <v>0</v>
      </c>
      <c r="O205" s="100">
        <v>0</v>
      </c>
      <c r="Q205" s="55">
        <v>-2.2707645436101598E-2</v>
      </c>
      <c r="R205" s="107">
        <v>0.6339298045684586</v>
      </c>
      <c r="S205" s="100">
        <v>0</v>
      </c>
    </row>
    <row r="206" spans="3:19" outlineLevel="1" x14ac:dyDescent="0.2">
      <c r="C206" s="105" t="str">
        <v>Puertos RNC a Core: Datos: 1024</v>
      </c>
      <c r="E206" s="167">
        <f xml:space="preserve"> CHOOSE(G206, M206, O206, S206,#REF!)</f>
        <v>0</v>
      </c>
      <c r="F206" s="89" t="str">
        <f t="shared" si="12"/>
        <v>Anualidad simple</v>
      </c>
      <c r="G206" s="64">
        <f t="shared" si="13"/>
        <v>2</v>
      </c>
      <c r="I206" s="89">
        <v>8</v>
      </c>
      <c r="K206" s="100">
        <v>0</v>
      </c>
      <c r="L206" s="100">
        <v>0</v>
      </c>
      <c r="M206" s="100">
        <v>0</v>
      </c>
      <c r="O206" s="100">
        <v>0</v>
      </c>
      <c r="Q206" s="55">
        <v>-2.2707645436101598E-2</v>
      </c>
      <c r="R206" s="107">
        <v>0.6339298045684586</v>
      </c>
      <c r="S206" s="100">
        <v>0</v>
      </c>
    </row>
    <row r="207" spans="3:19" outlineLevel="1" x14ac:dyDescent="0.2">
      <c r="C207" s="105" t="str">
        <v>Puertos RNC a Core: Datos: 2488</v>
      </c>
      <c r="E207" s="167">
        <f xml:space="preserve"> CHOOSE(G207, M207, O207, S207,#REF!)</f>
        <v>8526.052228793289</v>
      </c>
      <c r="F207" s="89" t="str">
        <f t="shared" si="12"/>
        <v>Anualidad simple</v>
      </c>
      <c r="G207" s="64">
        <f t="shared" si="13"/>
        <v>2</v>
      </c>
      <c r="I207" s="89">
        <v>8</v>
      </c>
      <c r="K207" s="100">
        <v>5521.875</v>
      </c>
      <c r="L207" s="100">
        <v>2387.6587500000001</v>
      </c>
      <c r="M207" s="100">
        <v>7909.5337500000005</v>
      </c>
      <c r="O207" s="100">
        <v>8526.052228793289</v>
      </c>
      <c r="Q207" s="55">
        <v>-2.2707645436101598E-2</v>
      </c>
      <c r="R207" s="107">
        <v>0.6339298045684586</v>
      </c>
      <c r="S207" s="100">
        <v>9115.2485582743593</v>
      </c>
    </row>
    <row r="208" spans="3:19" x14ac:dyDescent="0.2">
      <c r="C208" s="26" t="str">
        <v>Canon de espectro</v>
      </c>
      <c r="E208" s="167">
        <f xml:space="preserve"> CHOOSE(G208, M208, O208, S208,#REF!)</f>
        <v>0</v>
      </c>
      <c r="F208" s="89" t="str">
        <f t="shared" si="12"/>
        <v>Anualidad simple</v>
      </c>
      <c r="G208" s="64">
        <f t="shared" si="13"/>
        <v>2</v>
      </c>
      <c r="I208" s="89">
        <v>15</v>
      </c>
      <c r="K208" s="100">
        <v>0</v>
      </c>
      <c r="L208" s="100">
        <v>0</v>
      </c>
      <c r="M208" s="100">
        <v>0</v>
      </c>
      <c r="O208" s="100">
        <v>0</v>
      </c>
      <c r="Q208" s="55">
        <v>2.872879427778785E-2</v>
      </c>
      <c r="R208" s="107">
        <v>0.67203377841952161</v>
      </c>
      <c r="S208" s="100">
        <v>0</v>
      </c>
    </row>
    <row r="209" spans="5:5" x14ac:dyDescent="0.2">
      <c r="E209" s="88" t="s">
        <v>392</v>
      </c>
    </row>
  </sheetData>
  <pageMargins left="0.70866141732283472" right="0.70866141732283472" top="0.51181102362204722" bottom="0.51181102362204722" header="0.51181102362204722" footer="0.35433070866141736"/>
  <pageSetup paperSize="9" orientation="landscape" horizontalDpi="4294967292" verticalDpi="4294967292" r:id="rId1"/>
  <headerFooter alignWithMargins="0">
    <oddFooter xml:space="preserve">&amp;L&amp;F : &amp;A&amp;CPrinted at &amp;T on &amp;D&amp;RCommercial in confidence © Analysys Mason </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autoPageBreaks="0"/>
  </sheetPr>
  <dimension ref="A1:M7718"/>
  <sheetViews>
    <sheetView showGridLines="0" defaultGridColor="0" colorId="22" zoomScale="120" zoomScaleNormal="120" workbookViewId="0">
      <pane ySplit="1" topLeftCell="A2" activePane="bottomLeft" state="frozen"/>
      <selection pane="bottomLeft" activeCell="A2" sqref="A2"/>
    </sheetView>
  </sheetViews>
  <sheetFormatPr baseColWidth="10" defaultColWidth="12.7109375" defaultRowHeight="12" outlineLevelRow="1" x14ac:dyDescent="0.2"/>
  <cols>
    <col min="1" max="1" width="6.7109375" style="81" customWidth="1"/>
    <col min="2" max="16384" width="12.7109375" style="81"/>
  </cols>
  <sheetData>
    <row r="1" spans="2:13" s="2" customFormat="1" ht="45" customHeight="1" x14ac:dyDescent="0.2">
      <c r="E1" s="3" t="s">
        <v>906</v>
      </c>
      <c r="L1" s="2" t="s">
        <v>0</v>
      </c>
    </row>
    <row r="4" spans="2:13" ht="15.75" x14ac:dyDescent="0.2">
      <c r="B4" s="52" t="s">
        <v>906</v>
      </c>
    </row>
    <row r="6" spans="2:13" x14ac:dyDescent="0.2">
      <c r="D6" s="143" t="s">
        <v>909</v>
      </c>
      <c r="E6" s="98"/>
      <c r="F6" s="98"/>
      <c r="G6" s="98"/>
      <c r="H6" s="98"/>
      <c r="I6" s="4"/>
      <c r="J6" s="4"/>
      <c r="K6" s="4"/>
      <c r="L6" s="4"/>
    </row>
    <row r="7" spans="2:13" ht="24" x14ac:dyDescent="0.2">
      <c r="C7" s="98" t="s">
        <v>907</v>
      </c>
      <c r="D7" s="767" t="s">
        <v>908</v>
      </c>
      <c r="E7" s="767"/>
      <c r="F7" s="767"/>
      <c r="G7" s="767"/>
      <c r="H7" s="767"/>
      <c r="I7" s="4"/>
      <c r="J7" s="4"/>
      <c r="K7" s="4"/>
      <c r="L7" s="4"/>
    </row>
    <row r="8" spans="2:13" x14ac:dyDescent="0.2">
      <c r="I8" s="4"/>
      <c r="J8" s="4"/>
      <c r="K8" s="4"/>
      <c r="L8" s="4"/>
    </row>
    <row r="9" spans="2:13" x14ac:dyDescent="0.2">
      <c r="D9" s="142">
        <v>1E-3</v>
      </c>
      <c r="E9" s="142">
        <v>0.01</v>
      </c>
      <c r="F9" s="142">
        <v>0.02</v>
      </c>
      <c r="G9" s="142">
        <v>0.03</v>
      </c>
      <c r="H9" s="142">
        <v>0.05</v>
      </c>
      <c r="I9" s="138" t="s">
        <v>395</v>
      </c>
      <c r="J9" s="4"/>
      <c r="K9" s="4"/>
      <c r="L9" s="4"/>
      <c r="M9"/>
    </row>
    <row r="10" spans="2:13" x14ac:dyDescent="0.2">
      <c r="C10" s="139">
        <v>0</v>
      </c>
      <c r="D10" s="248">
        <v>0</v>
      </c>
      <c r="E10" s="248">
        <v>0</v>
      </c>
      <c r="F10" s="248">
        <v>0</v>
      </c>
      <c r="G10" s="248">
        <v>0</v>
      </c>
      <c r="H10" s="248">
        <v>0</v>
      </c>
      <c r="I10"/>
      <c r="J10"/>
      <c r="K10"/>
      <c r="L10"/>
      <c r="M10"/>
    </row>
    <row r="11" spans="2:13" hidden="1" outlineLevel="1" x14ac:dyDescent="0.2">
      <c r="C11" s="141">
        <v>0.1</v>
      </c>
      <c r="D11" s="229">
        <v>1E-4</v>
      </c>
      <c r="E11" s="229">
        <v>1.01E-3</v>
      </c>
      <c r="F11" s="229">
        <v>2.0400000000000001E-3</v>
      </c>
      <c r="G11" s="229">
        <v>3.0899999999999999E-3</v>
      </c>
      <c r="H11" s="229">
        <v>5.2599999999999999E-3</v>
      </c>
      <c r="I11"/>
      <c r="J11"/>
      <c r="K11"/>
      <c r="L11"/>
      <c r="M11"/>
    </row>
    <row r="12" spans="2:13" hidden="1" outlineLevel="1" x14ac:dyDescent="0.2">
      <c r="C12" s="141">
        <v>0.2</v>
      </c>
      <c r="D12" s="229">
        <v>2.0000000000000001E-4</v>
      </c>
      <c r="E12" s="229">
        <v>2.0200000000000001E-3</v>
      </c>
      <c r="F12" s="229">
        <v>4.0800000000000003E-3</v>
      </c>
      <c r="G12" s="229">
        <v>6.1799999999999997E-3</v>
      </c>
      <c r="H12" s="229">
        <v>1.052E-2</v>
      </c>
      <c r="I12"/>
      <c r="J12"/>
      <c r="K12"/>
      <c r="L12"/>
      <c r="M12"/>
    </row>
    <row r="13" spans="2:13" hidden="1" outlineLevel="1" x14ac:dyDescent="0.2">
      <c r="C13" s="141">
        <v>0.3</v>
      </c>
      <c r="D13" s="229">
        <v>3.0000000000000003E-4</v>
      </c>
      <c r="E13" s="229">
        <v>3.0300000000000001E-3</v>
      </c>
      <c r="F13" s="229">
        <v>6.1200000000000004E-3</v>
      </c>
      <c r="G13" s="229">
        <v>9.2700000000000005E-3</v>
      </c>
      <c r="H13" s="229">
        <v>1.5779999999999999E-2</v>
      </c>
      <c r="I13"/>
      <c r="J13"/>
      <c r="K13"/>
      <c r="L13"/>
      <c r="M13"/>
    </row>
    <row r="14" spans="2:13" hidden="1" outlineLevel="1" x14ac:dyDescent="0.2">
      <c r="C14" s="141">
        <v>0.4</v>
      </c>
      <c r="D14" s="229">
        <v>4.0000000000000002E-4</v>
      </c>
      <c r="E14" s="229">
        <v>4.0400000000000002E-3</v>
      </c>
      <c r="F14" s="229">
        <v>8.1600000000000006E-3</v>
      </c>
      <c r="G14" s="229">
        <v>1.2359999999999999E-2</v>
      </c>
      <c r="H14" s="229">
        <v>2.104E-2</v>
      </c>
      <c r="I14"/>
      <c r="J14"/>
      <c r="K14"/>
      <c r="L14"/>
      <c r="M14"/>
    </row>
    <row r="15" spans="2:13" hidden="1" outlineLevel="1" x14ac:dyDescent="0.2">
      <c r="C15" s="141">
        <v>0.5</v>
      </c>
      <c r="D15" s="229">
        <v>5.0000000000000001E-4</v>
      </c>
      <c r="E15" s="229">
        <v>5.0500000000000007E-3</v>
      </c>
      <c r="F15" s="229">
        <v>1.0200000000000001E-2</v>
      </c>
      <c r="G15" s="229">
        <v>1.5449999999999998E-2</v>
      </c>
      <c r="H15" s="229">
        <v>2.63E-2</v>
      </c>
      <c r="I15"/>
      <c r="J15"/>
      <c r="K15"/>
      <c r="L15"/>
      <c r="M15"/>
    </row>
    <row r="16" spans="2:13" hidden="1" outlineLevel="1" x14ac:dyDescent="0.2">
      <c r="C16" s="141">
        <v>0.6</v>
      </c>
      <c r="D16" s="229">
        <v>6.0000000000000006E-4</v>
      </c>
      <c r="E16" s="229">
        <v>6.0600000000000011E-3</v>
      </c>
      <c r="F16" s="229">
        <v>1.2240000000000001E-2</v>
      </c>
      <c r="G16" s="229">
        <v>1.8539999999999997E-2</v>
      </c>
      <c r="H16" s="229">
        <v>3.1559999999999998E-2</v>
      </c>
      <c r="I16"/>
      <c r="J16"/>
      <c r="K16"/>
      <c r="L16"/>
      <c r="M16"/>
    </row>
    <row r="17" spans="3:13" hidden="1" outlineLevel="1" x14ac:dyDescent="0.2">
      <c r="C17" s="141">
        <v>0.7</v>
      </c>
      <c r="D17" s="229">
        <v>7.000000000000001E-4</v>
      </c>
      <c r="E17" s="229">
        <v>7.0700000000000016E-3</v>
      </c>
      <c r="F17" s="229">
        <v>1.4280000000000001E-2</v>
      </c>
      <c r="G17" s="229">
        <v>2.1629999999999996E-2</v>
      </c>
      <c r="H17" s="229">
        <v>3.6819999999999999E-2</v>
      </c>
      <c r="I17"/>
      <c r="J17"/>
      <c r="K17"/>
      <c r="L17"/>
      <c r="M17"/>
    </row>
    <row r="18" spans="3:13" hidden="1" outlineLevel="1" x14ac:dyDescent="0.2">
      <c r="C18" s="141">
        <v>0.8</v>
      </c>
      <c r="D18" s="229">
        <v>8.0000000000000015E-4</v>
      </c>
      <c r="E18" s="229">
        <v>8.0800000000000021E-3</v>
      </c>
      <c r="F18" s="229">
        <v>1.6320000000000001E-2</v>
      </c>
      <c r="G18" s="229">
        <v>2.4719999999999995E-2</v>
      </c>
      <c r="H18" s="229">
        <v>4.2079999999999999E-2</v>
      </c>
      <c r="I18"/>
      <c r="J18"/>
      <c r="K18"/>
      <c r="L18"/>
      <c r="M18"/>
    </row>
    <row r="19" spans="3:13" hidden="1" outlineLevel="1" x14ac:dyDescent="0.2">
      <c r="C19" s="141">
        <v>0.9</v>
      </c>
      <c r="D19" s="229">
        <v>9.0000000000000019E-4</v>
      </c>
      <c r="E19" s="229">
        <v>9.0900000000000026E-3</v>
      </c>
      <c r="F19" s="229">
        <v>1.8360000000000001E-2</v>
      </c>
      <c r="G19" s="229">
        <v>2.7809999999999994E-2</v>
      </c>
      <c r="H19" s="229">
        <v>4.734E-2</v>
      </c>
      <c r="I19"/>
      <c r="J19"/>
      <c r="K19"/>
      <c r="L19"/>
      <c r="M19"/>
    </row>
    <row r="20" spans="3:13" hidden="1" outlineLevel="1" x14ac:dyDescent="0.2">
      <c r="C20" s="141">
        <v>1</v>
      </c>
      <c r="D20" s="248">
        <v>1E-3</v>
      </c>
      <c r="E20" s="248">
        <v>1.01E-2</v>
      </c>
      <c r="F20" s="248">
        <v>2.0400000000000001E-2</v>
      </c>
      <c r="G20" s="248">
        <v>3.09E-2</v>
      </c>
      <c r="H20" s="248">
        <v>5.2600000000000001E-2</v>
      </c>
      <c r="I20"/>
      <c r="J20"/>
      <c r="K20"/>
      <c r="L20"/>
      <c r="M20"/>
    </row>
    <row r="21" spans="3:13" hidden="1" outlineLevel="1" x14ac:dyDescent="0.2">
      <c r="C21" s="141">
        <v>1.1000000000000001</v>
      </c>
      <c r="D21" s="229">
        <v>5.4799999999999996E-3</v>
      </c>
      <c r="E21" s="229">
        <v>2.4350000000000004E-2</v>
      </c>
      <c r="F21" s="229">
        <v>4.0710000000000003E-2</v>
      </c>
      <c r="G21" s="229">
        <v>5.5970000000000006E-2</v>
      </c>
      <c r="H21" s="229">
        <v>8.546999999999999E-2</v>
      </c>
      <c r="I21"/>
      <c r="J21"/>
      <c r="K21"/>
      <c r="L21"/>
      <c r="M21"/>
    </row>
    <row r="22" spans="3:13" hidden="1" outlineLevel="1" x14ac:dyDescent="0.2">
      <c r="C22" s="141">
        <v>1.2</v>
      </c>
      <c r="D22" s="229">
        <v>9.9600000000000001E-3</v>
      </c>
      <c r="E22" s="229">
        <v>3.8600000000000009E-2</v>
      </c>
      <c r="F22" s="229">
        <v>6.1020000000000005E-2</v>
      </c>
      <c r="G22" s="229">
        <v>8.1040000000000001E-2</v>
      </c>
      <c r="H22" s="229">
        <v>0.11833999999999999</v>
      </c>
      <c r="I22"/>
      <c r="J22"/>
      <c r="K22"/>
      <c r="L22"/>
      <c r="M22"/>
    </row>
    <row r="23" spans="3:13" hidden="1" outlineLevel="1" x14ac:dyDescent="0.2">
      <c r="C23" s="141">
        <v>1.3</v>
      </c>
      <c r="D23" s="229">
        <v>1.444E-2</v>
      </c>
      <c r="E23" s="229">
        <v>5.2850000000000008E-2</v>
      </c>
      <c r="F23" s="229">
        <v>8.1330000000000013E-2</v>
      </c>
      <c r="G23" s="229">
        <v>0.10611000000000001</v>
      </c>
      <c r="H23" s="229">
        <v>0.15120999999999998</v>
      </c>
      <c r="I23"/>
      <c r="J23"/>
      <c r="K23"/>
      <c r="L23"/>
      <c r="M23"/>
    </row>
    <row r="24" spans="3:13" hidden="1" outlineLevel="1" x14ac:dyDescent="0.2">
      <c r="C24" s="141">
        <v>1.4</v>
      </c>
      <c r="D24" s="229">
        <v>1.8919999999999999E-2</v>
      </c>
      <c r="E24" s="229">
        <v>6.7100000000000007E-2</v>
      </c>
      <c r="F24" s="229">
        <v>0.10164000000000001</v>
      </c>
      <c r="G24" s="229">
        <v>0.13118000000000002</v>
      </c>
      <c r="H24" s="229">
        <v>0.18407999999999997</v>
      </c>
      <c r="I24"/>
      <c r="J24"/>
      <c r="K24"/>
      <c r="L24"/>
      <c r="M24"/>
    </row>
    <row r="25" spans="3:13" hidden="1" outlineLevel="1" x14ac:dyDescent="0.2">
      <c r="C25" s="141">
        <v>1.5</v>
      </c>
      <c r="D25" s="229">
        <v>2.3399999999999997E-2</v>
      </c>
      <c r="E25" s="229">
        <v>8.1350000000000006E-2</v>
      </c>
      <c r="F25" s="229">
        <v>0.12195</v>
      </c>
      <c r="G25" s="229">
        <v>0.15625000000000003</v>
      </c>
      <c r="H25" s="229">
        <v>0.21694999999999998</v>
      </c>
      <c r="I25"/>
      <c r="J25"/>
      <c r="K25"/>
      <c r="L25"/>
      <c r="M25"/>
    </row>
    <row r="26" spans="3:13" hidden="1" outlineLevel="1" x14ac:dyDescent="0.2">
      <c r="C26" s="141">
        <v>1.6</v>
      </c>
      <c r="D26" s="229">
        <v>2.7879999999999995E-2</v>
      </c>
      <c r="E26" s="229">
        <v>9.5600000000000004E-2</v>
      </c>
      <c r="F26" s="229">
        <v>0.14226</v>
      </c>
      <c r="G26" s="229">
        <v>0.18132000000000004</v>
      </c>
      <c r="H26" s="229">
        <v>0.24981999999999999</v>
      </c>
      <c r="I26"/>
      <c r="J26"/>
      <c r="K26"/>
      <c r="L26"/>
      <c r="M26"/>
    </row>
    <row r="27" spans="3:13" hidden="1" outlineLevel="1" x14ac:dyDescent="0.2">
      <c r="C27" s="141">
        <v>1.7</v>
      </c>
      <c r="D27" s="229">
        <v>3.2359999999999993E-2</v>
      </c>
      <c r="E27" s="229">
        <v>0.10985</v>
      </c>
      <c r="F27" s="229">
        <v>0.16256999999999999</v>
      </c>
      <c r="G27" s="229">
        <v>0.20639000000000005</v>
      </c>
      <c r="H27" s="229">
        <v>0.28269</v>
      </c>
      <c r="I27"/>
      <c r="J27"/>
      <c r="K27"/>
      <c r="L27"/>
      <c r="M27"/>
    </row>
    <row r="28" spans="3:13" hidden="1" outlineLevel="1" x14ac:dyDescent="0.2">
      <c r="C28" s="141">
        <v>1.8</v>
      </c>
      <c r="D28" s="229">
        <v>3.6839999999999991E-2</v>
      </c>
      <c r="E28" s="229">
        <v>0.1241</v>
      </c>
      <c r="F28" s="229">
        <v>0.18287999999999999</v>
      </c>
      <c r="G28" s="229">
        <v>0.23146000000000005</v>
      </c>
      <c r="H28" s="229">
        <v>0.31556000000000001</v>
      </c>
      <c r="I28"/>
      <c r="J28"/>
      <c r="K28"/>
      <c r="L28"/>
      <c r="M28"/>
    </row>
    <row r="29" spans="3:13" hidden="1" outlineLevel="1" x14ac:dyDescent="0.2">
      <c r="C29" s="141">
        <v>1.9</v>
      </c>
      <c r="D29" s="229">
        <v>4.1319999999999989E-2</v>
      </c>
      <c r="E29" s="229">
        <v>0.13835</v>
      </c>
      <c r="F29" s="229">
        <v>0.20318999999999998</v>
      </c>
      <c r="G29" s="229">
        <v>0.25653000000000004</v>
      </c>
      <c r="H29" s="229">
        <v>0.34843000000000002</v>
      </c>
      <c r="I29"/>
      <c r="J29"/>
      <c r="K29"/>
      <c r="L29"/>
      <c r="M29"/>
    </row>
    <row r="30" spans="3:13" hidden="1" outlineLevel="1" x14ac:dyDescent="0.2">
      <c r="C30" s="141">
        <v>2</v>
      </c>
      <c r="D30" s="248">
        <v>4.58E-2</v>
      </c>
      <c r="E30" s="248">
        <v>0.15260000000000001</v>
      </c>
      <c r="F30" s="248">
        <v>0.2235</v>
      </c>
      <c r="G30" s="248">
        <v>0.28160000000000002</v>
      </c>
      <c r="H30" s="248">
        <v>0.38129999999999997</v>
      </c>
      <c r="I30"/>
      <c r="J30"/>
      <c r="K30"/>
      <c r="L30"/>
      <c r="M30"/>
    </row>
    <row r="31" spans="3:13" hidden="1" outlineLevel="1" x14ac:dyDescent="0.2">
      <c r="C31" s="141">
        <v>2.1</v>
      </c>
      <c r="D31" s="229">
        <v>6.0600000000000001E-2</v>
      </c>
      <c r="E31" s="229">
        <v>0.18289000000000002</v>
      </c>
      <c r="F31" s="229">
        <v>0.26136999999999999</v>
      </c>
      <c r="G31" s="229">
        <v>0.32495000000000002</v>
      </c>
      <c r="H31" s="229">
        <v>0.43310999999999999</v>
      </c>
      <c r="I31"/>
      <c r="J31"/>
      <c r="K31"/>
      <c r="L31"/>
      <c r="M31"/>
    </row>
    <row r="32" spans="3:13" hidden="1" outlineLevel="1" x14ac:dyDescent="0.2">
      <c r="C32" s="141">
        <v>2.2000000000000002</v>
      </c>
      <c r="D32" s="229">
        <v>7.5399999999999995E-2</v>
      </c>
      <c r="E32" s="229">
        <v>0.21318000000000004</v>
      </c>
      <c r="F32" s="229">
        <v>0.29924000000000001</v>
      </c>
      <c r="G32" s="229">
        <v>0.36830000000000002</v>
      </c>
      <c r="H32" s="229">
        <v>0.48492000000000002</v>
      </c>
      <c r="I32"/>
      <c r="J32"/>
      <c r="K32"/>
      <c r="L32"/>
      <c r="M32"/>
    </row>
    <row r="33" spans="3:13" hidden="1" outlineLevel="1" x14ac:dyDescent="0.2">
      <c r="C33" s="141">
        <v>2.2999999999999998</v>
      </c>
      <c r="D33" s="229">
        <v>9.0199999999999989E-2</v>
      </c>
      <c r="E33" s="229">
        <v>0.24347000000000005</v>
      </c>
      <c r="F33" s="229">
        <v>0.33711000000000002</v>
      </c>
      <c r="G33" s="229">
        <v>0.41165000000000002</v>
      </c>
      <c r="H33" s="229">
        <v>0.53673000000000004</v>
      </c>
      <c r="I33"/>
      <c r="J33"/>
      <c r="K33"/>
      <c r="L33"/>
      <c r="M33"/>
    </row>
    <row r="34" spans="3:13" hidden="1" outlineLevel="1" x14ac:dyDescent="0.2">
      <c r="C34" s="141">
        <v>2.4</v>
      </c>
      <c r="D34" s="229">
        <v>0.10499999999999998</v>
      </c>
      <c r="E34" s="229">
        <v>0.27376000000000006</v>
      </c>
      <c r="F34" s="229">
        <v>0.37498000000000004</v>
      </c>
      <c r="G34" s="229">
        <v>0.45500000000000002</v>
      </c>
      <c r="H34" s="229">
        <v>0.58854000000000006</v>
      </c>
      <c r="I34"/>
      <c r="J34"/>
      <c r="K34"/>
      <c r="L34"/>
      <c r="M34"/>
    </row>
    <row r="35" spans="3:13" hidden="1" outlineLevel="1" x14ac:dyDescent="0.2">
      <c r="C35" s="141">
        <v>2.5</v>
      </c>
      <c r="D35" s="229">
        <v>0.11979999999999998</v>
      </c>
      <c r="E35" s="229">
        <v>0.30405000000000004</v>
      </c>
      <c r="F35" s="229">
        <v>0.41285000000000005</v>
      </c>
      <c r="G35" s="229">
        <v>0.49835000000000002</v>
      </c>
      <c r="H35" s="229">
        <v>0.64035000000000009</v>
      </c>
      <c r="I35"/>
      <c r="J35"/>
      <c r="K35"/>
      <c r="L35"/>
      <c r="M35"/>
    </row>
    <row r="36" spans="3:13" hidden="1" outlineLevel="1" x14ac:dyDescent="0.2">
      <c r="C36" s="141">
        <v>2.6</v>
      </c>
      <c r="D36" s="229">
        <v>0.13459999999999997</v>
      </c>
      <c r="E36" s="229">
        <v>0.33434000000000003</v>
      </c>
      <c r="F36" s="229">
        <v>0.45072000000000007</v>
      </c>
      <c r="G36" s="229">
        <v>0.54169999999999996</v>
      </c>
      <c r="H36" s="229">
        <v>0.69216000000000011</v>
      </c>
      <c r="I36"/>
      <c r="J36"/>
      <c r="K36"/>
      <c r="L36"/>
      <c r="M36"/>
    </row>
    <row r="37" spans="3:13" hidden="1" outlineLevel="1" x14ac:dyDescent="0.2">
      <c r="C37" s="141">
        <v>2.7</v>
      </c>
      <c r="D37" s="229">
        <v>0.14939999999999998</v>
      </c>
      <c r="E37" s="229">
        <v>0.36463000000000001</v>
      </c>
      <c r="F37" s="229">
        <v>0.48859000000000008</v>
      </c>
      <c r="G37" s="229">
        <v>0.58504999999999996</v>
      </c>
      <c r="H37" s="229">
        <v>0.74397000000000013</v>
      </c>
      <c r="I37"/>
      <c r="J37"/>
      <c r="K37"/>
      <c r="L37"/>
      <c r="M37"/>
    </row>
    <row r="38" spans="3:13" hidden="1" outlineLevel="1" x14ac:dyDescent="0.2">
      <c r="C38" s="141">
        <v>2.8</v>
      </c>
      <c r="D38" s="229">
        <v>0.16419999999999998</v>
      </c>
      <c r="E38" s="229">
        <v>0.39491999999999999</v>
      </c>
      <c r="F38" s="229">
        <v>0.52646000000000004</v>
      </c>
      <c r="G38" s="229">
        <v>0.62839999999999996</v>
      </c>
      <c r="H38" s="229">
        <v>0.79578000000000015</v>
      </c>
      <c r="I38"/>
      <c r="J38"/>
      <c r="K38"/>
      <c r="L38"/>
      <c r="M38"/>
    </row>
    <row r="39" spans="3:13" hidden="1" outlineLevel="1" x14ac:dyDescent="0.2">
      <c r="C39" s="141">
        <v>2.9</v>
      </c>
      <c r="D39" s="229">
        <v>0.17899999999999999</v>
      </c>
      <c r="E39" s="229">
        <v>0.42520999999999998</v>
      </c>
      <c r="F39" s="229">
        <v>0.56433</v>
      </c>
      <c r="G39" s="229">
        <v>0.67174999999999996</v>
      </c>
      <c r="H39" s="229">
        <v>0.84759000000000018</v>
      </c>
      <c r="I39"/>
      <c r="J39"/>
      <c r="K39"/>
      <c r="L39"/>
      <c r="M39"/>
    </row>
    <row r="40" spans="3:13" hidden="1" outlineLevel="1" x14ac:dyDescent="0.2">
      <c r="C40" s="141">
        <v>3</v>
      </c>
      <c r="D40" s="248">
        <v>0.1938</v>
      </c>
      <c r="E40" s="248">
        <v>0.45550000000000002</v>
      </c>
      <c r="F40" s="248">
        <v>0.60219999999999996</v>
      </c>
      <c r="G40" s="248">
        <v>0.71509999999999996</v>
      </c>
      <c r="H40" s="248">
        <v>0.89939999999999998</v>
      </c>
      <c r="I40"/>
      <c r="J40"/>
      <c r="K40"/>
      <c r="L40"/>
      <c r="M40"/>
    </row>
    <row r="41" spans="3:13" hidden="1" outlineLevel="1" x14ac:dyDescent="0.2">
      <c r="C41" s="141">
        <v>3.1</v>
      </c>
      <c r="D41" s="229">
        <v>0.21834999999999999</v>
      </c>
      <c r="E41" s="229">
        <v>0.49689</v>
      </c>
      <c r="F41" s="229">
        <v>0.65120999999999996</v>
      </c>
      <c r="G41" s="229">
        <v>0.76947999999999994</v>
      </c>
      <c r="H41" s="229">
        <v>0.96192</v>
      </c>
      <c r="I41"/>
      <c r="J41"/>
      <c r="K41"/>
      <c r="L41"/>
      <c r="M41"/>
    </row>
    <row r="42" spans="3:13" hidden="1" outlineLevel="1" x14ac:dyDescent="0.2">
      <c r="C42" s="141">
        <v>3.2</v>
      </c>
      <c r="D42" s="229">
        <v>0.2429</v>
      </c>
      <c r="E42" s="229">
        <v>0.53827999999999998</v>
      </c>
      <c r="F42" s="229">
        <v>0.70021999999999995</v>
      </c>
      <c r="G42" s="229">
        <v>0.82385999999999993</v>
      </c>
      <c r="H42" s="229">
        <v>1.02444</v>
      </c>
      <c r="I42"/>
      <c r="J42"/>
      <c r="K42"/>
      <c r="L42"/>
      <c r="M42"/>
    </row>
    <row r="43" spans="3:13" hidden="1" outlineLevel="1" x14ac:dyDescent="0.2">
      <c r="C43" s="141">
        <v>3.3</v>
      </c>
      <c r="D43" s="229">
        <v>0.26745000000000002</v>
      </c>
      <c r="E43" s="229">
        <v>0.57967000000000002</v>
      </c>
      <c r="F43" s="229">
        <v>0.74922999999999995</v>
      </c>
      <c r="G43" s="229">
        <v>0.87823999999999991</v>
      </c>
      <c r="H43" s="229">
        <v>1.0869599999999999</v>
      </c>
      <c r="I43"/>
      <c r="J43"/>
      <c r="K43"/>
      <c r="L43"/>
      <c r="M43"/>
    </row>
    <row r="44" spans="3:13" hidden="1" outlineLevel="1" x14ac:dyDescent="0.2">
      <c r="C44" s="141">
        <v>3.4</v>
      </c>
      <c r="D44" s="229">
        <v>0.29200000000000004</v>
      </c>
      <c r="E44" s="229">
        <v>0.62106000000000006</v>
      </c>
      <c r="F44" s="229">
        <v>0.79823999999999995</v>
      </c>
      <c r="G44" s="229">
        <v>0.93261999999999989</v>
      </c>
      <c r="H44" s="229">
        <v>1.1494799999999998</v>
      </c>
      <c r="I44"/>
      <c r="J44"/>
      <c r="K44"/>
      <c r="L44"/>
      <c r="M44"/>
    </row>
    <row r="45" spans="3:13" hidden="1" outlineLevel="1" x14ac:dyDescent="0.2">
      <c r="C45" s="141">
        <v>3.5</v>
      </c>
      <c r="D45" s="229">
        <v>0.31655000000000005</v>
      </c>
      <c r="E45" s="229">
        <v>0.66245000000000009</v>
      </c>
      <c r="F45" s="229">
        <v>0.84724999999999995</v>
      </c>
      <c r="G45" s="229">
        <v>0.98699999999999988</v>
      </c>
      <c r="H45" s="229">
        <v>1.2119999999999997</v>
      </c>
      <c r="I45"/>
      <c r="J45"/>
      <c r="K45"/>
      <c r="L45"/>
      <c r="M45"/>
    </row>
    <row r="46" spans="3:13" hidden="1" outlineLevel="1" x14ac:dyDescent="0.2">
      <c r="C46" s="141">
        <v>3.6</v>
      </c>
      <c r="D46" s="229">
        <v>0.34110000000000007</v>
      </c>
      <c r="E46" s="229">
        <v>0.70384000000000013</v>
      </c>
      <c r="F46" s="229">
        <v>0.89625999999999995</v>
      </c>
      <c r="G46" s="229">
        <v>1.04138</v>
      </c>
      <c r="H46" s="229">
        <v>1.2745199999999997</v>
      </c>
      <c r="I46"/>
      <c r="J46"/>
      <c r="K46"/>
      <c r="L46"/>
      <c r="M46"/>
    </row>
    <row r="47" spans="3:13" hidden="1" outlineLevel="1" x14ac:dyDescent="0.2">
      <c r="C47" s="141">
        <v>3.7</v>
      </c>
      <c r="D47" s="229">
        <v>0.36565000000000009</v>
      </c>
      <c r="E47" s="229">
        <v>0.74523000000000017</v>
      </c>
      <c r="F47" s="229">
        <v>0.94526999999999994</v>
      </c>
      <c r="G47" s="229">
        <v>1.0957600000000001</v>
      </c>
      <c r="H47" s="229">
        <v>1.3370399999999996</v>
      </c>
      <c r="I47"/>
      <c r="J47"/>
      <c r="K47"/>
      <c r="L47"/>
      <c r="M47"/>
    </row>
    <row r="48" spans="3:13" hidden="1" outlineLevel="1" x14ac:dyDescent="0.2">
      <c r="C48" s="141">
        <v>3.8</v>
      </c>
      <c r="D48" s="229">
        <v>0.3902000000000001</v>
      </c>
      <c r="E48" s="229">
        <v>0.78662000000000021</v>
      </c>
      <c r="F48" s="229">
        <v>0.99427999999999994</v>
      </c>
      <c r="G48" s="229">
        <v>1.1501400000000002</v>
      </c>
      <c r="H48" s="229">
        <v>1.3995599999999995</v>
      </c>
      <c r="I48"/>
      <c r="J48"/>
      <c r="K48"/>
      <c r="L48"/>
      <c r="M48"/>
    </row>
    <row r="49" spans="3:13" hidden="1" outlineLevel="1" x14ac:dyDescent="0.2">
      <c r="C49" s="141">
        <v>3.9</v>
      </c>
      <c r="D49" s="229">
        <v>0.41475000000000012</v>
      </c>
      <c r="E49" s="229">
        <v>0.82801000000000025</v>
      </c>
      <c r="F49" s="229">
        <v>1.0432900000000001</v>
      </c>
      <c r="G49" s="229">
        <v>1.2045200000000003</v>
      </c>
      <c r="H49" s="229">
        <v>1.4620799999999994</v>
      </c>
      <c r="I49"/>
      <c r="J49"/>
      <c r="K49"/>
      <c r="L49"/>
      <c r="M49"/>
    </row>
    <row r="50" spans="3:13" hidden="1" outlineLevel="1" x14ac:dyDescent="0.2">
      <c r="C50" s="141">
        <v>4</v>
      </c>
      <c r="D50" s="248">
        <v>0.43930000000000002</v>
      </c>
      <c r="E50" s="248">
        <v>0.86939999999999995</v>
      </c>
      <c r="F50" s="248">
        <v>1.0923</v>
      </c>
      <c r="G50" s="248">
        <v>1.2588999999999999</v>
      </c>
      <c r="H50" s="248">
        <v>1.5246</v>
      </c>
      <c r="I50"/>
      <c r="J50"/>
      <c r="K50"/>
      <c r="L50"/>
      <c r="M50"/>
    </row>
    <row r="51" spans="3:13" hidden="1" outlineLevel="1" x14ac:dyDescent="0.2">
      <c r="C51" s="141">
        <v>4.0999999999999996</v>
      </c>
      <c r="D51" s="229">
        <v>0.47158</v>
      </c>
      <c r="E51" s="229">
        <v>0.91853999999999991</v>
      </c>
      <c r="F51" s="229">
        <v>1.1487800000000001</v>
      </c>
      <c r="G51" s="229">
        <v>1.32053</v>
      </c>
      <c r="H51" s="229">
        <v>1.59399</v>
      </c>
      <c r="I51"/>
      <c r="J51"/>
      <c r="K51"/>
      <c r="L51"/>
      <c r="M51"/>
    </row>
    <row r="52" spans="3:13" hidden="1" outlineLevel="1" x14ac:dyDescent="0.2">
      <c r="C52" s="141">
        <v>4.2</v>
      </c>
      <c r="D52" s="229">
        <v>0.50385999999999997</v>
      </c>
      <c r="E52" s="229">
        <v>0.96767999999999987</v>
      </c>
      <c r="F52" s="229">
        <v>1.2052600000000002</v>
      </c>
      <c r="G52" s="229">
        <v>1.3821600000000001</v>
      </c>
      <c r="H52" s="229">
        <v>1.6633800000000001</v>
      </c>
      <c r="I52"/>
      <c r="J52"/>
      <c r="K52"/>
      <c r="L52"/>
      <c r="M52"/>
    </row>
    <row r="53" spans="3:13" hidden="1" outlineLevel="1" x14ac:dyDescent="0.2">
      <c r="C53" s="141">
        <v>4.3</v>
      </c>
      <c r="D53" s="229">
        <v>0.53613999999999995</v>
      </c>
      <c r="E53" s="229">
        <v>1.0168199999999998</v>
      </c>
      <c r="F53" s="229">
        <v>1.2617400000000003</v>
      </c>
      <c r="G53" s="229">
        <v>1.4437900000000001</v>
      </c>
      <c r="H53" s="229">
        <v>1.7327700000000001</v>
      </c>
      <c r="I53"/>
      <c r="J53"/>
      <c r="K53"/>
      <c r="L53"/>
      <c r="M53"/>
    </row>
    <row r="54" spans="3:13" hidden="1" outlineLevel="1" x14ac:dyDescent="0.2">
      <c r="C54" s="141">
        <v>4.4000000000000004</v>
      </c>
      <c r="D54" s="229">
        <v>0.56841999999999993</v>
      </c>
      <c r="E54" s="229">
        <v>1.0659599999999998</v>
      </c>
      <c r="F54" s="229">
        <v>1.3182200000000004</v>
      </c>
      <c r="G54" s="229">
        <v>1.5054200000000002</v>
      </c>
      <c r="H54" s="229">
        <v>1.8021600000000002</v>
      </c>
      <c r="I54"/>
      <c r="J54"/>
      <c r="K54"/>
      <c r="L54"/>
      <c r="M54"/>
    </row>
    <row r="55" spans="3:13" hidden="1" outlineLevel="1" x14ac:dyDescent="0.2">
      <c r="C55" s="141">
        <v>4.5</v>
      </c>
      <c r="D55" s="229">
        <v>0.6006999999999999</v>
      </c>
      <c r="E55" s="229">
        <v>1.1150999999999998</v>
      </c>
      <c r="F55" s="229">
        <v>1.3747000000000005</v>
      </c>
      <c r="G55" s="229">
        <v>1.5670500000000003</v>
      </c>
      <c r="H55" s="229">
        <v>1.8715500000000003</v>
      </c>
      <c r="I55"/>
      <c r="J55"/>
      <c r="K55"/>
      <c r="L55"/>
      <c r="M55"/>
    </row>
    <row r="56" spans="3:13" hidden="1" outlineLevel="1" x14ac:dyDescent="0.2">
      <c r="C56" s="141">
        <v>4.5999999999999996</v>
      </c>
      <c r="D56" s="229">
        <v>0.63297999999999988</v>
      </c>
      <c r="E56" s="229">
        <v>1.1642399999999997</v>
      </c>
      <c r="F56" s="229">
        <v>1.4311800000000006</v>
      </c>
      <c r="G56" s="229">
        <v>1.6286800000000003</v>
      </c>
      <c r="H56" s="229">
        <v>1.9409400000000003</v>
      </c>
      <c r="I56"/>
      <c r="J56"/>
      <c r="K56"/>
      <c r="L56"/>
      <c r="M56"/>
    </row>
    <row r="57" spans="3:13" hidden="1" outlineLevel="1" x14ac:dyDescent="0.2">
      <c r="C57" s="141">
        <v>4.7</v>
      </c>
      <c r="D57" s="229">
        <v>0.66525999999999985</v>
      </c>
      <c r="E57" s="229">
        <v>1.2133799999999997</v>
      </c>
      <c r="F57" s="229">
        <v>1.4876600000000006</v>
      </c>
      <c r="G57" s="229">
        <v>1.6903100000000004</v>
      </c>
      <c r="H57" s="229">
        <v>2.0103300000000002</v>
      </c>
      <c r="I57"/>
      <c r="J57"/>
      <c r="K57"/>
      <c r="L57"/>
      <c r="M57"/>
    </row>
    <row r="58" spans="3:13" hidden="1" outlineLevel="1" x14ac:dyDescent="0.2">
      <c r="C58" s="141">
        <v>4.8</v>
      </c>
      <c r="D58" s="229">
        <v>0.69753999999999983</v>
      </c>
      <c r="E58" s="229">
        <v>1.2625199999999996</v>
      </c>
      <c r="F58" s="229">
        <v>1.5441400000000007</v>
      </c>
      <c r="G58" s="229">
        <v>1.7519400000000005</v>
      </c>
      <c r="H58" s="229">
        <v>2.07972</v>
      </c>
      <c r="I58"/>
      <c r="J58"/>
      <c r="K58"/>
      <c r="L58"/>
      <c r="M58"/>
    </row>
    <row r="59" spans="3:13" hidden="1" outlineLevel="1" x14ac:dyDescent="0.2">
      <c r="C59" s="141">
        <v>4.9000000000000004</v>
      </c>
      <c r="D59" s="229">
        <v>0.7298199999999998</v>
      </c>
      <c r="E59" s="229">
        <v>1.3116599999999996</v>
      </c>
      <c r="F59" s="229">
        <v>1.6006200000000008</v>
      </c>
      <c r="G59" s="229">
        <v>1.8135700000000006</v>
      </c>
      <c r="H59" s="229">
        <v>2.1491099999999999</v>
      </c>
      <c r="I59"/>
      <c r="J59"/>
      <c r="K59"/>
      <c r="L59"/>
      <c r="M59"/>
    </row>
    <row r="60" spans="3:13" hidden="1" outlineLevel="1" x14ac:dyDescent="0.2">
      <c r="C60" s="141">
        <v>5</v>
      </c>
      <c r="D60" s="248">
        <v>0.7621</v>
      </c>
      <c r="E60" s="248">
        <v>1.3608</v>
      </c>
      <c r="F60" s="248">
        <v>1.6571</v>
      </c>
      <c r="G60" s="248">
        <v>1.8752</v>
      </c>
      <c r="H60" s="248">
        <v>2.2185000000000001</v>
      </c>
      <c r="I60"/>
      <c r="J60"/>
      <c r="K60"/>
      <c r="L60"/>
      <c r="M60"/>
    </row>
    <row r="61" spans="3:13" hidden="1" outlineLevel="1" x14ac:dyDescent="0.2">
      <c r="C61" s="141">
        <v>5.0999999999999996</v>
      </c>
      <c r="D61" s="229">
        <v>0.80047999999999997</v>
      </c>
      <c r="E61" s="229">
        <v>1.4156200000000001</v>
      </c>
      <c r="F61" s="229">
        <v>1.71898</v>
      </c>
      <c r="G61" s="229">
        <v>1.9419899999999999</v>
      </c>
      <c r="H61" s="229">
        <v>2.2926800000000003</v>
      </c>
      <c r="I61"/>
      <c r="J61"/>
      <c r="K61"/>
      <c r="L61"/>
      <c r="M61"/>
    </row>
    <row r="62" spans="3:13" hidden="1" outlineLevel="1" x14ac:dyDescent="0.2">
      <c r="C62" s="141">
        <v>5.2</v>
      </c>
      <c r="D62" s="229">
        <v>0.83885999999999994</v>
      </c>
      <c r="E62" s="229">
        <v>1.4704400000000002</v>
      </c>
      <c r="F62" s="229">
        <v>1.7808599999999999</v>
      </c>
      <c r="G62" s="229">
        <v>2.0087799999999998</v>
      </c>
      <c r="H62" s="229">
        <v>2.3668600000000004</v>
      </c>
      <c r="I62"/>
      <c r="J62"/>
      <c r="K62"/>
      <c r="L62"/>
      <c r="M62"/>
    </row>
    <row r="63" spans="3:13" hidden="1" outlineLevel="1" x14ac:dyDescent="0.2">
      <c r="C63" s="141">
        <v>5.3</v>
      </c>
      <c r="D63" s="229">
        <v>0.87723999999999991</v>
      </c>
      <c r="E63" s="229">
        <v>1.5252600000000003</v>
      </c>
      <c r="F63" s="229">
        <v>1.8427399999999998</v>
      </c>
      <c r="G63" s="229">
        <v>2.0755699999999999</v>
      </c>
      <c r="H63" s="229">
        <v>2.4410400000000005</v>
      </c>
      <c r="I63"/>
      <c r="J63"/>
      <c r="K63"/>
      <c r="L63"/>
      <c r="M63"/>
    </row>
    <row r="64" spans="3:13" hidden="1" outlineLevel="1" x14ac:dyDescent="0.2">
      <c r="C64" s="141">
        <v>5.4</v>
      </c>
      <c r="D64" s="229">
        <v>0.91561999999999988</v>
      </c>
      <c r="E64" s="229">
        <v>1.5800800000000004</v>
      </c>
      <c r="F64" s="229">
        <v>1.9046199999999998</v>
      </c>
      <c r="G64" s="229">
        <v>2.14236</v>
      </c>
      <c r="H64" s="229">
        <v>2.5152200000000007</v>
      </c>
      <c r="I64"/>
      <c r="J64"/>
      <c r="K64"/>
      <c r="L64"/>
      <c r="M64"/>
    </row>
    <row r="65" spans="3:13" hidden="1" outlineLevel="1" x14ac:dyDescent="0.2">
      <c r="C65" s="141">
        <v>5.5</v>
      </c>
      <c r="D65" s="229">
        <v>0.95399999999999985</v>
      </c>
      <c r="E65" s="229">
        <v>1.6349000000000005</v>
      </c>
      <c r="F65" s="229">
        <v>1.9664999999999997</v>
      </c>
      <c r="G65" s="229">
        <v>2.2091500000000002</v>
      </c>
      <c r="H65" s="229">
        <v>2.5894000000000008</v>
      </c>
      <c r="I65"/>
      <c r="J65"/>
      <c r="K65"/>
      <c r="L65"/>
      <c r="M65"/>
    </row>
    <row r="66" spans="3:13" hidden="1" outlineLevel="1" x14ac:dyDescent="0.2">
      <c r="C66" s="141">
        <v>5.6</v>
      </c>
      <c r="D66" s="229">
        <v>0.99237999999999982</v>
      </c>
      <c r="E66" s="229">
        <v>1.6897200000000006</v>
      </c>
      <c r="F66" s="229">
        <v>2.0283799999999998</v>
      </c>
      <c r="G66" s="229">
        <v>2.2759400000000003</v>
      </c>
      <c r="H66" s="229">
        <v>2.6635800000000009</v>
      </c>
      <c r="I66"/>
      <c r="J66"/>
      <c r="K66"/>
      <c r="L66"/>
      <c r="M66"/>
    </row>
    <row r="67" spans="3:13" hidden="1" outlineLevel="1" x14ac:dyDescent="0.2">
      <c r="C67" s="141">
        <v>5.7</v>
      </c>
      <c r="D67" s="229">
        <v>1.0307599999999999</v>
      </c>
      <c r="E67" s="229">
        <v>1.7445400000000006</v>
      </c>
      <c r="F67" s="229">
        <v>2.0902599999999998</v>
      </c>
      <c r="G67" s="229">
        <v>2.3427300000000004</v>
      </c>
      <c r="H67" s="229">
        <v>2.7377600000000011</v>
      </c>
      <c r="I67"/>
      <c r="J67"/>
      <c r="K67"/>
      <c r="L67"/>
      <c r="M67"/>
    </row>
    <row r="68" spans="3:13" hidden="1" outlineLevel="1" x14ac:dyDescent="0.2">
      <c r="C68" s="141">
        <v>5.8</v>
      </c>
      <c r="D68" s="229">
        <v>1.06914</v>
      </c>
      <c r="E68" s="229">
        <v>1.7993600000000007</v>
      </c>
      <c r="F68" s="229">
        <v>2.1521399999999997</v>
      </c>
      <c r="G68" s="229">
        <v>2.4095200000000006</v>
      </c>
      <c r="H68" s="229">
        <v>2.8119400000000012</v>
      </c>
      <c r="I68"/>
      <c r="J68"/>
      <c r="K68"/>
      <c r="L68"/>
      <c r="M68"/>
    </row>
    <row r="69" spans="3:13" hidden="1" outlineLevel="1" x14ac:dyDescent="0.2">
      <c r="C69" s="141">
        <v>5.9</v>
      </c>
      <c r="D69" s="229">
        <v>1.1075200000000001</v>
      </c>
      <c r="E69" s="229">
        <v>1.8541800000000008</v>
      </c>
      <c r="F69" s="229">
        <v>2.2140199999999997</v>
      </c>
      <c r="G69" s="229">
        <v>2.4763100000000007</v>
      </c>
      <c r="H69" s="229">
        <v>2.8861200000000014</v>
      </c>
      <c r="I69"/>
      <c r="J69"/>
      <c r="K69"/>
      <c r="L69"/>
      <c r="M69"/>
    </row>
    <row r="70" spans="3:13" hidden="1" outlineLevel="1" x14ac:dyDescent="0.2">
      <c r="C70" s="141">
        <v>5.9999999999999947</v>
      </c>
      <c r="D70" s="248">
        <v>1.1458999999999999</v>
      </c>
      <c r="E70" s="248">
        <v>1.909</v>
      </c>
      <c r="F70" s="248">
        <v>2.2759</v>
      </c>
      <c r="G70" s="248">
        <v>2.5430999999999999</v>
      </c>
      <c r="H70" s="248">
        <v>2.9603000000000002</v>
      </c>
      <c r="I70"/>
      <c r="J70"/>
      <c r="K70"/>
      <c r="L70"/>
      <c r="M70"/>
    </row>
    <row r="71" spans="3:13" hidden="1" outlineLevel="1" x14ac:dyDescent="0.2">
      <c r="C71" s="141">
        <v>6.0999999999999943</v>
      </c>
      <c r="D71" s="229">
        <v>1.1891699999999998</v>
      </c>
      <c r="E71" s="229">
        <v>1.9681900000000001</v>
      </c>
      <c r="F71" s="229">
        <v>2.34185</v>
      </c>
      <c r="G71" s="229">
        <v>2.6137600000000001</v>
      </c>
      <c r="H71" s="229">
        <v>3.0380500000000001</v>
      </c>
      <c r="I71"/>
      <c r="J71"/>
      <c r="K71"/>
      <c r="L71"/>
      <c r="M71"/>
    </row>
    <row r="72" spans="3:13" hidden="1" outlineLevel="1" x14ac:dyDescent="0.2">
      <c r="C72" s="141">
        <v>6.199999999999994</v>
      </c>
      <c r="D72" s="229">
        <v>1.2324399999999998</v>
      </c>
      <c r="E72" s="229">
        <v>2.02738</v>
      </c>
      <c r="F72" s="229">
        <v>2.4077999999999999</v>
      </c>
      <c r="G72" s="229">
        <v>2.6844200000000003</v>
      </c>
      <c r="H72" s="229">
        <v>3.1158000000000001</v>
      </c>
      <c r="I72"/>
      <c r="J72"/>
      <c r="K72"/>
      <c r="L72"/>
      <c r="M72"/>
    </row>
    <row r="73" spans="3:13" hidden="1" outlineLevel="1" x14ac:dyDescent="0.2">
      <c r="C73" s="141">
        <v>6.2999999999999936</v>
      </c>
      <c r="D73" s="229">
        <v>1.2757099999999997</v>
      </c>
      <c r="E73" s="229">
        <v>2.08657</v>
      </c>
      <c r="F73" s="229">
        <v>2.4737499999999999</v>
      </c>
      <c r="G73" s="229">
        <v>2.7550800000000004</v>
      </c>
      <c r="H73" s="229">
        <v>3.1935500000000001</v>
      </c>
      <c r="I73"/>
      <c r="J73"/>
      <c r="K73"/>
      <c r="L73"/>
      <c r="M73"/>
    </row>
    <row r="74" spans="3:13" hidden="1" outlineLevel="1" x14ac:dyDescent="0.2">
      <c r="C74" s="141">
        <v>6.3999999999999932</v>
      </c>
      <c r="D74" s="229">
        <v>1.3189799999999996</v>
      </c>
      <c r="E74" s="229">
        <v>2.1457600000000001</v>
      </c>
      <c r="F74" s="229">
        <v>2.5396999999999998</v>
      </c>
      <c r="G74" s="229">
        <v>2.8257400000000006</v>
      </c>
      <c r="H74" s="229">
        <v>3.2713000000000001</v>
      </c>
      <c r="I74"/>
      <c r="J74"/>
      <c r="K74"/>
      <c r="L74"/>
      <c r="M74"/>
    </row>
    <row r="75" spans="3:13" hidden="1" outlineLevel="1" x14ac:dyDescent="0.2">
      <c r="C75" s="141">
        <v>6.4999999999999929</v>
      </c>
      <c r="D75" s="229">
        <v>1.3622499999999995</v>
      </c>
      <c r="E75" s="229">
        <v>2.2049500000000002</v>
      </c>
      <c r="F75" s="229">
        <v>2.6056499999999998</v>
      </c>
      <c r="G75" s="229">
        <v>2.8964000000000008</v>
      </c>
      <c r="H75" s="229">
        <v>3.3490500000000001</v>
      </c>
      <c r="I75"/>
      <c r="J75"/>
      <c r="K75"/>
      <c r="L75"/>
      <c r="M75"/>
    </row>
    <row r="76" spans="3:13" hidden="1" outlineLevel="1" x14ac:dyDescent="0.2">
      <c r="C76" s="141">
        <v>6.5999999999999925</v>
      </c>
      <c r="D76" s="229">
        <v>1.4055199999999994</v>
      </c>
      <c r="E76" s="229">
        <v>2.2641400000000003</v>
      </c>
      <c r="F76" s="229">
        <v>2.6715999999999998</v>
      </c>
      <c r="G76" s="229">
        <v>2.9670600000000009</v>
      </c>
      <c r="H76" s="229">
        <v>3.4268000000000001</v>
      </c>
      <c r="I76"/>
      <c r="J76"/>
      <c r="K76"/>
      <c r="L76"/>
      <c r="M76"/>
    </row>
    <row r="77" spans="3:13" hidden="1" outlineLevel="1" x14ac:dyDescent="0.2">
      <c r="C77" s="141">
        <v>6.6999999999999922</v>
      </c>
      <c r="D77" s="229">
        <v>1.4487899999999994</v>
      </c>
      <c r="E77" s="229">
        <v>2.3233300000000003</v>
      </c>
      <c r="F77" s="229">
        <v>2.7375499999999997</v>
      </c>
      <c r="G77" s="229">
        <v>3.0377200000000011</v>
      </c>
      <c r="H77" s="229">
        <v>3.5045500000000001</v>
      </c>
      <c r="I77"/>
      <c r="J77"/>
      <c r="K77"/>
      <c r="L77"/>
      <c r="M77"/>
    </row>
    <row r="78" spans="3:13" hidden="1" outlineLevel="1" x14ac:dyDescent="0.2">
      <c r="C78" s="141">
        <v>6.7999999999999918</v>
      </c>
      <c r="D78" s="229">
        <v>1.4920599999999993</v>
      </c>
      <c r="E78" s="229">
        <v>2.3825200000000004</v>
      </c>
      <c r="F78" s="229">
        <v>2.8034999999999997</v>
      </c>
      <c r="G78" s="229">
        <v>3.1083800000000013</v>
      </c>
      <c r="H78" s="229">
        <v>3.5823</v>
      </c>
      <c r="I78"/>
      <c r="J78"/>
      <c r="K78"/>
      <c r="L78"/>
      <c r="M78"/>
    </row>
    <row r="79" spans="3:13" hidden="1" outlineLevel="1" x14ac:dyDescent="0.2">
      <c r="C79" s="141">
        <v>6.8999999999999915</v>
      </c>
      <c r="D79" s="229">
        <v>1.5353299999999992</v>
      </c>
      <c r="E79" s="229">
        <v>2.4417100000000005</v>
      </c>
      <c r="F79" s="229">
        <v>2.8694499999999996</v>
      </c>
      <c r="G79" s="229">
        <v>3.1790400000000014</v>
      </c>
      <c r="H79" s="229">
        <v>3.66005</v>
      </c>
      <c r="I79"/>
      <c r="J79"/>
      <c r="K79"/>
      <c r="L79"/>
      <c r="M79"/>
    </row>
    <row r="80" spans="3:13" hidden="1" outlineLevel="1" x14ac:dyDescent="0.2">
      <c r="C80" s="141">
        <v>6.9999999999999911</v>
      </c>
      <c r="D80" s="248">
        <v>1.5786</v>
      </c>
      <c r="E80" s="248">
        <v>2.5009000000000001</v>
      </c>
      <c r="F80" s="248">
        <v>2.9354</v>
      </c>
      <c r="G80" s="248">
        <v>3.2496999999999998</v>
      </c>
      <c r="H80" s="248">
        <v>3.7378</v>
      </c>
      <c r="I80"/>
      <c r="J80"/>
      <c r="K80"/>
      <c r="L80"/>
      <c r="M80"/>
    </row>
    <row r="81" spans="3:13" hidden="1" outlineLevel="1" x14ac:dyDescent="0.2">
      <c r="C81" s="141">
        <v>7.0999999999999908</v>
      </c>
      <c r="D81" s="229">
        <v>1.6258699999999999</v>
      </c>
      <c r="E81" s="229">
        <v>2.5635700000000003</v>
      </c>
      <c r="F81" s="229">
        <v>3.0045700000000002</v>
      </c>
      <c r="G81" s="229">
        <v>3.3233799999999998</v>
      </c>
      <c r="H81" s="229">
        <v>3.8183199999999999</v>
      </c>
      <c r="I81"/>
      <c r="J81"/>
      <c r="K81"/>
      <c r="L81"/>
      <c r="M81"/>
    </row>
    <row r="82" spans="3:13" hidden="1" outlineLevel="1" x14ac:dyDescent="0.2">
      <c r="C82" s="141">
        <v>7.1999999999999904</v>
      </c>
      <c r="D82" s="229">
        <v>1.6731399999999998</v>
      </c>
      <c r="E82" s="229">
        <v>2.6262400000000001</v>
      </c>
      <c r="F82" s="229">
        <v>3.0737400000000004</v>
      </c>
      <c r="G82" s="229">
        <v>3.3970599999999997</v>
      </c>
      <c r="H82" s="229">
        <v>3.8988399999999999</v>
      </c>
      <c r="I82"/>
      <c r="J82"/>
      <c r="K82"/>
      <c r="L82"/>
      <c r="M82"/>
    </row>
    <row r="83" spans="3:13" hidden="1" outlineLevel="1" x14ac:dyDescent="0.2">
      <c r="C83" s="141">
        <v>7.2999999999999901</v>
      </c>
      <c r="D83" s="229">
        <v>1.7204099999999998</v>
      </c>
      <c r="E83" s="229">
        <v>2.6889099999999999</v>
      </c>
      <c r="F83" s="229">
        <v>3.1429100000000005</v>
      </c>
      <c r="G83" s="229">
        <v>3.4707399999999997</v>
      </c>
      <c r="H83" s="229">
        <v>3.9793599999999998</v>
      </c>
      <c r="I83"/>
      <c r="J83"/>
      <c r="K83"/>
      <c r="L83"/>
      <c r="M83"/>
    </row>
    <row r="84" spans="3:13" hidden="1" outlineLevel="1" x14ac:dyDescent="0.2">
      <c r="C84" s="141">
        <v>7.3999999999999897</v>
      </c>
      <c r="D84" s="229">
        <v>1.7676799999999997</v>
      </c>
      <c r="E84" s="229">
        <v>2.7515799999999997</v>
      </c>
      <c r="F84" s="229">
        <v>3.2120800000000007</v>
      </c>
      <c r="G84" s="229">
        <v>3.5444199999999997</v>
      </c>
      <c r="H84" s="229">
        <v>4.0598799999999997</v>
      </c>
      <c r="I84"/>
      <c r="J84"/>
      <c r="K84"/>
      <c r="L84"/>
      <c r="M84"/>
    </row>
    <row r="85" spans="3:13" hidden="1" outlineLevel="1" x14ac:dyDescent="0.2">
      <c r="C85" s="141">
        <v>7.4999999999999893</v>
      </c>
      <c r="D85" s="229">
        <v>1.8149499999999996</v>
      </c>
      <c r="E85" s="229">
        <v>2.8142499999999995</v>
      </c>
      <c r="F85" s="229">
        <v>3.2812500000000009</v>
      </c>
      <c r="G85" s="229">
        <v>3.6180999999999996</v>
      </c>
      <c r="H85" s="229">
        <v>4.1403999999999996</v>
      </c>
      <c r="I85"/>
      <c r="J85"/>
      <c r="K85"/>
      <c r="L85"/>
      <c r="M85"/>
    </row>
    <row r="86" spans="3:13" hidden="1" outlineLevel="1" x14ac:dyDescent="0.2">
      <c r="C86" s="141">
        <v>7.599999999999989</v>
      </c>
      <c r="D86" s="229">
        <v>1.8622199999999995</v>
      </c>
      <c r="E86" s="229">
        <v>2.8769199999999993</v>
      </c>
      <c r="F86" s="229">
        <v>3.3504200000000011</v>
      </c>
      <c r="G86" s="229">
        <v>3.6917799999999996</v>
      </c>
      <c r="H86" s="229">
        <v>4.2209199999999996</v>
      </c>
      <c r="I86"/>
      <c r="J86"/>
      <c r="K86"/>
      <c r="L86"/>
      <c r="M86"/>
    </row>
    <row r="87" spans="3:13" hidden="1" outlineLevel="1" x14ac:dyDescent="0.2">
      <c r="C87" s="141">
        <v>7.6999999999999886</v>
      </c>
      <c r="D87" s="229">
        <v>1.9094899999999995</v>
      </c>
      <c r="E87" s="229">
        <v>2.939589999999999</v>
      </c>
      <c r="F87" s="229">
        <v>3.4195900000000012</v>
      </c>
      <c r="G87" s="229">
        <v>3.7654599999999996</v>
      </c>
      <c r="H87" s="229">
        <v>4.3014399999999995</v>
      </c>
      <c r="I87"/>
      <c r="J87"/>
      <c r="K87"/>
      <c r="L87"/>
      <c r="M87"/>
    </row>
    <row r="88" spans="3:13" hidden="1" outlineLevel="1" x14ac:dyDescent="0.2">
      <c r="C88" s="141">
        <v>7.7999999999999883</v>
      </c>
      <c r="D88" s="229">
        <v>1.9567599999999994</v>
      </c>
      <c r="E88" s="229">
        <v>3.0022599999999988</v>
      </c>
      <c r="F88" s="229">
        <v>3.4887600000000014</v>
      </c>
      <c r="G88" s="229">
        <v>3.8391399999999996</v>
      </c>
      <c r="H88" s="229">
        <v>4.3819599999999994</v>
      </c>
      <c r="I88"/>
      <c r="J88"/>
      <c r="K88"/>
      <c r="L88"/>
      <c r="M88"/>
    </row>
    <row r="89" spans="3:13" hidden="1" outlineLevel="1" x14ac:dyDescent="0.2">
      <c r="C89" s="141">
        <v>7.8999999999999879</v>
      </c>
      <c r="D89" s="229">
        <v>2.0040299999999993</v>
      </c>
      <c r="E89" s="229">
        <v>3.0649299999999986</v>
      </c>
      <c r="F89" s="229">
        <v>3.5579300000000016</v>
      </c>
      <c r="G89" s="229">
        <v>3.9128199999999995</v>
      </c>
      <c r="H89" s="229">
        <v>4.4624799999999993</v>
      </c>
      <c r="I89"/>
      <c r="J89"/>
      <c r="K89"/>
      <c r="L89"/>
      <c r="M89"/>
    </row>
    <row r="90" spans="3:13" hidden="1" outlineLevel="1" x14ac:dyDescent="0.2">
      <c r="C90" s="141">
        <v>7.9999999999999876</v>
      </c>
      <c r="D90" s="248">
        <v>2.0512999999999999</v>
      </c>
      <c r="E90" s="248">
        <v>3.1276000000000002</v>
      </c>
      <c r="F90" s="248">
        <v>3.6271</v>
      </c>
      <c r="G90" s="248">
        <v>3.9864999999999999</v>
      </c>
      <c r="H90" s="248">
        <v>4.5430000000000001</v>
      </c>
      <c r="I90"/>
      <c r="J90"/>
      <c r="K90"/>
      <c r="L90"/>
      <c r="M90"/>
    </row>
    <row r="91" spans="3:13" hidden="1" outlineLevel="1" x14ac:dyDescent="0.2">
      <c r="C91" s="141">
        <v>8.0999999999999872</v>
      </c>
      <c r="D91" s="229">
        <v>2.1019199999999998</v>
      </c>
      <c r="E91" s="229">
        <v>3.1930900000000002</v>
      </c>
      <c r="F91" s="229">
        <v>3.6988599999999998</v>
      </c>
      <c r="G91" s="229">
        <v>4.06264</v>
      </c>
      <c r="H91" s="229">
        <v>4.6257200000000003</v>
      </c>
      <c r="I91"/>
      <c r="J91"/>
      <c r="K91"/>
      <c r="L91"/>
      <c r="M91"/>
    </row>
    <row r="92" spans="3:13" hidden="1" outlineLevel="1" x14ac:dyDescent="0.2">
      <c r="C92" s="141">
        <v>8.1999999999999869</v>
      </c>
      <c r="D92" s="229">
        <v>2.1525399999999997</v>
      </c>
      <c r="E92" s="229">
        <v>3.2585800000000003</v>
      </c>
      <c r="F92" s="229">
        <v>3.7706199999999996</v>
      </c>
      <c r="G92" s="229">
        <v>4.1387799999999997</v>
      </c>
      <c r="H92" s="229">
        <v>4.7084400000000004</v>
      </c>
      <c r="I92"/>
      <c r="J92"/>
      <c r="K92"/>
      <c r="L92"/>
      <c r="M92"/>
    </row>
    <row r="93" spans="3:13" hidden="1" outlineLevel="1" x14ac:dyDescent="0.2">
      <c r="C93" s="141">
        <v>8.2999999999999865</v>
      </c>
      <c r="D93" s="229">
        <v>2.2031599999999996</v>
      </c>
      <c r="E93" s="229">
        <v>3.3240700000000003</v>
      </c>
      <c r="F93" s="229">
        <v>3.8423799999999995</v>
      </c>
      <c r="G93" s="229">
        <v>4.2149199999999993</v>
      </c>
      <c r="H93" s="229">
        <v>4.7911600000000005</v>
      </c>
      <c r="I93"/>
      <c r="J93"/>
      <c r="K93"/>
      <c r="L93"/>
      <c r="M93"/>
    </row>
    <row r="94" spans="3:13" hidden="1" outlineLevel="1" x14ac:dyDescent="0.2">
      <c r="C94" s="141">
        <v>8.3999999999999861</v>
      </c>
      <c r="D94" s="229">
        <v>2.2537799999999995</v>
      </c>
      <c r="E94" s="229">
        <v>3.3895600000000004</v>
      </c>
      <c r="F94" s="229">
        <v>3.9141399999999993</v>
      </c>
      <c r="G94" s="229">
        <v>4.291059999999999</v>
      </c>
      <c r="H94" s="229">
        <v>4.8738800000000007</v>
      </c>
      <c r="I94"/>
      <c r="J94"/>
      <c r="K94"/>
      <c r="L94"/>
      <c r="M94"/>
    </row>
    <row r="95" spans="3:13" hidden="1" outlineLevel="1" x14ac:dyDescent="0.2">
      <c r="C95" s="141">
        <v>8.4999999999999858</v>
      </c>
      <c r="D95" s="229">
        <v>2.3043999999999993</v>
      </c>
      <c r="E95" s="229">
        <v>3.4550500000000004</v>
      </c>
      <c r="F95" s="229">
        <v>3.9858999999999991</v>
      </c>
      <c r="G95" s="229">
        <v>4.3671999999999986</v>
      </c>
      <c r="H95" s="229">
        <v>4.9566000000000008</v>
      </c>
      <c r="I95"/>
      <c r="J95"/>
      <c r="K95"/>
      <c r="L95"/>
      <c r="M95"/>
    </row>
    <row r="96" spans="3:13" hidden="1" outlineLevel="1" x14ac:dyDescent="0.2">
      <c r="C96" s="141">
        <v>8.5999999999999854</v>
      </c>
      <c r="D96" s="229">
        <v>2.3550199999999992</v>
      </c>
      <c r="E96" s="229">
        <v>3.5205400000000004</v>
      </c>
      <c r="F96" s="229">
        <v>4.0576599999999994</v>
      </c>
      <c r="G96" s="229">
        <v>4.4433399999999983</v>
      </c>
      <c r="H96" s="229">
        <v>5.0393200000000009</v>
      </c>
      <c r="I96"/>
      <c r="J96"/>
      <c r="K96"/>
      <c r="L96"/>
      <c r="M96"/>
    </row>
    <row r="97" spans="3:13" hidden="1" outlineLevel="1" x14ac:dyDescent="0.2">
      <c r="C97" s="141">
        <v>8.6999999999999851</v>
      </c>
      <c r="D97" s="229">
        <v>2.4056399999999991</v>
      </c>
      <c r="E97" s="229">
        <v>3.5860300000000005</v>
      </c>
      <c r="F97" s="229">
        <v>4.1294199999999996</v>
      </c>
      <c r="G97" s="229">
        <v>4.5194799999999979</v>
      </c>
      <c r="H97" s="229">
        <v>5.122040000000001</v>
      </c>
      <c r="I97"/>
      <c r="J97"/>
      <c r="K97"/>
      <c r="L97"/>
      <c r="M97"/>
    </row>
    <row r="98" spans="3:13" hidden="1" outlineLevel="1" x14ac:dyDescent="0.2">
      <c r="C98" s="141">
        <v>8.7999999999999847</v>
      </c>
      <c r="D98" s="229">
        <v>2.456259999999999</v>
      </c>
      <c r="E98" s="229">
        <v>3.6515200000000005</v>
      </c>
      <c r="F98" s="229">
        <v>4.2011799999999999</v>
      </c>
      <c r="G98" s="229">
        <v>4.5956199999999976</v>
      </c>
      <c r="H98" s="229">
        <v>5.2047600000000012</v>
      </c>
      <c r="I98"/>
      <c r="J98"/>
      <c r="K98"/>
      <c r="L98"/>
      <c r="M98"/>
    </row>
    <row r="99" spans="3:13" hidden="1" outlineLevel="1" x14ac:dyDescent="0.2">
      <c r="C99" s="141">
        <v>8.8999999999999844</v>
      </c>
      <c r="D99" s="229">
        <v>2.5068799999999989</v>
      </c>
      <c r="E99" s="229">
        <v>3.7170100000000006</v>
      </c>
      <c r="F99" s="229">
        <v>4.2729400000000002</v>
      </c>
      <c r="G99" s="229">
        <v>4.6717599999999972</v>
      </c>
      <c r="H99" s="229">
        <v>5.2874800000000013</v>
      </c>
      <c r="I99"/>
      <c r="J99"/>
      <c r="K99"/>
      <c r="L99"/>
      <c r="M99"/>
    </row>
    <row r="100" spans="3:13" hidden="1" outlineLevel="1" x14ac:dyDescent="0.2">
      <c r="C100" s="141">
        <v>8.999999999999984</v>
      </c>
      <c r="D100" s="248">
        <v>2.5575000000000001</v>
      </c>
      <c r="E100" s="248">
        <v>3.7825000000000002</v>
      </c>
      <c r="F100" s="248">
        <v>4.3446999999999996</v>
      </c>
      <c r="G100" s="248">
        <v>4.7478999999999996</v>
      </c>
      <c r="H100" s="248">
        <v>5.3701999999999996</v>
      </c>
      <c r="I100"/>
      <c r="J100"/>
      <c r="K100"/>
      <c r="L100"/>
      <c r="M100"/>
    </row>
    <row r="101" spans="3:13" hidden="1" outlineLevel="1" x14ac:dyDescent="0.2">
      <c r="C101" s="141">
        <v>9.0999999999999837</v>
      </c>
      <c r="D101" s="229">
        <v>2.6109499999999999</v>
      </c>
      <c r="E101" s="229">
        <v>3.8503700000000003</v>
      </c>
      <c r="F101" s="229">
        <v>4.4186299999999994</v>
      </c>
      <c r="G101" s="229">
        <v>4.8260499999999995</v>
      </c>
      <c r="H101" s="229">
        <v>5.4547499999999998</v>
      </c>
      <c r="I101"/>
      <c r="J101"/>
      <c r="K101"/>
      <c r="L101"/>
      <c r="M101"/>
    </row>
    <row r="102" spans="3:13" hidden="1" outlineLevel="1" x14ac:dyDescent="0.2">
      <c r="C102" s="141">
        <v>9.1999999999999833</v>
      </c>
      <c r="D102" s="229">
        <v>2.6643999999999997</v>
      </c>
      <c r="E102" s="229">
        <v>3.9182400000000004</v>
      </c>
      <c r="F102" s="229">
        <v>4.4925599999999992</v>
      </c>
      <c r="G102" s="229">
        <v>4.9041999999999994</v>
      </c>
      <c r="H102" s="229">
        <v>5.5392999999999999</v>
      </c>
      <c r="I102"/>
      <c r="J102"/>
      <c r="K102"/>
      <c r="L102"/>
      <c r="M102"/>
    </row>
    <row r="103" spans="3:13" hidden="1" outlineLevel="1" x14ac:dyDescent="0.2">
      <c r="C103" s="141">
        <v>9.2999999999999829</v>
      </c>
      <c r="D103" s="229">
        <v>2.7178499999999994</v>
      </c>
      <c r="E103" s="229">
        <v>3.9861100000000005</v>
      </c>
      <c r="F103" s="229">
        <v>4.566489999999999</v>
      </c>
      <c r="G103" s="229">
        <v>4.9823499999999994</v>
      </c>
      <c r="H103" s="229">
        <v>5.62385</v>
      </c>
      <c r="I103"/>
      <c r="J103"/>
      <c r="K103"/>
      <c r="L103"/>
      <c r="M103"/>
    </row>
    <row r="104" spans="3:13" hidden="1" outlineLevel="1" x14ac:dyDescent="0.2">
      <c r="C104" s="141">
        <v>9.3999999999999826</v>
      </c>
      <c r="D104" s="229">
        <v>2.7712999999999992</v>
      </c>
      <c r="E104" s="229">
        <v>4.0539800000000001</v>
      </c>
      <c r="F104" s="229">
        <v>4.6404199999999989</v>
      </c>
      <c r="G104" s="229">
        <v>5.0604999999999993</v>
      </c>
      <c r="H104" s="229">
        <v>5.7084000000000001</v>
      </c>
      <c r="I104"/>
      <c r="J104"/>
      <c r="K104"/>
      <c r="L104"/>
      <c r="M104"/>
    </row>
    <row r="105" spans="3:13" hidden="1" outlineLevel="1" x14ac:dyDescent="0.2">
      <c r="C105" s="141">
        <v>9.4999999999999822</v>
      </c>
      <c r="D105" s="229">
        <v>2.824749999999999</v>
      </c>
      <c r="E105" s="229">
        <v>4.1218500000000002</v>
      </c>
      <c r="F105" s="229">
        <v>4.7143499999999987</v>
      </c>
      <c r="G105" s="229">
        <v>5.1386499999999993</v>
      </c>
      <c r="H105" s="229">
        <v>5.7929500000000003</v>
      </c>
      <c r="I105"/>
      <c r="J105"/>
      <c r="K105"/>
      <c r="L105"/>
      <c r="M105"/>
    </row>
    <row r="106" spans="3:13" hidden="1" outlineLevel="1" x14ac:dyDescent="0.2">
      <c r="C106" s="141">
        <v>9.5999999999999819</v>
      </c>
      <c r="D106" s="229">
        <v>2.8781999999999988</v>
      </c>
      <c r="E106" s="229">
        <v>4.1897200000000003</v>
      </c>
      <c r="F106" s="229">
        <v>4.7882799999999985</v>
      </c>
      <c r="G106" s="229">
        <v>5.2167999999999992</v>
      </c>
      <c r="H106" s="229">
        <v>5.8775000000000004</v>
      </c>
      <c r="I106"/>
      <c r="J106"/>
      <c r="K106"/>
      <c r="L106"/>
      <c r="M106"/>
    </row>
    <row r="107" spans="3:13" hidden="1" outlineLevel="1" x14ac:dyDescent="0.2">
      <c r="C107" s="141">
        <v>9.6999999999999815</v>
      </c>
      <c r="D107" s="229">
        <v>2.9316499999999985</v>
      </c>
      <c r="E107" s="229">
        <v>4.2575900000000004</v>
      </c>
      <c r="F107" s="229">
        <v>4.8622099999999984</v>
      </c>
      <c r="G107" s="229">
        <v>5.2949499999999992</v>
      </c>
      <c r="H107" s="229">
        <v>5.9620500000000005</v>
      </c>
      <c r="I107"/>
      <c r="J107"/>
      <c r="K107"/>
      <c r="L107"/>
      <c r="M107"/>
    </row>
    <row r="108" spans="3:13" hidden="1" outlineLevel="1" x14ac:dyDescent="0.2">
      <c r="C108" s="141">
        <v>9.7999999999999812</v>
      </c>
      <c r="D108" s="229">
        <v>2.9850999999999983</v>
      </c>
      <c r="E108" s="229">
        <v>4.3254600000000005</v>
      </c>
      <c r="F108" s="229">
        <v>4.9361399999999982</v>
      </c>
      <c r="G108" s="229">
        <v>5.3730999999999991</v>
      </c>
      <c r="H108" s="229">
        <v>6.0466000000000006</v>
      </c>
      <c r="I108"/>
      <c r="J108"/>
      <c r="K108"/>
      <c r="L108"/>
      <c r="M108"/>
    </row>
    <row r="109" spans="3:13" hidden="1" outlineLevel="1" x14ac:dyDescent="0.2">
      <c r="C109" s="141">
        <v>9.8999999999999808</v>
      </c>
      <c r="D109" s="229">
        <v>3.0385499999999981</v>
      </c>
      <c r="E109" s="229">
        <v>4.3933300000000006</v>
      </c>
      <c r="F109" s="229">
        <v>5.010069999999998</v>
      </c>
      <c r="G109" s="229">
        <v>5.451249999999999</v>
      </c>
      <c r="H109" s="229">
        <v>6.1311500000000008</v>
      </c>
      <c r="I109"/>
      <c r="J109"/>
      <c r="K109"/>
      <c r="L109"/>
      <c r="M109"/>
    </row>
    <row r="110" spans="3:13" hidden="1" outlineLevel="1" x14ac:dyDescent="0.2">
      <c r="C110" s="141">
        <v>9.9999999999999805</v>
      </c>
      <c r="D110" s="248">
        <v>3.0920000000000001</v>
      </c>
      <c r="E110" s="248">
        <v>4.4611999999999998</v>
      </c>
      <c r="F110" s="248">
        <v>5.0839999999999996</v>
      </c>
      <c r="G110" s="248">
        <v>5.5293999999999999</v>
      </c>
      <c r="H110" s="248">
        <v>6.2157</v>
      </c>
      <c r="I110"/>
      <c r="J110"/>
      <c r="K110"/>
      <c r="L110"/>
      <c r="M110"/>
    </row>
    <row r="111" spans="3:13" hidden="1" outlineLevel="1" x14ac:dyDescent="0.2">
      <c r="C111" s="141">
        <v>10.1</v>
      </c>
      <c r="D111" s="229">
        <v>3.14791</v>
      </c>
      <c r="E111" s="229">
        <v>4.5310699999999997</v>
      </c>
      <c r="F111" s="229">
        <v>5.1597499999999998</v>
      </c>
      <c r="G111" s="229">
        <v>5.6092599999999999</v>
      </c>
      <c r="H111" s="229">
        <v>6.3017700000000003</v>
      </c>
      <c r="I111"/>
      <c r="J111"/>
      <c r="K111"/>
      <c r="L111"/>
      <c r="M111"/>
    </row>
    <row r="112" spans="3:13" hidden="1" outlineLevel="1" x14ac:dyDescent="0.2">
      <c r="C112" s="141">
        <v>10.199999999999999</v>
      </c>
      <c r="D112" s="229">
        <v>3.2038199999999999</v>
      </c>
      <c r="E112" s="229">
        <v>4.6009399999999996</v>
      </c>
      <c r="F112" s="229">
        <v>5.2355</v>
      </c>
      <c r="G112" s="229">
        <v>5.68912</v>
      </c>
      <c r="H112" s="229">
        <v>6.3878400000000006</v>
      </c>
      <c r="I112"/>
      <c r="J112"/>
      <c r="K112"/>
      <c r="L112"/>
      <c r="M112"/>
    </row>
    <row r="113" spans="3:13" hidden="1" outlineLevel="1" x14ac:dyDescent="0.2">
      <c r="C113" s="141">
        <v>10.3</v>
      </c>
      <c r="D113" s="229">
        <v>3.2597299999999998</v>
      </c>
      <c r="E113" s="229">
        <v>4.6708099999999995</v>
      </c>
      <c r="F113" s="229">
        <v>5.3112500000000002</v>
      </c>
      <c r="G113" s="229">
        <v>5.76898</v>
      </c>
      <c r="H113" s="229">
        <v>6.4739100000000009</v>
      </c>
      <c r="I113"/>
      <c r="J113"/>
      <c r="K113"/>
      <c r="L113"/>
      <c r="M113"/>
    </row>
    <row r="114" spans="3:13" hidden="1" outlineLevel="1" x14ac:dyDescent="0.2">
      <c r="C114" s="141">
        <v>10.4</v>
      </c>
      <c r="D114" s="229">
        <v>3.3156399999999997</v>
      </c>
      <c r="E114" s="229">
        <v>4.7406799999999993</v>
      </c>
      <c r="F114" s="229">
        <v>5.3870000000000005</v>
      </c>
      <c r="G114" s="229">
        <v>5.84884</v>
      </c>
      <c r="H114" s="229">
        <v>6.5599800000000013</v>
      </c>
      <c r="I114"/>
      <c r="J114"/>
      <c r="K114"/>
      <c r="L114"/>
      <c r="M114"/>
    </row>
    <row r="115" spans="3:13" hidden="1" outlineLevel="1" x14ac:dyDescent="0.2">
      <c r="C115" s="141">
        <v>10.5</v>
      </c>
      <c r="D115" s="229">
        <v>3.3715499999999996</v>
      </c>
      <c r="E115" s="229">
        <v>4.8105499999999992</v>
      </c>
      <c r="F115" s="229">
        <v>5.4627500000000007</v>
      </c>
      <c r="G115" s="229">
        <v>5.9287000000000001</v>
      </c>
      <c r="H115" s="229">
        <v>6.6460500000000016</v>
      </c>
      <c r="I115"/>
      <c r="J115"/>
      <c r="K115"/>
      <c r="L115"/>
      <c r="M115"/>
    </row>
    <row r="116" spans="3:13" hidden="1" outlineLevel="1" x14ac:dyDescent="0.2">
      <c r="C116" s="141">
        <v>10.6</v>
      </c>
      <c r="D116" s="229">
        <v>3.4274599999999995</v>
      </c>
      <c r="E116" s="229">
        <v>4.8804199999999991</v>
      </c>
      <c r="F116" s="229">
        <v>5.5385000000000009</v>
      </c>
      <c r="G116" s="229">
        <v>6.0085600000000001</v>
      </c>
      <c r="H116" s="229">
        <v>6.7321200000000019</v>
      </c>
      <c r="I116"/>
      <c r="J116"/>
      <c r="K116"/>
      <c r="L116"/>
      <c r="M116"/>
    </row>
    <row r="117" spans="3:13" hidden="1" outlineLevel="1" x14ac:dyDescent="0.2">
      <c r="C117" s="141">
        <v>10.7</v>
      </c>
      <c r="D117" s="229">
        <v>3.4833699999999994</v>
      </c>
      <c r="E117" s="229">
        <v>4.950289999999999</v>
      </c>
      <c r="F117" s="229">
        <v>5.6142500000000011</v>
      </c>
      <c r="G117" s="229">
        <v>6.0884200000000002</v>
      </c>
      <c r="H117" s="229">
        <v>6.8181900000000022</v>
      </c>
      <c r="I117"/>
      <c r="J117"/>
      <c r="K117"/>
      <c r="L117"/>
      <c r="M117"/>
    </row>
    <row r="118" spans="3:13" hidden="1" outlineLevel="1" x14ac:dyDescent="0.2">
      <c r="C118" s="141">
        <v>10.8</v>
      </c>
      <c r="D118" s="229">
        <v>3.5392799999999993</v>
      </c>
      <c r="E118" s="229">
        <v>5.0201599999999988</v>
      </c>
      <c r="F118" s="229">
        <v>5.6900000000000013</v>
      </c>
      <c r="G118" s="229">
        <v>6.1682800000000002</v>
      </c>
      <c r="H118" s="229">
        <v>6.9042600000000025</v>
      </c>
      <c r="I118"/>
      <c r="J118"/>
      <c r="K118"/>
      <c r="L118"/>
      <c r="M118"/>
    </row>
    <row r="119" spans="3:13" hidden="1" outlineLevel="1" x14ac:dyDescent="0.2">
      <c r="C119" s="141">
        <v>10.9</v>
      </c>
      <c r="D119" s="229">
        <v>3.5951899999999992</v>
      </c>
      <c r="E119" s="229">
        <v>5.0900299999999987</v>
      </c>
      <c r="F119" s="229">
        <v>5.7657500000000015</v>
      </c>
      <c r="G119" s="229">
        <v>6.2481400000000002</v>
      </c>
      <c r="H119" s="229">
        <v>6.9903300000000028</v>
      </c>
      <c r="I119"/>
      <c r="J119"/>
      <c r="K119"/>
      <c r="L119"/>
      <c r="M119"/>
    </row>
    <row r="120" spans="3:13" hidden="1" outlineLevel="1" x14ac:dyDescent="0.2">
      <c r="C120" s="141">
        <v>11</v>
      </c>
      <c r="D120" s="248">
        <v>3.6511</v>
      </c>
      <c r="E120" s="248">
        <v>5.1599000000000004</v>
      </c>
      <c r="F120" s="248">
        <v>5.8414999999999999</v>
      </c>
      <c r="G120" s="248">
        <v>6.3280000000000003</v>
      </c>
      <c r="H120" s="248">
        <v>7.0763999999999996</v>
      </c>
      <c r="I120"/>
      <c r="J120"/>
      <c r="K120"/>
      <c r="L120"/>
      <c r="M120"/>
    </row>
    <row r="121" spans="3:13" hidden="1" outlineLevel="1" x14ac:dyDescent="0.2">
      <c r="C121" s="141">
        <v>11.1</v>
      </c>
      <c r="D121" s="229">
        <v>3.70913</v>
      </c>
      <c r="E121" s="229">
        <v>5.2315100000000001</v>
      </c>
      <c r="F121" s="229">
        <v>5.9188200000000002</v>
      </c>
      <c r="G121" s="229">
        <v>6.4093</v>
      </c>
      <c r="H121" s="229">
        <v>7.1637699999999995</v>
      </c>
      <c r="I121"/>
      <c r="J121"/>
      <c r="K121"/>
      <c r="L121"/>
      <c r="M121"/>
    </row>
    <row r="122" spans="3:13" hidden="1" outlineLevel="1" x14ac:dyDescent="0.2">
      <c r="C122" s="141">
        <v>11.2</v>
      </c>
      <c r="D122" s="229">
        <v>3.7671600000000001</v>
      </c>
      <c r="E122" s="229">
        <v>5.3031199999999998</v>
      </c>
      <c r="F122" s="229">
        <v>5.9961400000000005</v>
      </c>
      <c r="G122" s="229">
        <v>6.4905999999999997</v>
      </c>
      <c r="H122" s="229">
        <v>7.2511399999999995</v>
      </c>
      <c r="I122"/>
      <c r="J122"/>
      <c r="K122"/>
      <c r="L122"/>
      <c r="M122"/>
    </row>
    <row r="123" spans="3:13" hidden="1" outlineLevel="1" x14ac:dyDescent="0.2">
      <c r="C123" s="141">
        <v>11.3</v>
      </c>
      <c r="D123" s="229">
        <v>3.8251900000000001</v>
      </c>
      <c r="E123" s="229">
        <v>5.3747299999999996</v>
      </c>
      <c r="F123" s="229">
        <v>6.0734600000000007</v>
      </c>
      <c r="G123" s="229">
        <v>6.5718999999999994</v>
      </c>
      <c r="H123" s="229">
        <v>7.3385099999999994</v>
      </c>
      <c r="I123"/>
      <c r="J123"/>
      <c r="K123"/>
      <c r="L123"/>
      <c r="M123"/>
    </row>
    <row r="124" spans="3:13" hidden="1" outlineLevel="1" x14ac:dyDescent="0.2">
      <c r="C124" s="141">
        <v>11.4</v>
      </c>
      <c r="D124" s="229">
        <v>3.8832200000000001</v>
      </c>
      <c r="E124" s="229">
        <v>5.4463399999999993</v>
      </c>
      <c r="F124" s="229">
        <v>6.150780000000001</v>
      </c>
      <c r="G124" s="229">
        <v>6.6531999999999991</v>
      </c>
      <c r="H124" s="229">
        <v>7.4258799999999994</v>
      </c>
      <c r="I124"/>
      <c r="J124"/>
      <c r="K124"/>
      <c r="L124"/>
      <c r="M124"/>
    </row>
    <row r="125" spans="3:13" hidden="1" outlineLevel="1" x14ac:dyDescent="0.2">
      <c r="C125" s="141">
        <v>11.5</v>
      </c>
      <c r="D125" s="229">
        <v>3.9412500000000001</v>
      </c>
      <c r="E125" s="229">
        <v>5.517949999999999</v>
      </c>
      <c r="F125" s="229">
        <v>6.2281000000000013</v>
      </c>
      <c r="G125" s="229">
        <v>6.7344999999999988</v>
      </c>
      <c r="H125" s="229">
        <v>7.5132499999999993</v>
      </c>
      <c r="I125"/>
      <c r="J125"/>
      <c r="K125"/>
      <c r="L125"/>
      <c r="M125"/>
    </row>
    <row r="126" spans="3:13" hidden="1" outlineLevel="1" x14ac:dyDescent="0.2">
      <c r="C126" s="141">
        <v>11.6</v>
      </c>
      <c r="D126" s="229">
        <v>3.9992800000000002</v>
      </c>
      <c r="E126" s="229">
        <v>5.5895599999999988</v>
      </c>
      <c r="F126" s="229">
        <v>6.3054200000000016</v>
      </c>
      <c r="G126" s="229">
        <v>6.8157999999999985</v>
      </c>
      <c r="H126" s="229">
        <v>7.6006199999999993</v>
      </c>
      <c r="I126"/>
      <c r="J126"/>
      <c r="K126"/>
      <c r="L126"/>
      <c r="M126"/>
    </row>
    <row r="127" spans="3:13" hidden="1" outlineLevel="1" x14ac:dyDescent="0.2">
      <c r="C127" s="141">
        <v>11.7</v>
      </c>
      <c r="D127" s="229">
        <v>4.0573100000000002</v>
      </c>
      <c r="E127" s="229">
        <v>5.6611699999999985</v>
      </c>
      <c r="F127" s="229">
        <v>6.3827400000000019</v>
      </c>
      <c r="G127" s="229">
        <v>6.8970999999999982</v>
      </c>
      <c r="H127" s="229">
        <v>7.6879899999999992</v>
      </c>
      <c r="I127"/>
      <c r="J127"/>
      <c r="K127"/>
      <c r="L127"/>
      <c r="M127"/>
    </row>
    <row r="128" spans="3:13" hidden="1" outlineLevel="1" x14ac:dyDescent="0.2">
      <c r="C128" s="141">
        <v>11.8</v>
      </c>
      <c r="D128" s="229">
        <v>4.1153399999999998</v>
      </c>
      <c r="E128" s="229">
        <v>5.7327799999999982</v>
      </c>
      <c r="F128" s="229">
        <v>6.4600600000000021</v>
      </c>
      <c r="G128" s="229">
        <v>6.9783999999999979</v>
      </c>
      <c r="H128" s="229">
        <v>7.7753599999999992</v>
      </c>
      <c r="I128"/>
      <c r="J128"/>
      <c r="K128"/>
      <c r="L128"/>
      <c r="M128"/>
    </row>
    <row r="129" spans="3:13" hidden="1" outlineLevel="1" x14ac:dyDescent="0.2">
      <c r="C129" s="141">
        <v>11.9</v>
      </c>
      <c r="D129" s="229">
        <v>4.1733699999999994</v>
      </c>
      <c r="E129" s="229">
        <v>5.8043899999999979</v>
      </c>
      <c r="F129" s="229">
        <v>6.5373800000000024</v>
      </c>
      <c r="G129" s="229">
        <v>7.0596999999999976</v>
      </c>
      <c r="H129" s="229">
        <v>7.8627299999999991</v>
      </c>
      <c r="I129"/>
      <c r="J129"/>
      <c r="K129"/>
      <c r="L129"/>
      <c r="M129"/>
    </row>
    <row r="130" spans="3:13" hidden="1" outlineLevel="1" x14ac:dyDescent="0.2">
      <c r="C130" s="141">
        <v>12</v>
      </c>
      <c r="D130" s="248">
        <v>4.2313999999999998</v>
      </c>
      <c r="E130" s="248">
        <v>5.8760000000000003</v>
      </c>
      <c r="F130" s="248">
        <v>6.6147</v>
      </c>
      <c r="G130" s="248">
        <v>7.141</v>
      </c>
      <c r="H130" s="248">
        <v>7.9500999999999999</v>
      </c>
      <c r="I130"/>
      <c r="J130"/>
      <c r="K130"/>
      <c r="L130"/>
      <c r="M130"/>
    </row>
    <row r="131" spans="3:13" hidden="1" outlineLevel="1" x14ac:dyDescent="0.2">
      <c r="C131" s="141">
        <v>12.1</v>
      </c>
      <c r="D131" s="229">
        <v>4.2913100000000002</v>
      </c>
      <c r="E131" s="229">
        <v>5.9491200000000006</v>
      </c>
      <c r="F131" s="229">
        <v>6.6933800000000003</v>
      </c>
      <c r="G131" s="229">
        <v>7.2235700000000005</v>
      </c>
      <c r="H131" s="229">
        <v>8.0385799999999996</v>
      </c>
      <c r="I131"/>
      <c r="J131"/>
      <c r="K131"/>
      <c r="L131"/>
      <c r="M131"/>
    </row>
    <row r="132" spans="3:13" hidden="1" outlineLevel="1" x14ac:dyDescent="0.2">
      <c r="C132" s="141">
        <v>12.2</v>
      </c>
      <c r="D132" s="229">
        <v>4.3512200000000005</v>
      </c>
      <c r="E132" s="229">
        <v>6.0222400000000009</v>
      </c>
      <c r="F132" s="229">
        <v>6.7720600000000006</v>
      </c>
      <c r="G132" s="229">
        <v>7.306140000000001</v>
      </c>
      <c r="H132" s="229">
        <v>8.1270600000000002</v>
      </c>
      <c r="I132"/>
      <c r="J132"/>
      <c r="K132"/>
      <c r="L132"/>
      <c r="M132"/>
    </row>
    <row r="133" spans="3:13" hidden="1" outlineLevel="1" x14ac:dyDescent="0.2">
      <c r="C133" s="141">
        <v>12.3</v>
      </c>
      <c r="D133" s="229">
        <v>4.4111300000000009</v>
      </c>
      <c r="E133" s="229">
        <v>6.0953600000000012</v>
      </c>
      <c r="F133" s="229">
        <v>6.8507400000000009</v>
      </c>
      <c r="G133" s="229">
        <v>7.3887100000000014</v>
      </c>
      <c r="H133" s="229">
        <v>8.2155400000000007</v>
      </c>
      <c r="I133"/>
      <c r="J133"/>
      <c r="K133"/>
      <c r="L133"/>
      <c r="M133"/>
    </row>
    <row r="134" spans="3:13" hidden="1" outlineLevel="1" x14ac:dyDescent="0.2">
      <c r="C134" s="141">
        <v>12.4</v>
      </c>
      <c r="D134" s="229">
        <v>4.4710400000000012</v>
      </c>
      <c r="E134" s="229">
        <v>6.1684800000000015</v>
      </c>
      <c r="F134" s="229">
        <v>6.9294200000000012</v>
      </c>
      <c r="G134" s="229">
        <v>7.4712800000000019</v>
      </c>
      <c r="H134" s="229">
        <v>8.3040200000000013</v>
      </c>
      <c r="I134"/>
      <c r="J134"/>
      <c r="K134"/>
      <c r="L134"/>
      <c r="M134"/>
    </row>
    <row r="135" spans="3:13" hidden="1" outlineLevel="1" x14ac:dyDescent="0.2">
      <c r="C135" s="141">
        <v>12.5</v>
      </c>
      <c r="D135" s="229">
        <v>4.5309500000000016</v>
      </c>
      <c r="E135" s="229">
        <v>6.2416000000000018</v>
      </c>
      <c r="F135" s="229">
        <v>7.0081000000000016</v>
      </c>
      <c r="G135" s="229">
        <v>7.5538500000000024</v>
      </c>
      <c r="H135" s="229">
        <v>8.3925000000000018</v>
      </c>
      <c r="I135"/>
      <c r="J135"/>
      <c r="K135"/>
      <c r="L135"/>
      <c r="M135"/>
    </row>
    <row r="136" spans="3:13" hidden="1" outlineLevel="1" x14ac:dyDescent="0.2">
      <c r="C136" s="141">
        <v>12.6</v>
      </c>
      <c r="D136" s="229">
        <v>4.5908600000000019</v>
      </c>
      <c r="E136" s="229">
        <v>6.3147200000000021</v>
      </c>
      <c r="F136" s="229">
        <v>7.0867800000000019</v>
      </c>
      <c r="G136" s="229">
        <v>7.6364200000000029</v>
      </c>
      <c r="H136" s="229">
        <v>8.4809800000000024</v>
      </c>
      <c r="I136"/>
      <c r="J136"/>
      <c r="K136"/>
      <c r="L136"/>
      <c r="M136"/>
    </row>
    <row r="137" spans="3:13" hidden="1" outlineLevel="1" x14ac:dyDescent="0.2">
      <c r="C137" s="141">
        <v>12.7</v>
      </c>
      <c r="D137" s="229">
        <v>4.6507700000000023</v>
      </c>
      <c r="E137" s="229">
        <v>6.3878400000000024</v>
      </c>
      <c r="F137" s="229">
        <v>7.1654600000000022</v>
      </c>
      <c r="G137" s="229">
        <v>7.7189900000000033</v>
      </c>
      <c r="H137" s="229">
        <v>8.569460000000003</v>
      </c>
      <c r="I137"/>
      <c r="J137"/>
      <c r="K137"/>
      <c r="L137"/>
      <c r="M137"/>
    </row>
    <row r="138" spans="3:13" hidden="1" outlineLevel="1" x14ac:dyDescent="0.2">
      <c r="C138" s="141">
        <v>12.8</v>
      </c>
      <c r="D138" s="229">
        <v>4.7106800000000026</v>
      </c>
      <c r="E138" s="229">
        <v>6.4609600000000027</v>
      </c>
      <c r="F138" s="229">
        <v>7.2441400000000025</v>
      </c>
      <c r="G138" s="229">
        <v>7.8015600000000038</v>
      </c>
      <c r="H138" s="229">
        <v>8.6579400000000035</v>
      </c>
      <c r="I138"/>
      <c r="J138"/>
      <c r="K138"/>
      <c r="L138"/>
      <c r="M138"/>
    </row>
    <row r="139" spans="3:13" hidden="1" outlineLevel="1" x14ac:dyDescent="0.2">
      <c r="C139" s="141">
        <v>12.9</v>
      </c>
      <c r="D139" s="229">
        <v>4.770590000000003</v>
      </c>
      <c r="E139" s="229">
        <v>6.534080000000003</v>
      </c>
      <c r="F139" s="229">
        <v>7.3228200000000028</v>
      </c>
      <c r="G139" s="229">
        <v>7.8841300000000043</v>
      </c>
      <c r="H139" s="229">
        <v>8.7464200000000041</v>
      </c>
      <c r="I139"/>
      <c r="J139"/>
      <c r="K139"/>
      <c r="L139"/>
      <c r="M139"/>
    </row>
    <row r="140" spans="3:13" hidden="1" outlineLevel="1" x14ac:dyDescent="0.2">
      <c r="C140" s="141">
        <v>13</v>
      </c>
      <c r="D140" s="248">
        <v>4.8304999999999998</v>
      </c>
      <c r="E140" s="248">
        <v>6.6071999999999997</v>
      </c>
      <c r="F140" s="248">
        <v>7.4015000000000004</v>
      </c>
      <c r="G140" s="248">
        <v>7.9667000000000003</v>
      </c>
      <c r="H140" s="248">
        <v>8.8348999999999993</v>
      </c>
      <c r="I140"/>
      <c r="J140"/>
      <c r="K140"/>
      <c r="L140"/>
      <c r="M140"/>
    </row>
    <row r="141" spans="3:13" hidden="1" outlineLevel="1" x14ac:dyDescent="0.2">
      <c r="C141" s="141">
        <v>13.1</v>
      </c>
      <c r="D141" s="229">
        <v>4.8920899999999996</v>
      </c>
      <c r="E141" s="229">
        <v>6.6816499999999994</v>
      </c>
      <c r="F141" s="229">
        <v>7.4813800000000006</v>
      </c>
      <c r="G141" s="229">
        <v>8.0503800000000005</v>
      </c>
      <c r="H141" s="229">
        <v>8.9243600000000001</v>
      </c>
      <c r="I141"/>
      <c r="J141"/>
      <c r="K141"/>
      <c r="L141"/>
      <c r="M141"/>
    </row>
    <row r="142" spans="3:13" hidden="1" outlineLevel="1" x14ac:dyDescent="0.2">
      <c r="C142" s="141">
        <v>13.2</v>
      </c>
      <c r="D142" s="229">
        <v>4.9536799999999994</v>
      </c>
      <c r="E142" s="229">
        <v>6.7560999999999991</v>
      </c>
      <c r="F142" s="229">
        <v>7.5612600000000008</v>
      </c>
      <c r="G142" s="229">
        <v>8.1340599999999998</v>
      </c>
      <c r="H142" s="229">
        <v>9.0138200000000008</v>
      </c>
      <c r="I142"/>
      <c r="J142"/>
      <c r="K142"/>
      <c r="L142"/>
      <c r="M142"/>
    </row>
    <row r="143" spans="3:13" hidden="1" outlineLevel="1" x14ac:dyDescent="0.2">
      <c r="C143" s="141">
        <v>13.3</v>
      </c>
      <c r="D143" s="229">
        <v>5.0152699999999992</v>
      </c>
      <c r="E143" s="229">
        <v>6.8305499999999988</v>
      </c>
      <c r="F143" s="229">
        <v>7.6411400000000009</v>
      </c>
      <c r="G143" s="229">
        <v>8.2177399999999992</v>
      </c>
      <c r="H143" s="229">
        <v>9.1032800000000016</v>
      </c>
      <c r="I143"/>
      <c r="J143"/>
      <c r="K143"/>
      <c r="L143"/>
      <c r="M143"/>
    </row>
    <row r="144" spans="3:13" hidden="1" outlineLevel="1" x14ac:dyDescent="0.2">
      <c r="C144" s="141">
        <v>13.4</v>
      </c>
      <c r="D144" s="229">
        <v>5.076859999999999</v>
      </c>
      <c r="E144" s="229">
        <v>6.9049999999999985</v>
      </c>
      <c r="F144" s="229">
        <v>7.7210200000000011</v>
      </c>
      <c r="G144" s="229">
        <v>8.3014199999999985</v>
      </c>
      <c r="H144" s="229">
        <v>9.1927400000000024</v>
      </c>
      <c r="I144"/>
      <c r="J144"/>
      <c r="K144"/>
      <c r="L144"/>
      <c r="M144"/>
    </row>
    <row r="145" spans="3:13" hidden="1" outlineLevel="1" x14ac:dyDescent="0.2">
      <c r="C145" s="141">
        <v>13.5</v>
      </c>
      <c r="D145" s="229">
        <v>5.1384499999999989</v>
      </c>
      <c r="E145" s="229">
        <v>6.9794499999999982</v>
      </c>
      <c r="F145" s="229">
        <v>7.8009000000000013</v>
      </c>
      <c r="G145" s="229">
        <v>8.3850999999999978</v>
      </c>
      <c r="H145" s="229">
        <v>9.2822000000000031</v>
      </c>
      <c r="I145"/>
      <c r="J145"/>
      <c r="K145"/>
      <c r="L145"/>
      <c r="M145"/>
    </row>
    <row r="146" spans="3:13" hidden="1" outlineLevel="1" x14ac:dyDescent="0.2">
      <c r="C146" s="141">
        <v>13.6</v>
      </c>
      <c r="D146" s="229">
        <v>5.2000399999999987</v>
      </c>
      <c r="E146" s="229">
        <v>7.0538999999999978</v>
      </c>
      <c r="F146" s="229">
        <v>7.8807800000000015</v>
      </c>
      <c r="G146" s="229">
        <v>8.4687799999999971</v>
      </c>
      <c r="H146" s="229">
        <v>9.3716600000000039</v>
      </c>
      <c r="I146"/>
      <c r="J146"/>
      <c r="K146"/>
      <c r="L146"/>
      <c r="M146"/>
    </row>
    <row r="147" spans="3:13" hidden="1" outlineLevel="1" x14ac:dyDescent="0.2">
      <c r="C147" s="141">
        <v>13.7</v>
      </c>
      <c r="D147" s="229">
        <v>5.2616299999999985</v>
      </c>
      <c r="E147" s="229">
        <v>7.1283499999999975</v>
      </c>
      <c r="F147" s="229">
        <v>7.9606600000000016</v>
      </c>
      <c r="G147" s="229">
        <v>8.5524599999999964</v>
      </c>
      <c r="H147" s="229">
        <v>9.4611200000000046</v>
      </c>
      <c r="I147"/>
      <c r="J147"/>
      <c r="K147"/>
      <c r="L147"/>
      <c r="M147"/>
    </row>
    <row r="148" spans="3:13" hidden="1" outlineLevel="1" x14ac:dyDescent="0.2">
      <c r="C148" s="141">
        <v>13.8</v>
      </c>
      <c r="D148" s="229">
        <v>5.3232199999999983</v>
      </c>
      <c r="E148" s="229">
        <v>7.2027999999999972</v>
      </c>
      <c r="F148" s="229">
        <v>8.0405400000000018</v>
      </c>
      <c r="G148" s="229">
        <v>8.6361399999999957</v>
      </c>
      <c r="H148" s="229">
        <v>9.5505800000000054</v>
      </c>
      <c r="I148"/>
      <c r="J148"/>
      <c r="K148"/>
      <c r="L148"/>
      <c r="M148"/>
    </row>
    <row r="149" spans="3:13" hidden="1" outlineLevel="1" x14ac:dyDescent="0.2">
      <c r="C149" s="141">
        <v>13.9</v>
      </c>
      <c r="D149" s="229">
        <v>5.3848099999999981</v>
      </c>
      <c r="E149" s="229">
        <v>7.2772499999999969</v>
      </c>
      <c r="F149" s="229">
        <v>8.1204200000000011</v>
      </c>
      <c r="G149" s="229">
        <v>8.719819999999995</v>
      </c>
      <c r="H149" s="229">
        <v>9.6400400000000062</v>
      </c>
      <c r="I149"/>
      <c r="J149"/>
      <c r="K149"/>
      <c r="L149"/>
      <c r="M149"/>
    </row>
    <row r="150" spans="3:13" hidden="1" outlineLevel="1" x14ac:dyDescent="0.2">
      <c r="C150" s="141">
        <v>14</v>
      </c>
      <c r="D150" s="248">
        <v>5.4463999999999997</v>
      </c>
      <c r="E150" s="248">
        <v>7.3517000000000001</v>
      </c>
      <c r="F150" s="248">
        <v>8.2003000000000004</v>
      </c>
      <c r="G150" s="248">
        <v>8.8034999999999997</v>
      </c>
      <c r="H150" s="248">
        <v>9.7294999999999998</v>
      </c>
      <c r="I150"/>
      <c r="J150"/>
      <c r="K150"/>
      <c r="L150"/>
      <c r="M150"/>
    </row>
    <row r="151" spans="3:13" hidden="1" outlineLevel="1" x14ac:dyDescent="0.2">
      <c r="C151" s="141">
        <v>14.1</v>
      </c>
      <c r="D151" s="229">
        <v>5.5094799999999999</v>
      </c>
      <c r="E151" s="229">
        <v>7.4273300000000004</v>
      </c>
      <c r="F151" s="229">
        <v>8.2812300000000008</v>
      </c>
      <c r="G151" s="229">
        <v>8.8881499999999996</v>
      </c>
      <c r="H151" s="229">
        <v>9.81982</v>
      </c>
      <c r="I151"/>
      <c r="J151"/>
      <c r="K151"/>
      <c r="L151"/>
      <c r="M151"/>
    </row>
    <row r="152" spans="3:13" hidden="1" outlineLevel="1" x14ac:dyDescent="0.2">
      <c r="C152" s="141">
        <v>14.2</v>
      </c>
      <c r="D152" s="229">
        <v>5.5725600000000002</v>
      </c>
      <c r="E152" s="229">
        <v>7.5029600000000007</v>
      </c>
      <c r="F152" s="229">
        <v>8.3621600000000011</v>
      </c>
      <c r="G152" s="229">
        <v>8.9727999999999994</v>
      </c>
      <c r="H152" s="229">
        <v>9.9101400000000002</v>
      </c>
      <c r="I152"/>
      <c r="J152"/>
      <c r="K152"/>
      <c r="L152"/>
      <c r="M152"/>
    </row>
    <row r="153" spans="3:13" hidden="1" outlineLevel="1" x14ac:dyDescent="0.2">
      <c r="C153" s="141">
        <v>14.3</v>
      </c>
      <c r="D153" s="229">
        <v>5.6356400000000004</v>
      </c>
      <c r="E153" s="229">
        <v>7.578590000000001</v>
      </c>
      <c r="F153" s="229">
        <v>8.4430900000000015</v>
      </c>
      <c r="G153" s="229">
        <v>9.0574499999999993</v>
      </c>
      <c r="H153" s="229">
        <v>10.00046</v>
      </c>
      <c r="I153"/>
      <c r="J153"/>
      <c r="K153"/>
      <c r="L153"/>
      <c r="M153"/>
    </row>
    <row r="154" spans="3:13" hidden="1" outlineLevel="1" x14ac:dyDescent="0.2">
      <c r="C154" s="141">
        <v>14.4</v>
      </c>
      <c r="D154" s="229">
        <v>5.6987200000000007</v>
      </c>
      <c r="E154" s="229">
        <v>7.6542200000000014</v>
      </c>
      <c r="F154" s="229">
        <v>8.5240200000000019</v>
      </c>
      <c r="G154" s="229">
        <v>9.1420999999999992</v>
      </c>
      <c r="H154" s="229">
        <v>10.090780000000001</v>
      </c>
      <c r="I154"/>
      <c r="J154"/>
      <c r="K154"/>
      <c r="L154"/>
      <c r="M154"/>
    </row>
    <row r="155" spans="3:13" hidden="1" outlineLevel="1" x14ac:dyDescent="0.2">
      <c r="C155" s="141">
        <v>14.5</v>
      </c>
      <c r="D155" s="229">
        <v>5.7618000000000009</v>
      </c>
      <c r="E155" s="229">
        <v>7.7298500000000017</v>
      </c>
      <c r="F155" s="229">
        <v>8.6049500000000023</v>
      </c>
      <c r="G155" s="229">
        <v>9.2267499999999991</v>
      </c>
      <c r="H155" s="229">
        <v>10.181100000000001</v>
      </c>
      <c r="I155"/>
      <c r="J155"/>
      <c r="K155"/>
      <c r="L155"/>
      <c r="M155"/>
    </row>
    <row r="156" spans="3:13" hidden="1" outlineLevel="1" x14ac:dyDescent="0.2">
      <c r="C156" s="141">
        <v>14.6</v>
      </c>
      <c r="D156" s="229">
        <v>5.8248800000000012</v>
      </c>
      <c r="E156" s="229">
        <v>7.805480000000002</v>
      </c>
      <c r="F156" s="229">
        <v>8.6858800000000027</v>
      </c>
      <c r="G156" s="229">
        <v>9.311399999999999</v>
      </c>
      <c r="H156" s="229">
        <v>10.271420000000001</v>
      </c>
      <c r="I156"/>
      <c r="J156"/>
      <c r="K156"/>
      <c r="L156"/>
      <c r="M156"/>
    </row>
    <row r="157" spans="3:13" hidden="1" outlineLevel="1" x14ac:dyDescent="0.2">
      <c r="C157" s="141">
        <v>14.7</v>
      </c>
      <c r="D157" s="229">
        <v>5.8879600000000014</v>
      </c>
      <c r="E157" s="229">
        <v>7.8811100000000023</v>
      </c>
      <c r="F157" s="229">
        <v>8.7668100000000031</v>
      </c>
      <c r="G157" s="229">
        <v>9.3960499999999989</v>
      </c>
      <c r="H157" s="229">
        <v>10.361740000000001</v>
      </c>
      <c r="I157"/>
      <c r="J157"/>
      <c r="K157"/>
      <c r="L157"/>
      <c r="M157"/>
    </row>
    <row r="158" spans="3:13" hidden="1" outlineLevel="1" x14ac:dyDescent="0.2">
      <c r="C158" s="141">
        <v>14.8</v>
      </c>
      <c r="D158" s="229">
        <v>5.9510400000000017</v>
      </c>
      <c r="E158" s="229">
        <v>7.9567400000000026</v>
      </c>
      <c r="F158" s="229">
        <v>8.8477400000000035</v>
      </c>
      <c r="G158" s="229">
        <v>9.4806999999999988</v>
      </c>
      <c r="H158" s="229">
        <v>10.452060000000001</v>
      </c>
      <c r="I158"/>
      <c r="J158"/>
      <c r="K158"/>
      <c r="L158"/>
      <c r="M158"/>
    </row>
    <row r="159" spans="3:13" hidden="1" outlineLevel="1" x14ac:dyDescent="0.2">
      <c r="C159" s="141">
        <v>14.9</v>
      </c>
      <c r="D159" s="229">
        <v>6.0141200000000019</v>
      </c>
      <c r="E159" s="229">
        <v>8.032370000000002</v>
      </c>
      <c r="F159" s="229">
        <v>8.9286700000000039</v>
      </c>
      <c r="G159" s="229">
        <v>9.5653499999999987</v>
      </c>
      <c r="H159" s="229">
        <v>10.542380000000001</v>
      </c>
      <c r="I159"/>
      <c r="J159"/>
      <c r="K159"/>
      <c r="L159"/>
      <c r="M159"/>
    </row>
    <row r="160" spans="3:13" hidden="1" outlineLevel="1" x14ac:dyDescent="0.2">
      <c r="C160" s="141">
        <v>15</v>
      </c>
      <c r="D160" s="248">
        <v>6.0772000000000004</v>
      </c>
      <c r="E160" s="248">
        <v>8.1080000000000005</v>
      </c>
      <c r="F160" s="248">
        <v>9.0096000000000007</v>
      </c>
      <c r="G160" s="248">
        <v>9.65</v>
      </c>
      <c r="H160" s="248">
        <v>10.6327</v>
      </c>
      <c r="I160"/>
      <c r="J160"/>
      <c r="K160"/>
      <c r="L160"/>
      <c r="M160"/>
    </row>
    <row r="161" spans="3:13" hidden="1" outlineLevel="1" x14ac:dyDescent="0.2">
      <c r="C161" s="141">
        <v>15.1</v>
      </c>
      <c r="D161" s="229">
        <v>6.1416300000000001</v>
      </c>
      <c r="E161" s="229">
        <v>8.1847000000000012</v>
      </c>
      <c r="F161" s="229">
        <v>9.0914800000000007</v>
      </c>
      <c r="G161" s="229">
        <v>9.7355200000000011</v>
      </c>
      <c r="H161" s="229">
        <v>10.723789999999999</v>
      </c>
      <c r="I161"/>
      <c r="J161"/>
      <c r="K161"/>
      <c r="L161"/>
      <c r="M161"/>
    </row>
    <row r="162" spans="3:13" hidden="1" outlineLevel="1" x14ac:dyDescent="0.2">
      <c r="C162" s="141">
        <v>15.2</v>
      </c>
      <c r="D162" s="229">
        <v>6.2060599999999999</v>
      </c>
      <c r="E162" s="229">
        <v>8.2614000000000019</v>
      </c>
      <c r="F162" s="229">
        <v>9.1733600000000006</v>
      </c>
      <c r="G162" s="229">
        <v>9.8210400000000018</v>
      </c>
      <c r="H162" s="229">
        <v>10.814879999999999</v>
      </c>
      <c r="I162"/>
      <c r="J162"/>
      <c r="K162"/>
      <c r="L162"/>
      <c r="M162"/>
    </row>
    <row r="163" spans="3:13" hidden="1" outlineLevel="1" x14ac:dyDescent="0.2">
      <c r="C163" s="141">
        <v>15.3</v>
      </c>
      <c r="D163" s="229">
        <v>6.2704899999999997</v>
      </c>
      <c r="E163" s="229">
        <v>8.3381000000000025</v>
      </c>
      <c r="F163" s="229">
        <v>9.2552400000000006</v>
      </c>
      <c r="G163" s="229">
        <v>9.9065600000000025</v>
      </c>
      <c r="H163" s="229">
        <v>10.905969999999998</v>
      </c>
      <c r="I163"/>
      <c r="J163"/>
      <c r="K163"/>
      <c r="L163"/>
      <c r="M163"/>
    </row>
    <row r="164" spans="3:13" hidden="1" outlineLevel="1" x14ac:dyDescent="0.2">
      <c r="C164" s="141">
        <v>15.4</v>
      </c>
      <c r="D164" s="229">
        <v>6.3349199999999994</v>
      </c>
      <c r="E164" s="229">
        <v>8.4148000000000032</v>
      </c>
      <c r="F164" s="229">
        <v>9.3371200000000005</v>
      </c>
      <c r="G164" s="229">
        <v>9.9920800000000032</v>
      </c>
      <c r="H164" s="229">
        <v>10.997059999999998</v>
      </c>
      <c r="I164"/>
      <c r="J164"/>
      <c r="K164"/>
      <c r="L164"/>
      <c r="M164"/>
    </row>
    <row r="165" spans="3:13" hidden="1" outlineLevel="1" x14ac:dyDescent="0.2">
      <c r="C165" s="141">
        <v>15.5</v>
      </c>
      <c r="D165" s="229">
        <v>6.3993499999999992</v>
      </c>
      <c r="E165" s="229">
        <v>8.4915000000000038</v>
      </c>
      <c r="F165" s="229">
        <v>9.4190000000000005</v>
      </c>
      <c r="G165" s="229">
        <v>10.077600000000004</v>
      </c>
      <c r="H165" s="229">
        <v>11.088149999999997</v>
      </c>
      <c r="I165"/>
      <c r="J165"/>
      <c r="K165"/>
      <c r="L165"/>
      <c r="M165"/>
    </row>
    <row r="166" spans="3:13" hidden="1" outlineLevel="1" x14ac:dyDescent="0.2">
      <c r="C166" s="141">
        <v>15.6</v>
      </c>
      <c r="D166" s="229">
        <v>6.463779999999999</v>
      </c>
      <c r="E166" s="229">
        <v>8.5682000000000045</v>
      </c>
      <c r="F166" s="229">
        <v>9.5008800000000004</v>
      </c>
      <c r="G166" s="229">
        <v>10.163120000000005</v>
      </c>
      <c r="H166" s="229">
        <v>11.179239999999997</v>
      </c>
      <c r="I166"/>
      <c r="J166"/>
      <c r="K166"/>
      <c r="L166"/>
      <c r="M166"/>
    </row>
    <row r="167" spans="3:13" hidden="1" outlineLevel="1" x14ac:dyDescent="0.2">
      <c r="C167" s="141">
        <v>15.7</v>
      </c>
      <c r="D167" s="229">
        <v>6.5282099999999987</v>
      </c>
      <c r="E167" s="229">
        <v>8.6449000000000051</v>
      </c>
      <c r="F167" s="229">
        <v>9.5827600000000004</v>
      </c>
      <c r="G167" s="229">
        <v>10.248640000000005</v>
      </c>
      <c r="H167" s="229">
        <v>11.270329999999996</v>
      </c>
      <c r="I167"/>
      <c r="J167"/>
      <c r="K167"/>
      <c r="L167"/>
      <c r="M167"/>
    </row>
    <row r="168" spans="3:13" hidden="1" outlineLevel="1" x14ac:dyDescent="0.2">
      <c r="C168" s="141">
        <v>15.8</v>
      </c>
      <c r="D168" s="229">
        <v>6.5926399999999985</v>
      </c>
      <c r="E168" s="229">
        <v>8.7216000000000058</v>
      </c>
      <c r="F168" s="229">
        <v>9.6646400000000003</v>
      </c>
      <c r="G168" s="229">
        <v>10.334160000000006</v>
      </c>
      <c r="H168" s="229">
        <v>11.361419999999995</v>
      </c>
      <c r="I168"/>
      <c r="J168"/>
      <c r="K168"/>
      <c r="L168"/>
      <c r="M168"/>
    </row>
    <row r="169" spans="3:13" hidden="1" outlineLevel="1" x14ac:dyDescent="0.2">
      <c r="C169" s="141">
        <v>15.9</v>
      </c>
      <c r="D169" s="229">
        <v>6.6570699999999983</v>
      </c>
      <c r="E169" s="229">
        <v>8.7983000000000064</v>
      </c>
      <c r="F169" s="229">
        <v>9.7465200000000003</v>
      </c>
      <c r="G169" s="229">
        <v>10.419680000000007</v>
      </c>
      <c r="H169" s="229">
        <v>11.452509999999995</v>
      </c>
      <c r="I169"/>
      <c r="J169"/>
      <c r="K169"/>
      <c r="L169"/>
      <c r="M169"/>
    </row>
    <row r="170" spans="3:13" hidden="1" outlineLevel="1" x14ac:dyDescent="0.2">
      <c r="C170" s="141">
        <v>16</v>
      </c>
      <c r="D170" s="248">
        <v>6.7214999999999998</v>
      </c>
      <c r="E170" s="248">
        <v>8.875</v>
      </c>
      <c r="F170" s="248">
        <v>9.8284000000000002</v>
      </c>
      <c r="G170" s="248">
        <v>10.5052</v>
      </c>
      <c r="H170" s="248">
        <v>11.5436</v>
      </c>
      <c r="I170"/>
      <c r="J170"/>
      <c r="K170"/>
      <c r="L170"/>
      <c r="M170"/>
    </row>
    <row r="171" spans="3:13" hidden="1" outlineLevel="1" x14ac:dyDescent="0.2">
      <c r="C171" s="141">
        <v>16.100000000000001</v>
      </c>
      <c r="D171" s="229">
        <v>6.7871600000000001</v>
      </c>
      <c r="E171" s="229">
        <v>8.9526599999999998</v>
      </c>
      <c r="F171" s="229">
        <v>9.9111399999999996</v>
      </c>
      <c r="G171" s="229">
        <v>10.59151</v>
      </c>
      <c r="H171" s="229">
        <v>11.63537</v>
      </c>
      <c r="I171"/>
      <c r="J171"/>
      <c r="K171"/>
      <c r="L171"/>
      <c r="M171"/>
    </row>
    <row r="172" spans="3:13" hidden="1" outlineLevel="1" x14ac:dyDescent="0.2">
      <c r="C172" s="141">
        <v>16.2</v>
      </c>
      <c r="D172" s="229">
        <v>6.8528200000000004</v>
      </c>
      <c r="E172" s="229">
        <v>9.0303199999999997</v>
      </c>
      <c r="F172" s="229">
        <v>9.993879999999999</v>
      </c>
      <c r="G172" s="229">
        <v>10.677819999999999</v>
      </c>
      <c r="H172" s="229">
        <v>11.72714</v>
      </c>
      <c r="I172"/>
      <c r="J172"/>
      <c r="K172"/>
      <c r="L172"/>
      <c r="M172"/>
    </row>
    <row r="173" spans="3:13" hidden="1" outlineLevel="1" x14ac:dyDescent="0.2">
      <c r="C173" s="141">
        <v>16.3</v>
      </c>
      <c r="D173" s="229">
        <v>6.9184800000000006</v>
      </c>
      <c r="E173" s="229">
        <v>9.1079799999999995</v>
      </c>
      <c r="F173" s="229">
        <v>10.076619999999998</v>
      </c>
      <c r="G173" s="229">
        <v>10.764129999999998</v>
      </c>
      <c r="H173" s="229">
        <v>11.818910000000001</v>
      </c>
      <c r="I173"/>
      <c r="J173"/>
      <c r="K173"/>
      <c r="L173"/>
      <c r="M173"/>
    </row>
    <row r="174" spans="3:13" hidden="1" outlineLevel="1" x14ac:dyDescent="0.2">
      <c r="C174" s="141">
        <v>16.399999999999999</v>
      </c>
      <c r="D174" s="229">
        <v>6.9841400000000009</v>
      </c>
      <c r="E174" s="229">
        <v>9.1856399999999994</v>
      </c>
      <c r="F174" s="229">
        <v>10.159359999999998</v>
      </c>
      <c r="G174" s="229">
        <v>10.850439999999997</v>
      </c>
      <c r="H174" s="229">
        <v>11.910680000000001</v>
      </c>
      <c r="I174"/>
      <c r="J174"/>
      <c r="K174"/>
      <c r="L174"/>
      <c r="M174"/>
    </row>
    <row r="175" spans="3:13" hidden="1" outlineLevel="1" x14ac:dyDescent="0.2">
      <c r="C175" s="141">
        <v>16.5</v>
      </c>
      <c r="D175" s="229">
        <v>7.0498000000000012</v>
      </c>
      <c r="E175" s="229">
        <v>9.2632999999999992</v>
      </c>
      <c r="F175" s="229">
        <v>10.242099999999997</v>
      </c>
      <c r="G175" s="229">
        <v>10.936749999999996</v>
      </c>
      <c r="H175" s="229">
        <v>12.002450000000001</v>
      </c>
      <c r="I175"/>
      <c r="J175"/>
      <c r="K175"/>
      <c r="L175"/>
      <c r="M175"/>
    </row>
    <row r="176" spans="3:13" hidden="1" outlineLevel="1" x14ac:dyDescent="0.2">
      <c r="C176" s="141">
        <v>16.600000000000001</v>
      </c>
      <c r="D176" s="229">
        <v>7.1154600000000015</v>
      </c>
      <c r="E176" s="229">
        <v>9.340959999999999</v>
      </c>
      <c r="F176" s="229">
        <v>10.324839999999996</v>
      </c>
      <c r="G176" s="229">
        <v>11.023059999999996</v>
      </c>
      <c r="H176" s="229">
        <v>12.094220000000002</v>
      </c>
      <c r="I176"/>
      <c r="J176"/>
      <c r="K176"/>
      <c r="L176"/>
      <c r="M176"/>
    </row>
    <row r="177" spans="3:13" hidden="1" outlineLevel="1" x14ac:dyDescent="0.2">
      <c r="C177" s="141">
        <v>16.7</v>
      </c>
      <c r="D177" s="229">
        <v>7.1811200000000017</v>
      </c>
      <c r="E177" s="229">
        <v>9.4186199999999989</v>
      </c>
      <c r="F177" s="229">
        <v>10.407579999999996</v>
      </c>
      <c r="G177" s="229">
        <v>11.109369999999995</v>
      </c>
      <c r="H177" s="229">
        <v>12.185990000000002</v>
      </c>
      <c r="I177"/>
      <c r="J177"/>
      <c r="K177"/>
      <c r="L177"/>
      <c r="M177"/>
    </row>
    <row r="178" spans="3:13" hidden="1" outlineLevel="1" x14ac:dyDescent="0.2">
      <c r="C178" s="141">
        <v>16.8</v>
      </c>
      <c r="D178" s="229">
        <v>7.246780000000002</v>
      </c>
      <c r="E178" s="229">
        <v>9.4962799999999987</v>
      </c>
      <c r="F178" s="229">
        <v>10.490319999999995</v>
      </c>
      <c r="G178" s="229">
        <v>11.195679999999994</v>
      </c>
      <c r="H178" s="229">
        <v>12.277760000000002</v>
      </c>
      <c r="I178"/>
      <c r="J178"/>
      <c r="K178"/>
      <c r="L178"/>
      <c r="M178"/>
    </row>
    <row r="179" spans="3:13" hidden="1" outlineLevel="1" x14ac:dyDescent="0.2">
      <c r="C179" s="141">
        <v>16.899999999999999</v>
      </c>
      <c r="D179" s="229">
        <v>7.3124400000000023</v>
      </c>
      <c r="E179" s="229">
        <v>9.5739399999999986</v>
      </c>
      <c r="F179" s="229">
        <v>10.573059999999995</v>
      </c>
      <c r="G179" s="229">
        <v>11.281989999999993</v>
      </c>
      <c r="H179" s="229">
        <v>12.369530000000003</v>
      </c>
      <c r="I179"/>
      <c r="J179"/>
      <c r="K179"/>
      <c r="L179"/>
      <c r="M179"/>
    </row>
    <row r="180" spans="3:13" hidden="1" outlineLevel="1" x14ac:dyDescent="0.2">
      <c r="C180" s="141">
        <v>17</v>
      </c>
      <c r="D180" s="248">
        <v>7.3780999999999999</v>
      </c>
      <c r="E180" s="248">
        <v>9.6516000000000002</v>
      </c>
      <c r="F180" s="248">
        <v>10.655799999999999</v>
      </c>
      <c r="G180" s="248">
        <v>11.3683</v>
      </c>
      <c r="H180" s="248">
        <v>12.4613</v>
      </c>
      <c r="I180"/>
      <c r="J180"/>
      <c r="K180"/>
      <c r="L180"/>
      <c r="M180"/>
    </row>
    <row r="181" spans="3:13" hidden="1" outlineLevel="1" x14ac:dyDescent="0.2">
      <c r="C181" s="141">
        <v>17.100000000000001</v>
      </c>
      <c r="D181" s="229">
        <v>7.4448799999999995</v>
      </c>
      <c r="E181" s="229">
        <v>9.7301300000000008</v>
      </c>
      <c r="F181" s="229">
        <v>10.73931</v>
      </c>
      <c r="G181" s="229">
        <v>11.455309999999999</v>
      </c>
      <c r="H181" s="229">
        <v>12.55369</v>
      </c>
      <c r="I181"/>
      <c r="J181"/>
      <c r="K181"/>
      <c r="L181"/>
      <c r="M181"/>
    </row>
    <row r="182" spans="3:13" hidden="1" outlineLevel="1" x14ac:dyDescent="0.2">
      <c r="C182" s="141">
        <v>17.2</v>
      </c>
      <c r="D182" s="229">
        <v>7.5116599999999991</v>
      </c>
      <c r="E182" s="229">
        <v>9.8086600000000015</v>
      </c>
      <c r="F182" s="229">
        <v>10.82282</v>
      </c>
      <c r="G182" s="229">
        <v>11.542319999999998</v>
      </c>
      <c r="H182" s="229">
        <v>12.64608</v>
      </c>
      <c r="I182"/>
      <c r="J182"/>
      <c r="K182"/>
      <c r="L182"/>
      <c r="M182"/>
    </row>
    <row r="183" spans="3:13" hidden="1" outlineLevel="1" x14ac:dyDescent="0.2">
      <c r="C183" s="141">
        <v>17.3</v>
      </c>
      <c r="D183" s="229">
        <v>7.5784399999999987</v>
      </c>
      <c r="E183" s="229">
        <v>9.8871900000000021</v>
      </c>
      <c r="F183" s="229">
        <v>10.906330000000001</v>
      </c>
      <c r="G183" s="229">
        <v>11.629329999999998</v>
      </c>
      <c r="H183" s="229">
        <v>12.73847</v>
      </c>
      <c r="I183"/>
      <c r="J183"/>
      <c r="K183"/>
      <c r="L183"/>
      <c r="M183"/>
    </row>
    <row r="184" spans="3:13" hidden="1" outlineLevel="1" x14ac:dyDescent="0.2">
      <c r="C184" s="141">
        <v>17.399999999999999</v>
      </c>
      <c r="D184" s="229">
        <v>7.6452199999999984</v>
      </c>
      <c r="E184" s="229">
        <v>9.9657200000000028</v>
      </c>
      <c r="F184" s="229">
        <v>10.989840000000001</v>
      </c>
      <c r="G184" s="229">
        <v>11.716339999999997</v>
      </c>
      <c r="H184" s="229">
        <v>12.830859999999999</v>
      </c>
      <c r="I184"/>
      <c r="J184"/>
      <c r="K184"/>
      <c r="L184"/>
      <c r="M184"/>
    </row>
    <row r="185" spans="3:13" hidden="1" outlineLevel="1" x14ac:dyDescent="0.2">
      <c r="C185" s="141">
        <v>17.5</v>
      </c>
      <c r="D185" s="229">
        <v>7.711999999999998</v>
      </c>
      <c r="E185" s="229">
        <v>10.044250000000003</v>
      </c>
      <c r="F185" s="229">
        <v>11.073350000000001</v>
      </c>
      <c r="G185" s="229">
        <v>11.803349999999996</v>
      </c>
      <c r="H185" s="229">
        <v>12.923249999999999</v>
      </c>
      <c r="I185"/>
      <c r="J185"/>
      <c r="K185"/>
      <c r="L185"/>
      <c r="M185"/>
    </row>
    <row r="186" spans="3:13" hidden="1" outlineLevel="1" x14ac:dyDescent="0.2">
      <c r="C186" s="141">
        <v>17.600000000000001</v>
      </c>
      <c r="D186" s="229">
        <v>7.7787799999999976</v>
      </c>
      <c r="E186" s="229">
        <v>10.122780000000004</v>
      </c>
      <c r="F186" s="229">
        <v>11.156860000000002</v>
      </c>
      <c r="G186" s="229">
        <v>11.890359999999996</v>
      </c>
      <c r="H186" s="229">
        <v>13.015639999999999</v>
      </c>
      <c r="I186"/>
      <c r="J186"/>
      <c r="K186"/>
      <c r="L186"/>
      <c r="M186"/>
    </row>
    <row r="187" spans="3:13" hidden="1" outlineLevel="1" x14ac:dyDescent="0.2">
      <c r="C187" s="141">
        <v>17.7</v>
      </c>
      <c r="D187" s="229">
        <v>7.8455599999999972</v>
      </c>
      <c r="E187" s="229">
        <v>10.201310000000005</v>
      </c>
      <c r="F187" s="229">
        <v>11.240370000000002</v>
      </c>
      <c r="G187" s="229">
        <v>11.977369999999995</v>
      </c>
      <c r="H187" s="229">
        <v>13.108029999999999</v>
      </c>
      <c r="I187"/>
      <c r="J187"/>
      <c r="K187"/>
      <c r="L187"/>
      <c r="M187"/>
    </row>
    <row r="188" spans="3:13" hidden="1" outlineLevel="1" x14ac:dyDescent="0.2">
      <c r="C188" s="141">
        <v>17.8</v>
      </c>
      <c r="D188" s="229">
        <v>7.9123399999999968</v>
      </c>
      <c r="E188" s="229">
        <v>10.279840000000005</v>
      </c>
      <c r="F188" s="229">
        <v>11.323880000000003</v>
      </c>
      <c r="G188" s="229">
        <v>12.064379999999995</v>
      </c>
      <c r="H188" s="229">
        <v>13.200419999999999</v>
      </c>
      <c r="I188"/>
      <c r="J188"/>
      <c r="K188"/>
      <c r="L188"/>
      <c r="M188"/>
    </row>
    <row r="189" spans="3:13" hidden="1" outlineLevel="1" x14ac:dyDescent="0.2">
      <c r="C189" s="141">
        <v>17.899999999999999</v>
      </c>
      <c r="D189" s="229">
        <v>7.9791199999999964</v>
      </c>
      <c r="E189" s="229">
        <v>10.358370000000006</v>
      </c>
      <c r="F189" s="229">
        <v>11.407390000000003</v>
      </c>
      <c r="G189" s="229">
        <v>12.151389999999994</v>
      </c>
      <c r="H189" s="229">
        <v>13.292809999999999</v>
      </c>
      <c r="I189"/>
      <c r="J189"/>
      <c r="K189"/>
      <c r="L189"/>
      <c r="M189"/>
    </row>
    <row r="190" spans="3:13" hidden="1" outlineLevel="1" x14ac:dyDescent="0.2">
      <c r="C190" s="141">
        <v>18</v>
      </c>
      <c r="D190" s="248">
        <v>8.0458999999999996</v>
      </c>
      <c r="E190" s="248">
        <v>10.4369</v>
      </c>
      <c r="F190" s="248">
        <v>11.4909</v>
      </c>
      <c r="G190" s="248">
        <v>12.2384</v>
      </c>
      <c r="H190" s="248">
        <v>13.385199999999999</v>
      </c>
      <c r="I190"/>
      <c r="J190"/>
      <c r="K190"/>
      <c r="L190"/>
      <c r="M190"/>
    </row>
    <row r="191" spans="3:13" hidden="1" outlineLevel="1" x14ac:dyDescent="0.2">
      <c r="C191" s="141">
        <v>18.100000000000001</v>
      </c>
      <c r="D191" s="229">
        <v>8.1136999999999997</v>
      </c>
      <c r="E191" s="229">
        <v>10.516220000000001</v>
      </c>
      <c r="F191" s="229">
        <v>11.57511</v>
      </c>
      <c r="G191" s="229">
        <v>12.32606</v>
      </c>
      <c r="H191" s="229">
        <v>13.478149999999999</v>
      </c>
      <c r="I191"/>
      <c r="J191"/>
      <c r="K191"/>
      <c r="L191"/>
      <c r="M191"/>
    </row>
    <row r="192" spans="3:13" hidden="1" outlineLevel="1" x14ac:dyDescent="0.2">
      <c r="C192" s="141">
        <v>18.2</v>
      </c>
      <c r="D192" s="229">
        <v>8.1814999999999998</v>
      </c>
      <c r="E192" s="229">
        <v>10.59554</v>
      </c>
      <c r="F192" s="229">
        <v>11.659320000000001</v>
      </c>
      <c r="G192" s="229">
        <v>12.41372</v>
      </c>
      <c r="H192" s="229">
        <v>13.571099999999999</v>
      </c>
      <c r="I192"/>
      <c r="J192"/>
      <c r="K192"/>
      <c r="L192"/>
      <c r="M192"/>
    </row>
    <row r="193" spans="3:13" hidden="1" outlineLevel="1" x14ac:dyDescent="0.2">
      <c r="C193" s="141">
        <v>18.3</v>
      </c>
      <c r="D193" s="229">
        <v>8.2492999999999999</v>
      </c>
      <c r="E193" s="229">
        <v>10.674859999999999</v>
      </c>
      <c r="F193" s="229">
        <v>11.743530000000002</v>
      </c>
      <c r="G193" s="229">
        <v>12.501379999999999</v>
      </c>
      <c r="H193" s="229">
        <v>13.66405</v>
      </c>
      <c r="I193"/>
      <c r="J193"/>
      <c r="K193"/>
      <c r="L193"/>
      <c r="M193"/>
    </row>
    <row r="194" spans="3:13" hidden="1" outlineLevel="1" x14ac:dyDescent="0.2">
      <c r="C194" s="141">
        <v>18.399999999999999</v>
      </c>
      <c r="D194" s="229">
        <v>8.3170999999999999</v>
      </c>
      <c r="E194" s="229">
        <v>10.754179999999998</v>
      </c>
      <c r="F194" s="229">
        <v>11.827740000000002</v>
      </c>
      <c r="G194" s="229">
        <v>12.589039999999999</v>
      </c>
      <c r="H194" s="229">
        <v>13.757</v>
      </c>
      <c r="I194"/>
      <c r="J194"/>
      <c r="K194"/>
      <c r="L194"/>
      <c r="M194"/>
    </row>
    <row r="195" spans="3:13" hidden="1" outlineLevel="1" x14ac:dyDescent="0.2">
      <c r="C195" s="141">
        <v>18.5</v>
      </c>
      <c r="D195" s="229">
        <v>8.3849</v>
      </c>
      <c r="E195" s="229">
        <v>10.833499999999997</v>
      </c>
      <c r="F195" s="229">
        <v>11.911950000000003</v>
      </c>
      <c r="G195" s="229">
        <v>12.676699999999999</v>
      </c>
      <c r="H195" s="229">
        <v>13.84995</v>
      </c>
      <c r="I195"/>
      <c r="J195"/>
      <c r="K195"/>
      <c r="L195"/>
      <c r="M195"/>
    </row>
    <row r="196" spans="3:13" hidden="1" outlineLevel="1" x14ac:dyDescent="0.2">
      <c r="C196" s="141">
        <v>18.600000000000001</v>
      </c>
      <c r="D196" s="229">
        <v>8.4527000000000001</v>
      </c>
      <c r="E196" s="229">
        <v>10.912819999999996</v>
      </c>
      <c r="F196" s="229">
        <v>11.996160000000003</v>
      </c>
      <c r="G196" s="229">
        <v>12.764359999999998</v>
      </c>
      <c r="H196" s="229">
        <v>13.9429</v>
      </c>
      <c r="I196"/>
      <c r="J196"/>
      <c r="K196"/>
      <c r="L196"/>
      <c r="M196"/>
    </row>
    <row r="197" spans="3:13" hidden="1" outlineLevel="1" x14ac:dyDescent="0.2">
      <c r="C197" s="141">
        <v>18.7</v>
      </c>
      <c r="D197" s="229">
        <v>8.5205000000000002</v>
      </c>
      <c r="E197" s="229">
        <v>10.992139999999996</v>
      </c>
      <c r="F197" s="229">
        <v>12.080370000000004</v>
      </c>
      <c r="G197" s="229">
        <v>12.852019999999998</v>
      </c>
      <c r="H197" s="229">
        <v>14.03585</v>
      </c>
      <c r="I197"/>
      <c r="J197"/>
      <c r="K197"/>
      <c r="L197"/>
      <c r="M197"/>
    </row>
    <row r="198" spans="3:13" hidden="1" outlineLevel="1" x14ac:dyDescent="0.2">
      <c r="C198" s="141">
        <v>18.8</v>
      </c>
      <c r="D198" s="229">
        <v>8.5883000000000003</v>
      </c>
      <c r="E198" s="229">
        <v>11.071459999999995</v>
      </c>
      <c r="F198" s="229">
        <v>12.164580000000004</v>
      </c>
      <c r="G198" s="229">
        <v>12.939679999999997</v>
      </c>
      <c r="H198" s="229">
        <v>14.1288</v>
      </c>
      <c r="I198"/>
      <c r="J198"/>
      <c r="K198"/>
      <c r="L198"/>
      <c r="M198"/>
    </row>
    <row r="199" spans="3:13" hidden="1" outlineLevel="1" x14ac:dyDescent="0.2">
      <c r="C199" s="141">
        <v>18.899999999999999</v>
      </c>
      <c r="D199" s="229">
        <v>8.6561000000000003</v>
      </c>
      <c r="E199" s="229">
        <v>11.150779999999994</v>
      </c>
      <c r="F199" s="229">
        <v>12.248790000000005</v>
      </c>
      <c r="G199" s="229">
        <v>13.027339999999997</v>
      </c>
      <c r="H199" s="229">
        <v>14.22175</v>
      </c>
      <c r="I199"/>
      <c r="J199"/>
      <c r="K199"/>
      <c r="L199"/>
      <c r="M199"/>
    </row>
    <row r="200" spans="3:13" hidden="1" outlineLevel="1" x14ac:dyDescent="0.2">
      <c r="C200" s="141">
        <v>19</v>
      </c>
      <c r="D200" s="248">
        <v>8.7239000000000004</v>
      </c>
      <c r="E200" s="248">
        <v>11.2301</v>
      </c>
      <c r="F200" s="248">
        <v>12.333</v>
      </c>
      <c r="G200" s="248">
        <v>13.115</v>
      </c>
      <c r="H200" s="248">
        <v>14.3147</v>
      </c>
      <c r="I200"/>
      <c r="J200"/>
      <c r="K200"/>
      <c r="L200"/>
      <c r="M200"/>
    </row>
    <row r="201" spans="3:13" hidden="1" outlineLevel="1" x14ac:dyDescent="0.2">
      <c r="C201" s="141">
        <v>19.100000000000001</v>
      </c>
      <c r="D201" s="229">
        <v>8.7926599999999997</v>
      </c>
      <c r="E201" s="229">
        <v>11.31015</v>
      </c>
      <c r="F201" s="229">
        <v>12.41785</v>
      </c>
      <c r="G201" s="229">
        <v>13.203240000000001</v>
      </c>
      <c r="H201" s="229">
        <v>14.408160000000001</v>
      </c>
      <c r="I201"/>
      <c r="J201"/>
      <c r="K201"/>
      <c r="L201"/>
      <c r="M201"/>
    </row>
    <row r="202" spans="3:13" hidden="1" outlineLevel="1" x14ac:dyDescent="0.2">
      <c r="C202" s="141">
        <v>19.2</v>
      </c>
      <c r="D202" s="229">
        <v>8.861419999999999</v>
      </c>
      <c r="E202" s="229">
        <v>11.3902</v>
      </c>
      <c r="F202" s="229">
        <v>12.502699999999999</v>
      </c>
      <c r="G202" s="229">
        <v>13.291480000000002</v>
      </c>
      <c r="H202" s="229">
        <v>14.501620000000001</v>
      </c>
      <c r="I202"/>
      <c r="J202"/>
      <c r="K202"/>
      <c r="L202"/>
      <c r="M202"/>
    </row>
    <row r="203" spans="3:13" hidden="1" outlineLevel="1" x14ac:dyDescent="0.2">
      <c r="C203" s="141">
        <v>19.3</v>
      </c>
      <c r="D203" s="229">
        <v>8.9301799999999982</v>
      </c>
      <c r="E203" s="229">
        <v>11.47025</v>
      </c>
      <c r="F203" s="229">
        <v>12.587549999999998</v>
      </c>
      <c r="G203" s="229">
        <v>13.379720000000002</v>
      </c>
      <c r="H203" s="229">
        <v>14.595080000000001</v>
      </c>
      <c r="I203"/>
      <c r="J203"/>
      <c r="K203"/>
      <c r="L203"/>
      <c r="M203"/>
    </row>
    <row r="204" spans="3:13" hidden="1" outlineLevel="1" x14ac:dyDescent="0.2">
      <c r="C204" s="141">
        <v>19.399999999999999</v>
      </c>
      <c r="D204" s="229">
        <v>8.9989399999999975</v>
      </c>
      <c r="E204" s="229">
        <v>11.5503</v>
      </c>
      <c r="F204" s="229">
        <v>12.672399999999998</v>
      </c>
      <c r="G204" s="229">
        <v>13.467960000000003</v>
      </c>
      <c r="H204" s="229">
        <v>14.688540000000001</v>
      </c>
      <c r="I204"/>
      <c r="J204"/>
      <c r="K204"/>
      <c r="L204"/>
      <c r="M204"/>
    </row>
    <row r="205" spans="3:13" hidden="1" outlineLevel="1" x14ac:dyDescent="0.2">
      <c r="C205" s="141">
        <v>19.5</v>
      </c>
      <c r="D205" s="229">
        <v>9.0676999999999968</v>
      </c>
      <c r="E205" s="229">
        <v>11.63035</v>
      </c>
      <c r="F205" s="229">
        <v>12.757249999999997</v>
      </c>
      <c r="G205" s="229">
        <v>13.556200000000004</v>
      </c>
      <c r="H205" s="229">
        <v>14.782000000000002</v>
      </c>
      <c r="I205"/>
      <c r="J205"/>
      <c r="K205"/>
      <c r="L205"/>
      <c r="M205"/>
    </row>
    <row r="206" spans="3:13" hidden="1" outlineLevel="1" x14ac:dyDescent="0.2">
      <c r="C206" s="141">
        <v>19.600000000000001</v>
      </c>
      <c r="D206" s="229">
        <v>9.136459999999996</v>
      </c>
      <c r="E206" s="229">
        <v>11.7104</v>
      </c>
      <c r="F206" s="229">
        <v>12.842099999999997</v>
      </c>
      <c r="G206" s="229">
        <v>13.644440000000005</v>
      </c>
      <c r="H206" s="229">
        <v>14.875460000000002</v>
      </c>
      <c r="I206"/>
      <c r="J206"/>
      <c r="K206"/>
      <c r="L206"/>
      <c r="M206"/>
    </row>
    <row r="207" spans="3:13" hidden="1" outlineLevel="1" x14ac:dyDescent="0.2">
      <c r="C207" s="141">
        <v>19.7</v>
      </c>
      <c r="D207" s="229">
        <v>9.2052199999999953</v>
      </c>
      <c r="E207" s="229">
        <v>11.79045</v>
      </c>
      <c r="F207" s="229">
        <v>12.926949999999996</v>
      </c>
      <c r="G207" s="229">
        <v>13.732680000000006</v>
      </c>
      <c r="H207" s="229">
        <v>14.968920000000002</v>
      </c>
      <c r="I207"/>
      <c r="J207"/>
      <c r="K207"/>
      <c r="L207"/>
      <c r="M207"/>
    </row>
    <row r="208" spans="3:13" hidden="1" outlineLevel="1" x14ac:dyDescent="0.2">
      <c r="C208" s="141">
        <v>19.8</v>
      </c>
      <c r="D208" s="229">
        <v>9.2739799999999946</v>
      </c>
      <c r="E208" s="229">
        <v>11.8705</v>
      </c>
      <c r="F208" s="229">
        <v>13.011799999999996</v>
      </c>
      <c r="G208" s="229">
        <v>13.820920000000006</v>
      </c>
      <c r="H208" s="229">
        <v>15.062380000000003</v>
      </c>
      <c r="I208"/>
      <c r="J208"/>
      <c r="K208"/>
      <c r="L208"/>
      <c r="M208"/>
    </row>
    <row r="209" spans="3:13" hidden="1" outlineLevel="1" x14ac:dyDescent="0.2">
      <c r="C209" s="141">
        <v>19.899999999999999</v>
      </c>
      <c r="D209" s="229">
        <v>9.3427399999999938</v>
      </c>
      <c r="E209" s="229">
        <v>11.95055</v>
      </c>
      <c r="F209" s="229">
        <v>13.096649999999995</v>
      </c>
      <c r="G209" s="229">
        <v>13.909160000000007</v>
      </c>
      <c r="H209" s="229">
        <v>15.155840000000003</v>
      </c>
      <c r="I209"/>
      <c r="J209"/>
      <c r="K209"/>
      <c r="L209"/>
      <c r="M209"/>
    </row>
    <row r="210" spans="3:13" hidden="1" outlineLevel="1" x14ac:dyDescent="0.2">
      <c r="C210" s="141">
        <v>20</v>
      </c>
      <c r="D210" s="248">
        <v>9.4115000000000002</v>
      </c>
      <c r="E210" s="248">
        <v>12.0306</v>
      </c>
      <c r="F210" s="248">
        <v>13.1815</v>
      </c>
      <c r="G210" s="248">
        <v>13.997400000000001</v>
      </c>
      <c r="H210" s="248">
        <v>15.2493</v>
      </c>
      <c r="I210"/>
      <c r="J210"/>
      <c r="K210"/>
      <c r="L210"/>
      <c r="M210"/>
    </row>
    <row r="211" spans="3:13" hidden="1" outlineLevel="1" x14ac:dyDescent="0.2">
      <c r="C211" s="141">
        <v>20.100000000000001</v>
      </c>
      <c r="D211" s="229">
        <v>9.4811200000000007</v>
      </c>
      <c r="E211" s="229">
        <v>12.111319999999999</v>
      </c>
      <c r="F211" s="229">
        <v>13.26695</v>
      </c>
      <c r="G211" s="229">
        <v>14.08619</v>
      </c>
      <c r="H211" s="229">
        <v>15.343220000000001</v>
      </c>
      <c r="I211"/>
      <c r="J211"/>
      <c r="K211"/>
      <c r="L211"/>
      <c r="M211"/>
    </row>
    <row r="212" spans="3:13" hidden="1" outlineLevel="1" x14ac:dyDescent="0.2">
      <c r="C212" s="141">
        <v>20.2</v>
      </c>
      <c r="D212" s="229">
        <v>9.5507400000000011</v>
      </c>
      <c r="E212" s="229">
        <v>12.192039999999999</v>
      </c>
      <c r="F212" s="229">
        <v>13.352399999999999</v>
      </c>
      <c r="G212" s="229">
        <v>14.17498</v>
      </c>
      <c r="H212" s="229">
        <v>15.437140000000001</v>
      </c>
      <c r="I212"/>
      <c r="J212"/>
      <c r="K212"/>
      <c r="L212"/>
      <c r="M212"/>
    </row>
    <row r="213" spans="3:13" hidden="1" outlineLevel="1" x14ac:dyDescent="0.2">
      <c r="C213" s="141">
        <v>20.3</v>
      </c>
      <c r="D213" s="229">
        <v>9.6203600000000016</v>
      </c>
      <c r="E213" s="229">
        <v>12.272759999999998</v>
      </c>
      <c r="F213" s="229">
        <v>13.437849999999999</v>
      </c>
      <c r="G213" s="229">
        <v>14.263769999999999</v>
      </c>
      <c r="H213" s="229">
        <v>15.531060000000002</v>
      </c>
      <c r="I213"/>
      <c r="J213"/>
      <c r="K213"/>
      <c r="L213"/>
      <c r="M213"/>
    </row>
    <row r="214" spans="3:13" hidden="1" outlineLevel="1" x14ac:dyDescent="0.2">
      <c r="C214" s="141">
        <v>20.399999999999999</v>
      </c>
      <c r="D214" s="229">
        <v>9.689980000000002</v>
      </c>
      <c r="E214" s="229">
        <v>12.353479999999998</v>
      </c>
      <c r="F214" s="229">
        <v>13.523299999999999</v>
      </c>
      <c r="G214" s="229">
        <v>14.352559999999999</v>
      </c>
      <c r="H214" s="229">
        <v>15.624980000000003</v>
      </c>
      <c r="I214"/>
      <c r="J214"/>
      <c r="K214"/>
      <c r="L214"/>
      <c r="M214"/>
    </row>
    <row r="215" spans="3:13" hidden="1" outlineLevel="1" x14ac:dyDescent="0.2">
      <c r="C215" s="141">
        <v>20.5</v>
      </c>
      <c r="D215" s="229">
        <v>9.7596000000000025</v>
      </c>
      <c r="E215" s="229">
        <v>12.434199999999997</v>
      </c>
      <c r="F215" s="229">
        <v>13.608749999999999</v>
      </c>
      <c r="G215" s="229">
        <v>14.441349999999998</v>
      </c>
      <c r="H215" s="229">
        <v>15.718900000000003</v>
      </c>
      <c r="I215"/>
      <c r="J215"/>
      <c r="K215"/>
      <c r="L215"/>
      <c r="M215"/>
    </row>
    <row r="216" spans="3:13" hidden="1" outlineLevel="1" x14ac:dyDescent="0.2">
      <c r="C216" s="141">
        <v>20.6</v>
      </c>
      <c r="D216" s="229">
        <v>9.829220000000003</v>
      </c>
      <c r="E216" s="229">
        <v>12.514919999999996</v>
      </c>
      <c r="F216" s="229">
        <v>13.694199999999999</v>
      </c>
      <c r="G216" s="229">
        <v>14.530139999999998</v>
      </c>
      <c r="H216" s="229">
        <v>15.812820000000004</v>
      </c>
      <c r="I216"/>
      <c r="J216"/>
      <c r="K216"/>
      <c r="L216"/>
      <c r="M216"/>
    </row>
    <row r="217" spans="3:13" hidden="1" outlineLevel="1" x14ac:dyDescent="0.2">
      <c r="C217" s="141">
        <v>20.7</v>
      </c>
      <c r="D217" s="229">
        <v>9.8988400000000034</v>
      </c>
      <c r="E217" s="229">
        <v>12.595639999999996</v>
      </c>
      <c r="F217" s="229">
        <v>13.779649999999998</v>
      </c>
      <c r="G217" s="229">
        <v>14.618929999999997</v>
      </c>
      <c r="H217" s="229">
        <v>15.906740000000005</v>
      </c>
      <c r="I217"/>
      <c r="J217"/>
      <c r="K217"/>
      <c r="L217"/>
      <c r="M217"/>
    </row>
    <row r="218" spans="3:13" hidden="1" outlineLevel="1" x14ac:dyDescent="0.2">
      <c r="C218" s="141">
        <v>20.8</v>
      </c>
      <c r="D218" s="229">
        <v>9.9684600000000039</v>
      </c>
      <c r="E218" s="229">
        <v>12.676359999999995</v>
      </c>
      <c r="F218" s="229">
        <v>13.865099999999998</v>
      </c>
      <c r="G218" s="229">
        <v>14.707719999999997</v>
      </c>
      <c r="H218" s="229">
        <v>16.000660000000003</v>
      </c>
      <c r="I218"/>
      <c r="J218"/>
      <c r="K218"/>
      <c r="L218"/>
      <c r="M218"/>
    </row>
    <row r="219" spans="3:13" hidden="1" outlineLevel="1" x14ac:dyDescent="0.2">
      <c r="C219" s="141">
        <v>20.9</v>
      </c>
      <c r="D219" s="229">
        <v>10.038080000000004</v>
      </c>
      <c r="E219" s="229">
        <v>12.757079999999995</v>
      </c>
      <c r="F219" s="229">
        <v>13.950549999999998</v>
      </c>
      <c r="G219" s="229">
        <v>14.796509999999996</v>
      </c>
      <c r="H219" s="229">
        <v>16.094580000000004</v>
      </c>
      <c r="I219"/>
      <c r="J219"/>
      <c r="K219"/>
      <c r="L219"/>
      <c r="M219"/>
    </row>
    <row r="220" spans="3:13" hidden="1" outlineLevel="1" x14ac:dyDescent="0.2">
      <c r="C220" s="141">
        <v>21</v>
      </c>
      <c r="D220" s="248">
        <v>10.107699999999999</v>
      </c>
      <c r="E220" s="248">
        <v>12.8378</v>
      </c>
      <c r="F220" s="248">
        <v>14.036</v>
      </c>
      <c r="G220" s="248">
        <v>14.885300000000001</v>
      </c>
      <c r="H220" s="248">
        <v>16.188500000000001</v>
      </c>
      <c r="I220"/>
      <c r="J220"/>
      <c r="K220"/>
      <c r="L220"/>
      <c r="M220"/>
    </row>
    <row r="221" spans="3:13" hidden="1" outlineLevel="1" x14ac:dyDescent="0.2">
      <c r="C221" s="141">
        <v>21.1</v>
      </c>
      <c r="D221" s="229">
        <v>10.178139999999999</v>
      </c>
      <c r="E221" s="229">
        <v>12.91915</v>
      </c>
      <c r="F221" s="229">
        <v>14.12199</v>
      </c>
      <c r="G221" s="229">
        <v>14.974580000000001</v>
      </c>
      <c r="H221" s="229">
        <v>16.28285</v>
      </c>
      <c r="I221"/>
      <c r="J221"/>
      <c r="K221"/>
      <c r="L221"/>
      <c r="M221"/>
    </row>
    <row r="222" spans="3:13" hidden="1" outlineLevel="1" x14ac:dyDescent="0.2">
      <c r="C222" s="141">
        <v>21.2</v>
      </c>
      <c r="D222" s="229">
        <v>10.248579999999999</v>
      </c>
      <c r="E222" s="229">
        <v>13.000500000000001</v>
      </c>
      <c r="F222" s="229">
        <v>14.207980000000001</v>
      </c>
      <c r="G222" s="229">
        <v>15.063860000000002</v>
      </c>
      <c r="H222" s="229">
        <v>16.377199999999998</v>
      </c>
      <c r="I222"/>
      <c r="J222"/>
      <c r="K222"/>
      <c r="L222"/>
      <c r="M222"/>
    </row>
    <row r="223" spans="3:13" hidden="1" outlineLevel="1" x14ac:dyDescent="0.2">
      <c r="C223" s="141">
        <v>21.3</v>
      </c>
      <c r="D223" s="229">
        <v>10.319019999999998</v>
      </c>
      <c r="E223" s="229">
        <v>13.081850000000001</v>
      </c>
      <c r="F223" s="229">
        <v>14.293970000000002</v>
      </c>
      <c r="G223" s="229">
        <v>15.153140000000002</v>
      </c>
      <c r="H223" s="229">
        <v>16.471549999999997</v>
      </c>
      <c r="I223"/>
      <c r="J223"/>
      <c r="K223"/>
      <c r="L223"/>
      <c r="M223"/>
    </row>
    <row r="224" spans="3:13" hidden="1" outlineLevel="1" x14ac:dyDescent="0.2">
      <c r="C224" s="141">
        <v>21.4</v>
      </c>
      <c r="D224" s="229">
        <v>10.389459999999998</v>
      </c>
      <c r="E224" s="229">
        <v>13.163200000000002</v>
      </c>
      <c r="F224" s="229">
        <v>14.379960000000002</v>
      </c>
      <c r="G224" s="229">
        <v>15.242420000000003</v>
      </c>
      <c r="H224" s="229">
        <v>16.565899999999996</v>
      </c>
      <c r="I224"/>
      <c r="J224"/>
      <c r="K224"/>
      <c r="L224"/>
      <c r="M224"/>
    </row>
    <row r="225" spans="3:13" hidden="1" outlineLevel="1" x14ac:dyDescent="0.2">
      <c r="C225" s="141">
        <v>21.5</v>
      </c>
      <c r="D225" s="229">
        <v>10.459899999999998</v>
      </c>
      <c r="E225" s="229">
        <v>13.244550000000002</v>
      </c>
      <c r="F225" s="229">
        <v>14.465950000000003</v>
      </c>
      <c r="G225" s="229">
        <v>15.331700000000003</v>
      </c>
      <c r="H225" s="229">
        <v>16.660249999999994</v>
      </c>
      <c r="I225"/>
      <c r="J225"/>
      <c r="K225"/>
      <c r="L225"/>
      <c r="M225"/>
    </row>
    <row r="226" spans="3:13" hidden="1" outlineLevel="1" x14ac:dyDescent="0.2">
      <c r="C226" s="141">
        <v>21.6</v>
      </c>
      <c r="D226" s="229">
        <v>10.530339999999997</v>
      </c>
      <c r="E226" s="229">
        <v>13.325900000000003</v>
      </c>
      <c r="F226" s="229">
        <v>14.551940000000004</v>
      </c>
      <c r="G226" s="229">
        <v>15.420980000000004</v>
      </c>
      <c r="H226" s="229">
        <v>16.754599999999993</v>
      </c>
      <c r="I226"/>
      <c r="J226"/>
      <c r="K226"/>
      <c r="L226"/>
      <c r="M226"/>
    </row>
    <row r="227" spans="3:13" hidden="1" outlineLevel="1" x14ac:dyDescent="0.2">
      <c r="C227" s="141">
        <v>21.7</v>
      </c>
      <c r="D227" s="229">
        <v>10.600779999999997</v>
      </c>
      <c r="E227" s="229">
        <v>13.407250000000003</v>
      </c>
      <c r="F227" s="229">
        <v>14.637930000000004</v>
      </c>
      <c r="G227" s="229">
        <v>15.510260000000004</v>
      </c>
      <c r="H227" s="229">
        <v>16.848949999999991</v>
      </c>
      <c r="I227"/>
      <c r="J227"/>
      <c r="K227"/>
      <c r="L227"/>
      <c r="M227"/>
    </row>
    <row r="228" spans="3:13" hidden="1" outlineLevel="1" x14ac:dyDescent="0.2">
      <c r="C228" s="141">
        <v>21.8</v>
      </c>
      <c r="D228" s="229">
        <v>10.671219999999996</v>
      </c>
      <c r="E228" s="229">
        <v>13.488600000000003</v>
      </c>
      <c r="F228" s="229">
        <v>14.723920000000005</v>
      </c>
      <c r="G228" s="229">
        <v>15.599540000000005</v>
      </c>
      <c r="H228" s="229">
        <v>16.94329999999999</v>
      </c>
      <c r="I228"/>
      <c r="J228"/>
      <c r="K228"/>
      <c r="L228"/>
      <c r="M228"/>
    </row>
    <row r="229" spans="3:13" hidden="1" outlineLevel="1" x14ac:dyDescent="0.2">
      <c r="C229" s="141">
        <v>21.9</v>
      </c>
      <c r="D229" s="229">
        <v>10.741659999999996</v>
      </c>
      <c r="E229" s="229">
        <v>13.569950000000004</v>
      </c>
      <c r="F229" s="229">
        <v>14.809910000000006</v>
      </c>
      <c r="G229" s="229">
        <v>15.688820000000005</v>
      </c>
      <c r="H229" s="229">
        <v>17.037649999999989</v>
      </c>
      <c r="I229"/>
      <c r="J229"/>
      <c r="K229"/>
      <c r="L229"/>
      <c r="M229"/>
    </row>
    <row r="230" spans="3:13" hidden="1" outlineLevel="1" x14ac:dyDescent="0.2">
      <c r="C230" s="141">
        <v>22</v>
      </c>
      <c r="D230" s="248">
        <v>10.812099999999999</v>
      </c>
      <c r="E230" s="248">
        <v>13.651300000000001</v>
      </c>
      <c r="F230" s="248">
        <v>14.895899999999999</v>
      </c>
      <c r="G230" s="248">
        <v>15.7781</v>
      </c>
      <c r="H230" s="248">
        <v>17.132000000000001</v>
      </c>
      <c r="I230"/>
      <c r="J230"/>
      <c r="K230"/>
      <c r="L230"/>
      <c r="M230"/>
    </row>
    <row r="231" spans="3:13" hidden="1" outlineLevel="1" x14ac:dyDescent="0.2">
      <c r="C231" s="141">
        <v>22.1</v>
      </c>
      <c r="D231" s="229">
        <v>10.883299999999998</v>
      </c>
      <c r="E231" s="229">
        <v>13.733220000000001</v>
      </c>
      <c r="F231" s="229">
        <v>14.982399999999998</v>
      </c>
      <c r="G231" s="229">
        <v>15.867840000000001</v>
      </c>
      <c r="H231" s="229">
        <v>17.226750000000003</v>
      </c>
      <c r="I231"/>
      <c r="J231"/>
      <c r="K231"/>
      <c r="L231"/>
      <c r="M231"/>
    </row>
    <row r="232" spans="3:13" hidden="1" outlineLevel="1" x14ac:dyDescent="0.2">
      <c r="C232" s="141">
        <v>22.2</v>
      </c>
      <c r="D232" s="229">
        <v>10.954499999999999</v>
      </c>
      <c r="E232" s="229">
        <v>13.815140000000001</v>
      </c>
      <c r="F232" s="229">
        <v>15.068899999999999</v>
      </c>
      <c r="G232" s="229">
        <v>15.95758</v>
      </c>
      <c r="H232" s="229">
        <v>17.321500000000004</v>
      </c>
      <c r="I232"/>
      <c r="J232"/>
      <c r="K232"/>
      <c r="L232"/>
      <c r="M232"/>
    </row>
    <row r="233" spans="3:13" hidden="1" outlineLevel="1" x14ac:dyDescent="0.2">
      <c r="C233" s="141">
        <v>22.3</v>
      </c>
      <c r="D233" s="229">
        <v>11.025700000000001</v>
      </c>
      <c r="E233" s="229">
        <v>13.897060000000002</v>
      </c>
      <c r="F233" s="229">
        <v>15.1554</v>
      </c>
      <c r="G233" s="229">
        <v>16.047319999999999</v>
      </c>
      <c r="H233" s="229">
        <v>17.416250000000005</v>
      </c>
      <c r="I233"/>
      <c r="J233"/>
      <c r="K233"/>
      <c r="L233"/>
      <c r="M233"/>
    </row>
    <row r="234" spans="3:13" hidden="1" outlineLevel="1" x14ac:dyDescent="0.2">
      <c r="C234" s="141">
        <v>22.400000000000048</v>
      </c>
      <c r="D234" s="229">
        <v>11.096900000000002</v>
      </c>
      <c r="E234" s="229">
        <v>13.978980000000002</v>
      </c>
      <c r="F234" s="229">
        <v>15.241900000000001</v>
      </c>
      <c r="G234" s="229">
        <v>16.137059999999998</v>
      </c>
      <c r="H234" s="229">
        <v>17.511000000000006</v>
      </c>
      <c r="I234"/>
      <c r="J234"/>
      <c r="K234"/>
      <c r="L234"/>
      <c r="M234"/>
    </row>
    <row r="235" spans="3:13" hidden="1" outlineLevel="1" x14ac:dyDescent="0.2">
      <c r="C235" s="141">
        <v>22.50000000000005</v>
      </c>
      <c r="D235" s="229">
        <v>11.168100000000003</v>
      </c>
      <c r="E235" s="229">
        <v>14.060900000000002</v>
      </c>
      <c r="F235" s="229">
        <v>15.328400000000002</v>
      </c>
      <c r="G235" s="229">
        <v>16.226799999999997</v>
      </c>
      <c r="H235" s="229">
        <v>17.605750000000008</v>
      </c>
      <c r="I235"/>
      <c r="J235"/>
      <c r="K235"/>
      <c r="L235"/>
      <c r="M235"/>
    </row>
    <row r="236" spans="3:13" hidden="1" outlineLevel="1" x14ac:dyDescent="0.2">
      <c r="C236" s="141">
        <v>22.600000000000051</v>
      </c>
      <c r="D236" s="229">
        <v>11.239300000000004</v>
      </c>
      <c r="E236" s="229">
        <v>14.142820000000002</v>
      </c>
      <c r="F236" s="229">
        <v>15.414900000000003</v>
      </c>
      <c r="G236" s="229">
        <v>16.316539999999996</v>
      </c>
      <c r="H236" s="229">
        <v>17.700500000000009</v>
      </c>
      <c r="I236"/>
      <c r="J236"/>
      <c r="K236"/>
      <c r="L236"/>
      <c r="M236"/>
    </row>
    <row r="237" spans="3:13" hidden="1" outlineLevel="1" x14ac:dyDescent="0.2">
      <c r="C237" s="141">
        <v>22.700000000000053</v>
      </c>
      <c r="D237" s="229">
        <v>11.310500000000005</v>
      </c>
      <c r="E237" s="229">
        <v>14.224740000000002</v>
      </c>
      <c r="F237" s="229">
        <v>15.501400000000004</v>
      </c>
      <c r="G237" s="229">
        <v>16.406279999999995</v>
      </c>
      <c r="H237" s="229">
        <v>17.79525000000001</v>
      </c>
      <c r="I237"/>
      <c r="J237"/>
      <c r="K237"/>
      <c r="L237"/>
      <c r="M237"/>
    </row>
    <row r="238" spans="3:13" hidden="1" outlineLevel="1" x14ac:dyDescent="0.2">
      <c r="C238" s="141">
        <v>22.800000000000054</v>
      </c>
      <c r="D238" s="229">
        <v>11.381700000000006</v>
      </c>
      <c r="E238" s="229">
        <v>14.306660000000003</v>
      </c>
      <c r="F238" s="229">
        <v>15.587900000000005</v>
      </c>
      <c r="G238" s="229">
        <v>16.496019999999994</v>
      </c>
      <c r="H238" s="229">
        <v>17.890000000000011</v>
      </c>
      <c r="I238"/>
      <c r="J238"/>
      <c r="K238"/>
      <c r="L238"/>
      <c r="M238"/>
    </row>
    <row r="239" spans="3:13" hidden="1" outlineLevel="1" x14ac:dyDescent="0.2">
      <c r="C239" s="141">
        <v>22.900000000000055</v>
      </c>
      <c r="D239" s="229">
        <v>11.452900000000007</v>
      </c>
      <c r="E239" s="229">
        <v>14.388580000000003</v>
      </c>
      <c r="F239" s="229">
        <v>15.674400000000006</v>
      </c>
      <c r="G239" s="229">
        <v>16.585759999999993</v>
      </c>
      <c r="H239" s="229">
        <v>17.984750000000012</v>
      </c>
      <c r="I239"/>
      <c r="J239"/>
      <c r="K239"/>
      <c r="L239"/>
      <c r="M239"/>
    </row>
    <row r="240" spans="3:13" hidden="1" outlineLevel="1" x14ac:dyDescent="0.2">
      <c r="C240" s="141">
        <v>23.000000000000057</v>
      </c>
      <c r="D240" s="248">
        <v>11.524100000000001</v>
      </c>
      <c r="E240" s="248">
        <v>14.470499999999999</v>
      </c>
      <c r="F240" s="248">
        <v>15.760899999999999</v>
      </c>
      <c r="G240" s="248">
        <v>16.6755</v>
      </c>
      <c r="H240" s="248">
        <v>18.079499999999999</v>
      </c>
      <c r="I240"/>
      <c r="J240"/>
      <c r="K240"/>
      <c r="L240"/>
      <c r="M240"/>
    </row>
    <row r="241" spans="3:13" hidden="1" outlineLevel="1" x14ac:dyDescent="0.2">
      <c r="C241" s="141">
        <v>23.100000000000058</v>
      </c>
      <c r="D241" s="229">
        <v>11.59601</v>
      </c>
      <c r="E241" s="229">
        <v>14.552949999999999</v>
      </c>
      <c r="F241" s="229">
        <v>15.84787</v>
      </c>
      <c r="G241" s="229">
        <v>16.76567</v>
      </c>
      <c r="H241" s="229">
        <v>18.174620000000001</v>
      </c>
      <c r="I241"/>
      <c r="J241"/>
      <c r="K241"/>
      <c r="L241"/>
      <c r="M241"/>
    </row>
    <row r="242" spans="3:13" hidden="1" outlineLevel="1" x14ac:dyDescent="0.2">
      <c r="C242" s="141">
        <v>23.20000000000006</v>
      </c>
      <c r="D242" s="229">
        <v>11.667919999999999</v>
      </c>
      <c r="E242" s="229">
        <v>14.635399999999999</v>
      </c>
      <c r="F242" s="229">
        <v>15.934840000000001</v>
      </c>
      <c r="G242" s="229">
        <v>16.855840000000001</v>
      </c>
      <c r="H242" s="229">
        <v>18.269740000000002</v>
      </c>
      <c r="I242"/>
      <c r="J242"/>
      <c r="K242"/>
      <c r="L242"/>
      <c r="M242"/>
    </row>
    <row r="243" spans="3:13" hidden="1" outlineLevel="1" x14ac:dyDescent="0.2">
      <c r="C243" s="141">
        <v>23.300000000000061</v>
      </c>
      <c r="D243" s="229">
        <v>11.739829999999998</v>
      </c>
      <c r="E243" s="229">
        <v>14.717849999999999</v>
      </c>
      <c r="F243" s="229">
        <v>16.021810000000002</v>
      </c>
      <c r="G243" s="229">
        <v>16.946010000000001</v>
      </c>
      <c r="H243" s="229">
        <v>18.364860000000004</v>
      </c>
      <c r="I243"/>
      <c r="J243"/>
      <c r="K243"/>
      <c r="L243"/>
      <c r="M243"/>
    </row>
    <row r="244" spans="3:13" hidden="1" outlineLevel="1" x14ac:dyDescent="0.2">
      <c r="C244" s="141">
        <v>23.400000000000063</v>
      </c>
      <c r="D244" s="229">
        <v>11.811739999999997</v>
      </c>
      <c r="E244" s="229">
        <v>14.800299999999998</v>
      </c>
      <c r="F244" s="229">
        <v>16.108780000000003</v>
      </c>
      <c r="G244" s="229">
        <v>17.036180000000002</v>
      </c>
      <c r="H244" s="229">
        <v>18.459980000000005</v>
      </c>
      <c r="I244"/>
      <c r="J244"/>
      <c r="K244"/>
      <c r="L244"/>
      <c r="M244"/>
    </row>
    <row r="245" spans="3:13" hidden="1" outlineLevel="1" x14ac:dyDescent="0.2">
      <c r="C245" s="141">
        <v>23.500000000000064</v>
      </c>
      <c r="D245" s="229">
        <v>11.883649999999996</v>
      </c>
      <c r="E245" s="229">
        <v>14.882749999999998</v>
      </c>
      <c r="F245" s="229">
        <v>16.195750000000004</v>
      </c>
      <c r="G245" s="229">
        <v>17.126350000000002</v>
      </c>
      <c r="H245" s="229">
        <v>18.555100000000007</v>
      </c>
      <c r="I245"/>
      <c r="J245"/>
      <c r="K245"/>
      <c r="L245"/>
      <c r="M245"/>
    </row>
    <row r="246" spans="3:13" hidden="1" outlineLevel="1" x14ac:dyDescent="0.2">
      <c r="C246" s="141">
        <v>23.600000000000065</v>
      </c>
      <c r="D246" s="229">
        <v>11.955559999999995</v>
      </c>
      <c r="E246" s="229">
        <v>14.965199999999998</v>
      </c>
      <c r="F246" s="229">
        <v>16.282720000000005</v>
      </c>
      <c r="G246" s="229">
        <v>17.216520000000003</v>
      </c>
      <c r="H246" s="229">
        <v>18.650220000000008</v>
      </c>
      <c r="I246"/>
      <c r="J246"/>
      <c r="K246"/>
      <c r="L246"/>
      <c r="M246"/>
    </row>
    <row r="247" spans="3:13" hidden="1" outlineLevel="1" x14ac:dyDescent="0.2">
      <c r="C247" s="141">
        <v>23.700000000000067</v>
      </c>
      <c r="D247" s="229">
        <v>12.027469999999994</v>
      </c>
      <c r="E247" s="229">
        <v>15.047649999999997</v>
      </c>
      <c r="F247" s="229">
        <v>16.369690000000006</v>
      </c>
      <c r="G247" s="229">
        <v>17.306690000000003</v>
      </c>
      <c r="H247" s="229">
        <v>18.745340000000009</v>
      </c>
      <c r="I247"/>
      <c r="J247"/>
      <c r="K247"/>
      <c r="L247"/>
      <c r="M247"/>
    </row>
    <row r="248" spans="3:13" hidden="1" outlineLevel="1" x14ac:dyDescent="0.2">
      <c r="C248" s="141">
        <v>23.800000000000068</v>
      </c>
      <c r="D248" s="229">
        <v>12.099379999999993</v>
      </c>
      <c r="E248" s="229">
        <v>15.130099999999997</v>
      </c>
      <c r="F248" s="229">
        <v>16.456660000000007</v>
      </c>
      <c r="G248" s="229">
        <v>17.396860000000004</v>
      </c>
      <c r="H248" s="229">
        <v>18.840460000000011</v>
      </c>
      <c r="I248"/>
      <c r="J248"/>
      <c r="K248"/>
      <c r="L248"/>
      <c r="M248"/>
    </row>
    <row r="249" spans="3:13" hidden="1" outlineLevel="1" x14ac:dyDescent="0.2">
      <c r="C249" s="141">
        <v>23.90000000000007</v>
      </c>
      <c r="D249" s="229">
        <v>12.171289999999992</v>
      </c>
      <c r="E249" s="229">
        <v>15.212549999999997</v>
      </c>
      <c r="F249" s="229">
        <v>16.543630000000007</v>
      </c>
      <c r="G249" s="229">
        <v>17.487030000000004</v>
      </c>
      <c r="H249" s="229">
        <v>18.935580000000012</v>
      </c>
      <c r="I249"/>
      <c r="J249"/>
      <c r="K249"/>
      <c r="L249"/>
      <c r="M249"/>
    </row>
    <row r="250" spans="3:13" hidden="1" outlineLevel="1" x14ac:dyDescent="0.2">
      <c r="C250" s="139">
        <v>24</v>
      </c>
      <c r="D250" s="248">
        <v>12.2432</v>
      </c>
      <c r="E250" s="248">
        <v>15.295</v>
      </c>
      <c r="F250" s="248">
        <v>16.630600000000001</v>
      </c>
      <c r="G250" s="248">
        <v>17.577200000000001</v>
      </c>
      <c r="H250" s="248">
        <v>19.0307</v>
      </c>
      <c r="I250"/>
      <c r="J250"/>
      <c r="K250"/>
      <c r="L250"/>
      <c r="M250"/>
    </row>
    <row r="251" spans="3:13" hidden="1" outlineLevel="1" x14ac:dyDescent="0.2">
      <c r="C251" s="139">
        <v>25</v>
      </c>
      <c r="D251" s="248">
        <v>12.9689</v>
      </c>
      <c r="E251" s="248">
        <v>16.124600000000001</v>
      </c>
      <c r="F251" s="248">
        <v>17.5046</v>
      </c>
      <c r="G251" s="248">
        <v>18.482800000000001</v>
      </c>
      <c r="H251" s="248">
        <v>19.985299999999999</v>
      </c>
      <c r="I251"/>
      <c r="J251"/>
      <c r="K251"/>
      <c r="L251"/>
      <c r="M251"/>
    </row>
    <row r="252" spans="3:13" hidden="1" outlineLevel="1" x14ac:dyDescent="0.2">
      <c r="C252" s="139">
        <v>26</v>
      </c>
      <c r="D252" s="248">
        <v>13.700799999999999</v>
      </c>
      <c r="E252" s="248">
        <v>16.9588</v>
      </c>
      <c r="F252" s="248">
        <v>18.3828</v>
      </c>
      <c r="G252" s="248">
        <v>19.392199999999999</v>
      </c>
      <c r="H252" s="248">
        <v>20.943000000000001</v>
      </c>
      <c r="I252"/>
      <c r="J252"/>
      <c r="K252"/>
      <c r="L252"/>
      <c r="M252"/>
    </row>
    <row r="253" spans="3:13" hidden="1" outlineLevel="1" x14ac:dyDescent="0.2">
      <c r="C253" s="139">
        <v>27</v>
      </c>
      <c r="D253" s="248">
        <v>14.438499999999999</v>
      </c>
      <c r="E253" s="248">
        <v>17.7974</v>
      </c>
      <c r="F253" s="248">
        <v>19.264800000000001</v>
      </c>
      <c r="G253" s="248">
        <v>20.305</v>
      </c>
      <c r="H253" s="248">
        <v>21.903700000000001</v>
      </c>
      <c r="I253"/>
      <c r="J253"/>
      <c r="K253"/>
      <c r="L253"/>
      <c r="M253"/>
    </row>
    <row r="254" spans="3:13" hidden="1" outlineLevel="1" x14ac:dyDescent="0.2">
      <c r="C254" s="139">
        <v>28</v>
      </c>
      <c r="D254" s="248">
        <v>15.181800000000001</v>
      </c>
      <c r="E254" s="248">
        <v>18.6402</v>
      </c>
      <c r="F254" s="248">
        <v>20.150400000000001</v>
      </c>
      <c r="G254" s="248">
        <v>21.2211</v>
      </c>
      <c r="H254" s="248">
        <v>22.8672</v>
      </c>
      <c r="I254"/>
      <c r="J254"/>
      <c r="K254"/>
      <c r="L254"/>
      <c r="M254"/>
    </row>
    <row r="255" spans="3:13" hidden="1" outlineLevel="1" x14ac:dyDescent="0.2">
      <c r="C255" s="139">
        <v>29</v>
      </c>
      <c r="D255" s="248">
        <v>15.930400000000001</v>
      </c>
      <c r="E255" s="248">
        <v>19.486899999999999</v>
      </c>
      <c r="F255" s="248">
        <v>21.039400000000001</v>
      </c>
      <c r="G255" s="248">
        <v>22.1402</v>
      </c>
      <c r="H255" s="248">
        <v>23.833300000000001</v>
      </c>
      <c r="I255"/>
      <c r="J255"/>
      <c r="K255"/>
      <c r="L255"/>
      <c r="M255"/>
    </row>
    <row r="256" spans="3:13" hidden="1" outlineLevel="1" x14ac:dyDescent="0.2">
      <c r="C256" s="139">
        <v>30</v>
      </c>
      <c r="D256" s="248">
        <v>16.683900000000001</v>
      </c>
      <c r="E256" s="248">
        <v>20.337299999999999</v>
      </c>
      <c r="F256" s="248">
        <v>21.9316</v>
      </c>
      <c r="G256" s="248">
        <v>23.0623</v>
      </c>
      <c r="H256" s="248">
        <v>24.8018</v>
      </c>
      <c r="I256"/>
      <c r="J256"/>
      <c r="K256"/>
      <c r="L256"/>
      <c r="M256"/>
    </row>
    <row r="257" spans="3:13" hidden="1" outlineLevel="1" x14ac:dyDescent="0.2">
      <c r="C257" s="139">
        <v>31</v>
      </c>
      <c r="D257" s="248">
        <v>17.442</v>
      </c>
      <c r="E257" s="248">
        <v>21.191099999999999</v>
      </c>
      <c r="F257" s="248">
        <v>22.826799999999999</v>
      </c>
      <c r="G257" s="248">
        <v>23.987100000000002</v>
      </c>
      <c r="H257" s="248">
        <v>25.7727</v>
      </c>
      <c r="I257"/>
      <c r="J257"/>
      <c r="K257"/>
      <c r="L257"/>
      <c r="M257"/>
    </row>
    <row r="258" spans="3:13" hidden="1" outlineLevel="1" x14ac:dyDescent="0.2">
      <c r="C258" s="139">
        <v>32</v>
      </c>
      <c r="D258" s="248">
        <v>18.204699999999999</v>
      </c>
      <c r="E258" s="248">
        <v>22.048300000000001</v>
      </c>
      <c r="F258" s="248">
        <v>23.724900000000002</v>
      </c>
      <c r="G258" s="248">
        <v>24.914400000000001</v>
      </c>
      <c r="H258" s="248">
        <v>26.745699999999999</v>
      </c>
      <c r="I258"/>
      <c r="J258"/>
      <c r="K258"/>
      <c r="L258"/>
      <c r="M258"/>
    </row>
    <row r="259" spans="3:13" hidden="1" outlineLevel="1" x14ac:dyDescent="0.2">
      <c r="C259" s="139">
        <v>33</v>
      </c>
      <c r="D259" s="248">
        <v>18.971599999999999</v>
      </c>
      <c r="E259" s="248">
        <v>22.9087</v>
      </c>
      <c r="F259" s="248">
        <v>24.625699999999998</v>
      </c>
      <c r="G259" s="248">
        <v>25.844200000000001</v>
      </c>
      <c r="H259" s="248">
        <v>27.720800000000001</v>
      </c>
      <c r="I259"/>
      <c r="J259"/>
      <c r="K259"/>
      <c r="L259"/>
      <c r="M259"/>
    </row>
    <row r="260" spans="3:13" hidden="1" outlineLevel="1" x14ac:dyDescent="0.2">
      <c r="C260" s="139">
        <v>34</v>
      </c>
      <c r="D260" s="248">
        <v>19.742599999999999</v>
      </c>
      <c r="E260" s="248">
        <v>23.771999999999998</v>
      </c>
      <c r="F260" s="248">
        <v>25.5291</v>
      </c>
      <c r="G260" s="248">
        <v>26.776299999999999</v>
      </c>
      <c r="H260" s="248">
        <v>28.697800000000001</v>
      </c>
      <c r="I260"/>
      <c r="J260"/>
      <c r="K260"/>
      <c r="L260"/>
      <c r="M260"/>
    </row>
    <row r="261" spans="3:13" hidden="1" outlineLevel="1" x14ac:dyDescent="0.2">
      <c r="C261" s="139">
        <v>35</v>
      </c>
      <c r="D261" s="248">
        <v>20.517399999999999</v>
      </c>
      <c r="E261" s="248">
        <v>24.638100000000001</v>
      </c>
      <c r="F261" s="248">
        <v>26.434899999999999</v>
      </c>
      <c r="G261" s="248">
        <v>27.710599999999999</v>
      </c>
      <c r="H261" s="248">
        <v>29.6767</v>
      </c>
      <c r="I261"/>
      <c r="J261"/>
      <c r="K261"/>
      <c r="L261"/>
      <c r="M261"/>
    </row>
    <row r="262" spans="3:13" hidden="1" outlineLevel="1" x14ac:dyDescent="0.2">
      <c r="C262" s="139">
        <v>36</v>
      </c>
      <c r="D262" s="248">
        <v>21.295999999999999</v>
      </c>
      <c r="E262" s="248">
        <v>25.507000000000001</v>
      </c>
      <c r="F262" s="248">
        <v>27.3431</v>
      </c>
      <c r="G262" s="248">
        <v>28.646999999999998</v>
      </c>
      <c r="H262" s="248">
        <v>30.657299999999999</v>
      </c>
      <c r="I262"/>
      <c r="J262"/>
      <c r="K262"/>
      <c r="L262"/>
      <c r="M262"/>
    </row>
    <row r="263" spans="3:13" hidden="1" outlineLevel="1" x14ac:dyDescent="0.2">
      <c r="C263" s="139">
        <v>37</v>
      </c>
      <c r="D263" s="248">
        <v>22.078099999999999</v>
      </c>
      <c r="E263" s="248">
        <v>26.378499999999999</v>
      </c>
      <c r="F263" s="248">
        <v>28.253599999999999</v>
      </c>
      <c r="G263" s="248">
        <v>29.5854</v>
      </c>
      <c r="H263" s="248">
        <v>31.639600000000002</v>
      </c>
      <c r="I263"/>
      <c r="J263"/>
      <c r="K263"/>
      <c r="L263"/>
      <c r="M263"/>
    </row>
    <row r="264" spans="3:13" hidden="1" outlineLevel="1" x14ac:dyDescent="0.2">
      <c r="C264" s="139">
        <v>38</v>
      </c>
      <c r="D264" s="248">
        <v>22.863600000000002</v>
      </c>
      <c r="E264" s="248">
        <v>27.252500000000001</v>
      </c>
      <c r="F264" s="248">
        <v>29.1661</v>
      </c>
      <c r="G264" s="248">
        <v>30.525700000000001</v>
      </c>
      <c r="H264" s="248">
        <v>32.623600000000003</v>
      </c>
      <c r="I264"/>
      <c r="J264"/>
      <c r="K264"/>
      <c r="L264"/>
      <c r="M264"/>
    </row>
    <row r="265" spans="3:13" hidden="1" outlineLevel="1" x14ac:dyDescent="0.2">
      <c r="C265" s="139">
        <v>39</v>
      </c>
      <c r="D265" s="248">
        <v>23.6523</v>
      </c>
      <c r="E265" s="248">
        <v>28.128799999999998</v>
      </c>
      <c r="F265" s="248">
        <v>30.0808</v>
      </c>
      <c r="G265" s="248">
        <v>31.4679</v>
      </c>
      <c r="H265" s="248">
        <v>33.609000000000002</v>
      </c>
      <c r="I265"/>
      <c r="J265"/>
      <c r="K265"/>
      <c r="L265"/>
      <c r="M265"/>
    </row>
    <row r="266" spans="3:13" hidden="1" outlineLevel="1" x14ac:dyDescent="0.2">
      <c r="C266" s="139">
        <v>40</v>
      </c>
      <c r="D266" s="248">
        <v>24.444199999999999</v>
      </c>
      <c r="E266" s="248">
        <v>29.007400000000001</v>
      </c>
      <c r="F266" s="248">
        <v>30.997299999999999</v>
      </c>
      <c r="G266" s="248">
        <v>32.411799999999999</v>
      </c>
      <c r="H266" s="248">
        <v>34.595999999999997</v>
      </c>
      <c r="I266"/>
      <c r="J266"/>
      <c r="K266"/>
      <c r="L266"/>
      <c r="M266"/>
    </row>
    <row r="267" spans="3:13" hidden="1" outlineLevel="1" x14ac:dyDescent="0.2">
      <c r="C267" s="139">
        <v>41</v>
      </c>
      <c r="D267" s="248">
        <v>25.239100000000001</v>
      </c>
      <c r="E267" s="248">
        <v>29.888200000000001</v>
      </c>
      <c r="F267" s="248">
        <v>31.915800000000001</v>
      </c>
      <c r="G267" s="248">
        <v>33.357399999999998</v>
      </c>
      <c r="H267" s="248">
        <v>35.584299999999999</v>
      </c>
      <c r="I267"/>
      <c r="J267"/>
      <c r="K267"/>
      <c r="L267"/>
      <c r="M267"/>
    </row>
    <row r="268" spans="3:13" hidden="1" outlineLevel="1" x14ac:dyDescent="0.2">
      <c r="C268" s="139">
        <v>42</v>
      </c>
      <c r="D268" s="248">
        <v>26.036899999999999</v>
      </c>
      <c r="E268" s="248">
        <v>30.7712</v>
      </c>
      <c r="F268" s="248">
        <v>32.835999999999999</v>
      </c>
      <c r="G268" s="248">
        <v>34.304600000000001</v>
      </c>
      <c r="H268" s="248">
        <v>36.573900000000002</v>
      </c>
      <c r="I268"/>
      <c r="J268"/>
      <c r="K268"/>
      <c r="L268"/>
      <c r="M268"/>
    </row>
    <row r="269" spans="3:13" hidden="1" outlineLevel="1" x14ac:dyDescent="0.2">
      <c r="C269" s="139">
        <v>43</v>
      </c>
      <c r="D269" s="248">
        <v>26.837399999999999</v>
      </c>
      <c r="E269" s="248">
        <v>31.656099999999999</v>
      </c>
      <c r="F269" s="248">
        <v>33.758000000000003</v>
      </c>
      <c r="G269" s="248">
        <v>35.253300000000003</v>
      </c>
      <c r="H269" s="248">
        <v>37.564799999999998</v>
      </c>
      <c r="I269"/>
      <c r="J269"/>
      <c r="K269"/>
      <c r="L269"/>
      <c r="M269"/>
    </row>
    <row r="270" spans="3:13" hidden="1" outlineLevel="1" x14ac:dyDescent="0.2">
      <c r="C270" s="139">
        <v>44</v>
      </c>
      <c r="D270" s="248">
        <v>27.640699999999999</v>
      </c>
      <c r="E270" s="248">
        <v>32.542999999999999</v>
      </c>
      <c r="F270" s="248">
        <v>34.681600000000003</v>
      </c>
      <c r="G270" s="248">
        <v>36.203499999999998</v>
      </c>
      <c r="H270" s="248">
        <v>38.557000000000002</v>
      </c>
      <c r="I270"/>
      <c r="J270"/>
      <c r="K270"/>
      <c r="L270"/>
      <c r="M270"/>
    </row>
    <row r="271" spans="3:13" hidden="1" outlineLevel="1" x14ac:dyDescent="0.2">
      <c r="C271" s="139">
        <v>45</v>
      </c>
      <c r="D271" s="248">
        <v>28.4466</v>
      </c>
      <c r="E271" s="248">
        <v>33.431699999999999</v>
      </c>
      <c r="F271" s="248">
        <v>35.606900000000003</v>
      </c>
      <c r="G271" s="248">
        <v>37.155099999999997</v>
      </c>
      <c r="H271" s="248">
        <v>39.5503</v>
      </c>
      <c r="I271"/>
      <c r="J271"/>
      <c r="K271"/>
      <c r="L271"/>
      <c r="M271"/>
    </row>
    <row r="272" spans="3:13" hidden="1" outlineLevel="1" x14ac:dyDescent="0.2">
      <c r="C272" s="139">
        <v>46</v>
      </c>
      <c r="D272" s="248">
        <v>29.254899999999999</v>
      </c>
      <c r="E272" s="248">
        <v>34.322299999999998</v>
      </c>
      <c r="F272" s="248">
        <v>36.533700000000003</v>
      </c>
      <c r="G272" s="248">
        <v>38.1081</v>
      </c>
      <c r="H272" s="248">
        <v>40.544699999999999</v>
      </c>
      <c r="I272"/>
      <c r="J272"/>
      <c r="K272"/>
      <c r="L272"/>
      <c r="M272"/>
    </row>
    <row r="273" spans="3:13" hidden="1" outlineLevel="1" x14ac:dyDescent="0.2">
      <c r="C273" s="139">
        <v>47</v>
      </c>
      <c r="D273" s="248">
        <v>30.0657</v>
      </c>
      <c r="E273" s="248">
        <v>35.214599999999997</v>
      </c>
      <c r="F273" s="248">
        <v>37.4619</v>
      </c>
      <c r="G273" s="248">
        <v>39.062399999999997</v>
      </c>
      <c r="H273" s="248">
        <v>41.540300000000002</v>
      </c>
      <c r="I273"/>
      <c r="J273"/>
      <c r="K273"/>
      <c r="L273"/>
      <c r="M273"/>
    </row>
    <row r="274" spans="3:13" hidden="1" outlineLevel="1" x14ac:dyDescent="0.2">
      <c r="C274" s="139">
        <v>48</v>
      </c>
      <c r="D274" s="248">
        <v>30.878900000000002</v>
      </c>
      <c r="E274" s="248">
        <v>36.108600000000003</v>
      </c>
      <c r="F274" s="248">
        <v>38.391599999999997</v>
      </c>
      <c r="G274" s="248">
        <v>40.018000000000001</v>
      </c>
      <c r="H274" s="248">
        <v>42.536900000000003</v>
      </c>
      <c r="I274"/>
      <c r="J274"/>
      <c r="K274"/>
      <c r="L274"/>
      <c r="M274"/>
    </row>
    <row r="275" spans="3:13" hidden="1" outlineLevel="1" x14ac:dyDescent="0.2">
      <c r="C275" s="139">
        <v>49</v>
      </c>
      <c r="D275" s="248">
        <v>31.694299999999998</v>
      </c>
      <c r="E275" s="248">
        <v>37.004199999999997</v>
      </c>
      <c r="F275" s="248">
        <v>39.322699999999998</v>
      </c>
      <c r="G275" s="248">
        <v>40.974699999999999</v>
      </c>
      <c r="H275" s="248">
        <v>43.534500000000001</v>
      </c>
      <c r="I275"/>
      <c r="J275"/>
      <c r="K275"/>
      <c r="L275"/>
      <c r="M275"/>
    </row>
    <row r="276" spans="3:13" hidden="1" outlineLevel="1" x14ac:dyDescent="0.2">
      <c r="C276" s="139">
        <v>50</v>
      </c>
      <c r="D276" s="248">
        <v>32.511800000000001</v>
      </c>
      <c r="E276" s="248">
        <v>37.901400000000002</v>
      </c>
      <c r="F276" s="248">
        <v>40.255200000000002</v>
      </c>
      <c r="G276" s="248">
        <v>41.932699999999997</v>
      </c>
      <c r="H276" s="248">
        <v>44.533000000000001</v>
      </c>
      <c r="I276"/>
      <c r="J276"/>
      <c r="K276"/>
      <c r="L276"/>
      <c r="M276"/>
    </row>
    <row r="277" spans="3:13" hidden="1" outlineLevel="1" x14ac:dyDescent="0.2">
      <c r="C277" s="139">
        <v>51</v>
      </c>
      <c r="D277" s="248">
        <v>33.331600000000002</v>
      </c>
      <c r="E277" s="248">
        <v>38.8001</v>
      </c>
      <c r="F277" s="248">
        <v>41.188800000000001</v>
      </c>
      <c r="G277" s="248">
        <v>42.8919</v>
      </c>
      <c r="H277" s="248">
        <v>45.532499999999999</v>
      </c>
      <c r="I277"/>
      <c r="J277"/>
      <c r="K277"/>
      <c r="L277"/>
      <c r="M277"/>
    </row>
    <row r="278" spans="3:13" hidden="1" outlineLevel="1" x14ac:dyDescent="0.2">
      <c r="C278" s="139">
        <v>52</v>
      </c>
      <c r="D278" s="248">
        <v>34.153399999999998</v>
      </c>
      <c r="E278" s="248">
        <v>39.700299999999999</v>
      </c>
      <c r="F278" s="248">
        <v>42.123800000000003</v>
      </c>
      <c r="G278" s="248">
        <v>43.8521</v>
      </c>
      <c r="H278" s="248">
        <v>46.533000000000001</v>
      </c>
      <c r="I278"/>
      <c r="J278"/>
      <c r="K278"/>
      <c r="L278"/>
      <c r="M278"/>
    </row>
    <row r="279" spans="3:13" hidden="1" outlineLevel="1" x14ac:dyDescent="0.2">
      <c r="C279" s="139">
        <v>53</v>
      </c>
      <c r="D279" s="248">
        <v>34.9771</v>
      </c>
      <c r="E279" s="248">
        <v>40.601900000000001</v>
      </c>
      <c r="F279" s="248">
        <v>43.06</v>
      </c>
      <c r="G279" s="248">
        <v>44.813400000000001</v>
      </c>
      <c r="H279" s="248">
        <v>47.534300000000002</v>
      </c>
      <c r="I279"/>
      <c r="J279"/>
      <c r="K279"/>
      <c r="L279"/>
      <c r="M279"/>
    </row>
    <row r="280" spans="3:13" hidden="1" outlineLevel="1" x14ac:dyDescent="0.2">
      <c r="C280" s="139">
        <v>54</v>
      </c>
      <c r="D280" s="248">
        <v>35.802799999999998</v>
      </c>
      <c r="E280" s="248">
        <v>41.504899999999999</v>
      </c>
      <c r="F280" s="248">
        <v>43.997300000000003</v>
      </c>
      <c r="G280" s="248">
        <v>45.775700000000001</v>
      </c>
      <c r="H280" s="248">
        <v>48.5364</v>
      </c>
      <c r="I280"/>
      <c r="J280"/>
      <c r="K280"/>
      <c r="L280"/>
      <c r="M280"/>
    </row>
    <row r="281" spans="3:13" hidden="1" outlineLevel="1" x14ac:dyDescent="0.2">
      <c r="C281" s="139">
        <v>55</v>
      </c>
      <c r="D281" s="248">
        <v>36.630499999999998</v>
      </c>
      <c r="E281" s="248">
        <v>42.409199999999998</v>
      </c>
      <c r="F281" s="248">
        <v>44.9358</v>
      </c>
      <c r="G281" s="248">
        <v>46.739100000000001</v>
      </c>
      <c r="H281" s="248">
        <v>49.539400000000001</v>
      </c>
      <c r="I281"/>
      <c r="J281"/>
      <c r="K281"/>
      <c r="L281"/>
      <c r="M281"/>
    </row>
    <row r="282" spans="3:13" hidden="1" outlineLevel="1" x14ac:dyDescent="0.2">
      <c r="C282" s="139">
        <v>56</v>
      </c>
      <c r="D282" s="248">
        <v>37.459899999999998</v>
      </c>
      <c r="E282" s="248">
        <v>43.314900000000002</v>
      </c>
      <c r="F282" s="248">
        <v>45.875399999999999</v>
      </c>
      <c r="G282" s="248">
        <v>47.703400000000002</v>
      </c>
      <c r="H282" s="248">
        <v>50.543100000000003</v>
      </c>
      <c r="I282"/>
      <c r="J282"/>
      <c r="K282"/>
      <c r="L282"/>
      <c r="M282"/>
    </row>
    <row r="283" spans="3:13" hidden="1" outlineLevel="1" x14ac:dyDescent="0.2">
      <c r="C283" s="139">
        <v>57</v>
      </c>
      <c r="D283" s="248">
        <v>38.2911</v>
      </c>
      <c r="E283" s="248">
        <v>44.221800000000002</v>
      </c>
      <c r="F283" s="248">
        <v>46.816000000000003</v>
      </c>
      <c r="G283" s="248">
        <v>48.668599999999998</v>
      </c>
      <c r="H283" s="248">
        <v>51.547699999999999</v>
      </c>
      <c r="I283"/>
      <c r="J283"/>
      <c r="K283"/>
      <c r="L283"/>
      <c r="M283"/>
    </row>
    <row r="284" spans="3:13" hidden="1" outlineLevel="1" x14ac:dyDescent="0.2">
      <c r="C284" s="139">
        <v>58</v>
      </c>
      <c r="D284" s="248">
        <v>39.124099999999999</v>
      </c>
      <c r="E284" s="248">
        <v>45.129899999999999</v>
      </c>
      <c r="F284" s="248">
        <v>47.7577</v>
      </c>
      <c r="G284" s="248">
        <v>49.634799999999998</v>
      </c>
      <c r="H284" s="248">
        <v>52.552999999999997</v>
      </c>
      <c r="I284"/>
      <c r="J284"/>
      <c r="K284"/>
      <c r="L284"/>
      <c r="M284"/>
    </row>
    <row r="285" spans="3:13" hidden="1" outlineLevel="1" x14ac:dyDescent="0.2">
      <c r="C285" s="139">
        <v>59</v>
      </c>
      <c r="D285" s="248">
        <v>39.9587</v>
      </c>
      <c r="E285" s="248">
        <v>46.039200000000001</v>
      </c>
      <c r="F285" s="248">
        <v>48.700400000000002</v>
      </c>
      <c r="G285" s="248">
        <v>50.601900000000001</v>
      </c>
      <c r="H285" s="248">
        <v>53.558900000000001</v>
      </c>
      <c r="I285"/>
      <c r="J285"/>
      <c r="K285"/>
      <c r="L285"/>
      <c r="M285"/>
    </row>
    <row r="286" spans="3:13" hidden="1" outlineLevel="1" x14ac:dyDescent="0.2">
      <c r="C286" s="139">
        <v>60</v>
      </c>
      <c r="D286" s="248">
        <v>40.795000000000002</v>
      </c>
      <c r="E286" s="248">
        <v>46.9497</v>
      </c>
      <c r="F286" s="248">
        <v>49.644100000000002</v>
      </c>
      <c r="G286" s="248">
        <v>51.569800000000001</v>
      </c>
      <c r="H286" s="248">
        <v>54.565600000000003</v>
      </c>
      <c r="I286"/>
      <c r="J286"/>
      <c r="K286"/>
      <c r="L286"/>
      <c r="M286"/>
    </row>
    <row r="287" spans="3:13" hidden="1" outlineLevel="1" x14ac:dyDescent="0.2">
      <c r="C287" s="139">
        <v>61</v>
      </c>
      <c r="D287" s="248">
        <v>41.632899999999999</v>
      </c>
      <c r="E287" s="248">
        <v>47.8613</v>
      </c>
      <c r="F287" s="248">
        <v>50.588700000000003</v>
      </c>
      <c r="G287" s="248">
        <v>52.538499999999999</v>
      </c>
      <c r="H287" s="248">
        <v>55.573</v>
      </c>
      <c r="I287"/>
      <c r="J287"/>
      <c r="K287"/>
      <c r="L287"/>
      <c r="M287"/>
    </row>
    <row r="288" spans="3:13" hidden="1" outlineLevel="1" x14ac:dyDescent="0.2">
      <c r="C288" s="139">
        <v>62</v>
      </c>
      <c r="D288" s="248">
        <v>42.472299999999997</v>
      </c>
      <c r="E288" s="248">
        <v>48.774000000000001</v>
      </c>
      <c r="F288" s="248">
        <v>51.534199999999998</v>
      </c>
      <c r="G288" s="248">
        <v>53.508099999999999</v>
      </c>
      <c r="H288" s="248">
        <v>56.581000000000003</v>
      </c>
      <c r="I288"/>
      <c r="J288"/>
      <c r="K288"/>
      <c r="L288"/>
      <c r="M288"/>
    </row>
    <row r="289" spans="3:13" hidden="1" outlineLevel="1" x14ac:dyDescent="0.2">
      <c r="C289" s="139">
        <v>63</v>
      </c>
      <c r="D289" s="248">
        <v>43.313299999999998</v>
      </c>
      <c r="E289" s="248">
        <v>49.687800000000003</v>
      </c>
      <c r="F289" s="248">
        <v>52.480699999999999</v>
      </c>
      <c r="G289" s="248">
        <v>54.478400000000001</v>
      </c>
      <c r="H289" s="248">
        <v>57.589599999999997</v>
      </c>
      <c r="I289"/>
      <c r="J289"/>
      <c r="K289"/>
      <c r="L289"/>
      <c r="M289"/>
    </row>
    <row r="290" spans="3:13" hidden="1" outlineLevel="1" x14ac:dyDescent="0.2">
      <c r="C290" s="139">
        <v>64</v>
      </c>
      <c r="D290" s="248">
        <v>44.155700000000003</v>
      </c>
      <c r="E290" s="248">
        <v>50.602600000000002</v>
      </c>
      <c r="F290" s="248">
        <v>53.427999999999997</v>
      </c>
      <c r="G290" s="248">
        <v>55.449599999999997</v>
      </c>
      <c r="H290" s="248">
        <v>58.598999999999997</v>
      </c>
      <c r="I290"/>
      <c r="J290"/>
      <c r="K290"/>
      <c r="L290"/>
      <c r="M290"/>
    </row>
    <row r="291" spans="3:13" hidden="1" outlineLevel="1" x14ac:dyDescent="0.2">
      <c r="C291" s="139">
        <v>65</v>
      </c>
      <c r="D291" s="248">
        <v>44.999499999999998</v>
      </c>
      <c r="E291" s="248">
        <v>51.518500000000003</v>
      </c>
      <c r="F291" s="248">
        <v>54.376199999999997</v>
      </c>
      <c r="G291" s="248">
        <v>56.421500000000002</v>
      </c>
      <c r="H291" s="248">
        <v>59.608899999999998</v>
      </c>
      <c r="I291"/>
      <c r="J291"/>
      <c r="K291"/>
      <c r="L291"/>
      <c r="M291"/>
    </row>
    <row r="292" spans="3:13" hidden="1" outlineLevel="1" x14ac:dyDescent="0.2">
      <c r="C292" s="139">
        <v>66</v>
      </c>
      <c r="D292" s="248">
        <v>45.844799999999999</v>
      </c>
      <c r="E292" s="248">
        <v>52.435299999999998</v>
      </c>
      <c r="F292" s="248">
        <v>55.325200000000002</v>
      </c>
      <c r="G292" s="248">
        <v>57.393999999999998</v>
      </c>
      <c r="H292" s="248">
        <v>60.619300000000003</v>
      </c>
      <c r="I292"/>
      <c r="J292"/>
      <c r="K292"/>
      <c r="L292"/>
      <c r="M292"/>
    </row>
    <row r="293" spans="3:13" hidden="1" outlineLevel="1" x14ac:dyDescent="0.2">
      <c r="C293" s="139">
        <v>67</v>
      </c>
      <c r="D293" s="248">
        <v>46.691499999999998</v>
      </c>
      <c r="E293" s="248">
        <v>53.353099999999998</v>
      </c>
      <c r="F293" s="248">
        <v>56.274999999999999</v>
      </c>
      <c r="G293" s="248">
        <v>58.3673</v>
      </c>
      <c r="H293" s="248">
        <v>61.630400000000002</v>
      </c>
      <c r="I293"/>
      <c r="J293"/>
      <c r="K293"/>
      <c r="L293"/>
      <c r="M293"/>
    </row>
    <row r="294" spans="3:13" hidden="1" outlineLevel="1" x14ac:dyDescent="0.2">
      <c r="C294" s="139">
        <v>68</v>
      </c>
      <c r="D294" s="248">
        <v>47.539499999999997</v>
      </c>
      <c r="E294" s="248">
        <v>54.271799999999999</v>
      </c>
      <c r="F294" s="248">
        <v>57.2256</v>
      </c>
      <c r="G294" s="248">
        <v>59.341299999999997</v>
      </c>
      <c r="H294" s="248">
        <v>62.6419</v>
      </c>
      <c r="I294"/>
      <c r="J294"/>
      <c r="K294"/>
      <c r="L294"/>
      <c r="M294"/>
    </row>
    <row r="295" spans="3:13" hidden="1" outlineLevel="1" x14ac:dyDescent="0.2">
      <c r="C295" s="139">
        <v>69</v>
      </c>
      <c r="D295" s="248">
        <v>48.3889</v>
      </c>
      <c r="E295" s="248">
        <v>55.191499999999998</v>
      </c>
      <c r="F295" s="248">
        <v>58.177</v>
      </c>
      <c r="G295" s="248">
        <v>60.316000000000003</v>
      </c>
      <c r="H295" s="248">
        <v>63.654200000000003</v>
      </c>
      <c r="I295"/>
      <c r="J295"/>
      <c r="K295"/>
      <c r="L295"/>
      <c r="M295"/>
    </row>
    <row r="296" spans="3:13" hidden="1" outlineLevel="1" x14ac:dyDescent="0.2">
      <c r="C296" s="139">
        <v>70</v>
      </c>
      <c r="D296" s="248">
        <v>49.2395</v>
      </c>
      <c r="E296" s="248">
        <v>56.112099999999998</v>
      </c>
      <c r="F296" s="248">
        <v>59.129100000000001</v>
      </c>
      <c r="G296" s="248">
        <v>61.291400000000003</v>
      </c>
      <c r="H296" s="248">
        <v>64.666799999999995</v>
      </c>
      <c r="I296"/>
      <c r="J296"/>
      <c r="K296"/>
      <c r="L296"/>
      <c r="M296"/>
    </row>
    <row r="297" spans="3:13" hidden="1" outlineLevel="1" x14ac:dyDescent="0.2">
      <c r="C297" s="139">
        <v>71</v>
      </c>
      <c r="D297" s="248">
        <v>50.091299999999997</v>
      </c>
      <c r="E297" s="248">
        <v>57.033499999999997</v>
      </c>
      <c r="F297" s="248">
        <v>60.082000000000001</v>
      </c>
      <c r="G297" s="248">
        <v>62.267299999999999</v>
      </c>
      <c r="H297" s="248">
        <v>65.680000000000007</v>
      </c>
      <c r="I297"/>
      <c r="J297"/>
      <c r="K297"/>
      <c r="L297"/>
      <c r="M297"/>
    </row>
    <row r="298" spans="3:13" hidden="1" outlineLevel="1" x14ac:dyDescent="0.2">
      <c r="C298" s="139">
        <v>72</v>
      </c>
      <c r="D298" s="248">
        <v>50.944400000000002</v>
      </c>
      <c r="E298" s="248">
        <v>57.955800000000004</v>
      </c>
      <c r="F298" s="248">
        <v>61.035499999999999</v>
      </c>
      <c r="G298" s="248">
        <v>63.243899999999996</v>
      </c>
      <c r="H298" s="248">
        <v>66.693700000000007</v>
      </c>
      <c r="I298"/>
      <c r="J298"/>
      <c r="K298"/>
      <c r="L298"/>
      <c r="M298"/>
    </row>
    <row r="299" spans="3:13" hidden="1" outlineLevel="1" x14ac:dyDescent="0.2">
      <c r="C299" s="139">
        <v>73</v>
      </c>
      <c r="D299" s="248">
        <v>51.798699999999997</v>
      </c>
      <c r="E299" s="248">
        <v>58.878900000000002</v>
      </c>
      <c r="F299" s="248">
        <v>61.989800000000002</v>
      </c>
      <c r="G299" s="248">
        <v>64.221100000000007</v>
      </c>
      <c r="H299" s="248">
        <v>67.707899999999995</v>
      </c>
      <c r="I299"/>
      <c r="J299"/>
      <c r="K299"/>
      <c r="L299"/>
      <c r="M299"/>
    </row>
    <row r="300" spans="3:13" hidden="1" outlineLevel="1" x14ac:dyDescent="0.2">
      <c r="C300" s="139">
        <v>74</v>
      </c>
      <c r="D300" s="248">
        <v>52.654200000000003</v>
      </c>
      <c r="E300" s="248">
        <v>59.802900000000001</v>
      </c>
      <c r="F300" s="248">
        <v>62.944800000000001</v>
      </c>
      <c r="G300" s="248">
        <v>65.198899999999995</v>
      </c>
      <c r="H300" s="248">
        <v>68.722499999999997</v>
      </c>
      <c r="I300"/>
      <c r="J300"/>
      <c r="K300"/>
      <c r="L300"/>
      <c r="M300"/>
    </row>
    <row r="301" spans="3:13" hidden="1" outlineLevel="1" x14ac:dyDescent="0.2">
      <c r="C301" s="139">
        <v>75</v>
      </c>
      <c r="D301" s="248">
        <v>53.510800000000003</v>
      </c>
      <c r="E301" s="248">
        <v>60.727600000000002</v>
      </c>
      <c r="F301" s="248">
        <v>63.900399999999998</v>
      </c>
      <c r="G301" s="248">
        <v>66.177300000000002</v>
      </c>
      <c r="H301" s="248">
        <v>69.737700000000004</v>
      </c>
      <c r="I301"/>
      <c r="J301"/>
      <c r="K301"/>
      <c r="L301"/>
      <c r="M301"/>
    </row>
    <row r="302" spans="3:13" hidden="1" outlineLevel="1" x14ac:dyDescent="0.2">
      <c r="C302" s="139">
        <v>76</v>
      </c>
      <c r="D302" s="248">
        <v>54.368499999999997</v>
      </c>
      <c r="E302" s="248">
        <v>61.653100000000002</v>
      </c>
      <c r="F302" s="248">
        <v>64.856700000000004</v>
      </c>
      <c r="G302" s="248">
        <v>67.156300000000002</v>
      </c>
      <c r="H302" s="248">
        <v>70.753299999999996</v>
      </c>
      <c r="I302"/>
      <c r="J302"/>
      <c r="K302"/>
      <c r="L302"/>
      <c r="M302"/>
    </row>
    <row r="303" spans="3:13" hidden="1" outlineLevel="1" x14ac:dyDescent="0.2">
      <c r="C303" s="139">
        <v>77</v>
      </c>
      <c r="D303" s="248">
        <v>55.227400000000003</v>
      </c>
      <c r="E303" s="248">
        <v>62.5794</v>
      </c>
      <c r="F303" s="248">
        <v>65.813599999999994</v>
      </c>
      <c r="G303" s="248">
        <v>68.1357</v>
      </c>
      <c r="H303" s="248">
        <v>71.769300000000001</v>
      </c>
      <c r="I303"/>
      <c r="J303"/>
      <c r="K303"/>
      <c r="L303"/>
      <c r="M303"/>
    </row>
    <row r="304" spans="3:13" hidden="1" outlineLevel="1" x14ac:dyDescent="0.2">
      <c r="C304" s="139">
        <v>78</v>
      </c>
      <c r="D304" s="248">
        <v>56.087299999999999</v>
      </c>
      <c r="E304" s="248">
        <v>63.506500000000003</v>
      </c>
      <c r="F304" s="248">
        <v>66.771199999999993</v>
      </c>
      <c r="G304" s="248">
        <v>69.115799999999993</v>
      </c>
      <c r="H304" s="248">
        <v>72.785700000000006</v>
      </c>
      <c r="I304"/>
      <c r="J304"/>
      <c r="K304"/>
      <c r="L304"/>
      <c r="M304"/>
    </row>
    <row r="305" spans="3:13" hidden="1" outlineLevel="1" x14ac:dyDescent="0.2">
      <c r="C305" s="139">
        <v>79</v>
      </c>
      <c r="D305" s="248">
        <v>56.948300000000003</v>
      </c>
      <c r="E305" s="248">
        <v>64.434299999999993</v>
      </c>
      <c r="F305" s="248">
        <v>67.729299999999995</v>
      </c>
      <c r="G305" s="248">
        <v>70.096400000000003</v>
      </c>
      <c r="H305" s="248">
        <v>73.802599999999998</v>
      </c>
      <c r="I305"/>
      <c r="J305"/>
      <c r="K305"/>
      <c r="L305"/>
      <c r="M305"/>
    </row>
    <row r="306" spans="3:13" hidden="1" outlineLevel="1" x14ac:dyDescent="0.2">
      <c r="C306" s="139">
        <v>80</v>
      </c>
      <c r="D306" s="248">
        <v>57.810400000000001</v>
      </c>
      <c r="E306" s="248">
        <v>65.362700000000004</v>
      </c>
      <c r="F306" s="248">
        <v>68.688100000000006</v>
      </c>
      <c r="G306" s="248">
        <v>71.077500000000001</v>
      </c>
      <c r="H306" s="248">
        <v>74.819900000000004</v>
      </c>
      <c r="I306"/>
      <c r="J306"/>
      <c r="K306"/>
      <c r="L306"/>
      <c r="M306"/>
    </row>
    <row r="307" spans="3:13" hidden="1" outlineLevel="1" x14ac:dyDescent="0.2">
      <c r="C307" s="139">
        <v>81</v>
      </c>
      <c r="D307" s="248">
        <v>58.673400000000001</v>
      </c>
      <c r="E307" s="248">
        <v>66.291899999999998</v>
      </c>
      <c r="F307" s="248">
        <v>69.647400000000005</v>
      </c>
      <c r="G307" s="248">
        <v>72.059100000000001</v>
      </c>
      <c r="H307" s="248">
        <v>75.837599999999995</v>
      </c>
      <c r="I307"/>
      <c r="J307"/>
      <c r="K307"/>
      <c r="L307"/>
      <c r="M307"/>
    </row>
    <row r="308" spans="3:13" hidden="1" outlineLevel="1" x14ac:dyDescent="0.2">
      <c r="C308" s="139">
        <v>82</v>
      </c>
      <c r="D308" s="248">
        <v>59.537500000000001</v>
      </c>
      <c r="E308" s="248">
        <v>67.221900000000005</v>
      </c>
      <c r="F308" s="248">
        <v>70.607399999999998</v>
      </c>
      <c r="G308" s="248">
        <v>73.041200000000003</v>
      </c>
      <c r="H308" s="248">
        <v>76.855699999999999</v>
      </c>
      <c r="I308"/>
      <c r="J308"/>
      <c r="K308"/>
      <c r="L308"/>
      <c r="M308"/>
    </row>
    <row r="309" spans="3:13" hidden="1" outlineLevel="1" x14ac:dyDescent="0.2">
      <c r="C309" s="139">
        <v>83</v>
      </c>
      <c r="D309" s="248">
        <v>60.402500000000003</v>
      </c>
      <c r="E309" s="248">
        <v>68.152500000000003</v>
      </c>
      <c r="F309" s="248">
        <v>71.567800000000005</v>
      </c>
      <c r="G309" s="248">
        <v>74.023799999999994</v>
      </c>
      <c r="H309" s="248">
        <v>77.874200000000002</v>
      </c>
      <c r="I309"/>
      <c r="J309"/>
      <c r="K309"/>
      <c r="L309"/>
      <c r="M309"/>
    </row>
    <row r="310" spans="3:13" hidden="1" outlineLevel="1" x14ac:dyDescent="0.2">
      <c r="C310" s="139">
        <v>84</v>
      </c>
      <c r="D310" s="248">
        <v>61.268500000000003</v>
      </c>
      <c r="E310" s="248">
        <v>69.083699999999993</v>
      </c>
      <c r="F310" s="248">
        <v>72.528800000000004</v>
      </c>
      <c r="G310" s="248">
        <v>75.006900000000002</v>
      </c>
      <c r="H310" s="248">
        <v>78.893000000000001</v>
      </c>
      <c r="I310"/>
      <c r="J310"/>
      <c r="K310"/>
      <c r="L310"/>
      <c r="M310"/>
    </row>
    <row r="311" spans="3:13" hidden="1" outlineLevel="1" x14ac:dyDescent="0.2">
      <c r="C311" s="139">
        <v>85</v>
      </c>
      <c r="D311" s="248">
        <v>62.135399999999997</v>
      </c>
      <c r="E311" s="248">
        <v>70.015600000000006</v>
      </c>
      <c r="F311" s="248">
        <v>73.490399999999994</v>
      </c>
      <c r="G311" s="248">
        <v>75.990499999999997</v>
      </c>
      <c r="H311" s="248">
        <v>79.912199999999999</v>
      </c>
      <c r="I311"/>
      <c r="J311"/>
      <c r="K311"/>
      <c r="L311"/>
      <c r="M311"/>
    </row>
    <row r="312" spans="3:13" hidden="1" outlineLevel="1" x14ac:dyDescent="0.2">
      <c r="C312" s="139">
        <v>86</v>
      </c>
      <c r="D312" s="248">
        <v>63.003300000000003</v>
      </c>
      <c r="E312" s="248">
        <v>70.948099999999997</v>
      </c>
      <c r="F312" s="248">
        <v>74.452500000000001</v>
      </c>
      <c r="G312" s="248">
        <v>76.974400000000003</v>
      </c>
      <c r="H312" s="248">
        <v>80.931899999999999</v>
      </c>
      <c r="I312"/>
      <c r="J312"/>
      <c r="K312"/>
      <c r="L312"/>
      <c r="M312"/>
    </row>
    <row r="313" spans="3:13" hidden="1" outlineLevel="1" x14ac:dyDescent="0.2">
      <c r="C313" s="139">
        <v>87</v>
      </c>
      <c r="D313" s="248">
        <v>63.872100000000003</v>
      </c>
      <c r="E313" s="248">
        <v>71.881200000000007</v>
      </c>
      <c r="F313" s="248">
        <v>75.415099999999995</v>
      </c>
      <c r="G313" s="248">
        <v>77.9589</v>
      </c>
      <c r="H313" s="248">
        <v>81.951800000000006</v>
      </c>
      <c r="I313"/>
      <c r="J313"/>
      <c r="K313"/>
      <c r="L313"/>
      <c r="M313"/>
    </row>
    <row r="314" spans="3:13" hidden="1" outlineLevel="1" x14ac:dyDescent="0.2">
      <c r="C314" s="139">
        <v>88</v>
      </c>
      <c r="D314" s="248">
        <v>64.741699999999994</v>
      </c>
      <c r="E314" s="248">
        <v>72.814999999999998</v>
      </c>
      <c r="F314" s="248">
        <v>76.378299999999996</v>
      </c>
      <c r="G314" s="248">
        <v>78.943799999999996</v>
      </c>
      <c r="H314" s="248">
        <v>82.972099999999998</v>
      </c>
      <c r="I314"/>
      <c r="J314"/>
      <c r="K314"/>
      <c r="L314"/>
      <c r="M314"/>
    </row>
    <row r="315" spans="3:13" hidden="1" outlineLevel="1" x14ac:dyDescent="0.2">
      <c r="C315" s="139">
        <v>89</v>
      </c>
      <c r="D315" s="248">
        <v>65.612300000000005</v>
      </c>
      <c r="E315" s="248">
        <v>73.749300000000005</v>
      </c>
      <c r="F315" s="248">
        <v>77.341800000000006</v>
      </c>
      <c r="G315" s="248">
        <v>79.929199999999994</v>
      </c>
      <c r="H315" s="248">
        <v>83.992699999999999</v>
      </c>
      <c r="I315"/>
      <c r="J315"/>
      <c r="K315"/>
      <c r="L315"/>
      <c r="M315"/>
    </row>
    <row r="316" spans="3:13" hidden="1" outlineLevel="1" x14ac:dyDescent="0.2">
      <c r="C316" s="139">
        <v>90</v>
      </c>
      <c r="D316" s="248">
        <v>66.483599999999996</v>
      </c>
      <c r="E316" s="248">
        <v>74.684299999999993</v>
      </c>
      <c r="F316" s="248">
        <v>78.305999999999997</v>
      </c>
      <c r="G316" s="248">
        <v>80.914900000000003</v>
      </c>
      <c r="H316" s="248">
        <v>85.0137</v>
      </c>
      <c r="I316"/>
      <c r="J316"/>
      <c r="K316"/>
      <c r="L316"/>
      <c r="M316"/>
    </row>
    <row r="317" spans="3:13" hidden="1" outlineLevel="1" x14ac:dyDescent="0.2">
      <c r="C317" s="139">
        <v>91</v>
      </c>
      <c r="D317" s="248">
        <v>67.355900000000005</v>
      </c>
      <c r="E317" s="248">
        <v>75.619900000000001</v>
      </c>
      <c r="F317" s="248">
        <v>79.270499999999998</v>
      </c>
      <c r="G317" s="248">
        <v>81.9011</v>
      </c>
      <c r="H317" s="248">
        <v>86.034999999999997</v>
      </c>
      <c r="I317"/>
      <c r="J317"/>
      <c r="K317"/>
      <c r="L317"/>
      <c r="M317"/>
    </row>
    <row r="318" spans="3:13" hidden="1" outlineLevel="1" x14ac:dyDescent="0.2">
      <c r="C318" s="139">
        <v>92</v>
      </c>
      <c r="D318" s="248">
        <v>68.228999999999999</v>
      </c>
      <c r="E318" s="248">
        <v>76.555999999999997</v>
      </c>
      <c r="F318" s="248">
        <v>80.235600000000005</v>
      </c>
      <c r="G318" s="248">
        <v>82.887600000000006</v>
      </c>
      <c r="H318" s="248">
        <v>87.056600000000003</v>
      </c>
      <c r="I318"/>
      <c r="J318"/>
      <c r="K318"/>
      <c r="L318"/>
      <c r="M318"/>
    </row>
    <row r="319" spans="3:13" hidden="1" outlineLevel="1" x14ac:dyDescent="0.2">
      <c r="C319" s="139">
        <v>93</v>
      </c>
      <c r="D319" s="248">
        <v>69.102900000000005</v>
      </c>
      <c r="E319" s="248">
        <v>77.492699999999999</v>
      </c>
      <c r="F319" s="248">
        <v>81.201099999999997</v>
      </c>
      <c r="G319" s="248">
        <v>83.874600000000001</v>
      </c>
      <c r="H319" s="248">
        <v>88.078599999999994</v>
      </c>
      <c r="I319"/>
      <c r="J319"/>
      <c r="K319"/>
      <c r="L319"/>
      <c r="M319"/>
    </row>
    <row r="320" spans="3:13" hidden="1" outlineLevel="1" x14ac:dyDescent="0.2">
      <c r="C320" s="139">
        <v>94</v>
      </c>
      <c r="D320" s="248">
        <v>69.977599999999995</v>
      </c>
      <c r="E320" s="248">
        <v>78.4298</v>
      </c>
      <c r="F320" s="248">
        <v>82.167000000000002</v>
      </c>
      <c r="G320" s="248">
        <v>84.861999999999995</v>
      </c>
      <c r="H320" s="248">
        <v>89.100800000000007</v>
      </c>
      <c r="I320"/>
      <c r="J320"/>
      <c r="K320"/>
      <c r="L320"/>
      <c r="M320"/>
    </row>
    <row r="321" spans="3:13" hidden="1" outlineLevel="1" x14ac:dyDescent="0.2">
      <c r="C321" s="139">
        <v>95</v>
      </c>
      <c r="D321" s="248">
        <v>70.853099999999998</v>
      </c>
      <c r="E321" s="248">
        <v>79.367599999999996</v>
      </c>
      <c r="F321" s="248">
        <v>83.133499999999998</v>
      </c>
      <c r="G321" s="248">
        <v>85.849599999999995</v>
      </c>
      <c r="H321" s="248">
        <v>90.1233</v>
      </c>
      <c r="I321"/>
      <c r="J321"/>
      <c r="K321"/>
      <c r="L321"/>
      <c r="M321"/>
    </row>
    <row r="322" spans="3:13" hidden="1" outlineLevel="1" x14ac:dyDescent="0.2">
      <c r="C322" s="139">
        <v>96</v>
      </c>
      <c r="D322" s="248">
        <v>71.729399999999998</v>
      </c>
      <c r="E322" s="248">
        <v>80.305899999999994</v>
      </c>
      <c r="F322" s="248">
        <v>84.100300000000004</v>
      </c>
      <c r="G322" s="248">
        <v>86.837800000000001</v>
      </c>
      <c r="H322" s="248">
        <v>91.146100000000004</v>
      </c>
      <c r="I322"/>
      <c r="J322"/>
      <c r="K322"/>
      <c r="L322"/>
      <c r="M322"/>
    </row>
    <row r="323" spans="3:13" hidden="1" outlineLevel="1" x14ac:dyDescent="0.2">
      <c r="C323" s="139">
        <v>97</v>
      </c>
      <c r="D323" s="248">
        <v>72.606399999999994</v>
      </c>
      <c r="E323" s="248">
        <v>81.244699999999995</v>
      </c>
      <c r="F323" s="248">
        <v>85.067599999999999</v>
      </c>
      <c r="G323" s="248">
        <v>87.8262</v>
      </c>
      <c r="H323" s="248">
        <v>92.169200000000004</v>
      </c>
      <c r="I323"/>
      <c r="J323"/>
      <c r="K323"/>
      <c r="L323"/>
      <c r="M323"/>
    </row>
    <row r="324" spans="3:13" hidden="1" outlineLevel="1" x14ac:dyDescent="0.2">
      <c r="C324" s="139">
        <v>98</v>
      </c>
      <c r="D324" s="248">
        <v>73.484200000000001</v>
      </c>
      <c r="E324" s="248">
        <v>82.183999999999997</v>
      </c>
      <c r="F324" s="248">
        <v>86.035300000000007</v>
      </c>
      <c r="G324" s="248">
        <v>88.815200000000004</v>
      </c>
      <c r="H324" s="248">
        <v>93.192700000000002</v>
      </c>
      <c r="I324"/>
      <c r="J324"/>
      <c r="K324"/>
      <c r="L324"/>
      <c r="M324"/>
    </row>
    <row r="325" spans="3:13" hidden="1" outlineLevel="1" x14ac:dyDescent="0.2">
      <c r="C325" s="139">
        <v>99</v>
      </c>
      <c r="D325" s="248">
        <v>74.362700000000004</v>
      </c>
      <c r="E325" s="248">
        <v>83.123800000000003</v>
      </c>
      <c r="F325" s="248">
        <v>87.003500000000003</v>
      </c>
      <c r="G325" s="248">
        <v>89.804400000000001</v>
      </c>
      <c r="H325" s="248">
        <v>94.216300000000004</v>
      </c>
      <c r="I325"/>
      <c r="J325"/>
      <c r="K325"/>
      <c r="L325"/>
      <c r="M325"/>
    </row>
    <row r="326" spans="3:13" hidden="1" outlineLevel="1" x14ac:dyDescent="0.2">
      <c r="C326" s="139">
        <v>100</v>
      </c>
      <c r="D326" s="248">
        <v>75.242000000000004</v>
      </c>
      <c r="E326" s="248">
        <v>84.064099999999996</v>
      </c>
      <c r="F326" s="248">
        <v>0</v>
      </c>
      <c r="G326" s="248">
        <v>90.793899999999994</v>
      </c>
      <c r="H326" s="248">
        <v>95.240300000000005</v>
      </c>
      <c r="I326"/>
      <c r="J326"/>
      <c r="K326"/>
      <c r="L326"/>
      <c r="M326"/>
    </row>
    <row r="327" spans="3:13" hidden="1" outlineLevel="1" x14ac:dyDescent="0.2">
      <c r="C327" s="139">
        <v>101</v>
      </c>
      <c r="D327" s="248">
        <v>76.121899999999997</v>
      </c>
      <c r="E327" s="248">
        <v>85.004999999999995</v>
      </c>
      <c r="F327" s="248">
        <v>88.940899999999999</v>
      </c>
      <c r="G327" s="248">
        <v>91.783900000000003</v>
      </c>
      <c r="H327" s="248">
        <v>96.264600000000002</v>
      </c>
      <c r="I327"/>
      <c r="J327"/>
      <c r="K327"/>
      <c r="L327"/>
      <c r="M327"/>
    </row>
    <row r="328" spans="3:13" hidden="1" outlineLevel="1" x14ac:dyDescent="0.2">
      <c r="C328" s="139">
        <v>102</v>
      </c>
      <c r="D328" s="248">
        <v>77.002700000000004</v>
      </c>
      <c r="E328" s="248">
        <v>85.946299999999994</v>
      </c>
      <c r="F328" s="248">
        <v>89.910200000000003</v>
      </c>
      <c r="G328" s="248">
        <v>92.774000000000001</v>
      </c>
      <c r="H328" s="248">
        <v>97.289100000000005</v>
      </c>
      <c r="I328"/>
      <c r="J328"/>
      <c r="K328"/>
      <c r="L328"/>
      <c r="M328"/>
    </row>
    <row r="329" spans="3:13" hidden="1" outlineLevel="1" x14ac:dyDescent="0.2">
      <c r="C329" s="139">
        <v>103</v>
      </c>
      <c r="D329" s="248">
        <v>77.884</v>
      </c>
      <c r="E329" s="248">
        <v>86.888000000000005</v>
      </c>
      <c r="F329" s="248">
        <v>90.879900000000006</v>
      </c>
      <c r="G329" s="248">
        <v>93.764700000000005</v>
      </c>
      <c r="H329" s="248">
        <v>98.313800000000001</v>
      </c>
      <c r="I329"/>
      <c r="J329"/>
      <c r="K329"/>
      <c r="L329"/>
      <c r="M329"/>
    </row>
    <row r="330" spans="3:13" hidden="1" outlineLevel="1" x14ac:dyDescent="0.2">
      <c r="C330" s="139">
        <v>104</v>
      </c>
      <c r="D330" s="248">
        <v>78.766000000000005</v>
      </c>
      <c r="E330" s="248">
        <v>87.830200000000005</v>
      </c>
      <c r="F330" s="248">
        <v>91.850099999999998</v>
      </c>
      <c r="G330" s="248">
        <v>94.755499999999998</v>
      </c>
      <c r="H330" s="248">
        <v>99.338899999999995</v>
      </c>
      <c r="I330"/>
      <c r="J330"/>
      <c r="K330"/>
      <c r="L330"/>
      <c r="M330"/>
    </row>
    <row r="331" spans="3:13" hidden="1" outlineLevel="1" x14ac:dyDescent="0.2">
      <c r="C331" s="139">
        <v>105</v>
      </c>
      <c r="D331" s="248">
        <v>79.648799999999994</v>
      </c>
      <c r="E331" s="248">
        <v>88.772900000000007</v>
      </c>
      <c r="F331" s="248">
        <v>92.820599999999999</v>
      </c>
      <c r="G331" s="248">
        <v>95.746799999999993</v>
      </c>
      <c r="H331" s="248">
        <v>100.3642</v>
      </c>
      <c r="I331"/>
      <c r="J331"/>
      <c r="K331"/>
      <c r="L331"/>
      <c r="M331"/>
    </row>
    <row r="332" spans="3:13" hidden="1" outlineLevel="1" x14ac:dyDescent="0.2">
      <c r="C332" s="139">
        <v>106</v>
      </c>
      <c r="D332" s="248">
        <v>80.532200000000003</v>
      </c>
      <c r="E332" s="248">
        <v>89.715999999999994</v>
      </c>
      <c r="F332" s="248">
        <v>93.791300000000007</v>
      </c>
      <c r="G332" s="248">
        <v>96.738299999999995</v>
      </c>
      <c r="H332" s="248">
        <v>101.3896</v>
      </c>
      <c r="I332"/>
      <c r="J332"/>
      <c r="K332"/>
      <c r="L332"/>
      <c r="M332"/>
    </row>
    <row r="333" spans="3:13" hidden="1" outlineLevel="1" x14ac:dyDescent="0.2">
      <c r="C333" s="139">
        <v>107</v>
      </c>
      <c r="D333" s="248">
        <v>81.416300000000007</v>
      </c>
      <c r="E333" s="248">
        <v>90.659700000000001</v>
      </c>
      <c r="F333" s="248">
        <v>94.762500000000003</v>
      </c>
      <c r="G333" s="248">
        <v>97.730099999999993</v>
      </c>
      <c r="H333" s="248">
        <v>102.41549999999999</v>
      </c>
      <c r="I333"/>
      <c r="J333"/>
      <c r="K333"/>
      <c r="L333"/>
      <c r="M333"/>
    </row>
    <row r="334" spans="3:13" hidden="1" outlineLevel="1" x14ac:dyDescent="0.2">
      <c r="C334" s="139">
        <v>108</v>
      </c>
      <c r="D334" s="248">
        <v>82.301000000000002</v>
      </c>
      <c r="E334" s="248">
        <v>91.6036</v>
      </c>
      <c r="F334" s="248">
        <v>95.734200000000001</v>
      </c>
      <c r="G334" s="248">
        <v>98.722399999999993</v>
      </c>
      <c r="H334" s="248">
        <v>103.4415</v>
      </c>
      <c r="I334"/>
      <c r="J334"/>
      <c r="K334"/>
      <c r="L334"/>
      <c r="M334"/>
    </row>
    <row r="335" spans="3:13" hidden="1" outlineLevel="1" x14ac:dyDescent="0.2">
      <c r="C335" s="139">
        <v>109</v>
      </c>
      <c r="D335" s="248">
        <v>83.186300000000003</v>
      </c>
      <c r="E335" s="248">
        <v>92.548100000000005</v>
      </c>
      <c r="F335" s="248">
        <v>96.706100000000006</v>
      </c>
      <c r="G335" s="248">
        <v>99.714799999999997</v>
      </c>
      <c r="H335" s="248">
        <v>104.46769999999999</v>
      </c>
      <c r="I335"/>
      <c r="J335"/>
      <c r="K335"/>
      <c r="L335"/>
      <c r="M335"/>
    </row>
    <row r="336" spans="3:13" hidden="1" outlineLevel="1" x14ac:dyDescent="0.2">
      <c r="C336" s="139">
        <v>110</v>
      </c>
      <c r="D336" s="248">
        <v>84.072299999999998</v>
      </c>
      <c r="E336" s="248">
        <v>93.492999999999995</v>
      </c>
      <c r="F336" s="248">
        <v>97.678299999999993</v>
      </c>
      <c r="G336" s="248">
        <v>100.7077</v>
      </c>
      <c r="H336" s="248">
        <v>105.4941</v>
      </c>
      <c r="I336"/>
      <c r="J336"/>
      <c r="K336"/>
      <c r="L336"/>
      <c r="M336"/>
    </row>
    <row r="337" spans="3:13" hidden="1" outlineLevel="1" x14ac:dyDescent="0.2">
      <c r="C337" s="139">
        <v>111</v>
      </c>
      <c r="D337" s="248">
        <v>84.958799999999997</v>
      </c>
      <c r="E337" s="248">
        <v>94.438199999999995</v>
      </c>
      <c r="F337" s="248">
        <v>98.650899999999993</v>
      </c>
      <c r="G337" s="248">
        <v>101.7007</v>
      </c>
      <c r="H337" s="248">
        <v>106.52079999999999</v>
      </c>
      <c r="I337"/>
      <c r="J337"/>
      <c r="K337"/>
      <c r="L337"/>
      <c r="M337"/>
    </row>
    <row r="338" spans="3:13" hidden="1" outlineLevel="1" x14ac:dyDescent="0.2">
      <c r="C338" s="139">
        <v>112</v>
      </c>
      <c r="D338" s="248">
        <v>85.846100000000007</v>
      </c>
      <c r="E338" s="248">
        <v>95.383899999999997</v>
      </c>
      <c r="F338" s="248">
        <v>99.623900000000006</v>
      </c>
      <c r="G338" s="248">
        <v>102.694</v>
      </c>
      <c r="H338" s="248">
        <v>107.5478</v>
      </c>
      <c r="I338"/>
      <c r="J338"/>
      <c r="K338"/>
      <c r="L338"/>
      <c r="M338"/>
    </row>
    <row r="339" spans="3:13" hidden="1" outlineLevel="1" x14ac:dyDescent="0.2">
      <c r="C339" s="139">
        <v>113</v>
      </c>
      <c r="D339" s="248">
        <v>86.733800000000002</v>
      </c>
      <c r="E339" s="248">
        <v>96.330100000000002</v>
      </c>
      <c r="F339" s="248">
        <v>100.59699999999999</v>
      </c>
      <c r="G339" s="248">
        <v>103.68770000000001</v>
      </c>
      <c r="H339" s="248">
        <v>108.5748</v>
      </c>
      <c r="I339"/>
      <c r="J339"/>
      <c r="K339"/>
      <c r="L339"/>
      <c r="M339"/>
    </row>
    <row r="340" spans="3:13" hidden="1" outlineLevel="1" x14ac:dyDescent="0.2">
      <c r="C340" s="139">
        <v>114</v>
      </c>
      <c r="D340" s="248">
        <v>87.622200000000007</v>
      </c>
      <c r="E340" s="248">
        <v>97.276499999999999</v>
      </c>
      <c r="F340" s="248">
        <v>101.5707</v>
      </c>
      <c r="G340" s="248">
        <v>104.6816</v>
      </c>
      <c r="H340" s="248">
        <v>109.6022</v>
      </c>
      <c r="I340"/>
      <c r="J340"/>
      <c r="K340"/>
      <c r="L340"/>
      <c r="M340"/>
    </row>
    <row r="341" spans="3:13" hidden="1" outlineLevel="1" x14ac:dyDescent="0.2">
      <c r="C341" s="139">
        <v>115</v>
      </c>
      <c r="D341" s="248">
        <v>88.511099999999999</v>
      </c>
      <c r="E341" s="248">
        <v>98.223500000000001</v>
      </c>
      <c r="F341" s="248">
        <v>102.5446</v>
      </c>
      <c r="G341" s="248">
        <v>105.67570000000001</v>
      </c>
      <c r="H341" s="248">
        <v>110.6297</v>
      </c>
      <c r="I341"/>
      <c r="J341"/>
      <c r="K341"/>
      <c r="L341"/>
      <c r="M341"/>
    </row>
    <row r="342" spans="3:13" hidden="1" outlineLevel="1" x14ac:dyDescent="0.2">
      <c r="C342" s="139">
        <v>116</v>
      </c>
      <c r="D342" s="248">
        <v>89.400700000000001</v>
      </c>
      <c r="E342" s="248">
        <v>99.1708</v>
      </c>
      <c r="F342" s="248">
        <v>103.5188</v>
      </c>
      <c r="G342" s="248">
        <v>106.67010000000001</v>
      </c>
      <c r="H342" s="248">
        <v>111.6576</v>
      </c>
      <c r="I342"/>
      <c r="J342"/>
      <c r="K342"/>
      <c r="L342"/>
      <c r="M342"/>
    </row>
    <row r="343" spans="3:13" hidden="1" outlineLevel="1" x14ac:dyDescent="0.2">
      <c r="C343" s="139">
        <v>117</v>
      </c>
      <c r="D343" s="248">
        <v>90.290800000000004</v>
      </c>
      <c r="E343" s="248">
        <v>100.1183</v>
      </c>
      <c r="F343" s="248">
        <v>104.4933</v>
      </c>
      <c r="G343" s="248">
        <v>107.6649</v>
      </c>
      <c r="H343" s="248">
        <v>112.6855</v>
      </c>
      <c r="I343"/>
      <c r="J343"/>
      <c r="K343"/>
      <c r="L343"/>
      <c r="M343"/>
    </row>
    <row r="344" spans="3:13" hidden="1" outlineLevel="1" x14ac:dyDescent="0.2">
      <c r="C344" s="139">
        <v>118</v>
      </c>
      <c r="D344" s="248">
        <v>91.181600000000003</v>
      </c>
      <c r="E344" s="248">
        <v>101.0665</v>
      </c>
      <c r="F344" s="248">
        <v>105.46810000000001</v>
      </c>
      <c r="G344" s="248">
        <v>108.6598</v>
      </c>
      <c r="H344" s="248">
        <v>113.7137</v>
      </c>
      <c r="I344"/>
      <c r="J344"/>
      <c r="K344"/>
      <c r="L344"/>
      <c r="M344"/>
    </row>
    <row r="345" spans="3:13" hidden="1" outlineLevel="1" x14ac:dyDescent="0.2">
      <c r="C345" s="139">
        <v>119</v>
      </c>
      <c r="D345" s="248">
        <v>92.072800000000001</v>
      </c>
      <c r="E345" s="248">
        <v>102.0149</v>
      </c>
      <c r="F345" s="248">
        <v>106.4434</v>
      </c>
      <c r="G345" s="248">
        <v>109.6551</v>
      </c>
      <c r="H345" s="248">
        <v>114.74209999999999</v>
      </c>
      <c r="I345"/>
      <c r="J345"/>
      <c r="K345"/>
      <c r="L345"/>
      <c r="M345"/>
    </row>
    <row r="346" spans="3:13" hidden="1" outlineLevel="1" x14ac:dyDescent="0.2">
      <c r="C346" s="139">
        <v>120</v>
      </c>
      <c r="D346" s="248">
        <v>92.964399999999998</v>
      </c>
      <c r="E346" s="248">
        <v>102.9635</v>
      </c>
      <c r="F346" s="248">
        <v>107.4187</v>
      </c>
      <c r="G346" s="248">
        <v>110.65049999999999</v>
      </c>
      <c r="H346" s="248">
        <v>115.7706</v>
      </c>
      <c r="I346"/>
      <c r="J346"/>
      <c r="K346"/>
      <c r="L346"/>
      <c r="M346"/>
    </row>
    <row r="347" spans="3:13" hidden="1" outlineLevel="1" x14ac:dyDescent="0.2">
      <c r="C347" s="139">
        <v>121</v>
      </c>
      <c r="D347" s="248">
        <v>93.856800000000007</v>
      </c>
      <c r="E347" s="248">
        <v>103.9127</v>
      </c>
      <c r="F347" s="248">
        <v>108.3946</v>
      </c>
      <c r="G347" s="248">
        <v>111.6465</v>
      </c>
      <c r="H347" s="248">
        <v>116.7993</v>
      </c>
      <c r="I347"/>
      <c r="J347"/>
      <c r="K347"/>
      <c r="L347"/>
      <c r="M347"/>
    </row>
    <row r="348" spans="3:13" hidden="1" outlineLevel="1" x14ac:dyDescent="0.2">
      <c r="C348" s="139">
        <v>122</v>
      </c>
      <c r="D348" s="248">
        <v>94.749700000000004</v>
      </c>
      <c r="E348" s="248">
        <v>104.8622</v>
      </c>
      <c r="F348" s="248">
        <v>109.37050000000001</v>
      </c>
      <c r="G348" s="248">
        <v>112.6425</v>
      </c>
      <c r="H348" s="248">
        <v>117.8283</v>
      </c>
      <c r="I348"/>
      <c r="J348"/>
      <c r="K348"/>
      <c r="L348"/>
      <c r="M348"/>
    </row>
    <row r="349" spans="3:13" hidden="1" outlineLevel="1" x14ac:dyDescent="0.2">
      <c r="C349" s="139">
        <v>123</v>
      </c>
      <c r="D349" s="248">
        <v>95.643000000000001</v>
      </c>
      <c r="E349" s="248">
        <v>105.8121</v>
      </c>
      <c r="F349" s="248">
        <v>110.34699999999999</v>
      </c>
      <c r="G349" s="248">
        <v>113.63849999999999</v>
      </c>
      <c r="H349" s="248">
        <v>118.8575</v>
      </c>
      <c r="I349"/>
      <c r="J349"/>
      <c r="K349"/>
      <c r="L349"/>
      <c r="M349"/>
    </row>
    <row r="350" spans="3:13" hidden="1" outlineLevel="1" x14ac:dyDescent="0.2">
      <c r="C350" s="139">
        <v>124</v>
      </c>
      <c r="D350" s="248">
        <v>96.536900000000003</v>
      </c>
      <c r="E350" s="248">
        <v>106.76220000000001</v>
      </c>
      <c r="F350" s="248">
        <v>111.3236</v>
      </c>
      <c r="G350" s="248">
        <v>114.63500000000001</v>
      </c>
      <c r="H350" s="248">
        <v>119.8867</v>
      </c>
      <c r="I350"/>
      <c r="J350"/>
      <c r="K350"/>
      <c r="L350"/>
      <c r="M350"/>
    </row>
    <row r="351" spans="3:13" hidden="1" outlineLevel="1" x14ac:dyDescent="0.2">
      <c r="C351" s="139">
        <v>125</v>
      </c>
      <c r="D351" s="248">
        <v>97.431299999999993</v>
      </c>
      <c r="E351" s="248">
        <v>107.7129</v>
      </c>
      <c r="F351" s="248">
        <v>112.30029999999999</v>
      </c>
      <c r="G351" s="248">
        <v>115.6317</v>
      </c>
      <c r="H351" s="248">
        <v>120.9162</v>
      </c>
      <c r="I351"/>
      <c r="J351"/>
      <c r="K351"/>
      <c r="L351"/>
      <c r="M351"/>
    </row>
    <row r="352" spans="3:13" hidden="1" outlineLevel="1" x14ac:dyDescent="0.2">
      <c r="C352" s="139">
        <v>126</v>
      </c>
      <c r="D352" s="248">
        <v>98.326099999999997</v>
      </c>
      <c r="E352" s="248">
        <v>108.66370000000001</v>
      </c>
      <c r="F352" s="248">
        <v>113.2775</v>
      </c>
      <c r="G352" s="248">
        <v>116.62860000000001</v>
      </c>
      <c r="H352" s="248">
        <v>121.9461</v>
      </c>
      <c r="I352"/>
      <c r="J352"/>
      <c r="K352"/>
      <c r="L352"/>
      <c r="M352"/>
    </row>
    <row r="353" spans="3:13" hidden="1" outlineLevel="1" x14ac:dyDescent="0.2">
      <c r="C353" s="139">
        <v>127</v>
      </c>
      <c r="D353" s="248">
        <v>99.221500000000006</v>
      </c>
      <c r="E353" s="248">
        <v>109.6148</v>
      </c>
      <c r="F353" s="248">
        <v>114.255</v>
      </c>
      <c r="G353" s="248">
        <v>117.6259</v>
      </c>
      <c r="H353" s="248">
        <v>122.9759</v>
      </c>
      <c r="I353"/>
      <c r="J353"/>
      <c r="K353"/>
      <c r="L353"/>
      <c r="M353"/>
    </row>
    <row r="354" spans="3:13" hidden="1" outlineLevel="1" x14ac:dyDescent="0.2">
      <c r="C354" s="139">
        <v>128</v>
      </c>
      <c r="D354" s="248">
        <v>100.1173</v>
      </c>
      <c r="E354" s="248">
        <v>110.5665</v>
      </c>
      <c r="F354" s="248">
        <v>115.2325</v>
      </c>
      <c r="G354" s="248">
        <v>118.6234</v>
      </c>
      <c r="H354" s="248">
        <v>124.0057</v>
      </c>
      <c r="I354"/>
      <c r="J354"/>
      <c r="K354"/>
      <c r="L354"/>
      <c r="M354"/>
    </row>
    <row r="355" spans="3:13" hidden="1" outlineLevel="1" x14ac:dyDescent="0.2">
      <c r="C355" s="139">
        <v>129</v>
      </c>
      <c r="D355" s="248">
        <v>101.01390000000001</v>
      </c>
      <c r="E355" s="248">
        <v>111.51819999999999</v>
      </c>
      <c r="F355" s="248">
        <v>116.2105</v>
      </c>
      <c r="G355" s="248">
        <v>119.621</v>
      </c>
      <c r="H355" s="248">
        <v>125.036</v>
      </c>
      <c r="I355"/>
      <c r="J355"/>
      <c r="K355"/>
      <c r="L355"/>
      <c r="M355"/>
    </row>
    <row r="356" spans="3:13" hidden="1" outlineLevel="1" x14ac:dyDescent="0.2">
      <c r="C356" s="139">
        <v>130</v>
      </c>
      <c r="D356" s="248">
        <v>101.91079999999999</v>
      </c>
      <c r="E356" s="248">
        <v>112.4704</v>
      </c>
      <c r="F356" s="248">
        <v>117.1888</v>
      </c>
      <c r="G356" s="248">
        <v>120.6187</v>
      </c>
      <c r="H356" s="248">
        <v>126.0663</v>
      </c>
      <c r="I356"/>
      <c r="J356"/>
      <c r="K356"/>
      <c r="L356"/>
      <c r="M356"/>
    </row>
    <row r="357" spans="3:13" hidden="1" outlineLevel="1" x14ac:dyDescent="0.2">
      <c r="C357" s="139">
        <v>131</v>
      </c>
      <c r="D357" s="248">
        <v>102.8079</v>
      </c>
      <c r="E357" s="248">
        <v>113.423</v>
      </c>
      <c r="F357" s="248">
        <v>118.16719999999999</v>
      </c>
      <c r="G357" s="248">
        <v>121.6168</v>
      </c>
      <c r="H357" s="248">
        <v>127.09699999999999</v>
      </c>
      <c r="I357"/>
      <c r="J357"/>
      <c r="K357"/>
      <c r="L357"/>
      <c r="M357"/>
    </row>
    <row r="358" spans="3:13" hidden="1" outlineLevel="1" x14ac:dyDescent="0.2">
      <c r="C358" s="139">
        <v>132</v>
      </c>
      <c r="D358" s="248">
        <v>103.70569999999999</v>
      </c>
      <c r="E358" s="248">
        <v>114.37569999999999</v>
      </c>
      <c r="F358" s="248">
        <v>119.146</v>
      </c>
      <c r="G358" s="248">
        <v>122.6151</v>
      </c>
      <c r="H358" s="248">
        <v>128.1277</v>
      </c>
      <c r="I358"/>
      <c r="J358"/>
      <c r="K358"/>
      <c r="L358"/>
      <c r="M358"/>
    </row>
    <row r="359" spans="3:13" hidden="1" outlineLevel="1" x14ac:dyDescent="0.2">
      <c r="C359" s="139">
        <v>133</v>
      </c>
      <c r="D359" s="248">
        <v>104.604</v>
      </c>
      <c r="E359" s="248">
        <v>115.32899999999999</v>
      </c>
      <c r="F359" s="248">
        <v>120.125</v>
      </c>
      <c r="G359" s="248">
        <v>123.61360000000001</v>
      </c>
      <c r="H359" s="248">
        <v>129.1584</v>
      </c>
      <c r="I359"/>
      <c r="J359"/>
      <c r="K359"/>
      <c r="L359"/>
      <c r="M359"/>
    </row>
    <row r="360" spans="3:13" hidden="1" outlineLevel="1" x14ac:dyDescent="0.2">
      <c r="C360" s="139">
        <v>134</v>
      </c>
      <c r="D360" s="248">
        <v>105.5027</v>
      </c>
      <c r="E360" s="248">
        <v>116.2822</v>
      </c>
      <c r="F360" s="248">
        <v>121.1041</v>
      </c>
      <c r="G360" s="248">
        <v>124.6122</v>
      </c>
      <c r="H360" s="248">
        <v>130.18960000000001</v>
      </c>
      <c r="I360"/>
      <c r="J360"/>
      <c r="K360"/>
      <c r="L360"/>
      <c r="M360"/>
    </row>
    <row r="361" spans="3:13" hidden="1" outlineLevel="1" x14ac:dyDescent="0.2">
      <c r="C361" s="139">
        <v>135</v>
      </c>
      <c r="D361" s="248">
        <v>106.402</v>
      </c>
      <c r="E361" s="248">
        <v>117.236</v>
      </c>
      <c r="F361" s="248">
        <v>122.0836</v>
      </c>
      <c r="G361" s="248">
        <v>125.6112</v>
      </c>
      <c r="H361" s="248">
        <v>131.22069999999999</v>
      </c>
      <c r="I361"/>
      <c r="J361"/>
      <c r="K361"/>
      <c r="L361"/>
      <c r="M361"/>
    </row>
    <row r="362" spans="3:13" hidden="1" outlineLevel="1" x14ac:dyDescent="0.2">
      <c r="C362" s="139">
        <v>136</v>
      </c>
      <c r="D362" s="248">
        <v>107.3015</v>
      </c>
      <c r="E362" s="248">
        <v>118.19</v>
      </c>
      <c r="F362" s="248">
        <v>123.0634</v>
      </c>
      <c r="G362" s="248">
        <v>126.6104</v>
      </c>
      <c r="H362" s="248">
        <v>132.25210000000001</v>
      </c>
      <c r="I362"/>
      <c r="J362"/>
      <c r="K362"/>
      <c r="L362"/>
      <c r="M362"/>
    </row>
    <row r="363" spans="3:13" hidden="1" outlineLevel="1" x14ac:dyDescent="0.2">
      <c r="C363" s="139">
        <v>137</v>
      </c>
      <c r="D363" s="248">
        <v>108.2015</v>
      </c>
      <c r="E363" s="248">
        <v>119.1443</v>
      </c>
      <c r="F363" s="248">
        <v>124.0432</v>
      </c>
      <c r="G363" s="248">
        <v>127.60980000000001</v>
      </c>
      <c r="H363" s="248">
        <v>133.28360000000001</v>
      </c>
      <c r="I363"/>
      <c r="J363"/>
      <c r="K363"/>
      <c r="L363"/>
      <c r="M363"/>
    </row>
    <row r="364" spans="3:13" hidden="1" outlineLevel="1" x14ac:dyDescent="0.2">
      <c r="C364" s="139">
        <v>138</v>
      </c>
      <c r="D364" s="248">
        <v>109.10209999999999</v>
      </c>
      <c r="E364" s="248">
        <v>120.0989</v>
      </c>
      <c r="F364" s="248">
        <v>125.0234</v>
      </c>
      <c r="G364" s="248">
        <v>128.60919999999999</v>
      </c>
      <c r="H364" s="248">
        <v>134.3151</v>
      </c>
      <c r="I364"/>
      <c r="J364"/>
      <c r="K364"/>
      <c r="L364"/>
      <c r="M364"/>
    </row>
    <row r="365" spans="3:13" hidden="1" outlineLevel="1" x14ac:dyDescent="0.2">
      <c r="C365" s="139">
        <v>139</v>
      </c>
      <c r="D365" s="248">
        <v>110.003</v>
      </c>
      <c r="E365" s="248">
        <v>121.0538</v>
      </c>
      <c r="F365" s="248">
        <v>126.0039</v>
      </c>
      <c r="G365" s="248">
        <v>129.60900000000001</v>
      </c>
      <c r="H365" s="248">
        <v>135.34700000000001</v>
      </c>
      <c r="I365"/>
      <c r="J365"/>
      <c r="K365"/>
      <c r="L365"/>
      <c r="M365"/>
    </row>
    <row r="366" spans="3:13" hidden="1" outlineLevel="1" x14ac:dyDescent="0.2">
      <c r="C366" s="139">
        <v>140</v>
      </c>
      <c r="D366" s="248">
        <v>110.9044</v>
      </c>
      <c r="E366" s="248">
        <v>122.0091</v>
      </c>
      <c r="F366" s="248">
        <v>126.9846</v>
      </c>
      <c r="G366" s="248">
        <v>130.6087</v>
      </c>
      <c r="H366" s="248">
        <v>136.37899999999999</v>
      </c>
      <c r="I366"/>
      <c r="J366"/>
      <c r="K366"/>
      <c r="L366"/>
      <c r="M366"/>
    </row>
    <row r="367" spans="3:13" hidden="1" outlineLevel="1" x14ac:dyDescent="0.2">
      <c r="C367" s="139">
        <v>141</v>
      </c>
      <c r="D367" s="248">
        <v>111.806</v>
      </c>
      <c r="E367" s="248">
        <v>122.9645</v>
      </c>
      <c r="F367" s="248">
        <v>127.9653</v>
      </c>
      <c r="G367" s="248">
        <v>131.60890000000001</v>
      </c>
      <c r="H367" s="248">
        <v>137.4109</v>
      </c>
      <c r="I367"/>
      <c r="J367"/>
      <c r="K367"/>
      <c r="L367"/>
      <c r="M367"/>
    </row>
    <row r="368" spans="3:13" hidden="1" outlineLevel="1" x14ac:dyDescent="0.2">
      <c r="C368" s="139">
        <v>142</v>
      </c>
      <c r="D368" s="248">
        <v>112.7084</v>
      </c>
      <c r="E368" s="248">
        <v>123.92019999999999</v>
      </c>
      <c r="F368" s="248">
        <v>128.94630000000001</v>
      </c>
      <c r="G368" s="248">
        <v>132.60919999999999</v>
      </c>
      <c r="H368" s="248">
        <v>138.44309999999999</v>
      </c>
      <c r="I368"/>
      <c r="J368"/>
      <c r="K368"/>
      <c r="L368"/>
      <c r="M368"/>
    </row>
    <row r="369" spans="3:13" hidden="1" outlineLevel="1" x14ac:dyDescent="0.2">
      <c r="C369" s="139">
        <v>143</v>
      </c>
      <c r="D369" s="248">
        <v>113.611</v>
      </c>
      <c r="E369" s="248">
        <v>124.87609999999999</v>
      </c>
      <c r="F369" s="248">
        <v>129.92769999999999</v>
      </c>
      <c r="G369" s="248">
        <v>133.6096</v>
      </c>
      <c r="H369" s="248">
        <v>139.47559999999999</v>
      </c>
      <c r="I369"/>
      <c r="J369"/>
      <c r="K369"/>
      <c r="L369"/>
      <c r="M369"/>
    </row>
    <row r="370" spans="3:13" hidden="1" outlineLevel="1" x14ac:dyDescent="0.2">
      <c r="C370" s="139">
        <v>144</v>
      </c>
      <c r="D370" s="248">
        <v>114.51390000000001</v>
      </c>
      <c r="E370" s="248">
        <v>125.8323</v>
      </c>
      <c r="F370" s="248">
        <v>130.90940000000001</v>
      </c>
      <c r="G370" s="248">
        <v>134.6104</v>
      </c>
      <c r="H370" s="248">
        <v>140.50810000000001</v>
      </c>
      <c r="I370"/>
      <c r="J370"/>
      <c r="K370"/>
      <c r="L370"/>
      <c r="M370"/>
    </row>
    <row r="371" spans="3:13" hidden="1" outlineLevel="1" x14ac:dyDescent="0.2">
      <c r="C371" s="139">
        <v>145</v>
      </c>
      <c r="D371" s="248">
        <v>115.4173</v>
      </c>
      <c r="E371" s="248">
        <v>126.7891</v>
      </c>
      <c r="F371" s="248">
        <v>131.89089999999999</v>
      </c>
      <c r="G371" s="248">
        <v>135.6113</v>
      </c>
      <c r="H371" s="248">
        <v>141.54089999999999</v>
      </c>
      <c r="I371"/>
      <c r="J371"/>
      <c r="K371"/>
      <c r="L371"/>
      <c r="M371"/>
    </row>
    <row r="372" spans="3:13" hidden="1" outlineLevel="1" x14ac:dyDescent="0.2">
      <c r="C372" s="139">
        <v>146</v>
      </c>
      <c r="D372" s="248">
        <v>116.32129999999999</v>
      </c>
      <c r="E372" s="248">
        <v>127.7457</v>
      </c>
      <c r="F372" s="248">
        <v>132.87289999999999</v>
      </c>
      <c r="G372" s="248">
        <v>136.6123</v>
      </c>
      <c r="H372" s="248">
        <v>142.5735</v>
      </c>
      <c r="I372"/>
      <c r="J372"/>
      <c r="K372"/>
      <c r="L372"/>
      <c r="M372"/>
    </row>
    <row r="373" spans="3:13" hidden="1" outlineLevel="1" x14ac:dyDescent="0.2">
      <c r="C373" s="139">
        <v>147</v>
      </c>
      <c r="D373" s="248">
        <v>117.22539999999999</v>
      </c>
      <c r="E373" s="248">
        <v>128.7028</v>
      </c>
      <c r="F373" s="248">
        <v>133.85509999999999</v>
      </c>
      <c r="G373" s="248">
        <v>137.61330000000001</v>
      </c>
      <c r="H373" s="248">
        <v>143.60640000000001</v>
      </c>
      <c r="I373"/>
      <c r="J373"/>
      <c r="K373"/>
      <c r="L373"/>
      <c r="M373"/>
    </row>
    <row r="374" spans="3:13" hidden="1" outlineLevel="1" x14ac:dyDescent="0.2">
      <c r="C374" s="139">
        <v>148</v>
      </c>
      <c r="D374" s="248">
        <v>118.1302</v>
      </c>
      <c r="E374" s="248">
        <v>129.6602</v>
      </c>
      <c r="F374" s="248">
        <v>134.8374</v>
      </c>
      <c r="G374" s="248">
        <v>138.6146</v>
      </c>
      <c r="H374" s="248">
        <v>144.6395</v>
      </c>
      <c r="I374"/>
      <c r="J374"/>
      <c r="K374"/>
      <c r="L374"/>
      <c r="M374"/>
    </row>
    <row r="375" spans="3:13" hidden="1" outlineLevel="1" x14ac:dyDescent="0.2">
      <c r="C375" s="139">
        <v>149</v>
      </c>
      <c r="D375" s="248">
        <v>119.0352</v>
      </c>
      <c r="E375" s="248">
        <v>130.61779999999999</v>
      </c>
      <c r="F375" s="248">
        <v>135.82</v>
      </c>
      <c r="G375" s="248">
        <v>139.6163</v>
      </c>
      <c r="H375" s="248">
        <v>145.6728</v>
      </c>
      <c r="I375"/>
      <c r="J375"/>
      <c r="K375"/>
      <c r="L375"/>
      <c r="M375"/>
    </row>
    <row r="376" spans="3:13" hidden="1" outlineLevel="1" x14ac:dyDescent="0.2">
      <c r="C376" s="139">
        <v>150</v>
      </c>
      <c r="D376" s="248">
        <v>119.9405</v>
      </c>
      <c r="E376" s="248">
        <v>131.57570000000001</v>
      </c>
      <c r="F376" s="248">
        <v>136.80279999999999</v>
      </c>
      <c r="G376" s="248">
        <v>140.61799999999999</v>
      </c>
      <c r="H376" s="248">
        <v>146.70599999999999</v>
      </c>
      <c r="I376"/>
      <c r="J376"/>
      <c r="K376"/>
      <c r="L376"/>
      <c r="M376"/>
    </row>
    <row r="377" spans="3:13" hidden="1" outlineLevel="1" x14ac:dyDescent="0.2">
      <c r="C377" s="139">
        <v>151</v>
      </c>
      <c r="D377" s="248">
        <v>120.84610000000001</v>
      </c>
      <c r="E377" s="248">
        <v>132.5335</v>
      </c>
      <c r="F377" s="248">
        <v>137.78569999999999</v>
      </c>
      <c r="G377" s="248">
        <v>141.62</v>
      </c>
      <c r="H377" s="248">
        <v>147.73929999999999</v>
      </c>
      <c r="I377"/>
      <c r="J377"/>
      <c r="K377"/>
      <c r="L377"/>
      <c r="M377"/>
    </row>
    <row r="378" spans="3:13" hidden="1" outlineLevel="1" x14ac:dyDescent="0.2">
      <c r="C378" s="139">
        <v>152</v>
      </c>
      <c r="D378" s="248">
        <v>121.7522</v>
      </c>
      <c r="E378" s="248">
        <v>133.49209999999999</v>
      </c>
      <c r="F378" s="248">
        <v>138.7689</v>
      </c>
      <c r="G378" s="248">
        <v>142.62190000000001</v>
      </c>
      <c r="H378" s="248">
        <v>148.7731</v>
      </c>
      <c r="I378"/>
      <c r="J378"/>
      <c r="K378"/>
      <c r="L378"/>
      <c r="M378"/>
    </row>
    <row r="379" spans="3:13" hidden="1" outlineLevel="1" x14ac:dyDescent="0.2">
      <c r="C379" s="139">
        <v>153</v>
      </c>
      <c r="D379" s="248">
        <v>122.6589</v>
      </c>
      <c r="E379" s="248">
        <v>134.45060000000001</v>
      </c>
      <c r="F379" s="248">
        <v>139.75219999999999</v>
      </c>
      <c r="G379" s="248">
        <v>143.6241</v>
      </c>
      <c r="H379" s="248">
        <v>149.80670000000001</v>
      </c>
      <c r="I379"/>
      <c r="J379"/>
      <c r="K379"/>
      <c r="L379"/>
      <c r="M379"/>
    </row>
    <row r="380" spans="3:13" hidden="1" outlineLevel="1" x14ac:dyDescent="0.2">
      <c r="C380" s="139">
        <v>154</v>
      </c>
      <c r="D380" s="248">
        <v>123.56570000000001</v>
      </c>
      <c r="E380" s="248">
        <v>135.4093</v>
      </c>
      <c r="F380" s="248">
        <v>140.73580000000001</v>
      </c>
      <c r="G380" s="248">
        <v>144.6266</v>
      </c>
      <c r="H380" s="248">
        <v>150.84049999999999</v>
      </c>
      <c r="I380"/>
      <c r="J380"/>
      <c r="K380"/>
      <c r="L380"/>
      <c r="M380"/>
    </row>
    <row r="381" spans="3:13" hidden="1" outlineLevel="1" x14ac:dyDescent="0.2">
      <c r="C381" s="139">
        <v>155</v>
      </c>
      <c r="D381" s="248">
        <v>124.4731</v>
      </c>
      <c r="E381" s="248">
        <v>136.36840000000001</v>
      </c>
      <c r="F381" s="248">
        <v>141.71969999999999</v>
      </c>
      <c r="G381" s="248">
        <v>145.62899999999999</v>
      </c>
      <c r="H381" s="248">
        <v>151.87440000000001</v>
      </c>
      <c r="I381"/>
      <c r="J381"/>
      <c r="K381"/>
      <c r="L381"/>
      <c r="M381"/>
    </row>
    <row r="382" spans="3:13" hidden="1" outlineLevel="1" x14ac:dyDescent="0.2">
      <c r="C382" s="139">
        <v>156</v>
      </c>
      <c r="D382" s="248">
        <v>125.3805</v>
      </c>
      <c r="E382" s="248">
        <v>137.32759999999999</v>
      </c>
      <c r="F382" s="248">
        <v>142.7037</v>
      </c>
      <c r="G382" s="248">
        <v>146.6319</v>
      </c>
      <c r="H382" s="248">
        <v>152.9083</v>
      </c>
      <c r="I382"/>
      <c r="J382"/>
      <c r="K382"/>
      <c r="L382"/>
      <c r="M382"/>
    </row>
    <row r="383" spans="3:13" hidden="1" outlineLevel="1" x14ac:dyDescent="0.2">
      <c r="C383" s="139">
        <v>157</v>
      </c>
      <c r="D383" s="248">
        <v>126.2885</v>
      </c>
      <c r="E383" s="248">
        <v>138.28729999999999</v>
      </c>
      <c r="F383" s="248">
        <v>143.6876</v>
      </c>
      <c r="G383" s="248">
        <v>147.63470000000001</v>
      </c>
      <c r="H383" s="248">
        <v>153.9427</v>
      </c>
      <c r="I383"/>
      <c r="J383"/>
      <c r="K383"/>
      <c r="L383"/>
      <c r="M383"/>
    </row>
    <row r="384" spans="3:13" hidden="1" outlineLevel="1" x14ac:dyDescent="0.2">
      <c r="C384" s="139">
        <v>158</v>
      </c>
      <c r="D384" s="248">
        <v>127.1968</v>
      </c>
      <c r="E384" s="248">
        <v>139.24709999999999</v>
      </c>
      <c r="F384" s="248">
        <v>144.6722</v>
      </c>
      <c r="G384" s="248">
        <v>148.6378</v>
      </c>
      <c r="H384" s="248">
        <v>154.9769</v>
      </c>
      <c r="I384"/>
      <c r="J384"/>
      <c r="K384"/>
      <c r="L384"/>
      <c r="M384"/>
    </row>
    <row r="385" spans="3:13" hidden="1" outlineLevel="1" x14ac:dyDescent="0.2">
      <c r="C385" s="139">
        <v>159</v>
      </c>
      <c r="D385" s="248">
        <v>128.1053</v>
      </c>
      <c r="E385" s="248">
        <v>140.20689999999999</v>
      </c>
      <c r="F385" s="248">
        <v>145.6566</v>
      </c>
      <c r="G385" s="248">
        <v>149.64099999999999</v>
      </c>
      <c r="H385" s="248">
        <v>156.01140000000001</v>
      </c>
      <c r="I385"/>
      <c r="J385"/>
      <c r="K385"/>
      <c r="L385"/>
      <c r="M385"/>
    </row>
    <row r="386" spans="3:13" hidden="1" outlineLevel="1" x14ac:dyDescent="0.2">
      <c r="C386" s="139">
        <v>160</v>
      </c>
      <c r="D386" s="248">
        <v>129.01439999999999</v>
      </c>
      <c r="E386" s="248">
        <v>141.1671</v>
      </c>
      <c r="F386" s="248">
        <v>146.64109999999999</v>
      </c>
      <c r="G386" s="248">
        <v>150.64410000000001</v>
      </c>
      <c r="H386" s="248">
        <v>157.04570000000001</v>
      </c>
      <c r="I386"/>
      <c r="J386"/>
      <c r="K386"/>
      <c r="L386"/>
      <c r="M386"/>
    </row>
    <row r="387" spans="3:13" hidden="1" outlineLevel="1" x14ac:dyDescent="0.2">
      <c r="C387" s="139">
        <v>161</v>
      </c>
      <c r="D387" s="248">
        <v>129.92359999999999</v>
      </c>
      <c r="E387" s="248">
        <v>142.1277</v>
      </c>
      <c r="F387" s="248">
        <v>147.62610000000001</v>
      </c>
      <c r="G387" s="248">
        <v>151.64760000000001</v>
      </c>
      <c r="H387" s="248">
        <v>158.0804</v>
      </c>
      <c r="I387"/>
      <c r="J387"/>
      <c r="K387"/>
      <c r="L387"/>
      <c r="M387"/>
    </row>
    <row r="388" spans="3:13" hidden="1" outlineLevel="1" x14ac:dyDescent="0.2">
      <c r="C388" s="139">
        <v>162</v>
      </c>
      <c r="D388" s="248">
        <v>130.83349999999999</v>
      </c>
      <c r="E388" s="248">
        <v>143.08840000000001</v>
      </c>
      <c r="F388" s="248">
        <v>148.61099999999999</v>
      </c>
      <c r="G388" s="248">
        <v>152.65129999999999</v>
      </c>
      <c r="H388" s="248">
        <v>159.11510000000001</v>
      </c>
      <c r="I388"/>
      <c r="J388"/>
      <c r="K388"/>
      <c r="L388"/>
      <c r="M388"/>
    </row>
    <row r="389" spans="3:13" hidden="1" outlineLevel="1" x14ac:dyDescent="0.2">
      <c r="C389" s="139">
        <v>163</v>
      </c>
      <c r="D389" s="248">
        <v>131.74340000000001</v>
      </c>
      <c r="E389" s="248">
        <v>144.04910000000001</v>
      </c>
      <c r="F389" s="248">
        <v>149.59639999999999</v>
      </c>
      <c r="G389" s="248">
        <v>153.65520000000001</v>
      </c>
      <c r="H389" s="248">
        <v>160.15020000000001</v>
      </c>
      <c r="I389"/>
      <c r="J389"/>
      <c r="K389"/>
      <c r="L389"/>
      <c r="M389"/>
    </row>
    <row r="390" spans="3:13" hidden="1" outlineLevel="1" x14ac:dyDescent="0.2">
      <c r="C390" s="139">
        <v>164</v>
      </c>
      <c r="D390" s="248">
        <v>132.65389999999999</v>
      </c>
      <c r="E390" s="248">
        <v>145.01009999999999</v>
      </c>
      <c r="F390" s="248">
        <v>150.58179999999999</v>
      </c>
      <c r="G390" s="248">
        <v>154.65889999999999</v>
      </c>
      <c r="H390" s="248">
        <v>161.1849</v>
      </c>
      <c r="I390"/>
      <c r="J390"/>
      <c r="K390"/>
      <c r="L390"/>
      <c r="M390"/>
    </row>
    <row r="391" spans="3:13" hidden="1" outlineLevel="1" x14ac:dyDescent="0.2">
      <c r="C391" s="139">
        <v>165</v>
      </c>
      <c r="D391" s="248">
        <v>133.56450000000001</v>
      </c>
      <c r="E391" s="248">
        <v>145.97139999999999</v>
      </c>
      <c r="F391" s="248">
        <v>151.56729999999999</v>
      </c>
      <c r="G391" s="248">
        <v>155.66300000000001</v>
      </c>
      <c r="H391" s="248">
        <v>162.22</v>
      </c>
      <c r="I391"/>
      <c r="J391"/>
      <c r="K391"/>
      <c r="L391"/>
      <c r="M391"/>
    </row>
    <row r="392" spans="3:13" hidden="1" outlineLevel="1" x14ac:dyDescent="0.2">
      <c r="C392" s="139">
        <v>166</v>
      </c>
      <c r="D392" s="248">
        <v>134.47559999999999</v>
      </c>
      <c r="E392" s="248">
        <v>146.93299999999999</v>
      </c>
      <c r="F392" s="248">
        <v>152.553</v>
      </c>
      <c r="G392" s="248">
        <v>156.66720000000001</v>
      </c>
      <c r="H392" s="248">
        <v>163.25540000000001</v>
      </c>
      <c r="I392"/>
      <c r="J392"/>
      <c r="K392"/>
      <c r="L392"/>
      <c r="M392"/>
    </row>
    <row r="393" spans="3:13" hidden="1" outlineLevel="1" x14ac:dyDescent="0.2">
      <c r="C393" s="139">
        <v>167</v>
      </c>
      <c r="D393" s="248">
        <v>135.387</v>
      </c>
      <c r="E393" s="248">
        <v>147.89490000000001</v>
      </c>
      <c r="F393" s="248">
        <v>153.53890000000001</v>
      </c>
      <c r="G393" s="248">
        <v>157.67179999999999</v>
      </c>
      <c r="H393" s="248">
        <v>164.29040000000001</v>
      </c>
      <c r="I393"/>
      <c r="J393"/>
      <c r="K393"/>
      <c r="L393"/>
      <c r="M393"/>
    </row>
    <row r="394" spans="3:13" hidden="1" outlineLevel="1" x14ac:dyDescent="0.2">
      <c r="C394" s="139">
        <v>168</v>
      </c>
      <c r="D394" s="248">
        <v>136.29859999999999</v>
      </c>
      <c r="E394" s="248">
        <v>148.85679999999999</v>
      </c>
      <c r="F394" s="248">
        <v>154.5249</v>
      </c>
      <c r="G394" s="248">
        <v>158.67619999999999</v>
      </c>
      <c r="H394" s="248">
        <v>165.32579999999999</v>
      </c>
      <c r="I394"/>
      <c r="J394"/>
      <c r="K394"/>
      <c r="L394"/>
      <c r="M394"/>
    </row>
    <row r="395" spans="3:13" hidden="1" outlineLevel="1" x14ac:dyDescent="0.2">
      <c r="C395" s="139">
        <v>169</v>
      </c>
      <c r="D395" s="248">
        <v>137.2105</v>
      </c>
      <c r="E395" s="248">
        <v>149.81890000000001</v>
      </c>
      <c r="F395" s="248">
        <v>155.5111</v>
      </c>
      <c r="G395" s="248">
        <v>159.6806</v>
      </c>
      <c r="H395" s="248">
        <v>166.36150000000001</v>
      </c>
      <c r="I395"/>
      <c r="J395"/>
      <c r="K395"/>
      <c r="L395"/>
      <c r="M395"/>
    </row>
    <row r="396" spans="3:13" hidden="1" outlineLevel="1" x14ac:dyDescent="0.2">
      <c r="C396" s="139">
        <v>170</v>
      </c>
      <c r="D396" s="248">
        <v>138.12260000000001</v>
      </c>
      <c r="E396" s="248">
        <v>150.78129999999999</v>
      </c>
      <c r="F396" s="248">
        <v>156.49780000000001</v>
      </c>
      <c r="G396" s="248">
        <v>160.68549999999999</v>
      </c>
      <c r="H396" s="248">
        <v>167.39709999999999</v>
      </c>
      <c r="I396"/>
      <c r="J396"/>
      <c r="K396"/>
      <c r="L396"/>
      <c r="M396"/>
    </row>
    <row r="397" spans="3:13" hidden="1" outlineLevel="1" x14ac:dyDescent="0.2">
      <c r="C397" s="139">
        <v>171</v>
      </c>
      <c r="D397" s="248">
        <v>139.0352</v>
      </c>
      <c r="E397" s="248">
        <v>151.7439</v>
      </c>
      <c r="F397" s="248">
        <v>157.48419999999999</v>
      </c>
      <c r="G397" s="248">
        <v>161.69030000000001</v>
      </c>
      <c r="H397" s="248">
        <v>168.43270000000001</v>
      </c>
      <c r="I397"/>
      <c r="J397"/>
      <c r="K397"/>
      <c r="L397"/>
      <c r="M397"/>
    </row>
    <row r="398" spans="3:13" hidden="1" outlineLevel="1" x14ac:dyDescent="0.2">
      <c r="C398" s="139">
        <v>172</v>
      </c>
      <c r="D398" s="248">
        <v>139.94829999999999</v>
      </c>
      <c r="E398" s="248">
        <v>152.7064</v>
      </c>
      <c r="F398" s="248">
        <v>158.4708</v>
      </c>
      <c r="G398" s="248">
        <v>162.69560000000001</v>
      </c>
      <c r="H398" s="248">
        <v>169.46850000000001</v>
      </c>
      <c r="I398"/>
      <c r="J398"/>
      <c r="K398"/>
      <c r="L398"/>
      <c r="M398"/>
    </row>
    <row r="399" spans="3:13" hidden="1" outlineLevel="1" x14ac:dyDescent="0.2">
      <c r="C399" s="139">
        <v>173</v>
      </c>
      <c r="D399" s="248">
        <v>140.8613</v>
      </c>
      <c r="E399" s="248">
        <v>153.6695</v>
      </c>
      <c r="F399" s="248">
        <v>159.45779999999999</v>
      </c>
      <c r="G399" s="248">
        <v>163.70060000000001</v>
      </c>
      <c r="H399" s="248">
        <v>170.5043</v>
      </c>
      <c r="I399"/>
      <c r="J399"/>
      <c r="K399"/>
      <c r="L399"/>
      <c r="M399"/>
    </row>
    <row r="400" spans="3:13" hidden="1" outlineLevel="1" x14ac:dyDescent="0.2">
      <c r="C400" s="139">
        <v>174</v>
      </c>
      <c r="D400" s="248">
        <v>141.7747</v>
      </c>
      <c r="E400" s="248">
        <v>154.6327</v>
      </c>
      <c r="F400" s="248">
        <v>160.44489999999999</v>
      </c>
      <c r="G400" s="248">
        <v>164.70590000000001</v>
      </c>
      <c r="H400" s="248">
        <v>171.5403</v>
      </c>
      <c r="I400"/>
      <c r="J400"/>
      <c r="K400"/>
      <c r="L400"/>
      <c r="M400"/>
    </row>
    <row r="401" spans="3:13" hidden="1" outlineLevel="1" x14ac:dyDescent="0.2">
      <c r="C401" s="139">
        <v>175</v>
      </c>
      <c r="D401" s="248">
        <v>142.68870000000001</v>
      </c>
      <c r="E401" s="248">
        <v>155.5959</v>
      </c>
      <c r="F401" s="248">
        <v>161.43209999999999</v>
      </c>
      <c r="G401" s="248">
        <v>165.71119999999999</v>
      </c>
      <c r="H401" s="248">
        <v>172.57650000000001</v>
      </c>
      <c r="I401"/>
      <c r="J401"/>
      <c r="K401"/>
      <c r="L401"/>
      <c r="M401"/>
    </row>
    <row r="402" spans="3:13" hidden="1" outlineLevel="1" x14ac:dyDescent="0.2">
      <c r="C402" s="139">
        <v>176</v>
      </c>
      <c r="D402" s="248">
        <v>143.6027</v>
      </c>
      <c r="E402" s="248">
        <v>156.55950000000001</v>
      </c>
      <c r="F402" s="248">
        <v>162.4194</v>
      </c>
      <c r="G402" s="248">
        <v>166.71690000000001</v>
      </c>
      <c r="H402" s="248">
        <v>173.61269999999999</v>
      </c>
      <c r="I402"/>
      <c r="J402"/>
      <c r="K402"/>
      <c r="L402"/>
      <c r="M402"/>
    </row>
    <row r="403" spans="3:13" hidden="1" outlineLevel="1" x14ac:dyDescent="0.2">
      <c r="C403" s="139">
        <v>177</v>
      </c>
      <c r="D403" s="248">
        <v>144.5172</v>
      </c>
      <c r="E403" s="248">
        <v>157.52330000000001</v>
      </c>
      <c r="F403" s="248">
        <v>163.40700000000001</v>
      </c>
      <c r="G403" s="248">
        <v>167.7226</v>
      </c>
      <c r="H403" s="248">
        <v>174.6491</v>
      </c>
      <c r="I403"/>
      <c r="J403"/>
      <c r="K403"/>
      <c r="L403"/>
      <c r="M403"/>
    </row>
    <row r="404" spans="3:13" hidden="1" outlineLevel="1" x14ac:dyDescent="0.2">
      <c r="C404" s="139">
        <v>178</v>
      </c>
      <c r="D404" s="248">
        <v>145.43180000000001</v>
      </c>
      <c r="E404" s="248">
        <v>158.4873</v>
      </c>
      <c r="F404" s="248">
        <v>164.39439999999999</v>
      </c>
      <c r="G404" s="248">
        <v>168.7285</v>
      </c>
      <c r="H404" s="248">
        <v>175.68539999999999</v>
      </c>
      <c r="I404"/>
      <c r="J404"/>
      <c r="K404"/>
      <c r="L404"/>
      <c r="M404"/>
    </row>
    <row r="405" spans="3:13" hidden="1" outlineLevel="1" x14ac:dyDescent="0.2">
      <c r="C405" s="139">
        <v>179</v>
      </c>
      <c r="D405" s="248">
        <v>146.34690000000001</v>
      </c>
      <c r="E405" s="248">
        <v>159.45140000000001</v>
      </c>
      <c r="F405" s="248">
        <v>165.38210000000001</v>
      </c>
      <c r="G405" s="248">
        <v>169.7345</v>
      </c>
      <c r="H405" s="248">
        <v>176.72190000000001</v>
      </c>
      <c r="I405"/>
      <c r="J405"/>
      <c r="K405"/>
      <c r="L405"/>
      <c r="M405"/>
    </row>
    <row r="406" spans="3:13" hidden="1" outlineLevel="1" x14ac:dyDescent="0.2">
      <c r="C406" s="139">
        <v>180</v>
      </c>
      <c r="D406" s="248">
        <v>147.2619</v>
      </c>
      <c r="E406" s="248">
        <v>160.41569999999999</v>
      </c>
      <c r="F406" s="248">
        <v>166.37029999999999</v>
      </c>
      <c r="G406" s="248">
        <v>170.74039999999999</v>
      </c>
      <c r="H406" s="248">
        <v>177.75829999999999</v>
      </c>
      <c r="I406"/>
      <c r="J406"/>
      <c r="K406"/>
      <c r="L406"/>
      <c r="M406"/>
    </row>
    <row r="407" spans="3:13" hidden="1" outlineLevel="1" x14ac:dyDescent="0.2">
      <c r="C407" s="139">
        <v>181</v>
      </c>
      <c r="D407" s="248">
        <v>148.17779999999999</v>
      </c>
      <c r="E407" s="248">
        <v>161.3801</v>
      </c>
      <c r="F407" s="248">
        <v>167.35839999999999</v>
      </c>
      <c r="G407" s="248">
        <v>171.7466</v>
      </c>
      <c r="H407" s="248">
        <v>178.79480000000001</v>
      </c>
      <c r="I407"/>
      <c r="J407"/>
      <c r="K407"/>
      <c r="L407"/>
      <c r="M407"/>
    </row>
    <row r="408" spans="3:13" hidden="1" outlineLevel="1" x14ac:dyDescent="0.2">
      <c r="C408" s="139">
        <v>182</v>
      </c>
      <c r="D408" s="248">
        <v>149.09360000000001</v>
      </c>
      <c r="E408" s="248">
        <v>162.34460000000001</v>
      </c>
      <c r="F408" s="248">
        <v>168.3466</v>
      </c>
      <c r="G408" s="248">
        <v>172.75280000000001</v>
      </c>
      <c r="H408" s="248">
        <v>179.83160000000001</v>
      </c>
      <c r="I408"/>
      <c r="J408"/>
      <c r="K408"/>
      <c r="L408"/>
      <c r="M408"/>
    </row>
    <row r="409" spans="3:13" hidden="1" outlineLevel="1" x14ac:dyDescent="0.2">
      <c r="C409" s="139">
        <v>183</v>
      </c>
      <c r="D409" s="248">
        <v>150.0095</v>
      </c>
      <c r="E409" s="248">
        <v>163.30950000000001</v>
      </c>
      <c r="F409" s="248">
        <v>169.33510000000001</v>
      </c>
      <c r="G409" s="248">
        <v>173.75919999999999</v>
      </c>
      <c r="H409" s="248">
        <v>180.86859999999999</v>
      </c>
      <c r="I409"/>
      <c r="J409"/>
      <c r="K409"/>
      <c r="L409"/>
      <c r="M409"/>
    </row>
    <row r="410" spans="3:13" hidden="1" outlineLevel="1" x14ac:dyDescent="0.2">
      <c r="C410" s="139">
        <v>184</v>
      </c>
      <c r="D410" s="248">
        <v>150.92609999999999</v>
      </c>
      <c r="E410" s="248">
        <v>164.27459999999999</v>
      </c>
      <c r="F410" s="248">
        <v>170.3236</v>
      </c>
      <c r="G410" s="248">
        <v>174.76589999999999</v>
      </c>
      <c r="H410" s="248">
        <v>181.90520000000001</v>
      </c>
      <c r="I410"/>
      <c r="J410"/>
      <c r="K410"/>
      <c r="L410"/>
      <c r="M410"/>
    </row>
    <row r="411" spans="3:13" hidden="1" outlineLevel="1" x14ac:dyDescent="0.2">
      <c r="C411" s="139">
        <v>185</v>
      </c>
      <c r="D411" s="248">
        <v>151.84270000000001</v>
      </c>
      <c r="E411" s="248">
        <v>165.2397</v>
      </c>
      <c r="F411" s="248">
        <v>171.31209999999999</v>
      </c>
      <c r="G411" s="248">
        <v>175.77250000000001</v>
      </c>
      <c r="H411" s="248">
        <v>182.9425</v>
      </c>
      <c r="I411"/>
      <c r="J411"/>
      <c r="K411"/>
      <c r="L411"/>
      <c r="M411"/>
    </row>
    <row r="412" spans="3:13" hidden="1" outlineLevel="1" x14ac:dyDescent="0.2">
      <c r="C412" s="139">
        <v>186</v>
      </c>
      <c r="D412" s="248">
        <v>152.75960000000001</v>
      </c>
      <c r="E412" s="248">
        <v>166.20529999999999</v>
      </c>
      <c r="F412" s="248">
        <v>172.30090000000001</v>
      </c>
      <c r="G412" s="248">
        <v>176.77940000000001</v>
      </c>
      <c r="H412" s="248">
        <v>183.9796</v>
      </c>
      <c r="I412"/>
      <c r="J412"/>
      <c r="K412"/>
      <c r="L412"/>
      <c r="M412"/>
    </row>
    <row r="413" spans="3:13" hidden="1" outlineLevel="1" x14ac:dyDescent="0.2">
      <c r="C413" s="139">
        <v>187</v>
      </c>
      <c r="D413" s="248">
        <v>153.67679999999999</v>
      </c>
      <c r="E413" s="248">
        <v>167.1705</v>
      </c>
      <c r="F413" s="248">
        <v>173.29</v>
      </c>
      <c r="G413" s="248">
        <v>177.78620000000001</v>
      </c>
      <c r="H413" s="248">
        <v>185.01650000000001</v>
      </c>
      <c r="I413"/>
      <c r="J413"/>
      <c r="K413"/>
      <c r="L413"/>
      <c r="M413"/>
    </row>
    <row r="414" spans="3:13" hidden="1" outlineLevel="1" x14ac:dyDescent="0.2">
      <c r="C414" s="139">
        <v>188</v>
      </c>
      <c r="D414" s="248">
        <v>154.59440000000001</v>
      </c>
      <c r="E414" s="248">
        <v>168.13659999999999</v>
      </c>
      <c r="F414" s="248">
        <v>174.2791</v>
      </c>
      <c r="G414" s="248">
        <v>178.79320000000001</v>
      </c>
      <c r="H414" s="248">
        <v>186.054</v>
      </c>
      <c r="I414"/>
      <c r="J414"/>
      <c r="K414"/>
      <c r="L414"/>
      <c r="M414"/>
    </row>
    <row r="415" spans="3:13" hidden="1" outlineLevel="1" x14ac:dyDescent="0.2">
      <c r="C415" s="139">
        <v>189</v>
      </c>
      <c r="D415" s="248">
        <v>155.51179999999999</v>
      </c>
      <c r="E415" s="248">
        <v>169.10230000000001</v>
      </c>
      <c r="F415" s="248">
        <v>175.2681</v>
      </c>
      <c r="G415" s="248">
        <v>179.8005</v>
      </c>
      <c r="H415" s="248">
        <v>187.09119999999999</v>
      </c>
      <c r="I415"/>
      <c r="J415"/>
      <c r="K415"/>
      <c r="L415"/>
      <c r="M415"/>
    </row>
    <row r="416" spans="3:13" hidden="1" outlineLevel="1" x14ac:dyDescent="0.2">
      <c r="C416" s="139">
        <v>190</v>
      </c>
      <c r="D416" s="248">
        <v>156.43</v>
      </c>
      <c r="E416" s="248">
        <v>170.0684</v>
      </c>
      <c r="F416" s="248">
        <v>176.25739999999999</v>
      </c>
      <c r="G416" s="248">
        <v>180.80760000000001</v>
      </c>
      <c r="H416" s="248">
        <v>188.12889999999999</v>
      </c>
      <c r="I416"/>
      <c r="J416"/>
      <c r="K416"/>
      <c r="L416"/>
      <c r="M416"/>
    </row>
    <row r="417" spans="3:13" hidden="1" outlineLevel="1" x14ac:dyDescent="0.2">
      <c r="C417" s="139">
        <v>191</v>
      </c>
      <c r="D417" s="248">
        <v>157.3484</v>
      </c>
      <c r="E417" s="248">
        <v>171.03450000000001</v>
      </c>
      <c r="F417" s="248">
        <v>177.24700000000001</v>
      </c>
      <c r="G417" s="248">
        <v>181.815</v>
      </c>
      <c r="H417" s="248">
        <v>189.16650000000001</v>
      </c>
      <c r="I417"/>
      <c r="J417"/>
      <c r="K417"/>
      <c r="L417"/>
      <c r="M417"/>
    </row>
    <row r="418" spans="3:13" hidden="1" outlineLevel="1" x14ac:dyDescent="0.2">
      <c r="C418" s="139">
        <v>192</v>
      </c>
      <c r="D418" s="248">
        <v>158.26669999999999</v>
      </c>
      <c r="E418" s="248">
        <v>172.001</v>
      </c>
      <c r="F418" s="248">
        <v>178.23650000000001</v>
      </c>
      <c r="G418" s="248">
        <v>182.82239999999999</v>
      </c>
      <c r="H418" s="248">
        <v>190.2037</v>
      </c>
      <c r="I418"/>
      <c r="J418"/>
      <c r="K418"/>
      <c r="L418"/>
      <c r="M418"/>
    </row>
    <row r="419" spans="3:13" hidden="1" outlineLevel="1" x14ac:dyDescent="0.2">
      <c r="C419" s="139">
        <v>193</v>
      </c>
      <c r="D419" s="248">
        <v>159.18559999999999</v>
      </c>
      <c r="E419" s="248">
        <v>172.9676</v>
      </c>
      <c r="F419" s="248">
        <v>179.22630000000001</v>
      </c>
      <c r="G419" s="248">
        <v>183.82980000000001</v>
      </c>
      <c r="H419" s="248">
        <v>191.2415</v>
      </c>
      <c r="I419"/>
      <c r="J419"/>
      <c r="K419"/>
      <c r="L419"/>
      <c r="M419"/>
    </row>
    <row r="420" spans="3:13" hidden="1" outlineLevel="1" x14ac:dyDescent="0.2">
      <c r="C420" s="139">
        <v>194</v>
      </c>
      <c r="D420" s="248">
        <v>160.1044</v>
      </c>
      <c r="E420" s="248">
        <v>173.93440000000001</v>
      </c>
      <c r="F420" s="248">
        <v>180.21639999999999</v>
      </c>
      <c r="G420" s="248">
        <v>184.83779999999999</v>
      </c>
      <c r="H420" s="248">
        <v>192.279</v>
      </c>
      <c r="I420"/>
      <c r="J420"/>
      <c r="K420"/>
      <c r="L420"/>
      <c r="M420"/>
    </row>
    <row r="421" spans="3:13" hidden="1" outlineLevel="1" x14ac:dyDescent="0.2">
      <c r="C421" s="139">
        <v>195</v>
      </c>
      <c r="D421" s="248">
        <v>161.02369999999999</v>
      </c>
      <c r="E421" s="248">
        <v>174.90129999999999</v>
      </c>
      <c r="F421" s="248">
        <v>181.2063</v>
      </c>
      <c r="G421" s="248">
        <v>185.84559999999999</v>
      </c>
      <c r="H421" s="248">
        <v>193.31700000000001</v>
      </c>
      <c r="I421"/>
      <c r="J421"/>
      <c r="K421"/>
      <c r="L421"/>
      <c r="M421"/>
    </row>
    <row r="422" spans="3:13" hidden="1" outlineLevel="1" x14ac:dyDescent="0.2">
      <c r="C422" s="139">
        <v>196</v>
      </c>
      <c r="D422" s="248">
        <v>161.94329999999999</v>
      </c>
      <c r="E422" s="248">
        <v>175.8681</v>
      </c>
      <c r="F422" s="248">
        <v>182.19649999999999</v>
      </c>
      <c r="G422" s="248">
        <v>186.85319999999999</v>
      </c>
      <c r="H422" s="248">
        <v>194.35470000000001</v>
      </c>
      <c r="I422"/>
      <c r="J422"/>
      <c r="K422"/>
      <c r="L422"/>
      <c r="M422"/>
    </row>
    <row r="423" spans="3:13" hidden="1" outlineLevel="1" x14ac:dyDescent="0.2">
      <c r="C423" s="139">
        <v>197</v>
      </c>
      <c r="D423" s="248">
        <v>162.8631</v>
      </c>
      <c r="E423" s="248">
        <v>176.83529999999999</v>
      </c>
      <c r="F423" s="248">
        <v>184.17670000000001</v>
      </c>
      <c r="G423" s="248">
        <v>187.8614</v>
      </c>
      <c r="H423" s="248">
        <v>195.3929</v>
      </c>
      <c r="I423"/>
      <c r="J423"/>
      <c r="K423"/>
      <c r="L423"/>
      <c r="M423"/>
    </row>
    <row r="424" spans="3:13" hidden="1" outlineLevel="1" x14ac:dyDescent="0.2">
      <c r="C424" s="139">
        <v>198</v>
      </c>
      <c r="D424" s="248">
        <v>163.78309999999999</v>
      </c>
      <c r="E424" s="248">
        <v>177.80279999999999</v>
      </c>
      <c r="F424" s="248">
        <v>184.17670000000001</v>
      </c>
      <c r="G424" s="248">
        <v>188.86940000000001</v>
      </c>
      <c r="H424" s="248">
        <v>196.4308</v>
      </c>
      <c r="I424"/>
      <c r="J424"/>
      <c r="K424"/>
      <c r="L424"/>
      <c r="M424"/>
    </row>
    <row r="425" spans="3:13" hidden="1" outlineLevel="1" x14ac:dyDescent="0.2">
      <c r="C425" s="139">
        <v>199</v>
      </c>
      <c r="D425" s="248">
        <v>164.70330000000001</v>
      </c>
      <c r="E425" s="248">
        <v>178.77029999999999</v>
      </c>
      <c r="F425" s="248">
        <v>185.16759999999999</v>
      </c>
      <c r="G425" s="248">
        <v>189.87719999999999</v>
      </c>
      <c r="H425" s="248">
        <v>197.4692</v>
      </c>
      <c r="I425"/>
      <c r="J425"/>
      <c r="K425"/>
      <c r="L425"/>
      <c r="M425"/>
    </row>
    <row r="426" spans="3:13" hidden="1" outlineLevel="1" x14ac:dyDescent="0.2">
      <c r="C426" s="139">
        <v>200</v>
      </c>
      <c r="D426" s="248">
        <v>165.624</v>
      </c>
      <c r="E426" s="248">
        <v>179.738</v>
      </c>
      <c r="F426" s="248">
        <v>186.1584</v>
      </c>
      <c r="G426" s="248">
        <v>190.88550000000001</v>
      </c>
      <c r="H426" s="248">
        <v>198.50729999999999</v>
      </c>
      <c r="I426"/>
      <c r="J426"/>
      <c r="K426"/>
      <c r="L426"/>
      <c r="M426"/>
    </row>
    <row r="427" spans="3:13" hidden="1" outlineLevel="1" x14ac:dyDescent="0.2">
      <c r="C427" s="139">
        <v>201</v>
      </c>
      <c r="D427" s="248">
        <v>166.5446</v>
      </c>
      <c r="E427" s="248">
        <v>180.70570000000001</v>
      </c>
      <c r="F427" s="248">
        <v>187.149</v>
      </c>
      <c r="G427" s="248">
        <v>191.89439999999999</v>
      </c>
      <c r="H427" s="248">
        <v>199.54589999999999</v>
      </c>
      <c r="I427"/>
      <c r="J427"/>
      <c r="K427"/>
      <c r="L427"/>
      <c r="M427"/>
    </row>
    <row r="428" spans="3:13" hidden="1" outlineLevel="1" x14ac:dyDescent="0.2">
      <c r="C428" s="139">
        <v>202</v>
      </c>
      <c r="D428" s="248">
        <v>167.46559999999999</v>
      </c>
      <c r="E428" s="248">
        <v>181.6737</v>
      </c>
      <c r="F428" s="248">
        <v>188.14019999999999</v>
      </c>
      <c r="G428" s="248">
        <v>192.90299999999999</v>
      </c>
      <c r="H428" s="248">
        <v>200.58410000000001</v>
      </c>
      <c r="I428"/>
      <c r="J428"/>
      <c r="K428"/>
      <c r="L428"/>
      <c r="M428"/>
    </row>
    <row r="429" spans="3:13" hidden="1" outlineLevel="1" x14ac:dyDescent="0.2">
      <c r="C429" s="139">
        <v>203</v>
      </c>
      <c r="D429" s="248">
        <v>168.38679999999999</v>
      </c>
      <c r="E429" s="248">
        <v>182.64179999999999</v>
      </c>
      <c r="F429" s="248">
        <v>189.13120000000001</v>
      </c>
      <c r="G429" s="248">
        <v>193.91139999999999</v>
      </c>
      <c r="H429" s="248">
        <v>201.62280000000001</v>
      </c>
      <c r="I429"/>
      <c r="J429"/>
      <c r="K429"/>
      <c r="L429"/>
      <c r="M429"/>
    </row>
    <row r="430" spans="3:13" hidden="1" outlineLevel="1" x14ac:dyDescent="0.2">
      <c r="C430" s="139">
        <v>204</v>
      </c>
      <c r="D430" s="248">
        <v>169.30850000000001</v>
      </c>
      <c r="E430" s="248">
        <v>183.61</v>
      </c>
      <c r="F430" s="248">
        <v>190.12200000000001</v>
      </c>
      <c r="G430" s="248">
        <v>194.9204</v>
      </c>
      <c r="H430" s="248">
        <v>202.6611</v>
      </c>
      <c r="I430"/>
      <c r="J430"/>
      <c r="K430"/>
      <c r="L430"/>
      <c r="M430"/>
    </row>
    <row r="431" spans="3:13" hidden="1" outlineLevel="1" x14ac:dyDescent="0.2">
      <c r="C431" s="139">
        <v>205</v>
      </c>
      <c r="D431" s="248">
        <v>170.22989999999999</v>
      </c>
      <c r="E431" s="248">
        <v>184.5789</v>
      </c>
      <c r="F431" s="248">
        <v>191.11340000000001</v>
      </c>
      <c r="G431" s="248">
        <v>195.929</v>
      </c>
      <c r="H431" s="248">
        <v>203.69909999999999</v>
      </c>
      <c r="I431"/>
      <c r="J431"/>
      <c r="K431"/>
      <c r="L431"/>
      <c r="M431"/>
    </row>
    <row r="432" spans="3:13" hidden="1" outlineLevel="1" x14ac:dyDescent="0.2">
      <c r="C432" s="139">
        <v>206</v>
      </c>
      <c r="D432" s="248">
        <v>171.15190000000001</v>
      </c>
      <c r="E432" s="248">
        <v>185.54769999999999</v>
      </c>
      <c r="F432" s="248">
        <v>192.1046</v>
      </c>
      <c r="G432" s="248">
        <v>196.9374</v>
      </c>
      <c r="H432" s="248">
        <v>204.73840000000001</v>
      </c>
      <c r="I432"/>
      <c r="J432"/>
      <c r="K432"/>
      <c r="L432"/>
      <c r="M432"/>
    </row>
    <row r="433" spans="3:13" hidden="1" outlineLevel="1" x14ac:dyDescent="0.2">
      <c r="C433" s="139">
        <v>207</v>
      </c>
      <c r="D433" s="248">
        <v>172.07429999999999</v>
      </c>
      <c r="E433" s="248">
        <v>186.5163</v>
      </c>
      <c r="F433" s="248">
        <v>193.09639999999999</v>
      </c>
      <c r="G433" s="248">
        <v>197.94710000000001</v>
      </c>
      <c r="H433" s="248">
        <v>205.7764</v>
      </c>
      <c r="I433"/>
      <c r="J433"/>
      <c r="K433"/>
      <c r="L433"/>
      <c r="M433"/>
    </row>
    <row r="434" spans="3:13" hidden="1" outlineLevel="1" x14ac:dyDescent="0.2">
      <c r="C434" s="139">
        <v>208</v>
      </c>
      <c r="D434" s="248">
        <v>172.99639999999999</v>
      </c>
      <c r="E434" s="248">
        <v>187.48480000000001</v>
      </c>
      <c r="F434" s="248">
        <v>194.08789999999999</v>
      </c>
      <c r="G434" s="248">
        <v>198.95580000000001</v>
      </c>
      <c r="H434" s="248">
        <v>206.8158</v>
      </c>
      <c r="I434"/>
      <c r="J434"/>
      <c r="K434"/>
      <c r="L434"/>
      <c r="M434"/>
    </row>
    <row r="435" spans="3:13" hidden="1" outlineLevel="1" x14ac:dyDescent="0.2">
      <c r="C435" s="139">
        <v>209</v>
      </c>
      <c r="D435" s="248">
        <v>173.91900000000001</v>
      </c>
      <c r="E435" s="248">
        <v>188.4539</v>
      </c>
      <c r="F435" s="248">
        <v>195.07919999999999</v>
      </c>
      <c r="G435" s="248">
        <v>199.9649</v>
      </c>
      <c r="H435" s="248">
        <v>207.85470000000001</v>
      </c>
      <c r="I435"/>
      <c r="J435"/>
      <c r="K435"/>
      <c r="L435"/>
      <c r="M435"/>
    </row>
    <row r="436" spans="3:13" hidden="1" outlineLevel="1" x14ac:dyDescent="0.2">
      <c r="C436" s="139">
        <v>210</v>
      </c>
      <c r="D436" s="248">
        <v>174.84209999999999</v>
      </c>
      <c r="E436" s="248">
        <v>189.4229</v>
      </c>
      <c r="F436" s="248">
        <v>196.0711</v>
      </c>
      <c r="G436" s="248">
        <v>200.97460000000001</v>
      </c>
      <c r="H436" s="248">
        <v>208.89330000000001</v>
      </c>
      <c r="I436"/>
      <c r="J436"/>
      <c r="K436"/>
      <c r="L436"/>
      <c r="M436"/>
    </row>
    <row r="437" spans="3:13" hidden="1" outlineLevel="1" x14ac:dyDescent="0.2">
      <c r="C437" s="139">
        <v>211</v>
      </c>
      <c r="D437" s="248">
        <v>175.76480000000001</v>
      </c>
      <c r="E437" s="248">
        <v>190.39250000000001</v>
      </c>
      <c r="F437" s="248">
        <v>197.06270000000001</v>
      </c>
      <c r="G437" s="248">
        <v>201.98390000000001</v>
      </c>
      <c r="H437" s="248">
        <v>209.9323</v>
      </c>
      <c r="I437"/>
      <c r="J437"/>
      <c r="K437"/>
      <c r="L437"/>
      <c r="M437"/>
    </row>
    <row r="438" spans="3:13" hidden="1" outlineLevel="1" x14ac:dyDescent="0.2">
      <c r="C438" s="139">
        <v>212</v>
      </c>
      <c r="D438" s="248">
        <v>176.6884</v>
      </c>
      <c r="E438" s="248">
        <v>191.36199999999999</v>
      </c>
      <c r="F438" s="248">
        <v>198.0549</v>
      </c>
      <c r="G438" s="248">
        <v>202.99289999999999</v>
      </c>
      <c r="H438" s="248">
        <v>210.9717</v>
      </c>
      <c r="I438"/>
      <c r="J438"/>
      <c r="K438"/>
      <c r="L438"/>
      <c r="M438"/>
    </row>
    <row r="439" spans="3:13" hidden="1" outlineLevel="1" x14ac:dyDescent="0.2">
      <c r="C439" s="139">
        <v>213</v>
      </c>
      <c r="D439" s="248">
        <v>177.61170000000001</v>
      </c>
      <c r="E439" s="248">
        <v>192.3313</v>
      </c>
      <c r="F439" s="248">
        <v>199.04679999999999</v>
      </c>
      <c r="G439" s="248">
        <v>204.00239999999999</v>
      </c>
      <c r="H439" s="248">
        <v>212.01070000000001</v>
      </c>
      <c r="I439"/>
      <c r="J439"/>
      <c r="K439"/>
      <c r="L439"/>
      <c r="M439"/>
    </row>
    <row r="440" spans="3:13" hidden="1" outlineLevel="1" x14ac:dyDescent="0.2">
      <c r="C440" s="139">
        <v>214</v>
      </c>
      <c r="D440" s="248">
        <v>178.53569999999999</v>
      </c>
      <c r="E440" s="248">
        <v>193.30119999999999</v>
      </c>
      <c r="F440" s="248">
        <v>200.0393</v>
      </c>
      <c r="G440" s="248">
        <v>205.01240000000001</v>
      </c>
      <c r="H440" s="248">
        <v>213.04939999999999</v>
      </c>
      <c r="I440"/>
      <c r="J440"/>
      <c r="K440"/>
      <c r="L440"/>
      <c r="M440"/>
    </row>
    <row r="441" spans="3:13" hidden="1" outlineLevel="1" x14ac:dyDescent="0.2">
      <c r="C441" s="139">
        <v>215</v>
      </c>
      <c r="D441" s="248">
        <v>179.45939999999999</v>
      </c>
      <c r="E441" s="248">
        <v>194.27090000000001</v>
      </c>
      <c r="F441" s="248">
        <v>201.03139999999999</v>
      </c>
      <c r="G441" s="248">
        <v>206.02209999999999</v>
      </c>
      <c r="H441" s="248">
        <v>214.08920000000001</v>
      </c>
      <c r="I441"/>
      <c r="J441"/>
      <c r="K441"/>
      <c r="L441"/>
      <c r="M441"/>
    </row>
    <row r="442" spans="3:13" hidden="1" outlineLevel="1" x14ac:dyDescent="0.2">
      <c r="C442" s="139">
        <v>216</v>
      </c>
      <c r="D442" s="248">
        <v>180.3835</v>
      </c>
      <c r="E442" s="248">
        <v>195.24119999999999</v>
      </c>
      <c r="F442" s="248">
        <v>202.02420000000001</v>
      </c>
      <c r="G442" s="248">
        <v>207.03229999999999</v>
      </c>
      <c r="H442" s="248">
        <v>215.12860000000001</v>
      </c>
      <c r="I442"/>
      <c r="J442"/>
      <c r="K442"/>
      <c r="L442"/>
      <c r="M442"/>
    </row>
    <row r="443" spans="3:13" hidden="1" outlineLevel="1" x14ac:dyDescent="0.2">
      <c r="C443" s="139">
        <v>217</v>
      </c>
      <c r="D443" s="248">
        <v>181.30799999999999</v>
      </c>
      <c r="E443" s="248">
        <v>196.21129999999999</v>
      </c>
      <c r="F443" s="248">
        <v>203.01660000000001</v>
      </c>
      <c r="G443" s="248">
        <v>208.0421</v>
      </c>
      <c r="H443" s="248">
        <v>216.1677</v>
      </c>
      <c r="I443"/>
      <c r="J443"/>
      <c r="K443"/>
      <c r="L443"/>
      <c r="M443"/>
    </row>
    <row r="444" spans="3:13" hidden="1" outlineLevel="1" x14ac:dyDescent="0.2">
      <c r="C444" s="139">
        <v>218</v>
      </c>
      <c r="D444" s="248">
        <v>182.23249999999999</v>
      </c>
      <c r="E444" s="248">
        <v>197.18199999999999</v>
      </c>
      <c r="F444" s="248">
        <v>204.0095</v>
      </c>
      <c r="G444" s="248">
        <v>209.0515</v>
      </c>
      <c r="H444" s="248">
        <v>217.2071</v>
      </c>
      <c r="I444"/>
      <c r="J444"/>
      <c r="K444"/>
      <c r="L444"/>
      <c r="M444"/>
    </row>
    <row r="445" spans="3:13" hidden="1" outlineLevel="1" x14ac:dyDescent="0.2">
      <c r="C445" s="139">
        <v>219</v>
      </c>
      <c r="D445" s="248">
        <v>183.1574</v>
      </c>
      <c r="E445" s="248">
        <v>198.15170000000001</v>
      </c>
      <c r="F445" s="248">
        <v>205.00210000000001</v>
      </c>
      <c r="G445" s="248">
        <v>210.06229999999999</v>
      </c>
      <c r="H445" s="248">
        <v>218.24690000000001</v>
      </c>
      <c r="I445"/>
      <c r="J445"/>
      <c r="K445"/>
      <c r="L445"/>
      <c r="M445"/>
    </row>
    <row r="446" spans="3:13" hidden="1" outlineLevel="1" x14ac:dyDescent="0.2">
      <c r="C446" s="139">
        <v>220</v>
      </c>
      <c r="D446" s="248">
        <v>184.0821</v>
      </c>
      <c r="E446" s="248">
        <v>199.12280000000001</v>
      </c>
      <c r="F446" s="248">
        <v>205.99529999999999</v>
      </c>
      <c r="G446" s="248">
        <v>211.0718</v>
      </c>
      <c r="H446" s="248">
        <v>219.28620000000001</v>
      </c>
      <c r="I446"/>
      <c r="J446"/>
      <c r="K446"/>
      <c r="L446"/>
      <c r="M446"/>
    </row>
    <row r="447" spans="3:13" hidden="1" outlineLevel="1" x14ac:dyDescent="0.2">
      <c r="C447" s="139">
        <v>221</v>
      </c>
      <c r="D447" s="248">
        <v>185.00729999999999</v>
      </c>
      <c r="E447" s="248">
        <v>200.09370000000001</v>
      </c>
      <c r="F447" s="248">
        <v>206.9881</v>
      </c>
      <c r="G447" s="248">
        <v>212.08269999999999</v>
      </c>
      <c r="H447" s="248">
        <v>220.32599999999999</v>
      </c>
      <c r="I447"/>
      <c r="J447"/>
      <c r="K447"/>
      <c r="L447"/>
      <c r="M447"/>
    </row>
    <row r="448" spans="3:13" hidden="1" outlineLevel="1" x14ac:dyDescent="0.2">
      <c r="C448" s="139">
        <v>222</v>
      </c>
      <c r="D448" s="248">
        <v>185.9325</v>
      </c>
      <c r="E448" s="248">
        <v>201.0643</v>
      </c>
      <c r="F448" s="248">
        <v>207.98150000000001</v>
      </c>
      <c r="G448" s="248">
        <v>213.09309999999999</v>
      </c>
      <c r="H448" s="248">
        <v>221.36529999999999</v>
      </c>
      <c r="I448"/>
      <c r="J448"/>
      <c r="K448"/>
      <c r="L448"/>
      <c r="M448"/>
    </row>
    <row r="449" spans="1:13" hidden="1" outlineLevel="1" x14ac:dyDescent="0.2">
      <c r="C449" s="139">
        <v>223</v>
      </c>
      <c r="D449" s="248">
        <v>186.85849999999999</v>
      </c>
      <c r="E449" s="248">
        <v>202.03550000000001</v>
      </c>
      <c r="F449" s="248">
        <v>208.97450000000001</v>
      </c>
      <c r="G449" s="248">
        <v>214.10319999999999</v>
      </c>
      <c r="H449" s="248">
        <v>222.405</v>
      </c>
      <c r="I449"/>
      <c r="J449"/>
      <c r="K449"/>
      <c r="L449"/>
      <c r="M449"/>
    </row>
    <row r="450" spans="1:13" hidden="1" outlineLevel="1" x14ac:dyDescent="0.2">
      <c r="C450" s="139">
        <v>224</v>
      </c>
      <c r="D450" s="248">
        <v>187.78450000000001</v>
      </c>
      <c r="E450" s="248">
        <v>203.00640000000001</v>
      </c>
      <c r="F450" s="248">
        <v>209.96799999999999</v>
      </c>
      <c r="G450" s="248">
        <v>215.11369999999999</v>
      </c>
      <c r="H450" s="248">
        <v>223.44499999999999</v>
      </c>
      <c r="I450"/>
      <c r="J450"/>
      <c r="K450"/>
      <c r="L450"/>
      <c r="M450"/>
    </row>
    <row r="451" spans="1:13" hidden="1" outlineLevel="1" x14ac:dyDescent="0.2">
      <c r="C451" s="139">
        <v>225</v>
      </c>
      <c r="D451" s="248">
        <v>188.71039999999999</v>
      </c>
      <c r="E451" s="248">
        <v>203.97710000000001</v>
      </c>
      <c r="F451" s="248">
        <v>210.96109999999999</v>
      </c>
      <c r="G451" s="248">
        <v>216.12469999999999</v>
      </c>
      <c r="H451" s="248">
        <v>224.4846</v>
      </c>
      <c r="I451"/>
      <c r="J451"/>
      <c r="K451"/>
      <c r="L451"/>
      <c r="M451"/>
    </row>
    <row r="452" spans="1:13" hidden="1" outlineLevel="1" x14ac:dyDescent="0.2">
      <c r="C452" s="139">
        <v>226</v>
      </c>
      <c r="D452" s="248">
        <v>189.637</v>
      </c>
      <c r="E452" s="248">
        <v>204.94829999999999</v>
      </c>
      <c r="F452" s="248">
        <v>211.9547</v>
      </c>
      <c r="G452" s="248">
        <v>217.1352</v>
      </c>
      <c r="H452" s="248">
        <v>225.52449999999999</v>
      </c>
      <c r="I452"/>
      <c r="J452"/>
      <c r="K452"/>
      <c r="L452"/>
      <c r="M452"/>
    </row>
    <row r="453" spans="1:13" hidden="1" outlineLevel="1" x14ac:dyDescent="0.2">
      <c r="C453" s="139">
        <v>227</v>
      </c>
      <c r="D453" s="248">
        <v>190.56270000000001</v>
      </c>
      <c r="E453" s="248">
        <v>205.92009999999999</v>
      </c>
      <c r="F453" s="248">
        <v>212.94800000000001</v>
      </c>
      <c r="G453" s="248">
        <v>218.1454</v>
      </c>
      <c r="H453" s="248">
        <v>226.56489999999999</v>
      </c>
      <c r="I453"/>
      <c r="J453"/>
      <c r="K453"/>
      <c r="L453"/>
      <c r="M453"/>
    </row>
    <row r="454" spans="1:13" hidden="1" outlineLevel="1" x14ac:dyDescent="0.2">
      <c r="C454" s="139">
        <v>228</v>
      </c>
      <c r="D454" s="248">
        <v>191.49</v>
      </c>
      <c r="E454" s="248">
        <v>206.89160000000001</v>
      </c>
      <c r="F454" s="248">
        <v>213.9418</v>
      </c>
      <c r="G454" s="248">
        <v>219.1568</v>
      </c>
      <c r="H454" s="248">
        <v>227.60470000000001</v>
      </c>
      <c r="I454"/>
      <c r="J454"/>
      <c r="K454"/>
      <c r="L454"/>
      <c r="M454"/>
    </row>
    <row r="455" spans="1:13" hidden="1" outlineLevel="1" x14ac:dyDescent="0.2">
      <c r="C455" s="139">
        <v>229</v>
      </c>
      <c r="D455" s="248">
        <v>192.41640000000001</v>
      </c>
      <c r="E455" s="248">
        <v>207.86359999999999</v>
      </c>
      <c r="F455" s="248">
        <v>214.93600000000001</v>
      </c>
      <c r="G455" s="248">
        <v>220.1678</v>
      </c>
      <c r="H455" s="248">
        <v>228.64490000000001</v>
      </c>
      <c r="I455"/>
      <c r="J455"/>
      <c r="K455"/>
      <c r="L455"/>
      <c r="M455"/>
    </row>
    <row r="456" spans="1:13" hidden="1" outlineLevel="1" x14ac:dyDescent="0.2">
      <c r="C456" s="139">
        <v>230</v>
      </c>
      <c r="D456" s="248">
        <v>193.34350000000001</v>
      </c>
      <c r="E456" s="248">
        <v>208.83539999999999</v>
      </c>
      <c r="F456" s="248">
        <v>215.9299</v>
      </c>
      <c r="G456" s="248">
        <v>221.17840000000001</v>
      </c>
      <c r="H456" s="248">
        <v>229.68549999999999</v>
      </c>
      <c r="I456"/>
      <c r="J456"/>
      <c r="K456"/>
      <c r="L456"/>
      <c r="M456"/>
    </row>
    <row r="457" spans="1:13" hidden="1" outlineLevel="1" x14ac:dyDescent="0.2">
      <c r="C457" s="139">
        <v>231</v>
      </c>
      <c r="D457" s="248">
        <v>194.2705</v>
      </c>
      <c r="E457" s="248">
        <v>209.80680000000001</v>
      </c>
      <c r="F457" s="248">
        <v>216.92330000000001</v>
      </c>
      <c r="G457" s="248">
        <v>222.18940000000001</v>
      </c>
      <c r="H457" s="248">
        <v>230.72550000000001</v>
      </c>
      <c r="I457"/>
      <c r="J457"/>
      <c r="K457"/>
      <c r="L457"/>
      <c r="M457"/>
    </row>
    <row r="458" spans="1:13" hidden="1" outlineLevel="1" x14ac:dyDescent="0.2">
      <c r="C458" s="139">
        <v>232</v>
      </c>
      <c r="D458" s="248">
        <v>195.19820000000001</v>
      </c>
      <c r="E458" s="248">
        <v>210.77969999999999</v>
      </c>
      <c r="F458" s="248">
        <v>217.91820000000001</v>
      </c>
      <c r="G458" s="248">
        <v>223.20079999999999</v>
      </c>
      <c r="H458" s="248">
        <v>231.76589999999999</v>
      </c>
      <c r="I458"/>
      <c r="J458"/>
      <c r="K458"/>
      <c r="L458"/>
      <c r="M458"/>
    </row>
    <row r="459" spans="1:13" hidden="1" outlineLevel="1" x14ac:dyDescent="0.2">
      <c r="C459" s="139">
        <v>233</v>
      </c>
      <c r="D459" s="248">
        <v>196.1258</v>
      </c>
      <c r="E459" s="248">
        <v>211.75129999999999</v>
      </c>
      <c r="F459" s="248">
        <v>218.9117</v>
      </c>
      <c r="G459" s="248">
        <v>224.21170000000001</v>
      </c>
      <c r="H459" s="248">
        <v>232.8058</v>
      </c>
      <c r="I459"/>
      <c r="J459"/>
      <c r="K459"/>
      <c r="L459"/>
      <c r="M459"/>
    </row>
    <row r="460" spans="1:13" hidden="1" outlineLevel="1" x14ac:dyDescent="0.2">
      <c r="C460" s="139">
        <v>234</v>
      </c>
      <c r="D460" s="248">
        <v>197.0532</v>
      </c>
      <c r="E460" s="248">
        <v>212.7235</v>
      </c>
      <c r="F460" s="248">
        <v>219.9066</v>
      </c>
      <c r="G460" s="248">
        <v>225.22309999999999</v>
      </c>
      <c r="H460" s="248">
        <v>233.846</v>
      </c>
      <c r="I460"/>
      <c r="J460"/>
      <c r="K460"/>
      <c r="L460"/>
      <c r="M460"/>
    </row>
    <row r="461" spans="1:13" hidden="1" outlineLevel="1" x14ac:dyDescent="0.2">
      <c r="C461" s="139">
        <v>235</v>
      </c>
      <c r="D461" s="248">
        <v>197.98140000000001</v>
      </c>
      <c r="E461" s="248">
        <v>213.6962</v>
      </c>
      <c r="F461" s="248">
        <v>220.90100000000001</v>
      </c>
      <c r="G461" s="248">
        <v>226.23490000000001</v>
      </c>
      <c r="H461" s="248">
        <v>234.88659999999999</v>
      </c>
      <c r="I461"/>
      <c r="J461"/>
      <c r="K461"/>
      <c r="L461"/>
      <c r="M461"/>
    </row>
    <row r="462" spans="1:13" hidden="1" outlineLevel="1" x14ac:dyDescent="0.2">
      <c r="C462" s="139">
        <v>236</v>
      </c>
      <c r="D462" s="248">
        <v>198.90975</v>
      </c>
      <c r="E462" s="248">
        <v>214.6686</v>
      </c>
      <c r="F462" s="248">
        <v>221.89500000000001</v>
      </c>
      <c r="G462" s="248">
        <v>227.24619999999999</v>
      </c>
      <c r="H462" s="248">
        <v>235.92750000000001</v>
      </c>
      <c r="I462"/>
      <c r="J462"/>
      <c r="K462"/>
      <c r="L462"/>
      <c r="M462"/>
    </row>
    <row r="463" spans="1:13" hidden="1" outlineLevel="1" x14ac:dyDescent="0.2">
      <c r="C463" s="139">
        <v>237</v>
      </c>
      <c r="D463" s="248">
        <v>199.8381</v>
      </c>
      <c r="E463" s="248">
        <v>215.64150000000001</v>
      </c>
      <c r="F463" s="248">
        <v>222.8895</v>
      </c>
      <c r="G463" s="248">
        <v>228.25800000000001</v>
      </c>
      <c r="H463" s="248">
        <v>236.96789999999999</v>
      </c>
      <c r="I463"/>
      <c r="J463"/>
      <c r="K463"/>
      <c r="L463"/>
      <c r="M463"/>
    </row>
    <row r="464" spans="1:13" hidden="1" outlineLevel="1" x14ac:dyDescent="0.2">
      <c r="A464"/>
      <c r="C464" s="139">
        <v>238</v>
      </c>
      <c r="D464" s="248">
        <v>200.76669999999999</v>
      </c>
      <c r="E464" s="248">
        <v>216.614</v>
      </c>
      <c r="F464" s="248">
        <v>223.8845</v>
      </c>
      <c r="G464" s="248">
        <v>229.26920000000001</v>
      </c>
      <c r="H464" s="248">
        <v>238.00880000000001</v>
      </c>
      <c r="I464"/>
      <c r="J464"/>
      <c r="K464"/>
      <c r="L464"/>
      <c r="M464"/>
    </row>
    <row r="465" spans="3:13" hidden="1" outlineLevel="1" x14ac:dyDescent="0.2">
      <c r="C465" s="139">
        <v>239</v>
      </c>
      <c r="D465" s="248">
        <v>201.69499999999999</v>
      </c>
      <c r="E465" s="248">
        <v>217.58709999999999</v>
      </c>
      <c r="F465" s="248">
        <v>224.87889999999999</v>
      </c>
      <c r="G465" s="248">
        <v>230.2808</v>
      </c>
      <c r="H465" s="248">
        <v>239.0489</v>
      </c>
      <c r="I465"/>
      <c r="J465"/>
      <c r="K465"/>
      <c r="L465"/>
      <c r="M465"/>
    </row>
    <row r="466" spans="3:13" hidden="1" outlineLevel="1" x14ac:dyDescent="0.2">
      <c r="C466" s="139">
        <v>240</v>
      </c>
      <c r="D466" s="248">
        <v>202.6241</v>
      </c>
      <c r="E466" s="248">
        <v>218.55969999999999</v>
      </c>
      <c r="F466" s="248">
        <v>225.87389999999999</v>
      </c>
      <c r="G466" s="248">
        <v>231.2929</v>
      </c>
      <c r="H466" s="248">
        <v>240.08940000000001</v>
      </c>
      <c r="I466"/>
      <c r="J466"/>
      <c r="K466"/>
      <c r="L466"/>
      <c r="M466"/>
    </row>
    <row r="467" spans="3:13" hidden="1" outlineLevel="1" x14ac:dyDescent="0.2">
      <c r="C467" s="139">
        <v>241</v>
      </c>
      <c r="D467" s="248">
        <v>203.55289999999999</v>
      </c>
      <c r="E467" s="248">
        <v>219.53290000000001</v>
      </c>
      <c r="F467" s="248">
        <v>226.8683</v>
      </c>
      <c r="G467" s="248">
        <v>232.30439999999999</v>
      </c>
      <c r="H467" s="248">
        <v>241.1302</v>
      </c>
      <c r="I467"/>
      <c r="J467"/>
      <c r="K467"/>
      <c r="L467"/>
      <c r="M467"/>
    </row>
    <row r="468" spans="3:13" hidden="1" outlineLevel="1" x14ac:dyDescent="0.2">
      <c r="C468" s="139">
        <v>242</v>
      </c>
      <c r="D468" s="248">
        <v>204.48240000000001</v>
      </c>
      <c r="E468" s="248">
        <v>220.50659999999999</v>
      </c>
      <c r="F468" s="248">
        <v>227.86420000000001</v>
      </c>
      <c r="G468" s="248">
        <v>233.31630000000001</v>
      </c>
      <c r="H468" s="248">
        <v>242.17140000000001</v>
      </c>
      <c r="I468"/>
      <c r="J468"/>
      <c r="K468"/>
      <c r="L468"/>
      <c r="M468"/>
    </row>
    <row r="469" spans="3:13" hidden="1" outlineLevel="1" x14ac:dyDescent="0.2">
      <c r="C469" s="139">
        <v>243</v>
      </c>
      <c r="D469" s="248">
        <v>205.4118</v>
      </c>
      <c r="E469" s="248">
        <v>221.47989999999999</v>
      </c>
      <c r="F469" s="248">
        <v>228.8586</v>
      </c>
      <c r="G469" s="248">
        <v>234.32859999999999</v>
      </c>
      <c r="H469" s="248">
        <v>243.21190000000001</v>
      </c>
      <c r="I469"/>
      <c r="J469"/>
      <c r="K469"/>
      <c r="L469"/>
      <c r="M469"/>
    </row>
    <row r="470" spans="3:13" hidden="1" outlineLevel="1" x14ac:dyDescent="0.2">
      <c r="C470" s="139">
        <v>244</v>
      </c>
      <c r="D470" s="248">
        <v>206.34120000000001</v>
      </c>
      <c r="E470" s="248">
        <v>222.4537</v>
      </c>
      <c r="F470" s="248">
        <v>229.8544</v>
      </c>
      <c r="G470" s="248">
        <v>235.34039999999999</v>
      </c>
      <c r="H470" s="248">
        <v>244.25370000000001</v>
      </c>
      <c r="I470"/>
      <c r="J470"/>
      <c r="K470"/>
      <c r="L470"/>
      <c r="M470"/>
    </row>
    <row r="471" spans="3:13" hidden="1" outlineLevel="1" x14ac:dyDescent="0.2">
      <c r="C471" s="139">
        <v>245</v>
      </c>
      <c r="D471" s="248">
        <v>207.2706</v>
      </c>
      <c r="E471" s="248">
        <v>223.4271</v>
      </c>
      <c r="F471" s="248">
        <v>230.84970000000001</v>
      </c>
      <c r="G471" s="248">
        <v>236.3526</v>
      </c>
      <c r="H471" s="248">
        <v>245.2938</v>
      </c>
      <c r="I471"/>
      <c r="J471"/>
      <c r="K471"/>
      <c r="L471"/>
      <c r="M471"/>
    </row>
    <row r="472" spans="3:13" hidden="1" outlineLevel="1" x14ac:dyDescent="0.2">
      <c r="C472" s="139">
        <v>246</v>
      </c>
      <c r="D472" s="248">
        <v>208.2011</v>
      </c>
      <c r="E472" s="248">
        <v>224.40100000000001</v>
      </c>
      <c r="F472" s="248">
        <v>231.84450000000001</v>
      </c>
      <c r="G472" s="248">
        <v>237.36519999999999</v>
      </c>
      <c r="H472" s="248">
        <v>246.33519999999999</v>
      </c>
      <c r="I472"/>
      <c r="J472"/>
      <c r="K472"/>
      <c r="L472"/>
      <c r="M472"/>
    </row>
    <row r="473" spans="3:13" hidden="1" outlineLevel="1" x14ac:dyDescent="0.2">
      <c r="C473" s="139">
        <v>247</v>
      </c>
      <c r="D473" s="248">
        <v>209.13130000000001</v>
      </c>
      <c r="E473" s="248">
        <v>225.37440000000001</v>
      </c>
      <c r="F473" s="248">
        <v>232.83969999999999</v>
      </c>
      <c r="G473" s="248">
        <v>238.37719999999999</v>
      </c>
      <c r="H473" s="248">
        <v>247.376</v>
      </c>
      <c r="I473"/>
      <c r="J473"/>
      <c r="K473"/>
      <c r="L473"/>
      <c r="M473"/>
    </row>
    <row r="474" spans="3:13" hidden="1" outlineLevel="1" x14ac:dyDescent="0.2">
      <c r="C474" s="139">
        <v>248</v>
      </c>
      <c r="D474" s="248">
        <v>210.06120000000001</v>
      </c>
      <c r="E474" s="248">
        <v>226.34829999999999</v>
      </c>
      <c r="F474" s="248">
        <v>233.83529999999999</v>
      </c>
      <c r="G474" s="248">
        <v>239.3896</v>
      </c>
      <c r="H474" s="248">
        <v>248.4171</v>
      </c>
      <c r="I474"/>
      <c r="J474"/>
      <c r="K474"/>
      <c r="L474"/>
      <c r="M474"/>
    </row>
    <row r="475" spans="3:13" hidden="1" outlineLevel="1" x14ac:dyDescent="0.2">
      <c r="C475" s="139">
        <v>249</v>
      </c>
      <c r="D475" s="248">
        <v>210.99180000000001</v>
      </c>
      <c r="E475" s="248">
        <v>227.3228</v>
      </c>
      <c r="F475" s="248">
        <v>234.8314</v>
      </c>
      <c r="G475" s="248">
        <v>240.4023</v>
      </c>
      <c r="H475" s="248">
        <v>249.45840000000001</v>
      </c>
      <c r="I475"/>
      <c r="J475"/>
      <c r="K475"/>
      <c r="L475"/>
      <c r="M475"/>
    </row>
    <row r="476" spans="3:13" hidden="1" outlineLevel="1" x14ac:dyDescent="0.2">
      <c r="C476" s="247">
        <v>250</v>
      </c>
      <c r="D476" s="246">
        <v>211.92287142857143</v>
      </c>
      <c r="E476" s="246">
        <v>228.29712857142857</v>
      </c>
      <c r="F476" s="246">
        <v>235.82722857142858</v>
      </c>
      <c r="G476" s="246">
        <v>241.41492857142856</v>
      </c>
      <c r="H476" s="246">
        <v>250.49984285714285</v>
      </c>
      <c r="I476"/>
      <c r="J476"/>
      <c r="K476"/>
      <c r="L476"/>
      <c r="M476"/>
    </row>
    <row r="477" spans="3:13" hidden="1" outlineLevel="1" x14ac:dyDescent="0.2">
      <c r="C477" s="247">
        <v>251</v>
      </c>
      <c r="D477" s="246">
        <v>212.85394285714284</v>
      </c>
      <c r="E477" s="246">
        <v>229.27145714285714</v>
      </c>
      <c r="F477" s="246">
        <v>236.82305714285715</v>
      </c>
      <c r="G477" s="246">
        <v>242.42755714285713</v>
      </c>
      <c r="H477" s="246">
        <v>251.54128571428569</v>
      </c>
      <c r="I477"/>
      <c r="J477"/>
      <c r="K477"/>
      <c r="L477"/>
      <c r="M477"/>
    </row>
    <row r="478" spans="3:13" hidden="1" outlineLevel="1" x14ac:dyDescent="0.2">
      <c r="C478" s="247">
        <v>252</v>
      </c>
      <c r="D478" s="246">
        <v>213.78501428571425</v>
      </c>
      <c r="E478" s="246">
        <v>230.24578571428572</v>
      </c>
      <c r="F478" s="246">
        <v>237.81888571428573</v>
      </c>
      <c r="G478" s="246">
        <v>243.44018571428569</v>
      </c>
      <c r="H478" s="246">
        <v>252.58272857142853</v>
      </c>
      <c r="I478"/>
      <c r="J478"/>
      <c r="K478"/>
      <c r="L478"/>
      <c r="M478"/>
    </row>
    <row r="479" spans="3:13" hidden="1" outlineLevel="1" x14ac:dyDescent="0.2">
      <c r="C479" s="247">
        <v>253</v>
      </c>
      <c r="D479" s="246">
        <v>214.71608571428567</v>
      </c>
      <c r="E479" s="246">
        <v>231.22011428571429</v>
      </c>
      <c r="F479" s="246">
        <v>238.8147142857143</v>
      </c>
      <c r="G479" s="246">
        <v>244.45281428571425</v>
      </c>
      <c r="H479" s="246">
        <v>253.62417142857137</v>
      </c>
      <c r="I479"/>
      <c r="J479"/>
      <c r="K479"/>
      <c r="L479"/>
      <c r="M479"/>
    </row>
    <row r="480" spans="3:13" hidden="1" outlineLevel="1" x14ac:dyDescent="0.2">
      <c r="C480" s="247">
        <v>254</v>
      </c>
      <c r="D480" s="246">
        <v>215.64715714285708</v>
      </c>
      <c r="E480" s="246">
        <v>232.19444285714286</v>
      </c>
      <c r="F480" s="246">
        <v>239.81054285714288</v>
      </c>
      <c r="G480" s="246">
        <v>245.46544285714282</v>
      </c>
      <c r="H480" s="246">
        <v>254.66561428571421</v>
      </c>
      <c r="I480"/>
      <c r="J480"/>
      <c r="K480"/>
      <c r="L480"/>
      <c r="M480"/>
    </row>
    <row r="481" spans="3:13" hidden="1" outlineLevel="1" x14ac:dyDescent="0.2">
      <c r="C481" s="247">
        <v>255</v>
      </c>
      <c r="D481" s="246">
        <v>216.5782285714285</v>
      </c>
      <c r="E481" s="246">
        <v>233.16877142857143</v>
      </c>
      <c r="F481" s="246">
        <v>240.80637142857145</v>
      </c>
      <c r="G481" s="246">
        <v>246.47807142857138</v>
      </c>
      <c r="H481" s="246">
        <v>255.70705714285705</v>
      </c>
      <c r="I481"/>
      <c r="J481"/>
      <c r="K481"/>
      <c r="L481"/>
      <c r="M481"/>
    </row>
    <row r="482" spans="3:13" hidden="1" outlineLevel="1" x14ac:dyDescent="0.2">
      <c r="C482" s="139">
        <v>256</v>
      </c>
      <c r="D482" s="248">
        <v>217.5093</v>
      </c>
      <c r="E482" s="248">
        <v>234.1431</v>
      </c>
      <c r="F482" s="248">
        <v>241.8022</v>
      </c>
      <c r="G482" s="248">
        <v>247.4907</v>
      </c>
      <c r="H482" s="248">
        <v>256.74849999999998</v>
      </c>
      <c r="I482"/>
      <c r="J482"/>
      <c r="K482"/>
      <c r="L482"/>
      <c r="M482"/>
    </row>
    <row r="483" spans="3:13" hidden="1" outlineLevel="1" x14ac:dyDescent="0.2">
      <c r="C483" s="139">
        <v>257</v>
      </c>
      <c r="D483" s="248">
        <v>218.44130000000001</v>
      </c>
      <c r="E483" s="248">
        <v>235.11850000000001</v>
      </c>
      <c r="F483" s="248">
        <v>242.7987</v>
      </c>
      <c r="G483" s="248">
        <v>248.50360000000001</v>
      </c>
      <c r="H483" s="248">
        <v>257.79020000000003</v>
      </c>
      <c r="I483"/>
      <c r="J483"/>
      <c r="K483"/>
      <c r="L483"/>
      <c r="M483"/>
    </row>
    <row r="484" spans="3:13" hidden="1" outlineLevel="1" x14ac:dyDescent="0.2">
      <c r="C484" s="139">
        <v>258</v>
      </c>
      <c r="D484" s="248">
        <v>219.37289999999999</v>
      </c>
      <c r="E484" s="248">
        <v>236.0934</v>
      </c>
      <c r="F484" s="248">
        <v>243.79570000000001</v>
      </c>
      <c r="G484" s="248">
        <v>249.51679999999999</v>
      </c>
      <c r="H484" s="248">
        <v>258.83120000000002</v>
      </c>
      <c r="I484"/>
      <c r="J484"/>
      <c r="K484"/>
      <c r="L484"/>
      <c r="M484"/>
    </row>
    <row r="485" spans="3:13" hidden="1" outlineLevel="1" x14ac:dyDescent="0.2">
      <c r="C485" s="139">
        <v>259</v>
      </c>
      <c r="D485" s="248">
        <v>220.30520000000001</v>
      </c>
      <c r="E485" s="248">
        <v>237.06870000000001</v>
      </c>
      <c r="F485" s="248">
        <v>244.792</v>
      </c>
      <c r="G485" s="248">
        <v>250.52930000000001</v>
      </c>
      <c r="H485" s="248">
        <v>259.8725</v>
      </c>
      <c r="I485"/>
      <c r="J485"/>
      <c r="K485"/>
      <c r="L485"/>
      <c r="M485"/>
    </row>
    <row r="486" spans="3:13" hidden="1" outlineLevel="1" x14ac:dyDescent="0.2">
      <c r="C486" s="139">
        <v>260</v>
      </c>
      <c r="D486" s="248">
        <v>221.2371</v>
      </c>
      <c r="E486" s="248">
        <v>238.0436</v>
      </c>
      <c r="F486" s="248">
        <v>245.78870000000001</v>
      </c>
      <c r="G486" s="248">
        <v>251.54320000000001</v>
      </c>
      <c r="H486" s="248">
        <v>260.9151</v>
      </c>
      <c r="I486"/>
      <c r="J486"/>
      <c r="K486"/>
      <c r="L486"/>
      <c r="M486"/>
    </row>
    <row r="487" spans="3:13" hidden="1" outlineLevel="1" x14ac:dyDescent="0.2">
      <c r="C487" s="139">
        <v>261</v>
      </c>
      <c r="D487" s="248">
        <v>222.16970000000001</v>
      </c>
      <c r="E487" s="248">
        <v>239.0188</v>
      </c>
      <c r="F487" s="248">
        <v>246.78479999999999</v>
      </c>
      <c r="G487" s="248">
        <v>252.5565</v>
      </c>
      <c r="H487" s="248">
        <v>261.95699999999999</v>
      </c>
      <c r="I487"/>
      <c r="J487"/>
      <c r="K487"/>
      <c r="L487"/>
      <c r="M487"/>
    </row>
    <row r="488" spans="3:13" hidden="1" outlineLevel="1" x14ac:dyDescent="0.2">
      <c r="C488" s="139">
        <v>262</v>
      </c>
      <c r="D488" s="248">
        <v>223.10290000000001</v>
      </c>
      <c r="E488" s="248">
        <v>239.99459999999999</v>
      </c>
      <c r="F488" s="248">
        <v>247.78129999999999</v>
      </c>
      <c r="G488" s="248">
        <v>253.56909999999999</v>
      </c>
      <c r="H488" s="248">
        <v>262.99799999999999</v>
      </c>
      <c r="I488"/>
      <c r="J488"/>
      <c r="K488"/>
      <c r="L488"/>
      <c r="M488"/>
    </row>
    <row r="489" spans="3:13" hidden="1" outlineLevel="1" x14ac:dyDescent="0.2">
      <c r="C489" s="139">
        <v>263</v>
      </c>
      <c r="D489" s="248">
        <v>224.03569999999999</v>
      </c>
      <c r="E489" s="248">
        <v>240.96979999999999</v>
      </c>
      <c r="F489" s="248">
        <v>248.7782</v>
      </c>
      <c r="G489" s="248">
        <v>254.5831</v>
      </c>
      <c r="H489" s="248">
        <v>264.04039999999998</v>
      </c>
      <c r="I489"/>
      <c r="J489"/>
      <c r="K489"/>
      <c r="L489"/>
      <c r="M489"/>
    </row>
    <row r="490" spans="3:13" hidden="1" outlineLevel="1" x14ac:dyDescent="0.2">
      <c r="C490" s="139">
        <v>264</v>
      </c>
      <c r="D490" s="248">
        <v>224.96809999999999</v>
      </c>
      <c r="E490" s="248">
        <v>241.94540000000001</v>
      </c>
      <c r="F490" s="248">
        <v>249.77449999999999</v>
      </c>
      <c r="G490" s="248">
        <v>255.59639999999999</v>
      </c>
      <c r="H490" s="248">
        <v>265.08210000000003</v>
      </c>
      <c r="I490"/>
      <c r="J490"/>
      <c r="K490"/>
      <c r="L490"/>
      <c r="M490"/>
    </row>
    <row r="491" spans="3:13" hidden="1" outlineLevel="1" x14ac:dyDescent="0.2">
      <c r="C491" s="139">
        <v>265</v>
      </c>
      <c r="D491" s="248">
        <v>225.90110000000001</v>
      </c>
      <c r="E491" s="248">
        <v>242.9205</v>
      </c>
      <c r="F491" s="248">
        <v>250.7722</v>
      </c>
      <c r="G491" s="248">
        <v>256.60910000000001</v>
      </c>
      <c r="H491" s="248">
        <v>266.12400000000002</v>
      </c>
      <c r="I491"/>
      <c r="J491"/>
      <c r="K491"/>
      <c r="L491"/>
      <c r="M491"/>
    </row>
    <row r="492" spans="3:13" hidden="1" outlineLevel="1" x14ac:dyDescent="0.2">
      <c r="C492" s="139">
        <v>266</v>
      </c>
      <c r="D492" s="248">
        <v>226.8348</v>
      </c>
      <c r="E492" s="248">
        <v>243.89609999999999</v>
      </c>
      <c r="F492" s="248">
        <v>251.76920000000001</v>
      </c>
      <c r="G492" s="248">
        <v>257.62310000000002</v>
      </c>
      <c r="H492" s="248">
        <v>267.1662</v>
      </c>
      <c r="I492"/>
      <c r="J492"/>
      <c r="K492"/>
      <c r="L492"/>
      <c r="M492"/>
    </row>
    <row r="493" spans="3:13" hidden="1" outlineLevel="1" x14ac:dyDescent="0.2">
      <c r="C493" s="139">
        <v>267</v>
      </c>
      <c r="D493" s="248">
        <v>227.768</v>
      </c>
      <c r="E493" s="248">
        <v>244.87209999999999</v>
      </c>
      <c r="F493" s="248">
        <v>252.76560000000001</v>
      </c>
      <c r="G493" s="248">
        <v>258.63639999999998</v>
      </c>
      <c r="H493" s="248">
        <v>268.20749999999998</v>
      </c>
      <c r="I493"/>
      <c r="J493"/>
      <c r="K493"/>
      <c r="L493"/>
      <c r="M493"/>
    </row>
    <row r="494" spans="3:13" hidden="1" outlineLevel="1" x14ac:dyDescent="0.2">
      <c r="C494" s="139">
        <v>268</v>
      </c>
      <c r="D494" s="248">
        <v>228.70179999999999</v>
      </c>
      <c r="E494" s="248">
        <v>245.8485</v>
      </c>
      <c r="F494" s="248">
        <v>253.76240000000001</v>
      </c>
      <c r="G494" s="248">
        <v>259.64999999999998</v>
      </c>
      <c r="H494" s="248">
        <v>269.25029999999998</v>
      </c>
      <c r="I494"/>
      <c r="J494"/>
      <c r="K494"/>
      <c r="L494"/>
      <c r="M494"/>
    </row>
    <row r="495" spans="3:13" hidden="1" outlineLevel="1" x14ac:dyDescent="0.2">
      <c r="C495" s="139">
        <v>269</v>
      </c>
      <c r="D495" s="248">
        <v>229.6352</v>
      </c>
      <c r="E495" s="248">
        <v>246.82429999999999</v>
      </c>
      <c r="F495" s="248">
        <v>254.75960000000001</v>
      </c>
      <c r="G495" s="248">
        <v>260.66399999999999</v>
      </c>
      <c r="H495" s="248">
        <v>270.29219999999998</v>
      </c>
      <c r="I495"/>
      <c r="J495"/>
      <c r="K495"/>
      <c r="L495"/>
      <c r="M495"/>
    </row>
    <row r="496" spans="3:13" hidden="1" outlineLevel="1" x14ac:dyDescent="0.2">
      <c r="C496" s="139">
        <v>270</v>
      </c>
      <c r="D496" s="248">
        <v>230.5692</v>
      </c>
      <c r="E496" s="248">
        <v>247.8006</v>
      </c>
      <c r="F496" s="248">
        <v>255.75710000000001</v>
      </c>
      <c r="G496" s="248">
        <v>261.6773</v>
      </c>
      <c r="H496" s="248">
        <v>271.33440000000002</v>
      </c>
      <c r="I496"/>
      <c r="J496"/>
      <c r="K496"/>
      <c r="L496"/>
      <c r="M496"/>
    </row>
    <row r="497" spans="3:13" hidden="1" outlineLevel="1" x14ac:dyDescent="0.2">
      <c r="C497" s="139">
        <v>271</v>
      </c>
      <c r="D497" s="248">
        <v>231.50280000000001</v>
      </c>
      <c r="E497" s="248">
        <v>248.77629999999999</v>
      </c>
      <c r="F497" s="248">
        <v>256.755</v>
      </c>
      <c r="G497" s="248">
        <v>262.69099999999997</v>
      </c>
      <c r="H497" s="248">
        <v>272.37569999999999</v>
      </c>
      <c r="I497"/>
      <c r="J497"/>
      <c r="K497"/>
      <c r="L497"/>
      <c r="M497"/>
    </row>
    <row r="498" spans="3:13" hidden="1" outlineLevel="1" x14ac:dyDescent="0.2">
      <c r="C498" s="139">
        <v>272</v>
      </c>
      <c r="D498" s="248">
        <v>232.43690000000001</v>
      </c>
      <c r="E498" s="248">
        <v>249.7534</v>
      </c>
      <c r="F498" s="248">
        <v>257.75220000000002</v>
      </c>
      <c r="G498" s="248">
        <v>263.70490000000001</v>
      </c>
      <c r="H498" s="248">
        <v>273.41840000000002</v>
      </c>
      <c r="I498"/>
      <c r="J498"/>
      <c r="K498"/>
      <c r="L498"/>
      <c r="M498"/>
    </row>
    <row r="499" spans="3:13" hidden="1" outlineLevel="1" x14ac:dyDescent="0.2">
      <c r="C499" s="139">
        <v>273</v>
      </c>
      <c r="D499" s="248">
        <v>233.3717</v>
      </c>
      <c r="E499" s="248">
        <v>250.72989999999999</v>
      </c>
      <c r="F499" s="248">
        <v>258.74979999999999</v>
      </c>
      <c r="G499" s="248">
        <v>264.7192</v>
      </c>
      <c r="H499" s="248">
        <v>274.46030000000002</v>
      </c>
      <c r="I499"/>
      <c r="J499"/>
      <c r="K499"/>
      <c r="L499"/>
      <c r="M499"/>
    </row>
    <row r="500" spans="3:13" hidden="1" outlineLevel="1" x14ac:dyDescent="0.2">
      <c r="C500" s="139">
        <v>274</v>
      </c>
      <c r="D500" s="248">
        <v>234.30590000000001</v>
      </c>
      <c r="E500" s="248">
        <v>251.70580000000001</v>
      </c>
      <c r="F500" s="248">
        <v>259.74680000000001</v>
      </c>
      <c r="G500" s="248">
        <v>265.7328</v>
      </c>
      <c r="H500" s="248">
        <v>275.5025</v>
      </c>
      <c r="I500"/>
      <c r="J500"/>
      <c r="K500"/>
      <c r="L500"/>
      <c r="M500"/>
    </row>
    <row r="501" spans="3:13" hidden="1" outlineLevel="1" x14ac:dyDescent="0.2">
      <c r="C501" s="139">
        <v>275</v>
      </c>
      <c r="D501" s="248">
        <v>235.2397</v>
      </c>
      <c r="E501" s="248">
        <v>252.68219999999999</v>
      </c>
      <c r="F501" s="248">
        <v>260.74400000000003</v>
      </c>
      <c r="G501" s="248">
        <v>266.74770000000001</v>
      </c>
      <c r="H501" s="248">
        <v>276.54489999999998</v>
      </c>
      <c r="I501"/>
      <c r="J501"/>
      <c r="K501"/>
      <c r="L501"/>
      <c r="M501"/>
    </row>
    <row r="502" spans="3:13" hidden="1" outlineLevel="1" x14ac:dyDescent="0.2">
      <c r="C502" s="139">
        <v>276</v>
      </c>
      <c r="D502" s="248">
        <v>236.17519999999999</v>
      </c>
      <c r="E502" s="248">
        <v>253.65889999999999</v>
      </c>
      <c r="F502" s="248">
        <v>261.74270000000001</v>
      </c>
      <c r="G502" s="248">
        <v>267.76089999999999</v>
      </c>
      <c r="H502" s="248">
        <v>277.58749999999998</v>
      </c>
      <c r="I502"/>
      <c r="J502"/>
      <c r="K502"/>
      <c r="L502"/>
      <c r="M502"/>
    </row>
    <row r="503" spans="3:13" hidden="1" outlineLevel="1" x14ac:dyDescent="0.2">
      <c r="C503" s="139">
        <v>277</v>
      </c>
      <c r="D503" s="248">
        <v>237.11009999999999</v>
      </c>
      <c r="E503" s="248">
        <v>254.6361</v>
      </c>
      <c r="F503" s="248">
        <v>262.73970000000003</v>
      </c>
      <c r="G503" s="248">
        <v>268.77539999999999</v>
      </c>
      <c r="H503" s="248">
        <v>278.63049999999998</v>
      </c>
      <c r="I503"/>
      <c r="J503"/>
      <c r="K503"/>
      <c r="L503"/>
      <c r="M503"/>
    </row>
    <row r="504" spans="3:13" hidden="1" outlineLevel="1" x14ac:dyDescent="0.2">
      <c r="C504" s="139">
        <v>278</v>
      </c>
      <c r="D504" s="248">
        <v>238.0446</v>
      </c>
      <c r="E504" s="248">
        <v>255.61259999999999</v>
      </c>
      <c r="F504" s="248">
        <v>263.73809999999997</v>
      </c>
      <c r="G504" s="248">
        <v>269.78919999999999</v>
      </c>
      <c r="H504" s="248">
        <v>279.67250000000001</v>
      </c>
      <c r="I504"/>
      <c r="J504"/>
      <c r="K504"/>
      <c r="L504"/>
      <c r="M504"/>
    </row>
    <row r="505" spans="3:13" hidden="1" outlineLevel="1" x14ac:dyDescent="0.2">
      <c r="C505" s="139">
        <v>279</v>
      </c>
      <c r="D505" s="248">
        <v>238.9796</v>
      </c>
      <c r="E505" s="248">
        <v>256.58960000000002</v>
      </c>
      <c r="F505" s="248">
        <v>264.73570000000001</v>
      </c>
      <c r="G505" s="248">
        <v>270.80439999999999</v>
      </c>
      <c r="H505" s="248">
        <v>280.7149</v>
      </c>
      <c r="I505"/>
      <c r="J505"/>
      <c r="K505"/>
      <c r="L505"/>
      <c r="M505"/>
    </row>
    <row r="506" spans="3:13" hidden="1" outlineLevel="1" x14ac:dyDescent="0.2">
      <c r="C506" s="139">
        <v>280</v>
      </c>
      <c r="D506" s="248">
        <v>239.9152</v>
      </c>
      <c r="E506" s="248">
        <v>257.56689999999998</v>
      </c>
      <c r="F506" s="248">
        <v>265.7337</v>
      </c>
      <c r="G506" s="248">
        <v>271.81880000000001</v>
      </c>
      <c r="H506" s="248">
        <v>281.75740000000002</v>
      </c>
      <c r="I506"/>
      <c r="J506"/>
      <c r="K506"/>
      <c r="L506"/>
      <c r="M506"/>
    </row>
    <row r="507" spans="3:13" hidden="1" outlineLevel="1" x14ac:dyDescent="0.2">
      <c r="C507" s="139">
        <v>281</v>
      </c>
      <c r="D507" s="248">
        <v>240.8503</v>
      </c>
      <c r="E507" s="248">
        <v>258.54360000000003</v>
      </c>
      <c r="F507" s="248">
        <v>266.7321</v>
      </c>
      <c r="G507" s="248">
        <v>272.83240000000001</v>
      </c>
      <c r="H507" s="248">
        <v>282.80029999999999</v>
      </c>
      <c r="I507"/>
      <c r="J507"/>
      <c r="K507"/>
      <c r="L507"/>
      <c r="M507"/>
    </row>
    <row r="508" spans="3:13" hidden="1" outlineLevel="1" x14ac:dyDescent="0.2">
      <c r="C508" s="139">
        <v>282</v>
      </c>
      <c r="D508" s="248">
        <v>241.786</v>
      </c>
      <c r="E508" s="248">
        <v>259.52069999999998</v>
      </c>
      <c r="F508" s="248">
        <v>267.72969999999998</v>
      </c>
      <c r="G508" s="248">
        <v>273.84750000000003</v>
      </c>
      <c r="H508" s="248">
        <v>283.84219999999999</v>
      </c>
      <c r="I508"/>
      <c r="J508"/>
      <c r="K508"/>
      <c r="L508"/>
      <c r="M508" s="245"/>
    </row>
    <row r="509" spans="3:13" hidden="1" outlineLevel="1" x14ac:dyDescent="0.2">
      <c r="C509" s="139">
        <v>283</v>
      </c>
      <c r="D509" s="248">
        <v>242.72219999999999</v>
      </c>
      <c r="E509" s="248">
        <v>260.4982</v>
      </c>
      <c r="F509" s="248">
        <v>268.72770000000003</v>
      </c>
      <c r="G509" s="248">
        <v>274.86169999999998</v>
      </c>
      <c r="H509" s="248">
        <v>284.88549999999998</v>
      </c>
      <c r="I509"/>
      <c r="J509"/>
      <c r="K509"/>
      <c r="L509"/>
      <c r="M509"/>
    </row>
    <row r="510" spans="3:13" hidden="1" outlineLevel="1" x14ac:dyDescent="0.2">
      <c r="C510" s="139">
        <v>284</v>
      </c>
      <c r="D510" s="248">
        <v>243.65790000000001</v>
      </c>
      <c r="E510" s="248">
        <v>261.47609999999997</v>
      </c>
      <c r="F510" s="248">
        <v>269.726</v>
      </c>
      <c r="G510" s="248">
        <v>275.87630000000001</v>
      </c>
      <c r="H510" s="248">
        <v>285.92790000000002</v>
      </c>
      <c r="I510"/>
      <c r="J510"/>
      <c r="K510"/>
      <c r="L510"/>
      <c r="M510"/>
    </row>
    <row r="511" spans="3:13" hidden="1" outlineLevel="1" x14ac:dyDescent="0.2">
      <c r="C511" s="139">
        <v>285</v>
      </c>
      <c r="D511" s="248">
        <v>244.5941</v>
      </c>
      <c r="E511" s="248">
        <v>262.45330000000001</v>
      </c>
      <c r="F511" s="248">
        <v>270.72469999999998</v>
      </c>
      <c r="G511" s="248">
        <v>276.89120000000003</v>
      </c>
      <c r="H511" s="248">
        <v>286.97059999999999</v>
      </c>
      <c r="I511"/>
      <c r="J511"/>
      <c r="K511"/>
      <c r="L511"/>
      <c r="M511"/>
    </row>
    <row r="512" spans="3:13" hidden="1" outlineLevel="1" x14ac:dyDescent="0.2">
      <c r="C512" s="139">
        <v>286</v>
      </c>
      <c r="D512" s="248">
        <v>245.52979999999999</v>
      </c>
      <c r="E512" s="248">
        <v>263.43099999999998</v>
      </c>
      <c r="F512" s="248">
        <v>271.7226</v>
      </c>
      <c r="G512" s="248">
        <v>277.90530000000001</v>
      </c>
      <c r="H512" s="248">
        <v>288.01350000000002</v>
      </c>
      <c r="I512"/>
      <c r="J512"/>
      <c r="K512"/>
      <c r="L512"/>
      <c r="M512"/>
    </row>
    <row r="513" spans="3:13" hidden="1" outlineLevel="1" x14ac:dyDescent="0.2">
      <c r="C513" s="139">
        <v>287</v>
      </c>
      <c r="D513" s="248">
        <v>246.46600000000001</v>
      </c>
      <c r="E513" s="248">
        <v>264.40899999999999</v>
      </c>
      <c r="F513" s="248">
        <v>272.7208</v>
      </c>
      <c r="G513" s="248">
        <v>278.91969999999998</v>
      </c>
      <c r="H513" s="248">
        <v>289.05669999999998</v>
      </c>
      <c r="I513"/>
      <c r="J513"/>
      <c r="K513"/>
      <c r="L513"/>
      <c r="M513"/>
    </row>
    <row r="514" spans="3:13" hidden="1" outlineLevel="1" x14ac:dyDescent="0.2">
      <c r="C514" s="139">
        <v>288</v>
      </c>
      <c r="D514" s="248">
        <v>247.40280000000001</v>
      </c>
      <c r="E514" s="248">
        <v>265.38630000000001</v>
      </c>
      <c r="F514" s="248">
        <v>273.71940000000001</v>
      </c>
      <c r="G514" s="248">
        <v>279.93439999999998</v>
      </c>
      <c r="H514" s="248">
        <v>290.09890000000001</v>
      </c>
      <c r="I514"/>
      <c r="J514"/>
      <c r="K514"/>
      <c r="L514"/>
      <c r="M514"/>
    </row>
    <row r="515" spans="3:13" hidden="1" outlineLevel="1" x14ac:dyDescent="0.2">
      <c r="C515" s="139">
        <v>289</v>
      </c>
      <c r="D515" s="248">
        <v>248.339</v>
      </c>
      <c r="E515" s="248">
        <v>266.36399999999998</v>
      </c>
      <c r="F515" s="248">
        <v>274.7183</v>
      </c>
      <c r="G515" s="248">
        <v>280.94940000000003</v>
      </c>
      <c r="H515" s="248">
        <v>291.14260000000002</v>
      </c>
      <c r="I515"/>
      <c r="J515"/>
      <c r="K515"/>
      <c r="L515"/>
      <c r="M515"/>
    </row>
    <row r="516" spans="3:13" hidden="1" outlineLevel="1" x14ac:dyDescent="0.2">
      <c r="C516" s="139">
        <v>290</v>
      </c>
      <c r="D516" s="248">
        <v>249.2757</v>
      </c>
      <c r="E516" s="248">
        <v>267.34210000000002</v>
      </c>
      <c r="F516" s="248">
        <v>275.7165</v>
      </c>
      <c r="G516" s="248">
        <v>281.96469999999999</v>
      </c>
      <c r="H516" s="248">
        <v>292.18529999999998</v>
      </c>
      <c r="I516"/>
      <c r="J516"/>
      <c r="K516"/>
      <c r="L516"/>
      <c r="M516"/>
    </row>
    <row r="517" spans="3:13" hidden="1" outlineLevel="1" x14ac:dyDescent="0.2">
      <c r="C517" s="139">
        <v>291</v>
      </c>
      <c r="D517" s="248">
        <v>250.21190000000001</v>
      </c>
      <c r="E517" s="248">
        <v>268.32060000000001</v>
      </c>
      <c r="F517" s="248">
        <v>276.71499999999997</v>
      </c>
      <c r="G517" s="248">
        <v>282.97910000000002</v>
      </c>
      <c r="H517" s="248">
        <v>293.22820000000002</v>
      </c>
      <c r="I517"/>
      <c r="J517"/>
      <c r="K517"/>
      <c r="L517"/>
      <c r="M517"/>
    </row>
    <row r="518" spans="3:13" hidden="1" outlineLevel="1" x14ac:dyDescent="0.2">
      <c r="C518" s="139">
        <v>292</v>
      </c>
      <c r="D518" s="248">
        <v>251.1497</v>
      </c>
      <c r="E518" s="248">
        <v>269.29829999999998</v>
      </c>
      <c r="F518" s="248">
        <v>277.71379999999999</v>
      </c>
      <c r="G518" s="248">
        <v>283.9939</v>
      </c>
      <c r="H518" s="248">
        <v>294.27140000000003</v>
      </c>
      <c r="I518"/>
      <c r="J518"/>
      <c r="K518"/>
      <c r="L518"/>
      <c r="M518"/>
    </row>
    <row r="519" spans="3:13" hidden="1" outlineLevel="1" x14ac:dyDescent="0.2">
      <c r="C519" s="139">
        <v>293</v>
      </c>
      <c r="D519" s="248">
        <v>252.08580000000001</v>
      </c>
      <c r="E519" s="248">
        <v>270.2765</v>
      </c>
      <c r="F519" s="248">
        <v>278.71289999999999</v>
      </c>
      <c r="G519" s="248">
        <v>285.00900000000001</v>
      </c>
      <c r="H519" s="248">
        <v>295.31360000000001</v>
      </c>
      <c r="I519"/>
      <c r="J519"/>
      <c r="K519"/>
      <c r="L519"/>
      <c r="M519"/>
    </row>
    <row r="520" spans="3:13" hidden="1" outlineLevel="1" x14ac:dyDescent="0.2">
      <c r="C520" s="139">
        <v>294</v>
      </c>
      <c r="D520" s="248">
        <v>253.02350000000001</v>
      </c>
      <c r="E520" s="248">
        <v>271.255</v>
      </c>
      <c r="F520" s="248">
        <v>279.7124</v>
      </c>
      <c r="G520" s="248">
        <v>286.02429999999998</v>
      </c>
      <c r="H520" s="248">
        <v>296.35730000000001</v>
      </c>
      <c r="I520"/>
      <c r="J520"/>
      <c r="K520"/>
      <c r="L520"/>
      <c r="M520"/>
    </row>
    <row r="521" spans="3:13" hidden="1" outlineLevel="1" x14ac:dyDescent="0.2">
      <c r="C521" s="139">
        <v>295</v>
      </c>
      <c r="D521" s="248">
        <v>253.9607</v>
      </c>
      <c r="E521" s="248">
        <v>272.2328</v>
      </c>
      <c r="F521" s="248">
        <v>280.71109999999999</v>
      </c>
      <c r="G521" s="248">
        <v>287.03989999999999</v>
      </c>
      <c r="H521" s="248">
        <v>297.3999</v>
      </c>
      <c r="I521"/>
      <c r="J521"/>
      <c r="K521"/>
      <c r="L521"/>
      <c r="M521"/>
    </row>
    <row r="522" spans="3:13" hidden="1" outlineLevel="1" x14ac:dyDescent="0.2">
      <c r="C522" s="139">
        <v>296</v>
      </c>
      <c r="D522" s="248">
        <v>254.89840000000001</v>
      </c>
      <c r="E522" s="248">
        <v>273.21089999999998</v>
      </c>
      <c r="F522" s="248">
        <v>281.70999999999998</v>
      </c>
      <c r="G522" s="248">
        <v>288.05470000000003</v>
      </c>
      <c r="H522" s="248">
        <v>298.44290000000001</v>
      </c>
      <c r="I522"/>
      <c r="J522"/>
      <c r="K522"/>
      <c r="L522"/>
      <c r="M522"/>
    </row>
    <row r="523" spans="3:13" hidden="1" outlineLevel="1" x14ac:dyDescent="0.2">
      <c r="C523" s="139">
        <v>297</v>
      </c>
      <c r="D523" s="248">
        <v>255.83539999999999</v>
      </c>
      <c r="E523" s="248">
        <v>274.18939999999998</v>
      </c>
      <c r="F523" s="248">
        <v>282.70929999999998</v>
      </c>
      <c r="G523" s="248">
        <v>289.06979999999999</v>
      </c>
      <c r="H523" s="248">
        <v>299.48599999999999</v>
      </c>
      <c r="I523"/>
      <c r="J523"/>
      <c r="K523"/>
      <c r="L523"/>
      <c r="M523"/>
    </row>
    <row r="524" spans="3:13" hidden="1" outlineLevel="1" x14ac:dyDescent="0.2">
      <c r="C524" s="139">
        <v>298</v>
      </c>
      <c r="D524" s="248">
        <v>256.77409999999998</v>
      </c>
      <c r="E524" s="248">
        <v>275.16829999999999</v>
      </c>
      <c r="F524" s="248">
        <v>283.70780000000002</v>
      </c>
      <c r="G524" s="248">
        <v>290.08519999999999</v>
      </c>
      <c r="H524" s="248">
        <v>300.52940000000001</v>
      </c>
      <c r="I524"/>
      <c r="J524"/>
      <c r="K524"/>
      <c r="L524"/>
      <c r="M524"/>
    </row>
    <row r="525" spans="3:13" hidden="1" outlineLevel="1" x14ac:dyDescent="0.2">
      <c r="C525" s="139">
        <v>299</v>
      </c>
      <c r="D525" s="248">
        <v>257.71109999999999</v>
      </c>
      <c r="E525" s="248">
        <v>276.1465</v>
      </c>
      <c r="F525" s="248">
        <v>284.70659999999998</v>
      </c>
      <c r="G525" s="248">
        <v>291.10079999999999</v>
      </c>
      <c r="H525" s="248">
        <v>301.57299999999998</v>
      </c>
      <c r="I525"/>
      <c r="J525"/>
      <c r="K525"/>
      <c r="L525"/>
      <c r="M525"/>
    </row>
    <row r="526" spans="3:13" hidden="1" outlineLevel="1" x14ac:dyDescent="0.2">
      <c r="C526" s="139">
        <v>300</v>
      </c>
      <c r="D526" s="248">
        <v>258.64960000000002</v>
      </c>
      <c r="E526" s="248">
        <v>277.125</v>
      </c>
      <c r="F526" s="248">
        <v>285.70580000000001</v>
      </c>
      <c r="G526" s="248">
        <v>292.11559999999997</v>
      </c>
      <c r="H526" s="248">
        <v>302.61559999999997</v>
      </c>
      <c r="I526"/>
      <c r="J526"/>
      <c r="K526"/>
      <c r="L526"/>
      <c r="M526"/>
    </row>
    <row r="527" spans="3:13" hidden="1" outlineLevel="1" x14ac:dyDescent="0.2">
      <c r="C527" s="139">
        <v>301</v>
      </c>
      <c r="D527" s="248">
        <v>259.58760000000001</v>
      </c>
      <c r="E527" s="248">
        <v>278.10379999999998</v>
      </c>
      <c r="F527" s="248">
        <v>286.70519999999999</v>
      </c>
      <c r="G527" s="248">
        <v>293.1318</v>
      </c>
      <c r="H527" s="248">
        <v>303.65969999999999</v>
      </c>
      <c r="I527"/>
      <c r="J527"/>
      <c r="K527"/>
      <c r="L527"/>
      <c r="M527"/>
    </row>
    <row r="528" spans="3:13" hidden="1" outlineLevel="1" x14ac:dyDescent="0.2">
      <c r="C528" s="139">
        <v>302</v>
      </c>
      <c r="D528" s="248">
        <v>260.52600000000001</v>
      </c>
      <c r="E528" s="248">
        <v>279.0831</v>
      </c>
      <c r="F528" s="248">
        <v>287.70490000000001</v>
      </c>
      <c r="G528" s="248">
        <v>294.14710000000002</v>
      </c>
      <c r="H528" s="248">
        <v>304.70269999999999</v>
      </c>
      <c r="I528"/>
      <c r="J528"/>
      <c r="K528"/>
      <c r="L528"/>
      <c r="M528"/>
    </row>
    <row r="529" spans="3:13" hidden="1" outlineLevel="1" x14ac:dyDescent="0.2">
      <c r="C529" s="139">
        <v>303</v>
      </c>
      <c r="D529" s="248">
        <v>261.46379999999999</v>
      </c>
      <c r="E529" s="248">
        <v>280.06270000000001</v>
      </c>
      <c r="F529" s="248">
        <v>288.7038</v>
      </c>
      <c r="G529" s="248">
        <v>295.16269999999997</v>
      </c>
      <c r="H529" s="248">
        <v>305.74599999999998</v>
      </c>
      <c r="I529"/>
      <c r="J529"/>
      <c r="K529"/>
      <c r="L529"/>
      <c r="M529"/>
    </row>
    <row r="530" spans="3:13" hidden="1" outlineLevel="1" x14ac:dyDescent="0.2">
      <c r="C530" s="139">
        <v>304</v>
      </c>
      <c r="D530" s="248">
        <v>262.40210000000002</v>
      </c>
      <c r="E530" s="248">
        <v>281.04149999999998</v>
      </c>
      <c r="F530" s="248">
        <v>289.70420000000001</v>
      </c>
      <c r="G530" s="248">
        <v>296.17750000000001</v>
      </c>
      <c r="H530" s="248">
        <v>306.78949999999998</v>
      </c>
      <c r="I530"/>
      <c r="J530"/>
      <c r="K530"/>
      <c r="L530"/>
      <c r="M530"/>
    </row>
    <row r="531" spans="3:13" hidden="1" outlineLevel="1" x14ac:dyDescent="0.2">
      <c r="C531" s="139">
        <v>305</v>
      </c>
      <c r="D531" s="248">
        <v>263.34089999999998</v>
      </c>
      <c r="E531" s="248">
        <v>282.0206</v>
      </c>
      <c r="F531" s="248">
        <v>290.70370000000003</v>
      </c>
      <c r="G531" s="248">
        <v>297.1936</v>
      </c>
      <c r="H531" s="248">
        <v>307.83330000000001</v>
      </c>
      <c r="I531"/>
      <c r="J531"/>
      <c r="K531"/>
      <c r="L531"/>
      <c r="M531"/>
    </row>
    <row r="532" spans="3:13" hidden="1" outlineLevel="1" x14ac:dyDescent="0.2">
      <c r="C532" s="139">
        <v>306</v>
      </c>
      <c r="D532" s="248">
        <v>264.28019999999998</v>
      </c>
      <c r="E532" s="248">
        <v>282.99900000000002</v>
      </c>
      <c r="F532" s="248">
        <v>291.70350000000002</v>
      </c>
      <c r="G532" s="248">
        <v>298.20890000000003</v>
      </c>
      <c r="H532" s="248">
        <v>308.8759</v>
      </c>
      <c r="I532"/>
      <c r="J532"/>
      <c r="K532"/>
      <c r="L532"/>
      <c r="M532"/>
    </row>
    <row r="533" spans="3:13" hidden="1" outlineLevel="1" x14ac:dyDescent="0.2">
      <c r="C533" s="139">
        <v>307</v>
      </c>
      <c r="D533" s="248">
        <v>265.21879999999999</v>
      </c>
      <c r="E533" s="248">
        <v>283.97890000000001</v>
      </c>
      <c r="F533" s="248">
        <v>292.70249999999999</v>
      </c>
      <c r="G533" s="248">
        <v>299.2244</v>
      </c>
      <c r="H533" s="248">
        <v>309.92009999999999</v>
      </c>
      <c r="I533"/>
      <c r="J533"/>
      <c r="K533"/>
      <c r="L533"/>
      <c r="M533"/>
    </row>
    <row r="534" spans="3:13" hidden="1" outlineLevel="1" x14ac:dyDescent="0.2">
      <c r="C534" s="139">
        <v>308</v>
      </c>
      <c r="D534" s="248">
        <v>266.15789999999998</v>
      </c>
      <c r="E534" s="248">
        <v>284.9579</v>
      </c>
      <c r="F534" s="248">
        <v>293.70170000000002</v>
      </c>
      <c r="G534" s="248">
        <v>300.24020000000002</v>
      </c>
      <c r="H534" s="248">
        <v>310.96319999999997</v>
      </c>
      <c r="I534"/>
      <c r="J534"/>
      <c r="K534"/>
      <c r="L534"/>
      <c r="M534"/>
    </row>
    <row r="535" spans="3:13" hidden="1" outlineLevel="1" x14ac:dyDescent="0.2">
      <c r="C535" s="139">
        <v>309</v>
      </c>
      <c r="D535" s="248">
        <v>267.09629999999999</v>
      </c>
      <c r="E535" s="248">
        <v>285.93729999999999</v>
      </c>
      <c r="F535" s="248">
        <v>294.70249999999999</v>
      </c>
      <c r="G535" s="248">
        <v>301.25630000000001</v>
      </c>
      <c r="H535" s="248">
        <v>312.00659999999999</v>
      </c>
      <c r="I535"/>
      <c r="J535"/>
      <c r="K535"/>
      <c r="L535"/>
      <c r="M535"/>
    </row>
    <row r="536" spans="3:13" hidden="1" outlineLevel="1" x14ac:dyDescent="0.2">
      <c r="C536" s="139">
        <v>310</v>
      </c>
      <c r="D536" s="248">
        <v>268.03640000000001</v>
      </c>
      <c r="E536" s="248">
        <v>286.9171</v>
      </c>
      <c r="F536" s="248">
        <v>295.70229999999998</v>
      </c>
      <c r="G536" s="248">
        <v>302.27260000000001</v>
      </c>
      <c r="H536" s="248">
        <v>313.05009999999999</v>
      </c>
      <c r="I536"/>
      <c r="J536"/>
      <c r="K536"/>
      <c r="L536"/>
      <c r="M536"/>
    </row>
    <row r="537" spans="3:13" hidden="1" outlineLevel="1" x14ac:dyDescent="0.2">
      <c r="C537" s="139">
        <v>311</v>
      </c>
      <c r="D537" s="248">
        <v>268.97579999999999</v>
      </c>
      <c r="E537" s="248">
        <v>287.89600000000002</v>
      </c>
      <c r="F537" s="248">
        <v>296.7013</v>
      </c>
      <c r="G537" s="248">
        <v>303.28800000000001</v>
      </c>
      <c r="H537" s="248">
        <v>314.09390000000002</v>
      </c>
      <c r="I537"/>
      <c r="J537"/>
      <c r="K537"/>
      <c r="L537"/>
      <c r="M537"/>
    </row>
    <row r="538" spans="3:13" hidden="1" outlineLevel="1" x14ac:dyDescent="0.2">
      <c r="C538" s="139">
        <v>312</v>
      </c>
      <c r="D538" s="248">
        <v>269.9144</v>
      </c>
      <c r="E538" s="248">
        <v>288.87650000000002</v>
      </c>
      <c r="F538" s="248">
        <v>297.70170000000002</v>
      </c>
      <c r="G538" s="248">
        <v>304.30369999999999</v>
      </c>
      <c r="H538" s="248">
        <v>315.1379</v>
      </c>
      <c r="I538"/>
      <c r="J538"/>
      <c r="K538"/>
      <c r="L538"/>
      <c r="M538"/>
    </row>
    <row r="539" spans="3:13" hidden="1" outlineLevel="1" x14ac:dyDescent="0.2">
      <c r="C539" s="139">
        <v>313</v>
      </c>
      <c r="D539" s="248">
        <v>270.85480000000001</v>
      </c>
      <c r="E539" s="248">
        <v>289.85610000000003</v>
      </c>
      <c r="F539" s="248">
        <v>298.7013</v>
      </c>
      <c r="G539" s="248">
        <v>305.31959999999998</v>
      </c>
      <c r="H539" s="248">
        <v>316.18209999999999</v>
      </c>
      <c r="I539"/>
      <c r="J539"/>
      <c r="K539"/>
      <c r="L539"/>
      <c r="M539"/>
    </row>
    <row r="540" spans="3:13" hidden="1" outlineLevel="1" x14ac:dyDescent="0.2">
      <c r="C540" s="139">
        <v>314</v>
      </c>
      <c r="D540" s="248">
        <v>271.7944</v>
      </c>
      <c r="E540" s="248">
        <v>290.83609999999999</v>
      </c>
      <c r="F540" s="248">
        <v>299.70229999999998</v>
      </c>
      <c r="G540" s="248">
        <v>306.33580000000001</v>
      </c>
      <c r="H540" s="248">
        <v>317.22519999999997</v>
      </c>
      <c r="I540"/>
      <c r="J540"/>
      <c r="K540"/>
      <c r="L540"/>
      <c r="M540"/>
    </row>
    <row r="541" spans="3:13" hidden="1" outlineLevel="1" x14ac:dyDescent="0.2">
      <c r="C541" s="139">
        <v>315</v>
      </c>
      <c r="D541" s="248">
        <v>272.73329999999999</v>
      </c>
      <c r="E541" s="248">
        <v>291.8152</v>
      </c>
      <c r="F541" s="248">
        <v>300.70240000000001</v>
      </c>
      <c r="G541" s="248">
        <v>307.35219999999998</v>
      </c>
      <c r="H541" s="248">
        <v>318.26850000000002</v>
      </c>
      <c r="I541"/>
      <c r="J541"/>
      <c r="K541"/>
      <c r="L541"/>
      <c r="M541"/>
    </row>
    <row r="542" spans="3:13" hidden="1" outlineLevel="1" x14ac:dyDescent="0.2">
      <c r="C542" s="139">
        <v>316</v>
      </c>
      <c r="D542" s="248">
        <v>273.67380000000003</v>
      </c>
      <c r="E542" s="248">
        <v>292.79579999999999</v>
      </c>
      <c r="F542" s="248">
        <v>301.70159999999998</v>
      </c>
      <c r="G542" s="248">
        <v>308.36770000000001</v>
      </c>
      <c r="H542" s="248">
        <v>319.31330000000003</v>
      </c>
      <c r="I542"/>
      <c r="J542"/>
      <c r="K542"/>
      <c r="L542"/>
      <c r="M542"/>
    </row>
    <row r="543" spans="3:13" hidden="1" outlineLevel="1" x14ac:dyDescent="0.2">
      <c r="C543" s="139">
        <v>317</v>
      </c>
      <c r="D543" s="248">
        <v>274.61369999999999</v>
      </c>
      <c r="E543" s="248">
        <v>293.7756</v>
      </c>
      <c r="F543" s="248">
        <v>302.70229999999998</v>
      </c>
      <c r="G543" s="248">
        <v>309.38470000000001</v>
      </c>
      <c r="H543" s="248">
        <v>320.3571</v>
      </c>
      <c r="I543"/>
      <c r="J543"/>
      <c r="K543"/>
      <c r="L543"/>
      <c r="M543"/>
    </row>
    <row r="544" spans="3:13" hidden="1" outlineLevel="1" x14ac:dyDescent="0.2">
      <c r="C544" s="139">
        <v>318</v>
      </c>
      <c r="D544" s="248">
        <v>275.5539</v>
      </c>
      <c r="E544" s="248">
        <v>294.75569999999999</v>
      </c>
      <c r="F544" s="248">
        <v>303.70209999999997</v>
      </c>
      <c r="G544" s="248">
        <v>310.40069999999997</v>
      </c>
      <c r="H544" s="248">
        <v>321.40100000000001</v>
      </c>
      <c r="I544"/>
      <c r="J544"/>
      <c r="K544"/>
      <c r="L544"/>
      <c r="M544"/>
    </row>
    <row r="545" spans="3:13" hidden="1" outlineLevel="1" x14ac:dyDescent="0.2">
      <c r="C545" s="139">
        <v>319</v>
      </c>
      <c r="D545" s="248">
        <v>276.49349999999998</v>
      </c>
      <c r="E545" s="248">
        <v>295.73489999999998</v>
      </c>
      <c r="F545" s="248">
        <v>304.70339999999999</v>
      </c>
      <c r="G545" s="248">
        <v>311.41699999999997</v>
      </c>
      <c r="H545" s="248">
        <v>322.44389999999999</v>
      </c>
      <c r="I545"/>
      <c r="J545"/>
      <c r="K545"/>
      <c r="L545"/>
      <c r="M545"/>
    </row>
    <row r="546" spans="3:13" hidden="1" outlineLevel="1" x14ac:dyDescent="0.2">
      <c r="C546" s="139">
        <v>320</v>
      </c>
      <c r="D546" s="248">
        <v>277.43470000000002</v>
      </c>
      <c r="E546" s="248">
        <v>296.71570000000003</v>
      </c>
      <c r="F546" s="248">
        <v>305.70370000000003</v>
      </c>
      <c r="G546" s="248">
        <v>312.43349999999998</v>
      </c>
      <c r="H546" s="248">
        <v>323.48820000000001</v>
      </c>
      <c r="I546"/>
      <c r="J546"/>
      <c r="K546"/>
      <c r="L546"/>
      <c r="M546"/>
    </row>
    <row r="547" spans="3:13" hidden="1" outlineLevel="1" x14ac:dyDescent="0.2">
      <c r="C547" s="139">
        <v>321</v>
      </c>
      <c r="D547" s="248">
        <v>278.37509999999997</v>
      </c>
      <c r="E547" s="248">
        <v>297.69560000000001</v>
      </c>
      <c r="F547" s="248">
        <v>306.70310000000001</v>
      </c>
      <c r="G547" s="248">
        <v>313.44900000000001</v>
      </c>
      <c r="H547" s="248">
        <v>324.53280000000001</v>
      </c>
      <c r="I547"/>
      <c r="J547"/>
      <c r="K547"/>
      <c r="L547"/>
      <c r="M547"/>
    </row>
    <row r="548" spans="3:13" hidden="1" outlineLevel="1" x14ac:dyDescent="0.2">
      <c r="C548" s="139">
        <v>322</v>
      </c>
      <c r="D548" s="248">
        <v>279.31610000000001</v>
      </c>
      <c r="E548" s="248">
        <v>298.67579999999998</v>
      </c>
      <c r="F548" s="248">
        <v>307.70409999999998</v>
      </c>
      <c r="G548" s="248">
        <v>314.46600000000001</v>
      </c>
      <c r="H548" s="248">
        <v>325.57619999999997</v>
      </c>
      <c r="I548"/>
      <c r="J548"/>
      <c r="K548"/>
      <c r="L548"/>
      <c r="M548"/>
    </row>
    <row r="549" spans="3:13" hidden="1" outlineLevel="1" x14ac:dyDescent="0.2">
      <c r="C549" s="139">
        <v>323</v>
      </c>
      <c r="D549" s="248">
        <v>280.25619999999998</v>
      </c>
      <c r="E549" s="248">
        <v>299.65640000000002</v>
      </c>
      <c r="F549" s="248">
        <v>308.70400000000001</v>
      </c>
      <c r="G549" s="248">
        <v>315.4821</v>
      </c>
      <c r="H549" s="248">
        <v>326.61989999999997</v>
      </c>
      <c r="I549"/>
      <c r="J549"/>
      <c r="K549"/>
      <c r="L549"/>
      <c r="M549"/>
    </row>
    <row r="550" spans="3:13" hidden="1" outlineLevel="1" x14ac:dyDescent="0.2">
      <c r="C550" s="139">
        <v>324</v>
      </c>
      <c r="D550" s="248">
        <v>281.1968</v>
      </c>
      <c r="E550" s="248">
        <v>300.63720000000001</v>
      </c>
      <c r="F550" s="248">
        <v>309.70549999999997</v>
      </c>
      <c r="G550" s="248">
        <v>316.49829999999997</v>
      </c>
      <c r="H550" s="248">
        <v>327.66370000000001</v>
      </c>
      <c r="I550"/>
      <c r="J550"/>
      <c r="K550"/>
      <c r="L550"/>
      <c r="M550"/>
    </row>
    <row r="551" spans="3:13" hidden="1" outlineLevel="1" x14ac:dyDescent="0.2">
      <c r="C551" s="139">
        <v>325</v>
      </c>
      <c r="D551" s="248">
        <v>282.13780000000003</v>
      </c>
      <c r="E551" s="248">
        <v>301.61720000000003</v>
      </c>
      <c r="F551" s="248">
        <v>310.70600000000002</v>
      </c>
      <c r="G551" s="248">
        <v>317.51479999999998</v>
      </c>
      <c r="H551" s="248">
        <v>328.70769999999999</v>
      </c>
      <c r="I551"/>
      <c r="J551"/>
      <c r="K551"/>
      <c r="L551"/>
      <c r="M551"/>
    </row>
    <row r="552" spans="3:13" hidden="1" outlineLevel="1" x14ac:dyDescent="0.2">
      <c r="C552" s="139">
        <v>326</v>
      </c>
      <c r="D552" s="248">
        <v>283.07929999999999</v>
      </c>
      <c r="E552" s="248">
        <v>302.59870000000001</v>
      </c>
      <c r="F552" s="248">
        <v>311.70679999999999</v>
      </c>
      <c r="G552" s="248">
        <v>318.53160000000003</v>
      </c>
      <c r="H552" s="248">
        <v>329.75200000000001</v>
      </c>
      <c r="I552"/>
      <c r="J552"/>
      <c r="K552"/>
      <c r="L552"/>
      <c r="M552"/>
    </row>
    <row r="553" spans="3:13" hidden="1" outlineLevel="1" x14ac:dyDescent="0.2">
      <c r="C553" s="139">
        <v>327</v>
      </c>
      <c r="D553" s="248">
        <v>284.02</v>
      </c>
      <c r="E553" s="248">
        <v>303.57929999999999</v>
      </c>
      <c r="F553" s="248">
        <v>312.70780000000002</v>
      </c>
      <c r="G553" s="248">
        <v>319.54860000000002</v>
      </c>
      <c r="H553" s="248">
        <v>330.79640000000001</v>
      </c>
      <c r="I553"/>
      <c r="J553"/>
      <c r="K553"/>
      <c r="L553"/>
      <c r="M553"/>
    </row>
    <row r="554" spans="3:13" hidden="1" outlineLevel="1" x14ac:dyDescent="0.2">
      <c r="C554" s="139">
        <v>328</v>
      </c>
      <c r="D554" s="248">
        <v>284.96109999999999</v>
      </c>
      <c r="E554" s="248">
        <v>304.56029999999998</v>
      </c>
      <c r="F554" s="248">
        <v>313.7079</v>
      </c>
      <c r="G554" s="248">
        <v>320.56459999999998</v>
      </c>
      <c r="H554" s="248">
        <v>331.84109999999998</v>
      </c>
      <c r="I554"/>
      <c r="J554"/>
      <c r="K554"/>
      <c r="L554"/>
      <c r="M554"/>
    </row>
    <row r="555" spans="3:13" hidden="1" outlineLevel="1" x14ac:dyDescent="0.2">
      <c r="C555" s="139">
        <v>329</v>
      </c>
      <c r="D555" s="248">
        <v>285.90269999999998</v>
      </c>
      <c r="E555" s="248">
        <v>305.5403</v>
      </c>
      <c r="F555" s="248">
        <v>314.70949999999999</v>
      </c>
      <c r="G555" s="248">
        <v>321.58210000000003</v>
      </c>
      <c r="H555" s="248">
        <v>332.8845</v>
      </c>
      <c r="I555"/>
      <c r="J555"/>
      <c r="K555"/>
      <c r="L555"/>
      <c r="M555"/>
    </row>
    <row r="556" spans="3:13" hidden="1" outlineLevel="1" x14ac:dyDescent="0.2">
      <c r="C556" s="139">
        <v>330</v>
      </c>
      <c r="D556" s="248">
        <v>286.84469999999999</v>
      </c>
      <c r="E556" s="248">
        <v>306.52179999999998</v>
      </c>
      <c r="F556" s="248">
        <v>315.71019999999999</v>
      </c>
      <c r="G556" s="248">
        <v>322.59859999999998</v>
      </c>
      <c r="H556" s="248">
        <v>333.92959999999999</v>
      </c>
      <c r="I556"/>
      <c r="J556"/>
      <c r="K556"/>
      <c r="L556"/>
      <c r="M556"/>
    </row>
    <row r="557" spans="3:13" hidden="1" outlineLevel="1" x14ac:dyDescent="0.2">
      <c r="C557" s="139">
        <v>331</v>
      </c>
      <c r="D557" s="248">
        <v>287.78590000000003</v>
      </c>
      <c r="E557" s="248">
        <v>307.50240000000002</v>
      </c>
      <c r="F557" s="248">
        <v>316.71109999999999</v>
      </c>
      <c r="G557" s="248">
        <v>323.61529999999999</v>
      </c>
      <c r="H557" s="248">
        <v>334.97340000000003</v>
      </c>
      <c r="I557"/>
      <c r="J557"/>
      <c r="K557"/>
      <c r="L557"/>
      <c r="M557"/>
    </row>
    <row r="558" spans="3:13" hidden="1" outlineLevel="1" x14ac:dyDescent="0.2">
      <c r="C558" s="139">
        <v>332</v>
      </c>
      <c r="D558" s="248">
        <v>288.7276</v>
      </c>
      <c r="E558" s="248">
        <v>308.48340000000002</v>
      </c>
      <c r="F558" s="248">
        <v>317.7122</v>
      </c>
      <c r="G558" s="248">
        <v>324.63229999999999</v>
      </c>
      <c r="H558" s="248">
        <v>336.01749999999998</v>
      </c>
      <c r="I558"/>
      <c r="J558"/>
      <c r="K558"/>
      <c r="L558"/>
      <c r="M558"/>
    </row>
    <row r="559" spans="3:13" hidden="1" outlineLevel="1" x14ac:dyDescent="0.2">
      <c r="C559" s="139">
        <v>333</v>
      </c>
      <c r="D559" s="248">
        <v>289.6696</v>
      </c>
      <c r="E559" s="248">
        <v>309.46460000000002</v>
      </c>
      <c r="F559" s="248">
        <v>318.7124</v>
      </c>
      <c r="G559" s="248">
        <v>325.64819999999997</v>
      </c>
      <c r="H559" s="248">
        <v>337.06169999999997</v>
      </c>
      <c r="I559"/>
      <c r="J559"/>
      <c r="K559"/>
      <c r="L559"/>
      <c r="M559"/>
    </row>
    <row r="560" spans="3:13" hidden="1" outlineLevel="1" x14ac:dyDescent="0.2">
      <c r="C560" s="139">
        <v>334</v>
      </c>
      <c r="D560" s="248">
        <v>290.61090000000002</v>
      </c>
      <c r="E560" s="248">
        <v>310.44619999999998</v>
      </c>
      <c r="F560" s="248">
        <v>319.71409999999997</v>
      </c>
      <c r="G560" s="248">
        <v>326.66559999999998</v>
      </c>
      <c r="H560" s="248">
        <v>338.10610000000003</v>
      </c>
      <c r="I560"/>
      <c r="J560"/>
      <c r="K560"/>
      <c r="L560"/>
      <c r="M560"/>
    </row>
    <row r="561" spans="3:13" hidden="1" outlineLevel="1" x14ac:dyDescent="0.2">
      <c r="C561" s="139">
        <v>335</v>
      </c>
      <c r="D561" s="248">
        <v>291.55380000000002</v>
      </c>
      <c r="E561" s="248">
        <v>311.42680000000001</v>
      </c>
      <c r="F561" s="248">
        <v>320.71469999999999</v>
      </c>
      <c r="G561" s="248">
        <v>327.68200000000002</v>
      </c>
      <c r="H561" s="248">
        <v>339.1508</v>
      </c>
      <c r="I561"/>
      <c r="J561"/>
      <c r="K561"/>
      <c r="L561"/>
      <c r="M561"/>
    </row>
    <row r="562" spans="3:13" hidden="1" outlineLevel="1" x14ac:dyDescent="0.2">
      <c r="C562" s="139">
        <v>336</v>
      </c>
      <c r="D562" s="248">
        <v>292.49590000000001</v>
      </c>
      <c r="E562" s="248">
        <v>312.40769999999998</v>
      </c>
      <c r="F562" s="248">
        <v>321.71690000000001</v>
      </c>
      <c r="G562" s="248">
        <v>328.69990000000001</v>
      </c>
      <c r="H562" s="248">
        <v>340.19420000000002</v>
      </c>
      <c r="I562"/>
      <c r="J562"/>
      <c r="K562"/>
      <c r="L562"/>
      <c r="M562"/>
    </row>
    <row r="563" spans="3:13" hidden="1" outlineLevel="1" x14ac:dyDescent="0.2">
      <c r="C563" s="139">
        <v>337</v>
      </c>
      <c r="D563" s="248">
        <v>293.4384</v>
      </c>
      <c r="E563" s="248">
        <v>313.39019999999999</v>
      </c>
      <c r="F563" s="248">
        <v>322.71809999999999</v>
      </c>
      <c r="G563" s="248">
        <v>329.7167</v>
      </c>
      <c r="H563" s="248">
        <v>341.23919999999998</v>
      </c>
      <c r="I563"/>
      <c r="J563"/>
      <c r="K563"/>
      <c r="L563"/>
      <c r="M563"/>
    </row>
    <row r="564" spans="3:13" hidden="1" outlineLevel="1" x14ac:dyDescent="0.2">
      <c r="C564" s="139">
        <v>338</v>
      </c>
      <c r="D564" s="248">
        <v>294.38</v>
      </c>
      <c r="E564" s="248">
        <v>314.37169999999998</v>
      </c>
      <c r="F564" s="248">
        <v>323.7183</v>
      </c>
      <c r="G564" s="248">
        <v>330.73379999999997</v>
      </c>
      <c r="H564" s="248">
        <v>342.28300000000002</v>
      </c>
      <c r="I564"/>
      <c r="J564"/>
      <c r="K564"/>
      <c r="L564"/>
      <c r="M564"/>
    </row>
    <row r="565" spans="3:13" hidden="1" outlineLevel="1" x14ac:dyDescent="0.2">
      <c r="C565" s="139">
        <v>339</v>
      </c>
      <c r="D565" s="248">
        <v>295.32209999999998</v>
      </c>
      <c r="E565" s="248">
        <v>315.35219999999998</v>
      </c>
      <c r="F565" s="248">
        <v>324.72000000000003</v>
      </c>
      <c r="G565" s="248">
        <v>331.75110000000001</v>
      </c>
      <c r="H565" s="248">
        <v>343.32830000000001</v>
      </c>
      <c r="I565"/>
      <c r="J565"/>
      <c r="K565"/>
      <c r="L565"/>
      <c r="M565"/>
    </row>
    <row r="566" spans="3:13" hidden="1" outlineLevel="1" x14ac:dyDescent="0.2">
      <c r="C566" s="139">
        <v>340</v>
      </c>
      <c r="D566" s="248">
        <v>296.26589999999999</v>
      </c>
      <c r="E566" s="248">
        <v>316.33429999999998</v>
      </c>
      <c r="F566" s="248">
        <v>325.72199999999998</v>
      </c>
      <c r="G566" s="248">
        <v>332.76729999999998</v>
      </c>
      <c r="H566" s="248">
        <v>344.3725</v>
      </c>
      <c r="I566"/>
      <c r="J566"/>
      <c r="K566"/>
      <c r="L566"/>
      <c r="M566"/>
    </row>
    <row r="567" spans="3:13" hidden="1" outlineLevel="1" x14ac:dyDescent="0.2">
      <c r="C567" s="139">
        <v>341</v>
      </c>
      <c r="D567" s="248">
        <v>297.20749999999998</v>
      </c>
      <c r="E567" s="248">
        <v>317.31549999999999</v>
      </c>
      <c r="F567" s="248">
        <v>326.72289999999998</v>
      </c>
      <c r="G567" s="248">
        <v>333.78500000000003</v>
      </c>
      <c r="H567" s="248">
        <v>345.41680000000002</v>
      </c>
      <c r="I567"/>
      <c r="J567"/>
      <c r="K567"/>
      <c r="L567"/>
      <c r="M567"/>
    </row>
    <row r="568" spans="3:13" hidden="1" outlineLevel="1" x14ac:dyDescent="0.2">
      <c r="C568" s="139">
        <v>342</v>
      </c>
      <c r="D568" s="248">
        <v>298.15089999999998</v>
      </c>
      <c r="E568" s="248">
        <v>318.29689999999999</v>
      </c>
      <c r="F568" s="248">
        <v>327.72410000000002</v>
      </c>
      <c r="G568" s="248">
        <v>334.80169999999998</v>
      </c>
      <c r="H568" s="248">
        <v>346.46140000000003</v>
      </c>
      <c r="I568"/>
      <c r="J568"/>
      <c r="K568"/>
      <c r="L568"/>
      <c r="M568"/>
    </row>
    <row r="569" spans="3:13" hidden="1" outlineLevel="1" x14ac:dyDescent="0.2">
      <c r="C569" s="139">
        <v>343</v>
      </c>
      <c r="D569" s="248">
        <v>299.0933</v>
      </c>
      <c r="E569" s="248">
        <v>319.27859999999998</v>
      </c>
      <c r="F569" s="248">
        <v>328.72559999999999</v>
      </c>
      <c r="G569" s="248">
        <v>335.81990000000002</v>
      </c>
      <c r="H569" s="248">
        <v>347.5061</v>
      </c>
      <c r="I569"/>
      <c r="J569"/>
      <c r="K569"/>
      <c r="L569"/>
      <c r="M569"/>
    </row>
    <row r="570" spans="3:13" hidden="1" outlineLevel="1" x14ac:dyDescent="0.2">
      <c r="C570" s="139">
        <v>344</v>
      </c>
      <c r="D570" s="248">
        <v>300.03609999999998</v>
      </c>
      <c r="E570" s="248">
        <v>320.26060000000001</v>
      </c>
      <c r="F570" s="248">
        <v>329.72719999999998</v>
      </c>
      <c r="G570" s="248">
        <v>336.83710000000002</v>
      </c>
      <c r="H570" s="248">
        <v>348.55099999999999</v>
      </c>
      <c r="I570"/>
      <c r="J570"/>
      <c r="K570"/>
      <c r="L570"/>
      <c r="M570"/>
    </row>
    <row r="571" spans="3:13" hidden="1" outlineLevel="1" x14ac:dyDescent="0.2">
      <c r="C571" s="139">
        <v>345</v>
      </c>
      <c r="D571" s="248">
        <v>300.9794</v>
      </c>
      <c r="E571" s="248">
        <v>321.24299999999999</v>
      </c>
      <c r="F571" s="248">
        <v>330.72919999999999</v>
      </c>
      <c r="G571" s="248">
        <v>337.8544</v>
      </c>
      <c r="H571" s="248">
        <v>349.59460000000001</v>
      </c>
      <c r="I571"/>
      <c r="J571"/>
      <c r="K571"/>
      <c r="L571"/>
      <c r="M571"/>
    </row>
    <row r="572" spans="3:13" hidden="1" outlineLevel="1" x14ac:dyDescent="0.2">
      <c r="C572" s="139">
        <v>346</v>
      </c>
      <c r="D572" s="248">
        <v>301.92309999999998</v>
      </c>
      <c r="E572" s="248">
        <v>322.2242</v>
      </c>
      <c r="F572" s="248">
        <v>331.73140000000001</v>
      </c>
      <c r="G572" s="248">
        <v>338.87060000000002</v>
      </c>
      <c r="H572" s="248">
        <v>350.63990000000001</v>
      </c>
      <c r="I572"/>
      <c r="J572"/>
      <c r="K572"/>
      <c r="L572"/>
      <c r="M572"/>
    </row>
    <row r="573" spans="3:13" hidden="1" outlineLevel="1" x14ac:dyDescent="0.2">
      <c r="C573" s="139">
        <v>347</v>
      </c>
      <c r="D573" s="248">
        <v>302.86590000000001</v>
      </c>
      <c r="E573" s="248">
        <v>323.2072</v>
      </c>
      <c r="F573" s="248">
        <v>332.73250000000002</v>
      </c>
      <c r="G573" s="248">
        <v>339.88839999999999</v>
      </c>
      <c r="H573" s="248">
        <v>351.68380000000002</v>
      </c>
      <c r="I573"/>
      <c r="J573"/>
      <c r="K573"/>
      <c r="L573"/>
      <c r="M573"/>
    </row>
    <row r="574" spans="3:13" hidden="1" outlineLevel="1" x14ac:dyDescent="0.2">
      <c r="C574" s="139">
        <v>348</v>
      </c>
      <c r="D574" s="248">
        <v>303.80900000000003</v>
      </c>
      <c r="E574" s="248">
        <v>324.18900000000002</v>
      </c>
      <c r="F574" s="248">
        <v>333.73520000000002</v>
      </c>
      <c r="G574" s="248">
        <v>340.90640000000002</v>
      </c>
      <c r="H574" s="248">
        <v>352.72949999999997</v>
      </c>
      <c r="I574"/>
      <c r="J574"/>
      <c r="K574"/>
      <c r="L574"/>
      <c r="M574"/>
    </row>
    <row r="575" spans="3:13" hidden="1" outlineLevel="1" x14ac:dyDescent="0.2">
      <c r="C575" s="139">
        <v>349</v>
      </c>
      <c r="D575" s="248">
        <v>304.75259999999997</v>
      </c>
      <c r="E575" s="248">
        <v>325.1712</v>
      </c>
      <c r="F575" s="248">
        <v>334.73680000000002</v>
      </c>
      <c r="G575" s="248">
        <v>341.92329999999998</v>
      </c>
      <c r="H575" s="248">
        <v>353.77379999999999</v>
      </c>
      <c r="I575"/>
      <c r="J575"/>
      <c r="K575"/>
      <c r="L575"/>
      <c r="M575"/>
    </row>
    <row r="576" spans="3:13" hidden="1" outlineLevel="1" x14ac:dyDescent="0.2">
      <c r="C576" s="139">
        <v>350</v>
      </c>
      <c r="D576" s="248">
        <v>305.69659999999999</v>
      </c>
      <c r="E576" s="248">
        <v>326.15230000000003</v>
      </c>
      <c r="F576" s="248">
        <v>335.73869999999999</v>
      </c>
      <c r="G576" s="248">
        <v>342.94040000000001</v>
      </c>
      <c r="H576" s="248">
        <v>354.81830000000002</v>
      </c>
      <c r="I576"/>
      <c r="J576"/>
      <c r="K576"/>
      <c r="L576"/>
      <c r="M576"/>
    </row>
    <row r="577" spans="3:13" hidden="1" outlineLevel="1" x14ac:dyDescent="0.2">
      <c r="C577" s="139">
        <v>351</v>
      </c>
      <c r="D577" s="248">
        <v>306.63959999999997</v>
      </c>
      <c r="E577" s="248">
        <v>327.13510000000002</v>
      </c>
      <c r="F577" s="248">
        <v>336.74079999999998</v>
      </c>
      <c r="G577" s="248">
        <v>343.95909999999998</v>
      </c>
      <c r="H577" s="248">
        <v>355.863</v>
      </c>
      <c r="I577"/>
      <c r="J577"/>
      <c r="K577"/>
      <c r="L577"/>
      <c r="M577"/>
    </row>
    <row r="578" spans="3:13" hidden="1" outlineLevel="1" x14ac:dyDescent="0.2">
      <c r="C578" s="139">
        <v>352</v>
      </c>
      <c r="D578" s="248">
        <v>307.58440000000002</v>
      </c>
      <c r="E578" s="248">
        <v>328.11810000000003</v>
      </c>
      <c r="F578" s="248">
        <v>337.74180000000001</v>
      </c>
      <c r="G578" s="248">
        <v>344.97660000000002</v>
      </c>
      <c r="H578" s="248">
        <v>356.90789999999998</v>
      </c>
      <c r="I578"/>
      <c r="J578"/>
      <c r="K578"/>
      <c r="L578"/>
      <c r="M578"/>
    </row>
    <row r="579" spans="3:13" hidden="1" outlineLevel="1" x14ac:dyDescent="0.2">
      <c r="C579" s="139">
        <v>353</v>
      </c>
      <c r="D579" s="248">
        <v>308.5283</v>
      </c>
      <c r="E579" s="248">
        <v>329.1001</v>
      </c>
      <c r="F579" s="248">
        <v>338.74430000000001</v>
      </c>
      <c r="G579" s="248">
        <v>345.99439999999998</v>
      </c>
      <c r="H579" s="248">
        <v>357.95299999999997</v>
      </c>
      <c r="I579"/>
      <c r="J579"/>
      <c r="K579"/>
      <c r="L579"/>
      <c r="M579"/>
    </row>
    <row r="580" spans="3:13" hidden="1" outlineLevel="1" x14ac:dyDescent="0.2">
      <c r="C580" s="139">
        <v>354</v>
      </c>
      <c r="D580" s="248">
        <v>309.47250000000003</v>
      </c>
      <c r="E580" s="248">
        <v>330.08229999999998</v>
      </c>
      <c r="F580" s="248">
        <v>339.74579999999997</v>
      </c>
      <c r="G580" s="248">
        <v>347.01100000000002</v>
      </c>
      <c r="H580" s="248">
        <v>358.9982</v>
      </c>
      <c r="I580"/>
      <c r="J580"/>
      <c r="K580"/>
      <c r="L580"/>
      <c r="M580"/>
    </row>
    <row r="581" spans="3:13" hidden="1" outlineLevel="1" x14ac:dyDescent="0.2">
      <c r="C581" s="139">
        <v>355</v>
      </c>
      <c r="D581" s="248">
        <v>310.41579999999999</v>
      </c>
      <c r="E581" s="248">
        <v>331.06490000000002</v>
      </c>
      <c r="F581" s="248">
        <v>340.74889999999999</v>
      </c>
      <c r="G581" s="248">
        <v>348.0292</v>
      </c>
      <c r="H581" s="248">
        <v>360.0421</v>
      </c>
      <c r="I581"/>
      <c r="J581"/>
      <c r="K581"/>
      <c r="L581"/>
      <c r="M581"/>
    </row>
    <row r="582" spans="3:13" hidden="1" outlineLevel="1" x14ac:dyDescent="0.2">
      <c r="C582" s="139">
        <v>356</v>
      </c>
      <c r="D582" s="248">
        <v>311.36079999999998</v>
      </c>
      <c r="E582" s="248">
        <v>332.04770000000002</v>
      </c>
      <c r="F582" s="248">
        <v>341.75080000000003</v>
      </c>
      <c r="G582" s="248">
        <v>349.0462</v>
      </c>
      <c r="H582" s="248">
        <v>361.08769999999998</v>
      </c>
      <c r="I582"/>
      <c r="J582"/>
      <c r="K582"/>
      <c r="L582"/>
      <c r="M582"/>
    </row>
    <row r="583" spans="3:13" hidden="1" outlineLevel="1" x14ac:dyDescent="0.2">
      <c r="C583" s="139">
        <v>357</v>
      </c>
      <c r="D583" s="248">
        <v>312.30489999999998</v>
      </c>
      <c r="E583" s="248">
        <v>333.02949999999998</v>
      </c>
      <c r="F583" s="248">
        <v>342.75299999999999</v>
      </c>
      <c r="G583" s="248">
        <v>350.06479999999999</v>
      </c>
      <c r="H583" s="248">
        <v>362.13189999999997</v>
      </c>
      <c r="I583"/>
      <c r="J583"/>
      <c r="K583"/>
      <c r="L583"/>
      <c r="M583"/>
    </row>
    <row r="584" spans="3:13" hidden="1" outlineLevel="1" x14ac:dyDescent="0.2">
      <c r="C584" s="139">
        <v>358</v>
      </c>
      <c r="D584" s="248">
        <v>313.24930000000001</v>
      </c>
      <c r="E584" s="248">
        <v>334.01280000000003</v>
      </c>
      <c r="F584" s="248">
        <v>343.75549999999998</v>
      </c>
      <c r="G584" s="248">
        <v>351.0822</v>
      </c>
      <c r="H584" s="248">
        <v>363.17779999999999</v>
      </c>
      <c r="I584"/>
      <c r="J584"/>
      <c r="K584"/>
      <c r="L584"/>
      <c r="M584"/>
    </row>
    <row r="585" spans="3:13" hidden="1" outlineLevel="1" x14ac:dyDescent="0.2">
      <c r="C585" s="139">
        <v>359</v>
      </c>
      <c r="D585" s="248">
        <v>314.19279999999998</v>
      </c>
      <c r="E585" s="248">
        <v>334.99509999999998</v>
      </c>
      <c r="F585" s="248">
        <v>344.7568</v>
      </c>
      <c r="G585" s="248">
        <v>352.09989999999999</v>
      </c>
      <c r="H585" s="248">
        <v>364.22239999999999</v>
      </c>
      <c r="I585"/>
      <c r="J585"/>
      <c r="K585"/>
      <c r="L585"/>
      <c r="M585"/>
    </row>
    <row r="586" spans="3:13" hidden="1" outlineLevel="1" x14ac:dyDescent="0.2">
      <c r="C586" s="139">
        <v>360</v>
      </c>
      <c r="D586" s="248">
        <v>315.13799999999998</v>
      </c>
      <c r="E586" s="248">
        <v>335.97770000000003</v>
      </c>
      <c r="F586" s="248">
        <v>345.75970000000001</v>
      </c>
      <c r="G586" s="248">
        <v>353.11779999999999</v>
      </c>
      <c r="H586" s="248">
        <v>365.2672</v>
      </c>
      <c r="I586"/>
      <c r="J586"/>
      <c r="K586"/>
      <c r="L586"/>
      <c r="M586"/>
    </row>
    <row r="587" spans="3:13" hidden="1" outlineLevel="1" x14ac:dyDescent="0.2">
      <c r="C587" s="139">
        <v>361</v>
      </c>
      <c r="D587" s="248">
        <v>316.08229999999998</v>
      </c>
      <c r="E587" s="248">
        <v>336.9606</v>
      </c>
      <c r="F587" s="248">
        <v>346.76139999999998</v>
      </c>
      <c r="G587" s="248">
        <v>354.13580000000002</v>
      </c>
      <c r="H587" s="248">
        <v>366.31209999999999</v>
      </c>
      <c r="I587"/>
      <c r="J587"/>
      <c r="K587"/>
      <c r="L587"/>
      <c r="M587"/>
    </row>
    <row r="588" spans="3:13" hidden="1" outlineLevel="1" x14ac:dyDescent="0.2">
      <c r="C588" s="139">
        <v>362</v>
      </c>
      <c r="D588" s="248">
        <v>317.02690000000001</v>
      </c>
      <c r="E588" s="248">
        <v>337.94369999999998</v>
      </c>
      <c r="F588" s="248">
        <v>347.76479999999998</v>
      </c>
      <c r="G588" s="248">
        <v>355.15410000000003</v>
      </c>
      <c r="H588" s="248">
        <v>367.35719999999998</v>
      </c>
      <c r="I588"/>
      <c r="J588"/>
      <c r="K588"/>
      <c r="L588"/>
      <c r="M588"/>
    </row>
    <row r="589" spans="3:13" hidden="1" outlineLevel="1" x14ac:dyDescent="0.2">
      <c r="C589" s="139">
        <v>363</v>
      </c>
      <c r="D589" s="248">
        <v>317.97190000000001</v>
      </c>
      <c r="E589" s="248">
        <v>338.9271</v>
      </c>
      <c r="F589" s="248">
        <v>348.767</v>
      </c>
      <c r="G589" s="248">
        <v>356.1712</v>
      </c>
      <c r="H589" s="248">
        <v>368.40249999999997</v>
      </c>
      <c r="I589"/>
      <c r="J589"/>
      <c r="K589"/>
      <c r="L589"/>
      <c r="M589"/>
    </row>
    <row r="590" spans="3:13" hidden="1" outlineLevel="1" x14ac:dyDescent="0.2">
      <c r="C590" s="139">
        <v>364</v>
      </c>
      <c r="D590" s="248">
        <v>318.91730000000001</v>
      </c>
      <c r="E590" s="248">
        <v>339.90940000000001</v>
      </c>
      <c r="F590" s="248">
        <v>349.76940000000002</v>
      </c>
      <c r="G590" s="248">
        <v>357.18990000000002</v>
      </c>
      <c r="H590" s="248">
        <v>369.4479</v>
      </c>
      <c r="I590"/>
      <c r="J590"/>
      <c r="K590"/>
      <c r="L590"/>
      <c r="M590"/>
    </row>
    <row r="591" spans="3:13" hidden="1" outlineLevel="1" x14ac:dyDescent="0.2">
      <c r="C591" s="139">
        <v>365</v>
      </c>
      <c r="D591" s="248">
        <v>319.86160000000001</v>
      </c>
      <c r="E591" s="248">
        <v>340.89330000000001</v>
      </c>
      <c r="F591" s="248">
        <v>350.77210000000002</v>
      </c>
      <c r="G591" s="248">
        <v>358.20729999999998</v>
      </c>
      <c r="H591" s="248">
        <v>370.49200000000002</v>
      </c>
      <c r="I591"/>
      <c r="J591"/>
      <c r="K591"/>
      <c r="L591"/>
      <c r="M591"/>
    </row>
    <row r="592" spans="3:13" hidden="1" outlineLevel="1" x14ac:dyDescent="0.2">
      <c r="C592" s="139">
        <v>366</v>
      </c>
      <c r="D592" s="248">
        <v>320.80779999999999</v>
      </c>
      <c r="E592" s="248">
        <v>341.87610000000001</v>
      </c>
      <c r="F592" s="248">
        <v>351.77359999999999</v>
      </c>
      <c r="G592" s="248">
        <v>359.22640000000001</v>
      </c>
      <c r="H592" s="248">
        <v>371.53769999999997</v>
      </c>
      <c r="I592"/>
      <c r="J592"/>
      <c r="K592"/>
      <c r="L592"/>
      <c r="M592"/>
    </row>
    <row r="593" spans="3:13" hidden="1" outlineLevel="1" x14ac:dyDescent="0.2">
      <c r="C593" s="139">
        <v>367</v>
      </c>
      <c r="D593" s="248">
        <v>321.75290000000001</v>
      </c>
      <c r="E593" s="248">
        <v>342.85919999999999</v>
      </c>
      <c r="F593" s="248">
        <v>352.77679999999998</v>
      </c>
      <c r="G593" s="248">
        <v>360.24430000000001</v>
      </c>
      <c r="H593" s="248">
        <v>372.58210000000003</v>
      </c>
      <c r="I593"/>
      <c r="J593"/>
      <c r="K593"/>
      <c r="L593"/>
      <c r="M593"/>
    </row>
    <row r="594" spans="3:13" hidden="1" outlineLevel="1" x14ac:dyDescent="0.2">
      <c r="C594" s="139">
        <v>368</v>
      </c>
      <c r="D594" s="248">
        <v>322.697</v>
      </c>
      <c r="E594" s="248">
        <v>343.8426</v>
      </c>
      <c r="F594" s="248">
        <v>353.7801</v>
      </c>
      <c r="G594" s="248">
        <v>361.26240000000001</v>
      </c>
      <c r="H594" s="248">
        <v>373.62819999999999</v>
      </c>
      <c r="I594"/>
      <c r="J594"/>
      <c r="K594"/>
      <c r="L594"/>
      <c r="M594"/>
    </row>
    <row r="595" spans="3:13" hidden="1" outlineLevel="1" x14ac:dyDescent="0.2">
      <c r="C595" s="139">
        <v>369</v>
      </c>
      <c r="D595" s="248">
        <v>323.6429</v>
      </c>
      <c r="E595" s="248">
        <v>344.82479999999998</v>
      </c>
      <c r="F595" s="248">
        <v>354.78230000000002</v>
      </c>
      <c r="G595" s="248">
        <v>362.28070000000002</v>
      </c>
      <c r="H595" s="248">
        <v>374.67290000000003</v>
      </c>
      <c r="I595"/>
      <c r="J595"/>
      <c r="K595"/>
      <c r="L595"/>
      <c r="M595"/>
    </row>
    <row r="596" spans="3:13" hidden="1" outlineLevel="1" x14ac:dyDescent="0.2">
      <c r="C596" s="139">
        <v>370</v>
      </c>
      <c r="D596" s="248">
        <v>324.58909999999997</v>
      </c>
      <c r="E596" s="248">
        <v>345.80869999999999</v>
      </c>
      <c r="F596" s="248">
        <v>355.78469999999999</v>
      </c>
      <c r="G596" s="248">
        <v>363.2978</v>
      </c>
      <c r="H596" s="248">
        <v>375.71780000000001</v>
      </c>
      <c r="I596"/>
      <c r="J596"/>
      <c r="K596"/>
      <c r="L596"/>
      <c r="M596"/>
    </row>
    <row r="597" spans="3:13" hidden="1" outlineLevel="1" x14ac:dyDescent="0.2">
      <c r="C597" s="139">
        <v>371</v>
      </c>
      <c r="D597" s="248">
        <v>325.53429999999997</v>
      </c>
      <c r="E597" s="248">
        <v>346.79140000000001</v>
      </c>
      <c r="F597" s="248">
        <v>356.78730000000002</v>
      </c>
      <c r="G597" s="248">
        <v>364.31650000000002</v>
      </c>
      <c r="H597" s="248">
        <v>376.76440000000002</v>
      </c>
      <c r="I597"/>
      <c r="J597"/>
      <c r="K597"/>
      <c r="L597"/>
      <c r="M597"/>
    </row>
    <row r="598" spans="3:13" hidden="1" outlineLevel="1" x14ac:dyDescent="0.2">
      <c r="C598" s="139">
        <v>372</v>
      </c>
      <c r="D598" s="248">
        <v>326.47989999999999</v>
      </c>
      <c r="E598" s="248">
        <v>347.7758</v>
      </c>
      <c r="F598" s="248">
        <v>357.79020000000003</v>
      </c>
      <c r="G598" s="248">
        <v>365.33539999999999</v>
      </c>
      <c r="H598" s="248">
        <v>377.80959999999999</v>
      </c>
      <c r="I598"/>
      <c r="J598"/>
      <c r="K598"/>
      <c r="L598"/>
      <c r="M598"/>
    </row>
    <row r="599" spans="3:13" hidden="1" outlineLevel="1" x14ac:dyDescent="0.2">
      <c r="C599" s="139">
        <v>373</v>
      </c>
      <c r="D599" s="248">
        <v>327.42579999999998</v>
      </c>
      <c r="E599" s="248">
        <v>348.75909999999999</v>
      </c>
      <c r="F599" s="248">
        <v>358.79320000000001</v>
      </c>
      <c r="G599" s="248">
        <v>366.35300000000001</v>
      </c>
      <c r="H599" s="248">
        <v>378.85489999999999</v>
      </c>
      <c r="I599"/>
      <c r="J599"/>
      <c r="K599"/>
      <c r="L599"/>
      <c r="M599"/>
    </row>
    <row r="600" spans="3:13" hidden="1" outlineLevel="1" x14ac:dyDescent="0.2">
      <c r="C600" s="139">
        <v>374</v>
      </c>
      <c r="D600" s="248">
        <v>328.37209999999999</v>
      </c>
      <c r="E600" s="248">
        <v>349.74259999999998</v>
      </c>
      <c r="F600" s="248">
        <v>359.79649999999998</v>
      </c>
      <c r="G600" s="248">
        <v>367.3723</v>
      </c>
      <c r="H600" s="248">
        <v>379.89890000000003</v>
      </c>
      <c r="I600"/>
      <c r="J600"/>
      <c r="K600"/>
      <c r="L600"/>
      <c r="M600"/>
    </row>
    <row r="601" spans="3:13" hidden="1" outlineLevel="1" x14ac:dyDescent="0.2">
      <c r="C601" s="139">
        <v>375</v>
      </c>
      <c r="D601" s="248">
        <v>329.31729999999999</v>
      </c>
      <c r="E601" s="248">
        <v>350.72640000000001</v>
      </c>
      <c r="F601" s="248">
        <v>360.8</v>
      </c>
      <c r="G601" s="248">
        <v>368.39030000000002</v>
      </c>
      <c r="H601" s="248">
        <v>380.94459999999998</v>
      </c>
      <c r="I601"/>
      <c r="J601"/>
      <c r="K601"/>
      <c r="L601"/>
      <c r="M601"/>
    </row>
    <row r="602" spans="3:13" hidden="1" outlineLevel="1" x14ac:dyDescent="0.2">
      <c r="C602" s="139">
        <v>376</v>
      </c>
      <c r="D602" s="248">
        <v>330.2629</v>
      </c>
      <c r="E602" s="248">
        <v>351.71039999999999</v>
      </c>
      <c r="F602" s="248">
        <v>361.8023</v>
      </c>
      <c r="G602" s="248">
        <v>369.40859999999998</v>
      </c>
      <c r="H602" s="248">
        <v>381.99040000000002</v>
      </c>
      <c r="I602"/>
      <c r="J602"/>
      <c r="K602"/>
      <c r="L602"/>
      <c r="M602"/>
    </row>
    <row r="603" spans="3:13" hidden="1" outlineLevel="1" x14ac:dyDescent="0.2">
      <c r="C603" s="139">
        <v>377</v>
      </c>
      <c r="D603" s="248">
        <v>331.20890000000003</v>
      </c>
      <c r="E603" s="248">
        <v>352.69330000000002</v>
      </c>
      <c r="F603" s="248">
        <v>362.8048</v>
      </c>
      <c r="G603" s="248">
        <v>370.42700000000002</v>
      </c>
      <c r="H603" s="248">
        <v>383.03480000000002</v>
      </c>
      <c r="I603"/>
      <c r="J603"/>
      <c r="K603"/>
      <c r="L603"/>
      <c r="M603"/>
    </row>
    <row r="604" spans="3:13" hidden="1" outlineLevel="1" x14ac:dyDescent="0.2">
      <c r="C604" s="139">
        <v>378</v>
      </c>
      <c r="D604" s="248">
        <v>332.15519999999998</v>
      </c>
      <c r="E604" s="248">
        <v>353.67779999999999</v>
      </c>
      <c r="F604" s="248">
        <v>363.80900000000003</v>
      </c>
      <c r="G604" s="248">
        <v>371.44560000000001</v>
      </c>
      <c r="H604" s="248">
        <v>384.08089999999999</v>
      </c>
      <c r="I604"/>
      <c r="J604"/>
      <c r="K604"/>
      <c r="L604"/>
      <c r="M604"/>
    </row>
    <row r="605" spans="3:13" hidden="1" outlineLevel="1" x14ac:dyDescent="0.2">
      <c r="C605" s="139">
        <v>379</v>
      </c>
      <c r="D605" s="248">
        <v>333.1019</v>
      </c>
      <c r="E605" s="248">
        <v>354.66120000000001</v>
      </c>
      <c r="F605" s="248">
        <v>364.81189999999998</v>
      </c>
      <c r="G605" s="248">
        <v>372.46440000000001</v>
      </c>
      <c r="H605" s="248">
        <v>385.12569999999999</v>
      </c>
      <c r="I605"/>
      <c r="J605"/>
      <c r="K605"/>
      <c r="L605"/>
      <c r="M605"/>
    </row>
    <row r="606" spans="3:13" hidden="1" outlineLevel="1" x14ac:dyDescent="0.2">
      <c r="C606" s="139">
        <v>380</v>
      </c>
      <c r="D606" s="248">
        <v>334.0489</v>
      </c>
      <c r="E606" s="248">
        <v>355.64479999999998</v>
      </c>
      <c r="F606" s="248">
        <v>365.81509999999997</v>
      </c>
      <c r="G606" s="248">
        <v>373.4812</v>
      </c>
      <c r="H606" s="248">
        <v>386.1721</v>
      </c>
      <c r="I606"/>
      <c r="J606"/>
      <c r="K606"/>
      <c r="L606"/>
      <c r="M606"/>
    </row>
    <row r="607" spans="3:13" hidden="1" outlineLevel="1" x14ac:dyDescent="0.2">
      <c r="C607" s="139">
        <v>381</v>
      </c>
      <c r="D607" s="248">
        <v>334.9948</v>
      </c>
      <c r="E607" s="248">
        <v>356.62869999999998</v>
      </c>
      <c r="F607" s="248">
        <v>366.81849999999997</v>
      </c>
      <c r="G607" s="248">
        <v>374.50189999999998</v>
      </c>
      <c r="H607" s="248">
        <v>387.21710000000002</v>
      </c>
      <c r="I607"/>
      <c r="J607"/>
      <c r="K607"/>
      <c r="L607"/>
      <c r="M607"/>
    </row>
    <row r="608" spans="3:13" hidden="1" outlineLevel="1" x14ac:dyDescent="0.2">
      <c r="C608" s="139">
        <v>382</v>
      </c>
      <c r="D608" s="248">
        <v>335.94110000000001</v>
      </c>
      <c r="E608" s="248">
        <v>357.61279999999999</v>
      </c>
      <c r="F608" s="248">
        <v>367.82060000000001</v>
      </c>
      <c r="G608" s="248">
        <v>375.51979999999998</v>
      </c>
      <c r="H608" s="248">
        <v>388.26229999999998</v>
      </c>
      <c r="I608"/>
      <c r="J608"/>
      <c r="K608"/>
      <c r="L608"/>
      <c r="M608"/>
    </row>
    <row r="609" spans="3:13" hidden="1" outlineLevel="1" x14ac:dyDescent="0.2">
      <c r="C609" s="139">
        <v>383</v>
      </c>
      <c r="D609" s="248">
        <v>336.8877</v>
      </c>
      <c r="E609" s="248">
        <v>358.59719999999999</v>
      </c>
      <c r="F609" s="248">
        <v>368.82440000000003</v>
      </c>
      <c r="G609" s="248">
        <v>376.53789999999998</v>
      </c>
      <c r="H609" s="248">
        <v>389.30759999999998</v>
      </c>
      <c r="I609"/>
      <c r="J609"/>
      <c r="K609"/>
      <c r="L609"/>
      <c r="M609"/>
    </row>
    <row r="610" spans="3:13" hidden="1" outlineLevel="1" x14ac:dyDescent="0.2">
      <c r="C610" s="139">
        <v>384</v>
      </c>
      <c r="D610" s="248">
        <v>337.8347</v>
      </c>
      <c r="E610" s="248">
        <v>359.58030000000002</v>
      </c>
      <c r="F610" s="248">
        <v>369.82839999999999</v>
      </c>
      <c r="G610" s="248">
        <v>377.55619999999999</v>
      </c>
      <c r="H610" s="248">
        <v>390.35309999999998</v>
      </c>
      <c r="I610"/>
      <c r="J610"/>
      <c r="K610"/>
      <c r="L610"/>
      <c r="M610"/>
    </row>
    <row r="611" spans="3:13" hidden="1" outlineLevel="1" x14ac:dyDescent="0.2">
      <c r="C611" s="139">
        <v>385</v>
      </c>
      <c r="D611" s="248">
        <v>338.78210000000001</v>
      </c>
      <c r="E611" s="248">
        <v>360.5652</v>
      </c>
      <c r="F611" s="248">
        <v>370.83109999999999</v>
      </c>
      <c r="G611" s="248">
        <v>378.57459999999998</v>
      </c>
      <c r="H611" s="248">
        <v>391.39870000000002</v>
      </c>
      <c r="I611"/>
      <c r="J611"/>
      <c r="K611"/>
      <c r="L611"/>
      <c r="M611"/>
    </row>
    <row r="612" spans="3:13" hidden="1" outlineLevel="1" x14ac:dyDescent="0.2">
      <c r="C612" s="139">
        <v>386</v>
      </c>
      <c r="D612" s="248">
        <v>339.72829999999999</v>
      </c>
      <c r="E612" s="248">
        <v>361.54880000000003</v>
      </c>
      <c r="F612" s="248">
        <v>371.83409999999998</v>
      </c>
      <c r="G612" s="248">
        <v>379.5933</v>
      </c>
      <c r="H612" s="248">
        <v>392.44450000000001</v>
      </c>
      <c r="I612"/>
      <c r="J612"/>
      <c r="K612"/>
      <c r="L612"/>
      <c r="M612"/>
    </row>
    <row r="613" spans="3:13" hidden="1" outlineLevel="1" x14ac:dyDescent="0.2">
      <c r="C613" s="139">
        <v>387</v>
      </c>
      <c r="D613" s="248">
        <v>340.6748</v>
      </c>
      <c r="E613" s="248">
        <v>362.5342</v>
      </c>
      <c r="F613" s="248">
        <v>372.83800000000002</v>
      </c>
      <c r="G613" s="248">
        <v>380.6121</v>
      </c>
      <c r="H613" s="248">
        <v>393.49040000000002</v>
      </c>
      <c r="I613"/>
      <c r="J613"/>
      <c r="K613"/>
      <c r="L613"/>
      <c r="M613"/>
    </row>
    <row r="614" spans="3:13" hidden="1" outlineLevel="1" x14ac:dyDescent="0.2">
      <c r="C614" s="139">
        <v>388</v>
      </c>
      <c r="D614" s="248">
        <v>341.6232</v>
      </c>
      <c r="E614" s="248">
        <v>363.51839999999999</v>
      </c>
      <c r="F614" s="248">
        <v>373.84280000000001</v>
      </c>
      <c r="G614" s="248">
        <v>381.6311</v>
      </c>
      <c r="H614" s="248">
        <v>394.53649999999999</v>
      </c>
      <c r="I614"/>
      <c r="J614"/>
      <c r="K614"/>
      <c r="L614"/>
      <c r="M614"/>
    </row>
    <row r="615" spans="3:13" hidden="1" outlineLevel="1" x14ac:dyDescent="0.2">
      <c r="C615" s="139">
        <v>389</v>
      </c>
      <c r="D615" s="248">
        <v>342.57049999999998</v>
      </c>
      <c r="E615" s="248">
        <v>364.50279999999998</v>
      </c>
      <c r="F615" s="248">
        <v>374.8449</v>
      </c>
      <c r="G615" s="248">
        <v>382.65030000000002</v>
      </c>
      <c r="H615" s="248">
        <v>395.58109999999999</v>
      </c>
      <c r="I615"/>
      <c r="J615"/>
      <c r="K615"/>
      <c r="L615"/>
      <c r="M615"/>
    </row>
    <row r="616" spans="3:13" hidden="1" outlineLevel="1" x14ac:dyDescent="0.2">
      <c r="C616" s="139">
        <v>390</v>
      </c>
      <c r="D616" s="248">
        <v>343.51659999999998</v>
      </c>
      <c r="E616" s="248">
        <v>365.48590000000002</v>
      </c>
      <c r="F616" s="248">
        <v>375.84719999999999</v>
      </c>
      <c r="G616" s="248">
        <v>383.66969999999998</v>
      </c>
      <c r="H616" s="248">
        <v>396.6275</v>
      </c>
      <c r="I616"/>
      <c r="J616"/>
      <c r="K616"/>
      <c r="L616"/>
      <c r="M616"/>
    </row>
    <row r="617" spans="3:13" hidden="1" outlineLevel="1" x14ac:dyDescent="0.2">
      <c r="C617" s="139">
        <v>391</v>
      </c>
      <c r="D617" s="248">
        <v>344.46449999999999</v>
      </c>
      <c r="E617" s="248">
        <v>366.4708</v>
      </c>
      <c r="F617" s="248">
        <v>376.85270000000003</v>
      </c>
      <c r="G617" s="248">
        <v>384.6893</v>
      </c>
      <c r="H617" s="248">
        <v>397.67239999999998</v>
      </c>
      <c r="I617"/>
      <c r="J617"/>
      <c r="K617"/>
      <c r="L617"/>
      <c r="M617"/>
    </row>
    <row r="618" spans="3:13" hidden="1" outlineLevel="1" x14ac:dyDescent="0.2">
      <c r="C618" s="139">
        <v>392</v>
      </c>
      <c r="D618" s="248">
        <v>345.41129999999998</v>
      </c>
      <c r="E618" s="248">
        <v>367.45589999999999</v>
      </c>
      <c r="F618" s="248">
        <v>377.85539999999997</v>
      </c>
      <c r="G618" s="248">
        <v>385.70600000000002</v>
      </c>
      <c r="H618" s="248">
        <v>398.71899999999999</v>
      </c>
      <c r="I618"/>
      <c r="J618"/>
      <c r="K618"/>
      <c r="L618"/>
      <c r="M618"/>
    </row>
    <row r="619" spans="3:13" hidden="1" outlineLevel="1" x14ac:dyDescent="0.2">
      <c r="C619" s="139">
        <v>393</v>
      </c>
      <c r="D619" s="248">
        <v>346.35989999999998</v>
      </c>
      <c r="E619" s="248">
        <v>368.43970000000002</v>
      </c>
      <c r="F619" s="248">
        <v>378.85829999999999</v>
      </c>
      <c r="G619" s="248">
        <v>386.72590000000002</v>
      </c>
      <c r="H619" s="248">
        <v>399.76420000000002</v>
      </c>
      <c r="I619"/>
      <c r="J619"/>
      <c r="K619"/>
      <c r="L619"/>
      <c r="M619"/>
    </row>
    <row r="620" spans="3:13" hidden="1" outlineLevel="1" x14ac:dyDescent="0.2">
      <c r="C620" s="139">
        <v>394</v>
      </c>
      <c r="D620" s="248">
        <v>347.3073</v>
      </c>
      <c r="E620" s="248">
        <v>369.42380000000003</v>
      </c>
      <c r="F620" s="248">
        <v>379.86439999999999</v>
      </c>
      <c r="G620" s="248">
        <v>387.74610000000001</v>
      </c>
      <c r="H620" s="248">
        <v>400.80950000000001</v>
      </c>
      <c r="I620"/>
      <c r="J620"/>
      <c r="K620"/>
      <c r="L620"/>
      <c r="M620"/>
    </row>
    <row r="621" spans="3:13" hidden="1" outlineLevel="1" x14ac:dyDescent="0.2">
      <c r="C621" s="139">
        <v>395</v>
      </c>
      <c r="D621" s="248">
        <v>348.25510000000003</v>
      </c>
      <c r="E621" s="248">
        <v>370.40969999999999</v>
      </c>
      <c r="F621" s="248">
        <v>380.86770000000001</v>
      </c>
      <c r="G621" s="248">
        <v>388.76330000000002</v>
      </c>
      <c r="H621" s="248">
        <v>401.85660000000001</v>
      </c>
      <c r="I621"/>
      <c r="J621"/>
      <c r="K621"/>
      <c r="L621"/>
      <c r="M621"/>
    </row>
    <row r="622" spans="3:13" hidden="1" outlineLevel="1" x14ac:dyDescent="0.2">
      <c r="C622" s="139">
        <v>396</v>
      </c>
      <c r="D622" s="248">
        <v>349.20170000000002</v>
      </c>
      <c r="E622" s="248">
        <v>371.39429999999999</v>
      </c>
      <c r="F622" s="248">
        <v>381.87119999999999</v>
      </c>
      <c r="G622" s="248">
        <v>389.78379999999999</v>
      </c>
      <c r="H622" s="248">
        <v>402.90219999999999</v>
      </c>
      <c r="I622"/>
      <c r="J622"/>
      <c r="K622"/>
      <c r="L622"/>
      <c r="M622"/>
    </row>
    <row r="623" spans="3:13" hidden="1" outlineLevel="1" x14ac:dyDescent="0.2">
      <c r="C623" s="139">
        <v>397</v>
      </c>
      <c r="D623" s="248">
        <v>350.15019999999998</v>
      </c>
      <c r="E623" s="248">
        <v>372.37909999999999</v>
      </c>
      <c r="F623" s="248">
        <v>382.87490000000003</v>
      </c>
      <c r="G623" s="248">
        <v>390.8014</v>
      </c>
      <c r="H623" s="248">
        <v>403.94799999999998</v>
      </c>
      <c r="I623"/>
      <c r="J623"/>
      <c r="K623"/>
      <c r="L623"/>
      <c r="M623"/>
    </row>
    <row r="624" spans="3:13" hidden="1" outlineLevel="1" x14ac:dyDescent="0.2">
      <c r="C624" s="139">
        <v>398</v>
      </c>
      <c r="D624" s="248">
        <v>351.09750000000003</v>
      </c>
      <c r="E624" s="248">
        <v>373.36340000000001</v>
      </c>
      <c r="F624" s="248">
        <v>383.87880000000001</v>
      </c>
      <c r="G624" s="248">
        <v>391.82220000000001</v>
      </c>
      <c r="H624" s="248">
        <v>404.9939</v>
      </c>
      <c r="I624"/>
      <c r="J624"/>
      <c r="K624"/>
      <c r="L624"/>
      <c r="M624"/>
    </row>
    <row r="625" spans="3:13" hidden="1" outlineLevel="1" x14ac:dyDescent="0.2">
      <c r="C625" s="139">
        <v>399</v>
      </c>
      <c r="D625" s="248">
        <v>352.04660000000001</v>
      </c>
      <c r="E625" s="248">
        <v>374.34710000000001</v>
      </c>
      <c r="F625" s="248">
        <v>384.88290000000001</v>
      </c>
      <c r="G625" s="248">
        <v>392.84019999999998</v>
      </c>
      <c r="H625" s="248">
        <v>406.03829999999999</v>
      </c>
      <c r="I625"/>
      <c r="J625"/>
      <c r="K625"/>
      <c r="L625"/>
      <c r="M625"/>
    </row>
    <row r="626" spans="3:13" hidden="1" outlineLevel="1" x14ac:dyDescent="0.2">
      <c r="C626" s="139">
        <v>400</v>
      </c>
      <c r="D626" s="248">
        <v>352.99450000000002</v>
      </c>
      <c r="E626" s="248">
        <v>375.33420000000001</v>
      </c>
      <c r="F626" s="248">
        <v>385.88709999999998</v>
      </c>
      <c r="G626" s="248">
        <v>393.85829999999999</v>
      </c>
      <c r="H626" s="248">
        <v>407.08440000000002</v>
      </c>
      <c r="I626"/>
      <c r="J626"/>
      <c r="K626"/>
      <c r="L626"/>
      <c r="M626"/>
    </row>
    <row r="627" spans="3:13" hidden="1" outlineLevel="1" x14ac:dyDescent="0.2">
      <c r="C627" s="139">
        <v>401</v>
      </c>
      <c r="D627" s="248">
        <v>353.94279999999998</v>
      </c>
      <c r="E627" s="248">
        <v>376.3184</v>
      </c>
      <c r="F627" s="248">
        <v>386.89159999999998</v>
      </c>
      <c r="G627" s="248">
        <v>394.87970000000001</v>
      </c>
      <c r="H627" s="248">
        <v>408.13069999999999</v>
      </c>
      <c r="I627"/>
      <c r="J627"/>
      <c r="K627"/>
      <c r="L627"/>
      <c r="M627"/>
    </row>
    <row r="628" spans="3:13" hidden="1" outlineLevel="1" x14ac:dyDescent="0.2">
      <c r="C628" s="139">
        <v>402</v>
      </c>
      <c r="D628" s="248">
        <v>354.88990000000001</v>
      </c>
      <c r="E628" s="248">
        <v>377.30279999999999</v>
      </c>
      <c r="F628" s="248">
        <v>387.89330000000001</v>
      </c>
      <c r="G628" s="248">
        <v>395.89819999999997</v>
      </c>
      <c r="H628" s="248">
        <v>409.17720000000003</v>
      </c>
      <c r="I628"/>
      <c r="J628"/>
      <c r="K628"/>
      <c r="L628"/>
      <c r="M628"/>
    </row>
    <row r="629" spans="3:13" hidden="1" outlineLevel="1" x14ac:dyDescent="0.2">
      <c r="C629" s="139">
        <v>403</v>
      </c>
      <c r="D629" s="248">
        <v>355.83879999999999</v>
      </c>
      <c r="E629" s="248">
        <v>378.28750000000002</v>
      </c>
      <c r="F629" s="248">
        <v>388.8981</v>
      </c>
      <c r="G629" s="248">
        <v>396.91680000000002</v>
      </c>
      <c r="H629" s="248">
        <v>410.22210000000001</v>
      </c>
      <c r="I629"/>
      <c r="J629"/>
      <c r="K629"/>
      <c r="L629"/>
      <c r="M629"/>
    </row>
    <row r="630" spans="3:13" hidden="1" outlineLevel="1" x14ac:dyDescent="0.2">
      <c r="C630" s="139">
        <v>404</v>
      </c>
      <c r="D630" s="248">
        <v>356.78649999999999</v>
      </c>
      <c r="E630" s="248">
        <v>379.2724</v>
      </c>
      <c r="F630" s="248">
        <v>389.90320000000003</v>
      </c>
      <c r="G630" s="248">
        <v>397.93560000000002</v>
      </c>
      <c r="H630" s="248">
        <v>411.2697</v>
      </c>
      <c r="I630"/>
      <c r="J630"/>
      <c r="K630"/>
      <c r="L630"/>
      <c r="M630"/>
    </row>
    <row r="631" spans="3:13" hidden="1" outlineLevel="1" x14ac:dyDescent="0.2">
      <c r="C631" s="139">
        <v>405</v>
      </c>
      <c r="D631" s="248">
        <v>357.73599999999999</v>
      </c>
      <c r="E631" s="248">
        <v>380.25760000000002</v>
      </c>
      <c r="F631" s="248">
        <v>390.90539999999999</v>
      </c>
      <c r="G631" s="248">
        <v>398.95460000000003</v>
      </c>
      <c r="H631" s="248">
        <v>412.31490000000002</v>
      </c>
      <c r="I631"/>
      <c r="J631"/>
      <c r="K631"/>
      <c r="L631"/>
      <c r="M631"/>
    </row>
    <row r="632" spans="3:13" hidden="1" outlineLevel="1" x14ac:dyDescent="0.2">
      <c r="C632" s="139">
        <v>406</v>
      </c>
      <c r="D632" s="248">
        <v>358.68439999999998</v>
      </c>
      <c r="E632" s="248">
        <v>381.24299999999999</v>
      </c>
      <c r="F632" s="248">
        <v>391.91090000000003</v>
      </c>
      <c r="G632" s="248">
        <v>399.97370000000001</v>
      </c>
      <c r="H632" s="248">
        <v>413.36020000000002</v>
      </c>
      <c r="I632"/>
      <c r="J632"/>
      <c r="K632"/>
      <c r="L632"/>
      <c r="M632"/>
    </row>
    <row r="633" spans="3:13" hidden="1" outlineLevel="1" x14ac:dyDescent="0.2">
      <c r="C633" s="139">
        <v>407</v>
      </c>
      <c r="D633" s="248">
        <v>359.63310000000001</v>
      </c>
      <c r="E633" s="248">
        <v>382.22859999999997</v>
      </c>
      <c r="F633" s="248">
        <v>392.91340000000002</v>
      </c>
      <c r="G633" s="248">
        <v>400.99310000000003</v>
      </c>
      <c r="H633" s="248">
        <v>414.40570000000002</v>
      </c>
      <c r="I633"/>
      <c r="J633"/>
      <c r="K633"/>
      <c r="L633"/>
      <c r="M633"/>
    </row>
    <row r="634" spans="3:13" hidden="1" outlineLevel="1" x14ac:dyDescent="0.2">
      <c r="C634" s="139">
        <v>408</v>
      </c>
      <c r="D634" s="248">
        <v>360.58199999999999</v>
      </c>
      <c r="E634" s="248">
        <v>383.21440000000001</v>
      </c>
      <c r="F634" s="248">
        <v>393.91930000000002</v>
      </c>
      <c r="G634" s="248">
        <v>402.01249999999999</v>
      </c>
      <c r="H634" s="248">
        <v>415.45119999999997</v>
      </c>
      <c r="I634"/>
      <c r="J634"/>
      <c r="K634"/>
      <c r="L634"/>
      <c r="M634"/>
    </row>
    <row r="635" spans="3:13" hidden="1" outlineLevel="1" x14ac:dyDescent="0.2">
      <c r="C635" s="139">
        <v>409</v>
      </c>
      <c r="D635" s="248">
        <v>361.52980000000002</v>
      </c>
      <c r="E635" s="248">
        <v>384.2004</v>
      </c>
      <c r="F635" s="248">
        <v>394.92219999999998</v>
      </c>
      <c r="G635" s="248">
        <v>403.03219999999999</v>
      </c>
      <c r="H635" s="248">
        <v>416.49700000000001</v>
      </c>
      <c r="I635"/>
      <c r="J635"/>
      <c r="K635"/>
      <c r="L635"/>
      <c r="M635"/>
    </row>
    <row r="636" spans="3:13" hidden="1" outlineLevel="1" x14ac:dyDescent="0.2">
      <c r="C636" s="139">
        <v>410</v>
      </c>
      <c r="D636" s="248">
        <v>362.4794</v>
      </c>
      <c r="E636" s="248">
        <v>385.18360000000001</v>
      </c>
      <c r="F636" s="248">
        <v>395.92849999999999</v>
      </c>
      <c r="G636" s="248">
        <v>404.05200000000002</v>
      </c>
      <c r="H636" s="248">
        <v>417.5428</v>
      </c>
      <c r="I636"/>
      <c r="J636"/>
      <c r="K636"/>
      <c r="L636"/>
      <c r="M636"/>
    </row>
    <row r="637" spans="3:13" hidden="1" outlineLevel="1" x14ac:dyDescent="0.2">
      <c r="C637" s="139">
        <v>411</v>
      </c>
      <c r="D637" s="248">
        <v>363.42779999999999</v>
      </c>
      <c r="E637" s="248">
        <v>386.17009999999999</v>
      </c>
      <c r="F637" s="248">
        <v>396.93180000000001</v>
      </c>
      <c r="G637" s="248">
        <v>405.072</v>
      </c>
      <c r="H637" s="248">
        <v>418.58879999999999</v>
      </c>
      <c r="I637"/>
      <c r="J637"/>
      <c r="K637"/>
      <c r="L637"/>
      <c r="M637"/>
    </row>
    <row r="638" spans="3:13" hidden="1" outlineLevel="1" x14ac:dyDescent="0.2">
      <c r="C638" s="139">
        <v>412</v>
      </c>
      <c r="D638" s="248">
        <v>364.37650000000002</v>
      </c>
      <c r="E638" s="248">
        <v>387.15679999999998</v>
      </c>
      <c r="F638" s="248">
        <v>397.93529999999998</v>
      </c>
      <c r="G638" s="248">
        <v>406.09210000000002</v>
      </c>
      <c r="H638" s="248">
        <v>419.63490000000002</v>
      </c>
      <c r="I638"/>
      <c r="J638"/>
      <c r="K638"/>
      <c r="L638"/>
      <c r="M638"/>
    </row>
    <row r="639" spans="3:13" hidden="1" outlineLevel="1" x14ac:dyDescent="0.2">
      <c r="C639" s="139">
        <v>413</v>
      </c>
      <c r="D639" s="248">
        <v>365.32549999999998</v>
      </c>
      <c r="E639" s="248">
        <v>388.14069999999998</v>
      </c>
      <c r="F639" s="248">
        <v>398.93889999999999</v>
      </c>
      <c r="G639" s="248">
        <v>407.10930000000002</v>
      </c>
      <c r="H639" s="248">
        <v>420.68119999999999</v>
      </c>
      <c r="I639"/>
      <c r="J639"/>
      <c r="K639"/>
      <c r="L639"/>
      <c r="M639"/>
    </row>
    <row r="640" spans="3:13" hidden="1" outlineLevel="1" x14ac:dyDescent="0.2">
      <c r="C640" s="139">
        <v>414</v>
      </c>
      <c r="D640" s="248">
        <v>366.27480000000003</v>
      </c>
      <c r="E640" s="248">
        <v>389.12779999999998</v>
      </c>
      <c r="F640" s="248">
        <v>399.94589999999999</v>
      </c>
      <c r="G640" s="248">
        <v>408.12979999999999</v>
      </c>
      <c r="H640" s="248">
        <v>421.7276</v>
      </c>
      <c r="I640"/>
      <c r="J640"/>
      <c r="K640"/>
      <c r="L640"/>
      <c r="M640"/>
    </row>
    <row r="641" spans="3:13" hidden="1" outlineLevel="1" x14ac:dyDescent="0.2">
      <c r="C641" s="139">
        <v>415</v>
      </c>
      <c r="D641" s="248">
        <v>367.2244</v>
      </c>
      <c r="E641" s="248">
        <v>390.1121</v>
      </c>
      <c r="F641" s="248">
        <v>400.95</v>
      </c>
      <c r="G641" s="248">
        <v>409.15039999999999</v>
      </c>
      <c r="H641" s="248">
        <v>422.77409999999998</v>
      </c>
      <c r="I641"/>
      <c r="J641"/>
      <c r="K641"/>
      <c r="L641"/>
      <c r="M641"/>
    </row>
    <row r="642" spans="3:13" hidden="1" outlineLevel="1" x14ac:dyDescent="0.2">
      <c r="C642" s="139">
        <v>416</v>
      </c>
      <c r="D642" s="248">
        <v>368.17439999999999</v>
      </c>
      <c r="E642" s="248">
        <v>391.09660000000002</v>
      </c>
      <c r="F642" s="248">
        <v>401.95420000000001</v>
      </c>
      <c r="G642" s="248">
        <v>410.16809999999998</v>
      </c>
      <c r="H642" s="248">
        <v>423.82080000000002</v>
      </c>
      <c r="I642"/>
      <c r="J642"/>
      <c r="K642"/>
      <c r="L642"/>
      <c r="M642"/>
    </row>
    <row r="643" spans="3:13" hidden="1" outlineLevel="1" x14ac:dyDescent="0.2">
      <c r="C643" s="139">
        <v>417</v>
      </c>
      <c r="D643" s="248">
        <v>369.12299999999999</v>
      </c>
      <c r="E643" s="248">
        <v>392.08440000000002</v>
      </c>
      <c r="F643" s="248">
        <v>402.95859999999999</v>
      </c>
      <c r="G643" s="248">
        <v>411.1891</v>
      </c>
      <c r="H643" s="248">
        <v>424.86759999999998</v>
      </c>
      <c r="I643"/>
      <c r="J643"/>
      <c r="K643"/>
      <c r="L643"/>
      <c r="M643"/>
    </row>
    <row r="644" spans="3:13" hidden="1" outlineLevel="1" x14ac:dyDescent="0.2">
      <c r="C644" s="139">
        <v>418</v>
      </c>
      <c r="D644" s="248">
        <v>370.072</v>
      </c>
      <c r="E644" s="248">
        <v>393.0693</v>
      </c>
      <c r="F644" s="248">
        <v>403.96319999999997</v>
      </c>
      <c r="G644" s="248">
        <v>412.20699999999999</v>
      </c>
      <c r="H644" s="248">
        <v>425.91449999999998</v>
      </c>
      <c r="I644"/>
      <c r="J644"/>
      <c r="K644"/>
      <c r="L644"/>
      <c r="M644"/>
    </row>
    <row r="645" spans="3:13" hidden="1" outlineLevel="1" x14ac:dyDescent="0.2">
      <c r="C645" s="139">
        <v>419</v>
      </c>
      <c r="D645" s="248">
        <v>371.0213</v>
      </c>
      <c r="E645" s="248">
        <v>394.05439999999999</v>
      </c>
      <c r="F645" s="248">
        <v>404.96800000000002</v>
      </c>
      <c r="G645" s="248">
        <v>413.22829999999999</v>
      </c>
      <c r="H645" s="248">
        <v>426.9581</v>
      </c>
      <c r="I645"/>
      <c r="J645"/>
      <c r="K645"/>
      <c r="L645"/>
      <c r="M645"/>
    </row>
    <row r="646" spans="3:13" hidden="1" outlineLevel="1" x14ac:dyDescent="0.2">
      <c r="C646" s="139">
        <v>420</v>
      </c>
      <c r="D646" s="248">
        <v>371.97089999999997</v>
      </c>
      <c r="E646" s="248">
        <v>395.03969999999998</v>
      </c>
      <c r="F646" s="248">
        <v>405.97300000000001</v>
      </c>
      <c r="G646" s="248">
        <v>414.2466</v>
      </c>
      <c r="H646" s="248">
        <v>428.00529999999998</v>
      </c>
      <c r="I646"/>
      <c r="J646"/>
      <c r="K646"/>
      <c r="L646"/>
      <c r="M646"/>
    </row>
    <row r="647" spans="3:13" hidden="1" outlineLevel="1" x14ac:dyDescent="0.2">
      <c r="C647" s="139">
        <v>421</v>
      </c>
      <c r="D647" s="248">
        <v>372.92070000000001</v>
      </c>
      <c r="E647" s="248">
        <v>396.02530000000002</v>
      </c>
      <c r="F647" s="248">
        <v>406.97809999999998</v>
      </c>
      <c r="G647" s="248">
        <v>415.26819999999998</v>
      </c>
      <c r="H647" s="248">
        <v>429.05259999999998</v>
      </c>
      <c r="I647"/>
      <c r="J647"/>
      <c r="K647"/>
      <c r="L647"/>
      <c r="M647"/>
    </row>
    <row r="648" spans="3:13" hidden="1" outlineLevel="1" x14ac:dyDescent="0.2">
      <c r="C648" s="139">
        <v>422</v>
      </c>
      <c r="D648" s="248">
        <v>373.87169999999998</v>
      </c>
      <c r="E648" s="248">
        <v>397.01100000000002</v>
      </c>
      <c r="F648" s="248">
        <v>407.98020000000002</v>
      </c>
      <c r="G648" s="248">
        <v>416.28680000000003</v>
      </c>
      <c r="H648" s="248">
        <v>430.09649999999999</v>
      </c>
      <c r="I648"/>
      <c r="J648"/>
      <c r="K648"/>
      <c r="L648"/>
      <c r="M648"/>
    </row>
    <row r="649" spans="3:13" hidden="1" outlineLevel="1" x14ac:dyDescent="0.2">
      <c r="C649" s="139">
        <v>423</v>
      </c>
      <c r="D649" s="248">
        <v>374.82220000000001</v>
      </c>
      <c r="E649" s="248">
        <v>397.99700000000001</v>
      </c>
      <c r="F649" s="248">
        <v>408.98570000000001</v>
      </c>
      <c r="G649" s="248">
        <v>417.30549999999999</v>
      </c>
      <c r="H649" s="248">
        <v>431.14409999999998</v>
      </c>
      <c r="I649"/>
      <c r="J649"/>
      <c r="K649"/>
      <c r="L649"/>
      <c r="M649"/>
    </row>
    <row r="650" spans="3:13" hidden="1" outlineLevel="1" x14ac:dyDescent="0.2">
      <c r="C650" s="139">
        <v>424</v>
      </c>
      <c r="D650" s="248">
        <v>375.76979999999998</v>
      </c>
      <c r="E650" s="248">
        <v>398.98320000000001</v>
      </c>
      <c r="F650" s="248">
        <v>409.9914</v>
      </c>
      <c r="G650" s="248">
        <v>418.32769999999999</v>
      </c>
      <c r="H650" s="248">
        <v>432.1918</v>
      </c>
      <c r="I650"/>
      <c r="J650"/>
      <c r="K650"/>
      <c r="L650"/>
      <c r="M650"/>
    </row>
    <row r="651" spans="3:13" hidden="1" outlineLevel="1" x14ac:dyDescent="0.2">
      <c r="C651" s="139">
        <v>425</v>
      </c>
      <c r="D651" s="248">
        <v>376.72089999999997</v>
      </c>
      <c r="E651" s="248">
        <v>399.96960000000001</v>
      </c>
      <c r="F651" s="248">
        <v>410.9941</v>
      </c>
      <c r="G651" s="248">
        <v>419.3467</v>
      </c>
      <c r="H651" s="248">
        <v>433.23610000000002</v>
      </c>
      <c r="I651"/>
      <c r="J651"/>
      <c r="K651"/>
      <c r="L651"/>
      <c r="M651"/>
    </row>
    <row r="652" spans="3:13" hidden="1" outlineLevel="1" x14ac:dyDescent="0.2">
      <c r="C652" s="139">
        <v>426</v>
      </c>
      <c r="D652" s="248">
        <v>377.67230000000001</v>
      </c>
      <c r="E652" s="248">
        <v>400.95620000000002</v>
      </c>
      <c r="F652" s="248">
        <v>412.00009999999997</v>
      </c>
      <c r="G652" s="248">
        <v>420.36590000000001</v>
      </c>
      <c r="H652" s="248">
        <v>434.28410000000002</v>
      </c>
      <c r="I652"/>
      <c r="J652"/>
      <c r="K652"/>
      <c r="L652"/>
      <c r="M652"/>
    </row>
    <row r="653" spans="3:13" hidden="1" outlineLevel="1" x14ac:dyDescent="0.2">
      <c r="C653" s="139">
        <v>427</v>
      </c>
      <c r="D653" s="248">
        <v>378.62079999999997</v>
      </c>
      <c r="E653" s="248">
        <v>401.94299999999998</v>
      </c>
      <c r="F653" s="248">
        <v>413.00630000000001</v>
      </c>
      <c r="G653" s="248">
        <v>421.38529999999997</v>
      </c>
      <c r="H653" s="248">
        <v>435.32859999999999</v>
      </c>
      <c r="I653"/>
      <c r="J653"/>
      <c r="K653"/>
      <c r="L653"/>
      <c r="M653"/>
    </row>
    <row r="654" spans="3:13" hidden="1" outlineLevel="1" x14ac:dyDescent="0.2">
      <c r="C654" s="139">
        <v>428</v>
      </c>
      <c r="D654" s="248">
        <v>379.57279999999997</v>
      </c>
      <c r="E654" s="248">
        <v>402.93</v>
      </c>
      <c r="F654" s="248">
        <v>414.0095</v>
      </c>
      <c r="G654" s="248">
        <v>422.40480000000002</v>
      </c>
      <c r="H654" s="248">
        <v>436.3768</v>
      </c>
      <c r="I654"/>
      <c r="J654"/>
      <c r="K654"/>
      <c r="L654"/>
      <c r="M654"/>
    </row>
    <row r="655" spans="3:13" hidden="1" outlineLevel="1" x14ac:dyDescent="0.2">
      <c r="C655" s="139">
        <v>429</v>
      </c>
      <c r="D655" s="248">
        <v>380.52179999999998</v>
      </c>
      <c r="E655" s="248">
        <v>403.91399999999999</v>
      </c>
      <c r="F655" s="248">
        <v>415.01609999999999</v>
      </c>
      <c r="G655" s="248">
        <v>423.42439999999999</v>
      </c>
      <c r="H655" s="248">
        <v>437.42160000000001</v>
      </c>
      <c r="I655"/>
      <c r="J655"/>
      <c r="K655"/>
      <c r="L655"/>
      <c r="M655"/>
    </row>
    <row r="656" spans="3:13" hidden="1" outlineLevel="1" x14ac:dyDescent="0.2">
      <c r="C656" s="139">
        <v>430</v>
      </c>
      <c r="D656" s="248">
        <v>381.47109999999998</v>
      </c>
      <c r="E656" s="248">
        <v>404.9015</v>
      </c>
      <c r="F656" s="248">
        <v>416.01960000000003</v>
      </c>
      <c r="G656" s="248">
        <v>424.44749999999999</v>
      </c>
      <c r="H656" s="248">
        <v>438.4701</v>
      </c>
      <c r="I656"/>
      <c r="J656"/>
      <c r="K656"/>
      <c r="L656"/>
      <c r="M656"/>
    </row>
    <row r="657" spans="3:13" hidden="1" outlineLevel="1" x14ac:dyDescent="0.2">
      <c r="C657" s="139">
        <v>431</v>
      </c>
      <c r="D657" s="248">
        <v>382.42079999999999</v>
      </c>
      <c r="E657" s="248">
        <v>405.88580000000002</v>
      </c>
      <c r="F657" s="248">
        <v>417.0265</v>
      </c>
      <c r="G657" s="248">
        <v>425.46749999999997</v>
      </c>
      <c r="H657" s="248">
        <v>439.51510000000002</v>
      </c>
      <c r="I657"/>
      <c r="J657"/>
      <c r="K657"/>
      <c r="L657"/>
      <c r="M657"/>
    </row>
    <row r="658" spans="3:13" hidden="1" outlineLevel="1" x14ac:dyDescent="0.2">
      <c r="C658" s="139">
        <v>432</v>
      </c>
      <c r="D658" s="248">
        <v>383.37400000000002</v>
      </c>
      <c r="E658" s="248">
        <v>406.87369999999999</v>
      </c>
      <c r="F658" s="248">
        <v>418.03030000000001</v>
      </c>
      <c r="G658" s="248">
        <v>426.48430000000002</v>
      </c>
      <c r="H658" s="248">
        <v>440.56029999999998</v>
      </c>
      <c r="I658"/>
      <c r="J658"/>
      <c r="K658"/>
      <c r="L658"/>
      <c r="M658"/>
    </row>
    <row r="659" spans="3:13" hidden="1" outlineLevel="1" x14ac:dyDescent="0.2">
      <c r="C659" s="139">
        <v>433</v>
      </c>
      <c r="D659" s="248">
        <v>384.32420000000002</v>
      </c>
      <c r="E659" s="248">
        <v>407.86180000000002</v>
      </c>
      <c r="F659" s="248">
        <v>419.03429999999997</v>
      </c>
      <c r="G659" s="248">
        <v>427.50459999999998</v>
      </c>
      <c r="H659" s="248">
        <v>441.60919999999999</v>
      </c>
      <c r="I659"/>
      <c r="J659"/>
      <c r="K659"/>
      <c r="L659"/>
      <c r="M659"/>
    </row>
    <row r="660" spans="3:13" hidden="1" outlineLevel="1" x14ac:dyDescent="0.2">
      <c r="C660" s="139">
        <v>434</v>
      </c>
      <c r="D660" s="248">
        <v>385.2747</v>
      </c>
      <c r="E660" s="248">
        <v>408.84679999999997</v>
      </c>
      <c r="F660" s="248">
        <v>420.0385</v>
      </c>
      <c r="G660" s="248">
        <v>428.52499999999998</v>
      </c>
      <c r="H660" s="248">
        <v>442.65449999999998</v>
      </c>
      <c r="I660"/>
      <c r="J660"/>
      <c r="K660"/>
      <c r="L660"/>
      <c r="M660"/>
    </row>
    <row r="661" spans="3:13" hidden="1" outlineLevel="1" x14ac:dyDescent="0.2">
      <c r="C661" s="139">
        <v>435</v>
      </c>
      <c r="D661" s="248">
        <v>386.22550000000001</v>
      </c>
      <c r="E661" s="248">
        <v>409.83199999999999</v>
      </c>
      <c r="F661" s="248">
        <v>421.0462</v>
      </c>
      <c r="G661" s="248">
        <v>429.54559999999998</v>
      </c>
      <c r="H661" s="248">
        <v>443.7</v>
      </c>
      <c r="I661"/>
      <c r="J661"/>
      <c r="K661"/>
      <c r="L661"/>
      <c r="M661"/>
    </row>
    <row r="662" spans="3:13" hidden="1" outlineLevel="1" x14ac:dyDescent="0.2">
      <c r="C662" s="139">
        <v>436</v>
      </c>
      <c r="D662" s="248">
        <v>387.17649999999998</v>
      </c>
      <c r="E662" s="248">
        <v>410.82069999999999</v>
      </c>
      <c r="F662" s="248">
        <v>422.05070000000001</v>
      </c>
      <c r="G662" s="248">
        <v>430.56630000000001</v>
      </c>
      <c r="H662" s="248">
        <v>444.74560000000002</v>
      </c>
      <c r="I662"/>
      <c r="J662"/>
      <c r="K662"/>
      <c r="L662"/>
      <c r="M662"/>
    </row>
    <row r="663" spans="3:13" hidden="1" outlineLevel="1" x14ac:dyDescent="0.2">
      <c r="C663" s="139">
        <v>437</v>
      </c>
      <c r="D663" s="248">
        <v>388.12790000000001</v>
      </c>
      <c r="E663" s="248">
        <v>411.80630000000002</v>
      </c>
      <c r="F663" s="248">
        <v>423.05540000000002</v>
      </c>
      <c r="G663" s="248">
        <v>431.5872</v>
      </c>
      <c r="H663" s="248">
        <v>445.79500000000002</v>
      </c>
      <c r="I663"/>
      <c r="J663"/>
      <c r="K663"/>
      <c r="L663"/>
      <c r="M663"/>
    </row>
    <row r="664" spans="3:13" hidden="1" outlineLevel="1" x14ac:dyDescent="0.2">
      <c r="C664" s="139">
        <v>438</v>
      </c>
      <c r="D664" s="248">
        <v>389.07619999999997</v>
      </c>
      <c r="E664" s="248">
        <v>412.7921</v>
      </c>
      <c r="F664" s="248">
        <v>424.06020000000001</v>
      </c>
      <c r="G664" s="248">
        <v>432.60489999999999</v>
      </c>
      <c r="H664" s="248">
        <v>446.84089999999998</v>
      </c>
      <c r="I664"/>
      <c r="J664"/>
      <c r="K664"/>
      <c r="L664"/>
      <c r="M664"/>
    </row>
    <row r="665" spans="3:13" hidden="1" outlineLevel="1" x14ac:dyDescent="0.2">
      <c r="C665" s="139">
        <v>439</v>
      </c>
      <c r="D665" s="248">
        <v>390.02809999999999</v>
      </c>
      <c r="E665" s="248">
        <v>413.77809999999999</v>
      </c>
      <c r="F665" s="248">
        <v>425.0652</v>
      </c>
      <c r="G665" s="248">
        <v>433.62599999999998</v>
      </c>
      <c r="H665" s="248">
        <v>447.88690000000003</v>
      </c>
      <c r="I665"/>
      <c r="J665"/>
      <c r="K665"/>
      <c r="L665"/>
      <c r="M665"/>
    </row>
    <row r="666" spans="3:13" hidden="1" outlineLevel="1" x14ac:dyDescent="0.2">
      <c r="C666" s="139">
        <v>440</v>
      </c>
      <c r="D666" s="248">
        <v>390.98039999999997</v>
      </c>
      <c r="E666" s="248">
        <v>414.76760000000002</v>
      </c>
      <c r="F666" s="248">
        <v>426.07040000000001</v>
      </c>
      <c r="G666" s="248">
        <v>434.6474</v>
      </c>
      <c r="H666" s="248">
        <v>448.93299999999999</v>
      </c>
      <c r="I666"/>
      <c r="J666"/>
      <c r="K666"/>
      <c r="L666"/>
      <c r="M666"/>
    </row>
    <row r="667" spans="3:13" hidden="1" outlineLevel="1" x14ac:dyDescent="0.2">
      <c r="C667" s="139">
        <v>441</v>
      </c>
      <c r="D667" s="248">
        <v>391.92950000000002</v>
      </c>
      <c r="E667" s="248">
        <v>415.75400000000002</v>
      </c>
      <c r="F667" s="248">
        <v>427.07580000000002</v>
      </c>
      <c r="G667" s="248">
        <v>435.66550000000001</v>
      </c>
      <c r="H667" s="248">
        <v>449.97919999999999</v>
      </c>
      <c r="I667"/>
      <c r="J667"/>
      <c r="K667"/>
      <c r="L667"/>
      <c r="M667"/>
    </row>
    <row r="668" spans="3:13" hidden="1" outlineLevel="1" x14ac:dyDescent="0.2">
      <c r="C668" s="139">
        <v>442</v>
      </c>
      <c r="D668" s="248">
        <v>392.88229999999999</v>
      </c>
      <c r="E668" s="248">
        <v>416.74059999999997</v>
      </c>
      <c r="F668" s="248">
        <v>428.0813</v>
      </c>
      <c r="G668" s="248">
        <v>436.68709999999999</v>
      </c>
      <c r="H668" s="248">
        <v>451.02550000000002</v>
      </c>
      <c r="I668"/>
      <c r="J668"/>
      <c r="K668"/>
      <c r="L668"/>
      <c r="M668"/>
    </row>
    <row r="669" spans="3:13" hidden="1" outlineLevel="1" x14ac:dyDescent="0.2">
      <c r="C669" s="139">
        <v>443</v>
      </c>
      <c r="D669" s="248">
        <v>393.83199999999999</v>
      </c>
      <c r="E669" s="248">
        <v>417.72739999999999</v>
      </c>
      <c r="F669" s="248">
        <v>429.08699999999999</v>
      </c>
      <c r="G669" s="248">
        <v>437.70890000000003</v>
      </c>
      <c r="H669" s="248">
        <v>452.07190000000003</v>
      </c>
      <c r="I669"/>
      <c r="J669"/>
      <c r="K669"/>
      <c r="L669"/>
      <c r="M669"/>
    </row>
    <row r="670" spans="3:13" hidden="1" outlineLevel="1" x14ac:dyDescent="0.2">
      <c r="C670" s="139">
        <v>444</v>
      </c>
      <c r="D670" s="248">
        <v>394.78539999999998</v>
      </c>
      <c r="E670" s="248">
        <v>418.71440000000001</v>
      </c>
      <c r="F670" s="248">
        <v>430.09280000000001</v>
      </c>
      <c r="G670" s="248">
        <v>438.72739999999999</v>
      </c>
      <c r="H670" s="248">
        <v>453.11849999999998</v>
      </c>
      <c r="I670"/>
      <c r="J670"/>
      <c r="K670"/>
      <c r="L670"/>
      <c r="M670"/>
    </row>
    <row r="671" spans="3:13" hidden="1" outlineLevel="1" x14ac:dyDescent="0.2">
      <c r="C671" s="139">
        <v>445</v>
      </c>
      <c r="D671" s="248">
        <v>395.73570000000001</v>
      </c>
      <c r="E671" s="248">
        <v>419.70159999999998</v>
      </c>
      <c r="F671" s="248">
        <v>431.09879999999998</v>
      </c>
      <c r="G671" s="248">
        <v>439.74950000000001</v>
      </c>
      <c r="H671" s="248">
        <v>454.16520000000003</v>
      </c>
      <c r="I671"/>
      <c r="J671"/>
      <c r="K671"/>
      <c r="L671"/>
      <c r="M671"/>
    </row>
    <row r="672" spans="3:13" hidden="1" outlineLevel="1" x14ac:dyDescent="0.2">
      <c r="C672" s="139">
        <v>446</v>
      </c>
      <c r="D672" s="248">
        <v>396.68619999999999</v>
      </c>
      <c r="E672" s="248">
        <v>420.68549999999999</v>
      </c>
      <c r="F672" s="248">
        <v>432.10500000000002</v>
      </c>
      <c r="G672" s="248">
        <v>440.76830000000001</v>
      </c>
      <c r="H672" s="248">
        <v>455.21199999999999</v>
      </c>
      <c r="I672"/>
      <c r="J672"/>
      <c r="K672"/>
      <c r="L672"/>
      <c r="M672"/>
    </row>
    <row r="673" spans="3:13" hidden="1" outlineLevel="1" x14ac:dyDescent="0.2">
      <c r="C673" s="139">
        <v>447</v>
      </c>
      <c r="D673" s="248">
        <v>397.637</v>
      </c>
      <c r="E673" s="248">
        <v>421.67309999999998</v>
      </c>
      <c r="F673" s="248">
        <v>433.108</v>
      </c>
      <c r="G673" s="248">
        <v>441.78730000000002</v>
      </c>
      <c r="H673" s="248">
        <v>456.25889999999998</v>
      </c>
      <c r="I673"/>
      <c r="J673"/>
      <c r="K673"/>
      <c r="L673"/>
      <c r="M673"/>
    </row>
    <row r="674" spans="3:13" hidden="1" outlineLevel="1" x14ac:dyDescent="0.2">
      <c r="C674" s="139">
        <v>448</v>
      </c>
      <c r="D674" s="248">
        <v>398.59160000000003</v>
      </c>
      <c r="E674" s="248">
        <v>422.66090000000003</v>
      </c>
      <c r="F674" s="248">
        <v>434.11450000000002</v>
      </c>
      <c r="G674" s="248">
        <v>442.8098</v>
      </c>
      <c r="H674" s="248">
        <v>457.30590000000001</v>
      </c>
      <c r="I674"/>
      <c r="J674"/>
      <c r="K674"/>
      <c r="L674"/>
      <c r="M674"/>
    </row>
    <row r="675" spans="3:13" hidden="1" outlineLevel="1" x14ac:dyDescent="0.2">
      <c r="C675" s="139">
        <v>449</v>
      </c>
      <c r="D675" s="248">
        <v>399.54289999999997</v>
      </c>
      <c r="E675" s="248">
        <v>423.64890000000003</v>
      </c>
      <c r="F675" s="248">
        <v>435.12119999999999</v>
      </c>
      <c r="G675" s="248">
        <v>443.82909999999998</v>
      </c>
      <c r="H675" s="248">
        <v>458.35309999999998</v>
      </c>
      <c r="I675"/>
      <c r="J675"/>
      <c r="K675"/>
      <c r="L675"/>
      <c r="M675"/>
    </row>
    <row r="676" spans="3:13" hidden="1" outlineLevel="1" x14ac:dyDescent="0.2">
      <c r="C676" s="139">
        <v>450</v>
      </c>
      <c r="D676" s="248">
        <v>400.49459999999999</v>
      </c>
      <c r="E676" s="248">
        <v>424.6336</v>
      </c>
      <c r="F676" s="248">
        <v>436.12459999999999</v>
      </c>
      <c r="G676" s="248">
        <v>444.84840000000003</v>
      </c>
      <c r="H676" s="248">
        <v>459.40030000000002</v>
      </c>
      <c r="I676"/>
      <c r="J676"/>
      <c r="K676"/>
      <c r="L676"/>
      <c r="M676"/>
    </row>
    <row r="677" spans="3:13" hidden="1" outlineLevel="1" x14ac:dyDescent="0.2">
      <c r="C677" s="139">
        <v>451</v>
      </c>
      <c r="D677" s="248">
        <v>401.44650000000001</v>
      </c>
      <c r="E677" s="248">
        <v>425.62200000000001</v>
      </c>
      <c r="F677" s="248">
        <v>437.13159999999999</v>
      </c>
      <c r="G677" s="248">
        <v>445.87139999999999</v>
      </c>
      <c r="H677" s="248">
        <v>460.4477</v>
      </c>
      <c r="I677"/>
      <c r="J677"/>
      <c r="K677"/>
      <c r="L677"/>
      <c r="M677"/>
    </row>
    <row r="678" spans="3:13" hidden="1" outlineLevel="1" x14ac:dyDescent="0.2">
      <c r="C678" s="139">
        <v>452</v>
      </c>
      <c r="D678" s="248">
        <v>402.39870000000002</v>
      </c>
      <c r="E678" s="248">
        <v>426.6105</v>
      </c>
      <c r="F678" s="248">
        <v>438.1354</v>
      </c>
      <c r="G678" s="248">
        <v>446.89109999999999</v>
      </c>
      <c r="H678" s="248">
        <v>461.49520000000001</v>
      </c>
      <c r="I678"/>
      <c r="J678"/>
      <c r="K678"/>
      <c r="L678"/>
      <c r="M678"/>
    </row>
    <row r="679" spans="3:13" hidden="1" outlineLevel="1" x14ac:dyDescent="0.2">
      <c r="C679" s="139">
        <v>453</v>
      </c>
      <c r="D679" s="248">
        <v>403.34769999999997</v>
      </c>
      <c r="E679" s="248">
        <v>427.5958</v>
      </c>
      <c r="F679" s="248">
        <v>439.14269999999999</v>
      </c>
      <c r="G679" s="248">
        <v>447.91090000000003</v>
      </c>
      <c r="H679" s="248">
        <v>462.53910000000002</v>
      </c>
      <c r="I679"/>
      <c r="J679"/>
      <c r="K679"/>
      <c r="L679"/>
      <c r="M679"/>
    </row>
    <row r="680" spans="3:13" hidden="1" outlineLevel="1" x14ac:dyDescent="0.2">
      <c r="C680" s="139">
        <v>454</v>
      </c>
      <c r="D680" s="248">
        <v>404.3005</v>
      </c>
      <c r="E680" s="248">
        <v>428.58479999999997</v>
      </c>
      <c r="F680" s="248">
        <v>440.14679999999998</v>
      </c>
      <c r="G680" s="248">
        <v>448.93079999999998</v>
      </c>
      <c r="H680" s="248">
        <v>463.58679999999998</v>
      </c>
      <c r="I680"/>
      <c r="J680"/>
      <c r="K680"/>
      <c r="L680"/>
      <c r="M680"/>
    </row>
    <row r="681" spans="3:13" hidden="1" outlineLevel="1" x14ac:dyDescent="0.2">
      <c r="C681" s="139">
        <v>455</v>
      </c>
      <c r="D681" s="248">
        <v>405.25349999999997</v>
      </c>
      <c r="E681" s="248">
        <v>429.57040000000001</v>
      </c>
      <c r="F681" s="248">
        <v>441.15440000000001</v>
      </c>
      <c r="G681" s="248">
        <v>449.95089999999999</v>
      </c>
      <c r="H681" s="248">
        <v>464.63459999999998</v>
      </c>
      <c r="I681"/>
      <c r="J681"/>
      <c r="K681"/>
      <c r="L681"/>
      <c r="M681"/>
    </row>
    <row r="682" spans="3:13" hidden="1" outlineLevel="1" x14ac:dyDescent="0.2">
      <c r="C682" s="139">
        <v>456</v>
      </c>
      <c r="D682" s="248">
        <v>406.20679999999999</v>
      </c>
      <c r="E682" s="248">
        <v>430.5598</v>
      </c>
      <c r="F682" s="248">
        <v>442.15879999999999</v>
      </c>
      <c r="G682" s="248">
        <v>450.97460000000001</v>
      </c>
      <c r="H682" s="248">
        <v>465.67880000000002</v>
      </c>
      <c r="I682"/>
      <c r="J682"/>
      <c r="K682"/>
      <c r="L682"/>
      <c r="M682"/>
    </row>
    <row r="683" spans="3:13" hidden="1" outlineLevel="1" x14ac:dyDescent="0.2">
      <c r="C683" s="139">
        <v>457</v>
      </c>
      <c r="D683" s="248">
        <v>407.15679999999998</v>
      </c>
      <c r="E683" s="248">
        <v>431.54579999999999</v>
      </c>
      <c r="F683" s="248">
        <v>443.16680000000002</v>
      </c>
      <c r="G683" s="248">
        <v>451.99489999999997</v>
      </c>
      <c r="H683" s="248">
        <v>466.72680000000003</v>
      </c>
      <c r="I683"/>
      <c r="J683"/>
      <c r="K683"/>
      <c r="L683"/>
      <c r="M683"/>
    </row>
    <row r="684" spans="3:13" hidden="1" outlineLevel="1" x14ac:dyDescent="0.2">
      <c r="C684" s="139">
        <v>458</v>
      </c>
      <c r="D684" s="248">
        <v>408.11070000000001</v>
      </c>
      <c r="E684" s="248">
        <v>432.53210000000001</v>
      </c>
      <c r="F684" s="248">
        <v>444.17149999999998</v>
      </c>
      <c r="G684" s="248">
        <v>453.0154</v>
      </c>
      <c r="H684" s="248">
        <v>467.77499999999998</v>
      </c>
      <c r="I684"/>
      <c r="J684"/>
      <c r="K684"/>
      <c r="L684"/>
      <c r="M684"/>
    </row>
    <row r="685" spans="3:13" hidden="1" outlineLevel="1" x14ac:dyDescent="0.2">
      <c r="C685" s="139">
        <v>459</v>
      </c>
      <c r="D685" s="248">
        <v>409.06130000000002</v>
      </c>
      <c r="E685" s="248">
        <v>433.52199999999999</v>
      </c>
      <c r="F685" s="248">
        <v>445.17630000000003</v>
      </c>
      <c r="G685" s="248">
        <v>454.03609999999998</v>
      </c>
      <c r="H685" s="248">
        <v>468.81950000000001</v>
      </c>
      <c r="I685"/>
      <c r="J685"/>
      <c r="K685"/>
      <c r="L685"/>
      <c r="M685"/>
    </row>
    <row r="686" spans="3:13" hidden="1" outlineLevel="1" x14ac:dyDescent="0.2">
      <c r="C686" s="139">
        <v>460</v>
      </c>
      <c r="D686" s="248">
        <v>410.01560000000001</v>
      </c>
      <c r="E686" s="248">
        <v>434.5086</v>
      </c>
      <c r="F686" s="248">
        <v>446.18130000000002</v>
      </c>
      <c r="G686" s="248">
        <v>455.05680000000001</v>
      </c>
      <c r="H686" s="248">
        <v>469.86790000000002</v>
      </c>
      <c r="I686"/>
      <c r="J686"/>
      <c r="K686"/>
      <c r="L686"/>
      <c r="M686"/>
    </row>
    <row r="687" spans="3:13" hidden="1" outlineLevel="1" x14ac:dyDescent="0.2">
      <c r="C687" s="139">
        <v>461</v>
      </c>
      <c r="D687" s="248">
        <v>410.96679999999998</v>
      </c>
      <c r="E687" s="248">
        <v>435.49540000000002</v>
      </c>
      <c r="F687" s="248">
        <v>447.18990000000002</v>
      </c>
      <c r="G687" s="248">
        <v>456.07769999999999</v>
      </c>
      <c r="H687" s="248">
        <v>470.91640000000001</v>
      </c>
      <c r="I687"/>
      <c r="J687"/>
      <c r="K687"/>
      <c r="L687"/>
      <c r="M687"/>
    </row>
    <row r="688" spans="3:13" hidden="1" outlineLevel="1" x14ac:dyDescent="0.2">
      <c r="C688" s="139">
        <v>462</v>
      </c>
      <c r="D688" s="248">
        <v>411.91820000000001</v>
      </c>
      <c r="E688" s="248">
        <v>436.48239999999998</v>
      </c>
      <c r="F688" s="248">
        <v>448.1952</v>
      </c>
      <c r="G688" s="248">
        <v>457.09530000000001</v>
      </c>
      <c r="H688" s="248">
        <v>471.96120000000002</v>
      </c>
      <c r="I688"/>
      <c r="J688"/>
      <c r="K688"/>
      <c r="L688"/>
      <c r="M688"/>
    </row>
    <row r="689" spans="3:13" hidden="1" outlineLevel="1" x14ac:dyDescent="0.2">
      <c r="C689" s="139">
        <v>463</v>
      </c>
      <c r="D689" s="248">
        <v>412.87329999999997</v>
      </c>
      <c r="E689" s="248">
        <v>437.46949999999998</v>
      </c>
      <c r="F689" s="248">
        <v>449.20060000000001</v>
      </c>
      <c r="G689" s="248">
        <v>458.1164</v>
      </c>
      <c r="H689" s="248">
        <v>473.01</v>
      </c>
      <c r="I689"/>
      <c r="J689"/>
      <c r="K689"/>
      <c r="L689"/>
      <c r="M689"/>
    </row>
    <row r="690" spans="3:13" hidden="1" outlineLevel="1" x14ac:dyDescent="0.2">
      <c r="C690" s="139">
        <v>464</v>
      </c>
      <c r="D690" s="248">
        <v>413.82530000000003</v>
      </c>
      <c r="E690" s="248">
        <v>438.45679999999999</v>
      </c>
      <c r="F690" s="248">
        <v>450.20620000000002</v>
      </c>
      <c r="G690" s="248">
        <v>459.13780000000003</v>
      </c>
      <c r="H690" s="248">
        <v>474.05489999999998</v>
      </c>
      <c r="I690"/>
      <c r="J690"/>
      <c r="K690"/>
      <c r="L690"/>
      <c r="M690"/>
    </row>
    <row r="691" spans="3:13" hidden="1" outlineLevel="1" x14ac:dyDescent="0.2">
      <c r="C691" s="139">
        <v>465</v>
      </c>
      <c r="D691" s="248">
        <v>414.7774</v>
      </c>
      <c r="E691" s="248">
        <v>439.44439999999997</v>
      </c>
      <c r="F691" s="248">
        <v>451.21199999999999</v>
      </c>
      <c r="G691" s="248">
        <v>460.1592</v>
      </c>
      <c r="H691" s="248">
        <v>475.10390000000001</v>
      </c>
      <c r="I691"/>
      <c r="J691"/>
      <c r="K691"/>
      <c r="L691"/>
      <c r="M691"/>
    </row>
    <row r="692" spans="3:13" hidden="1" outlineLevel="1" x14ac:dyDescent="0.2">
      <c r="C692" s="139">
        <v>466</v>
      </c>
      <c r="D692" s="248">
        <v>415.72989999999999</v>
      </c>
      <c r="E692" s="248">
        <v>440.43209999999999</v>
      </c>
      <c r="F692" s="248">
        <v>452.21789999999999</v>
      </c>
      <c r="G692" s="248">
        <v>461.18079999999998</v>
      </c>
      <c r="H692" s="248">
        <v>476.14909999999998</v>
      </c>
      <c r="I692"/>
      <c r="J692"/>
      <c r="K692"/>
      <c r="L692"/>
      <c r="M692"/>
    </row>
    <row r="693" spans="3:13" hidden="1" outlineLevel="1" x14ac:dyDescent="0.2">
      <c r="C693" s="139">
        <v>467</v>
      </c>
      <c r="D693" s="248">
        <v>416.68259999999998</v>
      </c>
      <c r="E693" s="248">
        <v>441.42</v>
      </c>
      <c r="F693" s="248">
        <v>453.22390000000001</v>
      </c>
      <c r="G693" s="248">
        <v>462.19900000000001</v>
      </c>
      <c r="H693" s="248">
        <v>477.19439999999997</v>
      </c>
      <c r="I693"/>
      <c r="J693"/>
      <c r="K693"/>
      <c r="L693"/>
      <c r="M693"/>
    </row>
    <row r="694" spans="3:13" hidden="1" outlineLevel="1" x14ac:dyDescent="0.2">
      <c r="C694" s="139">
        <v>468</v>
      </c>
      <c r="D694" s="248">
        <v>417.63549999999998</v>
      </c>
      <c r="E694" s="248">
        <v>442.40800000000002</v>
      </c>
      <c r="F694" s="248">
        <v>454.23009999999999</v>
      </c>
      <c r="G694" s="248">
        <v>463.2208</v>
      </c>
      <c r="H694" s="248">
        <v>478.24369999999999</v>
      </c>
      <c r="I694"/>
      <c r="J694"/>
      <c r="K694"/>
      <c r="L694"/>
      <c r="M694"/>
    </row>
    <row r="695" spans="3:13" hidden="1" outlineLevel="1" x14ac:dyDescent="0.2">
      <c r="C695" s="139">
        <v>469</v>
      </c>
      <c r="D695" s="248">
        <v>418.58870000000002</v>
      </c>
      <c r="E695" s="248">
        <v>443.3963</v>
      </c>
      <c r="F695" s="248">
        <v>455.23649999999998</v>
      </c>
      <c r="G695" s="248">
        <v>464.24279999999999</v>
      </c>
      <c r="H695" s="248">
        <v>479.28930000000003</v>
      </c>
      <c r="I695"/>
      <c r="J695"/>
      <c r="K695"/>
      <c r="L695"/>
      <c r="M695"/>
    </row>
    <row r="696" spans="3:13" hidden="1" outlineLevel="1" x14ac:dyDescent="0.2">
      <c r="C696" s="139">
        <v>470</v>
      </c>
      <c r="D696" s="248">
        <v>419.54219999999998</v>
      </c>
      <c r="E696" s="248">
        <v>444.38470000000001</v>
      </c>
      <c r="F696" s="248">
        <v>456.24299999999999</v>
      </c>
      <c r="G696" s="248">
        <v>465.26490000000001</v>
      </c>
      <c r="H696" s="248">
        <v>480.33879999999999</v>
      </c>
      <c r="I696"/>
      <c r="J696"/>
      <c r="K696"/>
      <c r="L696"/>
      <c r="M696"/>
    </row>
    <row r="697" spans="3:13" hidden="1" outlineLevel="1" x14ac:dyDescent="0.2">
      <c r="C697" s="139">
        <v>471</v>
      </c>
      <c r="D697" s="248">
        <v>420.49590000000001</v>
      </c>
      <c r="E697" s="248">
        <v>445.37329999999997</v>
      </c>
      <c r="F697" s="248">
        <v>457.24970000000002</v>
      </c>
      <c r="G697" s="248">
        <v>466.28359999999998</v>
      </c>
      <c r="H697" s="248">
        <v>481.3845</v>
      </c>
      <c r="I697"/>
      <c r="J697"/>
      <c r="K697"/>
      <c r="L697"/>
      <c r="M697"/>
    </row>
    <row r="698" spans="3:13" hidden="1" outlineLevel="1" x14ac:dyDescent="0.2">
      <c r="C698" s="139">
        <v>472</v>
      </c>
      <c r="D698" s="248">
        <v>421.44630000000001</v>
      </c>
      <c r="E698" s="248">
        <v>446.36219999999997</v>
      </c>
      <c r="F698" s="248">
        <v>458.25650000000002</v>
      </c>
      <c r="G698" s="248">
        <v>467.30599999999998</v>
      </c>
      <c r="H698" s="248">
        <v>482.43029999999999</v>
      </c>
      <c r="I698"/>
      <c r="J698"/>
      <c r="K698"/>
      <c r="L698"/>
      <c r="M698"/>
    </row>
    <row r="699" spans="3:13" hidden="1" outlineLevel="1" x14ac:dyDescent="0.2">
      <c r="C699" s="139">
        <v>473</v>
      </c>
      <c r="D699" s="248">
        <v>422.4006</v>
      </c>
      <c r="E699" s="248">
        <v>447.34750000000003</v>
      </c>
      <c r="F699" s="248">
        <v>459.25990000000002</v>
      </c>
      <c r="G699" s="248">
        <v>468.32490000000001</v>
      </c>
      <c r="H699" s="248">
        <v>483.48020000000002</v>
      </c>
      <c r="I699"/>
      <c r="J699"/>
      <c r="K699"/>
      <c r="L699"/>
      <c r="M699"/>
    </row>
    <row r="700" spans="3:13" hidden="1" outlineLevel="1" x14ac:dyDescent="0.2">
      <c r="C700" s="139">
        <v>474</v>
      </c>
      <c r="D700" s="248">
        <v>423.35509999999999</v>
      </c>
      <c r="E700" s="248">
        <v>448.33670000000001</v>
      </c>
      <c r="F700" s="248">
        <v>460.267</v>
      </c>
      <c r="G700" s="248">
        <v>469.3476</v>
      </c>
      <c r="H700" s="248">
        <v>484.52620000000002</v>
      </c>
      <c r="I700"/>
      <c r="J700"/>
      <c r="K700"/>
      <c r="L700"/>
      <c r="M700"/>
    </row>
    <row r="701" spans="3:13" hidden="1" outlineLevel="1" x14ac:dyDescent="0.2">
      <c r="C701" s="139">
        <v>475</v>
      </c>
      <c r="D701" s="248">
        <v>424.30619999999999</v>
      </c>
      <c r="E701" s="248">
        <v>449.32600000000002</v>
      </c>
      <c r="F701" s="248">
        <v>461.27420000000001</v>
      </c>
      <c r="G701" s="248">
        <v>470.36680000000001</v>
      </c>
      <c r="H701" s="248">
        <v>485.57240000000002</v>
      </c>
      <c r="I701"/>
      <c r="J701"/>
      <c r="K701"/>
      <c r="L701"/>
      <c r="M701"/>
    </row>
    <row r="702" spans="3:13" hidden="1" outlineLevel="1" x14ac:dyDescent="0.2">
      <c r="C702" s="139">
        <v>476</v>
      </c>
      <c r="D702" s="248">
        <v>425.26119999999997</v>
      </c>
      <c r="E702" s="248">
        <v>450.31189999999998</v>
      </c>
      <c r="F702" s="248">
        <v>462.2817</v>
      </c>
      <c r="G702" s="248">
        <v>471.3897</v>
      </c>
      <c r="H702" s="248">
        <v>486.61860000000001</v>
      </c>
      <c r="I702"/>
      <c r="J702"/>
      <c r="K702"/>
      <c r="L702"/>
      <c r="M702"/>
    </row>
    <row r="703" spans="3:13" hidden="1" outlineLevel="1" x14ac:dyDescent="0.2">
      <c r="C703" s="139">
        <v>477</v>
      </c>
      <c r="D703" s="248">
        <v>426.21280000000002</v>
      </c>
      <c r="E703" s="248">
        <v>451.30160000000001</v>
      </c>
      <c r="F703" s="248">
        <v>463.28559999999999</v>
      </c>
      <c r="G703" s="248">
        <v>472.40910000000002</v>
      </c>
      <c r="H703" s="248">
        <v>487.66489999999999</v>
      </c>
      <c r="I703"/>
      <c r="J703"/>
      <c r="K703"/>
      <c r="L703"/>
      <c r="M703"/>
    </row>
    <row r="704" spans="3:13" hidden="1" outlineLevel="1" x14ac:dyDescent="0.2">
      <c r="C704" s="139">
        <v>478</v>
      </c>
      <c r="D704" s="248">
        <v>427.16840000000002</v>
      </c>
      <c r="E704" s="248">
        <v>452.28789999999998</v>
      </c>
      <c r="F704" s="248">
        <v>464.29329999999999</v>
      </c>
      <c r="G704" s="248">
        <v>473.4323</v>
      </c>
      <c r="H704" s="248">
        <v>488.71539999999999</v>
      </c>
      <c r="I704"/>
      <c r="J704"/>
      <c r="K704"/>
      <c r="L704"/>
      <c r="M704"/>
    </row>
    <row r="705" spans="3:13" hidden="1" outlineLevel="1" x14ac:dyDescent="0.2">
      <c r="C705" s="139">
        <v>479</v>
      </c>
      <c r="D705" s="248">
        <v>428.12049999999999</v>
      </c>
      <c r="E705" s="248">
        <v>453.27789999999999</v>
      </c>
      <c r="F705" s="248">
        <v>465.29750000000001</v>
      </c>
      <c r="G705" s="248">
        <v>474.452</v>
      </c>
      <c r="H705" s="248">
        <v>489.76190000000003</v>
      </c>
      <c r="I705"/>
      <c r="J705"/>
      <c r="K705"/>
      <c r="L705"/>
      <c r="M705"/>
    </row>
    <row r="706" spans="3:13" hidden="1" outlineLevel="1" x14ac:dyDescent="0.2">
      <c r="C706" s="139">
        <v>480</v>
      </c>
      <c r="D706" s="248">
        <v>429.07650000000001</v>
      </c>
      <c r="E706" s="248">
        <v>454.2645</v>
      </c>
      <c r="F706" s="248">
        <v>466.30549999999999</v>
      </c>
      <c r="G706" s="248">
        <v>475.47179999999997</v>
      </c>
      <c r="H706" s="248">
        <v>490.80849999999998</v>
      </c>
      <c r="I706"/>
      <c r="J706"/>
      <c r="K706"/>
      <c r="L706"/>
      <c r="M706"/>
    </row>
    <row r="707" spans="3:13" hidden="1" outlineLevel="1" x14ac:dyDescent="0.2">
      <c r="C707" s="139">
        <v>481</v>
      </c>
      <c r="D707" s="248">
        <v>430.0292</v>
      </c>
      <c r="E707" s="248">
        <v>455.25490000000002</v>
      </c>
      <c r="F707" s="248">
        <v>467.31369999999998</v>
      </c>
      <c r="G707" s="248">
        <v>476.49540000000002</v>
      </c>
      <c r="H707" s="248">
        <v>491.8553</v>
      </c>
      <c r="I707"/>
      <c r="J707"/>
      <c r="K707"/>
      <c r="L707"/>
      <c r="M707"/>
    </row>
    <row r="708" spans="3:13" hidden="1" outlineLevel="1" x14ac:dyDescent="0.2">
      <c r="C708" s="139">
        <v>482</v>
      </c>
      <c r="D708" s="248">
        <v>430.98200000000003</v>
      </c>
      <c r="E708" s="248">
        <v>456.24189999999999</v>
      </c>
      <c r="F708" s="248">
        <v>468.3184</v>
      </c>
      <c r="G708" s="248">
        <v>477.5154</v>
      </c>
      <c r="H708" s="248">
        <v>492.90210000000002</v>
      </c>
      <c r="I708"/>
      <c r="J708"/>
      <c r="K708"/>
      <c r="L708"/>
      <c r="M708"/>
    </row>
    <row r="709" spans="3:13" hidden="1" outlineLevel="1" x14ac:dyDescent="0.2">
      <c r="C709" s="139">
        <v>483</v>
      </c>
      <c r="D709" s="248">
        <v>431.93509999999998</v>
      </c>
      <c r="E709" s="248">
        <v>457.22899999999998</v>
      </c>
      <c r="F709" s="248">
        <v>469.32310000000001</v>
      </c>
      <c r="G709" s="248">
        <v>478.53559999999999</v>
      </c>
      <c r="H709" s="248">
        <v>493.94900000000001</v>
      </c>
      <c r="I709"/>
      <c r="J709"/>
      <c r="K709"/>
      <c r="L709"/>
      <c r="M709"/>
    </row>
    <row r="710" spans="3:13" hidden="1" outlineLevel="1" x14ac:dyDescent="0.2">
      <c r="C710" s="139">
        <v>484</v>
      </c>
      <c r="D710" s="248">
        <v>432.8922</v>
      </c>
      <c r="E710" s="248">
        <v>458.2199</v>
      </c>
      <c r="F710" s="248">
        <v>470.33170000000001</v>
      </c>
      <c r="G710" s="248">
        <v>479.55590000000001</v>
      </c>
      <c r="H710" s="248">
        <v>494.99610000000001</v>
      </c>
      <c r="I710"/>
      <c r="J710"/>
      <c r="K710"/>
      <c r="L710"/>
      <c r="M710"/>
    </row>
    <row r="711" spans="3:13" hidden="1" outlineLevel="1" x14ac:dyDescent="0.2">
      <c r="C711" s="139">
        <v>485</v>
      </c>
      <c r="D711" s="248">
        <v>433.8458</v>
      </c>
      <c r="E711" s="248">
        <v>459.20740000000001</v>
      </c>
      <c r="F711" s="248">
        <v>471.33679999999998</v>
      </c>
      <c r="G711" s="248">
        <v>480.58</v>
      </c>
      <c r="H711" s="248">
        <v>496.04320000000001</v>
      </c>
      <c r="I711"/>
      <c r="J711"/>
      <c r="K711"/>
      <c r="L711"/>
      <c r="M711"/>
    </row>
    <row r="712" spans="3:13" hidden="1" outlineLevel="1" x14ac:dyDescent="0.2">
      <c r="C712" s="139">
        <v>486</v>
      </c>
      <c r="D712" s="248">
        <v>434.79969999999997</v>
      </c>
      <c r="E712" s="248">
        <v>460.19499999999999</v>
      </c>
      <c r="F712" s="248">
        <v>472.34570000000002</v>
      </c>
      <c r="G712" s="248">
        <v>481.60059999999999</v>
      </c>
      <c r="H712" s="248">
        <v>497.09050000000002</v>
      </c>
      <c r="I712"/>
      <c r="J712"/>
      <c r="K712"/>
      <c r="L712"/>
      <c r="M712"/>
    </row>
    <row r="713" spans="3:13" hidden="1" outlineLevel="1" x14ac:dyDescent="0.2">
      <c r="C713" s="139">
        <v>487</v>
      </c>
      <c r="D713" s="248">
        <v>435.75380000000001</v>
      </c>
      <c r="E713" s="248">
        <v>461.18270000000001</v>
      </c>
      <c r="F713" s="248">
        <v>473.35109999999997</v>
      </c>
      <c r="G713" s="248">
        <v>482.62130000000002</v>
      </c>
      <c r="H713" s="248">
        <v>498.13780000000003</v>
      </c>
      <c r="I713"/>
      <c r="J713"/>
      <c r="K713"/>
      <c r="L713"/>
      <c r="M713"/>
    </row>
    <row r="714" spans="3:13" hidden="1" outlineLevel="1" x14ac:dyDescent="0.2">
      <c r="C714" s="139">
        <v>488</v>
      </c>
      <c r="D714" s="248">
        <v>436.7081</v>
      </c>
      <c r="E714" s="248">
        <v>462.17070000000001</v>
      </c>
      <c r="F714" s="248">
        <v>474.35649999999998</v>
      </c>
      <c r="G714" s="248">
        <v>483.64210000000003</v>
      </c>
      <c r="H714" s="248">
        <v>499.18529999999998</v>
      </c>
      <c r="I714"/>
      <c r="J714"/>
      <c r="K714"/>
      <c r="L714"/>
      <c r="M714"/>
    </row>
    <row r="715" spans="3:13" hidden="1" outlineLevel="1" x14ac:dyDescent="0.2">
      <c r="C715" s="139">
        <v>489</v>
      </c>
      <c r="D715" s="248">
        <v>437.65899999999999</v>
      </c>
      <c r="E715" s="248">
        <v>463.15879999999999</v>
      </c>
      <c r="F715" s="248">
        <v>475.36590000000001</v>
      </c>
      <c r="G715" s="248">
        <v>484.66300000000001</v>
      </c>
      <c r="H715" s="248">
        <v>500.2328</v>
      </c>
      <c r="I715"/>
      <c r="J715"/>
      <c r="K715"/>
      <c r="L715"/>
      <c r="M715"/>
    </row>
    <row r="716" spans="3:13" hidden="1" outlineLevel="1" x14ac:dyDescent="0.2">
      <c r="C716" s="139">
        <v>490</v>
      </c>
      <c r="D716" s="248">
        <v>438.61380000000003</v>
      </c>
      <c r="E716" s="248">
        <v>464.1508</v>
      </c>
      <c r="F716" s="248">
        <v>476.37169999999998</v>
      </c>
      <c r="G716" s="248">
        <v>485.68400000000003</v>
      </c>
      <c r="H716" s="248">
        <v>501.28039999999999</v>
      </c>
      <c r="I716"/>
      <c r="J716"/>
      <c r="K716"/>
      <c r="L716"/>
      <c r="M716"/>
    </row>
    <row r="717" spans="3:13" hidden="1" outlineLevel="1" x14ac:dyDescent="0.2">
      <c r="C717" s="139">
        <v>491</v>
      </c>
      <c r="D717" s="248">
        <v>439.56880000000001</v>
      </c>
      <c r="E717" s="248">
        <v>465.13929999999999</v>
      </c>
      <c r="F717" s="248">
        <v>477.37759999999997</v>
      </c>
      <c r="G717" s="248">
        <v>486.70519999999999</v>
      </c>
      <c r="H717" s="248">
        <v>502.32819999999998</v>
      </c>
      <c r="I717"/>
      <c r="J717"/>
      <c r="K717"/>
      <c r="L717"/>
      <c r="M717"/>
    </row>
    <row r="718" spans="3:13" hidden="1" outlineLevel="1" x14ac:dyDescent="0.2">
      <c r="C718" s="139">
        <v>492</v>
      </c>
      <c r="D718" s="248">
        <v>440.52420000000001</v>
      </c>
      <c r="E718" s="248">
        <v>466.12790000000001</v>
      </c>
      <c r="F718" s="248">
        <v>478.3836</v>
      </c>
      <c r="G718" s="248">
        <v>487.72649999999999</v>
      </c>
      <c r="H718" s="248">
        <v>503.37599999999998</v>
      </c>
      <c r="I718"/>
      <c r="J718"/>
      <c r="K718"/>
      <c r="L718"/>
      <c r="M718"/>
    </row>
    <row r="719" spans="3:13" hidden="1" outlineLevel="1" x14ac:dyDescent="0.2">
      <c r="C719" s="139">
        <v>493</v>
      </c>
      <c r="D719" s="248">
        <v>441.47969999999998</v>
      </c>
      <c r="E719" s="248">
        <v>467.11669999999998</v>
      </c>
      <c r="F719" s="248">
        <v>479.38979999999998</v>
      </c>
      <c r="G719" s="248">
        <v>488.74790000000002</v>
      </c>
      <c r="H719" s="248">
        <v>504.42399999999998</v>
      </c>
      <c r="I719"/>
      <c r="J719"/>
      <c r="K719"/>
      <c r="L719"/>
      <c r="M719"/>
    </row>
    <row r="720" spans="3:13" hidden="1" outlineLevel="1" x14ac:dyDescent="0.2">
      <c r="C720" s="139">
        <v>494</v>
      </c>
      <c r="D720" s="248">
        <v>442.43169999999998</v>
      </c>
      <c r="E720" s="248">
        <v>468.1019</v>
      </c>
      <c r="F720" s="248">
        <v>480.39609999999999</v>
      </c>
      <c r="G720" s="248">
        <v>489.76940000000002</v>
      </c>
      <c r="H720" s="248">
        <v>505.46789999999999</v>
      </c>
      <c r="I720"/>
      <c r="J720"/>
      <c r="K720"/>
      <c r="L720"/>
      <c r="M720"/>
    </row>
    <row r="721" spans="3:13" hidden="1" outlineLevel="1" x14ac:dyDescent="0.2">
      <c r="C721" s="139">
        <v>495</v>
      </c>
      <c r="D721" s="248">
        <v>443.38780000000003</v>
      </c>
      <c r="E721" s="248">
        <v>469.09100000000001</v>
      </c>
      <c r="F721" s="248">
        <v>481.40629999999999</v>
      </c>
      <c r="G721" s="248">
        <v>490.791</v>
      </c>
      <c r="H721" s="248">
        <v>506.51600000000002</v>
      </c>
      <c r="I721"/>
      <c r="J721"/>
      <c r="K721"/>
      <c r="L721"/>
      <c r="M721"/>
    </row>
    <row r="722" spans="3:13" hidden="1" outlineLevel="1" x14ac:dyDescent="0.2">
      <c r="C722" s="139">
        <v>496</v>
      </c>
      <c r="D722" s="248">
        <v>444.34030000000001</v>
      </c>
      <c r="E722" s="248">
        <v>470.08030000000002</v>
      </c>
      <c r="F722" s="248">
        <v>482.41289999999998</v>
      </c>
      <c r="G722" s="248">
        <v>491.81279999999998</v>
      </c>
      <c r="H722" s="248">
        <v>507.5643</v>
      </c>
      <c r="I722"/>
      <c r="J722"/>
      <c r="K722"/>
      <c r="L722"/>
      <c r="M722"/>
    </row>
    <row r="723" spans="3:13" hidden="1" outlineLevel="1" x14ac:dyDescent="0.2">
      <c r="C723" s="139">
        <v>497</v>
      </c>
      <c r="D723" s="248">
        <v>445.29680000000002</v>
      </c>
      <c r="E723" s="248">
        <v>471.06970000000001</v>
      </c>
      <c r="F723" s="248">
        <v>483.4196</v>
      </c>
      <c r="G723" s="248">
        <v>492.8347</v>
      </c>
      <c r="H723" s="248">
        <v>508.61259999999999</v>
      </c>
      <c r="I723"/>
      <c r="J723"/>
      <c r="K723"/>
      <c r="L723"/>
      <c r="M723"/>
    </row>
    <row r="724" spans="3:13" hidden="1" outlineLevel="1" x14ac:dyDescent="0.2">
      <c r="C724" s="139">
        <v>498</v>
      </c>
      <c r="D724" s="248">
        <v>446.24970000000002</v>
      </c>
      <c r="E724" s="248">
        <v>472.05930000000001</v>
      </c>
      <c r="F724" s="248">
        <v>484.42649999999998</v>
      </c>
      <c r="G724" s="248">
        <v>493.85669999999999</v>
      </c>
      <c r="H724" s="248">
        <v>509.65690000000001</v>
      </c>
      <c r="I724"/>
      <c r="J724"/>
      <c r="K724"/>
      <c r="L724"/>
      <c r="M724"/>
    </row>
    <row r="725" spans="3:13" hidden="1" outlineLevel="1" x14ac:dyDescent="0.2">
      <c r="C725" s="139">
        <v>499</v>
      </c>
      <c r="D725" s="248">
        <v>447.20670000000001</v>
      </c>
      <c r="E725" s="248">
        <v>473.04910000000001</v>
      </c>
      <c r="F725" s="248">
        <v>485.43349999999998</v>
      </c>
      <c r="G725" s="248">
        <v>494.87880000000001</v>
      </c>
      <c r="H725" s="248">
        <v>510.7054</v>
      </c>
      <c r="I725"/>
      <c r="J725"/>
      <c r="K725"/>
      <c r="L725"/>
      <c r="M725"/>
    </row>
    <row r="726" spans="3:13" hidden="1" outlineLevel="1" x14ac:dyDescent="0.2">
      <c r="C726" s="139">
        <v>500</v>
      </c>
      <c r="D726" s="248">
        <v>448.16019999999997</v>
      </c>
      <c r="E726" s="248">
        <v>474.03530000000001</v>
      </c>
      <c r="F726" s="248">
        <v>486.44069999999999</v>
      </c>
      <c r="G726" s="248">
        <v>495.89729999999997</v>
      </c>
      <c r="H726" s="248">
        <v>511.75400000000002</v>
      </c>
      <c r="I726"/>
      <c r="J726"/>
      <c r="K726"/>
      <c r="L726"/>
      <c r="M726"/>
    </row>
    <row r="727" spans="3:13" hidden="1" outlineLevel="1" x14ac:dyDescent="0.2">
      <c r="C727" s="139">
        <v>501</v>
      </c>
      <c r="D727" s="248">
        <v>449.11380000000003</v>
      </c>
      <c r="E727" s="248">
        <v>475.02539999999999</v>
      </c>
      <c r="F727" s="248">
        <v>487.44409999999999</v>
      </c>
      <c r="G727" s="248">
        <v>496.91969999999998</v>
      </c>
      <c r="H727" s="248">
        <v>512.80280000000005</v>
      </c>
      <c r="I727"/>
      <c r="J727"/>
      <c r="K727"/>
      <c r="L727"/>
      <c r="M727"/>
    </row>
    <row r="728" spans="3:13" hidden="1" outlineLevel="1" x14ac:dyDescent="0.2">
      <c r="C728" s="139">
        <v>502</v>
      </c>
      <c r="D728" s="248">
        <v>450.07150000000001</v>
      </c>
      <c r="E728" s="248">
        <v>476.01569999999998</v>
      </c>
      <c r="F728" s="248">
        <v>488.45150000000001</v>
      </c>
      <c r="G728" s="248">
        <v>497.94220000000001</v>
      </c>
      <c r="H728" s="248">
        <v>513.84739999999999</v>
      </c>
      <c r="I728"/>
      <c r="J728"/>
      <c r="K728"/>
      <c r="L728"/>
      <c r="M728"/>
    </row>
    <row r="729" spans="3:13" hidden="1" outlineLevel="1" x14ac:dyDescent="0.2">
      <c r="C729" s="139">
        <v>503</v>
      </c>
      <c r="D729" s="248">
        <v>451.02569999999997</v>
      </c>
      <c r="E729" s="248">
        <v>477.00229999999999</v>
      </c>
      <c r="F729" s="248">
        <v>489.45909999999998</v>
      </c>
      <c r="G729" s="248">
        <v>498.96480000000003</v>
      </c>
      <c r="H729" s="248">
        <v>514.8963</v>
      </c>
      <c r="I729"/>
      <c r="J729"/>
      <c r="K729"/>
      <c r="L729"/>
      <c r="M729"/>
    </row>
    <row r="730" spans="3:13" hidden="1" outlineLevel="1" x14ac:dyDescent="0.2">
      <c r="C730" s="139">
        <v>504</v>
      </c>
      <c r="D730" s="248">
        <v>451.98</v>
      </c>
      <c r="E730" s="248">
        <v>477.99290000000002</v>
      </c>
      <c r="F730" s="248">
        <v>490.46679999999998</v>
      </c>
      <c r="G730" s="248">
        <v>499.9837</v>
      </c>
      <c r="H730" s="248">
        <v>515.94110000000001</v>
      </c>
      <c r="I730"/>
      <c r="J730"/>
      <c r="K730"/>
      <c r="L730"/>
      <c r="M730"/>
    </row>
    <row r="731" spans="3:13" hidden="1" outlineLevel="1" x14ac:dyDescent="0.2">
      <c r="C731" s="139">
        <v>505</v>
      </c>
      <c r="D731" s="248">
        <v>452.93459999999999</v>
      </c>
      <c r="E731" s="248">
        <v>478.97980000000001</v>
      </c>
      <c r="F731" s="248">
        <v>491.47460000000001</v>
      </c>
      <c r="G731" s="248">
        <v>501.00650000000002</v>
      </c>
      <c r="H731" s="248">
        <v>516.99019999999996</v>
      </c>
      <c r="I731"/>
      <c r="J731"/>
      <c r="K731"/>
      <c r="L731"/>
      <c r="M731"/>
    </row>
    <row r="732" spans="3:13" hidden="1" outlineLevel="1" x14ac:dyDescent="0.2">
      <c r="C732" s="139">
        <v>506</v>
      </c>
      <c r="D732" s="248">
        <v>453.88940000000002</v>
      </c>
      <c r="E732" s="248">
        <v>479.9708</v>
      </c>
      <c r="F732" s="248">
        <v>492.48259999999999</v>
      </c>
      <c r="G732" s="248">
        <v>502.02949999999998</v>
      </c>
      <c r="H732" s="248">
        <v>518.03949999999998</v>
      </c>
      <c r="I732"/>
      <c r="J732"/>
      <c r="K732"/>
      <c r="L732"/>
      <c r="M732"/>
    </row>
    <row r="733" spans="3:13" hidden="1" outlineLevel="1" x14ac:dyDescent="0.2">
      <c r="C733" s="139">
        <v>507</v>
      </c>
      <c r="D733" s="248">
        <v>454.84440000000001</v>
      </c>
      <c r="E733" s="248">
        <v>480.95800000000003</v>
      </c>
      <c r="F733" s="248">
        <v>493.48680000000002</v>
      </c>
      <c r="G733" s="248">
        <v>503.0487</v>
      </c>
      <c r="H733" s="248">
        <v>519.08450000000005</v>
      </c>
      <c r="I733"/>
      <c r="J733"/>
      <c r="K733"/>
      <c r="L733"/>
      <c r="M733"/>
    </row>
    <row r="734" spans="3:13" hidden="1" outlineLevel="1" x14ac:dyDescent="0.2">
      <c r="C734" s="139">
        <v>508</v>
      </c>
      <c r="D734" s="248">
        <v>455.79969999999997</v>
      </c>
      <c r="E734" s="248">
        <v>481.94929999999999</v>
      </c>
      <c r="F734" s="248">
        <v>494.495</v>
      </c>
      <c r="G734" s="248">
        <v>504.07190000000003</v>
      </c>
      <c r="H734" s="248">
        <v>520.13390000000004</v>
      </c>
      <c r="I734"/>
      <c r="J734"/>
      <c r="K734"/>
      <c r="L734"/>
      <c r="M734"/>
    </row>
    <row r="735" spans="3:13" hidden="1" outlineLevel="1" x14ac:dyDescent="0.2">
      <c r="C735" s="139">
        <v>509</v>
      </c>
      <c r="D735" s="248">
        <v>456.7552</v>
      </c>
      <c r="E735" s="248">
        <v>482.93680000000001</v>
      </c>
      <c r="F735" s="248">
        <v>495.5034</v>
      </c>
      <c r="G735" s="248">
        <v>505.09140000000002</v>
      </c>
      <c r="H735" s="248">
        <v>521.17920000000004</v>
      </c>
      <c r="I735"/>
      <c r="J735"/>
      <c r="K735"/>
      <c r="L735"/>
      <c r="M735"/>
    </row>
    <row r="736" spans="3:13" hidden="1" outlineLevel="1" x14ac:dyDescent="0.2">
      <c r="C736" s="139">
        <v>510</v>
      </c>
      <c r="D736" s="248">
        <v>457.71089999999998</v>
      </c>
      <c r="E736" s="248">
        <v>483.92840000000001</v>
      </c>
      <c r="F736" s="248">
        <v>496.50799999999998</v>
      </c>
      <c r="G736" s="248">
        <v>506.1148</v>
      </c>
      <c r="H736" s="248">
        <v>522.22879999999998</v>
      </c>
      <c r="I736"/>
      <c r="J736"/>
      <c r="K736"/>
      <c r="L736"/>
      <c r="M736"/>
    </row>
    <row r="737" spans="3:13" hidden="1" outlineLevel="1" x14ac:dyDescent="0.2">
      <c r="C737" s="139">
        <v>511</v>
      </c>
      <c r="D737" s="248">
        <v>458.6669</v>
      </c>
      <c r="E737" s="248">
        <v>484.91629999999998</v>
      </c>
      <c r="F737" s="248">
        <v>497.51659999999998</v>
      </c>
      <c r="G737" s="248">
        <v>507.1345</v>
      </c>
      <c r="H737" s="248">
        <v>523.27419999999995</v>
      </c>
      <c r="I737"/>
      <c r="J737"/>
      <c r="K737"/>
      <c r="L737"/>
      <c r="M737"/>
    </row>
    <row r="738" spans="3:13" hidden="1" outlineLevel="1" x14ac:dyDescent="0.2">
      <c r="C738" s="139">
        <v>512</v>
      </c>
      <c r="D738" s="248">
        <v>459.62299999999999</v>
      </c>
      <c r="E738" s="248">
        <v>485.90429999999998</v>
      </c>
      <c r="F738" s="248">
        <v>498.52539999999999</v>
      </c>
      <c r="G738" s="248">
        <v>508.15820000000002</v>
      </c>
      <c r="H738" s="248">
        <v>524.32399999999996</v>
      </c>
      <c r="I738"/>
      <c r="J738"/>
      <c r="K738"/>
      <c r="L738"/>
      <c r="M738"/>
    </row>
    <row r="739" spans="3:13" hidden="1" outlineLevel="1" x14ac:dyDescent="0.2">
      <c r="C739" s="139">
        <v>513</v>
      </c>
      <c r="D739" s="248">
        <v>460.5795</v>
      </c>
      <c r="E739" s="248">
        <v>486.89640000000003</v>
      </c>
      <c r="F739" s="248">
        <v>499.53039999999999</v>
      </c>
      <c r="G739" s="248">
        <v>509.17809999999997</v>
      </c>
      <c r="H739" s="248">
        <v>525.36959999999999</v>
      </c>
      <c r="I739"/>
      <c r="J739"/>
      <c r="K739"/>
      <c r="L739"/>
      <c r="M739"/>
    </row>
    <row r="740" spans="3:13" hidden="1" outlineLevel="1" x14ac:dyDescent="0.2">
      <c r="C740" s="139">
        <v>514</v>
      </c>
      <c r="D740" s="248">
        <v>461.53219999999999</v>
      </c>
      <c r="E740" s="248">
        <v>487.88470000000001</v>
      </c>
      <c r="F740" s="248">
        <v>500.5394</v>
      </c>
      <c r="G740" s="248">
        <v>510.202</v>
      </c>
      <c r="H740" s="248">
        <v>526.41959999999995</v>
      </c>
      <c r="I740"/>
      <c r="J740"/>
      <c r="K740"/>
      <c r="L740"/>
      <c r="M740"/>
    </row>
    <row r="741" spans="3:13" hidden="1" outlineLevel="1" x14ac:dyDescent="0.2">
      <c r="C741" s="139">
        <v>515</v>
      </c>
      <c r="D741" s="248">
        <v>462.48899999999998</v>
      </c>
      <c r="E741" s="248">
        <v>488.8732</v>
      </c>
      <c r="F741" s="248">
        <v>501.54469999999998</v>
      </c>
      <c r="G741" s="248">
        <v>511.22210000000001</v>
      </c>
      <c r="H741" s="248">
        <v>527.46540000000005</v>
      </c>
      <c r="I741"/>
      <c r="J741"/>
      <c r="K741"/>
      <c r="L741"/>
      <c r="M741"/>
    </row>
    <row r="742" spans="3:13" hidden="1" outlineLevel="1" x14ac:dyDescent="0.2">
      <c r="C742" s="139">
        <v>516</v>
      </c>
      <c r="D742" s="248">
        <v>463.4461</v>
      </c>
      <c r="E742" s="248">
        <v>489.86180000000002</v>
      </c>
      <c r="F742" s="248">
        <v>502.55399999999997</v>
      </c>
      <c r="G742" s="248">
        <v>512.24630000000002</v>
      </c>
      <c r="H742" s="248">
        <v>528.51559999999995</v>
      </c>
      <c r="I742"/>
      <c r="J742"/>
      <c r="K742"/>
      <c r="L742"/>
      <c r="M742"/>
    </row>
    <row r="743" spans="3:13" hidden="1" outlineLevel="1" x14ac:dyDescent="0.2">
      <c r="C743" s="139">
        <v>517</v>
      </c>
      <c r="D743" s="248">
        <v>464.39949999999999</v>
      </c>
      <c r="E743" s="248">
        <v>490.85059999999999</v>
      </c>
      <c r="F743" s="248">
        <v>503.55950000000001</v>
      </c>
      <c r="G743" s="248">
        <v>513.26660000000004</v>
      </c>
      <c r="H743" s="248">
        <v>529.56150000000002</v>
      </c>
      <c r="I743"/>
      <c r="J743"/>
      <c r="K743"/>
      <c r="L743"/>
      <c r="M743"/>
    </row>
    <row r="744" spans="3:13" hidden="1" outlineLevel="1" x14ac:dyDescent="0.2">
      <c r="C744" s="139">
        <v>518</v>
      </c>
      <c r="D744" s="248">
        <v>465.35700000000003</v>
      </c>
      <c r="E744" s="248">
        <v>491.84350000000001</v>
      </c>
      <c r="F744" s="248">
        <v>504.56900000000002</v>
      </c>
      <c r="G744" s="248">
        <v>514.28710000000001</v>
      </c>
      <c r="H744" s="248">
        <v>530.60760000000005</v>
      </c>
      <c r="I744"/>
      <c r="J744"/>
      <c r="K744"/>
      <c r="L744"/>
      <c r="M744"/>
    </row>
    <row r="745" spans="3:13" hidden="1" outlineLevel="1" x14ac:dyDescent="0.2">
      <c r="C745" s="139">
        <v>519</v>
      </c>
      <c r="D745" s="248">
        <v>466.31079999999997</v>
      </c>
      <c r="E745" s="248">
        <v>492.83260000000001</v>
      </c>
      <c r="F745" s="248">
        <v>505.57479999999998</v>
      </c>
      <c r="G745" s="248">
        <v>515.3116</v>
      </c>
      <c r="H745" s="248">
        <v>531.65800000000002</v>
      </c>
      <c r="I745"/>
      <c r="J745"/>
      <c r="K745"/>
      <c r="L745"/>
      <c r="M745"/>
    </row>
    <row r="746" spans="3:13" hidden="1" outlineLevel="1" x14ac:dyDescent="0.2">
      <c r="C746" s="139">
        <v>520</v>
      </c>
      <c r="D746" s="248">
        <v>467.2688</v>
      </c>
      <c r="E746" s="248">
        <v>493.82190000000003</v>
      </c>
      <c r="F746" s="248">
        <v>506.58069999999998</v>
      </c>
      <c r="G746" s="248">
        <v>516.33219999999994</v>
      </c>
      <c r="H746" s="248">
        <v>532.70420000000001</v>
      </c>
      <c r="I746"/>
      <c r="J746"/>
      <c r="K746"/>
      <c r="L746"/>
      <c r="M746"/>
    </row>
    <row r="747" spans="3:13" hidden="1" outlineLevel="1" x14ac:dyDescent="0.2">
      <c r="C747" s="139">
        <v>521</v>
      </c>
      <c r="D747" s="248">
        <v>468.22309999999999</v>
      </c>
      <c r="E747" s="248">
        <v>494.81130000000002</v>
      </c>
      <c r="F747" s="248">
        <v>507.59059999999999</v>
      </c>
      <c r="G747" s="248">
        <v>517.35299999999995</v>
      </c>
      <c r="H747" s="248">
        <v>533.75049999999999</v>
      </c>
      <c r="I747"/>
      <c r="J747"/>
      <c r="K747"/>
      <c r="L747"/>
      <c r="M747"/>
    </row>
    <row r="748" spans="3:13" hidden="1" outlineLevel="1" x14ac:dyDescent="0.2">
      <c r="C748" s="139">
        <v>522</v>
      </c>
      <c r="D748" s="248">
        <v>469.18150000000003</v>
      </c>
      <c r="E748" s="248">
        <v>495.80079999999998</v>
      </c>
      <c r="F748" s="248">
        <v>508.5967</v>
      </c>
      <c r="G748" s="248">
        <v>518.37789999999995</v>
      </c>
      <c r="H748" s="248">
        <v>534.80129999999997</v>
      </c>
      <c r="I748"/>
      <c r="J748"/>
      <c r="K748"/>
      <c r="L748"/>
      <c r="M748"/>
    </row>
    <row r="749" spans="3:13" hidden="1" outlineLevel="1" x14ac:dyDescent="0.2">
      <c r="C749" s="139">
        <v>523</v>
      </c>
      <c r="D749" s="248">
        <v>470.13619999999997</v>
      </c>
      <c r="E749" s="248">
        <v>496.79050000000001</v>
      </c>
      <c r="F749" s="248">
        <v>509.60300000000001</v>
      </c>
      <c r="G749" s="248">
        <v>519.39890000000003</v>
      </c>
      <c r="H749" s="248">
        <v>535.84780000000001</v>
      </c>
      <c r="I749"/>
      <c r="J749"/>
      <c r="K749"/>
      <c r="L749"/>
      <c r="M749"/>
    </row>
    <row r="750" spans="3:13" hidden="1" outlineLevel="1" x14ac:dyDescent="0.2">
      <c r="C750" s="139">
        <v>524</v>
      </c>
      <c r="D750" s="248">
        <v>471.09109999999998</v>
      </c>
      <c r="E750" s="248">
        <v>497.78039999999999</v>
      </c>
      <c r="F750" s="248">
        <v>510.61340000000001</v>
      </c>
      <c r="G750" s="248">
        <v>520.41999999999996</v>
      </c>
      <c r="H750" s="248">
        <v>536.89430000000004</v>
      </c>
      <c r="I750"/>
      <c r="J750"/>
      <c r="K750"/>
      <c r="L750"/>
      <c r="M750"/>
    </row>
    <row r="751" spans="3:13" hidden="1" outlineLevel="1" x14ac:dyDescent="0.2">
      <c r="C751" s="139">
        <v>525</v>
      </c>
      <c r="D751" s="248">
        <v>472.05020000000002</v>
      </c>
      <c r="E751" s="248">
        <v>498.7704</v>
      </c>
      <c r="F751" s="248">
        <v>511.61989999999997</v>
      </c>
      <c r="G751" s="248">
        <v>521.44119999999998</v>
      </c>
      <c r="H751" s="248">
        <v>537.94100000000003</v>
      </c>
      <c r="I751"/>
      <c r="J751"/>
      <c r="K751"/>
      <c r="L751"/>
      <c r="M751"/>
    </row>
    <row r="752" spans="3:13" hidden="1" outlineLevel="1" x14ac:dyDescent="0.2">
      <c r="C752" s="139">
        <v>526</v>
      </c>
      <c r="D752" s="248">
        <v>473.00549999999998</v>
      </c>
      <c r="E752" s="248">
        <v>499.76060000000001</v>
      </c>
      <c r="F752" s="248">
        <v>512.62649999999996</v>
      </c>
      <c r="G752" s="248">
        <v>522.46249999999998</v>
      </c>
      <c r="H752" s="248">
        <v>538.99210000000005</v>
      </c>
      <c r="I752"/>
      <c r="J752"/>
      <c r="K752"/>
      <c r="L752"/>
      <c r="M752"/>
    </row>
    <row r="753" spans="3:13" hidden="1" outlineLevel="1" x14ac:dyDescent="0.2">
      <c r="C753" s="139">
        <v>527</v>
      </c>
      <c r="D753" s="248">
        <v>473.96109999999999</v>
      </c>
      <c r="E753" s="248">
        <v>500.74689999999998</v>
      </c>
      <c r="F753" s="248">
        <v>513.63319999999999</v>
      </c>
      <c r="G753" s="248">
        <v>523.48389999999995</v>
      </c>
      <c r="H753" s="248">
        <v>540.03890000000001</v>
      </c>
      <c r="I753"/>
      <c r="J753"/>
      <c r="K753"/>
      <c r="L753"/>
      <c r="M753"/>
    </row>
    <row r="754" spans="3:13" hidden="1" outlineLevel="1" x14ac:dyDescent="0.2">
      <c r="C754" s="139">
        <v>528</v>
      </c>
      <c r="D754" s="248">
        <v>474.91680000000002</v>
      </c>
      <c r="E754" s="248">
        <v>501.73739999999998</v>
      </c>
      <c r="F754" s="248">
        <v>514.64009999999996</v>
      </c>
      <c r="G754" s="248">
        <v>524.5095</v>
      </c>
      <c r="H754" s="248">
        <v>541.08579999999995</v>
      </c>
      <c r="I754"/>
      <c r="J754"/>
      <c r="K754"/>
      <c r="L754"/>
      <c r="M754"/>
    </row>
    <row r="755" spans="3:13" hidden="1" outlineLevel="1" x14ac:dyDescent="0.2">
      <c r="C755" s="139">
        <v>529</v>
      </c>
      <c r="D755" s="248">
        <v>475.87279999999998</v>
      </c>
      <c r="E755" s="248">
        <v>502.72800000000001</v>
      </c>
      <c r="F755" s="248">
        <v>515.65110000000004</v>
      </c>
      <c r="G755" s="248">
        <v>525.53110000000004</v>
      </c>
      <c r="H755" s="248">
        <v>542.13279999999997</v>
      </c>
      <c r="I755"/>
      <c r="J755"/>
      <c r="K755"/>
      <c r="L755"/>
      <c r="M755"/>
    </row>
    <row r="756" spans="3:13" hidden="1" outlineLevel="1" x14ac:dyDescent="0.2">
      <c r="C756" s="139">
        <v>530</v>
      </c>
      <c r="D756" s="248">
        <v>476.82900000000001</v>
      </c>
      <c r="E756" s="248">
        <v>503.71879999999999</v>
      </c>
      <c r="F756" s="248">
        <v>516.65819999999997</v>
      </c>
      <c r="G756" s="248">
        <v>526.55280000000005</v>
      </c>
      <c r="H756" s="248">
        <v>543.1798</v>
      </c>
      <c r="I756"/>
      <c r="J756"/>
      <c r="K756"/>
      <c r="L756"/>
      <c r="M756"/>
    </row>
    <row r="757" spans="3:13" hidden="1" outlineLevel="1" x14ac:dyDescent="0.2">
      <c r="C757" s="139">
        <v>531</v>
      </c>
      <c r="D757" s="248">
        <v>477.78539999999998</v>
      </c>
      <c r="E757" s="248">
        <v>504.7097</v>
      </c>
      <c r="F757" s="248">
        <v>517.66539999999998</v>
      </c>
      <c r="G757" s="248">
        <v>527.57470000000001</v>
      </c>
      <c r="H757" s="248">
        <v>544.22699999999998</v>
      </c>
      <c r="I757"/>
      <c r="J757"/>
      <c r="K757"/>
      <c r="L757"/>
      <c r="M757"/>
    </row>
    <row r="758" spans="3:13" hidden="1" outlineLevel="1" x14ac:dyDescent="0.2">
      <c r="C758" s="139">
        <v>532</v>
      </c>
      <c r="D758" s="248">
        <v>478.74200000000002</v>
      </c>
      <c r="E758" s="248">
        <v>505.69670000000002</v>
      </c>
      <c r="F758" s="248">
        <v>518.67280000000005</v>
      </c>
      <c r="G758" s="248">
        <v>528.59670000000006</v>
      </c>
      <c r="H758" s="248">
        <v>545.27419999999995</v>
      </c>
      <c r="I758"/>
      <c r="J758"/>
      <c r="K758"/>
      <c r="L758"/>
      <c r="M758"/>
    </row>
    <row r="759" spans="3:13" hidden="1" outlineLevel="1" x14ac:dyDescent="0.2">
      <c r="C759" s="139">
        <v>533</v>
      </c>
      <c r="D759" s="248">
        <v>479.69880000000001</v>
      </c>
      <c r="E759" s="248">
        <v>506.68790000000001</v>
      </c>
      <c r="F759" s="248">
        <v>519.68029999999999</v>
      </c>
      <c r="G759" s="248">
        <v>529.61869999999999</v>
      </c>
      <c r="H759" s="248">
        <v>546.32600000000002</v>
      </c>
      <c r="I759"/>
      <c r="J759"/>
      <c r="K759"/>
      <c r="L759"/>
      <c r="M759"/>
    </row>
    <row r="760" spans="3:13" hidden="1" outlineLevel="1" x14ac:dyDescent="0.2">
      <c r="C760" s="139">
        <v>534</v>
      </c>
      <c r="D760" s="248">
        <v>480.6558</v>
      </c>
      <c r="E760" s="248">
        <v>507.67930000000001</v>
      </c>
      <c r="F760" s="248">
        <v>520.68790000000001</v>
      </c>
      <c r="G760" s="248">
        <v>530.64089999999999</v>
      </c>
      <c r="H760" s="248">
        <v>547.37339999999995</v>
      </c>
      <c r="I760"/>
      <c r="J760"/>
      <c r="K760"/>
      <c r="L760"/>
      <c r="M760"/>
    </row>
    <row r="761" spans="3:13" hidden="1" outlineLevel="1" x14ac:dyDescent="0.2">
      <c r="C761" s="139">
        <v>535</v>
      </c>
      <c r="D761" s="248">
        <v>481.61309999999997</v>
      </c>
      <c r="E761" s="248">
        <v>508.66669999999999</v>
      </c>
      <c r="F761" s="248">
        <v>521.69560000000001</v>
      </c>
      <c r="G761" s="248">
        <v>531.66319999999996</v>
      </c>
      <c r="H761" s="248">
        <v>548.42089999999996</v>
      </c>
      <c r="I761"/>
      <c r="J761"/>
      <c r="K761"/>
      <c r="L761"/>
      <c r="M761"/>
    </row>
    <row r="762" spans="3:13" hidden="1" outlineLevel="1" x14ac:dyDescent="0.2">
      <c r="C762" s="139">
        <v>536</v>
      </c>
      <c r="D762" s="248">
        <v>482.57049999999998</v>
      </c>
      <c r="E762" s="248">
        <v>509.65839999999997</v>
      </c>
      <c r="F762" s="248">
        <v>522.70349999999996</v>
      </c>
      <c r="G762" s="248">
        <v>532.68560000000002</v>
      </c>
      <c r="H762" s="248">
        <v>549.46849999999995</v>
      </c>
      <c r="I762"/>
      <c r="J762"/>
      <c r="K762"/>
      <c r="L762"/>
      <c r="M762"/>
    </row>
    <row r="763" spans="3:13" hidden="1" outlineLevel="1" x14ac:dyDescent="0.2">
      <c r="C763" s="139">
        <v>537</v>
      </c>
      <c r="D763" s="248">
        <v>483.52820000000003</v>
      </c>
      <c r="E763" s="248">
        <v>510.64609999999999</v>
      </c>
      <c r="F763" s="248">
        <v>523.71140000000003</v>
      </c>
      <c r="G763" s="248">
        <v>533.70809999999994</v>
      </c>
      <c r="H763" s="248">
        <v>550.51620000000003</v>
      </c>
      <c r="I763"/>
      <c r="J763"/>
      <c r="K763"/>
      <c r="L763"/>
      <c r="M763"/>
    </row>
    <row r="764" spans="3:13" hidden="1" outlineLevel="1" x14ac:dyDescent="0.2">
      <c r="C764" s="139">
        <v>538</v>
      </c>
      <c r="D764" s="248">
        <v>484.48200000000003</v>
      </c>
      <c r="E764" s="248">
        <v>511.63810000000001</v>
      </c>
      <c r="F764" s="248">
        <v>524.71950000000004</v>
      </c>
      <c r="G764" s="248">
        <v>534.72659999999996</v>
      </c>
      <c r="H764" s="248">
        <v>551.56389999999999</v>
      </c>
      <c r="I764"/>
      <c r="J764"/>
      <c r="K764"/>
      <c r="L764"/>
      <c r="M764"/>
    </row>
    <row r="765" spans="3:13" hidden="1" outlineLevel="1" x14ac:dyDescent="0.2">
      <c r="C765" s="139">
        <v>539</v>
      </c>
      <c r="D765" s="248">
        <v>485.44009999999997</v>
      </c>
      <c r="E765" s="248">
        <v>512.62609999999995</v>
      </c>
      <c r="F765" s="248">
        <v>525.72770000000003</v>
      </c>
      <c r="G765" s="248">
        <v>535.74929999999995</v>
      </c>
      <c r="H765" s="248">
        <v>552.61170000000004</v>
      </c>
      <c r="I765"/>
      <c r="J765"/>
      <c r="K765"/>
      <c r="L765"/>
      <c r="M765"/>
    </row>
    <row r="766" spans="3:13" hidden="1" outlineLevel="1" x14ac:dyDescent="0.2">
      <c r="C766" s="139">
        <v>540</v>
      </c>
      <c r="D766" s="248">
        <v>486.39839999999998</v>
      </c>
      <c r="E766" s="248">
        <v>513.61839999999995</v>
      </c>
      <c r="F766" s="248">
        <v>526.73609999999996</v>
      </c>
      <c r="G766" s="248">
        <v>536.77210000000002</v>
      </c>
      <c r="H766" s="248">
        <v>553.65959999999995</v>
      </c>
      <c r="I766"/>
      <c r="J766"/>
      <c r="K766"/>
      <c r="L766"/>
      <c r="M766"/>
    </row>
    <row r="767" spans="3:13" hidden="1" outlineLevel="1" x14ac:dyDescent="0.2">
      <c r="C767" s="139">
        <v>541</v>
      </c>
      <c r="D767" s="248">
        <v>487.3528</v>
      </c>
      <c r="E767" s="248">
        <v>514.60670000000005</v>
      </c>
      <c r="F767" s="248">
        <v>527.74040000000002</v>
      </c>
      <c r="G767" s="248">
        <v>537.79499999999996</v>
      </c>
      <c r="H767" s="248">
        <v>554.70759999999996</v>
      </c>
      <c r="I767"/>
      <c r="J767"/>
      <c r="K767"/>
      <c r="L767"/>
      <c r="M767"/>
    </row>
    <row r="768" spans="3:13" hidden="1" outlineLevel="1" x14ac:dyDescent="0.2">
      <c r="C768" s="139">
        <v>542</v>
      </c>
      <c r="D768" s="248">
        <v>488.31150000000002</v>
      </c>
      <c r="E768" s="248">
        <v>515.59929999999997</v>
      </c>
      <c r="F768" s="248">
        <v>528.74900000000002</v>
      </c>
      <c r="G768" s="248">
        <v>538.81799999999998</v>
      </c>
      <c r="H768" s="248">
        <v>555.75570000000005</v>
      </c>
      <c r="I768"/>
      <c r="J768"/>
      <c r="K768"/>
      <c r="L768"/>
      <c r="M768"/>
    </row>
    <row r="769" spans="3:13" hidden="1" outlineLevel="1" x14ac:dyDescent="0.2">
      <c r="C769" s="139">
        <v>543</v>
      </c>
      <c r="D769" s="248">
        <v>489.2663</v>
      </c>
      <c r="E769" s="248">
        <v>516.58780000000002</v>
      </c>
      <c r="F769" s="248">
        <v>529.7577</v>
      </c>
      <c r="G769" s="248">
        <v>539.84109999999998</v>
      </c>
      <c r="H769" s="248">
        <v>556.8039</v>
      </c>
      <c r="I769"/>
      <c r="J769"/>
      <c r="K769"/>
      <c r="L769"/>
      <c r="M769"/>
    </row>
    <row r="770" spans="3:13" hidden="1" outlineLevel="1" x14ac:dyDescent="0.2">
      <c r="C770" s="139">
        <v>544</v>
      </c>
      <c r="D770" s="248">
        <v>490.22550000000001</v>
      </c>
      <c r="E770" s="248">
        <v>517.58069999999998</v>
      </c>
      <c r="F770" s="248">
        <v>530.76649999999995</v>
      </c>
      <c r="G770" s="248">
        <v>540.86019999999996</v>
      </c>
      <c r="H770" s="248">
        <v>557.85209999999995</v>
      </c>
      <c r="I770"/>
      <c r="J770"/>
      <c r="K770"/>
      <c r="L770"/>
      <c r="M770"/>
    </row>
    <row r="771" spans="3:13" hidden="1" outlineLevel="1" x14ac:dyDescent="0.2">
      <c r="C771" s="139">
        <v>545</v>
      </c>
      <c r="D771" s="248">
        <v>491.1807</v>
      </c>
      <c r="E771" s="248">
        <v>518.56949999999995</v>
      </c>
      <c r="F771" s="248">
        <v>531.77539999999999</v>
      </c>
      <c r="G771" s="248">
        <v>541.8836</v>
      </c>
      <c r="H771" s="248">
        <v>558.90049999999997</v>
      </c>
      <c r="I771"/>
      <c r="J771"/>
      <c r="K771"/>
      <c r="L771"/>
      <c r="M771"/>
    </row>
    <row r="772" spans="3:13" hidden="1" outlineLevel="1" x14ac:dyDescent="0.2">
      <c r="C772" s="139">
        <v>546</v>
      </c>
      <c r="D772" s="248">
        <v>492.14019999999999</v>
      </c>
      <c r="E772" s="248">
        <v>519.55849999999998</v>
      </c>
      <c r="F772" s="248">
        <v>532.78030000000001</v>
      </c>
      <c r="G772" s="248">
        <v>542.90700000000004</v>
      </c>
      <c r="H772" s="248">
        <v>559.9443</v>
      </c>
      <c r="I772"/>
      <c r="J772"/>
      <c r="K772"/>
      <c r="L772"/>
      <c r="M772"/>
    </row>
    <row r="773" spans="3:13" hidden="1" outlineLevel="1" x14ac:dyDescent="0.2">
      <c r="C773" s="139">
        <v>547</v>
      </c>
      <c r="D773" s="248">
        <v>493.0958</v>
      </c>
      <c r="E773" s="248">
        <v>520.55179999999996</v>
      </c>
      <c r="F773" s="248">
        <v>533.78949999999998</v>
      </c>
      <c r="G773" s="248">
        <v>543.93060000000003</v>
      </c>
      <c r="H773" s="248">
        <v>560.99279999999999</v>
      </c>
      <c r="I773"/>
      <c r="J773"/>
      <c r="K773"/>
      <c r="L773"/>
      <c r="M773"/>
    </row>
    <row r="774" spans="3:13" hidden="1" outlineLevel="1" x14ac:dyDescent="0.2">
      <c r="C774" s="139">
        <v>548</v>
      </c>
      <c r="D774" s="248">
        <v>494.05579999999998</v>
      </c>
      <c r="E774" s="248">
        <v>521.54110000000003</v>
      </c>
      <c r="F774" s="248">
        <v>534.79880000000003</v>
      </c>
      <c r="G774" s="248">
        <v>544.95000000000005</v>
      </c>
      <c r="H774" s="248">
        <v>562.04139999999995</v>
      </c>
      <c r="I774"/>
      <c r="J774"/>
      <c r="K774"/>
      <c r="L774"/>
      <c r="M774"/>
    </row>
    <row r="775" spans="3:13" hidden="1" outlineLevel="1" x14ac:dyDescent="0.2">
      <c r="C775" s="139">
        <v>549</v>
      </c>
      <c r="D775" s="248">
        <v>495.01179999999999</v>
      </c>
      <c r="E775" s="248">
        <v>522.53049999999996</v>
      </c>
      <c r="F775" s="248">
        <v>535.80399999999997</v>
      </c>
      <c r="G775" s="248">
        <v>545.97379999999998</v>
      </c>
      <c r="H775" s="248">
        <v>563.09</v>
      </c>
      <c r="I775"/>
      <c r="J775"/>
      <c r="K775"/>
      <c r="L775"/>
      <c r="M775"/>
    </row>
    <row r="776" spans="3:13" hidden="1" outlineLevel="1" x14ac:dyDescent="0.2">
      <c r="C776" s="139">
        <v>550</v>
      </c>
      <c r="D776" s="248">
        <v>495.96809999999999</v>
      </c>
      <c r="E776" s="248">
        <v>523.52009999999996</v>
      </c>
      <c r="F776" s="248">
        <v>536.81349999999998</v>
      </c>
      <c r="G776" s="248">
        <v>546.99760000000003</v>
      </c>
      <c r="H776" s="248">
        <v>564.13879999999995</v>
      </c>
      <c r="I776"/>
      <c r="J776"/>
      <c r="K776"/>
      <c r="L776"/>
      <c r="M776"/>
    </row>
    <row r="777" spans="3:13" hidden="1" outlineLevel="1" x14ac:dyDescent="0.2">
      <c r="C777" s="139">
        <v>551</v>
      </c>
      <c r="D777" s="248">
        <v>496.92869999999999</v>
      </c>
      <c r="E777" s="248">
        <v>524.50980000000004</v>
      </c>
      <c r="F777" s="248">
        <v>537.82320000000004</v>
      </c>
      <c r="G777" s="248">
        <v>548.01739999999995</v>
      </c>
      <c r="H777" s="248">
        <v>565.18759999999997</v>
      </c>
      <c r="I777"/>
      <c r="J777"/>
      <c r="K777"/>
      <c r="L777"/>
      <c r="M777"/>
    </row>
    <row r="778" spans="3:13" hidden="1" outlineLevel="1" x14ac:dyDescent="0.2">
      <c r="C778" s="139">
        <v>552</v>
      </c>
      <c r="D778" s="248">
        <v>497.88529999999997</v>
      </c>
      <c r="E778" s="248">
        <v>525.50379999999996</v>
      </c>
      <c r="F778" s="248">
        <v>538.8288</v>
      </c>
      <c r="G778" s="248">
        <v>549.04150000000004</v>
      </c>
      <c r="H778" s="248">
        <v>566.2319</v>
      </c>
      <c r="I778"/>
      <c r="J778"/>
      <c r="K778"/>
      <c r="L778"/>
      <c r="M778"/>
    </row>
    <row r="779" spans="3:13" hidden="1" outlineLevel="1" x14ac:dyDescent="0.2">
      <c r="C779" s="139">
        <v>553</v>
      </c>
      <c r="D779" s="248">
        <v>498.84210000000002</v>
      </c>
      <c r="E779" s="248">
        <v>526.49379999999996</v>
      </c>
      <c r="F779" s="248">
        <v>539.83870000000002</v>
      </c>
      <c r="G779" s="248">
        <v>550.06140000000005</v>
      </c>
      <c r="H779" s="248">
        <v>567.28089999999997</v>
      </c>
      <c r="I779"/>
      <c r="J779"/>
      <c r="K779"/>
      <c r="L779"/>
      <c r="M779"/>
    </row>
    <row r="780" spans="3:13" hidden="1" outlineLevel="1" x14ac:dyDescent="0.2">
      <c r="C780" s="139">
        <v>554</v>
      </c>
      <c r="D780" s="248">
        <v>499.79910000000001</v>
      </c>
      <c r="E780" s="248">
        <v>527.48389999999995</v>
      </c>
      <c r="F780" s="248">
        <v>540.84439999999995</v>
      </c>
      <c r="G780" s="248">
        <v>551.08569999999997</v>
      </c>
      <c r="H780" s="248">
        <v>568.32989999999995</v>
      </c>
      <c r="I780"/>
      <c r="J780"/>
      <c r="K780"/>
      <c r="L780"/>
      <c r="M780"/>
    </row>
    <row r="781" spans="3:13" hidden="1" outlineLevel="1" x14ac:dyDescent="0.2">
      <c r="C781" s="139">
        <v>555</v>
      </c>
      <c r="D781" s="248">
        <v>500.75630000000001</v>
      </c>
      <c r="E781" s="248">
        <v>528.47410000000002</v>
      </c>
      <c r="F781" s="248">
        <v>541.8546</v>
      </c>
      <c r="G781" s="248">
        <v>552.10580000000004</v>
      </c>
      <c r="H781" s="248">
        <v>569.37909999999999</v>
      </c>
      <c r="I781"/>
      <c r="J781"/>
      <c r="K781"/>
      <c r="L781"/>
      <c r="M781"/>
    </row>
    <row r="782" spans="3:13" hidden="1" outlineLevel="1" x14ac:dyDescent="0.2">
      <c r="C782" s="139">
        <v>556</v>
      </c>
      <c r="D782" s="248">
        <v>501.71370000000002</v>
      </c>
      <c r="E782" s="248">
        <v>529.46450000000004</v>
      </c>
      <c r="F782" s="248">
        <v>542.86059999999998</v>
      </c>
      <c r="G782" s="248">
        <v>553.13030000000003</v>
      </c>
      <c r="H782" s="248">
        <v>570.42830000000004</v>
      </c>
      <c r="I782"/>
      <c r="J782"/>
      <c r="K782"/>
      <c r="L782"/>
      <c r="M782"/>
    </row>
    <row r="783" spans="3:13" hidden="1" outlineLevel="1" x14ac:dyDescent="0.2">
      <c r="C783" s="139">
        <v>557</v>
      </c>
      <c r="D783" s="248">
        <v>502.67129999999997</v>
      </c>
      <c r="E783" s="248">
        <v>530.45500000000004</v>
      </c>
      <c r="F783" s="248">
        <v>543.87090000000001</v>
      </c>
      <c r="G783" s="248">
        <v>554.15070000000003</v>
      </c>
      <c r="H783" s="248">
        <v>571.47299999999996</v>
      </c>
      <c r="I783"/>
      <c r="J783"/>
      <c r="K783"/>
      <c r="L783"/>
      <c r="M783"/>
    </row>
    <row r="784" spans="3:13" hidden="1" outlineLevel="1" x14ac:dyDescent="0.2">
      <c r="C784" s="139">
        <v>558</v>
      </c>
      <c r="D784" s="248">
        <v>503.62909999999999</v>
      </c>
      <c r="E784" s="248">
        <v>531.44569999999999</v>
      </c>
      <c r="F784" s="248">
        <v>544.87720000000002</v>
      </c>
      <c r="G784" s="248">
        <v>555.17529999999999</v>
      </c>
      <c r="H784" s="248">
        <v>572.52239999999995</v>
      </c>
      <c r="I784"/>
      <c r="J784"/>
      <c r="K784"/>
      <c r="L784"/>
      <c r="M784"/>
    </row>
    <row r="785" spans="3:13" hidden="1" outlineLevel="1" x14ac:dyDescent="0.2">
      <c r="C785" s="139">
        <v>559</v>
      </c>
      <c r="D785" s="248">
        <v>504.58710000000002</v>
      </c>
      <c r="E785" s="248">
        <v>532.43650000000002</v>
      </c>
      <c r="F785" s="248">
        <v>545.88779999999997</v>
      </c>
      <c r="G785" s="248">
        <v>556.19590000000005</v>
      </c>
      <c r="H785" s="248">
        <v>573.57190000000003</v>
      </c>
      <c r="I785"/>
      <c r="J785"/>
      <c r="K785"/>
      <c r="L785"/>
      <c r="M785"/>
    </row>
    <row r="786" spans="3:13" hidden="1" outlineLevel="1" x14ac:dyDescent="0.2">
      <c r="C786" s="139">
        <v>560</v>
      </c>
      <c r="D786" s="248">
        <v>505.5453</v>
      </c>
      <c r="E786" s="248">
        <v>533.42740000000003</v>
      </c>
      <c r="F786" s="248">
        <v>546.89419999999996</v>
      </c>
      <c r="G786" s="248">
        <v>557.22080000000005</v>
      </c>
      <c r="H786" s="248">
        <v>574.61670000000004</v>
      </c>
      <c r="I786"/>
      <c r="J786"/>
      <c r="K786"/>
      <c r="L786"/>
      <c r="M786"/>
    </row>
    <row r="787" spans="3:13" hidden="1" outlineLevel="1" x14ac:dyDescent="0.2">
      <c r="C787" s="139">
        <v>561</v>
      </c>
      <c r="D787" s="248">
        <v>506.50369999999998</v>
      </c>
      <c r="E787" s="248">
        <v>534.41849999999999</v>
      </c>
      <c r="F787" s="248">
        <v>547.90509999999995</v>
      </c>
      <c r="G787" s="248">
        <v>558.24149999999997</v>
      </c>
      <c r="H787" s="248">
        <v>575.66639999999995</v>
      </c>
      <c r="I787"/>
      <c r="J787"/>
      <c r="K787"/>
      <c r="L787"/>
      <c r="M787"/>
    </row>
    <row r="788" spans="3:13" hidden="1" outlineLevel="1" x14ac:dyDescent="0.2">
      <c r="C788" s="139">
        <v>562</v>
      </c>
      <c r="D788" s="248">
        <v>507.46230000000003</v>
      </c>
      <c r="E788" s="248">
        <v>535.40970000000004</v>
      </c>
      <c r="F788" s="248">
        <v>548.9117</v>
      </c>
      <c r="G788" s="248">
        <v>559.26660000000004</v>
      </c>
      <c r="H788" s="248">
        <v>576.71609999999998</v>
      </c>
      <c r="I788"/>
      <c r="J788"/>
      <c r="K788"/>
      <c r="L788"/>
      <c r="M788"/>
    </row>
    <row r="789" spans="3:13" hidden="1" outlineLevel="1" x14ac:dyDescent="0.2">
      <c r="C789" s="139">
        <v>563</v>
      </c>
      <c r="D789" s="248">
        <v>508.42110000000002</v>
      </c>
      <c r="E789" s="248">
        <v>536.40110000000004</v>
      </c>
      <c r="F789" s="248">
        <v>549.91849999999999</v>
      </c>
      <c r="G789" s="248">
        <v>560.28750000000002</v>
      </c>
      <c r="H789" s="248">
        <v>577.76120000000003</v>
      </c>
      <c r="I789"/>
      <c r="J789"/>
      <c r="K789"/>
      <c r="L789"/>
      <c r="M789"/>
    </row>
    <row r="790" spans="3:13" hidden="1" outlineLevel="1" x14ac:dyDescent="0.2">
      <c r="C790" s="139">
        <v>564</v>
      </c>
      <c r="D790" s="248">
        <v>509.38010000000003</v>
      </c>
      <c r="E790" s="248">
        <v>537.38819999999998</v>
      </c>
      <c r="F790" s="248">
        <v>550.92970000000003</v>
      </c>
      <c r="G790" s="248">
        <v>561.30849999999998</v>
      </c>
      <c r="H790" s="248">
        <v>578.81110000000001</v>
      </c>
      <c r="I790"/>
      <c r="J790"/>
      <c r="K790"/>
      <c r="L790"/>
      <c r="M790"/>
    </row>
    <row r="791" spans="3:13" hidden="1" outlineLevel="1" x14ac:dyDescent="0.2">
      <c r="C791" s="139">
        <v>565</v>
      </c>
      <c r="D791" s="248">
        <v>510.33499999999998</v>
      </c>
      <c r="E791" s="248">
        <v>538.37980000000005</v>
      </c>
      <c r="F791" s="248">
        <v>551.93669999999997</v>
      </c>
      <c r="G791" s="248">
        <v>562.33389999999997</v>
      </c>
      <c r="H791" s="248">
        <v>579.85630000000003</v>
      </c>
      <c r="I791"/>
      <c r="J791"/>
      <c r="K791"/>
      <c r="L791"/>
      <c r="M791"/>
    </row>
    <row r="792" spans="3:13" hidden="1" outlineLevel="1" x14ac:dyDescent="0.2">
      <c r="C792" s="139">
        <v>566</v>
      </c>
      <c r="D792" s="248">
        <v>511.2944</v>
      </c>
      <c r="E792" s="248">
        <v>539.37159999999994</v>
      </c>
      <c r="F792" s="248">
        <v>552.94380000000001</v>
      </c>
      <c r="G792" s="248">
        <v>563.35509999999999</v>
      </c>
      <c r="H792" s="248">
        <v>580.90629999999999</v>
      </c>
      <c r="I792"/>
      <c r="J792"/>
      <c r="K792"/>
      <c r="L792"/>
      <c r="M792"/>
    </row>
    <row r="793" spans="3:13" hidden="1" outlineLevel="1" x14ac:dyDescent="0.2">
      <c r="C793" s="139">
        <v>567</v>
      </c>
      <c r="D793" s="248">
        <v>512.25400000000002</v>
      </c>
      <c r="E793" s="248">
        <v>540.36350000000004</v>
      </c>
      <c r="F793" s="248">
        <v>553.95100000000002</v>
      </c>
      <c r="G793" s="248">
        <v>564.37639999999999</v>
      </c>
      <c r="H793" s="248">
        <v>581.95650000000001</v>
      </c>
      <c r="I793"/>
      <c r="J793"/>
      <c r="K793"/>
      <c r="L793"/>
      <c r="M793"/>
    </row>
    <row r="794" spans="3:13" hidden="1" outlineLevel="1" x14ac:dyDescent="0.2">
      <c r="C794" s="139">
        <v>568</v>
      </c>
      <c r="D794" s="248">
        <v>513.20939999999996</v>
      </c>
      <c r="E794" s="248">
        <v>541.35119999999995</v>
      </c>
      <c r="F794" s="248">
        <v>554.96270000000004</v>
      </c>
      <c r="G794" s="248">
        <v>565.40210000000002</v>
      </c>
      <c r="H794" s="248">
        <v>583.00189999999998</v>
      </c>
      <c r="I794"/>
      <c r="J794"/>
      <c r="K794"/>
      <c r="L794"/>
      <c r="M794"/>
    </row>
    <row r="795" spans="3:13" hidden="1" outlineLevel="1" x14ac:dyDescent="0.2">
      <c r="C795" s="139">
        <v>569</v>
      </c>
      <c r="D795" s="248">
        <v>514.1694</v>
      </c>
      <c r="E795" s="248">
        <v>542.3433</v>
      </c>
      <c r="F795" s="248">
        <v>555.9701</v>
      </c>
      <c r="G795" s="248">
        <v>566.42349999999999</v>
      </c>
      <c r="H795" s="248">
        <v>584.05219999999997</v>
      </c>
      <c r="I795"/>
      <c r="J795"/>
      <c r="K795"/>
      <c r="L795"/>
      <c r="M795"/>
    </row>
    <row r="796" spans="3:13" hidden="1" outlineLevel="1" x14ac:dyDescent="0.2">
      <c r="C796" s="139">
        <v>570</v>
      </c>
      <c r="D796" s="248">
        <v>515.12959999999998</v>
      </c>
      <c r="E796" s="248">
        <v>543.3356</v>
      </c>
      <c r="F796" s="248">
        <v>556.97770000000003</v>
      </c>
      <c r="G796" s="248">
        <v>567.44510000000002</v>
      </c>
      <c r="H796" s="248">
        <v>585.09780000000001</v>
      </c>
      <c r="I796"/>
      <c r="J796"/>
      <c r="K796"/>
      <c r="L796"/>
      <c r="M796"/>
    </row>
    <row r="797" spans="3:13" hidden="1" outlineLevel="1" x14ac:dyDescent="0.2">
      <c r="C797" s="139">
        <v>571</v>
      </c>
      <c r="D797" s="248">
        <v>516.0856</v>
      </c>
      <c r="E797" s="248">
        <v>544.32799999999997</v>
      </c>
      <c r="F797" s="248">
        <v>557.98530000000005</v>
      </c>
      <c r="G797" s="248">
        <v>568.46680000000003</v>
      </c>
      <c r="H797" s="248">
        <v>586.14819999999997</v>
      </c>
      <c r="I797"/>
      <c r="J797"/>
      <c r="K797"/>
      <c r="L797"/>
      <c r="M797"/>
    </row>
    <row r="798" spans="3:13" hidden="1" outlineLevel="1" x14ac:dyDescent="0.2">
      <c r="C798" s="139">
        <v>572</v>
      </c>
      <c r="D798" s="248">
        <v>517.0462</v>
      </c>
      <c r="E798" s="248">
        <v>545.31619999999998</v>
      </c>
      <c r="F798" s="248">
        <v>558.99739999999997</v>
      </c>
      <c r="G798" s="248">
        <v>569.49289999999996</v>
      </c>
      <c r="H798" s="248">
        <v>587.19399999999996</v>
      </c>
      <c r="I798"/>
      <c r="J798"/>
      <c r="K798"/>
      <c r="L798"/>
      <c r="M798"/>
    </row>
    <row r="799" spans="3:13" hidden="1" outlineLevel="1" x14ac:dyDescent="0.2">
      <c r="C799" s="139">
        <v>573</v>
      </c>
      <c r="D799" s="248">
        <v>518.00250000000005</v>
      </c>
      <c r="E799" s="248">
        <v>546.30889999999999</v>
      </c>
      <c r="F799" s="248">
        <v>560.00530000000003</v>
      </c>
      <c r="G799" s="248">
        <v>570.51469999999995</v>
      </c>
      <c r="H799" s="248">
        <v>588.24459999999999</v>
      </c>
      <c r="I799"/>
      <c r="J799"/>
      <c r="K799"/>
      <c r="L799"/>
      <c r="M799"/>
    </row>
    <row r="800" spans="3:13" hidden="1" outlineLevel="1" x14ac:dyDescent="0.2">
      <c r="C800" s="139">
        <v>574</v>
      </c>
      <c r="D800" s="248">
        <v>518.96349999999995</v>
      </c>
      <c r="E800" s="248">
        <v>547.29740000000004</v>
      </c>
      <c r="F800" s="248">
        <v>561.01329999999996</v>
      </c>
      <c r="G800" s="248">
        <v>571.5367</v>
      </c>
      <c r="H800" s="248">
        <v>589.29039999999998</v>
      </c>
      <c r="I800"/>
      <c r="J800"/>
      <c r="K800"/>
      <c r="L800"/>
      <c r="M800"/>
    </row>
    <row r="801" spans="3:13" hidden="1" outlineLevel="1" x14ac:dyDescent="0.2">
      <c r="C801" s="139">
        <v>575</v>
      </c>
      <c r="D801" s="248">
        <v>519.9203</v>
      </c>
      <c r="E801" s="248">
        <v>548.2903</v>
      </c>
      <c r="F801" s="248">
        <v>562.02139999999997</v>
      </c>
      <c r="G801" s="248">
        <v>572.55870000000004</v>
      </c>
      <c r="H801" s="248">
        <v>590.34119999999996</v>
      </c>
      <c r="I801"/>
      <c r="J801"/>
      <c r="K801"/>
      <c r="L801"/>
      <c r="M801"/>
    </row>
    <row r="802" spans="3:13" hidden="1" outlineLevel="1" x14ac:dyDescent="0.2">
      <c r="C802" s="139">
        <v>576</v>
      </c>
      <c r="D802" s="248">
        <v>520.87720000000002</v>
      </c>
      <c r="E802" s="248">
        <v>549.28340000000003</v>
      </c>
      <c r="F802" s="248">
        <v>563.02949999999998</v>
      </c>
      <c r="G802" s="248">
        <v>573.58079999999995</v>
      </c>
      <c r="H802" s="248">
        <v>591.38720000000001</v>
      </c>
      <c r="I802"/>
      <c r="J802"/>
      <c r="K802"/>
      <c r="L802"/>
      <c r="M802"/>
    </row>
    <row r="803" spans="3:13" hidden="1" outlineLevel="1" x14ac:dyDescent="0.2">
      <c r="C803" s="139">
        <v>577</v>
      </c>
      <c r="D803" s="248">
        <v>521.83870000000002</v>
      </c>
      <c r="E803" s="248">
        <v>550.27229999999997</v>
      </c>
      <c r="F803" s="248">
        <v>564.03779999999995</v>
      </c>
      <c r="G803" s="248">
        <v>574.60299999999995</v>
      </c>
      <c r="H803" s="248">
        <v>592.43820000000005</v>
      </c>
      <c r="I803"/>
      <c r="J803"/>
      <c r="K803"/>
      <c r="L803"/>
      <c r="M803"/>
    </row>
    <row r="804" spans="3:13" hidden="1" outlineLevel="1" x14ac:dyDescent="0.2">
      <c r="C804" s="139">
        <v>578</v>
      </c>
      <c r="D804" s="248">
        <v>522.79600000000005</v>
      </c>
      <c r="E804" s="248">
        <v>551.26559999999995</v>
      </c>
      <c r="F804" s="248">
        <v>565.0462</v>
      </c>
      <c r="G804" s="248">
        <v>575.62969999999996</v>
      </c>
      <c r="H804" s="248">
        <v>593.48429999999996</v>
      </c>
      <c r="I804"/>
      <c r="J804"/>
      <c r="K804"/>
      <c r="L804"/>
      <c r="M804"/>
    </row>
    <row r="805" spans="3:13" hidden="1" outlineLevel="1" x14ac:dyDescent="0.2">
      <c r="C805" s="139">
        <v>579</v>
      </c>
      <c r="D805" s="248">
        <v>523.75350000000003</v>
      </c>
      <c r="E805" s="248">
        <v>552.25469999999996</v>
      </c>
      <c r="F805" s="248">
        <v>566.0548</v>
      </c>
      <c r="G805" s="248">
        <v>576.65210000000002</v>
      </c>
      <c r="H805" s="248">
        <v>594.53539999999998</v>
      </c>
      <c r="I805"/>
      <c r="J805"/>
      <c r="K805"/>
      <c r="L805"/>
      <c r="M805"/>
    </row>
    <row r="806" spans="3:13" hidden="1" outlineLevel="1" x14ac:dyDescent="0.2">
      <c r="C806" s="139">
        <v>580</v>
      </c>
      <c r="D806" s="248">
        <v>524.71569999999997</v>
      </c>
      <c r="E806" s="248">
        <v>553.24839999999995</v>
      </c>
      <c r="F806" s="248">
        <v>567.0634</v>
      </c>
      <c r="G806" s="248">
        <v>577.67460000000005</v>
      </c>
      <c r="H806" s="248">
        <v>595.58169999999996</v>
      </c>
      <c r="I806"/>
      <c r="J806"/>
      <c r="K806"/>
      <c r="L806"/>
      <c r="M806"/>
    </row>
    <row r="807" spans="3:13" hidden="1" outlineLevel="1" x14ac:dyDescent="0.2">
      <c r="C807" s="139">
        <v>581</v>
      </c>
      <c r="D807" s="248">
        <v>525.67349999999999</v>
      </c>
      <c r="E807" s="248">
        <v>554.23770000000002</v>
      </c>
      <c r="F807" s="248">
        <v>568.07209999999998</v>
      </c>
      <c r="G807" s="248">
        <v>578.69719999999995</v>
      </c>
      <c r="H807" s="248">
        <v>596.62810000000002</v>
      </c>
      <c r="I807"/>
      <c r="J807"/>
      <c r="K807"/>
      <c r="L807"/>
      <c r="M807"/>
    </row>
    <row r="808" spans="3:13" hidden="1" outlineLevel="1" x14ac:dyDescent="0.2">
      <c r="C808" s="139">
        <v>582</v>
      </c>
      <c r="D808" s="248">
        <v>526.63160000000005</v>
      </c>
      <c r="E808" s="248">
        <v>555.22720000000004</v>
      </c>
      <c r="F808" s="248">
        <v>569.08090000000004</v>
      </c>
      <c r="G808" s="248">
        <v>579.71990000000005</v>
      </c>
      <c r="H808" s="248">
        <v>597.67939999999999</v>
      </c>
      <c r="I808"/>
      <c r="J808"/>
      <c r="K808"/>
      <c r="L808"/>
      <c r="M808"/>
    </row>
    <row r="809" spans="3:13" hidden="1" outlineLevel="1" x14ac:dyDescent="0.2">
      <c r="C809" s="139">
        <v>583</v>
      </c>
      <c r="D809" s="248">
        <v>527.58979999999997</v>
      </c>
      <c r="E809" s="248">
        <v>556.22119999999995</v>
      </c>
      <c r="F809" s="248">
        <v>570.08989999999994</v>
      </c>
      <c r="G809" s="248">
        <v>580.74270000000001</v>
      </c>
      <c r="H809" s="248">
        <v>598.72590000000002</v>
      </c>
      <c r="I809"/>
      <c r="J809"/>
      <c r="K809"/>
      <c r="L809"/>
      <c r="M809"/>
    </row>
    <row r="810" spans="3:13" hidden="1" outlineLevel="1" x14ac:dyDescent="0.2">
      <c r="C810" s="139">
        <v>584</v>
      </c>
      <c r="D810" s="248">
        <v>528.54819999999995</v>
      </c>
      <c r="E810" s="248">
        <v>557.21090000000004</v>
      </c>
      <c r="F810" s="248">
        <v>571.09889999999996</v>
      </c>
      <c r="G810" s="248">
        <v>581.76549999999997</v>
      </c>
      <c r="H810" s="248">
        <v>599.77250000000004</v>
      </c>
      <c r="I810"/>
      <c r="J810"/>
      <c r="K810"/>
      <c r="L810"/>
      <c r="M810"/>
    </row>
    <row r="811" spans="3:13" hidden="1" outlineLevel="1" x14ac:dyDescent="0.2">
      <c r="C811" s="139">
        <v>585</v>
      </c>
      <c r="D811" s="248">
        <v>529.50689999999997</v>
      </c>
      <c r="E811" s="248">
        <v>558.20069999999998</v>
      </c>
      <c r="F811" s="248">
        <v>572.10810000000004</v>
      </c>
      <c r="G811" s="248">
        <v>582.7885</v>
      </c>
      <c r="H811" s="248">
        <v>600.82399999999996</v>
      </c>
      <c r="I811"/>
      <c r="J811"/>
      <c r="K811"/>
      <c r="L811"/>
      <c r="M811"/>
    </row>
    <row r="812" spans="3:13" hidden="1" outlineLevel="1" x14ac:dyDescent="0.2">
      <c r="C812" s="139">
        <v>586</v>
      </c>
      <c r="D812" s="248">
        <v>530.46559999999999</v>
      </c>
      <c r="E812" s="248">
        <v>559.1952</v>
      </c>
      <c r="F812" s="248">
        <v>573.1173</v>
      </c>
      <c r="G812" s="248">
        <v>583.81150000000002</v>
      </c>
      <c r="H812" s="248">
        <v>601.87080000000003</v>
      </c>
      <c r="I812"/>
      <c r="J812"/>
      <c r="K812"/>
      <c r="L812"/>
      <c r="M812"/>
    </row>
    <row r="813" spans="3:13" hidden="1" outlineLevel="1" x14ac:dyDescent="0.2">
      <c r="C813" s="139">
        <v>587</v>
      </c>
      <c r="D813" s="248">
        <v>531.42909999999995</v>
      </c>
      <c r="E813" s="248">
        <v>560.18529999999998</v>
      </c>
      <c r="F813" s="248">
        <v>574.12670000000003</v>
      </c>
      <c r="G813" s="248">
        <v>584.8347</v>
      </c>
      <c r="H813" s="248">
        <v>602.91750000000002</v>
      </c>
      <c r="I813"/>
      <c r="J813"/>
      <c r="K813"/>
      <c r="L813"/>
      <c r="M813"/>
    </row>
    <row r="814" spans="3:13" hidden="1" outlineLevel="1" x14ac:dyDescent="0.2">
      <c r="C814" s="139">
        <v>588</v>
      </c>
      <c r="D814" s="248">
        <v>532.38829999999996</v>
      </c>
      <c r="E814" s="248">
        <v>561.17550000000006</v>
      </c>
      <c r="F814" s="248">
        <v>575.13170000000002</v>
      </c>
      <c r="G814" s="248">
        <v>585.85789999999997</v>
      </c>
      <c r="H814" s="248">
        <v>603.96929999999998</v>
      </c>
      <c r="I814"/>
      <c r="J814"/>
      <c r="K814"/>
      <c r="L814"/>
      <c r="M814"/>
    </row>
    <row r="815" spans="3:13" hidden="1" outlineLevel="1" x14ac:dyDescent="0.2">
      <c r="C815" s="139">
        <v>589</v>
      </c>
      <c r="D815" s="248">
        <v>533.34310000000005</v>
      </c>
      <c r="E815" s="248">
        <v>562.1703</v>
      </c>
      <c r="F815" s="248">
        <v>576.14120000000003</v>
      </c>
      <c r="G815" s="248">
        <v>586.88120000000004</v>
      </c>
      <c r="H815" s="248">
        <v>605.0163</v>
      </c>
      <c r="I815"/>
      <c r="J815"/>
      <c r="K815"/>
      <c r="L815"/>
      <c r="M815"/>
    </row>
    <row r="816" spans="3:13" hidden="1" outlineLevel="1" x14ac:dyDescent="0.2">
      <c r="C816" s="139">
        <v>590</v>
      </c>
      <c r="D816" s="248">
        <v>534.30259999999998</v>
      </c>
      <c r="E816" s="248">
        <v>563.16070000000002</v>
      </c>
      <c r="F816" s="248">
        <v>577.15089999999998</v>
      </c>
      <c r="G816" s="248">
        <v>587.90009999999995</v>
      </c>
      <c r="H816" s="248">
        <v>606.06330000000003</v>
      </c>
      <c r="I816"/>
      <c r="J816"/>
      <c r="K816"/>
      <c r="L816"/>
      <c r="M816"/>
    </row>
    <row r="817" spans="3:13" hidden="1" outlineLevel="1" x14ac:dyDescent="0.2">
      <c r="C817" s="139">
        <v>591</v>
      </c>
      <c r="D817" s="248">
        <v>535.26229999999998</v>
      </c>
      <c r="E817" s="248">
        <v>564.15129999999999</v>
      </c>
      <c r="F817" s="248">
        <v>578.16070000000002</v>
      </c>
      <c r="G817" s="248">
        <v>588.92359999999996</v>
      </c>
      <c r="H817" s="248">
        <v>607.11030000000005</v>
      </c>
      <c r="I817"/>
      <c r="J817"/>
      <c r="K817"/>
      <c r="L817"/>
      <c r="M817"/>
    </row>
    <row r="818" spans="3:13" hidden="1" outlineLevel="1" x14ac:dyDescent="0.2">
      <c r="C818" s="139">
        <v>592</v>
      </c>
      <c r="D818" s="248">
        <v>536.22220000000004</v>
      </c>
      <c r="E818" s="248">
        <v>565.14200000000005</v>
      </c>
      <c r="F818" s="248">
        <v>579.17060000000004</v>
      </c>
      <c r="G818" s="248">
        <v>589.94719999999995</v>
      </c>
      <c r="H818" s="248">
        <v>608.16240000000005</v>
      </c>
      <c r="I818"/>
      <c r="J818"/>
      <c r="K818"/>
      <c r="L818"/>
      <c r="M818"/>
    </row>
    <row r="819" spans="3:13" hidden="1" outlineLevel="1" x14ac:dyDescent="0.2">
      <c r="C819" s="139">
        <v>593</v>
      </c>
      <c r="D819" s="248">
        <v>537.18230000000005</v>
      </c>
      <c r="E819" s="248">
        <v>566.13289999999995</v>
      </c>
      <c r="F819" s="248">
        <v>580.17610000000002</v>
      </c>
      <c r="G819" s="248">
        <v>590.97090000000003</v>
      </c>
      <c r="H819" s="248">
        <v>609.20960000000002</v>
      </c>
      <c r="I819"/>
      <c r="J819"/>
      <c r="K819"/>
      <c r="L819"/>
      <c r="M819"/>
    </row>
    <row r="820" spans="3:13" hidden="1" outlineLevel="1" x14ac:dyDescent="0.2">
      <c r="C820" s="139">
        <v>594</v>
      </c>
      <c r="D820" s="248">
        <v>538.14260000000002</v>
      </c>
      <c r="E820" s="248">
        <v>567.12829999999997</v>
      </c>
      <c r="F820" s="248">
        <v>581.18619999999999</v>
      </c>
      <c r="G820" s="248">
        <v>591.99469999999997</v>
      </c>
      <c r="H820" s="248">
        <v>610.25689999999997</v>
      </c>
      <c r="I820"/>
      <c r="J820"/>
      <c r="K820"/>
      <c r="L820"/>
      <c r="M820"/>
    </row>
    <row r="821" spans="3:13" hidden="1" outlineLevel="1" x14ac:dyDescent="0.2">
      <c r="C821" s="139">
        <v>595</v>
      </c>
      <c r="D821" s="248">
        <v>539.10299999999995</v>
      </c>
      <c r="E821" s="248">
        <v>568.11940000000004</v>
      </c>
      <c r="F821" s="248">
        <v>582.19640000000004</v>
      </c>
      <c r="G821" s="248">
        <v>593.01850000000002</v>
      </c>
      <c r="H821" s="248">
        <v>611.30430000000001</v>
      </c>
      <c r="I821"/>
      <c r="J821"/>
      <c r="K821"/>
      <c r="L821"/>
      <c r="M821"/>
    </row>
    <row r="822" spans="3:13" hidden="1" outlineLevel="1" x14ac:dyDescent="0.2">
      <c r="C822" s="139">
        <v>596</v>
      </c>
      <c r="D822" s="248">
        <v>540.05909999999994</v>
      </c>
      <c r="E822" s="248">
        <v>569.11059999999998</v>
      </c>
      <c r="F822" s="248">
        <v>583.20209999999997</v>
      </c>
      <c r="G822" s="248">
        <v>594.04250000000002</v>
      </c>
      <c r="H822" s="248">
        <v>612.35670000000005</v>
      </c>
      <c r="I822"/>
      <c r="J822"/>
      <c r="K822"/>
      <c r="L822"/>
      <c r="M822"/>
    </row>
    <row r="823" spans="3:13" hidden="1" outlineLevel="1" x14ac:dyDescent="0.2">
      <c r="C823" s="139">
        <v>597</v>
      </c>
      <c r="D823" s="248">
        <v>541.01990000000001</v>
      </c>
      <c r="E823" s="248">
        <v>570.1019</v>
      </c>
      <c r="F823" s="248">
        <v>584.21249999999998</v>
      </c>
      <c r="G823" s="248">
        <v>595.06200000000001</v>
      </c>
      <c r="H823" s="248">
        <v>613.40419999999995</v>
      </c>
      <c r="I823"/>
      <c r="J823"/>
      <c r="K823"/>
      <c r="L823"/>
      <c r="M823"/>
    </row>
    <row r="824" spans="3:13" hidden="1" outlineLevel="1" x14ac:dyDescent="0.2">
      <c r="C824" s="139">
        <v>598</v>
      </c>
      <c r="D824" s="248">
        <v>541.98080000000004</v>
      </c>
      <c r="E824" s="248">
        <v>571.09339999999997</v>
      </c>
      <c r="F824" s="248">
        <v>585.22310000000004</v>
      </c>
      <c r="G824" s="248">
        <v>596.08609999999999</v>
      </c>
      <c r="H824" s="248">
        <v>614.45169999999996</v>
      </c>
      <c r="I824"/>
      <c r="J824"/>
      <c r="K824"/>
      <c r="L824"/>
      <c r="M824"/>
    </row>
    <row r="825" spans="3:13" hidden="1" outlineLevel="1" x14ac:dyDescent="0.2">
      <c r="C825" s="139">
        <v>599</v>
      </c>
      <c r="D825" s="248">
        <v>542.94200000000001</v>
      </c>
      <c r="E825" s="248">
        <v>572.08489999999995</v>
      </c>
      <c r="F825" s="248">
        <v>586.22910000000002</v>
      </c>
      <c r="G825" s="248">
        <v>597.11030000000005</v>
      </c>
      <c r="H825" s="248">
        <v>615.49929999999995</v>
      </c>
      <c r="I825"/>
      <c r="J825"/>
      <c r="K825"/>
      <c r="L825"/>
      <c r="M825"/>
    </row>
    <row r="826" spans="3:13" hidden="1" outlineLevel="1" x14ac:dyDescent="0.2">
      <c r="C826" s="139">
        <v>600</v>
      </c>
      <c r="D826" s="248">
        <v>543.89880000000005</v>
      </c>
      <c r="E826" s="248">
        <v>573.07659999999998</v>
      </c>
      <c r="F826" s="248">
        <v>587.23979999999995</v>
      </c>
      <c r="G826" s="248">
        <v>598.13459999999998</v>
      </c>
      <c r="H826" s="248">
        <v>616.54700000000003</v>
      </c>
      <c r="I826"/>
      <c r="J826"/>
      <c r="K826"/>
      <c r="L826"/>
      <c r="M826"/>
    </row>
    <row r="827" spans="3:13" hidden="1" outlineLevel="1" x14ac:dyDescent="0.2">
      <c r="C827" s="139">
        <v>601</v>
      </c>
      <c r="D827" s="248">
        <v>544.86030000000005</v>
      </c>
      <c r="E827" s="248">
        <v>574.0684</v>
      </c>
      <c r="F827" s="248">
        <v>588.25070000000005</v>
      </c>
      <c r="G827" s="248">
        <v>599.15440000000001</v>
      </c>
      <c r="H827" s="248">
        <v>617.59479999999996</v>
      </c>
      <c r="I827"/>
      <c r="J827"/>
      <c r="K827"/>
      <c r="L827"/>
      <c r="M827"/>
    </row>
    <row r="828" spans="3:13" hidden="1" outlineLevel="1" x14ac:dyDescent="0.2">
      <c r="C828" s="139">
        <v>602</v>
      </c>
      <c r="D828" s="248">
        <v>545.81740000000002</v>
      </c>
      <c r="E828" s="248">
        <v>575.06039999999996</v>
      </c>
      <c r="F828" s="248">
        <v>589.25699999999995</v>
      </c>
      <c r="G828" s="248">
        <v>600.1789</v>
      </c>
      <c r="H828" s="248">
        <v>618.64760000000001</v>
      </c>
      <c r="I828"/>
      <c r="J828"/>
      <c r="K828"/>
      <c r="L828"/>
      <c r="M828"/>
    </row>
    <row r="829" spans="3:13" hidden="1" outlineLevel="1" x14ac:dyDescent="0.2">
      <c r="C829" s="139">
        <v>603</v>
      </c>
      <c r="D829" s="248">
        <v>546.77930000000003</v>
      </c>
      <c r="E829" s="248">
        <v>576.05240000000003</v>
      </c>
      <c r="F829" s="248">
        <v>590.26800000000003</v>
      </c>
      <c r="G829" s="248">
        <v>601.20349999999996</v>
      </c>
      <c r="H829" s="248">
        <v>619.69550000000004</v>
      </c>
      <c r="I829"/>
      <c r="J829"/>
      <c r="K829"/>
      <c r="L829"/>
      <c r="M829"/>
    </row>
    <row r="830" spans="3:13" hidden="1" outlineLevel="1" x14ac:dyDescent="0.2">
      <c r="C830" s="139">
        <v>604</v>
      </c>
      <c r="D830" s="248">
        <v>547.73670000000004</v>
      </c>
      <c r="E830" s="248">
        <v>577.04459999999995</v>
      </c>
      <c r="F830" s="248">
        <v>591.27459999999996</v>
      </c>
      <c r="G830" s="248">
        <v>602.22360000000003</v>
      </c>
      <c r="H830" s="248">
        <v>620.74350000000004</v>
      </c>
      <c r="I830"/>
      <c r="J830"/>
      <c r="K830"/>
      <c r="L830"/>
      <c r="M830"/>
    </row>
    <row r="831" spans="3:13" hidden="1" outlineLevel="1" x14ac:dyDescent="0.2">
      <c r="C831" s="139">
        <v>605</v>
      </c>
      <c r="D831" s="248">
        <v>548.69899999999996</v>
      </c>
      <c r="E831" s="248">
        <v>578.03689999999995</v>
      </c>
      <c r="F831" s="248">
        <v>592.28579999999999</v>
      </c>
      <c r="G831" s="248">
        <v>603.24829999999997</v>
      </c>
      <c r="H831" s="248">
        <v>621.79150000000004</v>
      </c>
      <c r="I831"/>
      <c r="J831"/>
      <c r="K831"/>
      <c r="L831"/>
      <c r="M831"/>
    </row>
    <row r="832" spans="3:13" hidden="1" outlineLevel="1" x14ac:dyDescent="0.2">
      <c r="C832" s="139">
        <v>606</v>
      </c>
      <c r="D832" s="248">
        <v>549.65679999999998</v>
      </c>
      <c r="E832" s="248">
        <v>579.02930000000003</v>
      </c>
      <c r="F832" s="248">
        <v>593.29250000000002</v>
      </c>
      <c r="G832" s="248">
        <v>604.27319999999997</v>
      </c>
      <c r="H832" s="248">
        <v>622.83960000000002</v>
      </c>
      <c r="I832"/>
      <c r="J832"/>
      <c r="K832"/>
      <c r="L832"/>
      <c r="M832"/>
    </row>
    <row r="833" spans="3:13" hidden="1" outlineLevel="1" x14ac:dyDescent="0.2">
      <c r="C833" s="139">
        <v>607</v>
      </c>
      <c r="D833" s="248">
        <v>550.61940000000004</v>
      </c>
      <c r="E833" s="248">
        <v>580.0172</v>
      </c>
      <c r="F833" s="248">
        <v>594.30399999999997</v>
      </c>
      <c r="G833" s="248">
        <v>605.29349999999999</v>
      </c>
      <c r="H833" s="248">
        <v>623.88779999999997</v>
      </c>
      <c r="I833"/>
      <c r="J833"/>
      <c r="K833"/>
      <c r="L833"/>
      <c r="M833"/>
    </row>
    <row r="834" spans="3:13" hidden="1" outlineLevel="1" x14ac:dyDescent="0.2">
      <c r="C834" s="139">
        <v>608</v>
      </c>
      <c r="D834" s="248">
        <v>551.57749999999999</v>
      </c>
      <c r="E834" s="248">
        <v>581.00990000000002</v>
      </c>
      <c r="F834" s="248">
        <v>595.31089999999995</v>
      </c>
      <c r="G834" s="248">
        <v>606.31849999999997</v>
      </c>
      <c r="H834" s="248">
        <v>624.93600000000004</v>
      </c>
      <c r="I834"/>
      <c r="J834"/>
      <c r="K834"/>
      <c r="L834"/>
      <c r="M834"/>
    </row>
    <row r="835" spans="3:13" hidden="1" outlineLevel="1" x14ac:dyDescent="0.2">
      <c r="C835" s="139">
        <v>609</v>
      </c>
      <c r="D835" s="248">
        <v>552.54049999999995</v>
      </c>
      <c r="E835" s="248">
        <v>582.0027</v>
      </c>
      <c r="F835" s="248">
        <v>596.32259999999997</v>
      </c>
      <c r="G835" s="248">
        <v>607.33889999999997</v>
      </c>
      <c r="H835" s="248">
        <v>625.98429999999996</v>
      </c>
      <c r="I835"/>
      <c r="J835"/>
      <c r="K835"/>
      <c r="L835"/>
      <c r="M835"/>
    </row>
    <row r="836" spans="3:13" hidden="1" outlineLevel="1" x14ac:dyDescent="0.2">
      <c r="C836" s="139">
        <v>610</v>
      </c>
      <c r="D836" s="248">
        <v>553.49900000000002</v>
      </c>
      <c r="E836" s="248">
        <v>582.99559999999997</v>
      </c>
      <c r="F836" s="248">
        <v>597.3297</v>
      </c>
      <c r="G836" s="248">
        <v>608.36410000000001</v>
      </c>
      <c r="H836" s="248">
        <v>627.03269999999998</v>
      </c>
      <c r="I836"/>
      <c r="J836"/>
      <c r="K836"/>
      <c r="L836"/>
      <c r="M836"/>
    </row>
    <row r="837" spans="3:13" hidden="1" outlineLevel="1" x14ac:dyDescent="0.2">
      <c r="C837" s="139">
        <v>611</v>
      </c>
      <c r="D837" s="248">
        <v>554.45759999999996</v>
      </c>
      <c r="E837" s="248">
        <v>583.98860000000002</v>
      </c>
      <c r="F837" s="248">
        <v>598.3415</v>
      </c>
      <c r="G837" s="248">
        <v>609.38940000000002</v>
      </c>
      <c r="H837" s="248">
        <v>628.08109999999999</v>
      </c>
      <c r="I837"/>
      <c r="J837"/>
      <c r="K837"/>
      <c r="L837"/>
      <c r="M837"/>
    </row>
    <row r="838" spans="3:13" hidden="1" outlineLevel="1" x14ac:dyDescent="0.2">
      <c r="C838" s="139">
        <v>612</v>
      </c>
      <c r="D838" s="248">
        <v>555.42110000000002</v>
      </c>
      <c r="E838" s="248">
        <v>584.97709999999995</v>
      </c>
      <c r="F838" s="248">
        <v>599.34879999999998</v>
      </c>
      <c r="G838" s="248">
        <v>610.41010000000006</v>
      </c>
      <c r="H838" s="248">
        <v>629.12959999999998</v>
      </c>
      <c r="I838"/>
      <c r="J838"/>
      <c r="K838"/>
      <c r="L838"/>
      <c r="M838"/>
    </row>
    <row r="839" spans="3:13" hidden="1" outlineLevel="1" x14ac:dyDescent="0.2">
      <c r="C839" s="139">
        <v>613</v>
      </c>
      <c r="D839" s="248">
        <v>556.38009999999997</v>
      </c>
      <c r="E839" s="248">
        <v>585.97029999999995</v>
      </c>
      <c r="F839" s="248">
        <v>600.35619999999994</v>
      </c>
      <c r="G839" s="248">
        <v>611.43560000000002</v>
      </c>
      <c r="H839" s="248">
        <v>630.17819999999995</v>
      </c>
      <c r="I839"/>
      <c r="J839"/>
      <c r="K839"/>
      <c r="L839"/>
      <c r="M839"/>
    </row>
    <row r="840" spans="3:13" hidden="1" outlineLevel="1" x14ac:dyDescent="0.2">
      <c r="C840" s="139">
        <v>614</v>
      </c>
      <c r="D840" s="248">
        <v>557.33929999999998</v>
      </c>
      <c r="E840" s="248">
        <v>586.96370000000002</v>
      </c>
      <c r="F840" s="248">
        <v>601.36839999999995</v>
      </c>
      <c r="G840" s="248">
        <v>612.45650000000001</v>
      </c>
      <c r="H840" s="248">
        <v>631.22680000000003</v>
      </c>
      <c r="I840"/>
      <c r="J840"/>
      <c r="K840"/>
      <c r="L840"/>
      <c r="M840"/>
    </row>
    <row r="841" spans="3:13" hidden="1" outlineLevel="1" x14ac:dyDescent="0.2">
      <c r="C841" s="139">
        <v>615</v>
      </c>
      <c r="D841" s="248">
        <v>558.29859999999996</v>
      </c>
      <c r="E841" s="248">
        <v>587.95719999999994</v>
      </c>
      <c r="F841" s="248">
        <v>602.37599999999998</v>
      </c>
      <c r="G841" s="248">
        <v>613.48209999999995</v>
      </c>
      <c r="H841" s="248">
        <v>632.27549999999997</v>
      </c>
      <c r="I841"/>
      <c r="J841"/>
      <c r="K841"/>
      <c r="L841"/>
      <c r="M841"/>
    </row>
    <row r="842" spans="3:13" hidden="1" outlineLevel="1" x14ac:dyDescent="0.2">
      <c r="C842" s="139">
        <v>616</v>
      </c>
      <c r="D842" s="248">
        <v>559.25810000000001</v>
      </c>
      <c r="E842" s="248">
        <v>588.9461</v>
      </c>
      <c r="F842" s="248">
        <v>603.38829999999996</v>
      </c>
      <c r="G842" s="248">
        <v>614.50310000000002</v>
      </c>
      <c r="H842" s="248">
        <v>633.32429999999999</v>
      </c>
      <c r="I842"/>
      <c r="J842"/>
      <c r="K842"/>
      <c r="L842"/>
      <c r="M842"/>
    </row>
    <row r="843" spans="3:13" hidden="1" outlineLevel="1" x14ac:dyDescent="0.2">
      <c r="C843" s="139">
        <v>617</v>
      </c>
      <c r="D843" s="248">
        <v>560.22249999999997</v>
      </c>
      <c r="E843" s="248">
        <v>589.93989999999997</v>
      </c>
      <c r="F843" s="248">
        <v>604.39610000000005</v>
      </c>
      <c r="G843" s="248">
        <v>615.529</v>
      </c>
      <c r="H843" s="248">
        <v>634.37310000000002</v>
      </c>
      <c r="I843"/>
      <c r="J843"/>
      <c r="K843"/>
      <c r="L843"/>
      <c r="M843"/>
    </row>
    <row r="844" spans="3:13" hidden="1" outlineLevel="1" x14ac:dyDescent="0.2">
      <c r="C844" s="139">
        <v>618</v>
      </c>
      <c r="D844" s="248">
        <v>561.18230000000005</v>
      </c>
      <c r="E844" s="248">
        <v>590.93370000000004</v>
      </c>
      <c r="F844" s="248">
        <v>605.404</v>
      </c>
      <c r="G844" s="248">
        <v>616.55010000000004</v>
      </c>
      <c r="H844" s="248">
        <v>635.42200000000003</v>
      </c>
      <c r="I844"/>
      <c r="J844"/>
      <c r="K844"/>
      <c r="L844"/>
      <c r="M844"/>
    </row>
    <row r="845" spans="3:13" hidden="1" outlineLevel="1" x14ac:dyDescent="0.2">
      <c r="C845" s="139">
        <v>619</v>
      </c>
      <c r="D845" s="248">
        <v>562.14229999999998</v>
      </c>
      <c r="E845" s="248">
        <v>591.923</v>
      </c>
      <c r="F845" s="248">
        <v>606.41189999999995</v>
      </c>
      <c r="G845" s="248">
        <v>617.57140000000004</v>
      </c>
      <c r="H845" s="248">
        <v>636.471</v>
      </c>
      <c r="I845"/>
      <c r="J845"/>
      <c r="K845"/>
      <c r="L845"/>
      <c r="M845"/>
    </row>
    <row r="846" spans="3:13" hidden="1" outlineLevel="1" x14ac:dyDescent="0.2">
      <c r="C846" s="139">
        <v>620</v>
      </c>
      <c r="D846" s="248">
        <v>563.10249999999996</v>
      </c>
      <c r="E846" s="248">
        <v>592.9171</v>
      </c>
      <c r="F846" s="248">
        <v>607.42470000000003</v>
      </c>
      <c r="G846" s="248">
        <v>618.59749999999997</v>
      </c>
      <c r="H846" s="248">
        <v>637.52</v>
      </c>
      <c r="I846"/>
      <c r="J846"/>
      <c r="K846"/>
      <c r="L846"/>
      <c r="M846"/>
    </row>
    <row r="847" spans="3:13" hidden="1" outlineLevel="1" x14ac:dyDescent="0.2">
      <c r="C847" s="139">
        <v>621</v>
      </c>
      <c r="D847" s="248">
        <v>564.06280000000004</v>
      </c>
      <c r="E847" s="248">
        <v>593.90660000000003</v>
      </c>
      <c r="F847" s="248">
        <v>608.43280000000004</v>
      </c>
      <c r="G847" s="248">
        <v>619.61890000000005</v>
      </c>
      <c r="H847" s="248">
        <v>638.56910000000005</v>
      </c>
      <c r="I847"/>
      <c r="J847"/>
      <c r="K847"/>
      <c r="L847"/>
      <c r="M847"/>
    </row>
    <row r="848" spans="3:13" hidden="1" outlineLevel="1" x14ac:dyDescent="0.2">
      <c r="C848" s="139">
        <v>622</v>
      </c>
      <c r="D848" s="248">
        <v>565.02340000000004</v>
      </c>
      <c r="E848" s="248">
        <v>594.90089999999998</v>
      </c>
      <c r="F848" s="248">
        <v>609.44110000000001</v>
      </c>
      <c r="G848" s="248">
        <v>620.64520000000005</v>
      </c>
      <c r="H848" s="248">
        <v>639.61829999999998</v>
      </c>
      <c r="I848"/>
      <c r="J848"/>
      <c r="K848"/>
      <c r="L848"/>
      <c r="M848"/>
    </row>
    <row r="849" spans="3:13" hidden="1" outlineLevel="1" x14ac:dyDescent="0.2">
      <c r="C849" s="139">
        <v>623</v>
      </c>
      <c r="D849" s="248">
        <v>565.98400000000004</v>
      </c>
      <c r="E849" s="248">
        <v>595.89059999999995</v>
      </c>
      <c r="F849" s="248">
        <v>610.44939999999997</v>
      </c>
      <c r="G849" s="248">
        <v>621.66679999999997</v>
      </c>
      <c r="H849" s="248">
        <v>640.66229999999996</v>
      </c>
      <c r="I849"/>
      <c r="J849"/>
      <c r="K849"/>
      <c r="L849"/>
      <c r="M849"/>
    </row>
    <row r="850" spans="3:13" hidden="1" outlineLevel="1" x14ac:dyDescent="0.2">
      <c r="C850" s="139">
        <v>624</v>
      </c>
      <c r="D850" s="248">
        <v>566.94489999999996</v>
      </c>
      <c r="E850" s="248">
        <v>596.88520000000005</v>
      </c>
      <c r="F850" s="248">
        <v>611.46259999999995</v>
      </c>
      <c r="G850" s="248">
        <v>622.6884</v>
      </c>
      <c r="H850" s="248">
        <v>641.71159999999998</v>
      </c>
      <c r="I850"/>
      <c r="J850"/>
      <c r="K850"/>
      <c r="L850"/>
      <c r="M850"/>
    </row>
    <row r="851" spans="3:13" hidden="1" outlineLevel="1" x14ac:dyDescent="0.2">
      <c r="C851" s="139">
        <v>625</v>
      </c>
      <c r="D851" s="248">
        <v>567.90589999999997</v>
      </c>
      <c r="E851" s="248">
        <v>597.87509999999997</v>
      </c>
      <c r="F851" s="248">
        <v>612.47109999999998</v>
      </c>
      <c r="G851" s="248">
        <v>623.71489999999994</v>
      </c>
      <c r="H851" s="248">
        <v>642.76099999999997</v>
      </c>
      <c r="I851"/>
      <c r="J851"/>
      <c r="K851"/>
      <c r="L851"/>
      <c r="M851"/>
    </row>
    <row r="852" spans="3:13" hidden="1" outlineLevel="1" x14ac:dyDescent="0.2">
      <c r="C852" s="139">
        <v>626</v>
      </c>
      <c r="D852" s="248">
        <v>568.86710000000005</v>
      </c>
      <c r="E852" s="248">
        <v>598.86990000000003</v>
      </c>
      <c r="F852" s="248">
        <v>613.47969999999998</v>
      </c>
      <c r="G852" s="248">
        <v>624.73670000000004</v>
      </c>
      <c r="H852" s="248">
        <v>643.81039999999996</v>
      </c>
      <c r="I852"/>
      <c r="J852"/>
      <c r="K852"/>
      <c r="L852"/>
      <c r="M852"/>
    </row>
    <row r="853" spans="3:13" hidden="1" outlineLevel="1" x14ac:dyDescent="0.2">
      <c r="C853" s="139">
        <v>627</v>
      </c>
      <c r="D853" s="248">
        <v>569.82839999999999</v>
      </c>
      <c r="E853" s="248">
        <v>599.86009999999999</v>
      </c>
      <c r="F853" s="248">
        <v>614.48839999999996</v>
      </c>
      <c r="G853" s="248">
        <v>625.7586</v>
      </c>
      <c r="H853" s="248">
        <v>644.85990000000004</v>
      </c>
      <c r="I853"/>
      <c r="J853"/>
      <c r="K853"/>
      <c r="L853"/>
      <c r="M853"/>
    </row>
    <row r="854" spans="3:13" hidden="1" outlineLevel="1" x14ac:dyDescent="0.2">
      <c r="C854" s="139">
        <v>628</v>
      </c>
      <c r="D854" s="248">
        <v>570.79</v>
      </c>
      <c r="E854" s="248">
        <v>600.85509999999999</v>
      </c>
      <c r="F854" s="248">
        <v>615.49720000000002</v>
      </c>
      <c r="G854" s="248">
        <v>626.78539999999998</v>
      </c>
      <c r="H854" s="248">
        <v>645.90949999999998</v>
      </c>
      <c r="I854"/>
      <c r="J854"/>
      <c r="K854"/>
      <c r="L854"/>
      <c r="M854"/>
    </row>
    <row r="855" spans="3:13" hidden="1" outlineLevel="1" x14ac:dyDescent="0.2">
      <c r="C855" s="139">
        <v>629</v>
      </c>
      <c r="D855" s="248">
        <v>571.74689999999998</v>
      </c>
      <c r="E855" s="248">
        <v>601.84550000000002</v>
      </c>
      <c r="F855" s="248">
        <v>616.50609999999995</v>
      </c>
      <c r="G855" s="248">
        <v>627.8075</v>
      </c>
      <c r="H855" s="248">
        <v>646.9538</v>
      </c>
      <c r="I855"/>
      <c r="J855"/>
      <c r="K855"/>
      <c r="L855"/>
      <c r="M855"/>
    </row>
    <row r="856" spans="3:13" hidden="1" outlineLevel="1" x14ac:dyDescent="0.2">
      <c r="C856" s="139">
        <v>630</v>
      </c>
      <c r="D856" s="248">
        <v>572.70870000000002</v>
      </c>
      <c r="E856" s="248">
        <v>602.84079999999994</v>
      </c>
      <c r="F856" s="248">
        <v>617.51509999999996</v>
      </c>
      <c r="G856" s="248">
        <v>628.82960000000003</v>
      </c>
      <c r="H856" s="248">
        <v>648.00350000000003</v>
      </c>
      <c r="I856"/>
      <c r="J856"/>
      <c r="K856"/>
      <c r="L856"/>
      <c r="M856"/>
    </row>
    <row r="857" spans="3:13" hidden="1" outlineLevel="1" x14ac:dyDescent="0.2">
      <c r="C857" s="139">
        <v>631</v>
      </c>
      <c r="D857" s="248">
        <v>573.67070000000001</v>
      </c>
      <c r="E857" s="248">
        <v>603.83140000000003</v>
      </c>
      <c r="F857" s="248">
        <v>618.52890000000002</v>
      </c>
      <c r="G857" s="248">
        <v>629.85659999999996</v>
      </c>
      <c r="H857" s="248">
        <v>649.05330000000004</v>
      </c>
      <c r="I857"/>
      <c r="J857"/>
      <c r="K857"/>
      <c r="L857"/>
      <c r="M857"/>
    </row>
    <row r="858" spans="3:13" hidden="1" outlineLevel="1" x14ac:dyDescent="0.2">
      <c r="C858" s="139">
        <v>632</v>
      </c>
      <c r="D858" s="248">
        <v>574.63289999999995</v>
      </c>
      <c r="E858" s="248">
        <v>604.82209999999998</v>
      </c>
      <c r="F858" s="248">
        <v>619.53809999999999</v>
      </c>
      <c r="G858" s="248">
        <v>630.87890000000004</v>
      </c>
      <c r="H858" s="248">
        <v>650.10310000000004</v>
      </c>
      <c r="I858"/>
      <c r="J858"/>
      <c r="K858"/>
      <c r="L858"/>
      <c r="M858"/>
    </row>
    <row r="859" spans="3:13" hidden="1" outlineLevel="1" x14ac:dyDescent="0.2">
      <c r="C859" s="139">
        <v>633</v>
      </c>
      <c r="D859" s="248">
        <v>575.59040000000005</v>
      </c>
      <c r="E859" s="248">
        <v>605.81769999999995</v>
      </c>
      <c r="F859" s="248">
        <v>620.54740000000004</v>
      </c>
      <c r="G859" s="248">
        <v>631.90129999999999</v>
      </c>
      <c r="H859" s="248">
        <v>651.15300000000002</v>
      </c>
      <c r="I859"/>
      <c r="J859"/>
      <c r="K859"/>
      <c r="L859"/>
      <c r="M859"/>
    </row>
    <row r="860" spans="3:13" hidden="1" outlineLevel="1" x14ac:dyDescent="0.2">
      <c r="C860" s="139">
        <v>634</v>
      </c>
      <c r="D860" s="248">
        <v>576.55290000000002</v>
      </c>
      <c r="E860" s="248">
        <v>606.80859999999996</v>
      </c>
      <c r="F860" s="248">
        <v>621.55669999999998</v>
      </c>
      <c r="G860" s="248">
        <v>632.92380000000003</v>
      </c>
      <c r="H860" s="248">
        <v>652.19770000000005</v>
      </c>
      <c r="I860"/>
      <c r="J860"/>
      <c r="K860"/>
      <c r="L860"/>
      <c r="M860"/>
    </row>
    <row r="861" spans="3:13" hidden="1" outlineLevel="1" x14ac:dyDescent="0.2">
      <c r="C861" s="139">
        <v>635</v>
      </c>
      <c r="D861" s="248">
        <v>577.51559999999995</v>
      </c>
      <c r="E861" s="248">
        <v>607.79960000000005</v>
      </c>
      <c r="F861" s="248">
        <v>622.56619999999998</v>
      </c>
      <c r="G861" s="248">
        <v>633.94629999999995</v>
      </c>
      <c r="H861" s="248">
        <v>653.24770000000001</v>
      </c>
      <c r="I861"/>
      <c r="J861"/>
      <c r="K861"/>
      <c r="L861"/>
      <c r="M861"/>
    </row>
    <row r="862" spans="3:13" hidden="1" outlineLevel="1" x14ac:dyDescent="0.2">
      <c r="C862" s="139">
        <v>636</v>
      </c>
      <c r="D862" s="248">
        <v>578.47360000000003</v>
      </c>
      <c r="E862" s="248">
        <v>608.79560000000004</v>
      </c>
      <c r="F862" s="248">
        <v>623.57569999999998</v>
      </c>
      <c r="G862" s="248">
        <v>634.97370000000001</v>
      </c>
      <c r="H862" s="248">
        <v>654.29780000000005</v>
      </c>
      <c r="I862"/>
      <c r="J862"/>
      <c r="K862"/>
      <c r="L862"/>
      <c r="M862"/>
    </row>
    <row r="863" spans="3:13" hidden="1" outlineLevel="1" x14ac:dyDescent="0.2">
      <c r="C863" s="139">
        <v>637</v>
      </c>
      <c r="D863" s="248">
        <v>579.4366</v>
      </c>
      <c r="E863" s="248">
        <v>609.78689999999995</v>
      </c>
      <c r="F863" s="248">
        <v>624.58529999999996</v>
      </c>
      <c r="G863" s="248">
        <v>635.99639999999999</v>
      </c>
      <c r="H863" s="248">
        <v>655.34789999999998</v>
      </c>
      <c r="I863"/>
      <c r="J863"/>
      <c r="K863"/>
      <c r="L863"/>
      <c r="M863"/>
    </row>
    <row r="864" spans="3:13" hidden="1" outlineLevel="1" x14ac:dyDescent="0.2">
      <c r="C864" s="139">
        <v>638</v>
      </c>
      <c r="D864" s="248">
        <v>580.39980000000003</v>
      </c>
      <c r="E864" s="248">
        <v>610.77819999999997</v>
      </c>
      <c r="F864" s="248">
        <v>625.59500000000003</v>
      </c>
      <c r="G864" s="248">
        <v>637.01919999999996</v>
      </c>
      <c r="H864" s="248">
        <v>656.39279999999997</v>
      </c>
      <c r="I864"/>
      <c r="J864"/>
      <c r="K864"/>
      <c r="L864"/>
      <c r="M864"/>
    </row>
    <row r="865" spans="3:13" hidden="1" outlineLevel="1" x14ac:dyDescent="0.2">
      <c r="C865" s="139">
        <v>639</v>
      </c>
      <c r="D865" s="248">
        <v>581.35829999999999</v>
      </c>
      <c r="E865" s="248">
        <v>611.77449999999999</v>
      </c>
      <c r="F865" s="248">
        <v>626.60479999999995</v>
      </c>
      <c r="G865" s="248">
        <v>638.04200000000003</v>
      </c>
      <c r="H865" s="248">
        <v>657.44309999999996</v>
      </c>
      <c r="I865"/>
      <c r="J865"/>
      <c r="K865"/>
      <c r="L865"/>
      <c r="M865"/>
    </row>
    <row r="866" spans="3:13" hidden="1" outlineLevel="1" x14ac:dyDescent="0.2">
      <c r="C866" s="139">
        <v>640</v>
      </c>
      <c r="D866" s="248">
        <v>582.32180000000005</v>
      </c>
      <c r="E866" s="248">
        <v>612.76610000000005</v>
      </c>
      <c r="F866" s="248">
        <v>627.61469999999997</v>
      </c>
      <c r="G866" s="248">
        <v>639.06489999999997</v>
      </c>
      <c r="H866" s="248">
        <v>658.49339999999995</v>
      </c>
      <c r="I866"/>
      <c r="J866"/>
      <c r="K866"/>
      <c r="L866"/>
      <c r="M866"/>
    </row>
    <row r="867" spans="3:13" hidden="1" outlineLevel="1" x14ac:dyDescent="0.2">
      <c r="C867" s="139">
        <v>641</v>
      </c>
      <c r="D867" s="248">
        <v>583.28060000000005</v>
      </c>
      <c r="E867" s="248">
        <v>613.75779999999997</v>
      </c>
      <c r="F867" s="248">
        <v>628.62469999999996</v>
      </c>
      <c r="G867" s="248">
        <v>640.08789999999999</v>
      </c>
      <c r="H867" s="248">
        <v>659.53840000000002</v>
      </c>
      <c r="I867"/>
      <c r="J867"/>
      <c r="K867"/>
      <c r="L867"/>
      <c r="M867"/>
    </row>
    <row r="868" spans="3:13" hidden="1" outlineLevel="1" x14ac:dyDescent="0.2">
      <c r="C868" s="139">
        <v>642</v>
      </c>
      <c r="D868" s="248">
        <v>584.24440000000004</v>
      </c>
      <c r="E868" s="248">
        <v>614.74959999999999</v>
      </c>
      <c r="F868" s="248">
        <v>629.63480000000004</v>
      </c>
      <c r="G868" s="248">
        <v>641.11590000000001</v>
      </c>
      <c r="H868" s="248">
        <v>660.58889999999997</v>
      </c>
      <c r="I868"/>
      <c r="J868"/>
      <c r="K868"/>
      <c r="L868"/>
      <c r="M868"/>
    </row>
    <row r="869" spans="3:13" hidden="1" outlineLevel="1" x14ac:dyDescent="0.2">
      <c r="C869" s="139">
        <v>643</v>
      </c>
      <c r="D869" s="248">
        <v>585.20349999999996</v>
      </c>
      <c r="E869" s="248">
        <v>615.74149999999997</v>
      </c>
      <c r="F869" s="248">
        <v>630.64009999999996</v>
      </c>
      <c r="G869" s="248">
        <v>642.13900000000001</v>
      </c>
      <c r="H869" s="248">
        <v>661.6395</v>
      </c>
      <c r="I869"/>
      <c r="J869"/>
      <c r="K869"/>
      <c r="L869"/>
      <c r="M869"/>
    </row>
    <row r="870" spans="3:13" hidden="1" outlineLevel="1" x14ac:dyDescent="0.2">
      <c r="C870" s="139">
        <v>644</v>
      </c>
      <c r="D870" s="248">
        <v>586.16759999999999</v>
      </c>
      <c r="E870" s="248">
        <v>616.73350000000005</v>
      </c>
      <c r="F870" s="248">
        <v>631.65030000000002</v>
      </c>
      <c r="G870" s="248">
        <v>643.16229999999996</v>
      </c>
      <c r="H870" s="248">
        <v>662.68470000000002</v>
      </c>
      <c r="I870"/>
      <c r="J870"/>
      <c r="K870"/>
      <c r="L870"/>
      <c r="M870"/>
    </row>
    <row r="871" spans="3:13" hidden="1" outlineLevel="1" x14ac:dyDescent="0.2">
      <c r="C871" s="139">
        <v>645</v>
      </c>
      <c r="D871" s="248">
        <v>587.12710000000004</v>
      </c>
      <c r="E871" s="248">
        <v>617.73050000000001</v>
      </c>
      <c r="F871" s="248">
        <v>632.66070000000002</v>
      </c>
      <c r="G871" s="248">
        <v>644.18560000000002</v>
      </c>
      <c r="H871" s="248">
        <v>663.73530000000005</v>
      </c>
      <c r="I871"/>
      <c r="J871"/>
      <c r="K871"/>
      <c r="L871"/>
      <c r="M871"/>
    </row>
    <row r="872" spans="3:13" hidden="1" outlineLevel="1" x14ac:dyDescent="0.2">
      <c r="C872" s="139">
        <v>646</v>
      </c>
      <c r="D872" s="248">
        <v>588.0915</v>
      </c>
      <c r="E872" s="248">
        <v>618.72270000000003</v>
      </c>
      <c r="F872" s="248">
        <v>633.67110000000002</v>
      </c>
      <c r="G872" s="248">
        <v>645.20899999999995</v>
      </c>
      <c r="H872" s="248">
        <v>664.78610000000003</v>
      </c>
      <c r="I872"/>
      <c r="J872"/>
      <c r="K872"/>
      <c r="L872"/>
      <c r="M872"/>
    </row>
    <row r="873" spans="3:13" hidden="1" outlineLevel="1" x14ac:dyDescent="0.2">
      <c r="C873" s="139">
        <v>647</v>
      </c>
      <c r="D873" s="248">
        <v>589.05129999999997</v>
      </c>
      <c r="E873" s="248">
        <v>619.71510000000001</v>
      </c>
      <c r="F873" s="248">
        <v>634.68169999999998</v>
      </c>
      <c r="G873" s="248">
        <v>646.23239999999998</v>
      </c>
      <c r="H873" s="248">
        <v>665.83140000000003</v>
      </c>
      <c r="I873"/>
      <c r="J873"/>
      <c r="K873"/>
      <c r="L873"/>
      <c r="M873"/>
    </row>
    <row r="874" spans="3:13" hidden="1" outlineLevel="1" x14ac:dyDescent="0.2">
      <c r="C874" s="139">
        <v>648</v>
      </c>
      <c r="D874" s="248">
        <v>590.01110000000006</v>
      </c>
      <c r="E874" s="248">
        <v>620.70749999999998</v>
      </c>
      <c r="F874" s="248">
        <v>635.69230000000005</v>
      </c>
      <c r="G874" s="248">
        <v>647.25599999999997</v>
      </c>
      <c r="H874" s="248">
        <v>666.88229999999999</v>
      </c>
      <c r="I874"/>
      <c r="J874"/>
      <c r="K874"/>
      <c r="L874"/>
      <c r="M874"/>
    </row>
    <row r="875" spans="3:13" hidden="1" outlineLevel="1" x14ac:dyDescent="0.2">
      <c r="C875" s="139">
        <v>649</v>
      </c>
      <c r="D875" s="248">
        <v>590.97609999999997</v>
      </c>
      <c r="E875" s="248">
        <v>621.70000000000005</v>
      </c>
      <c r="F875" s="248">
        <v>636.70299999999997</v>
      </c>
      <c r="G875" s="248">
        <v>648.27959999999996</v>
      </c>
      <c r="H875" s="248">
        <v>667.93320000000006</v>
      </c>
      <c r="I875"/>
      <c r="J875"/>
      <c r="K875"/>
      <c r="L875"/>
      <c r="M875"/>
    </row>
    <row r="876" spans="3:13" hidden="1" outlineLevel="1" x14ac:dyDescent="0.2">
      <c r="C876" s="139">
        <v>650</v>
      </c>
      <c r="D876" s="248">
        <v>591.93629999999996</v>
      </c>
      <c r="E876" s="248">
        <v>622.69269999999995</v>
      </c>
      <c r="F876" s="248">
        <v>637.70889999999997</v>
      </c>
      <c r="G876" s="248">
        <v>649.30319999999995</v>
      </c>
      <c r="H876" s="248">
        <v>668.9787</v>
      </c>
      <c r="I876"/>
      <c r="J876"/>
      <c r="K876"/>
      <c r="L876"/>
      <c r="M876"/>
    </row>
    <row r="877" spans="3:13" hidden="1" outlineLevel="1" x14ac:dyDescent="0.2">
      <c r="C877" s="139">
        <v>651</v>
      </c>
      <c r="D877" s="248">
        <v>592.89660000000003</v>
      </c>
      <c r="E877" s="248">
        <v>623.68539999999996</v>
      </c>
      <c r="F877" s="248">
        <v>638.71969999999999</v>
      </c>
      <c r="G877" s="248">
        <v>650.327</v>
      </c>
      <c r="H877" s="248">
        <v>670.02980000000002</v>
      </c>
      <c r="I877"/>
      <c r="J877"/>
      <c r="K877"/>
      <c r="L877"/>
      <c r="M877"/>
    </row>
    <row r="878" spans="3:13" hidden="1" outlineLevel="1" x14ac:dyDescent="0.2">
      <c r="C878" s="139">
        <v>652</v>
      </c>
      <c r="D878" s="248">
        <v>593.85709999999995</v>
      </c>
      <c r="E878" s="248">
        <v>624.67830000000004</v>
      </c>
      <c r="F878" s="248">
        <v>639.73069999999996</v>
      </c>
      <c r="G878" s="248">
        <v>651.35080000000005</v>
      </c>
      <c r="H878" s="248">
        <v>671.07539999999995</v>
      </c>
      <c r="I878"/>
      <c r="J878"/>
      <c r="K878"/>
      <c r="L878"/>
      <c r="M878"/>
    </row>
    <row r="879" spans="3:13" hidden="1" outlineLevel="1" x14ac:dyDescent="0.2">
      <c r="C879" s="139">
        <v>653</v>
      </c>
      <c r="D879" s="248">
        <v>594.82280000000003</v>
      </c>
      <c r="E879" s="248">
        <v>625.67129999999997</v>
      </c>
      <c r="F879" s="248">
        <v>640.74180000000001</v>
      </c>
      <c r="G879" s="248">
        <v>652.37480000000005</v>
      </c>
      <c r="H879" s="248">
        <v>672.12660000000005</v>
      </c>
      <c r="I879"/>
      <c r="J879"/>
      <c r="K879"/>
      <c r="L879"/>
      <c r="M879"/>
    </row>
    <row r="880" spans="3:13" hidden="1" outlineLevel="1" x14ac:dyDescent="0.2">
      <c r="C880" s="139">
        <v>654</v>
      </c>
      <c r="D880" s="248">
        <v>595.78359999999998</v>
      </c>
      <c r="E880" s="248">
        <v>626.66430000000003</v>
      </c>
      <c r="F880" s="248">
        <v>641.74800000000005</v>
      </c>
      <c r="G880" s="248">
        <v>653.39880000000005</v>
      </c>
      <c r="H880" s="248">
        <v>673.17790000000002</v>
      </c>
      <c r="I880"/>
      <c r="J880"/>
      <c r="K880"/>
      <c r="L880"/>
      <c r="M880"/>
    </row>
    <row r="881" spans="3:13" hidden="1" outlineLevel="1" x14ac:dyDescent="0.2">
      <c r="C881" s="139">
        <v>655</v>
      </c>
      <c r="D881" s="248">
        <v>596.74450000000002</v>
      </c>
      <c r="E881" s="248">
        <v>627.65750000000003</v>
      </c>
      <c r="F881" s="248">
        <v>642.75919999999996</v>
      </c>
      <c r="G881" s="248">
        <v>654.42280000000005</v>
      </c>
      <c r="H881" s="248">
        <v>674.22370000000001</v>
      </c>
      <c r="I881"/>
      <c r="J881"/>
      <c r="K881"/>
      <c r="L881"/>
      <c r="M881"/>
    </row>
    <row r="882" spans="3:13" hidden="1" outlineLevel="1" x14ac:dyDescent="0.2">
      <c r="C882" s="139">
        <v>656</v>
      </c>
      <c r="D882" s="248">
        <v>597.7056</v>
      </c>
      <c r="E882" s="248">
        <v>628.6508</v>
      </c>
      <c r="F882" s="248">
        <v>643.77059999999994</v>
      </c>
      <c r="G882" s="248">
        <v>655.447</v>
      </c>
      <c r="H882" s="248">
        <v>675.27509999999995</v>
      </c>
      <c r="I882"/>
      <c r="J882"/>
      <c r="K882"/>
      <c r="L882"/>
      <c r="M882"/>
    </row>
    <row r="883" spans="3:13" hidden="1" outlineLevel="1" x14ac:dyDescent="0.2">
      <c r="C883" s="139">
        <v>657</v>
      </c>
      <c r="D883" s="248">
        <v>598.66690000000006</v>
      </c>
      <c r="E883" s="248">
        <v>629.64419999999996</v>
      </c>
      <c r="F883" s="248">
        <v>644.77700000000004</v>
      </c>
      <c r="G883" s="248">
        <v>656.47119999999995</v>
      </c>
      <c r="H883" s="248">
        <v>676.32100000000003</v>
      </c>
      <c r="I883"/>
      <c r="J883"/>
      <c r="K883"/>
      <c r="L883"/>
      <c r="M883"/>
    </row>
    <row r="884" spans="3:13" hidden="1" outlineLevel="1" x14ac:dyDescent="0.2">
      <c r="C884" s="139">
        <v>658</v>
      </c>
      <c r="D884" s="248">
        <v>599.62829999999997</v>
      </c>
      <c r="E884" s="248">
        <v>630.6377</v>
      </c>
      <c r="F884" s="248">
        <v>645.7885</v>
      </c>
      <c r="G884" s="248">
        <v>657.49549999999999</v>
      </c>
      <c r="H884" s="248">
        <v>677.37249999999995</v>
      </c>
      <c r="I884"/>
      <c r="J884"/>
      <c r="K884"/>
      <c r="L884"/>
      <c r="M884"/>
    </row>
    <row r="885" spans="3:13" hidden="1" outlineLevel="1" x14ac:dyDescent="0.2">
      <c r="C885" s="139">
        <v>659</v>
      </c>
      <c r="D885" s="248">
        <v>600.59490000000005</v>
      </c>
      <c r="E885" s="248">
        <v>631.63130000000001</v>
      </c>
      <c r="F885" s="248">
        <v>646.80010000000004</v>
      </c>
      <c r="G885" s="248">
        <v>658.51480000000004</v>
      </c>
      <c r="H885" s="248">
        <v>678.41849999999999</v>
      </c>
      <c r="I885"/>
      <c r="J885"/>
      <c r="K885"/>
      <c r="L885"/>
      <c r="M885"/>
    </row>
    <row r="886" spans="3:13" hidden="1" outlineLevel="1" x14ac:dyDescent="0.2">
      <c r="C886" s="139">
        <v>660</v>
      </c>
      <c r="D886" s="248">
        <v>601.5566</v>
      </c>
      <c r="E886" s="248">
        <v>632.62</v>
      </c>
      <c r="F886" s="248">
        <v>647.80679999999995</v>
      </c>
      <c r="G886" s="248">
        <v>659.53930000000003</v>
      </c>
      <c r="H886" s="248">
        <v>679.4701</v>
      </c>
      <c r="I886"/>
      <c r="J886"/>
      <c r="K886"/>
      <c r="L886"/>
      <c r="M886"/>
    </row>
    <row r="887" spans="3:13" hidden="1" outlineLevel="1" x14ac:dyDescent="0.2">
      <c r="C887" s="139">
        <v>661</v>
      </c>
      <c r="D887" s="248">
        <v>602.51850000000002</v>
      </c>
      <c r="E887" s="248">
        <v>633.61379999999997</v>
      </c>
      <c r="F887" s="248">
        <v>648.81859999999995</v>
      </c>
      <c r="G887" s="248">
        <v>660.56380000000001</v>
      </c>
      <c r="H887" s="248">
        <v>680.5163</v>
      </c>
      <c r="I887"/>
      <c r="J887"/>
      <c r="K887"/>
      <c r="L887"/>
      <c r="M887"/>
    </row>
    <row r="888" spans="3:13" hidden="1" outlineLevel="1" x14ac:dyDescent="0.2">
      <c r="C888" s="139">
        <v>662</v>
      </c>
      <c r="D888" s="248">
        <v>603.48050000000001</v>
      </c>
      <c r="E888" s="248">
        <v>634.60770000000002</v>
      </c>
      <c r="F888" s="248">
        <v>649.83040000000005</v>
      </c>
      <c r="G888" s="248">
        <v>661.58839999999998</v>
      </c>
      <c r="H888" s="248">
        <v>681.56799999999998</v>
      </c>
      <c r="I888"/>
      <c r="J888"/>
      <c r="K888"/>
      <c r="L888"/>
      <c r="M888"/>
    </row>
    <row r="889" spans="3:13" hidden="1" outlineLevel="1" x14ac:dyDescent="0.2">
      <c r="C889" s="139">
        <v>663</v>
      </c>
      <c r="D889" s="248">
        <v>604.44269999999995</v>
      </c>
      <c r="E889" s="248">
        <v>635.60180000000003</v>
      </c>
      <c r="F889" s="248">
        <v>650.83730000000003</v>
      </c>
      <c r="G889" s="248">
        <v>662.61300000000006</v>
      </c>
      <c r="H889" s="248">
        <v>682.61429999999996</v>
      </c>
      <c r="I889"/>
      <c r="J889"/>
      <c r="K889"/>
      <c r="L889"/>
      <c r="M889"/>
    </row>
    <row r="890" spans="3:13" hidden="1" outlineLevel="1" x14ac:dyDescent="0.2">
      <c r="C890" s="139">
        <v>664</v>
      </c>
      <c r="D890" s="248">
        <v>605.40509999999995</v>
      </c>
      <c r="E890" s="248">
        <v>636.59590000000003</v>
      </c>
      <c r="F890" s="248">
        <v>651.84939999999995</v>
      </c>
      <c r="G890" s="248">
        <v>663.63779999999997</v>
      </c>
      <c r="H890" s="248">
        <v>683.66610000000003</v>
      </c>
      <c r="I890"/>
      <c r="J890"/>
      <c r="K890"/>
      <c r="L890"/>
      <c r="M890"/>
    </row>
    <row r="891" spans="3:13" hidden="1" outlineLevel="1" x14ac:dyDescent="0.2">
      <c r="C891" s="139">
        <v>665</v>
      </c>
      <c r="D891" s="248">
        <v>606.36749999999995</v>
      </c>
      <c r="E891" s="248">
        <v>637.59019999999998</v>
      </c>
      <c r="F891" s="248">
        <v>652.86149999999998</v>
      </c>
      <c r="G891" s="248">
        <v>664.6626</v>
      </c>
      <c r="H891" s="248">
        <v>684.71249999999998</v>
      </c>
      <c r="I891"/>
      <c r="J891"/>
      <c r="K891"/>
      <c r="L891"/>
      <c r="M891"/>
    </row>
    <row r="892" spans="3:13" hidden="1" outlineLevel="1" x14ac:dyDescent="0.2">
      <c r="C892" s="139">
        <v>666</v>
      </c>
      <c r="D892" s="248">
        <v>607.33019999999999</v>
      </c>
      <c r="E892" s="248">
        <v>638.57939999999996</v>
      </c>
      <c r="F892" s="248">
        <v>653.86869999999999</v>
      </c>
      <c r="G892" s="248">
        <v>665.68240000000003</v>
      </c>
      <c r="H892" s="248">
        <v>685.7645</v>
      </c>
      <c r="I892"/>
      <c r="J892"/>
      <c r="K892"/>
      <c r="L892"/>
      <c r="M892"/>
    </row>
    <row r="893" spans="3:13" hidden="1" outlineLevel="1" x14ac:dyDescent="0.2">
      <c r="C893" s="139">
        <v>667</v>
      </c>
      <c r="D893" s="248">
        <v>608.28790000000004</v>
      </c>
      <c r="E893" s="248">
        <v>639.57389999999998</v>
      </c>
      <c r="F893" s="248">
        <v>654.88099999999997</v>
      </c>
      <c r="G893" s="248">
        <v>666.70740000000001</v>
      </c>
      <c r="H893" s="248">
        <v>686.81100000000004</v>
      </c>
      <c r="I893"/>
      <c r="J893"/>
      <c r="K893"/>
      <c r="L893"/>
      <c r="M893"/>
    </row>
    <row r="894" spans="3:13" hidden="1" outlineLevel="1" x14ac:dyDescent="0.2">
      <c r="C894" s="139">
        <v>668</v>
      </c>
      <c r="D894" s="248">
        <v>609.25080000000003</v>
      </c>
      <c r="E894" s="248">
        <v>640.5684</v>
      </c>
      <c r="F894" s="248">
        <v>655.88829999999996</v>
      </c>
      <c r="G894" s="248">
        <v>667.73239999999998</v>
      </c>
      <c r="H894" s="248">
        <v>687.85749999999996</v>
      </c>
      <c r="I894"/>
      <c r="J894"/>
      <c r="K894"/>
      <c r="L894"/>
      <c r="M894"/>
    </row>
    <row r="895" spans="3:13" hidden="1" outlineLevel="1" x14ac:dyDescent="0.2">
      <c r="C895" s="139">
        <v>669</v>
      </c>
      <c r="D895" s="248">
        <v>610.21389999999997</v>
      </c>
      <c r="E895" s="248">
        <v>641.56309999999996</v>
      </c>
      <c r="F895" s="248">
        <v>656.9008</v>
      </c>
      <c r="G895" s="248">
        <v>668.75760000000002</v>
      </c>
      <c r="H895" s="248">
        <v>688.90970000000004</v>
      </c>
      <c r="I895"/>
      <c r="J895"/>
      <c r="K895"/>
      <c r="L895"/>
      <c r="M895"/>
    </row>
    <row r="896" spans="3:13" hidden="1" outlineLevel="1" x14ac:dyDescent="0.2">
      <c r="C896" s="139">
        <v>670</v>
      </c>
      <c r="D896" s="248">
        <v>611.17719999999997</v>
      </c>
      <c r="E896" s="248">
        <v>642.55280000000005</v>
      </c>
      <c r="F896" s="248">
        <v>657.90830000000005</v>
      </c>
      <c r="G896" s="248">
        <v>669.77760000000001</v>
      </c>
      <c r="H896" s="248">
        <v>689.95630000000006</v>
      </c>
      <c r="I896"/>
      <c r="J896"/>
      <c r="K896"/>
      <c r="L896"/>
      <c r="M896"/>
    </row>
    <row r="897" spans="3:13" hidden="1" outlineLevel="1" x14ac:dyDescent="0.2">
      <c r="C897" s="139">
        <v>671</v>
      </c>
      <c r="D897" s="248">
        <v>612.14059999999995</v>
      </c>
      <c r="E897" s="248">
        <v>643.54759999999999</v>
      </c>
      <c r="F897" s="248">
        <v>658.92100000000005</v>
      </c>
      <c r="G897" s="248">
        <v>670.80290000000002</v>
      </c>
      <c r="H897" s="248">
        <v>691.0086</v>
      </c>
      <c r="I897"/>
      <c r="J897"/>
      <c r="K897"/>
      <c r="L897"/>
      <c r="M897"/>
    </row>
    <row r="898" spans="3:13" hidden="1" outlineLevel="1" x14ac:dyDescent="0.2">
      <c r="C898" s="139">
        <v>672</v>
      </c>
      <c r="D898" s="248">
        <v>613.10410000000002</v>
      </c>
      <c r="E898" s="248">
        <v>644.54259999999999</v>
      </c>
      <c r="F898" s="248">
        <v>659.92859999999996</v>
      </c>
      <c r="G898" s="248">
        <v>671.82820000000004</v>
      </c>
      <c r="H898" s="248">
        <v>692.05539999999996</v>
      </c>
      <c r="I898"/>
      <c r="J898"/>
      <c r="K898"/>
      <c r="L898"/>
      <c r="M898"/>
    </row>
    <row r="899" spans="3:13" hidden="1" outlineLevel="1" x14ac:dyDescent="0.2">
      <c r="C899" s="139">
        <v>673</v>
      </c>
      <c r="D899" s="248">
        <v>614.06269999999995</v>
      </c>
      <c r="E899" s="248">
        <v>645.5326</v>
      </c>
      <c r="F899" s="248">
        <v>660.94140000000004</v>
      </c>
      <c r="G899" s="248">
        <v>672.8537</v>
      </c>
      <c r="H899" s="248">
        <v>693.10209999999995</v>
      </c>
      <c r="I899"/>
      <c r="J899"/>
      <c r="K899"/>
      <c r="L899"/>
      <c r="M899"/>
    </row>
    <row r="900" spans="3:13" hidden="1" outlineLevel="1" x14ac:dyDescent="0.2">
      <c r="C900" s="139">
        <v>674</v>
      </c>
      <c r="D900" s="248">
        <v>615.02650000000006</v>
      </c>
      <c r="E900" s="248">
        <v>646.52769999999998</v>
      </c>
      <c r="F900" s="248">
        <v>661.94920000000002</v>
      </c>
      <c r="G900" s="248">
        <v>673.87400000000002</v>
      </c>
      <c r="H900" s="248">
        <v>694.15459999999996</v>
      </c>
      <c r="I900"/>
      <c r="J900"/>
      <c r="K900"/>
      <c r="L900"/>
      <c r="M900"/>
    </row>
    <row r="901" spans="3:13" hidden="1" outlineLevel="1" x14ac:dyDescent="0.2">
      <c r="C901" s="139">
        <v>675</v>
      </c>
      <c r="D901" s="248">
        <v>615.9905</v>
      </c>
      <c r="E901" s="248">
        <v>647.52300000000002</v>
      </c>
      <c r="F901" s="248">
        <v>662.96220000000005</v>
      </c>
      <c r="G901" s="248">
        <v>674.89959999999996</v>
      </c>
      <c r="H901" s="248">
        <v>695.20150000000001</v>
      </c>
      <c r="I901"/>
      <c r="J901"/>
      <c r="K901"/>
      <c r="L901"/>
      <c r="M901"/>
    </row>
    <row r="902" spans="3:13" hidden="1" outlineLevel="1" x14ac:dyDescent="0.2">
      <c r="C902" s="139">
        <v>676</v>
      </c>
      <c r="D902" s="248">
        <v>616.9547</v>
      </c>
      <c r="E902" s="248">
        <v>648.51329999999996</v>
      </c>
      <c r="F902" s="248">
        <v>663.97019999999998</v>
      </c>
      <c r="G902" s="248">
        <v>675.92520000000002</v>
      </c>
      <c r="H902" s="248">
        <v>696.25419999999997</v>
      </c>
      <c r="I902"/>
      <c r="J902"/>
      <c r="K902"/>
      <c r="L902"/>
      <c r="M902"/>
    </row>
    <row r="903" spans="3:13" hidden="1" outlineLevel="1" x14ac:dyDescent="0.2">
      <c r="C903" s="139">
        <v>677</v>
      </c>
      <c r="D903" s="248">
        <v>617.91380000000004</v>
      </c>
      <c r="E903" s="248">
        <v>649.50879999999995</v>
      </c>
      <c r="F903" s="248">
        <v>664.97820000000002</v>
      </c>
      <c r="G903" s="248">
        <v>676.94579999999996</v>
      </c>
      <c r="H903" s="248">
        <v>697.30119999999999</v>
      </c>
      <c r="I903"/>
      <c r="J903"/>
      <c r="K903"/>
      <c r="L903"/>
      <c r="M903"/>
    </row>
    <row r="904" spans="3:13" hidden="1" outlineLevel="1" x14ac:dyDescent="0.2">
      <c r="C904" s="139">
        <v>678</v>
      </c>
      <c r="D904" s="248">
        <v>618.87829999999997</v>
      </c>
      <c r="E904" s="248">
        <v>650.49919999999997</v>
      </c>
      <c r="F904" s="248">
        <v>665.99149999999997</v>
      </c>
      <c r="G904" s="248">
        <v>677.97149999999999</v>
      </c>
      <c r="H904" s="248">
        <v>698.34820000000002</v>
      </c>
      <c r="I904"/>
      <c r="J904"/>
      <c r="K904"/>
      <c r="L904"/>
      <c r="M904"/>
    </row>
    <row r="905" spans="3:13" hidden="1" outlineLevel="1" x14ac:dyDescent="0.2">
      <c r="C905" s="139">
        <v>679</v>
      </c>
      <c r="D905" s="248">
        <v>619.84289999999999</v>
      </c>
      <c r="E905" s="248">
        <v>651.49490000000003</v>
      </c>
      <c r="F905" s="248">
        <v>666.99969999999996</v>
      </c>
      <c r="G905" s="248">
        <v>678.99739999999997</v>
      </c>
      <c r="H905" s="248">
        <v>699.40099999999995</v>
      </c>
      <c r="I905"/>
      <c r="J905"/>
      <c r="K905"/>
      <c r="L905"/>
      <c r="M905"/>
    </row>
    <row r="906" spans="3:13" hidden="1" outlineLevel="1" x14ac:dyDescent="0.2">
      <c r="C906" s="139">
        <v>680</v>
      </c>
      <c r="D906" s="248">
        <v>620.80250000000001</v>
      </c>
      <c r="E906" s="248">
        <v>652.49069999999995</v>
      </c>
      <c r="F906" s="248">
        <v>668.01319999999998</v>
      </c>
      <c r="G906" s="248">
        <v>680.01790000000005</v>
      </c>
      <c r="H906" s="248">
        <v>700.44820000000004</v>
      </c>
      <c r="I906"/>
      <c r="J906"/>
      <c r="K906"/>
      <c r="L906"/>
      <c r="M906"/>
    </row>
    <row r="907" spans="3:13" hidden="1" outlineLevel="1" x14ac:dyDescent="0.2">
      <c r="C907" s="139">
        <v>681</v>
      </c>
      <c r="D907" s="248">
        <v>621.76739999999995</v>
      </c>
      <c r="E907" s="248">
        <v>653.48140000000001</v>
      </c>
      <c r="F907" s="248">
        <v>669.02149999999995</v>
      </c>
      <c r="G907" s="248">
        <v>681.04650000000004</v>
      </c>
      <c r="H907" s="248">
        <v>701.49540000000002</v>
      </c>
      <c r="I907"/>
      <c r="J907"/>
      <c r="K907"/>
      <c r="L907"/>
      <c r="M907"/>
    </row>
    <row r="908" spans="3:13" hidden="1" outlineLevel="1" x14ac:dyDescent="0.2">
      <c r="C908" s="139">
        <v>682</v>
      </c>
      <c r="D908" s="248">
        <v>622.72720000000004</v>
      </c>
      <c r="E908" s="248">
        <v>654.47739999999999</v>
      </c>
      <c r="F908" s="248">
        <v>670.0299</v>
      </c>
      <c r="G908" s="248">
        <v>682.06949999999995</v>
      </c>
      <c r="H908" s="248">
        <v>702.54840000000002</v>
      </c>
      <c r="I908"/>
      <c r="J908"/>
      <c r="K908"/>
      <c r="L908"/>
      <c r="M908"/>
    </row>
    <row r="909" spans="3:13" hidden="1" outlineLevel="1" x14ac:dyDescent="0.2">
      <c r="C909" s="139">
        <v>683</v>
      </c>
      <c r="D909" s="248">
        <v>623.69240000000002</v>
      </c>
      <c r="E909" s="248">
        <v>655.4683</v>
      </c>
      <c r="F909" s="248">
        <v>671.04359999999997</v>
      </c>
      <c r="G909" s="248">
        <v>683.09249999999997</v>
      </c>
      <c r="H909" s="248">
        <v>703.59569999999997</v>
      </c>
      <c r="I909"/>
      <c r="J909"/>
      <c r="K909"/>
      <c r="L909"/>
      <c r="M909"/>
    </row>
    <row r="910" spans="3:13" hidden="1" outlineLevel="1" x14ac:dyDescent="0.2">
      <c r="C910" s="139">
        <v>684</v>
      </c>
      <c r="D910" s="248">
        <v>624.65250000000003</v>
      </c>
      <c r="E910" s="248">
        <v>656.46460000000002</v>
      </c>
      <c r="F910" s="248">
        <v>672.05219999999997</v>
      </c>
      <c r="G910" s="248">
        <v>684.11559999999997</v>
      </c>
      <c r="H910" s="248">
        <v>704.6431</v>
      </c>
      <c r="I910"/>
      <c r="J910"/>
      <c r="K910"/>
      <c r="L910"/>
      <c r="M910"/>
    </row>
    <row r="911" spans="3:13" hidden="1" outlineLevel="1" x14ac:dyDescent="0.2">
      <c r="C911" s="139">
        <v>685</v>
      </c>
      <c r="D911" s="248">
        <v>625.61800000000005</v>
      </c>
      <c r="E911" s="248">
        <v>657.45569999999998</v>
      </c>
      <c r="F911" s="248">
        <v>673.06089999999995</v>
      </c>
      <c r="G911" s="248">
        <v>685.13879999999995</v>
      </c>
      <c r="H911" s="248">
        <v>705.69050000000004</v>
      </c>
      <c r="I911"/>
      <c r="J911"/>
      <c r="K911"/>
      <c r="L911"/>
      <c r="M911"/>
    </row>
    <row r="912" spans="3:13" hidden="1" outlineLevel="1" x14ac:dyDescent="0.2">
      <c r="C912" s="139">
        <v>686</v>
      </c>
      <c r="D912" s="248">
        <v>626.57849999999996</v>
      </c>
      <c r="E912" s="248">
        <v>658.45209999999997</v>
      </c>
      <c r="F912" s="248">
        <v>674.07489999999996</v>
      </c>
      <c r="G912" s="248">
        <v>686.16200000000003</v>
      </c>
      <c r="H912" s="248">
        <v>706.74379999999996</v>
      </c>
      <c r="I912"/>
      <c r="J912"/>
      <c r="K912"/>
      <c r="L912"/>
      <c r="M912"/>
    </row>
    <row r="913" spans="3:13" hidden="1" outlineLevel="1" x14ac:dyDescent="0.2">
      <c r="C913" s="139">
        <v>687</v>
      </c>
      <c r="D913" s="248">
        <v>627.54420000000005</v>
      </c>
      <c r="E913" s="248">
        <v>659.4434</v>
      </c>
      <c r="F913" s="248">
        <v>675.08370000000002</v>
      </c>
      <c r="G913" s="248">
        <v>687.19100000000003</v>
      </c>
      <c r="H913" s="248">
        <v>707.79129999999998</v>
      </c>
      <c r="I913"/>
      <c r="J913"/>
      <c r="K913"/>
      <c r="L913"/>
      <c r="M913"/>
    </row>
    <row r="914" spans="3:13" hidden="1" outlineLevel="1" x14ac:dyDescent="0.2">
      <c r="C914" s="139">
        <v>688</v>
      </c>
      <c r="D914" s="248">
        <v>628.50490000000002</v>
      </c>
      <c r="E914" s="248">
        <v>660.4348</v>
      </c>
      <c r="F914" s="248">
        <v>676.09259999999995</v>
      </c>
      <c r="G914" s="248">
        <v>688.21439999999996</v>
      </c>
      <c r="H914" s="248">
        <v>708.83889999999997</v>
      </c>
      <c r="I914"/>
      <c r="J914"/>
      <c r="K914"/>
      <c r="L914"/>
      <c r="M914"/>
    </row>
    <row r="915" spans="3:13" hidden="1" outlineLevel="1" x14ac:dyDescent="0.2">
      <c r="C915" s="139">
        <v>689</v>
      </c>
      <c r="D915" s="248">
        <v>629.471</v>
      </c>
      <c r="E915" s="248">
        <v>661.43150000000003</v>
      </c>
      <c r="F915" s="248">
        <v>677.10159999999996</v>
      </c>
      <c r="G915" s="248">
        <v>689.23789999999997</v>
      </c>
      <c r="H915" s="248">
        <v>709.88649999999996</v>
      </c>
      <c r="I915"/>
      <c r="J915"/>
      <c r="K915"/>
      <c r="L915"/>
      <c r="M915"/>
    </row>
    <row r="916" spans="3:13" hidden="1" outlineLevel="1" x14ac:dyDescent="0.2">
      <c r="C916" s="139">
        <v>690</v>
      </c>
      <c r="D916" s="248">
        <v>630.43200000000002</v>
      </c>
      <c r="E916" s="248">
        <v>662.42309999999998</v>
      </c>
      <c r="F916" s="248">
        <v>678.11590000000001</v>
      </c>
      <c r="G916" s="248">
        <v>690.26139999999998</v>
      </c>
      <c r="H916" s="248">
        <v>710.94</v>
      </c>
      <c r="I916"/>
      <c r="J916"/>
      <c r="K916"/>
      <c r="L916"/>
      <c r="M916"/>
    </row>
    <row r="917" spans="3:13" hidden="1" outlineLevel="1" x14ac:dyDescent="0.2">
      <c r="C917" s="139">
        <v>691</v>
      </c>
      <c r="D917" s="248">
        <v>631.39840000000004</v>
      </c>
      <c r="E917" s="248">
        <v>663.42</v>
      </c>
      <c r="F917" s="248">
        <v>679.125</v>
      </c>
      <c r="G917" s="248">
        <v>691.28489999999999</v>
      </c>
      <c r="H917" s="248">
        <v>711.98770000000002</v>
      </c>
      <c r="I917"/>
      <c r="J917"/>
      <c r="K917"/>
      <c r="L917"/>
      <c r="M917"/>
    </row>
    <row r="918" spans="3:13" hidden="1" outlineLevel="1" x14ac:dyDescent="0.2">
      <c r="C918" s="139">
        <v>692</v>
      </c>
      <c r="D918" s="248">
        <v>632.35969999999998</v>
      </c>
      <c r="E918" s="248">
        <v>664.41179999999997</v>
      </c>
      <c r="F918" s="248">
        <v>680.13419999999996</v>
      </c>
      <c r="G918" s="248">
        <v>692.30859999999996</v>
      </c>
      <c r="H918" s="248">
        <v>713.03549999999996</v>
      </c>
      <c r="I918"/>
      <c r="J918"/>
      <c r="K918"/>
      <c r="L918"/>
      <c r="M918"/>
    </row>
    <row r="919" spans="3:13" hidden="1" outlineLevel="1" x14ac:dyDescent="0.2">
      <c r="C919" s="139">
        <v>693</v>
      </c>
      <c r="D919" s="248">
        <v>633.3211</v>
      </c>
      <c r="E919" s="248">
        <v>665.40359999999998</v>
      </c>
      <c r="F919" s="248">
        <v>681.14350000000002</v>
      </c>
      <c r="G919" s="248">
        <v>693.33230000000003</v>
      </c>
      <c r="H919" s="248">
        <v>714.08339999999998</v>
      </c>
      <c r="I919"/>
      <c r="J919"/>
      <c r="K919"/>
      <c r="L919"/>
      <c r="M919"/>
    </row>
    <row r="920" spans="3:13" hidden="1" outlineLevel="1" x14ac:dyDescent="0.2">
      <c r="C920" s="139">
        <v>694</v>
      </c>
      <c r="D920" s="248">
        <v>634.28790000000004</v>
      </c>
      <c r="E920" s="248">
        <v>666.40089999999998</v>
      </c>
      <c r="F920" s="248">
        <v>682.15819999999997</v>
      </c>
      <c r="G920" s="248">
        <v>694.35609999999997</v>
      </c>
      <c r="H920" s="248">
        <v>715.13710000000003</v>
      </c>
      <c r="I920"/>
      <c r="J920"/>
      <c r="K920"/>
      <c r="L920"/>
      <c r="M920"/>
    </row>
    <row r="921" spans="3:13" hidden="1" outlineLevel="1" x14ac:dyDescent="0.2">
      <c r="C921" s="139">
        <v>695</v>
      </c>
      <c r="D921" s="248">
        <v>635.24959999999999</v>
      </c>
      <c r="E921" s="248">
        <v>667.39290000000005</v>
      </c>
      <c r="F921" s="248">
        <v>683.16759999999999</v>
      </c>
      <c r="G921" s="248">
        <v>695.37990000000002</v>
      </c>
      <c r="H921" s="248">
        <v>716.18510000000003</v>
      </c>
      <c r="I921"/>
      <c r="J921"/>
      <c r="K921"/>
      <c r="L921"/>
      <c r="M921"/>
    </row>
    <row r="922" spans="3:13" hidden="1" outlineLevel="1" x14ac:dyDescent="0.2">
      <c r="C922" s="139">
        <v>696</v>
      </c>
      <c r="D922" s="248">
        <v>636.21140000000003</v>
      </c>
      <c r="E922" s="248">
        <v>668.38499999999999</v>
      </c>
      <c r="F922" s="248">
        <v>684.17719999999997</v>
      </c>
      <c r="G922" s="248">
        <v>696.40380000000005</v>
      </c>
      <c r="H922" s="248">
        <v>717.23310000000004</v>
      </c>
      <c r="I922"/>
      <c r="J922"/>
      <c r="K922"/>
      <c r="L922"/>
      <c r="M922"/>
    </row>
    <row r="923" spans="3:13" hidden="1" outlineLevel="1" x14ac:dyDescent="0.2">
      <c r="C923" s="139">
        <v>697</v>
      </c>
      <c r="D923" s="248">
        <v>637.17340000000002</v>
      </c>
      <c r="E923" s="248">
        <v>669.38260000000002</v>
      </c>
      <c r="F923" s="248">
        <v>685.18679999999995</v>
      </c>
      <c r="G923" s="248">
        <v>697.42780000000005</v>
      </c>
      <c r="H923" s="248">
        <v>718.28110000000004</v>
      </c>
      <c r="I923"/>
      <c r="J923"/>
      <c r="K923"/>
      <c r="L923"/>
      <c r="M923"/>
    </row>
    <row r="924" spans="3:13" hidden="1" outlineLevel="1" x14ac:dyDescent="0.2">
      <c r="C924" s="139">
        <v>698</v>
      </c>
      <c r="D924" s="248">
        <v>638.14080000000001</v>
      </c>
      <c r="E924" s="248">
        <v>670.37490000000003</v>
      </c>
      <c r="F924" s="248">
        <v>686.19640000000004</v>
      </c>
      <c r="G924" s="248">
        <v>698.45190000000002</v>
      </c>
      <c r="H924" s="248">
        <v>719.32920000000001</v>
      </c>
      <c r="I924"/>
      <c r="J924"/>
      <c r="K924"/>
      <c r="L924"/>
      <c r="M924"/>
    </row>
    <row r="925" spans="3:13" hidden="1" outlineLevel="1" x14ac:dyDescent="0.2">
      <c r="C925" s="139">
        <v>699</v>
      </c>
      <c r="D925" s="248">
        <v>639.10299999999995</v>
      </c>
      <c r="E925" s="248">
        <v>671.3673</v>
      </c>
      <c r="F925" s="248">
        <v>687.20619999999997</v>
      </c>
      <c r="G925" s="248">
        <v>699.476</v>
      </c>
      <c r="H925" s="248">
        <v>720.38329999999996</v>
      </c>
      <c r="I925"/>
      <c r="J925"/>
      <c r="K925"/>
      <c r="L925"/>
      <c r="M925"/>
    </row>
    <row r="926" spans="3:13" hidden="1" outlineLevel="1" x14ac:dyDescent="0.2">
      <c r="C926" s="139">
        <v>700</v>
      </c>
      <c r="D926" s="248">
        <v>640.06539999999995</v>
      </c>
      <c r="E926" s="248">
        <v>672.35979999999995</v>
      </c>
      <c r="F926" s="248">
        <v>688.22140000000002</v>
      </c>
      <c r="G926" s="248">
        <v>700.50009999999997</v>
      </c>
      <c r="H926" s="248">
        <v>721.43150000000003</v>
      </c>
      <c r="I926"/>
      <c r="J926"/>
      <c r="K926"/>
      <c r="L926"/>
      <c r="M926"/>
    </row>
    <row r="927" spans="3:13" hidden="1" outlineLevel="1" x14ac:dyDescent="0.2">
      <c r="C927" s="139">
        <v>701</v>
      </c>
      <c r="D927" s="248">
        <v>641.02790000000005</v>
      </c>
      <c r="E927" s="248">
        <v>673.3578</v>
      </c>
      <c r="F927" s="248">
        <v>689.23130000000003</v>
      </c>
      <c r="G927" s="248">
        <v>701.52440000000001</v>
      </c>
      <c r="H927" s="248">
        <v>722.47969999999998</v>
      </c>
      <c r="I927"/>
      <c r="J927"/>
      <c r="K927"/>
      <c r="L927"/>
      <c r="M927"/>
    </row>
    <row r="928" spans="3:13" hidden="1" outlineLevel="1" x14ac:dyDescent="0.2">
      <c r="C928" s="139">
        <v>702</v>
      </c>
      <c r="D928" s="248">
        <v>641.9905</v>
      </c>
      <c r="E928" s="248">
        <v>674.35050000000001</v>
      </c>
      <c r="F928" s="248">
        <v>690.24130000000002</v>
      </c>
      <c r="G928" s="248">
        <v>702.54870000000005</v>
      </c>
      <c r="H928" s="248">
        <v>723.52800000000002</v>
      </c>
      <c r="I928"/>
      <c r="J928"/>
      <c r="K928"/>
      <c r="L928"/>
      <c r="M928"/>
    </row>
    <row r="929" spans="3:13" hidden="1" outlineLevel="1" x14ac:dyDescent="0.2">
      <c r="C929" s="139">
        <v>703</v>
      </c>
      <c r="D929" s="248">
        <v>642.95870000000002</v>
      </c>
      <c r="E929" s="248">
        <v>675.3433</v>
      </c>
      <c r="F929" s="248">
        <v>691.25130000000001</v>
      </c>
      <c r="G929" s="248">
        <v>703.57309999999995</v>
      </c>
      <c r="H929" s="248">
        <v>724.57640000000004</v>
      </c>
      <c r="I929"/>
      <c r="J929"/>
      <c r="K929"/>
      <c r="L929"/>
      <c r="M929"/>
    </row>
    <row r="930" spans="3:13" hidden="1" outlineLevel="1" x14ac:dyDescent="0.2">
      <c r="C930" s="139">
        <v>704</v>
      </c>
      <c r="D930" s="248">
        <v>643.92160000000001</v>
      </c>
      <c r="E930" s="248">
        <v>676.33619999999996</v>
      </c>
      <c r="F930" s="248">
        <v>692.26149999999996</v>
      </c>
      <c r="G930" s="248">
        <v>704.59749999999997</v>
      </c>
      <c r="H930" s="248">
        <v>725.62480000000005</v>
      </c>
      <c r="I930"/>
      <c r="J930"/>
      <c r="K930"/>
      <c r="L930"/>
      <c r="M930"/>
    </row>
    <row r="931" spans="3:13" hidden="1" outlineLevel="1" x14ac:dyDescent="0.2">
      <c r="C931" s="139">
        <v>705</v>
      </c>
      <c r="D931" s="248">
        <v>644.88469999999995</v>
      </c>
      <c r="E931" s="248">
        <v>677.32920000000001</v>
      </c>
      <c r="F931" s="248">
        <v>693.27170000000001</v>
      </c>
      <c r="G931" s="248">
        <v>705.62199999999996</v>
      </c>
      <c r="H931" s="248">
        <v>726.67330000000004</v>
      </c>
      <c r="I931"/>
      <c r="J931"/>
      <c r="K931"/>
      <c r="L931"/>
      <c r="M931"/>
    </row>
    <row r="932" spans="3:13" hidden="1" outlineLevel="1" x14ac:dyDescent="0.2">
      <c r="C932" s="139">
        <v>706</v>
      </c>
      <c r="D932" s="248">
        <v>645.84789999999998</v>
      </c>
      <c r="E932" s="248">
        <v>678.32759999999996</v>
      </c>
      <c r="F932" s="248">
        <v>694.28200000000004</v>
      </c>
      <c r="G932" s="248">
        <v>706.64660000000003</v>
      </c>
      <c r="H932" s="248">
        <v>727.72180000000003</v>
      </c>
      <c r="I932"/>
      <c r="J932"/>
      <c r="K932"/>
      <c r="L932"/>
      <c r="M932"/>
    </row>
    <row r="933" spans="3:13" hidden="1" outlineLevel="1" x14ac:dyDescent="0.2">
      <c r="C933" s="139">
        <v>707</v>
      </c>
      <c r="D933" s="248">
        <v>646.81129999999996</v>
      </c>
      <c r="E933" s="248">
        <v>679.32079999999996</v>
      </c>
      <c r="F933" s="248">
        <v>695.29240000000004</v>
      </c>
      <c r="G933" s="248">
        <v>707.67129999999997</v>
      </c>
      <c r="H933" s="248">
        <v>728.77629999999999</v>
      </c>
      <c r="I933"/>
      <c r="J933"/>
      <c r="K933"/>
      <c r="L933"/>
      <c r="M933"/>
    </row>
    <row r="934" spans="3:13" hidden="1" outlineLevel="1" x14ac:dyDescent="0.2">
      <c r="C934" s="139">
        <v>708</v>
      </c>
      <c r="D934" s="248">
        <v>647.77470000000005</v>
      </c>
      <c r="E934" s="248">
        <v>680.31399999999996</v>
      </c>
      <c r="F934" s="248">
        <v>696.30280000000005</v>
      </c>
      <c r="G934" s="248">
        <v>708.69600000000003</v>
      </c>
      <c r="H934" s="248">
        <v>729.82489999999996</v>
      </c>
      <c r="I934"/>
      <c r="J934"/>
      <c r="K934"/>
      <c r="L934"/>
      <c r="M934"/>
    </row>
    <row r="935" spans="3:13" hidden="1" outlineLevel="1" x14ac:dyDescent="0.2">
      <c r="C935" s="139">
        <v>709</v>
      </c>
      <c r="D935" s="248">
        <v>648.73839999999996</v>
      </c>
      <c r="E935" s="248">
        <v>681.30740000000003</v>
      </c>
      <c r="F935" s="248">
        <v>697.31330000000003</v>
      </c>
      <c r="G935" s="248">
        <v>709.72080000000005</v>
      </c>
      <c r="H935" s="248">
        <v>730.87360000000001</v>
      </c>
      <c r="I935"/>
      <c r="J935"/>
      <c r="K935"/>
      <c r="L935"/>
      <c r="M935"/>
    </row>
    <row r="936" spans="3:13" hidden="1" outlineLevel="1" x14ac:dyDescent="0.2">
      <c r="C936" s="139">
        <v>710</v>
      </c>
      <c r="D936" s="248">
        <v>649.70209999999997</v>
      </c>
      <c r="E936" s="248">
        <v>682.30079999999998</v>
      </c>
      <c r="F936" s="248">
        <v>698.32389999999998</v>
      </c>
      <c r="G936" s="248">
        <v>710.74559999999997</v>
      </c>
      <c r="H936" s="248">
        <v>731.92229999999995</v>
      </c>
      <c r="I936"/>
      <c r="J936"/>
      <c r="K936"/>
      <c r="L936"/>
      <c r="M936"/>
    </row>
    <row r="937" spans="3:13" hidden="1" outlineLevel="1" x14ac:dyDescent="0.2">
      <c r="C937" s="139">
        <v>711</v>
      </c>
      <c r="D937" s="248">
        <v>650.66600000000005</v>
      </c>
      <c r="E937" s="248">
        <v>683.2944</v>
      </c>
      <c r="F937" s="248">
        <v>699.33460000000002</v>
      </c>
      <c r="G937" s="248">
        <v>711.77059999999994</v>
      </c>
      <c r="H937" s="248">
        <v>732.97109999999998</v>
      </c>
      <c r="I937"/>
      <c r="J937"/>
      <c r="K937"/>
      <c r="L937"/>
      <c r="M937"/>
    </row>
    <row r="938" spans="3:13" hidden="1" outlineLevel="1" x14ac:dyDescent="0.2">
      <c r="C938" s="139">
        <v>712</v>
      </c>
      <c r="D938" s="248">
        <v>651.63</v>
      </c>
      <c r="E938" s="248">
        <v>684.28800000000001</v>
      </c>
      <c r="F938" s="248">
        <v>700.34540000000004</v>
      </c>
      <c r="G938" s="248">
        <v>712.79549999999995</v>
      </c>
      <c r="H938" s="248">
        <v>734.01990000000001</v>
      </c>
      <c r="I938"/>
      <c r="J938"/>
      <c r="K938"/>
      <c r="L938"/>
      <c r="M938"/>
    </row>
    <row r="939" spans="3:13" hidden="1" outlineLevel="1" x14ac:dyDescent="0.2">
      <c r="C939" s="139">
        <v>713</v>
      </c>
      <c r="D939" s="248">
        <v>652.5942</v>
      </c>
      <c r="E939" s="248">
        <v>685.2817</v>
      </c>
      <c r="F939" s="248">
        <v>701.35619999999994</v>
      </c>
      <c r="G939" s="248">
        <v>713.82060000000001</v>
      </c>
      <c r="H939" s="248">
        <v>735.06880000000001</v>
      </c>
      <c r="I939"/>
      <c r="J939"/>
      <c r="K939"/>
      <c r="L939"/>
      <c r="M939"/>
    </row>
    <row r="940" spans="3:13" hidden="1" outlineLevel="1" x14ac:dyDescent="0.2">
      <c r="C940" s="139">
        <v>714</v>
      </c>
      <c r="D940" s="248">
        <v>653.55849999999998</v>
      </c>
      <c r="E940" s="248">
        <v>686.27549999999997</v>
      </c>
      <c r="F940" s="248">
        <v>702.36710000000005</v>
      </c>
      <c r="G940" s="248">
        <v>714.84569999999997</v>
      </c>
      <c r="H940" s="248">
        <v>736.11779999999999</v>
      </c>
      <c r="I940"/>
      <c r="J940"/>
      <c r="K940"/>
      <c r="L940"/>
      <c r="M940"/>
    </row>
    <row r="941" spans="3:13" hidden="1" outlineLevel="1" x14ac:dyDescent="0.2">
      <c r="C941" s="139">
        <v>715</v>
      </c>
      <c r="D941" s="248">
        <v>654.52300000000002</v>
      </c>
      <c r="E941" s="248">
        <v>687.26940000000002</v>
      </c>
      <c r="F941" s="248">
        <v>703.37810000000002</v>
      </c>
      <c r="G941" s="248">
        <v>715.86490000000003</v>
      </c>
      <c r="H941" s="248">
        <v>737.16669999999999</v>
      </c>
      <c r="I941"/>
      <c r="J941"/>
      <c r="K941"/>
      <c r="L941"/>
      <c r="M941"/>
    </row>
    <row r="942" spans="3:13" hidden="1" outlineLevel="1" x14ac:dyDescent="0.2">
      <c r="C942" s="139">
        <v>716</v>
      </c>
      <c r="D942" s="248">
        <v>655.48749999999995</v>
      </c>
      <c r="E942" s="248">
        <v>688.26890000000003</v>
      </c>
      <c r="F942" s="248">
        <v>704.38909999999998</v>
      </c>
      <c r="G942" s="248">
        <v>716.89009999999996</v>
      </c>
      <c r="H942" s="248">
        <v>738.21579999999994</v>
      </c>
      <c r="I942"/>
      <c r="J942"/>
      <c r="K942"/>
      <c r="L942"/>
      <c r="M942"/>
    </row>
    <row r="943" spans="3:13" hidden="1" outlineLevel="1" x14ac:dyDescent="0.2">
      <c r="C943" s="139">
        <v>717</v>
      </c>
      <c r="D943" s="248">
        <v>656.44680000000005</v>
      </c>
      <c r="E943" s="248">
        <v>689.26300000000003</v>
      </c>
      <c r="F943" s="248">
        <v>705.40030000000002</v>
      </c>
      <c r="G943" s="248">
        <v>717.91549999999995</v>
      </c>
      <c r="H943" s="248">
        <v>739.26480000000004</v>
      </c>
      <c r="I943"/>
      <c r="J943"/>
      <c r="K943"/>
      <c r="L943"/>
      <c r="M943"/>
    </row>
    <row r="944" spans="3:13" hidden="1" outlineLevel="1" x14ac:dyDescent="0.2">
      <c r="C944" s="139">
        <v>718</v>
      </c>
      <c r="D944" s="248">
        <v>657.41160000000002</v>
      </c>
      <c r="E944" s="248">
        <v>690.25710000000004</v>
      </c>
      <c r="F944" s="248">
        <v>706.41150000000005</v>
      </c>
      <c r="G944" s="248">
        <v>718.94079999999997</v>
      </c>
      <c r="H944" s="248">
        <v>740.31399999999996</v>
      </c>
      <c r="I944"/>
      <c r="J944"/>
      <c r="K944"/>
      <c r="L944"/>
      <c r="M944"/>
    </row>
    <row r="945" spans="3:13" hidden="1" outlineLevel="1" x14ac:dyDescent="0.2">
      <c r="C945" s="139">
        <v>719</v>
      </c>
      <c r="D945" s="248">
        <v>658.37660000000005</v>
      </c>
      <c r="E945" s="248">
        <v>691.25139999999999</v>
      </c>
      <c r="F945" s="248">
        <v>707.42280000000005</v>
      </c>
      <c r="G945" s="248">
        <v>719.96630000000005</v>
      </c>
      <c r="H945" s="248">
        <v>741.36320000000001</v>
      </c>
      <c r="I945"/>
      <c r="J945"/>
      <c r="K945"/>
      <c r="L945"/>
      <c r="M945"/>
    </row>
    <row r="946" spans="3:13" hidden="1" outlineLevel="1" x14ac:dyDescent="0.2">
      <c r="C946" s="139">
        <v>720</v>
      </c>
      <c r="D946" s="248">
        <v>659.34169999999995</v>
      </c>
      <c r="E946" s="248">
        <v>692.24580000000003</v>
      </c>
      <c r="F946" s="248">
        <v>708.43409999999994</v>
      </c>
      <c r="G946" s="248">
        <v>720.99180000000001</v>
      </c>
      <c r="H946" s="248">
        <v>742.41240000000005</v>
      </c>
      <c r="I946"/>
      <c r="J946"/>
      <c r="K946"/>
      <c r="L946"/>
      <c r="M946"/>
    </row>
    <row r="947" spans="3:13" hidden="1" outlineLevel="1" x14ac:dyDescent="0.2">
      <c r="C947" s="139">
        <v>721</v>
      </c>
      <c r="D947" s="248">
        <v>660.30700000000002</v>
      </c>
      <c r="E947" s="248">
        <v>693.23469999999998</v>
      </c>
      <c r="F947" s="248">
        <v>709.44560000000001</v>
      </c>
      <c r="G947" s="248">
        <v>722.01739999999995</v>
      </c>
      <c r="H947" s="248">
        <v>743.46169999999995</v>
      </c>
      <c r="I947"/>
      <c r="J947"/>
      <c r="K947"/>
      <c r="L947"/>
      <c r="M947"/>
    </row>
    <row r="948" spans="3:13" hidden="1" outlineLevel="1" x14ac:dyDescent="0.2">
      <c r="C948" s="139">
        <v>722</v>
      </c>
      <c r="D948" s="248">
        <v>661.26689999999996</v>
      </c>
      <c r="E948" s="248">
        <v>694.22929999999997</v>
      </c>
      <c r="F948" s="248">
        <v>710.45159999999998</v>
      </c>
      <c r="G948" s="248">
        <v>723.03700000000003</v>
      </c>
      <c r="H948" s="248">
        <v>744.51099999999997</v>
      </c>
      <c r="I948"/>
      <c r="J948"/>
      <c r="K948"/>
      <c r="L948"/>
      <c r="M948"/>
    </row>
    <row r="949" spans="3:13" hidden="1" outlineLevel="1" x14ac:dyDescent="0.2">
      <c r="C949" s="139">
        <v>723</v>
      </c>
      <c r="D949" s="248">
        <v>662.23239999999998</v>
      </c>
      <c r="E949" s="248">
        <v>695.22389999999996</v>
      </c>
      <c r="F949" s="248">
        <v>711.46320000000003</v>
      </c>
      <c r="G949" s="248">
        <v>724.06269999999995</v>
      </c>
      <c r="H949" s="248">
        <v>745.56039999999996</v>
      </c>
      <c r="I949"/>
      <c r="J949"/>
      <c r="K949"/>
      <c r="L949"/>
      <c r="M949"/>
    </row>
    <row r="950" spans="3:13" hidden="1" outlineLevel="1" x14ac:dyDescent="0.2">
      <c r="C950" s="139">
        <v>724</v>
      </c>
      <c r="D950" s="248">
        <v>663.19809999999995</v>
      </c>
      <c r="E950" s="248">
        <v>696.21860000000004</v>
      </c>
      <c r="F950" s="248">
        <v>712.47479999999996</v>
      </c>
      <c r="G950" s="248">
        <v>725.08839999999998</v>
      </c>
      <c r="H950" s="248">
        <v>746.60979999999995</v>
      </c>
      <c r="I950"/>
      <c r="J950"/>
      <c r="K950"/>
      <c r="L950"/>
      <c r="M950"/>
    </row>
    <row r="951" spans="3:13" hidden="1" outlineLevel="1" x14ac:dyDescent="0.2">
      <c r="C951" s="139">
        <v>725</v>
      </c>
      <c r="D951" s="248">
        <v>664.16390000000001</v>
      </c>
      <c r="E951" s="248">
        <v>697.21349999999995</v>
      </c>
      <c r="F951" s="248">
        <v>713.48659999999995</v>
      </c>
      <c r="G951" s="248">
        <v>726.11429999999996</v>
      </c>
      <c r="H951" s="248">
        <v>747.65930000000003</v>
      </c>
      <c r="I951"/>
      <c r="J951"/>
      <c r="K951"/>
      <c r="L951"/>
      <c r="M951"/>
    </row>
    <row r="952" spans="3:13" hidden="1" outlineLevel="1" x14ac:dyDescent="0.2">
      <c r="C952" s="139">
        <v>726</v>
      </c>
      <c r="D952" s="248">
        <v>665.12429999999995</v>
      </c>
      <c r="E952" s="248">
        <v>698.20839999999998</v>
      </c>
      <c r="F952" s="248">
        <v>714.49839999999995</v>
      </c>
      <c r="G952" s="248">
        <v>727.13409999999999</v>
      </c>
      <c r="H952" s="248">
        <v>748.7088</v>
      </c>
      <c r="I952"/>
      <c r="J952"/>
      <c r="K952"/>
      <c r="L952"/>
      <c r="M952"/>
    </row>
    <row r="953" spans="3:13" hidden="1" outlineLevel="1" x14ac:dyDescent="0.2">
      <c r="C953" s="139">
        <v>727</v>
      </c>
      <c r="D953" s="248">
        <v>666.09029999999996</v>
      </c>
      <c r="E953" s="248">
        <v>699.20339999999999</v>
      </c>
      <c r="F953" s="248">
        <v>715.51030000000003</v>
      </c>
      <c r="G953" s="248">
        <v>728.16010000000006</v>
      </c>
      <c r="H953" s="248">
        <v>749.75840000000005</v>
      </c>
      <c r="I953"/>
      <c r="J953"/>
      <c r="K953"/>
      <c r="L953"/>
      <c r="M953"/>
    </row>
    <row r="954" spans="3:13" hidden="1" outlineLevel="1" x14ac:dyDescent="0.2">
      <c r="C954" s="139">
        <v>728</v>
      </c>
      <c r="D954" s="248">
        <v>667.05650000000003</v>
      </c>
      <c r="E954" s="248">
        <v>700.19849999999997</v>
      </c>
      <c r="F954" s="248">
        <v>716.51670000000001</v>
      </c>
      <c r="G954" s="248">
        <v>729.18610000000001</v>
      </c>
      <c r="H954" s="248">
        <v>750.80799999999999</v>
      </c>
      <c r="I954"/>
      <c r="J954"/>
      <c r="K954"/>
      <c r="L954"/>
      <c r="M954"/>
    </row>
    <row r="955" spans="3:13" hidden="1" outlineLevel="1" x14ac:dyDescent="0.2">
      <c r="C955" s="139">
        <v>729</v>
      </c>
      <c r="D955" s="248">
        <v>668.01729999999998</v>
      </c>
      <c r="E955" s="248">
        <v>701.19359999999995</v>
      </c>
      <c r="F955" s="248">
        <v>717.52869999999996</v>
      </c>
      <c r="G955" s="248">
        <v>730.21220000000005</v>
      </c>
      <c r="H955" s="248">
        <v>751.85770000000002</v>
      </c>
      <c r="I955"/>
      <c r="J955"/>
      <c r="K955"/>
      <c r="L955"/>
      <c r="M955"/>
    </row>
    <row r="956" spans="3:13" hidden="1" outlineLevel="1" x14ac:dyDescent="0.2">
      <c r="C956" s="139">
        <v>730</v>
      </c>
      <c r="D956" s="248">
        <v>668.98379999999997</v>
      </c>
      <c r="E956" s="248">
        <v>702.18889999999999</v>
      </c>
      <c r="F956" s="248">
        <v>718.54079999999999</v>
      </c>
      <c r="G956" s="248">
        <v>731.23220000000003</v>
      </c>
      <c r="H956" s="248">
        <v>752.90750000000003</v>
      </c>
      <c r="I956"/>
      <c r="J956"/>
      <c r="K956"/>
      <c r="L956"/>
      <c r="M956"/>
    </row>
    <row r="957" spans="3:13" hidden="1" outlineLevel="1" x14ac:dyDescent="0.2">
      <c r="C957" s="139">
        <v>731</v>
      </c>
      <c r="D957" s="248">
        <v>669.95039999999995</v>
      </c>
      <c r="E957" s="248">
        <v>703.17870000000005</v>
      </c>
      <c r="F957" s="248">
        <v>719.553</v>
      </c>
      <c r="G957" s="248">
        <v>732.25850000000003</v>
      </c>
      <c r="H957" s="248">
        <v>753.95719999999994</v>
      </c>
      <c r="I957"/>
      <c r="J957"/>
      <c r="K957"/>
      <c r="L957"/>
      <c r="M957"/>
    </row>
    <row r="958" spans="3:13" hidden="1" outlineLevel="1" x14ac:dyDescent="0.2">
      <c r="C958" s="139">
        <v>732</v>
      </c>
      <c r="D958" s="248">
        <v>670.91160000000002</v>
      </c>
      <c r="E958" s="248">
        <v>704.17409999999995</v>
      </c>
      <c r="F958" s="248">
        <v>720.55970000000002</v>
      </c>
      <c r="G958" s="248">
        <v>733.28480000000002</v>
      </c>
      <c r="H958" s="248">
        <v>755.00710000000004</v>
      </c>
      <c r="I958"/>
      <c r="J958"/>
      <c r="K958"/>
      <c r="L958"/>
      <c r="M958"/>
    </row>
    <row r="959" spans="3:13" hidden="1" outlineLevel="1" x14ac:dyDescent="0.2">
      <c r="C959" s="139">
        <v>733</v>
      </c>
      <c r="D959" s="248">
        <v>671.87850000000003</v>
      </c>
      <c r="E959" s="248">
        <v>705.16970000000003</v>
      </c>
      <c r="F959" s="248">
        <v>721.572</v>
      </c>
      <c r="G959" s="248">
        <v>734.31110000000001</v>
      </c>
      <c r="H959" s="248">
        <v>756.05700000000002</v>
      </c>
      <c r="I959"/>
      <c r="J959"/>
      <c r="K959"/>
      <c r="L959"/>
      <c r="M959"/>
    </row>
    <row r="960" spans="3:13" hidden="1" outlineLevel="1" x14ac:dyDescent="0.2">
      <c r="C960" s="139">
        <v>734</v>
      </c>
      <c r="D960" s="248">
        <v>672.83989999999994</v>
      </c>
      <c r="E960" s="248">
        <v>706.1653</v>
      </c>
      <c r="F960" s="248">
        <v>722.58439999999996</v>
      </c>
      <c r="G960" s="248">
        <v>735.33140000000003</v>
      </c>
      <c r="H960" s="248">
        <v>757.1069</v>
      </c>
      <c r="I960"/>
      <c r="J960"/>
      <c r="K960"/>
      <c r="L960"/>
      <c r="M960"/>
    </row>
    <row r="961" spans="3:13" hidden="1" outlineLevel="1" x14ac:dyDescent="0.2">
      <c r="C961" s="139">
        <v>735</v>
      </c>
      <c r="D961" s="248">
        <v>673.80700000000002</v>
      </c>
      <c r="E961" s="248">
        <v>707.16099999999994</v>
      </c>
      <c r="F961" s="248">
        <v>723.59690000000001</v>
      </c>
      <c r="G961" s="248">
        <v>736.35789999999997</v>
      </c>
      <c r="H961" s="248">
        <v>758.15070000000003</v>
      </c>
      <c r="I961"/>
      <c r="J961"/>
      <c r="K961"/>
      <c r="L961"/>
      <c r="M961"/>
    </row>
    <row r="962" spans="3:13" hidden="1" outlineLevel="1" x14ac:dyDescent="0.2">
      <c r="C962" s="139">
        <v>736</v>
      </c>
      <c r="D962" s="248">
        <v>674.76869999999997</v>
      </c>
      <c r="E962" s="248">
        <v>708.15120000000002</v>
      </c>
      <c r="F962" s="248">
        <v>724.60389999999995</v>
      </c>
      <c r="G962" s="248">
        <v>737.38440000000003</v>
      </c>
      <c r="H962" s="248">
        <v>759.20069999999998</v>
      </c>
      <c r="I962"/>
      <c r="J962"/>
      <c r="K962"/>
      <c r="L962"/>
      <c r="M962"/>
    </row>
    <row r="963" spans="3:13" hidden="1" outlineLevel="1" x14ac:dyDescent="0.2">
      <c r="C963" s="139">
        <v>737</v>
      </c>
      <c r="D963" s="248">
        <v>675.73609999999996</v>
      </c>
      <c r="E963" s="248">
        <v>709.14710000000002</v>
      </c>
      <c r="F963" s="248">
        <v>725.61649999999997</v>
      </c>
      <c r="G963" s="248">
        <v>738.4049</v>
      </c>
      <c r="H963" s="248">
        <v>760.25080000000003</v>
      </c>
      <c r="I963"/>
      <c r="J963"/>
      <c r="K963"/>
      <c r="L963"/>
      <c r="M963"/>
    </row>
    <row r="964" spans="3:13" hidden="1" outlineLevel="1" x14ac:dyDescent="0.2">
      <c r="C964" s="139">
        <v>738</v>
      </c>
      <c r="D964" s="248">
        <v>676.69799999999998</v>
      </c>
      <c r="E964" s="248">
        <v>710.1431</v>
      </c>
      <c r="F964" s="248">
        <v>726.62919999999997</v>
      </c>
      <c r="G964" s="248">
        <v>739.4316</v>
      </c>
      <c r="H964" s="248">
        <v>761.30100000000004</v>
      </c>
      <c r="I964"/>
      <c r="J964"/>
      <c r="K964"/>
      <c r="L964"/>
      <c r="M964"/>
    </row>
    <row r="965" spans="3:13" hidden="1" outlineLevel="1" x14ac:dyDescent="0.2">
      <c r="C965" s="139">
        <v>739</v>
      </c>
      <c r="D965" s="248">
        <v>677.66570000000002</v>
      </c>
      <c r="E965" s="248">
        <v>711.13919999999996</v>
      </c>
      <c r="F965" s="248">
        <v>727.64200000000005</v>
      </c>
      <c r="G965" s="248">
        <v>740.45830000000001</v>
      </c>
      <c r="H965" s="248">
        <v>762.35109999999997</v>
      </c>
      <c r="I965"/>
      <c r="J965"/>
      <c r="K965"/>
      <c r="L965"/>
      <c r="M965"/>
    </row>
    <row r="966" spans="3:13" hidden="1" outlineLevel="1" x14ac:dyDescent="0.2">
      <c r="C966" s="139">
        <v>740</v>
      </c>
      <c r="D966" s="248">
        <v>678.62789999999995</v>
      </c>
      <c r="E966" s="248">
        <v>712.12969999999996</v>
      </c>
      <c r="F966" s="248">
        <v>728.64919999999995</v>
      </c>
      <c r="G966" s="248">
        <v>741.47889999999995</v>
      </c>
      <c r="H966" s="248">
        <v>763.40139999999997</v>
      </c>
      <c r="I966"/>
      <c r="J966"/>
      <c r="K966"/>
      <c r="L966"/>
      <c r="M966"/>
    </row>
    <row r="967" spans="3:13" hidden="1" outlineLevel="1" x14ac:dyDescent="0.2">
      <c r="C967" s="139">
        <v>741</v>
      </c>
      <c r="D967" s="248">
        <v>679.59580000000005</v>
      </c>
      <c r="E967" s="248">
        <v>713.12599999999998</v>
      </c>
      <c r="F967" s="248">
        <v>729.66210000000001</v>
      </c>
      <c r="G967" s="248">
        <v>742.50580000000002</v>
      </c>
      <c r="H967" s="248">
        <v>764.45159999999998</v>
      </c>
      <c r="I967"/>
      <c r="J967"/>
      <c r="K967"/>
      <c r="L967"/>
      <c r="M967"/>
    </row>
    <row r="968" spans="3:13" hidden="1" outlineLevel="1" x14ac:dyDescent="0.2">
      <c r="C968" s="139">
        <v>742</v>
      </c>
      <c r="D968" s="248">
        <v>680.55820000000006</v>
      </c>
      <c r="E968" s="248">
        <v>714.12239999999997</v>
      </c>
      <c r="F968" s="248">
        <v>730.66949999999997</v>
      </c>
      <c r="G968" s="248">
        <v>743.53269999999998</v>
      </c>
      <c r="H968" s="248">
        <v>765.50199999999995</v>
      </c>
      <c r="I968"/>
      <c r="J968"/>
      <c r="K968"/>
      <c r="L968"/>
      <c r="M968"/>
    </row>
    <row r="969" spans="3:13" hidden="1" outlineLevel="1" x14ac:dyDescent="0.2">
      <c r="C969" s="139">
        <v>743</v>
      </c>
      <c r="D969" s="248">
        <v>681.52639999999997</v>
      </c>
      <c r="E969" s="248">
        <v>715.11310000000003</v>
      </c>
      <c r="F969" s="248">
        <v>731.68259999999998</v>
      </c>
      <c r="G969" s="248">
        <v>744.55349999999999</v>
      </c>
      <c r="H969" s="248">
        <v>766.54610000000002</v>
      </c>
      <c r="I969"/>
      <c r="J969"/>
      <c r="K969"/>
      <c r="L969"/>
      <c r="M969"/>
    </row>
    <row r="970" spans="3:13" hidden="1" outlineLevel="1" x14ac:dyDescent="0.2">
      <c r="C970" s="139">
        <v>744</v>
      </c>
      <c r="D970" s="248">
        <v>682.48910000000001</v>
      </c>
      <c r="E970" s="248">
        <v>716.1096</v>
      </c>
      <c r="F970" s="248">
        <v>732.69569999999999</v>
      </c>
      <c r="G970" s="248">
        <v>745.5806</v>
      </c>
      <c r="H970" s="248">
        <v>767.59649999999999</v>
      </c>
      <c r="I970"/>
      <c r="J970"/>
      <c r="K970"/>
      <c r="L970"/>
      <c r="M970"/>
    </row>
    <row r="971" spans="3:13" hidden="1" outlineLevel="1" x14ac:dyDescent="0.2">
      <c r="C971" s="139">
        <v>745</v>
      </c>
      <c r="D971" s="248">
        <v>683.45190000000002</v>
      </c>
      <c r="E971" s="248">
        <v>717.10630000000003</v>
      </c>
      <c r="F971" s="248">
        <v>733.70330000000001</v>
      </c>
      <c r="G971" s="248">
        <v>746.60140000000001</v>
      </c>
      <c r="H971" s="248">
        <v>768.64700000000005</v>
      </c>
      <c r="I971"/>
      <c r="J971"/>
      <c r="K971"/>
      <c r="L971"/>
      <c r="M971"/>
    </row>
    <row r="972" spans="3:13" hidden="1" outlineLevel="1" x14ac:dyDescent="0.2">
      <c r="C972" s="139">
        <v>746</v>
      </c>
      <c r="D972" s="248">
        <v>684.42049999999995</v>
      </c>
      <c r="E972" s="248">
        <v>718.09730000000002</v>
      </c>
      <c r="F972" s="248">
        <v>734.7165</v>
      </c>
      <c r="G972" s="248">
        <v>747.62860000000001</v>
      </c>
      <c r="H972" s="248">
        <v>769.69749999999999</v>
      </c>
      <c r="I972"/>
      <c r="J972"/>
      <c r="K972"/>
      <c r="L972"/>
      <c r="M972"/>
    </row>
    <row r="973" spans="3:13" hidden="1" outlineLevel="1" x14ac:dyDescent="0.2">
      <c r="C973" s="139">
        <v>747</v>
      </c>
      <c r="D973" s="248">
        <v>685.3836</v>
      </c>
      <c r="E973" s="248">
        <v>719.09410000000003</v>
      </c>
      <c r="F973" s="248">
        <v>735.72990000000004</v>
      </c>
      <c r="G973" s="248">
        <v>748.65589999999997</v>
      </c>
      <c r="H973" s="248">
        <v>770.74810000000002</v>
      </c>
      <c r="I973"/>
      <c r="J973"/>
      <c r="K973"/>
      <c r="L973"/>
      <c r="M973"/>
    </row>
    <row r="974" spans="3:13" hidden="1" outlineLevel="1" x14ac:dyDescent="0.2">
      <c r="C974" s="139">
        <v>748</v>
      </c>
      <c r="D974" s="248">
        <v>686.34670000000006</v>
      </c>
      <c r="E974" s="248">
        <v>720.09100000000001</v>
      </c>
      <c r="F974" s="248">
        <v>736.73770000000002</v>
      </c>
      <c r="G974" s="248">
        <v>749.67690000000005</v>
      </c>
      <c r="H974" s="248">
        <v>771.79870000000005</v>
      </c>
      <c r="I974"/>
      <c r="J974"/>
      <c r="K974"/>
      <c r="L974"/>
      <c r="M974"/>
    </row>
    <row r="975" spans="3:13" hidden="1" outlineLevel="1" x14ac:dyDescent="0.2">
      <c r="C975" s="139">
        <v>749</v>
      </c>
      <c r="D975" s="248">
        <v>687.31569999999999</v>
      </c>
      <c r="E975" s="248">
        <v>721.08219999999994</v>
      </c>
      <c r="F975" s="248">
        <v>737.75120000000004</v>
      </c>
      <c r="G975" s="248">
        <v>750.70429999999999</v>
      </c>
      <c r="H975" s="248">
        <v>772.84310000000005</v>
      </c>
      <c r="I975"/>
      <c r="J975"/>
      <c r="K975"/>
      <c r="L975"/>
      <c r="M975"/>
    </row>
    <row r="976" spans="3:13" hidden="1" outlineLevel="1" x14ac:dyDescent="0.2">
      <c r="C976" s="139">
        <v>750</v>
      </c>
      <c r="D976" s="248">
        <v>688.27919999999995</v>
      </c>
      <c r="E976" s="248">
        <v>722.07929999999999</v>
      </c>
      <c r="F976" s="248">
        <v>738.75900000000001</v>
      </c>
      <c r="G976" s="248">
        <v>751.72550000000001</v>
      </c>
      <c r="H976" s="248">
        <v>773.89380000000006</v>
      </c>
      <c r="I976"/>
      <c r="J976"/>
      <c r="K976"/>
      <c r="L976"/>
      <c r="M976"/>
    </row>
    <row r="977" spans="3:13" hidden="1" outlineLevel="1" x14ac:dyDescent="0.2">
      <c r="C977" s="139">
        <v>751</v>
      </c>
      <c r="D977" s="248">
        <v>689.24270000000001</v>
      </c>
      <c r="E977" s="248">
        <v>723.07069999999999</v>
      </c>
      <c r="F977" s="248">
        <v>739.77269999999999</v>
      </c>
      <c r="G977" s="248">
        <v>752.75300000000004</v>
      </c>
      <c r="H977" s="248">
        <v>774.94460000000004</v>
      </c>
      <c r="I977"/>
      <c r="J977"/>
      <c r="K977"/>
      <c r="L977"/>
      <c r="M977"/>
    </row>
    <row r="978" spans="3:13" hidden="1" outlineLevel="1" x14ac:dyDescent="0.2">
      <c r="C978" s="139">
        <v>752</v>
      </c>
      <c r="D978" s="248">
        <v>690.20640000000003</v>
      </c>
      <c r="E978" s="248">
        <v>724.06790000000001</v>
      </c>
      <c r="F978" s="248">
        <v>740.78070000000002</v>
      </c>
      <c r="G978" s="248">
        <v>753.77430000000004</v>
      </c>
      <c r="H978" s="248">
        <v>775.99540000000002</v>
      </c>
      <c r="I978"/>
      <c r="J978"/>
      <c r="K978"/>
      <c r="L978"/>
      <c r="M978"/>
    </row>
    <row r="979" spans="3:13" hidden="1" outlineLevel="1" x14ac:dyDescent="0.2">
      <c r="C979" s="139">
        <v>753</v>
      </c>
      <c r="D979" s="248">
        <v>691.17589999999996</v>
      </c>
      <c r="E979" s="248">
        <v>725.06529999999998</v>
      </c>
      <c r="F979" s="248">
        <v>741.79449999999997</v>
      </c>
      <c r="G979" s="248">
        <v>754.80190000000005</v>
      </c>
      <c r="H979" s="248">
        <v>777.04629999999997</v>
      </c>
      <c r="I979"/>
      <c r="J979"/>
      <c r="K979"/>
      <c r="L979"/>
      <c r="M979"/>
    </row>
    <row r="980" spans="3:13" hidden="1" outlineLevel="1" x14ac:dyDescent="0.2">
      <c r="C980" s="139">
        <v>754</v>
      </c>
      <c r="D980" s="248">
        <v>692.13980000000004</v>
      </c>
      <c r="E980" s="248">
        <v>726.05690000000004</v>
      </c>
      <c r="F980" s="248">
        <v>742.80840000000001</v>
      </c>
      <c r="G980" s="248">
        <v>755.82960000000003</v>
      </c>
      <c r="H980" s="248">
        <v>778.09090000000003</v>
      </c>
      <c r="I980"/>
      <c r="J980"/>
      <c r="K980"/>
      <c r="L980"/>
      <c r="M980"/>
    </row>
    <row r="981" spans="3:13" hidden="1" outlineLevel="1" x14ac:dyDescent="0.2">
      <c r="C981" s="139">
        <v>755</v>
      </c>
      <c r="D981" s="248">
        <v>693.10379999999998</v>
      </c>
      <c r="E981" s="248">
        <v>727.05439999999999</v>
      </c>
      <c r="F981" s="248">
        <v>743.81659999999999</v>
      </c>
      <c r="G981" s="248">
        <v>756.851</v>
      </c>
      <c r="H981" s="248">
        <v>779.14179999999999</v>
      </c>
      <c r="I981"/>
      <c r="J981"/>
      <c r="K981"/>
      <c r="L981"/>
      <c r="M981"/>
    </row>
    <row r="982" spans="3:13" hidden="1" outlineLevel="1" x14ac:dyDescent="0.2">
      <c r="C982" s="139">
        <v>756</v>
      </c>
      <c r="D982" s="248">
        <v>694.06799999999998</v>
      </c>
      <c r="E982" s="248">
        <v>728.0462</v>
      </c>
      <c r="F982" s="248">
        <v>744.8306</v>
      </c>
      <c r="G982" s="248">
        <v>757.87890000000004</v>
      </c>
      <c r="H982" s="248">
        <v>780.19280000000003</v>
      </c>
      <c r="I982"/>
      <c r="J982"/>
      <c r="K982"/>
      <c r="L982"/>
      <c r="M982"/>
    </row>
    <row r="983" spans="3:13" hidden="1" outlineLevel="1" x14ac:dyDescent="0.2">
      <c r="C983" s="139">
        <v>757</v>
      </c>
      <c r="D983" s="248">
        <v>695.03229999999996</v>
      </c>
      <c r="E983" s="248">
        <v>729.04390000000001</v>
      </c>
      <c r="F983" s="248">
        <v>745.83889999999997</v>
      </c>
      <c r="G983" s="248">
        <v>758.90039999999999</v>
      </c>
      <c r="H983" s="248">
        <v>781.24390000000005</v>
      </c>
      <c r="I983"/>
      <c r="J983"/>
      <c r="K983"/>
      <c r="L983"/>
      <c r="M983"/>
    </row>
    <row r="984" spans="3:13" hidden="1" outlineLevel="1" x14ac:dyDescent="0.2">
      <c r="C984" s="139">
        <v>758</v>
      </c>
      <c r="D984" s="248">
        <v>695.99670000000003</v>
      </c>
      <c r="E984" s="248">
        <v>730.03589999999997</v>
      </c>
      <c r="F984" s="248">
        <v>746.85310000000004</v>
      </c>
      <c r="G984" s="248">
        <v>759.92840000000001</v>
      </c>
      <c r="H984" s="248">
        <v>782.28869999999995</v>
      </c>
      <c r="I984"/>
      <c r="J984"/>
      <c r="K984"/>
      <c r="L984"/>
      <c r="M984"/>
    </row>
    <row r="985" spans="3:13" hidden="1" outlineLevel="1" x14ac:dyDescent="0.2">
      <c r="C985" s="139">
        <v>759</v>
      </c>
      <c r="D985" s="248">
        <v>696.96699999999998</v>
      </c>
      <c r="E985" s="248">
        <v>731.03380000000004</v>
      </c>
      <c r="F985" s="248">
        <v>747.86159999999995</v>
      </c>
      <c r="G985" s="248">
        <v>760.95</v>
      </c>
      <c r="H985" s="248">
        <v>783.33979999999997</v>
      </c>
      <c r="I985"/>
      <c r="J985"/>
      <c r="K985"/>
      <c r="L985"/>
      <c r="M985"/>
    </row>
    <row r="986" spans="3:13" hidden="1" outlineLevel="1" x14ac:dyDescent="0.2">
      <c r="C986" s="139">
        <v>760</v>
      </c>
      <c r="D986" s="248">
        <v>697.93169999999998</v>
      </c>
      <c r="E986" s="248">
        <v>732.02589999999998</v>
      </c>
      <c r="F986" s="248">
        <v>748.8759</v>
      </c>
      <c r="G986" s="248">
        <v>761.97810000000004</v>
      </c>
      <c r="H986" s="248">
        <v>784.39099999999996</v>
      </c>
      <c r="I986"/>
      <c r="J986"/>
      <c r="K986"/>
      <c r="L986"/>
      <c r="M986"/>
    </row>
    <row r="987" spans="3:13" hidden="1" outlineLevel="1" x14ac:dyDescent="0.2">
      <c r="C987" s="139">
        <v>761</v>
      </c>
      <c r="D987" s="248">
        <v>698.89649999999995</v>
      </c>
      <c r="E987" s="248">
        <v>733.02390000000003</v>
      </c>
      <c r="F987" s="248">
        <v>749.8845</v>
      </c>
      <c r="G987" s="248">
        <v>762.99990000000003</v>
      </c>
      <c r="H987" s="248">
        <v>785.43589999999995</v>
      </c>
      <c r="I987"/>
      <c r="J987"/>
      <c r="K987"/>
      <c r="L987"/>
      <c r="M987"/>
    </row>
    <row r="988" spans="3:13" hidden="1" outlineLevel="1" x14ac:dyDescent="0.2">
      <c r="C988" s="139">
        <v>762</v>
      </c>
      <c r="D988" s="248">
        <v>699.8614</v>
      </c>
      <c r="E988" s="248">
        <v>734.01620000000003</v>
      </c>
      <c r="F988" s="248">
        <v>750.8931</v>
      </c>
      <c r="G988" s="248">
        <v>764.02809999999999</v>
      </c>
      <c r="H988" s="248">
        <v>786.48720000000003</v>
      </c>
      <c r="I988"/>
      <c r="J988"/>
      <c r="K988"/>
      <c r="L988"/>
      <c r="M988"/>
    </row>
    <row r="989" spans="3:13" hidden="1" outlineLevel="1" x14ac:dyDescent="0.2">
      <c r="C989" s="139">
        <v>763</v>
      </c>
      <c r="D989" s="248">
        <v>700.82640000000004</v>
      </c>
      <c r="E989" s="248">
        <v>735.0086</v>
      </c>
      <c r="F989" s="248">
        <v>751.9076</v>
      </c>
      <c r="G989" s="248">
        <v>765.04989999999998</v>
      </c>
      <c r="H989" s="248">
        <v>787.5385</v>
      </c>
      <c r="I989"/>
      <c r="J989"/>
      <c r="K989"/>
      <c r="L989"/>
      <c r="M989"/>
    </row>
    <row r="990" spans="3:13" hidden="1" outlineLevel="1" x14ac:dyDescent="0.2">
      <c r="C990" s="139">
        <v>764</v>
      </c>
      <c r="D990" s="248">
        <v>701.79150000000004</v>
      </c>
      <c r="E990" s="248">
        <v>736.00689999999997</v>
      </c>
      <c r="F990" s="248">
        <v>752.91639999999995</v>
      </c>
      <c r="G990" s="248">
        <v>766.07190000000003</v>
      </c>
      <c r="H990" s="248">
        <v>788.58989999999994</v>
      </c>
      <c r="I990"/>
      <c r="J990"/>
      <c r="K990"/>
      <c r="L990"/>
      <c r="M990"/>
    </row>
    <row r="991" spans="3:13" hidden="1" outlineLevel="1" x14ac:dyDescent="0.2">
      <c r="C991" s="139">
        <v>765</v>
      </c>
      <c r="D991" s="248">
        <v>702.7568</v>
      </c>
      <c r="E991" s="248">
        <v>736.99950000000001</v>
      </c>
      <c r="F991" s="248">
        <v>753.93110000000001</v>
      </c>
      <c r="G991" s="248">
        <v>767.10029999999995</v>
      </c>
      <c r="H991" s="248">
        <v>789.63490000000002</v>
      </c>
      <c r="I991"/>
      <c r="J991"/>
      <c r="K991"/>
      <c r="L991"/>
      <c r="M991"/>
    </row>
    <row r="992" spans="3:13" hidden="1" outlineLevel="1" x14ac:dyDescent="0.2">
      <c r="C992" s="139">
        <v>766</v>
      </c>
      <c r="D992" s="248">
        <v>703.72220000000004</v>
      </c>
      <c r="E992" s="248">
        <v>737.99789999999996</v>
      </c>
      <c r="F992" s="248">
        <v>754.93709999999999</v>
      </c>
      <c r="G992" s="248">
        <v>768.1223</v>
      </c>
      <c r="H992" s="248">
        <v>790.68640000000005</v>
      </c>
      <c r="I992"/>
      <c r="J992"/>
      <c r="K992"/>
      <c r="L992"/>
      <c r="M992"/>
    </row>
    <row r="993" spans="3:13" hidden="1" outlineLevel="1" x14ac:dyDescent="0.2">
      <c r="C993" s="139">
        <v>767</v>
      </c>
      <c r="D993" s="248">
        <v>704.68769999999995</v>
      </c>
      <c r="E993" s="248">
        <v>738.99059999999997</v>
      </c>
      <c r="F993" s="248">
        <v>755.95780000000002</v>
      </c>
      <c r="G993" s="248">
        <v>769.1508</v>
      </c>
      <c r="H993" s="248">
        <v>791.73800000000006</v>
      </c>
      <c r="I993"/>
      <c r="J993"/>
      <c r="K993"/>
      <c r="L993"/>
      <c r="M993"/>
    </row>
    <row r="994" spans="3:13" hidden="1" outlineLevel="1" x14ac:dyDescent="0.2">
      <c r="C994" s="139">
        <v>768</v>
      </c>
      <c r="D994" s="248">
        <v>705.65329999999994</v>
      </c>
      <c r="E994" s="248">
        <v>739.98339999999996</v>
      </c>
      <c r="F994" s="248">
        <v>756.96680000000003</v>
      </c>
      <c r="G994" s="248">
        <v>770.17290000000003</v>
      </c>
      <c r="H994" s="248">
        <v>792.78309999999999</v>
      </c>
      <c r="I994"/>
      <c r="J994"/>
      <c r="K994"/>
      <c r="L994"/>
      <c r="M994"/>
    </row>
    <row r="995" spans="3:13" hidden="1" outlineLevel="1" x14ac:dyDescent="0.2">
      <c r="C995" s="139">
        <v>769</v>
      </c>
      <c r="D995" s="248">
        <v>706.6191</v>
      </c>
      <c r="E995" s="248">
        <v>740.98209999999995</v>
      </c>
      <c r="F995" s="248">
        <v>757.97590000000002</v>
      </c>
      <c r="G995" s="248">
        <v>771.20159999999998</v>
      </c>
      <c r="H995" s="248">
        <v>793.8347</v>
      </c>
      <c r="I995"/>
      <c r="J995"/>
      <c r="K995"/>
      <c r="L995"/>
      <c r="M995"/>
    </row>
    <row r="996" spans="3:13" hidden="1" outlineLevel="1" x14ac:dyDescent="0.2">
      <c r="C996" s="139">
        <v>770</v>
      </c>
      <c r="D996" s="248">
        <v>707.58500000000004</v>
      </c>
      <c r="E996" s="248">
        <v>741.9751</v>
      </c>
      <c r="F996" s="248">
        <v>758.98509999999999</v>
      </c>
      <c r="G996" s="248">
        <v>772.22379999999998</v>
      </c>
      <c r="H996" s="248">
        <v>794.88639999999998</v>
      </c>
      <c r="I996"/>
      <c r="J996"/>
      <c r="K996"/>
      <c r="L996"/>
      <c r="M996"/>
    </row>
    <row r="997" spans="3:13" hidden="1" outlineLevel="1" x14ac:dyDescent="0.2">
      <c r="C997" s="139">
        <v>771</v>
      </c>
      <c r="D997" s="248">
        <v>708.55100000000004</v>
      </c>
      <c r="E997" s="248">
        <v>742.97400000000005</v>
      </c>
      <c r="F997" s="248">
        <v>759.99429999999995</v>
      </c>
      <c r="G997" s="248">
        <v>773.24609999999996</v>
      </c>
      <c r="H997" s="248">
        <v>795.93169999999998</v>
      </c>
      <c r="I997"/>
      <c r="J997"/>
      <c r="K997"/>
      <c r="L997"/>
      <c r="M997"/>
    </row>
    <row r="998" spans="3:13" hidden="1" outlineLevel="1" x14ac:dyDescent="0.2">
      <c r="C998" s="139">
        <v>772</v>
      </c>
      <c r="D998" s="248">
        <v>709.51710000000003</v>
      </c>
      <c r="E998" s="248">
        <v>743.96709999999996</v>
      </c>
      <c r="F998" s="248">
        <v>761.00360000000001</v>
      </c>
      <c r="G998" s="248">
        <v>774.27499999999998</v>
      </c>
      <c r="H998" s="248">
        <v>796.98350000000005</v>
      </c>
      <c r="I998"/>
      <c r="J998"/>
      <c r="K998"/>
      <c r="L998"/>
      <c r="M998"/>
    </row>
    <row r="999" spans="3:13" hidden="1" outlineLevel="1" x14ac:dyDescent="0.2">
      <c r="C999" s="139">
        <v>773</v>
      </c>
      <c r="D999" s="248">
        <v>710.48329999999999</v>
      </c>
      <c r="E999" s="248">
        <v>744.96019999999999</v>
      </c>
      <c r="F999" s="248">
        <v>762.02470000000005</v>
      </c>
      <c r="G999" s="248">
        <v>775.29740000000004</v>
      </c>
      <c r="H999" s="248">
        <v>798.03530000000001</v>
      </c>
      <c r="I999"/>
      <c r="J999"/>
      <c r="K999"/>
      <c r="L999"/>
      <c r="M999"/>
    </row>
    <row r="1000" spans="3:13" hidden="1" outlineLevel="1" x14ac:dyDescent="0.2">
      <c r="C1000" s="139">
        <v>774</v>
      </c>
      <c r="D1000" s="248">
        <v>711.44970000000001</v>
      </c>
      <c r="E1000" s="248">
        <v>745.95939999999996</v>
      </c>
      <c r="F1000" s="248">
        <v>763.03409999999997</v>
      </c>
      <c r="G1000" s="248">
        <v>776.32629999999995</v>
      </c>
      <c r="H1000" s="248">
        <v>799.08069999999998</v>
      </c>
      <c r="I1000"/>
      <c r="J1000"/>
      <c r="K1000"/>
      <c r="L1000"/>
      <c r="M1000"/>
    </row>
    <row r="1001" spans="3:13" hidden="1" outlineLevel="1" x14ac:dyDescent="0.2">
      <c r="C1001" s="139">
        <v>775</v>
      </c>
      <c r="D1001" s="248">
        <v>712.41030000000001</v>
      </c>
      <c r="E1001" s="248">
        <v>746.95270000000005</v>
      </c>
      <c r="F1001" s="248">
        <v>764.04359999999997</v>
      </c>
      <c r="G1001" s="248">
        <v>777.34889999999996</v>
      </c>
      <c r="H1001" s="248">
        <v>800.13260000000002</v>
      </c>
      <c r="I1001"/>
      <c r="J1001"/>
      <c r="K1001"/>
      <c r="L1001"/>
      <c r="M1001"/>
    </row>
    <row r="1002" spans="3:13" hidden="1" outlineLevel="1" x14ac:dyDescent="0.2">
      <c r="C1002" s="139">
        <v>776</v>
      </c>
      <c r="D1002" s="248">
        <v>713.37689999999998</v>
      </c>
      <c r="E1002" s="248">
        <v>747.9461</v>
      </c>
      <c r="F1002" s="248">
        <v>765.05319999999995</v>
      </c>
      <c r="G1002" s="248">
        <v>778.37139999999999</v>
      </c>
      <c r="H1002" s="248">
        <v>801.18449999999996</v>
      </c>
      <c r="I1002"/>
      <c r="J1002"/>
      <c r="K1002"/>
      <c r="L1002"/>
      <c r="M1002"/>
    </row>
    <row r="1003" spans="3:13" hidden="1" outlineLevel="1" x14ac:dyDescent="0.2">
      <c r="C1003" s="139">
        <v>777</v>
      </c>
      <c r="D1003" s="248">
        <v>714.34360000000004</v>
      </c>
      <c r="E1003" s="248">
        <v>748.93960000000004</v>
      </c>
      <c r="F1003" s="248">
        <v>766.06280000000004</v>
      </c>
      <c r="G1003" s="248">
        <v>779.40060000000005</v>
      </c>
      <c r="H1003" s="248">
        <v>802.23</v>
      </c>
      <c r="I1003"/>
      <c r="J1003"/>
      <c r="K1003"/>
      <c r="L1003"/>
      <c r="M1003"/>
    </row>
    <row r="1004" spans="3:13" hidden="1" outlineLevel="1" x14ac:dyDescent="0.2">
      <c r="C1004" s="139">
        <v>778</v>
      </c>
      <c r="D1004" s="248">
        <v>715.31039999999996</v>
      </c>
      <c r="E1004" s="248">
        <v>749.93910000000005</v>
      </c>
      <c r="F1004" s="248">
        <v>767.07240000000002</v>
      </c>
      <c r="G1004" s="248">
        <v>780.42319999999995</v>
      </c>
      <c r="H1004" s="248">
        <v>803.28210000000001</v>
      </c>
      <c r="I1004"/>
      <c r="J1004"/>
      <c r="K1004"/>
      <c r="L1004"/>
      <c r="M1004"/>
    </row>
    <row r="1005" spans="3:13" hidden="1" outlineLevel="1" x14ac:dyDescent="0.2">
      <c r="C1005" s="139">
        <v>779</v>
      </c>
      <c r="D1005" s="248">
        <v>716.27739999999994</v>
      </c>
      <c r="E1005" s="248">
        <v>750.93280000000004</v>
      </c>
      <c r="F1005" s="248">
        <v>768.09400000000005</v>
      </c>
      <c r="G1005" s="248">
        <v>781.44600000000003</v>
      </c>
      <c r="H1005" s="248">
        <v>804.32770000000005</v>
      </c>
      <c r="I1005"/>
      <c r="J1005"/>
      <c r="K1005"/>
      <c r="L1005"/>
      <c r="M1005"/>
    </row>
    <row r="1006" spans="3:13" hidden="1" outlineLevel="1" x14ac:dyDescent="0.2">
      <c r="C1006" s="139">
        <v>780</v>
      </c>
      <c r="D1006" s="248">
        <v>717.24450000000002</v>
      </c>
      <c r="E1006" s="248">
        <v>751.92650000000003</v>
      </c>
      <c r="F1006" s="248">
        <v>769.10389999999995</v>
      </c>
      <c r="G1006" s="248">
        <v>782.47529999999995</v>
      </c>
      <c r="H1006" s="248">
        <v>805.37980000000005</v>
      </c>
      <c r="I1006"/>
      <c r="J1006"/>
      <c r="K1006"/>
      <c r="L1006"/>
      <c r="M1006"/>
    </row>
    <row r="1007" spans="3:13" hidden="1" outlineLevel="1" x14ac:dyDescent="0.2">
      <c r="C1007" s="139">
        <v>781</v>
      </c>
      <c r="D1007" s="248">
        <v>718.20569999999998</v>
      </c>
      <c r="E1007" s="248">
        <v>752.9203</v>
      </c>
      <c r="F1007" s="248">
        <v>770.11369999999999</v>
      </c>
      <c r="G1007" s="248">
        <v>783.49810000000002</v>
      </c>
      <c r="H1007" s="248">
        <v>806.43200000000002</v>
      </c>
      <c r="I1007"/>
      <c r="J1007"/>
      <c r="K1007"/>
      <c r="L1007"/>
      <c r="M1007"/>
    </row>
    <row r="1008" spans="3:13" hidden="1" outlineLevel="1" x14ac:dyDescent="0.2">
      <c r="C1008" s="139">
        <v>782</v>
      </c>
      <c r="D1008" s="248">
        <v>719.17309999999998</v>
      </c>
      <c r="E1008" s="248">
        <v>753.92010000000005</v>
      </c>
      <c r="F1008" s="248">
        <v>771.12360000000001</v>
      </c>
      <c r="G1008" s="248">
        <v>784.52099999999996</v>
      </c>
      <c r="H1008" s="248">
        <v>807.47770000000003</v>
      </c>
      <c r="I1008"/>
      <c r="J1008"/>
      <c r="K1008"/>
      <c r="L1008"/>
      <c r="M1008"/>
    </row>
    <row r="1009" spans="3:13" hidden="1" outlineLevel="1" x14ac:dyDescent="0.2">
      <c r="C1009" s="139">
        <v>783</v>
      </c>
      <c r="D1009" s="248">
        <v>720.14049999999997</v>
      </c>
      <c r="E1009" s="248">
        <v>754.9171</v>
      </c>
      <c r="F1009" s="248">
        <v>772.1336</v>
      </c>
      <c r="G1009" s="248">
        <v>785.55050000000006</v>
      </c>
      <c r="H1009" s="248">
        <v>808.53</v>
      </c>
      <c r="I1009"/>
      <c r="J1009"/>
      <c r="K1009"/>
      <c r="L1009"/>
      <c r="M1009"/>
    </row>
    <row r="1010" spans="3:13" hidden="1" outlineLevel="1" x14ac:dyDescent="0.2">
      <c r="C1010" s="139">
        <v>784</v>
      </c>
      <c r="D1010" s="248">
        <v>721.10810000000004</v>
      </c>
      <c r="E1010" s="248">
        <v>755.90520000000004</v>
      </c>
      <c r="F1010" s="248">
        <v>773.14369999999997</v>
      </c>
      <c r="G1010" s="248">
        <v>786.57349999999997</v>
      </c>
      <c r="H1010" s="248">
        <v>809.57579999999996</v>
      </c>
      <c r="I1010"/>
      <c r="J1010"/>
      <c r="K1010"/>
      <c r="L1010"/>
      <c r="M1010"/>
    </row>
    <row r="1011" spans="3:13" hidden="1" outlineLevel="1" x14ac:dyDescent="0.2">
      <c r="C1011" s="139">
        <v>785</v>
      </c>
      <c r="D1011" s="248">
        <v>722.06979999999999</v>
      </c>
      <c r="E1011" s="248">
        <v>756.90530000000001</v>
      </c>
      <c r="F1011" s="248">
        <v>774.15380000000005</v>
      </c>
      <c r="G1011" s="248">
        <v>787.59659999999997</v>
      </c>
      <c r="H1011" s="248">
        <v>810.62810000000002</v>
      </c>
      <c r="I1011"/>
      <c r="J1011"/>
      <c r="K1011"/>
      <c r="L1011"/>
      <c r="M1011"/>
    </row>
    <row r="1012" spans="3:13" hidden="1" outlineLevel="1" x14ac:dyDescent="0.2">
      <c r="C1012" s="139">
        <v>786</v>
      </c>
      <c r="D1012" s="248">
        <v>723.0376</v>
      </c>
      <c r="E1012" s="248">
        <v>757.90539999999999</v>
      </c>
      <c r="F1012" s="248">
        <v>775.16399999999999</v>
      </c>
      <c r="G1012" s="248">
        <v>788.62630000000001</v>
      </c>
      <c r="H1012" s="248">
        <v>811.68060000000003</v>
      </c>
      <c r="I1012"/>
      <c r="J1012"/>
      <c r="K1012"/>
      <c r="L1012"/>
      <c r="M1012"/>
    </row>
    <row r="1013" spans="3:13" hidden="1" outlineLevel="1" x14ac:dyDescent="0.2">
      <c r="C1013" s="139">
        <v>787</v>
      </c>
      <c r="D1013" s="248">
        <v>724.00549999999998</v>
      </c>
      <c r="E1013" s="248">
        <v>758.89369999999997</v>
      </c>
      <c r="F1013" s="248">
        <v>776.18619999999999</v>
      </c>
      <c r="G1013" s="248">
        <v>789.64940000000001</v>
      </c>
      <c r="H1013" s="248">
        <v>812.72649999999999</v>
      </c>
      <c r="I1013"/>
      <c r="J1013"/>
      <c r="K1013"/>
      <c r="L1013"/>
      <c r="M1013"/>
    </row>
    <row r="1014" spans="3:13" hidden="1" outlineLevel="1" x14ac:dyDescent="0.2">
      <c r="C1014" s="139">
        <v>788</v>
      </c>
      <c r="D1014" s="248">
        <v>724.96759999999995</v>
      </c>
      <c r="E1014" s="248">
        <v>759.89409999999998</v>
      </c>
      <c r="F1014" s="248">
        <v>777.19650000000001</v>
      </c>
      <c r="G1014" s="248">
        <v>790.67259999999999</v>
      </c>
      <c r="H1014" s="248">
        <v>813.779</v>
      </c>
      <c r="I1014"/>
      <c r="J1014"/>
      <c r="K1014"/>
      <c r="L1014"/>
      <c r="M1014"/>
    </row>
    <row r="1015" spans="3:13" hidden="1" outlineLevel="1" x14ac:dyDescent="0.2">
      <c r="C1015" s="139">
        <v>789</v>
      </c>
      <c r="D1015" s="248">
        <v>725.9357</v>
      </c>
      <c r="E1015" s="248">
        <v>760.88250000000005</v>
      </c>
      <c r="F1015" s="248">
        <v>778.20690000000002</v>
      </c>
      <c r="G1015" s="248">
        <v>791.69590000000005</v>
      </c>
      <c r="H1015" s="248">
        <v>814.82500000000005</v>
      </c>
      <c r="I1015"/>
      <c r="J1015"/>
      <c r="K1015"/>
      <c r="L1015"/>
      <c r="M1015"/>
    </row>
    <row r="1016" spans="3:13" hidden="1" outlineLevel="1" x14ac:dyDescent="0.2">
      <c r="C1016" s="139">
        <v>790</v>
      </c>
      <c r="D1016" s="248">
        <v>726.904</v>
      </c>
      <c r="E1016" s="248">
        <v>761.88300000000004</v>
      </c>
      <c r="F1016" s="248">
        <v>779.21730000000002</v>
      </c>
      <c r="G1016" s="248">
        <v>792.72580000000005</v>
      </c>
      <c r="H1016" s="248">
        <v>815.87760000000003</v>
      </c>
      <c r="I1016"/>
      <c r="J1016"/>
      <c r="K1016"/>
      <c r="L1016"/>
      <c r="M1016"/>
    </row>
    <row r="1017" spans="3:13" hidden="1" outlineLevel="1" x14ac:dyDescent="0.2">
      <c r="C1017" s="139">
        <v>791</v>
      </c>
      <c r="D1017" s="248">
        <v>727.8664</v>
      </c>
      <c r="E1017" s="248">
        <v>762.87159999999994</v>
      </c>
      <c r="F1017" s="248">
        <v>780.2278</v>
      </c>
      <c r="G1017" s="248">
        <v>793.74919999999997</v>
      </c>
      <c r="H1017" s="248">
        <v>816.92359999999996</v>
      </c>
      <c r="I1017"/>
      <c r="J1017"/>
      <c r="K1017"/>
      <c r="L1017"/>
      <c r="M1017"/>
    </row>
    <row r="1018" spans="3:13" hidden="1" outlineLevel="1" x14ac:dyDescent="0.2">
      <c r="C1018" s="139">
        <v>792</v>
      </c>
      <c r="D1018" s="248">
        <v>728.83489999999995</v>
      </c>
      <c r="E1018" s="248">
        <v>763.8723</v>
      </c>
      <c r="F1018" s="248">
        <v>781.23829999999998</v>
      </c>
      <c r="G1018" s="248">
        <v>794.77260000000001</v>
      </c>
      <c r="H1018" s="248">
        <v>817.97630000000004</v>
      </c>
      <c r="I1018"/>
      <c r="J1018"/>
      <c r="K1018"/>
      <c r="L1018"/>
      <c r="M1018"/>
    </row>
    <row r="1019" spans="3:13" hidden="1" outlineLevel="1" x14ac:dyDescent="0.2">
      <c r="C1019" s="139">
        <v>793</v>
      </c>
      <c r="D1019" s="248">
        <v>729.80359999999996</v>
      </c>
      <c r="E1019" s="248">
        <v>764.87300000000005</v>
      </c>
      <c r="F1019" s="248">
        <v>782.24900000000002</v>
      </c>
      <c r="G1019" s="248">
        <v>795.79610000000002</v>
      </c>
      <c r="H1019" s="248">
        <v>819.02239999999995</v>
      </c>
      <c r="I1019"/>
      <c r="J1019"/>
      <c r="K1019"/>
      <c r="L1019"/>
      <c r="M1019"/>
    </row>
    <row r="1020" spans="3:13" hidden="1" outlineLevel="1" x14ac:dyDescent="0.2">
      <c r="C1020" s="139">
        <v>794</v>
      </c>
      <c r="D1020" s="248">
        <v>730.7663</v>
      </c>
      <c r="E1020" s="248">
        <v>765.86180000000002</v>
      </c>
      <c r="F1020" s="248">
        <v>783.25959999999998</v>
      </c>
      <c r="G1020" s="248">
        <v>796.82619999999997</v>
      </c>
      <c r="H1020" s="248">
        <v>820.0752</v>
      </c>
      <c r="I1020"/>
      <c r="J1020"/>
      <c r="K1020"/>
      <c r="L1020"/>
      <c r="M1020"/>
    </row>
    <row r="1021" spans="3:13" hidden="1" outlineLevel="1" x14ac:dyDescent="0.2">
      <c r="C1021" s="139">
        <v>795</v>
      </c>
      <c r="D1021" s="248">
        <v>731.73519999999996</v>
      </c>
      <c r="E1021" s="248">
        <v>766.86279999999999</v>
      </c>
      <c r="F1021" s="248">
        <v>784.2704</v>
      </c>
      <c r="G1021" s="248">
        <v>797.84979999999996</v>
      </c>
      <c r="H1021" s="248">
        <v>821.12810000000002</v>
      </c>
      <c r="I1021"/>
      <c r="J1021"/>
      <c r="K1021"/>
      <c r="L1021"/>
      <c r="M1021"/>
    </row>
    <row r="1022" spans="3:13" hidden="1" outlineLevel="1" x14ac:dyDescent="0.2">
      <c r="C1022" s="139">
        <v>796</v>
      </c>
      <c r="D1022" s="248">
        <v>732.69809999999995</v>
      </c>
      <c r="E1022" s="248">
        <v>767.85170000000005</v>
      </c>
      <c r="F1022" s="248">
        <v>785.28120000000001</v>
      </c>
      <c r="G1022" s="248">
        <v>798.87339999999995</v>
      </c>
      <c r="H1022" s="248">
        <v>822.17430000000002</v>
      </c>
      <c r="I1022"/>
      <c r="J1022"/>
      <c r="K1022"/>
      <c r="L1022"/>
      <c r="M1022"/>
    </row>
    <row r="1023" spans="3:13" hidden="1" outlineLevel="1" x14ac:dyDescent="0.2">
      <c r="C1023" s="139">
        <v>797</v>
      </c>
      <c r="D1023" s="248">
        <v>733.66719999999998</v>
      </c>
      <c r="E1023" s="248">
        <v>768.8528</v>
      </c>
      <c r="F1023" s="248">
        <v>786.29200000000003</v>
      </c>
      <c r="G1023" s="248">
        <v>799.89710000000002</v>
      </c>
      <c r="H1023" s="248">
        <v>823.22730000000001</v>
      </c>
      <c r="I1023"/>
      <c r="J1023"/>
      <c r="K1023"/>
      <c r="L1023"/>
      <c r="M1023"/>
    </row>
    <row r="1024" spans="3:13" hidden="1" outlineLevel="1" x14ac:dyDescent="0.2">
      <c r="C1024" s="139">
        <v>798</v>
      </c>
      <c r="D1024" s="248">
        <v>734.63040000000001</v>
      </c>
      <c r="E1024" s="248">
        <v>769.84180000000003</v>
      </c>
      <c r="F1024" s="248">
        <v>787.31510000000003</v>
      </c>
      <c r="G1024" s="248">
        <v>800.92750000000001</v>
      </c>
      <c r="H1024" s="248">
        <v>824.27359999999999</v>
      </c>
      <c r="I1024"/>
      <c r="J1024"/>
      <c r="K1024"/>
      <c r="L1024"/>
      <c r="M1024"/>
    </row>
    <row r="1025" spans="3:13" hidden="1" outlineLevel="1" x14ac:dyDescent="0.2">
      <c r="C1025" s="139">
        <v>799</v>
      </c>
      <c r="D1025" s="248">
        <v>735.59969999999998</v>
      </c>
      <c r="E1025" s="248">
        <v>770.84310000000005</v>
      </c>
      <c r="F1025" s="248">
        <v>788.3261</v>
      </c>
      <c r="G1025" s="248">
        <v>801.95129999999995</v>
      </c>
      <c r="H1025" s="248">
        <v>825.32659999999998</v>
      </c>
      <c r="I1025"/>
      <c r="J1025"/>
      <c r="K1025"/>
      <c r="L1025"/>
      <c r="M1025"/>
    </row>
    <row r="1026" spans="3:13" hidden="1" outlineLevel="1" x14ac:dyDescent="0.2">
      <c r="C1026" s="139">
        <v>800</v>
      </c>
      <c r="D1026" s="248">
        <v>736.56309999999996</v>
      </c>
      <c r="E1026" s="248">
        <v>771.83230000000003</v>
      </c>
      <c r="F1026" s="248">
        <v>789.33720000000005</v>
      </c>
      <c r="G1026" s="248">
        <v>802.97519999999997</v>
      </c>
      <c r="H1026" s="248">
        <v>826.37300000000005</v>
      </c>
      <c r="I1026"/>
      <c r="J1026"/>
      <c r="K1026"/>
      <c r="L1026"/>
      <c r="M1026"/>
    </row>
    <row r="1027" spans="3:13" hidden="1" outlineLevel="1" x14ac:dyDescent="0.2">
      <c r="C1027" s="139">
        <v>801</v>
      </c>
      <c r="D1027" s="248">
        <v>737.53269999999998</v>
      </c>
      <c r="E1027" s="248">
        <v>772.83370000000002</v>
      </c>
      <c r="F1027" s="248">
        <v>790.34829999999999</v>
      </c>
      <c r="G1027" s="248">
        <v>803.99900000000002</v>
      </c>
      <c r="H1027" s="248">
        <v>827.42610000000002</v>
      </c>
      <c r="I1027"/>
      <c r="J1027"/>
      <c r="K1027"/>
      <c r="L1027"/>
      <c r="M1027"/>
    </row>
    <row r="1028" spans="3:13" hidden="1" outlineLevel="1" x14ac:dyDescent="0.2">
      <c r="C1028" s="139">
        <v>802</v>
      </c>
      <c r="D1028" s="248">
        <v>738.49630000000002</v>
      </c>
      <c r="E1028" s="248">
        <v>773.82299999999998</v>
      </c>
      <c r="F1028" s="248">
        <v>791.35950000000003</v>
      </c>
      <c r="G1028" s="248">
        <v>805.02300000000002</v>
      </c>
      <c r="H1028" s="248">
        <v>828.47260000000006</v>
      </c>
      <c r="I1028"/>
      <c r="J1028"/>
      <c r="K1028"/>
      <c r="L1028"/>
      <c r="M1028"/>
    </row>
    <row r="1029" spans="3:13" hidden="1" outlineLevel="1" x14ac:dyDescent="0.2">
      <c r="C1029" s="139">
        <v>803</v>
      </c>
      <c r="D1029" s="248">
        <v>739.46609999999998</v>
      </c>
      <c r="E1029" s="248">
        <v>774.82470000000001</v>
      </c>
      <c r="F1029" s="248">
        <v>792.37070000000006</v>
      </c>
      <c r="G1029" s="248">
        <v>806.05370000000005</v>
      </c>
      <c r="H1029" s="248">
        <v>829.5258</v>
      </c>
      <c r="I1029"/>
      <c r="J1029"/>
      <c r="K1029"/>
      <c r="L1029"/>
      <c r="M1029"/>
    </row>
    <row r="1030" spans="3:13" hidden="1" outlineLevel="1" x14ac:dyDescent="0.2">
      <c r="C1030" s="139">
        <v>804</v>
      </c>
      <c r="D1030" s="248">
        <v>740.42989999999998</v>
      </c>
      <c r="E1030" s="248">
        <v>775.81410000000005</v>
      </c>
      <c r="F1030" s="248">
        <v>793.38199999999995</v>
      </c>
      <c r="G1030" s="248">
        <v>807.07780000000002</v>
      </c>
      <c r="H1030" s="248">
        <v>830.57569999999998</v>
      </c>
      <c r="I1030"/>
      <c r="J1030"/>
      <c r="K1030"/>
      <c r="L1030"/>
      <c r="M1030"/>
    </row>
    <row r="1031" spans="3:13" hidden="1" outlineLevel="1" x14ac:dyDescent="0.2">
      <c r="C1031" s="139">
        <v>805</v>
      </c>
      <c r="D1031" s="248">
        <v>741.4</v>
      </c>
      <c r="E1031" s="248">
        <v>776.81590000000006</v>
      </c>
      <c r="F1031" s="248">
        <v>794.39329999999995</v>
      </c>
      <c r="G1031" s="248">
        <v>808.10180000000003</v>
      </c>
      <c r="H1031" s="248">
        <v>831.6223</v>
      </c>
      <c r="I1031"/>
      <c r="J1031"/>
      <c r="K1031"/>
      <c r="L1031"/>
      <c r="M1031"/>
    </row>
    <row r="1032" spans="3:13" hidden="1" outlineLevel="1" x14ac:dyDescent="0.2">
      <c r="C1032" s="139">
        <v>806</v>
      </c>
      <c r="D1032" s="248">
        <v>742.36410000000001</v>
      </c>
      <c r="E1032" s="248">
        <v>777.80550000000005</v>
      </c>
      <c r="F1032" s="248">
        <v>795.40480000000002</v>
      </c>
      <c r="G1032" s="248">
        <v>809.12599999999998</v>
      </c>
      <c r="H1032" s="248">
        <v>832.66890000000001</v>
      </c>
      <c r="I1032"/>
      <c r="J1032"/>
      <c r="K1032"/>
      <c r="L1032"/>
      <c r="M1032"/>
    </row>
    <row r="1033" spans="3:13" hidden="1" outlineLevel="1" x14ac:dyDescent="0.2">
      <c r="C1033" s="139">
        <v>807</v>
      </c>
      <c r="D1033" s="248">
        <v>743.32820000000004</v>
      </c>
      <c r="E1033" s="248">
        <v>778.8075</v>
      </c>
      <c r="F1033" s="248">
        <v>796.41629999999998</v>
      </c>
      <c r="G1033" s="248">
        <v>810.15020000000004</v>
      </c>
      <c r="H1033" s="248">
        <v>833.71550000000002</v>
      </c>
      <c r="I1033"/>
      <c r="J1033"/>
      <c r="K1033"/>
      <c r="L1033"/>
      <c r="M1033"/>
    </row>
    <row r="1034" spans="3:13" hidden="1" outlineLevel="1" x14ac:dyDescent="0.2">
      <c r="C1034" s="139">
        <v>808</v>
      </c>
      <c r="D1034" s="248">
        <v>744.29859999999996</v>
      </c>
      <c r="E1034" s="248">
        <v>779.79719999999998</v>
      </c>
      <c r="F1034" s="248">
        <v>797.42780000000005</v>
      </c>
      <c r="G1034" s="248">
        <v>811.17439999999999</v>
      </c>
      <c r="H1034" s="248">
        <v>834.77570000000003</v>
      </c>
      <c r="I1034"/>
      <c r="J1034"/>
      <c r="K1034"/>
      <c r="L1034"/>
      <c r="M1034"/>
    </row>
    <row r="1035" spans="3:13" hidden="1" outlineLevel="1" x14ac:dyDescent="0.2">
      <c r="C1035" s="139">
        <v>809</v>
      </c>
      <c r="D1035" s="248">
        <v>745.26300000000003</v>
      </c>
      <c r="E1035" s="248">
        <v>780.79930000000002</v>
      </c>
      <c r="F1035" s="248">
        <v>798.43939999999998</v>
      </c>
      <c r="G1035" s="248">
        <v>812.19870000000003</v>
      </c>
      <c r="H1035" s="248">
        <v>835.82240000000002</v>
      </c>
      <c r="I1035"/>
      <c r="J1035"/>
      <c r="K1035"/>
      <c r="L1035"/>
      <c r="M1035"/>
    </row>
    <row r="1036" spans="3:13" hidden="1" outlineLevel="1" x14ac:dyDescent="0.2">
      <c r="C1036" s="139">
        <v>810</v>
      </c>
      <c r="D1036" s="248">
        <v>746.23360000000002</v>
      </c>
      <c r="E1036" s="248">
        <v>781.78920000000005</v>
      </c>
      <c r="F1036" s="248">
        <v>799.4511</v>
      </c>
      <c r="G1036" s="248">
        <v>813.22990000000004</v>
      </c>
      <c r="H1036" s="248">
        <v>836.86919999999998</v>
      </c>
      <c r="I1036"/>
      <c r="J1036"/>
      <c r="K1036"/>
      <c r="L1036"/>
      <c r="M1036"/>
    </row>
    <row r="1037" spans="3:13" hidden="1" outlineLevel="1" x14ac:dyDescent="0.2">
      <c r="C1037" s="139">
        <v>811</v>
      </c>
      <c r="D1037" s="248">
        <v>747.19820000000004</v>
      </c>
      <c r="E1037" s="248">
        <v>782.79150000000004</v>
      </c>
      <c r="F1037" s="248">
        <v>800.46280000000002</v>
      </c>
      <c r="G1037" s="248">
        <v>814.25429999999994</v>
      </c>
      <c r="H1037" s="248">
        <v>837.91600000000005</v>
      </c>
      <c r="I1037"/>
      <c r="J1037"/>
      <c r="K1037"/>
      <c r="L1037"/>
      <c r="M1037"/>
    </row>
    <row r="1038" spans="3:13" hidden="1" outlineLevel="1" x14ac:dyDescent="0.2">
      <c r="C1038" s="139">
        <v>812</v>
      </c>
      <c r="D1038" s="248">
        <v>748.16290000000004</v>
      </c>
      <c r="E1038" s="248">
        <v>783.78150000000005</v>
      </c>
      <c r="F1038" s="248">
        <v>801.47460000000001</v>
      </c>
      <c r="G1038" s="248">
        <v>815.27869999999996</v>
      </c>
      <c r="H1038" s="248">
        <v>838.97640000000001</v>
      </c>
      <c r="I1038"/>
      <c r="J1038"/>
      <c r="K1038"/>
      <c r="L1038"/>
      <c r="M1038"/>
    </row>
    <row r="1039" spans="3:13" hidden="1" outlineLevel="1" x14ac:dyDescent="0.2">
      <c r="C1039" s="139">
        <v>813</v>
      </c>
      <c r="D1039" s="248">
        <v>749.13390000000004</v>
      </c>
      <c r="E1039" s="248">
        <v>784.78390000000002</v>
      </c>
      <c r="F1039" s="248">
        <v>802.4864</v>
      </c>
      <c r="G1039" s="248">
        <v>816.30319999999995</v>
      </c>
      <c r="H1039" s="248">
        <v>840.02329999999995</v>
      </c>
      <c r="I1039"/>
      <c r="J1039"/>
      <c r="K1039"/>
      <c r="L1039"/>
      <c r="M1039"/>
    </row>
    <row r="1040" spans="3:13" hidden="1" outlineLevel="1" x14ac:dyDescent="0.2">
      <c r="C1040" s="139">
        <v>814</v>
      </c>
      <c r="D1040" s="248">
        <v>750.09879999999998</v>
      </c>
      <c r="E1040" s="248">
        <v>785.77409999999998</v>
      </c>
      <c r="F1040" s="248">
        <v>803.49829999999997</v>
      </c>
      <c r="G1040" s="248">
        <v>817.32780000000002</v>
      </c>
      <c r="H1040" s="248">
        <v>841.0702</v>
      </c>
      <c r="I1040"/>
      <c r="J1040"/>
      <c r="K1040"/>
      <c r="L1040"/>
      <c r="M1040"/>
    </row>
    <row r="1041" spans="3:13" hidden="1" outlineLevel="1" x14ac:dyDescent="0.2">
      <c r="C1041" s="139">
        <v>815</v>
      </c>
      <c r="D1041" s="248">
        <v>751.06389999999999</v>
      </c>
      <c r="E1041" s="248">
        <v>786.77670000000001</v>
      </c>
      <c r="F1041" s="248">
        <v>804.51030000000003</v>
      </c>
      <c r="G1041" s="248">
        <v>818.35239999999999</v>
      </c>
      <c r="H1041" s="248">
        <v>842.11710000000005</v>
      </c>
      <c r="I1041"/>
      <c r="J1041"/>
      <c r="K1041"/>
      <c r="L1041"/>
      <c r="M1041"/>
    </row>
    <row r="1042" spans="3:13" hidden="1" outlineLevel="1" x14ac:dyDescent="0.2">
      <c r="C1042" s="139">
        <v>816</v>
      </c>
      <c r="D1042" s="248">
        <v>752.029</v>
      </c>
      <c r="E1042" s="248">
        <v>787.76700000000005</v>
      </c>
      <c r="F1042" s="248">
        <v>805.52229999999997</v>
      </c>
      <c r="G1042" s="248">
        <v>819.37710000000004</v>
      </c>
      <c r="H1042" s="248">
        <v>843.16409999999996</v>
      </c>
      <c r="I1042"/>
      <c r="J1042"/>
      <c r="K1042"/>
      <c r="L1042"/>
      <c r="M1042"/>
    </row>
    <row r="1043" spans="3:13" hidden="1" outlineLevel="1" x14ac:dyDescent="0.2">
      <c r="C1043" s="139">
        <v>817</v>
      </c>
      <c r="D1043" s="248">
        <v>753.00049999999999</v>
      </c>
      <c r="E1043" s="248">
        <v>788.75729999999999</v>
      </c>
      <c r="F1043" s="248">
        <v>806.53440000000001</v>
      </c>
      <c r="G1043" s="248">
        <v>820.40179999999998</v>
      </c>
      <c r="H1043" s="248">
        <v>844.22479999999996</v>
      </c>
      <c r="I1043"/>
      <c r="J1043"/>
      <c r="K1043"/>
      <c r="L1043"/>
      <c r="M1043"/>
    </row>
    <row r="1044" spans="3:13" hidden="1" outlineLevel="1" x14ac:dyDescent="0.2">
      <c r="C1044" s="139">
        <v>818</v>
      </c>
      <c r="D1044" s="248">
        <v>753.96579999999994</v>
      </c>
      <c r="E1044" s="248">
        <v>789.76020000000005</v>
      </c>
      <c r="F1044" s="248">
        <v>807.54660000000001</v>
      </c>
      <c r="G1044" s="248">
        <v>821.42650000000003</v>
      </c>
      <c r="H1044" s="248">
        <v>845.27189999999996</v>
      </c>
      <c r="I1044"/>
      <c r="J1044"/>
      <c r="K1044"/>
      <c r="L1044"/>
      <c r="M1044"/>
    </row>
    <row r="1045" spans="3:13" hidden="1" outlineLevel="1" x14ac:dyDescent="0.2">
      <c r="C1045" s="139">
        <v>819</v>
      </c>
      <c r="D1045" s="248">
        <v>754.93439999999998</v>
      </c>
      <c r="E1045" s="248">
        <v>790.75059999999996</v>
      </c>
      <c r="F1045" s="248">
        <v>808.55880000000002</v>
      </c>
      <c r="G1045" s="248">
        <v>822.45129999999995</v>
      </c>
      <c r="H1045" s="248">
        <v>846.31899999999996</v>
      </c>
      <c r="I1045"/>
      <c r="J1045"/>
      <c r="K1045"/>
      <c r="L1045"/>
      <c r="M1045"/>
    </row>
    <row r="1046" spans="3:13" hidden="1" outlineLevel="1" x14ac:dyDescent="0.2">
      <c r="C1046" s="139">
        <v>820</v>
      </c>
      <c r="D1046" s="248">
        <v>755.89369999999997</v>
      </c>
      <c r="E1046" s="248">
        <v>791.75369999999998</v>
      </c>
      <c r="F1046" s="248">
        <v>809.5711</v>
      </c>
      <c r="G1046" s="248">
        <v>823.47619999999995</v>
      </c>
      <c r="H1046" s="248">
        <v>847.36609999999996</v>
      </c>
      <c r="I1046"/>
      <c r="J1046"/>
      <c r="K1046"/>
      <c r="L1046"/>
      <c r="M1046"/>
    </row>
    <row r="1047" spans="3:13" hidden="1" outlineLevel="1" x14ac:dyDescent="0.2">
      <c r="C1047" s="139">
        <v>821</v>
      </c>
      <c r="D1047" s="248">
        <v>756.86559999999997</v>
      </c>
      <c r="E1047" s="248">
        <v>792.74429999999995</v>
      </c>
      <c r="F1047" s="248">
        <v>810.58339999999998</v>
      </c>
      <c r="G1047" s="248">
        <v>824.50800000000004</v>
      </c>
      <c r="H1047" s="248">
        <v>848.41319999999996</v>
      </c>
      <c r="I1047"/>
      <c r="J1047"/>
      <c r="K1047"/>
      <c r="L1047"/>
      <c r="M1047"/>
    </row>
    <row r="1048" spans="3:13" hidden="1" outlineLevel="1" x14ac:dyDescent="0.2">
      <c r="C1048" s="139">
        <v>822</v>
      </c>
      <c r="D1048" s="248">
        <v>757.83770000000004</v>
      </c>
      <c r="E1048" s="248">
        <v>793.73500000000001</v>
      </c>
      <c r="F1048" s="248">
        <v>811.59580000000005</v>
      </c>
      <c r="G1048" s="248">
        <v>825.53300000000002</v>
      </c>
      <c r="H1048" s="248">
        <v>849.4742</v>
      </c>
      <c r="I1048"/>
      <c r="J1048"/>
      <c r="K1048"/>
      <c r="L1048"/>
      <c r="M1048"/>
    </row>
    <row r="1049" spans="3:13" hidden="1" outlineLevel="1" x14ac:dyDescent="0.2">
      <c r="C1049" s="139">
        <v>823</v>
      </c>
      <c r="D1049" s="248">
        <v>758.79729999999995</v>
      </c>
      <c r="E1049" s="248">
        <v>794.73829999999998</v>
      </c>
      <c r="F1049" s="248">
        <v>812.60829999999999</v>
      </c>
      <c r="G1049" s="248">
        <v>826.55799999999999</v>
      </c>
      <c r="H1049" s="248">
        <v>850.52139999999997</v>
      </c>
      <c r="I1049"/>
      <c r="J1049"/>
      <c r="K1049"/>
      <c r="L1049"/>
      <c r="M1049"/>
    </row>
    <row r="1050" spans="3:13" hidden="1" outlineLevel="1" x14ac:dyDescent="0.2">
      <c r="C1050" s="139">
        <v>824</v>
      </c>
      <c r="D1050" s="248">
        <v>759.76959999999997</v>
      </c>
      <c r="E1050" s="248">
        <v>795.72910000000002</v>
      </c>
      <c r="F1050" s="248">
        <v>813.62080000000003</v>
      </c>
      <c r="G1050" s="248">
        <v>827.58309999999994</v>
      </c>
      <c r="H1050" s="248">
        <v>851.56870000000004</v>
      </c>
      <c r="I1050"/>
      <c r="J1050"/>
      <c r="K1050"/>
      <c r="L1050"/>
      <c r="M1050"/>
    </row>
    <row r="1051" spans="3:13" hidden="1" outlineLevel="1" x14ac:dyDescent="0.2">
      <c r="C1051" s="139">
        <v>825</v>
      </c>
      <c r="D1051" s="248">
        <v>760.72940000000006</v>
      </c>
      <c r="E1051" s="248">
        <v>796.73249999999996</v>
      </c>
      <c r="F1051" s="248">
        <v>814.63340000000005</v>
      </c>
      <c r="G1051" s="248">
        <v>828.60820000000001</v>
      </c>
      <c r="H1051" s="248">
        <v>852.61599999999999</v>
      </c>
      <c r="I1051"/>
      <c r="J1051"/>
      <c r="K1051"/>
      <c r="L1051"/>
      <c r="M1051"/>
    </row>
    <row r="1052" spans="3:13" hidden="1" outlineLevel="1" x14ac:dyDescent="0.2">
      <c r="C1052" s="139">
        <v>826</v>
      </c>
      <c r="D1052" s="248">
        <v>761.70190000000002</v>
      </c>
      <c r="E1052" s="248">
        <v>797.72349999999994</v>
      </c>
      <c r="F1052" s="248">
        <v>815.64599999999996</v>
      </c>
      <c r="G1052" s="248">
        <v>829.63329999999996</v>
      </c>
      <c r="H1052" s="248">
        <v>853.66340000000002</v>
      </c>
      <c r="I1052"/>
      <c r="J1052"/>
      <c r="K1052"/>
      <c r="L1052"/>
      <c r="M1052"/>
    </row>
    <row r="1053" spans="3:13" hidden="1" outlineLevel="1" x14ac:dyDescent="0.2">
      <c r="C1053" s="139">
        <v>827</v>
      </c>
      <c r="D1053" s="248">
        <v>762.66189999999995</v>
      </c>
      <c r="E1053" s="248">
        <v>798.71450000000004</v>
      </c>
      <c r="F1053" s="248">
        <v>816.64610000000005</v>
      </c>
      <c r="G1053" s="248">
        <v>830.65509999999995</v>
      </c>
      <c r="H1053" s="248">
        <v>854.71069999999997</v>
      </c>
      <c r="I1053"/>
      <c r="J1053"/>
      <c r="K1053"/>
      <c r="L1053"/>
      <c r="M1053"/>
    </row>
    <row r="1054" spans="3:13" hidden="1" outlineLevel="1" x14ac:dyDescent="0.2">
      <c r="C1054" s="139">
        <v>828</v>
      </c>
      <c r="D1054" s="248">
        <v>763.63469999999995</v>
      </c>
      <c r="E1054" s="248">
        <v>799.71820000000002</v>
      </c>
      <c r="F1054" s="248">
        <v>817.65880000000004</v>
      </c>
      <c r="G1054" s="248">
        <v>831.68730000000005</v>
      </c>
      <c r="H1054" s="248">
        <v>855.77200000000005</v>
      </c>
      <c r="I1054"/>
      <c r="J1054"/>
      <c r="K1054"/>
      <c r="L1054"/>
      <c r="M1054"/>
    </row>
    <row r="1055" spans="3:13" hidden="1" outlineLevel="1" x14ac:dyDescent="0.2">
      <c r="C1055" s="139">
        <v>829</v>
      </c>
      <c r="D1055" s="248">
        <v>764.60749999999996</v>
      </c>
      <c r="E1055" s="248">
        <v>800.70929999999998</v>
      </c>
      <c r="F1055" s="248">
        <v>818.67169999999999</v>
      </c>
      <c r="G1055" s="248">
        <v>832.70569999999998</v>
      </c>
      <c r="H1055" s="248">
        <v>856.81949999999995</v>
      </c>
      <c r="I1055"/>
      <c r="J1055"/>
      <c r="K1055"/>
      <c r="L1055"/>
      <c r="M1055"/>
    </row>
    <row r="1056" spans="3:13" hidden="1" outlineLevel="1" x14ac:dyDescent="0.2">
      <c r="C1056" s="139">
        <v>830</v>
      </c>
      <c r="D1056" s="248">
        <v>765.56790000000001</v>
      </c>
      <c r="E1056" s="248">
        <v>801.71320000000003</v>
      </c>
      <c r="F1056" s="248">
        <v>819.68449999999996</v>
      </c>
      <c r="G1056" s="248">
        <v>833.73800000000006</v>
      </c>
      <c r="H1056" s="248">
        <v>857.86699999999996</v>
      </c>
      <c r="I1056"/>
      <c r="J1056"/>
      <c r="K1056"/>
      <c r="L1056"/>
      <c r="M1056"/>
    </row>
    <row r="1057" spans="3:13" hidden="1" outlineLevel="1" x14ac:dyDescent="0.2">
      <c r="C1057" s="139">
        <v>831</v>
      </c>
      <c r="D1057" s="248">
        <v>766.54089999999997</v>
      </c>
      <c r="E1057" s="248">
        <v>802.70450000000005</v>
      </c>
      <c r="F1057" s="248">
        <v>820.69749999999999</v>
      </c>
      <c r="G1057" s="248">
        <v>834.75649999999996</v>
      </c>
      <c r="H1057" s="248">
        <v>858.91449999999998</v>
      </c>
      <c r="I1057"/>
      <c r="J1057"/>
      <c r="K1057"/>
      <c r="L1057"/>
      <c r="M1057"/>
    </row>
    <row r="1058" spans="3:13" hidden="1" outlineLevel="1" x14ac:dyDescent="0.2">
      <c r="C1058" s="139">
        <v>832</v>
      </c>
      <c r="D1058" s="248">
        <v>767.50149999999996</v>
      </c>
      <c r="E1058" s="248">
        <v>803.69579999999996</v>
      </c>
      <c r="F1058" s="248">
        <v>821.71040000000005</v>
      </c>
      <c r="G1058" s="248">
        <v>835.78890000000001</v>
      </c>
      <c r="H1058" s="248">
        <v>859.96209999999996</v>
      </c>
      <c r="I1058"/>
      <c r="J1058"/>
      <c r="K1058"/>
      <c r="L1058"/>
      <c r="M1058"/>
    </row>
    <row r="1059" spans="3:13" hidden="1" outlineLevel="1" x14ac:dyDescent="0.2">
      <c r="C1059" s="139">
        <v>833</v>
      </c>
      <c r="D1059" s="248">
        <v>768.47479999999996</v>
      </c>
      <c r="E1059" s="248">
        <v>804.69989999999996</v>
      </c>
      <c r="F1059" s="248">
        <v>822.72349999999994</v>
      </c>
      <c r="G1059" s="248">
        <v>836.8075</v>
      </c>
      <c r="H1059" s="248">
        <v>861.00969999999995</v>
      </c>
      <c r="I1059"/>
      <c r="J1059"/>
      <c r="K1059"/>
      <c r="L1059"/>
      <c r="M1059"/>
    </row>
    <row r="1060" spans="3:13" hidden="1" outlineLevel="1" x14ac:dyDescent="0.2">
      <c r="C1060" s="139">
        <v>834</v>
      </c>
      <c r="D1060" s="248">
        <v>769.43550000000005</v>
      </c>
      <c r="E1060" s="248">
        <v>805.69140000000004</v>
      </c>
      <c r="F1060" s="248">
        <v>823.73659999999995</v>
      </c>
      <c r="G1060" s="248">
        <v>837.84</v>
      </c>
      <c r="H1060" s="248">
        <v>862.07129999999995</v>
      </c>
      <c r="I1060"/>
      <c r="J1060"/>
      <c r="K1060"/>
      <c r="L1060"/>
      <c r="M1060"/>
    </row>
    <row r="1061" spans="3:13" hidden="1" outlineLevel="1" x14ac:dyDescent="0.2">
      <c r="C1061" s="139">
        <v>835</v>
      </c>
      <c r="D1061" s="248">
        <v>770.40899999999999</v>
      </c>
      <c r="E1061" s="248">
        <v>806.68290000000002</v>
      </c>
      <c r="F1061" s="248">
        <v>824.74980000000005</v>
      </c>
      <c r="G1061" s="248">
        <v>838.85860000000002</v>
      </c>
      <c r="H1061" s="248">
        <v>863.11890000000005</v>
      </c>
      <c r="I1061"/>
      <c r="J1061"/>
      <c r="K1061"/>
      <c r="L1061"/>
      <c r="M1061"/>
    </row>
    <row r="1062" spans="3:13" hidden="1" outlineLevel="1" x14ac:dyDescent="0.2">
      <c r="C1062" s="139">
        <v>836</v>
      </c>
      <c r="D1062" s="248">
        <v>771.37</v>
      </c>
      <c r="E1062" s="248">
        <v>807.68730000000005</v>
      </c>
      <c r="F1062" s="248">
        <v>825.76300000000003</v>
      </c>
      <c r="G1062" s="248">
        <v>839.8913</v>
      </c>
      <c r="H1062" s="248">
        <v>864.16669999999999</v>
      </c>
      <c r="I1062"/>
      <c r="J1062"/>
      <c r="K1062"/>
      <c r="L1062"/>
      <c r="M1062"/>
    </row>
    <row r="1063" spans="3:13" hidden="1" outlineLevel="1" x14ac:dyDescent="0.2">
      <c r="C1063" s="139">
        <v>837</v>
      </c>
      <c r="D1063" s="248">
        <v>772.34370000000001</v>
      </c>
      <c r="E1063" s="248">
        <v>808.67899999999997</v>
      </c>
      <c r="F1063" s="248">
        <v>826.77629999999999</v>
      </c>
      <c r="G1063" s="248">
        <v>840.91</v>
      </c>
      <c r="H1063" s="248">
        <v>865.21439999999996</v>
      </c>
      <c r="I1063"/>
      <c r="J1063"/>
      <c r="K1063"/>
      <c r="L1063"/>
      <c r="M1063"/>
    </row>
    <row r="1064" spans="3:13" hidden="1" outlineLevel="1" x14ac:dyDescent="0.2">
      <c r="C1064" s="139">
        <v>838</v>
      </c>
      <c r="D1064" s="248">
        <v>773.30489999999998</v>
      </c>
      <c r="E1064" s="248">
        <v>809.67070000000001</v>
      </c>
      <c r="F1064" s="248">
        <v>827.78970000000004</v>
      </c>
      <c r="G1064" s="248">
        <v>841.94280000000003</v>
      </c>
      <c r="H1064" s="248">
        <v>866.26220000000001</v>
      </c>
      <c r="I1064"/>
      <c r="J1064"/>
      <c r="K1064"/>
      <c r="L1064"/>
      <c r="M1064"/>
    </row>
    <row r="1065" spans="3:13" hidden="1" outlineLevel="1" x14ac:dyDescent="0.2">
      <c r="C1065" s="139">
        <v>839</v>
      </c>
      <c r="D1065" s="248">
        <v>774.27890000000002</v>
      </c>
      <c r="E1065" s="248">
        <v>810.67529999999999</v>
      </c>
      <c r="F1065" s="248">
        <v>828.7903</v>
      </c>
      <c r="G1065" s="248">
        <v>842.96159999999998</v>
      </c>
      <c r="H1065" s="248">
        <v>867.31</v>
      </c>
      <c r="I1065"/>
      <c r="J1065"/>
      <c r="K1065"/>
      <c r="L1065"/>
      <c r="M1065"/>
    </row>
    <row r="1066" spans="3:13" hidden="1" outlineLevel="1" x14ac:dyDescent="0.2">
      <c r="C1066" s="139">
        <v>840</v>
      </c>
      <c r="D1066" s="248">
        <v>775.24019999999996</v>
      </c>
      <c r="E1066" s="248">
        <v>811.66719999999998</v>
      </c>
      <c r="F1066" s="248">
        <v>829.80380000000002</v>
      </c>
      <c r="G1066" s="248">
        <v>843.98040000000003</v>
      </c>
      <c r="H1066" s="248">
        <v>868.3578</v>
      </c>
      <c r="I1066"/>
      <c r="J1066"/>
      <c r="K1066"/>
      <c r="L1066"/>
      <c r="M1066"/>
    </row>
    <row r="1067" spans="3:13" hidden="1" outlineLevel="1" x14ac:dyDescent="0.2">
      <c r="C1067" s="139">
        <v>841</v>
      </c>
      <c r="D1067" s="248">
        <v>776.21439999999996</v>
      </c>
      <c r="E1067" s="248">
        <v>812.65909999999997</v>
      </c>
      <c r="F1067" s="248">
        <v>830.81730000000005</v>
      </c>
      <c r="G1067" s="248">
        <v>845.01340000000005</v>
      </c>
      <c r="H1067" s="248">
        <v>869.41980000000001</v>
      </c>
      <c r="I1067"/>
      <c r="J1067"/>
      <c r="K1067"/>
      <c r="L1067"/>
      <c r="M1067"/>
    </row>
    <row r="1068" spans="3:13" hidden="1" outlineLevel="1" x14ac:dyDescent="0.2">
      <c r="C1068" s="139">
        <v>842</v>
      </c>
      <c r="D1068" s="248">
        <v>777.17589999999996</v>
      </c>
      <c r="E1068" s="248">
        <v>813.66399999999999</v>
      </c>
      <c r="F1068" s="248">
        <v>831.83090000000004</v>
      </c>
      <c r="G1068" s="248">
        <v>846.03229999999996</v>
      </c>
      <c r="H1068" s="248">
        <v>870.46770000000004</v>
      </c>
      <c r="I1068"/>
      <c r="J1068"/>
      <c r="K1068"/>
      <c r="L1068"/>
      <c r="M1068"/>
    </row>
    <row r="1069" spans="3:13" hidden="1" outlineLevel="1" x14ac:dyDescent="0.2">
      <c r="C1069" s="139">
        <v>843</v>
      </c>
      <c r="D1069" s="248">
        <v>778.15039999999999</v>
      </c>
      <c r="E1069" s="248">
        <v>814.65599999999995</v>
      </c>
      <c r="F1069" s="248">
        <v>832.84450000000004</v>
      </c>
      <c r="G1069" s="248">
        <v>847.06539999999995</v>
      </c>
      <c r="H1069" s="248">
        <v>871.51570000000004</v>
      </c>
      <c r="I1069"/>
      <c r="J1069"/>
      <c r="K1069"/>
      <c r="L1069"/>
      <c r="M1069"/>
    </row>
    <row r="1070" spans="3:13" hidden="1" outlineLevel="1" x14ac:dyDescent="0.2">
      <c r="C1070" s="139">
        <v>844</v>
      </c>
      <c r="D1070" s="248">
        <v>779.11210000000005</v>
      </c>
      <c r="E1070" s="248">
        <v>815.64819999999997</v>
      </c>
      <c r="F1070" s="248">
        <v>833.85820000000001</v>
      </c>
      <c r="G1070" s="248">
        <v>848.08439999999996</v>
      </c>
      <c r="H1070" s="248">
        <v>872.56370000000004</v>
      </c>
      <c r="I1070"/>
      <c r="J1070"/>
      <c r="K1070"/>
      <c r="L1070"/>
      <c r="M1070"/>
    </row>
    <row r="1071" spans="3:13" hidden="1" outlineLevel="1" x14ac:dyDescent="0.2">
      <c r="C1071" s="139">
        <v>845</v>
      </c>
      <c r="D1071" s="248">
        <v>780.08680000000004</v>
      </c>
      <c r="E1071" s="248">
        <v>816.65329999999994</v>
      </c>
      <c r="F1071" s="248">
        <v>834.87199999999996</v>
      </c>
      <c r="G1071" s="248">
        <v>849.11760000000004</v>
      </c>
      <c r="H1071" s="248">
        <v>873.61170000000004</v>
      </c>
      <c r="I1071"/>
      <c r="J1071"/>
      <c r="K1071"/>
      <c r="L1071"/>
      <c r="M1071"/>
    </row>
    <row r="1072" spans="3:13" hidden="1" outlineLevel="1" x14ac:dyDescent="0.2">
      <c r="C1072" s="139">
        <v>846</v>
      </c>
      <c r="D1072" s="248">
        <v>781.04870000000005</v>
      </c>
      <c r="E1072" s="248">
        <v>817.64549999999997</v>
      </c>
      <c r="F1072" s="248">
        <v>835.88580000000002</v>
      </c>
      <c r="G1072" s="248">
        <v>850.13670000000002</v>
      </c>
      <c r="H1072" s="248">
        <v>874.65980000000002</v>
      </c>
      <c r="I1072"/>
      <c r="J1072"/>
      <c r="K1072"/>
      <c r="L1072"/>
      <c r="M1072"/>
    </row>
    <row r="1073" spans="3:13" hidden="1" outlineLevel="1" x14ac:dyDescent="0.2">
      <c r="C1073" s="139">
        <v>847</v>
      </c>
      <c r="D1073" s="248">
        <v>782.01070000000004</v>
      </c>
      <c r="E1073" s="248">
        <v>818.63789999999995</v>
      </c>
      <c r="F1073" s="248">
        <v>836.89970000000005</v>
      </c>
      <c r="G1073" s="248">
        <v>851.17</v>
      </c>
      <c r="H1073" s="248">
        <v>875.7079</v>
      </c>
      <c r="I1073"/>
      <c r="J1073"/>
      <c r="K1073"/>
      <c r="L1073"/>
      <c r="M1073"/>
    </row>
    <row r="1074" spans="3:13" hidden="1" outlineLevel="1" x14ac:dyDescent="0.2">
      <c r="C1074" s="139">
        <v>848</v>
      </c>
      <c r="D1074" s="248">
        <v>782.98569999999995</v>
      </c>
      <c r="E1074" s="248">
        <v>819.64319999999998</v>
      </c>
      <c r="F1074" s="248">
        <v>837.9008</v>
      </c>
      <c r="G1074" s="248">
        <v>852.18910000000005</v>
      </c>
      <c r="H1074" s="248">
        <v>876.77020000000005</v>
      </c>
      <c r="I1074"/>
      <c r="J1074"/>
      <c r="K1074"/>
      <c r="L1074"/>
      <c r="M1074"/>
    </row>
    <row r="1075" spans="3:13" hidden="1" outlineLevel="1" x14ac:dyDescent="0.2">
      <c r="C1075" s="139">
        <v>849</v>
      </c>
      <c r="D1075" s="248">
        <v>783.9479</v>
      </c>
      <c r="E1075" s="248">
        <v>820.63570000000004</v>
      </c>
      <c r="F1075" s="248">
        <v>838.91480000000001</v>
      </c>
      <c r="G1075" s="248">
        <v>853.22260000000006</v>
      </c>
      <c r="H1075" s="248">
        <v>877.8184</v>
      </c>
      <c r="I1075"/>
      <c r="J1075"/>
      <c r="K1075"/>
      <c r="L1075"/>
      <c r="M1075"/>
    </row>
    <row r="1076" spans="3:13" hidden="1" outlineLevel="1" x14ac:dyDescent="0.2">
      <c r="C1076" s="139">
        <v>850</v>
      </c>
      <c r="D1076" s="248">
        <v>784.92319999999995</v>
      </c>
      <c r="E1076" s="248">
        <v>821.62819999999999</v>
      </c>
      <c r="F1076" s="248">
        <v>839.92880000000002</v>
      </c>
      <c r="G1076" s="248">
        <v>854.24180000000001</v>
      </c>
      <c r="H1076" s="248">
        <v>878.86659999999995</v>
      </c>
      <c r="I1076"/>
      <c r="J1076"/>
      <c r="K1076"/>
      <c r="L1076"/>
      <c r="M1076"/>
    </row>
    <row r="1077" spans="3:13" hidden="1" outlineLevel="1" x14ac:dyDescent="0.2">
      <c r="C1077" s="139">
        <v>851</v>
      </c>
      <c r="D1077" s="248">
        <v>785.88559999999995</v>
      </c>
      <c r="E1077" s="248">
        <v>822.62080000000003</v>
      </c>
      <c r="F1077" s="248">
        <v>840.94290000000001</v>
      </c>
      <c r="G1077" s="248">
        <v>855.26110000000006</v>
      </c>
      <c r="H1077" s="248">
        <v>879.91489999999999</v>
      </c>
      <c r="I1077"/>
      <c r="J1077"/>
      <c r="K1077"/>
      <c r="L1077"/>
      <c r="M1077"/>
    </row>
    <row r="1078" spans="3:13" hidden="1" outlineLevel="1" x14ac:dyDescent="0.2">
      <c r="C1078" s="139">
        <v>852</v>
      </c>
      <c r="D1078" s="248">
        <v>786.84810000000004</v>
      </c>
      <c r="E1078" s="248">
        <v>823.62639999999999</v>
      </c>
      <c r="F1078" s="248">
        <v>841.95709999999997</v>
      </c>
      <c r="G1078" s="248">
        <v>856.29470000000003</v>
      </c>
      <c r="H1078" s="248">
        <v>880.96310000000005</v>
      </c>
      <c r="I1078"/>
      <c r="J1078"/>
      <c r="K1078"/>
      <c r="L1078"/>
      <c r="M1078"/>
    </row>
    <row r="1079" spans="3:13" hidden="1" outlineLevel="1" x14ac:dyDescent="0.2">
      <c r="C1079" s="139">
        <v>853</v>
      </c>
      <c r="D1079" s="248">
        <v>787.82360000000006</v>
      </c>
      <c r="E1079" s="248">
        <v>824.61919999999998</v>
      </c>
      <c r="F1079" s="248">
        <v>842.97140000000002</v>
      </c>
      <c r="G1079" s="248">
        <v>857.31410000000005</v>
      </c>
      <c r="H1079" s="248">
        <v>882.01139999999998</v>
      </c>
      <c r="I1079"/>
      <c r="J1079"/>
      <c r="K1079"/>
      <c r="L1079"/>
      <c r="M1079"/>
    </row>
    <row r="1080" spans="3:13" hidden="1" outlineLevel="1" x14ac:dyDescent="0.2">
      <c r="C1080" s="139">
        <v>854</v>
      </c>
      <c r="D1080" s="248">
        <v>788.78629999999998</v>
      </c>
      <c r="E1080" s="248">
        <v>825.61199999999997</v>
      </c>
      <c r="F1080" s="248">
        <v>843.97260000000006</v>
      </c>
      <c r="G1080" s="248">
        <v>858.34780000000001</v>
      </c>
      <c r="H1080" s="248">
        <v>883.0598</v>
      </c>
      <c r="I1080"/>
      <c r="J1080"/>
      <c r="K1080"/>
      <c r="L1080"/>
      <c r="M1080"/>
    </row>
    <row r="1081" spans="3:13" hidden="1" outlineLevel="1" x14ac:dyDescent="0.2">
      <c r="C1081" s="139">
        <v>855</v>
      </c>
      <c r="D1081" s="248">
        <v>789.76220000000001</v>
      </c>
      <c r="E1081" s="248">
        <v>826.61789999999996</v>
      </c>
      <c r="F1081" s="248">
        <v>844.98699999999997</v>
      </c>
      <c r="G1081" s="248">
        <v>859.36720000000003</v>
      </c>
      <c r="H1081" s="248">
        <v>884.10820000000001</v>
      </c>
      <c r="I1081"/>
      <c r="J1081"/>
      <c r="K1081"/>
      <c r="L1081"/>
      <c r="M1081"/>
    </row>
    <row r="1082" spans="3:13" hidden="1" outlineLevel="1" x14ac:dyDescent="0.2">
      <c r="C1082" s="139">
        <v>856</v>
      </c>
      <c r="D1082" s="248">
        <v>790.72500000000002</v>
      </c>
      <c r="E1082" s="248">
        <v>827.61080000000004</v>
      </c>
      <c r="F1082" s="248">
        <v>846.00139999999999</v>
      </c>
      <c r="G1082" s="248">
        <v>860.40110000000004</v>
      </c>
      <c r="H1082" s="248">
        <v>885.15660000000003</v>
      </c>
      <c r="I1082"/>
      <c r="J1082"/>
      <c r="K1082"/>
      <c r="L1082"/>
      <c r="M1082"/>
    </row>
    <row r="1083" spans="3:13" hidden="1" outlineLevel="1" x14ac:dyDescent="0.2">
      <c r="C1083" s="139">
        <v>857</v>
      </c>
      <c r="D1083" s="248">
        <v>791.68799999999999</v>
      </c>
      <c r="E1083" s="248">
        <v>828.60379999999998</v>
      </c>
      <c r="F1083" s="248">
        <v>847.01589999999999</v>
      </c>
      <c r="G1083" s="248">
        <v>861.42060000000004</v>
      </c>
      <c r="H1083" s="248">
        <v>886.21939999999995</v>
      </c>
      <c r="I1083"/>
      <c r="J1083"/>
      <c r="K1083"/>
      <c r="L1083"/>
      <c r="M1083"/>
    </row>
    <row r="1084" spans="3:13" hidden="1" outlineLevel="1" x14ac:dyDescent="0.2">
      <c r="C1084" s="139">
        <v>858</v>
      </c>
      <c r="D1084" s="248">
        <v>792.66420000000005</v>
      </c>
      <c r="E1084" s="248">
        <v>829.59680000000003</v>
      </c>
      <c r="F1084" s="248">
        <v>848.03039999999999</v>
      </c>
      <c r="G1084" s="248">
        <v>862.4402</v>
      </c>
      <c r="H1084" s="248">
        <v>887.26790000000005</v>
      </c>
      <c r="I1084"/>
      <c r="J1084"/>
      <c r="K1084"/>
      <c r="L1084"/>
      <c r="M1084"/>
    </row>
    <row r="1085" spans="3:13" hidden="1" outlineLevel="1" x14ac:dyDescent="0.2">
      <c r="C1085" s="139">
        <v>859</v>
      </c>
      <c r="D1085" s="248">
        <v>793.62729999999999</v>
      </c>
      <c r="E1085" s="248">
        <v>830.60299999999995</v>
      </c>
      <c r="F1085" s="248">
        <v>849.04499999999996</v>
      </c>
      <c r="G1085" s="248">
        <v>863.4742</v>
      </c>
      <c r="H1085" s="248">
        <v>888.31640000000004</v>
      </c>
      <c r="I1085"/>
      <c r="J1085"/>
      <c r="K1085"/>
      <c r="L1085"/>
      <c r="M1085"/>
    </row>
    <row r="1086" spans="3:13" hidden="1" outlineLevel="1" x14ac:dyDescent="0.2">
      <c r="C1086" s="139">
        <v>860</v>
      </c>
      <c r="D1086" s="248">
        <v>794.59059999999999</v>
      </c>
      <c r="E1086" s="248">
        <v>831.59619999999995</v>
      </c>
      <c r="F1086" s="248">
        <v>850.04650000000004</v>
      </c>
      <c r="G1086" s="248">
        <v>864.49379999999996</v>
      </c>
      <c r="H1086" s="248">
        <v>889.36500000000001</v>
      </c>
      <c r="I1086"/>
      <c r="J1086"/>
      <c r="K1086"/>
      <c r="L1086"/>
      <c r="M1086"/>
    </row>
    <row r="1087" spans="3:13" hidden="1" outlineLevel="1" x14ac:dyDescent="0.2">
      <c r="C1087" s="139">
        <v>861</v>
      </c>
      <c r="D1087" s="248">
        <v>795.56709999999998</v>
      </c>
      <c r="E1087" s="248">
        <v>832.58950000000004</v>
      </c>
      <c r="F1087" s="248">
        <v>851.06119999999999</v>
      </c>
      <c r="G1087" s="248">
        <v>865.52790000000005</v>
      </c>
      <c r="H1087" s="248">
        <v>890.41359999999997</v>
      </c>
      <c r="I1087"/>
      <c r="J1087"/>
      <c r="K1087"/>
      <c r="L1087"/>
      <c r="M1087"/>
    </row>
    <row r="1088" spans="3:13" hidden="1" outlineLevel="1" x14ac:dyDescent="0.2">
      <c r="C1088" s="139">
        <v>862</v>
      </c>
      <c r="D1088" s="248">
        <v>796.53060000000005</v>
      </c>
      <c r="E1088" s="248">
        <v>833.58280000000002</v>
      </c>
      <c r="F1088" s="248">
        <v>852.07600000000002</v>
      </c>
      <c r="G1088" s="248">
        <v>866.54769999999996</v>
      </c>
      <c r="H1088" s="248">
        <v>891.46220000000005</v>
      </c>
      <c r="I1088"/>
      <c r="J1088"/>
      <c r="K1088"/>
      <c r="L1088"/>
      <c r="M1088"/>
    </row>
    <row r="1089" spans="3:13" hidden="1" outlineLevel="1" x14ac:dyDescent="0.2">
      <c r="C1089" s="139">
        <v>863</v>
      </c>
      <c r="D1089" s="248">
        <v>797.50729999999999</v>
      </c>
      <c r="E1089" s="248">
        <v>834.58929999999998</v>
      </c>
      <c r="F1089" s="248">
        <v>853.09079999999994</v>
      </c>
      <c r="G1089" s="248">
        <v>867.56740000000002</v>
      </c>
      <c r="H1089" s="248">
        <v>892.51089999999999</v>
      </c>
      <c r="I1089"/>
      <c r="J1089"/>
      <c r="K1089"/>
      <c r="L1089"/>
      <c r="M1089"/>
    </row>
    <row r="1090" spans="3:13" hidden="1" outlineLevel="1" x14ac:dyDescent="0.2">
      <c r="C1090" s="139">
        <v>864</v>
      </c>
      <c r="D1090" s="248">
        <v>798.47090000000003</v>
      </c>
      <c r="E1090" s="248">
        <v>835.58280000000002</v>
      </c>
      <c r="F1090" s="248">
        <v>854.10569999999996</v>
      </c>
      <c r="G1090" s="248">
        <v>868.60170000000005</v>
      </c>
      <c r="H1090" s="248">
        <v>893.55960000000005</v>
      </c>
      <c r="I1090"/>
      <c r="J1090"/>
      <c r="K1090"/>
      <c r="L1090"/>
      <c r="M1090"/>
    </row>
    <row r="1091" spans="3:13" hidden="1" outlineLevel="1" x14ac:dyDescent="0.2">
      <c r="C1091" s="139">
        <v>865</v>
      </c>
      <c r="D1091" s="248">
        <v>799.43470000000002</v>
      </c>
      <c r="E1091" s="248">
        <v>836.57629999999995</v>
      </c>
      <c r="F1091" s="248">
        <v>855.10749999999996</v>
      </c>
      <c r="G1091" s="248">
        <v>869.62159999999994</v>
      </c>
      <c r="H1091" s="248">
        <v>894.60829999999999</v>
      </c>
      <c r="I1091"/>
      <c r="J1091"/>
      <c r="K1091"/>
      <c r="L1091"/>
      <c r="M1091"/>
    </row>
    <row r="1092" spans="3:13" hidden="1" outlineLevel="1" x14ac:dyDescent="0.2">
      <c r="C1092" s="139">
        <v>866</v>
      </c>
      <c r="D1092" s="248">
        <v>800.41179999999997</v>
      </c>
      <c r="E1092" s="248">
        <v>837.56979999999999</v>
      </c>
      <c r="F1092" s="248">
        <v>856.12249999999995</v>
      </c>
      <c r="G1092" s="248">
        <v>870.65599999999995</v>
      </c>
      <c r="H1092" s="248">
        <v>895.65710000000001</v>
      </c>
      <c r="I1092"/>
      <c r="J1092"/>
      <c r="K1092"/>
      <c r="L1092"/>
      <c r="M1092"/>
    </row>
    <row r="1093" spans="3:13" hidden="1" outlineLevel="1" x14ac:dyDescent="0.2">
      <c r="C1093" s="139">
        <v>867</v>
      </c>
      <c r="D1093" s="248">
        <v>801.37570000000005</v>
      </c>
      <c r="E1093" s="248">
        <v>838.56349999999998</v>
      </c>
      <c r="F1093" s="248">
        <v>857.13750000000005</v>
      </c>
      <c r="G1093" s="248">
        <v>871.67589999999996</v>
      </c>
      <c r="H1093" s="248">
        <v>896.70590000000004</v>
      </c>
      <c r="I1093"/>
      <c r="J1093"/>
      <c r="K1093"/>
      <c r="L1093"/>
      <c r="M1093"/>
    </row>
    <row r="1094" spans="3:13" hidden="1" outlineLevel="1" x14ac:dyDescent="0.2">
      <c r="C1094" s="139">
        <v>868</v>
      </c>
      <c r="D1094" s="248">
        <v>802.33979999999997</v>
      </c>
      <c r="E1094" s="248">
        <v>839.57039999999995</v>
      </c>
      <c r="F1094" s="248">
        <v>858.15260000000001</v>
      </c>
      <c r="G1094" s="248">
        <v>872.69590000000005</v>
      </c>
      <c r="H1094" s="248">
        <v>897.76930000000004</v>
      </c>
      <c r="I1094"/>
      <c r="J1094"/>
      <c r="K1094"/>
      <c r="L1094"/>
      <c r="M1094"/>
    </row>
    <row r="1095" spans="3:13" hidden="1" outlineLevel="1" x14ac:dyDescent="0.2">
      <c r="C1095" s="139">
        <v>869</v>
      </c>
      <c r="D1095" s="248">
        <v>803.3039</v>
      </c>
      <c r="E1095" s="248">
        <v>840.56420000000003</v>
      </c>
      <c r="F1095" s="248">
        <v>859.16780000000006</v>
      </c>
      <c r="G1095" s="248">
        <v>873.73050000000001</v>
      </c>
      <c r="H1095" s="248">
        <v>898.81820000000005</v>
      </c>
      <c r="I1095"/>
      <c r="J1095"/>
      <c r="K1095"/>
      <c r="L1095"/>
      <c r="M1095"/>
    </row>
    <row r="1096" spans="3:13" hidden="1" outlineLevel="1" x14ac:dyDescent="0.2">
      <c r="C1096" s="139">
        <v>870</v>
      </c>
      <c r="D1096" s="248">
        <v>804.28139999999996</v>
      </c>
      <c r="E1096" s="248">
        <v>841.55799999999999</v>
      </c>
      <c r="F1096" s="248">
        <v>860.16980000000001</v>
      </c>
      <c r="G1096" s="248">
        <v>874.75049999999999</v>
      </c>
      <c r="H1096" s="248">
        <v>899.86710000000005</v>
      </c>
      <c r="I1096"/>
      <c r="J1096"/>
      <c r="K1096"/>
      <c r="L1096"/>
      <c r="M1096"/>
    </row>
    <row r="1097" spans="3:13" hidden="1" outlineLevel="1" x14ac:dyDescent="0.2">
      <c r="C1097" s="139">
        <v>871</v>
      </c>
      <c r="D1097" s="248">
        <v>805.24570000000006</v>
      </c>
      <c r="E1097" s="248">
        <v>842.55190000000005</v>
      </c>
      <c r="F1097" s="248">
        <v>861.18499999999995</v>
      </c>
      <c r="G1097" s="248">
        <v>875.78520000000003</v>
      </c>
      <c r="H1097" s="248">
        <v>900.91600000000005</v>
      </c>
      <c r="I1097"/>
      <c r="J1097"/>
      <c r="K1097"/>
      <c r="L1097"/>
      <c r="M1097"/>
    </row>
    <row r="1098" spans="3:13" hidden="1" outlineLevel="1" x14ac:dyDescent="0.2">
      <c r="C1098" s="139">
        <v>872</v>
      </c>
      <c r="D1098" s="248">
        <v>806.21010000000001</v>
      </c>
      <c r="E1098" s="248">
        <v>843.54579999999999</v>
      </c>
      <c r="F1098" s="248">
        <v>862.20039999999995</v>
      </c>
      <c r="G1098" s="248">
        <v>876.80529999999999</v>
      </c>
      <c r="H1098" s="248">
        <v>901.96500000000003</v>
      </c>
      <c r="I1098"/>
      <c r="J1098"/>
      <c r="K1098"/>
      <c r="L1098"/>
      <c r="M1098"/>
    </row>
    <row r="1099" spans="3:13" hidden="1" outlineLevel="1" x14ac:dyDescent="0.2">
      <c r="C1099" s="139">
        <v>873</v>
      </c>
      <c r="D1099" s="248">
        <v>807.18799999999999</v>
      </c>
      <c r="E1099" s="248">
        <v>844.55319999999995</v>
      </c>
      <c r="F1099" s="248">
        <v>863.21579999999994</v>
      </c>
      <c r="G1099" s="248">
        <v>877.82550000000003</v>
      </c>
      <c r="H1099" s="248">
        <v>903.01400000000001</v>
      </c>
      <c r="I1099"/>
      <c r="J1099"/>
      <c r="K1099"/>
      <c r="L1099"/>
      <c r="M1099"/>
    </row>
    <row r="1100" spans="3:13" hidden="1" outlineLevel="1" x14ac:dyDescent="0.2">
      <c r="C1100" s="139">
        <v>874</v>
      </c>
      <c r="D1100" s="248">
        <v>808.15260000000001</v>
      </c>
      <c r="E1100" s="248">
        <v>845.54729999999995</v>
      </c>
      <c r="F1100" s="248">
        <v>864.23119999999994</v>
      </c>
      <c r="G1100" s="248">
        <v>878.86040000000003</v>
      </c>
      <c r="H1100" s="248">
        <v>904.06309999999996</v>
      </c>
      <c r="I1100"/>
      <c r="J1100"/>
      <c r="K1100"/>
      <c r="L1100"/>
      <c r="M1100"/>
    </row>
    <row r="1101" spans="3:13" hidden="1" outlineLevel="1" x14ac:dyDescent="0.2">
      <c r="C1101" s="139">
        <v>875</v>
      </c>
      <c r="D1101" s="248">
        <v>809.1173</v>
      </c>
      <c r="E1101" s="248">
        <v>846.54139999999995</v>
      </c>
      <c r="F1101" s="248">
        <v>865.23339999999996</v>
      </c>
      <c r="G1101" s="248">
        <v>879.88059999999996</v>
      </c>
      <c r="H1101" s="248">
        <v>905.11220000000003</v>
      </c>
      <c r="I1101"/>
      <c r="J1101"/>
      <c r="K1101"/>
      <c r="L1101"/>
      <c r="M1101"/>
    </row>
    <row r="1102" spans="3:13" hidden="1" outlineLevel="1" x14ac:dyDescent="0.2">
      <c r="C1102" s="139">
        <v>876</v>
      </c>
      <c r="D1102" s="248">
        <v>810.08209999999997</v>
      </c>
      <c r="E1102" s="248">
        <v>847.53560000000004</v>
      </c>
      <c r="F1102" s="248">
        <v>866.24900000000002</v>
      </c>
      <c r="G1102" s="248">
        <v>880.90089999999998</v>
      </c>
      <c r="H1102" s="248">
        <v>906.16129999999998</v>
      </c>
      <c r="I1102"/>
      <c r="J1102"/>
      <c r="K1102"/>
      <c r="L1102"/>
      <c r="M1102"/>
    </row>
    <row r="1103" spans="3:13" hidden="1" outlineLevel="1" x14ac:dyDescent="0.2">
      <c r="C1103" s="139">
        <v>877</v>
      </c>
      <c r="D1103" s="248">
        <v>811.06039999999996</v>
      </c>
      <c r="E1103" s="248">
        <v>848.5299</v>
      </c>
      <c r="F1103" s="248">
        <v>867.26459999999997</v>
      </c>
      <c r="G1103" s="248">
        <v>881.93589999999995</v>
      </c>
      <c r="H1103" s="248">
        <v>907.21040000000005</v>
      </c>
      <c r="I1103"/>
      <c r="J1103"/>
      <c r="K1103"/>
      <c r="L1103"/>
      <c r="M1103"/>
    </row>
    <row r="1104" spans="3:13" hidden="1" outlineLevel="1" x14ac:dyDescent="0.2">
      <c r="C1104" s="139">
        <v>878</v>
      </c>
      <c r="D1104" s="248">
        <v>812.02539999999999</v>
      </c>
      <c r="E1104" s="248">
        <v>849.52419999999995</v>
      </c>
      <c r="F1104" s="248">
        <v>868.28030000000001</v>
      </c>
      <c r="G1104" s="248">
        <v>882.95630000000006</v>
      </c>
      <c r="H1104" s="248">
        <v>908.25959999999998</v>
      </c>
      <c r="I1104"/>
      <c r="J1104"/>
      <c r="K1104"/>
      <c r="L1104"/>
      <c r="M1104"/>
    </row>
    <row r="1105" spans="3:13" hidden="1" outlineLevel="1" x14ac:dyDescent="0.2">
      <c r="C1105" s="139">
        <v>879</v>
      </c>
      <c r="D1105" s="248">
        <v>812.9905</v>
      </c>
      <c r="E1105" s="248">
        <v>850.53200000000004</v>
      </c>
      <c r="F1105" s="248">
        <v>869.28269999999998</v>
      </c>
      <c r="G1105" s="248">
        <v>883.99149999999997</v>
      </c>
      <c r="H1105" s="248">
        <v>909.30880000000002</v>
      </c>
      <c r="I1105"/>
      <c r="J1105"/>
      <c r="K1105"/>
      <c r="L1105"/>
      <c r="M1105"/>
    </row>
    <row r="1106" spans="3:13" hidden="1" outlineLevel="1" x14ac:dyDescent="0.2">
      <c r="C1106" s="139">
        <v>880</v>
      </c>
      <c r="D1106" s="248">
        <v>813.95569999999998</v>
      </c>
      <c r="E1106" s="248">
        <v>851.52650000000006</v>
      </c>
      <c r="F1106" s="248">
        <v>870.29849999999999</v>
      </c>
      <c r="G1106" s="248">
        <v>885.01189999999997</v>
      </c>
      <c r="H1106" s="248">
        <v>910.35810000000004</v>
      </c>
      <c r="I1106"/>
      <c r="J1106"/>
      <c r="K1106"/>
      <c r="L1106"/>
      <c r="M1106"/>
    </row>
    <row r="1107" spans="3:13" hidden="1" outlineLevel="1" x14ac:dyDescent="0.2">
      <c r="C1107" s="139">
        <v>881</v>
      </c>
      <c r="D1107" s="248">
        <v>814.93439999999998</v>
      </c>
      <c r="E1107" s="248">
        <v>852.52099999999996</v>
      </c>
      <c r="F1107" s="248">
        <v>871.3143</v>
      </c>
      <c r="G1107" s="248">
        <v>886.03240000000005</v>
      </c>
      <c r="H1107" s="248">
        <v>911.40740000000005</v>
      </c>
      <c r="I1107"/>
      <c r="J1107"/>
      <c r="K1107"/>
      <c r="L1107"/>
      <c r="M1107"/>
    </row>
    <row r="1108" spans="3:13" hidden="1" outlineLevel="1" x14ac:dyDescent="0.2">
      <c r="C1108" s="139">
        <v>882</v>
      </c>
      <c r="D1108" s="248">
        <v>815.89980000000003</v>
      </c>
      <c r="E1108" s="248">
        <v>853.51559999999995</v>
      </c>
      <c r="F1108" s="248">
        <v>872.33019999999999</v>
      </c>
      <c r="G1108" s="248">
        <v>887.06769999999995</v>
      </c>
      <c r="H1108" s="248">
        <v>912.45669999999996</v>
      </c>
      <c r="I1108"/>
      <c r="J1108"/>
      <c r="K1108"/>
      <c r="L1108"/>
      <c r="M1108"/>
    </row>
    <row r="1109" spans="3:13" hidden="1" outlineLevel="1" x14ac:dyDescent="0.2">
      <c r="C1109" s="139">
        <v>883</v>
      </c>
      <c r="D1109" s="248">
        <v>816.86530000000005</v>
      </c>
      <c r="E1109" s="248">
        <v>854.51030000000003</v>
      </c>
      <c r="F1109" s="248">
        <v>873.33280000000002</v>
      </c>
      <c r="G1109" s="248">
        <v>888.0883</v>
      </c>
      <c r="H1109" s="248">
        <v>913.50599999999997</v>
      </c>
      <c r="I1109"/>
      <c r="J1109"/>
      <c r="K1109"/>
      <c r="L1109"/>
      <c r="M1109"/>
    </row>
    <row r="1110" spans="3:13" hidden="1" outlineLevel="1" x14ac:dyDescent="0.2">
      <c r="C1110" s="139">
        <v>884</v>
      </c>
      <c r="D1110" s="248">
        <v>817.83079999999995</v>
      </c>
      <c r="E1110" s="248">
        <v>855.505</v>
      </c>
      <c r="F1110" s="248">
        <v>874.34879999999998</v>
      </c>
      <c r="G1110" s="248">
        <v>889.10889999999995</v>
      </c>
      <c r="H1110" s="248">
        <v>914.57029999999997</v>
      </c>
      <c r="I1110"/>
      <c r="J1110"/>
      <c r="K1110"/>
      <c r="L1110"/>
      <c r="M1110"/>
    </row>
    <row r="1111" spans="3:13" hidden="1" outlineLevel="1" x14ac:dyDescent="0.2">
      <c r="C1111" s="139">
        <v>885</v>
      </c>
      <c r="D1111" s="248">
        <v>818.79650000000004</v>
      </c>
      <c r="E1111" s="248">
        <v>856.51329999999996</v>
      </c>
      <c r="F1111" s="248">
        <v>875.36490000000003</v>
      </c>
      <c r="G1111" s="248">
        <v>890.14440000000002</v>
      </c>
      <c r="H1111" s="248">
        <v>915.61969999999997</v>
      </c>
      <c r="I1111"/>
      <c r="J1111"/>
      <c r="K1111"/>
      <c r="L1111"/>
      <c r="M1111"/>
    </row>
    <row r="1112" spans="3:13" hidden="1" outlineLevel="1" x14ac:dyDescent="0.2">
      <c r="C1112" s="139">
        <v>886</v>
      </c>
      <c r="D1112" s="248">
        <v>819.7758</v>
      </c>
      <c r="E1112" s="248">
        <v>857.50810000000001</v>
      </c>
      <c r="F1112" s="248">
        <v>876.38099999999997</v>
      </c>
      <c r="G1112" s="248">
        <v>891.16499999999996</v>
      </c>
      <c r="H1112" s="248">
        <v>916.66920000000005</v>
      </c>
      <c r="I1112"/>
      <c r="J1112"/>
      <c r="K1112"/>
      <c r="L1112"/>
      <c r="M1112"/>
    </row>
    <row r="1113" spans="3:13" hidden="1" outlineLevel="1" x14ac:dyDescent="0.2">
      <c r="C1113" s="139">
        <v>887</v>
      </c>
      <c r="D1113" s="248">
        <v>820.74159999999995</v>
      </c>
      <c r="E1113" s="248">
        <v>858.50300000000004</v>
      </c>
      <c r="F1113" s="248">
        <v>877.38369999999998</v>
      </c>
      <c r="G1113" s="248">
        <v>892.18579999999997</v>
      </c>
      <c r="H1113" s="248">
        <v>917.71870000000001</v>
      </c>
      <c r="I1113"/>
      <c r="J1113"/>
      <c r="K1113"/>
      <c r="L1113"/>
      <c r="M1113"/>
    </row>
    <row r="1114" spans="3:13" hidden="1" outlineLevel="1" x14ac:dyDescent="0.2">
      <c r="C1114" s="139">
        <v>888</v>
      </c>
      <c r="D1114" s="248">
        <v>821.70759999999996</v>
      </c>
      <c r="E1114" s="248">
        <v>859.49800000000005</v>
      </c>
      <c r="F1114" s="248">
        <v>878.4</v>
      </c>
      <c r="G1114" s="248">
        <v>893.22140000000002</v>
      </c>
      <c r="H1114" s="248">
        <v>918.76819999999998</v>
      </c>
      <c r="I1114"/>
      <c r="J1114"/>
      <c r="K1114"/>
      <c r="L1114"/>
      <c r="M1114"/>
    </row>
    <row r="1115" spans="3:13" hidden="1" outlineLevel="1" x14ac:dyDescent="0.2">
      <c r="C1115" s="139">
        <v>889</v>
      </c>
      <c r="D1115" s="248">
        <v>822.67359999999996</v>
      </c>
      <c r="E1115" s="248">
        <v>860.49300000000005</v>
      </c>
      <c r="F1115" s="248">
        <v>879.41629999999998</v>
      </c>
      <c r="G1115" s="248">
        <v>894.24220000000003</v>
      </c>
      <c r="H1115" s="248">
        <v>919.81780000000003</v>
      </c>
      <c r="I1115"/>
      <c r="J1115"/>
      <c r="K1115"/>
      <c r="L1115"/>
      <c r="M1115"/>
    </row>
    <row r="1116" spans="3:13" hidden="1" outlineLevel="1" x14ac:dyDescent="0.2">
      <c r="C1116" s="139">
        <v>890</v>
      </c>
      <c r="D1116" s="248">
        <v>823.63980000000004</v>
      </c>
      <c r="E1116" s="248">
        <v>861.48810000000003</v>
      </c>
      <c r="F1116" s="248">
        <v>880.41909999999996</v>
      </c>
      <c r="G1116" s="248">
        <v>895.26310000000001</v>
      </c>
      <c r="H1116" s="248">
        <v>920.86739999999998</v>
      </c>
      <c r="I1116"/>
      <c r="J1116"/>
      <c r="K1116"/>
      <c r="L1116"/>
      <c r="M1116"/>
    </row>
    <row r="1117" spans="3:13" hidden="1" outlineLevel="1" x14ac:dyDescent="0.2">
      <c r="C1117" s="139">
        <v>891</v>
      </c>
      <c r="D1117" s="248">
        <v>824.61959999999999</v>
      </c>
      <c r="E1117" s="248">
        <v>862.48329999999999</v>
      </c>
      <c r="F1117" s="248">
        <v>881.43550000000005</v>
      </c>
      <c r="G1117" s="248">
        <v>896.2989</v>
      </c>
      <c r="H1117" s="248">
        <v>921.91700000000003</v>
      </c>
      <c r="I1117"/>
      <c r="J1117"/>
      <c r="K1117"/>
      <c r="L1117"/>
      <c r="M1117"/>
    </row>
    <row r="1118" spans="3:13" hidden="1" outlineLevel="1" x14ac:dyDescent="0.2">
      <c r="C1118" s="139">
        <v>892</v>
      </c>
      <c r="D1118" s="248">
        <v>825.58590000000004</v>
      </c>
      <c r="E1118" s="248">
        <v>863.47850000000005</v>
      </c>
      <c r="F1118" s="248">
        <v>882.452</v>
      </c>
      <c r="G1118" s="248">
        <v>897.31979999999999</v>
      </c>
      <c r="H1118" s="248">
        <v>922.96669999999995</v>
      </c>
      <c r="I1118"/>
      <c r="J1118"/>
      <c r="K1118"/>
      <c r="L1118"/>
      <c r="M1118"/>
    </row>
    <row r="1119" spans="3:13" hidden="1" outlineLevel="1" x14ac:dyDescent="0.2">
      <c r="C1119" s="139">
        <v>893</v>
      </c>
      <c r="D1119" s="248">
        <v>826.55229999999995</v>
      </c>
      <c r="E1119" s="248">
        <v>864.48739999999998</v>
      </c>
      <c r="F1119" s="248">
        <v>883.46849999999995</v>
      </c>
      <c r="G1119" s="248">
        <v>898.34069999999997</v>
      </c>
      <c r="H1119" s="248">
        <v>924.01639999999998</v>
      </c>
      <c r="I1119"/>
      <c r="J1119"/>
      <c r="K1119"/>
      <c r="L1119"/>
      <c r="M1119"/>
    </row>
    <row r="1120" spans="3:13" hidden="1" outlineLevel="1" x14ac:dyDescent="0.2">
      <c r="C1120" s="139">
        <v>894</v>
      </c>
      <c r="D1120" s="248">
        <v>827.51880000000006</v>
      </c>
      <c r="E1120" s="248">
        <v>865.48270000000002</v>
      </c>
      <c r="F1120" s="248">
        <v>884.47149999999999</v>
      </c>
      <c r="G1120" s="248">
        <v>899.37670000000003</v>
      </c>
      <c r="H1120" s="248">
        <v>925.06610000000001</v>
      </c>
      <c r="I1120"/>
      <c r="J1120"/>
      <c r="K1120"/>
      <c r="L1120"/>
      <c r="M1120"/>
    </row>
    <row r="1121" spans="3:13" hidden="1" outlineLevel="1" x14ac:dyDescent="0.2">
      <c r="C1121" s="139">
        <v>895</v>
      </c>
      <c r="D1121" s="248">
        <v>828.4855</v>
      </c>
      <c r="E1121" s="248">
        <v>866.47820000000002</v>
      </c>
      <c r="F1121" s="248">
        <v>885.48820000000001</v>
      </c>
      <c r="G1121" s="248">
        <v>900.39779999999996</v>
      </c>
      <c r="H1121" s="248">
        <v>926.11590000000001</v>
      </c>
      <c r="I1121"/>
      <c r="J1121"/>
      <c r="K1121"/>
      <c r="L1121"/>
      <c r="M1121"/>
    </row>
    <row r="1122" spans="3:13" hidden="1" outlineLevel="1" x14ac:dyDescent="0.2">
      <c r="C1122" s="139">
        <v>896</v>
      </c>
      <c r="D1122" s="248">
        <v>829.45209999999997</v>
      </c>
      <c r="E1122" s="248">
        <v>867.47360000000003</v>
      </c>
      <c r="F1122" s="248">
        <v>886.50490000000002</v>
      </c>
      <c r="G1122" s="248">
        <v>901.41880000000003</v>
      </c>
      <c r="H1122" s="248">
        <v>927.16570000000002</v>
      </c>
      <c r="I1122"/>
      <c r="J1122"/>
      <c r="K1122"/>
      <c r="L1122"/>
      <c r="M1122"/>
    </row>
    <row r="1123" spans="3:13" hidden="1" outlineLevel="1" x14ac:dyDescent="0.2">
      <c r="C1123" s="139">
        <v>897</v>
      </c>
      <c r="D1123" s="248">
        <v>830.43259999999998</v>
      </c>
      <c r="E1123" s="248">
        <v>868.4692</v>
      </c>
      <c r="F1123" s="248">
        <v>887.50800000000004</v>
      </c>
      <c r="G1123" s="248">
        <v>902.45500000000004</v>
      </c>
      <c r="H1123" s="248">
        <v>928.21559999999999</v>
      </c>
      <c r="I1123"/>
      <c r="J1123"/>
      <c r="K1123"/>
      <c r="L1123"/>
      <c r="M1123"/>
    </row>
    <row r="1124" spans="3:13" hidden="1" outlineLevel="1" x14ac:dyDescent="0.2">
      <c r="C1124" s="139">
        <v>898</v>
      </c>
      <c r="D1124" s="248">
        <v>831.39949999999999</v>
      </c>
      <c r="E1124" s="248">
        <v>869.46479999999997</v>
      </c>
      <c r="F1124" s="248">
        <v>888.52480000000003</v>
      </c>
      <c r="G1124" s="248">
        <v>903.47619999999995</v>
      </c>
      <c r="H1124" s="248">
        <v>929.2654</v>
      </c>
      <c r="I1124"/>
      <c r="J1124"/>
      <c r="K1124"/>
      <c r="L1124"/>
      <c r="M1124"/>
    </row>
    <row r="1125" spans="3:13" hidden="1" outlineLevel="1" x14ac:dyDescent="0.2">
      <c r="C1125" s="139">
        <v>899</v>
      </c>
      <c r="D1125" s="248">
        <v>832.36649999999997</v>
      </c>
      <c r="E1125" s="248">
        <v>870.46040000000005</v>
      </c>
      <c r="F1125" s="248">
        <v>889.54169999999999</v>
      </c>
      <c r="G1125" s="248">
        <v>904.4973</v>
      </c>
      <c r="H1125" s="248">
        <v>930.31529999999998</v>
      </c>
      <c r="I1125"/>
      <c r="J1125"/>
      <c r="K1125"/>
      <c r="L1125"/>
      <c r="M1125"/>
    </row>
    <row r="1126" spans="3:13" hidden="1" outlineLevel="1" x14ac:dyDescent="0.2">
      <c r="C1126" s="139">
        <v>900</v>
      </c>
      <c r="D1126" s="248">
        <v>833.33360000000005</v>
      </c>
      <c r="E1126" s="248">
        <v>871.45609999999999</v>
      </c>
      <c r="F1126" s="248">
        <v>890.54489999999998</v>
      </c>
      <c r="G1126" s="248">
        <v>905.51859999999999</v>
      </c>
      <c r="H1126" s="248">
        <v>931.36530000000005</v>
      </c>
      <c r="I1126"/>
      <c r="J1126"/>
      <c r="K1126"/>
      <c r="L1126"/>
      <c r="M1126"/>
    </row>
    <row r="1127" spans="3:13" hidden="1" outlineLevel="1" x14ac:dyDescent="0.2">
      <c r="C1127" s="139">
        <v>901</v>
      </c>
      <c r="D1127" s="248">
        <v>834.30079999999998</v>
      </c>
      <c r="E1127" s="248">
        <v>872.45190000000002</v>
      </c>
      <c r="F1127" s="248">
        <v>891.56190000000004</v>
      </c>
      <c r="G1127" s="248">
        <v>906.55489999999998</v>
      </c>
      <c r="H1127" s="248">
        <v>932.4153</v>
      </c>
      <c r="I1127"/>
      <c r="J1127"/>
      <c r="K1127"/>
      <c r="L1127"/>
      <c r="M1127"/>
    </row>
    <row r="1128" spans="3:13" hidden="1" outlineLevel="1" x14ac:dyDescent="0.2">
      <c r="C1128" s="139">
        <v>902</v>
      </c>
      <c r="D1128" s="248">
        <v>835.26800000000003</v>
      </c>
      <c r="E1128" s="248">
        <v>873.44780000000003</v>
      </c>
      <c r="F1128" s="248">
        <v>892.57889999999998</v>
      </c>
      <c r="G1128" s="248">
        <v>907.57629999999995</v>
      </c>
      <c r="H1128" s="248">
        <v>933.46529999999996</v>
      </c>
      <c r="I1128"/>
      <c r="J1128"/>
      <c r="K1128"/>
      <c r="L1128"/>
      <c r="M1128"/>
    </row>
    <row r="1129" spans="3:13" hidden="1" outlineLevel="1" x14ac:dyDescent="0.2">
      <c r="C1129" s="139">
        <v>903</v>
      </c>
      <c r="D1129" s="248">
        <v>836.23540000000003</v>
      </c>
      <c r="E1129" s="248">
        <v>874.44370000000004</v>
      </c>
      <c r="F1129" s="248">
        <v>893.58230000000003</v>
      </c>
      <c r="G1129" s="248">
        <v>908.59760000000006</v>
      </c>
      <c r="H1129" s="248">
        <v>934.51530000000002</v>
      </c>
      <c r="I1129"/>
      <c r="J1129"/>
      <c r="K1129"/>
      <c r="L1129"/>
      <c r="M1129"/>
    </row>
    <row r="1130" spans="3:13" hidden="1" outlineLevel="1" x14ac:dyDescent="0.2">
      <c r="C1130" s="139">
        <v>904</v>
      </c>
      <c r="D1130" s="248">
        <v>837.20280000000002</v>
      </c>
      <c r="E1130" s="248">
        <v>875.45339999999999</v>
      </c>
      <c r="F1130" s="248">
        <v>894.59939999999995</v>
      </c>
      <c r="G1130" s="248">
        <v>909.63409999999999</v>
      </c>
      <c r="H1130" s="248">
        <v>935.56539999999995</v>
      </c>
      <c r="I1130"/>
      <c r="J1130"/>
      <c r="K1130"/>
      <c r="L1130"/>
      <c r="M1130"/>
    </row>
    <row r="1131" spans="3:13" hidden="1" outlineLevel="1" x14ac:dyDescent="0.2">
      <c r="C1131" s="139">
        <v>905</v>
      </c>
      <c r="D1131" s="248">
        <v>838.18420000000003</v>
      </c>
      <c r="E1131" s="248">
        <v>876.44949999999994</v>
      </c>
      <c r="F1131" s="248">
        <v>895.61659999999995</v>
      </c>
      <c r="G1131" s="248">
        <v>910.65560000000005</v>
      </c>
      <c r="H1131" s="248">
        <v>936.6155</v>
      </c>
      <c r="I1131"/>
      <c r="J1131"/>
      <c r="K1131"/>
      <c r="L1131"/>
      <c r="M1131"/>
    </row>
    <row r="1132" spans="3:13" hidden="1" outlineLevel="1" x14ac:dyDescent="0.2">
      <c r="C1132" s="139">
        <v>906</v>
      </c>
      <c r="D1132" s="248">
        <v>839.15179999999998</v>
      </c>
      <c r="E1132" s="248">
        <v>877.44560000000001</v>
      </c>
      <c r="F1132" s="248">
        <v>896.62009999999998</v>
      </c>
      <c r="G1132" s="248">
        <v>911.67700000000002</v>
      </c>
      <c r="H1132" s="248">
        <v>937.66560000000004</v>
      </c>
      <c r="I1132"/>
      <c r="J1132"/>
      <c r="K1132"/>
      <c r="L1132"/>
      <c r="M1132"/>
    </row>
    <row r="1133" spans="3:13" hidden="1" outlineLevel="1" x14ac:dyDescent="0.2">
      <c r="C1133" s="139">
        <v>907</v>
      </c>
      <c r="D1133" s="248">
        <v>840.11950000000002</v>
      </c>
      <c r="E1133" s="248">
        <v>878.44169999999997</v>
      </c>
      <c r="F1133" s="248">
        <v>897.63739999999996</v>
      </c>
      <c r="G1133" s="248">
        <v>912.71370000000002</v>
      </c>
      <c r="H1133" s="248">
        <v>938.71579999999994</v>
      </c>
      <c r="I1133"/>
      <c r="J1133"/>
      <c r="K1133"/>
      <c r="L1133"/>
      <c r="M1133"/>
    </row>
    <row r="1134" spans="3:13" hidden="1" outlineLevel="1" x14ac:dyDescent="0.2">
      <c r="C1134" s="139">
        <v>908</v>
      </c>
      <c r="D1134" s="248">
        <v>841.0874</v>
      </c>
      <c r="E1134" s="248">
        <v>879.43799999999999</v>
      </c>
      <c r="F1134" s="248">
        <v>898.65480000000002</v>
      </c>
      <c r="G1134" s="248">
        <v>913.73530000000005</v>
      </c>
      <c r="H1134" s="248">
        <v>939.76599999999996</v>
      </c>
      <c r="I1134"/>
      <c r="J1134"/>
      <c r="K1134"/>
      <c r="L1134"/>
      <c r="M1134"/>
    </row>
    <row r="1135" spans="3:13" hidden="1" outlineLevel="1" x14ac:dyDescent="0.2">
      <c r="C1135" s="139">
        <v>909</v>
      </c>
      <c r="D1135" s="248">
        <v>842.05529999999999</v>
      </c>
      <c r="E1135" s="248">
        <v>880.43420000000003</v>
      </c>
      <c r="F1135" s="248">
        <v>899.65840000000003</v>
      </c>
      <c r="G1135" s="248">
        <v>914.7568</v>
      </c>
      <c r="H1135" s="248">
        <v>940.81619999999998</v>
      </c>
      <c r="I1135"/>
      <c r="J1135"/>
      <c r="K1135"/>
      <c r="L1135"/>
      <c r="M1135"/>
    </row>
    <row r="1136" spans="3:13" hidden="1" outlineLevel="1" x14ac:dyDescent="0.2">
      <c r="C1136" s="139">
        <v>910</v>
      </c>
      <c r="D1136" s="248">
        <v>843.02329999999995</v>
      </c>
      <c r="E1136" s="248">
        <v>881.43060000000003</v>
      </c>
      <c r="F1136" s="248">
        <v>900.67589999999996</v>
      </c>
      <c r="G1136" s="248">
        <v>915.77850000000001</v>
      </c>
      <c r="H1136" s="248">
        <v>941.86649999999997</v>
      </c>
      <c r="I1136"/>
      <c r="J1136"/>
      <c r="K1136"/>
      <c r="L1136"/>
      <c r="M1136"/>
    </row>
    <row r="1137" spans="3:13" hidden="1" outlineLevel="1" x14ac:dyDescent="0.2">
      <c r="C1137" s="139">
        <v>911</v>
      </c>
      <c r="D1137" s="248">
        <v>843.9914</v>
      </c>
      <c r="E1137" s="248">
        <v>882.42700000000002</v>
      </c>
      <c r="F1137" s="248">
        <v>901.6934</v>
      </c>
      <c r="G1137" s="248">
        <v>916.81539999999995</v>
      </c>
      <c r="H1137" s="248">
        <v>942.91679999999997</v>
      </c>
      <c r="I1137"/>
      <c r="J1137"/>
      <c r="K1137"/>
      <c r="L1137"/>
      <c r="M1137"/>
    </row>
    <row r="1138" spans="3:13" hidden="1" outlineLevel="1" x14ac:dyDescent="0.2">
      <c r="C1138" s="139">
        <v>912</v>
      </c>
      <c r="D1138" s="248">
        <v>844.95960000000002</v>
      </c>
      <c r="E1138" s="248">
        <v>883.42349999999999</v>
      </c>
      <c r="F1138" s="248">
        <v>902.69709999999998</v>
      </c>
      <c r="G1138" s="248">
        <v>917.83709999999996</v>
      </c>
      <c r="H1138" s="248">
        <v>943.96720000000005</v>
      </c>
      <c r="I1138"/>
      <c r="J1138"/>
      <c r="K1138"/>
      <c r="L1138"/>
      <c r="M1138"/>
    </row>
    <row r="1139" spans="3:13" hidden="1" outlineLevel="1" x14ac:dyDescent="0.2">
      <c r="C1139" s="139">
        <v>913</v>
      </c>
      <c r="D1139" s="248">
        <v>845.92790000000002</v>
      </c>
      <c r="E1139" s="248">
        <v>884.42</v>
      </c>
      <c r="F1139" s="248">
        <v>903.71479999999997</v>
      </c>
      <c r="G1139" s="248">
        <v>918.85879999999997</v>
      </c>
      <c r="H1139" s="248">
        <v>945.01760000000002</v>
      </c>
      <c r="I1139"/>
      <c r="J1139"/>
      <c r="K1139"/>
      <c r="L1139"/>
      <c r="M1139"/>
    </row>
    <row r="1140" spans="3:13" hidden="1" outlineLevel="1" x14ac:dyDescent="0.2">
      <c r="C1140" s="139">
        <v>914</v>
      </c>
      <c r="D1140" s="248">
        <v>846.8963</v>
      </c>
      <c r="E1140" s="248">
        <v>885.41660000000002</v>
      </c>
      <c r="F1140" s="248">
        <v>904.73249999999996</v>
      </c>
      <c r="G1140" s="248">
        <v>919.88059999999996</v>
      </c>
      <c r="H1140" s="248">
        <v>946.06799999999998</v>
      </c>
      <c r="I1140"/>
      <c r="J1140"/>
      <c r="K1140"/>
      <c r="L1140"/>
      <c r="M1140"/>
    </row>
    <row r="1141" spans="3:13" hidden="1" outlineLevel="1" x14ac:dyDescent="0.2">
      <c r="C1141" s="139">
        <v>915</v>
      </c>
      <c r="D1141" s="248">
        <v>847.86469999999997</v>
      </c>
      <c r="E1141" s="248">
        <v>886.41319999999996</v>
      </c>
      <c r="F1141" s="248">
        <v>905.7364</v>
      </c>
      <c r="G1141" s="248">
        <v>920.91769999999997</v>
      </c>
      <c r="H1141" s="248">
        <v>947.11839999999995</v>
      </c>
      <c r="I1141"/>
      <c r="J1141"/>
      <c r="K1141"/>
      <c r="L1141"/>
      <c r="M1141"/>
    </row>
    <row r="1142" spans="3:13" hidden="1" outlineLevel="1" x14ac:dyDescent="0.2">
      <c r="C1142" s="139">
        <v>916</v>
      </c>
      <c r="D1142" s="248">
        <v>848.83330000000001</v>
      </c>
      <c r="E1142" s="248">
        <v>887.40989999999999</v>
      </c>
      <c r="F1142" s="248">
        <v>906.75419999999997</v>
      </c>
      <c r="G1142" s="248">
        <v>921.93949999999995</v>
      </c>
      <c r="H1142" s="248">
        <v>948.16890000000001</v>
      </c>
      <c r="I1142"/>
      <c r="J1142"/>
      <c r="K1142"/>
      <c r="L1142"/>
      <c r="M1142"/>
    </row>
    <row r="1143" spans="3:13" hidden="1" outlineLevel="1" x14ac:dyDescent="0.2">
      <c r="C1143" s="139">
        <v>917</v>
      </c>
      <c r="D1143" s="248">
        <v>849.80190000000005</v>
      </c>
      <c r="E1143" s="248">
        <v>888.4067</v>
      </c>
      <c r="F1143" s="248">
        <v>907.77210000000002</v>
      </c>
      <c r="G1143" s="248">
        <v>922.96140000000003</v>
      </c>
      <c r="H1143" s="248">
        <v>949.21939999999995</v>
      </c>
      <c r="I1143"/>
      <c r="J1143"/>
      <c r="K1143"/>
      <c r="L1143"/>
      <c r="M1143"/>
    </row>
    <row r="1144" spans="3:13" hidden="1" outlineLevel="1" x14ac:dyDescent="0.2">
      <c r="C1144" s="139">
        <v>918</v>
      </c>
      <c r="D1144" s="248">
        <v>850.77070000000003</v>
      </c>
      <c r="E1144" s="248">
        <v>889.40350000000001</v>
      </c>
      <c r="F1144" s="248">
        <v>908.77599999999995</v>
      </c>
      <c r="G1144" s="248">
        <v>923.99869999999999</v>
      </c>
      <c r="H1144" s="248">
        <v>950.26990000000001</v>
      </c>
      <c r="I1144"/>
      <c r="J1144"/>
      <c r="K1144"/>
      <c r="L1144"/>
      <c r="M1144"/>
    </row>
    <row r="1145" spans="3:13" hidden="1" outlineLevel="1" x14ac:dyDescent="0.2">
      <c r="C1145" s="139">
        <v>919</v>
      </c>
      <c r="D1145" s="248">
        <v>851.73950000000002</v>
      </c>
      <c r="E1145" s="248">
        <v>890.40039999999999</v>
      </c>
      <c r="F1145" s="248">
        <v>909.79399999999998</v>
      </c>
      <c r="G1145" s="248">
        <v>925.02070000000003</v>
      </c>
      <c r="H1145" s="248">
        <v>951.32050000000004</v>
      </c>
      <c r="I1145"/>
      <c r="J1145"/>
      <c r="K1145"/>
      <c r="L1145"/>
      <c r="M1145"/>
    </row>
    <row r="1146" spans="3:13" hidden="1" outlineLevel="1" x14ac:dyDescent="0.2">
      <c r="C1146" s="139">
        <v>920</v>
      </c>
      <c r="D1146" s="248">
        <v>852.70839999999998</v>
      </c>
      <c r="E1146" s="248">
        <v>891.39739999999995</v>
      </c>
      <c r="F1146" s="248">
        <v>910.81209999999999</v>
      </c>
      <c r="G1146" s="248">
        <v>926.04269999999997</v>
      </c>
      <c r="H1146" s="248">
        <v>952.37109999999996</v>
      </c>
      <c r="I1146"/>
      <c r="J1146"/>
      <c r="K1146"/>
      <c r="L1146"/>
      <c r="M1146"/>
    </row>
    <row r="1147" spans="3:13" hidden="1" outlineLevel="1" x14ac:dyDescent="0.2">
      <c r="C1147" s="139">
        <v>921</v>
      </c>
      <c r="D1147" s="248">
        <v>853.69150000000002</v>
      </c>
      <c r="E1147" s="248">
        <v>892.39440000000002</v>
      </c>
      <c r="F1147" s="248">
        <v>911.81610000000001</v>
      </c>
      <c r="G1147" s="248">
        <v>927.06470000000002</v>
      </c>
      <c r="H1147" s="248">
        <v>953.42179999999996</v>
      </c>
      <c r="I1147"/>
      <c r="J1147"/>
      <c r="K1147"/>
      <c r="L1147"/>
      <c r="M1147"/>
    </row>
    <row r="1148" spans="3:13" hidden="1" outlineLevel="1" x14ac:dyDescent="0.2">
      <c r="C1148" s="139">
        <v>922</v>
      </c>
      <c r="D1148" s="248">
        <v>854.66060000000004</v>
      </c>
      <c r="E1148" s="248">
        <v>893.39149999999995</v>
      </c>
      <c r="F1148" s="248">
        <v>912.83429999999998</v>
      </c>
      <c r="G1148" s="248">
        <v>928.10230000000001</v>
      </c>
      <c r="H1148" s="248">
        <v>954.47239999999999</v>
      </c>
      <c r="I1148"/>
      <c r="J1148"/>
      <c r="K1148"/>
      <c r="L1148"/>
      <c r="M1148"/>
    </row>
    <row r="1149" spans="3:13" hidden="1" outlineLevel="1" x14ac:dyDescent="0.2">
      <c r="C1149" s="139">
        <v>923</v>
      </c>
      <c r="D1149" s="248">
        <v>855.62980000000005</v>
      </c>
      <c r="E1149" s="248">
        <v>894.3886</v>
      </c>
      <c r="F1149" s="248">
        <v>913.83839999999998</v>
      </c>
      <c r="G1149" s="248">
        <v>929.12440000000004</v>
      </c>
      <c r="H1149" s="248">
        <v>955.52319999999997</v>
      </c>
      <c r="I1149"/>
      <c r="J1149"/>
      <c r="K1149"/>
      <c r="L1149"/>
      <c r="M1149"/>
    </row>
    <row r="1150" spans="3:13" hidden="1" outlineLevel="1" x14ac:dyDescent="0.2">
      <c r="C1150" s="139">
        <v>924</v>
      </c>
      <c r="D1150" s="248">
        <v>856.5992</v>
      </c>
      <c r="E1150" s="248">
        <v>895.38580000000002</v>
      </c>
      <c r="F1150" s="248">
        <v>914.85670000000005</v>
      </c>
      <c r="G1150" s="248">
        <v>930.14649999999995</v>
      </c>
      <c r="H1150" s="248">
        <v>956.57389999999998</v>
      </c>
      <c r="I1150"/>
      <c r="J1150"/>
      <c r="K1150"/>
      <c r="L1150"/>
      <c r="M1150"/>
    </row>
    <row r="1151" spans="3:13" hidden="1" outlineLevel="1" x14ac:dyDescent="0.2">
      <c r="C1151" s="139">
        <v>925</v>
      </c>
      <c r="D1151" s="248">
        <v>857.56859999999995</v>
      </c>
      <c r="E1151" s="248">
        <v>896.38310000000001</v>
      </c>
      <c r="F1151" s="248">
        <v>915.87509999999997</v>
      </c>
      <c r="G1151" s="248">
        <v>931.16869999999994</v>
      </c>
      <c r="H1151" s="248">
        <v>957.62469999999996</v>
      </c>
      <c r="I1151"/>
      <c r="J1151"/>
      <c r="K1151"/>
      <c r="L1151"/>
      <c r="M1151"/>
    </row>
    <row r="1152" spans="3:13" hidden="1" outlineLevel="1" x14ac:dyDescent="0.2">
      <c r="C1152" s="139">
        <v>926</v>
      </c>
      <c r="D1152" s="248">
        <v>858.53800000000001</v>
      </c>
      <c r="E1152" s="248">
        <v>897.38040000000001</v>
      </c>
      <c r="F1152" s="248">
        <v>916.87929999999994</v>
      </c>
      <c r="G1152" s="248">
        <v>932.20640000000003</v>
      </c>
      <c r="H1152" s="248">
        <v>958.67550000000006</v>
      </c>
      <c r="I1152"/>
      <c r="J1152"/>
      <c r="K1152"/>
      <c r="L1152"/>
      <c r="M1152"/>
    </row>
    <row r="1153" spans="3:13" hidden="1" outlineLevel="1" x14ac:dyDescent="0.2">
      <c r="C1153" s="139">
        <v>927</v>
      </c>
      <c r="D1153" s="248">
        <v>859.50760000000002</v>
      </c>
      <c r="E1153" s="248">
        <v>898.37779999999998</v>
      </c>
      <c r="F1153" s="248">
        <v>917.89779999999996</v>
      </c>
      <c r="G1153" s="248">
        <v>933.2287</v>
      </c>
      <c r="H1153" s="248">
        <v>959.72630000000004</v>
      </c>
      <c r="I1153"/>
      <c r="J1153"/>
      <c r="K1153"/>
      <c r="L1153"/>
      <c r="M1153"/>
    </row>
    <row r="1154" spans="3:13" hidden="1" outlineLevel="1" x14ac:dyDescent="0.2">
      <c r="C1154" s="139">
        <v>928</v>
      </c>
      <c r="D1154" s="248">
        <v>860.47730000000001</v>
      </c>
      <c r="E1154" s="248">
        <v>899.37519999999995</v>
      </c>
      <c r="F1154" s="248">
        <v>918.90210000000002</v>
      </c>
      <c r="G1154" s="248">
        <v>934.25099999999998</v>
      </c>
      <c r="H1154" s="248">
        <v>960.76160000000004</v>
      </c>
      <c r="I1154"/>
      <c r="J1154"/>
      <c r="K1154"/>
      <c r="L1154"/>
      <c r="M1154"/>
    </row>
    <row r="1155" spans="3:13" hidden="1" outlineLevel="1" x14ac:dyDescent="0.2">
      <c r="C1155" s="139">
        <v>929</v>
      </c>
      <c r="D1155" s="248">
        <v>861.43290000000002</v>
      </c>
      <c r="E1155" s="248">
        <v>900.37270000000001</v>
      </c>
      <c r="F1155" s="248">
        <v>919.92060000000004</v>
      </c>
      <c r="G1155" s="248">
        <v>935.27329999999995</v>
      </c>
      <c r="H1155" s="248">
        <v>961.8125</v>
      </c>
      <c r="I1155"/>
      <c r="J1155"/>
      <c r="K1155"/>
      <c r="L1155"/>
      <c r="M1155"/>
    </row>
    <row r="1156" spans="3:13" hidden="1" outlineLevel="1" x14ac:dyDescent="0.2">
      <c r="C1156" s="139">
        <v>930</v>
      </c>
      <c r="D1156" s="248">
        <v>862.40269999999998</v>
      </c>
      <c r="E1156" s="248">
        <v>901.37030000000004</v>
      </c>
      <c r="F1156" s="248">
        <v>920.9393</v>
      </c>
      <c r="G1156" s="248">
        <v>936.31129999999996</v>
      </c>
      <c r="H1156" s="248">
        <v>962.86350000000004</v>
      </c>
      <c r="I1156"/>
      <c r="J1156"/>
      <c r="K1156"/>
      <c r="L1156"/>
      <c r="M1156"/>
    </row>
    <row r="1157" spans="3:13" hidden="1" outlineLevel="1" x14ac:dyDescent="0.2">
      <c r="C1157" s="139">
        <v>931</v>
      </c>
      <c r="D1157" s="248">
        <v>863.37270000000001</v>
      </c>
      <c r="E1157" s="248">
        <v>902.36789999999996</v>
      </c>
      <c r="F1157" s="248">
        <v>921.94370000000004</v>
      </c>
      <c r="G1157" s="248">
        <v>937.33370000000002</v>
      </c>
      <c r="H1157" s="248">
        <v>963.9144</v>
      </c>
      <c r="I1157"/>
      <c r="J1157"/>
      <c r="K1157"/>
      <c r="L1157"/>
      <c r="M1157"/>
    </row>
    <row r="1158" spans="3:13" hidden="1" outlineLevel="1" x14ac:dyDescent="0.2">
      <c r="C1158" s="139">
        <v>932</v>
      </c>
      <c r="D1158" s="248">
        <v>864.34270000000004</v>
      </c>
      <c r="E1158" s="248">
        <v>903.36559999999997</v>
      </c>
      <c r="F1158" s="248">
        <v>922.9624</v>
      </c>
      <c r="G1158" s="248">
        <v>938.35619999999994</v>
      </c>
      <c r="H1158" s="248">
        <v>964.96540000000005</v>
      </c>
      <c r="I1158"/>
      <c r="J1158"/>
      <c r="K1158"/>
      <c r="L1158"/>
      <c r="M1158"/>
    </row>
    <row r="1159" spans="3:13" hidden="1" outlineLevel="1" x14ac:dyDescent="0.2">
      <c r="C1159" s="139">
        <v>933</v>
      </c>
      <c r="D1159" s="248">
        <v>865.31280000000004</v>
      </c>
      <c r="E1159" s="248">
        <v>904.36339999999996</v>
      </c>
      <c r="F1159" s="248">
        <v>923.96699999999998</v>
      </c>
      <c r="G1159" s="248">
        <v>939.37860000000001</v>
      </c>
      <c r="H1159" s="248">
        <v>966.01649999999995</v>
      </c>
      <c r="I1159"/>
      <c r="J1159"/>
      <c r="K1159"/>
      <c r="L1159"/>
      <c r="M1159"/>
    </row>
    <row r="1160" spans="3:13" hidden="1" outlineLevel="1" x14ac:dyDescent="0.2">
      <c r="C1160" s="139">
        <v>934</v>
      </c>
      <c r="D1160" s="248">
        <v>866.28300000000002</v>
      </c>
      <c r="E1160" s="248">
        <v>905.36120000000005</v>
      </c>
      <c r="F1160" s="248">
        <v>924.98580000000004</v>
      </c>
      <c r="G1160" s="248">
        <v>940.40120000000002</v>
      </c>
      <c r="H1160" s="248">
        <v>967.0675</v>
      </c>
      <c r="I1160"/>
      <c r="J1160"/>
      <c r="K1160"/>
      <c r="L1160"/>
      <c r="M1160"/>
    </row>
    <row r="1161" spans="3:13" hidden="1" outlineLevel="1" x14ac:dyDescent="0.2">
      <c r="C1161" s="139">
        <v>935</v>
      </c>
      <c r="D1161" s="248">
        <v>867.25329999999997</v>
      </c>
      <c r="E1161" s="248">
        <v>906.35910000000001</v>
      </c>
      <c r="F1161" s="248">
        <v>926.00469999999996</v>
      </c>
      <c r="G1161" s="248">
        <v>941.43939999999998</v>
      </c>
      <c r="H1161" s="248">
        <v>968.11860000000001</v>
      </c>
      <c r="I1161"/>
      <c r="J1161"/>
      <c r="K1161"/>
      <c r="L1161"/>
      <c r="M1161"/>
    </row>
    <row r="1162" spans="3:13" hidden="1" outlineLevel="1" x14ac:dyDescent="0.2">
      <c r="C1162" s="139">
        <v>936</v>
      </c>
      <c r="D1162" s="248">
        <v>868.22370000000001</v>
      </c>
      <c r="E1162" s="248">
        <v>907.35699999999997</v>
      </c>
      <c r="F1162" s="248">
        <v>927.00930000000005</v>
      </c>
      <c r="G1162" s="248">
        <v>942.46199999999999</v>
      </c>
      <c r="H1162" s="248">
        <v>969.16980000000001</v>
      </c>
      <c r="I1162"/>
      <c r="J1162"/>
      <c r="K1162"/>
      <c r="L1162"/>
      <c r="M1162"/>
    </row>
    <row r="1163" spans="3:13" hidden="1" outlineLevel="1" x14ac:dyDescent="0.2">
      <c r="C1163" s="139">
        <v>937</v>
      </c>
      <c r="D1163" s="248">
        <v>869.19420000000002</v>
      </c>
      <c r="E1163" s="248">
        <v>908.35500000000002</v>
      </c>
      <c r="F1163" s="248">
        <v>928.02829999999994</v>
      </c>
      <c r="G1163" s="248">
        <v>943.4846</v>
      </c>
      <c r="H1163" s="248">
        <v>970.22090000000003</v>
      </c>
      <c r="I1163"/>
      <c r="J1163"/>
      <c r="K1163"/>
      <c r="L1163"/>
      <c r="M1163"/>
    </row>
    <row r="1164" spans="3:13" hidden="1" outlineLevel="1" x14ac:dyDescent="0.2">
      <c r="C1164" s="139">
        <v>938</v>
      </c>
      <c r="D1164" s="248">
        <v>870.16470000000004</v>
      </c>
      <c r="E1164" s="248">
        <v>909.35299999999995</v>
      </c>
      <c r="F1164" s="248">
        <v>929.03309999999999</v>
      </c>
      <c r="G1164" s="248">
        <v>944.50729999999999</v>
      </c>
      <c r="H1164" s="248">
        <v>971.27210000000002</v>
      </c>
      <c r="I1164"/>
      <c r="J1164"/>
      <c r="K1164"/>
      <c r="L1164"/>
      <c r="M1164"/>
    </row>
    <row r="1165" spans="3:13" hidden="1" outlineLevel="1" x14ac:dyDescent="0.2">
      <c r="C1165" s="139">
        <v>939</v>
      </c>
      <c r="D1165" s="248">
        <v>871.1354</v>
      </c>
      <c r="E1165" s="248">
        <v>910.35119999999995</v>
      </c>
      <c r="F1165" s="248">
        <v>930.05219999999997</v>
      </c>
      <c r="G1165" s="248">
        <v>945.54570000000001</v>
      </c>
      <c r="H1165" s="248">
        <v>972.32339999999999</v>
      </c>
      <c r="I1165"/>
      <c r="J1165"/>
      <c r="K1165"/>
      <c r="L1165"/>
      <c r="M1165"/>
    </row>
    <row r="1166" spans="3:13" hidden="1" outlineLevel="1" x14ac:dyDescent="0.2">
      <c r="C1166" s="139">
        <v>940</v>
      </c>
      <c r="D1166" s="248">
        <v>872.10619999999994</v>
      </c>
      <c r="E1166" s="248">
        <v>911.34929999999997</v>
      </c>
      <c r="F1166" s="248">
        <v>931.05700000000002</v>
      </c>
      <c r="G1166" s="248">
        <v>946.56849999999997</v>
      </c>
      <c r="H1166" s="248">
        <v>973.37459999999999</v>
      </c>
      <c r="I1166"/>
      <c r="J1166"/>
      <c r="K1166"/>
      <c r="L1166"/>
      <c r="M1166"/>
    </row>
    <row r="1167" spans="3:13" hidden="1" outlineLevel="1" x14ac:dyDescent="0.2">
      <c r="C1167" s="139">
        <v>941</v>
      </c>
      <c r="D1167" s="248">
        <v>873.077</v>
      </c>
      <c r="E1167" s="248">
        <v>912.34760000000006</v>
      </c>
      <c r="F1167" s="248">
        <v>932.07619999999997</v>
      </c>
      <c r="G1167" s="248">
        <v>947.59130000000005</v>
      </c>
      <c r="H1167" s="248">
        <v>974.42589999999996</v>
      </c>
      <c r="I1167"/>
      <c r="J1167"/>
      <c r="K1167"/>
      <c r="L1167"/>
      <c r="M1167"/>
    </row>
    <row r="1168" spans="3:13" hidden="1" outlineLevel="1" x14ac:dyDescent="0.2">
      <c r="C1168" s="139">
        <v>942</v>
      </c>
      <c r="D1168" s="248">
        <v>874.048</v>
      </c>
      <c r="E1168" s="248">
        <v>913.33150000000001</v>
      </c>
      <c r="F1168" s="248">
        <v>933.09540000000004</v>
      </c>
      <c r="G1168" s="248">
        <v>948.61410000000001</v>
      </c>
      <c r="H1168" s="248">
        <v>975.47730000000001</v>
      </c>
      <c r="I1168"/>
      <c r="J1168"/>
      <c r="K1168"/>
      <c r="L1168"/>
      <c r="M1168"/>
    </row>
    <row r="1169" spans="3:13" hidden="1" outlineLevel="1" x14ac:dyDescent="0.2">
      <c r="C1169" s="139">
        <v>943</v>
      </c>
      <c r="D1169" s="248">
        <v>875.01900000000001</v>
      </c>
      <c r="E1169" s="248">
        <v>914.32979999999998</v>
      </c>
      <c r="F1169" s="248">
        <v>934.10040000000004</v>
      </c>
      <c r="G1169" s="248">
        <v>949.63689999999997</v>
      </c>
      <c r="H1169" s="248">
        <v>976.52859999999998</v>
      </c>
      <c r="I1169"/>
      <c r="J1169"/>
      <c r="K1169"/>
      <c r="L1169"/>
      <c r="M1169"/>
    </row>
    <row r="1170" spans="3:13" hidden="1" outlineLevel="1" x14ac:dyDescent="0.2">
      <c r="C1170" s="139">
        <v>944</v>
      </c>
      <c r="D1170" s="248">
        <v>875.99009999999998</v>
      </c>
      <c r="E1170" s="248">
        <v>915.32820000000004</v>
      </c>
      <c r="F1170" s="248">
        <v>935.11980000000005</v>
      </c>
      <c r="G1170" s="248">
        <v>950.67570000000001</v>
      </c>
      <c r="H1170" s="248">
        <v>977.58</v>
      </c>
      <c r="I1170"/>
      <c r="J1170"/>
      <c r="K1170"/>
      <c r="L1170"/>
      <c r="M1170"/>
    </row>
    <row r="1171" spans="3:13" hidden="1" outlineLevel="1" x14ac:dyDescent="0.2">
      <c r="C1171" s="139">
        <v>945</v>
      </c>
      <c r="D1171" s="248">
        <v>876.96130000000005</v>
      </c>
      <c r="E1171" s="248">
        <v>916.32669999999996</v>
      </c>
      <c r="F1171" s="248">
        <v>936.12480000000005</v>
      </c>
      <c r="G1171" s="248">
        <v>951.69860000000006</v>
      </c>
      <c r="H1171" s="248">
        <v>978.61559999999997</v>
      </c>
      <c r="I1171"/>
      <c r="J1171"/>
      <c r="K1171"/>
      <c r="L1171"/>
      <c r="M1171"/>
    </row>
    <row r="1172" spans="3:13" hidden="1" outlineLevel="1" x14ac:dyDescent="0.2">
      <c r="C1172" s="139">
        <v>946</v>
      </c>
      <c r="D1172" s="248">
        <v>877.91819999999996</v>
      </c>
      <c r="E1172" s="248">
        <v>917.3252</v>
      </c>
      <c r="F1172" s="248">
        <v>937.14419999999996</v>
      </c>
      <c r="G1172" s="248">
        <v>952.72159999999997</v>
      </c>
      <c r="H1172" s="248">
        <v>979.66700000000003</v>
      </c>
      <c r="I1172"/>
      <c r="J1172"/>
      <c r="K1172"/>
      <c r="L1172"/>
      <c r="M1172"/>
    </row>
    <row r="1173" spans="3:13" hidden="1" outlineLevel="1" x14ac:dyDescent="0.2">
      <c r="C1173" s="139">
        <v>947</v>
      </c>
      <c r="D1173" s="248">
        <v>878.88959999999997</v>
      </c>
      <c r="E1173" s="248">
        <v>918.32380000000001</v>
      </c>
      <c r="F1173" s="248">
        <v>938.14930000000004</v>
      </c>
      <c r="G1173" s="248">
        <v>953.74459999999999</v>
      </c>
      <c r="H1173" s="248">
        <v>980.71849999999995</v>
      </c>
      <c r="I1173"/>
      <c r="J1173"/>
      <c r="K1173"/>
      <c r="L1173"/>
      <c r="M1173"/>
    </row>
    <row r="1174" spans="3:13" hidden="1" outlineLevel="1" x14ac:dyDescent="0.2">
      <c r="C1174" s="139">
        <v>948</v>
      </c>
      <c r="D1174" s="248">
        <v>879.86109999999996</v>
      </c>
      <c r="E1174" s="248">
        <v>919.32249999999999</v>
      </c>
      <c r="F1174" s="248">
        <v>939.16890000000001</v>
      </c>
      <c r="G1174" s="248">
        <v>954.76760000000002</v>
      </c>
      <c r="H1174" s="248">
        <v>981.77</v>
      </c>
      <c r="I1174"/>
      <c r="J1174"/>
      <c r="K1174"/>
      <c r="L1174"/>
      <c r="M1174"/>
    </row>
    <row r="1175" spans="3:13" hidden="1" outlineLevel="1" x14ac:dyDescent="0.2">
      <c r="C1175" s="139">
        <v>949</v>
      </c>
      <c r="D1175" s="248">
        <v>880.83259999999996</v>
      </c>
      <c r="E1175" s="248">
        <v>920.32119999999998</v>
      </c>
      <c r="F1175" s="248">
        <v>940.17409999999995</v>
      </c>
      <c r="G1175" s="248">
        <v>955.8066</v>
      </c>
      <c r="H1175" s="248">
        <v>982.82159999999999</v>
      </c>
      <c r="I1175"/>
      <c r="J1175"/>
      <c r="K1175"/>
      <c r="L1175"/>
      <c r="M1175"/>
    </row>
    <row r="1176" spans="3:13" hidden="1" outlineLevel="1" x14ac:dyDescent="0.2">
      <c r="C1176" s="139">
        <v>950</v>
      </c>
      <c r="D1176" s="248">
        <v>881.80430000000001</v>
      </c>
      <c r="E1176" s="248">
        <v>921.32</v>
      </c>
      <c r="F1176" s="248">
        <v>941.19380000000001</v>
      </c>
      <c r="G1176" s="248">
        <v>956.8297</v>
      </c>
      <c r="H1176" s="248">
        <v>983.8732</v>
      </c>
      <c r="I1176"/>
      <c r="J1176"/>
      <c r="K1176"/>
      <c r="L1176"/>
      <c r="M1176"/>
    </row>
    <row r="1177" spans="3:13" hidden="1" outlineLevel="1" x14ac:dyDescent="0.2">
      <c r="C1177" s="139">
        <v>951</v>
      </c>
      <c r="D1177" s="248">
        <v>882.77599999999995</v>
      </c>
      <c r="E1177" s="248">
        <v>922.31880000000001</v>
      </c>
      <c r="F1177" s="248">
        <v>942.19899999999996</v>
      </c>
      <c r="G1177" s="248">
        <v>957.85289999999998</v>
      </c>
      <c r="H1177" s="248">
        <v>984.9248</v>
      </c>
      <c r="I1177"/>
      <c r="J1177"/>
      <c r="K1177"/>
      <c r="L1177"/>
      <c r="M1177"/>
    </row>
    <row r="1178" spans="3:13" hidden="1" outlineLevel="1" x14ac:dyDescent="0.2">
      <c r="C1178" s="139">
        <v>952</v>
      </c>
      <c r="D1178" s="248">
        <v>883.74789999999996</v>
      </c>
      <c r="E1178" s="248">
        <v>923.31769999999995</v>
      </c>
      <c r="F1178" s="248">
        <v>943.21879999999999</v>
      </c>
      <c r="G1178" s="248">
        <v>958.87609999999995</v>
      </c>
      <c r="H1178" s="248">
        <v>985.97640000000001</v>
      </c>
      <c r="I1178"/>
      <c r="J1178"/>
      <c r="K1178"/>
      <c r="L1178"/>
      <c r="M1178"/>
    </row>
    <row r="1179" spans="3:13" hidden="1" outlineLevel="1" x14ac:dyDescent="0.2">
      <c r="C1179" s="139">
        <v>953</v>
      </c>
      <c r="D1179" s="248">
        <v>884.71979999999996</v>
      </c>
      <c r="E1179" s="248">
        <v>924.31659999999999</v>
      </c>
      <c r="F1179" s="248">
        <v>944.23869999999999</v>
      </c>
      <c r="G1179" s="248">
        <v>959.89930000000004</v>
      </c>
      <c r="H1179" s="248">
        <v>987.02809999999999</v>
      </c>
      <c r="I1179"/>
      <c r="J1179"/>
      <c r="K1179"/>
      <c r="L1179"/>
      <c r="M1179"/>
    </row>
    <row r="1180" spans="3:13" hidden="1" outlineLevel="1" x14ac:dyDescent="0.2">
      <c r="C1180" s="139">
        <v>954</v>
      </c>
      <c r="D1180" s="248">
        <v>885.67729999999995</v>
      </c>
      <c r="E1180" s="248">
        <v>925.30110000000002</v>
      </c>
      <c r="F1180" s="248">
        <v>945.24400000000003</v>
      </c>
      <c r="G1180" s="248">
        <v>960.92250000000001</v>
      </c>
      <c r="H1180" s="248">
        <v>988.07989999999995</v>
      </c>
      <c r="I1180"/>
      <c r="J1180"/>
      <c r="K1180"/>
      <c r="L1180"/>
      <c r="M1180"/>
    </row>
    <row r="1181" spans="3:13" hidden="1" outlineLevel="1" x14ac:dyDescent="0.2">
      <c r="C1181" s="139">
        <v>955</v>
      </c>
      <c r="D1181" s="248">
        <v>886.64940000000001</v>
      </c>
      <c r="E1181" s="248">
        <v>926.30020000000002</v>
      </c>
      <c r="F1181" s="248">
        <v>946.26400000000001</v>
      </c>
      <c r="G1181" s="248">
        <v>961.96180000000004</v>
      </c>
      <c r="H1181" s="248">
        <v>989.13160000000005</v>
      </c>
      <c r="I1181"/>
      <c r="J1181"/>
      <c r="K1181"/>
      <c r="L1181"/>
      <c r="M1181"/>
    </row>
    <row r="1182" spans="3:13" hidden="1" outlineLevel="1" x14ac:dyDescent="0.2">
      <c r="C1182" s="139">
        <v>956</v>
      </c>
      <c r="D1182" s="248">
        <v>887.62159999999994</v>
      </c>
      <c r="E1182" s="248">
        <v>927.29930000000002</v>
      </c>
      <c r="F1182" s="248">
        <v>947.26940000000002</v>
      </c>
      <c r="G1182" s="248">
        <v>962.98519999999996</v>
      </c>
      <c r="H1182" s="248">
        <v>990.18340000000001</v>
      </c>
      <c r="I1182"/>
      <c r="J1182"/>
      <c r="K1182"/>
      <c r="L1182"/>
      <c r="M1182"/>
    </row>
    <row r="1183" spans="3:13" hidden="1" outlineLevel="1" x14ac:dyDescent="0.2">
      <c r="C1183" s="139">
        <v>957</v>
      </c>
      <c r="D1183" s="248">
        <v>888.59379999999999</v>
      </c>
      <c r="E1183" s="248">
        <v>928.29849999999999</v>
      </c>
      <c r="F1183" s="248">
        <v>948.28949999999998</v>
      </c>
      <c r="G1183" s="248">
        <v>964.00850000000003</v>
      </c>
      <c r="H1183" s="248">
        <v>991.21910000000003</v>
      </c>
      <c r="I1183"/>
      <c r="J1183"/>
      <c r="K1183"/>
      <c r="L1183"/>
      <c r="M1183"/>
    </row>
    <row r="1184" spans="3:13" hidden="1" outlineLevel="1" x14ac:dyDescent="0.2">
      <c r="C1184" s="139">
        <v>958</v>
      </c>
      <c r="D1184" s="248">
        <v>889.56619999999998</v>
      </c>
      <c r="E1184" s="248">
        <v>929.29769999999996</v>
      </c>
      <c r="F1184" s="248">
        <v>949.29499999999996</v>
      </c>
      <c r="G1184" s="248">
        <v>965.03200000000004</v>
      </c>
      <c r="H1184" s="248">
        <v>992.27099999999996</v>
      </c>
      <c r="I1184"/>
      <c r="J1184"/>
      <c r="K1184"/>
      <c r="L1184"/>
      <c r="M1184"/>
    </row>
    <row r="1185" spans="3:13" hidden="1" outlineLevel="1" x14ac:dyDescent="0.2">
      <c r="C1185" s="139">
        <v>959</v>
      </c>
      <c r="D1185" s="248">
        <v>890.53869999999995</v>
      </c>
      <c r="E1185" s="248">
        <v>930.29700000000003</v>
      </c>
      <c r="F1185" s="248">
        <v>950.3152</v>
      </c>
      <c r="G1185" s="248">
        <v>966.05539999999996</v>
      </c>
      <c r="H1185" s="248">
        <v>993.3229</v>
      </c>
      <c r="I1185"/>
      <c r="J1185"/>
      <c r="K1185"/>
      <c r="L1185"/>
      <c r="M1185"/>
    </row>
    <row r="1186" spans="3:13" hidden="1" outlineLevel="1" x14ac:dyDescent="0.2">
      <c r="C1186" s="139">
        <v>960</v>
      </c>
      <c r="D1186" s="248">
        <v>891.51120000000003</v>
      </c>
      <c r="E1186" s="248">
        <v>931.29639999999995</v>
      </c>
      <c r="F1186" s="248">
        <v>951.32079999999996</v>
      </c>
      <c r="G1186" s="248">
        <v>967.07889999999998</v>
      </c>
      <c r="H1186" s="248">
        <v>994.37480000000005</v>
      </c>
      <c r="I1186"/>
      <c r="J1186"/>
      <c r="K1186"/>
      <c r="L1186"/>
      <c r="M1186"/>
    </row>
    <row r="1187" spans="3:13" hidden="1" outlineLevel="1" x14ac:dyDescent="0.2">
      <c r="C1187" s="139">
        <v>961</v>
      </c>
      <c r="D1187" s="248">
        <v>892.4692</v>
      </c>
      <c r="E1187" s="248">
        <v>932.29579999999999</v>
      </c>
      <c r="F1187" s="248">
        <v>952.34109999999998</v>
      </c>
      <c r="G1187" s="248">
        <v>968.11850000000004</v>
      </c>
      <c r="H1187" s="248">
        <v>995.42669999999998</v>
      </c>
      <c r="I1187"/>
      <c r="J1187"/>
      <c r="K1187"/>
      <c r="L1187"/>
      <c r="M1187"/>
    </row>
    <row r="1188" spans="3:13" hidden="1" outlineLevel="1" x14ac:dyDescent="0.2">
      <c r="C1188" s="139">
        <v>962</v>
      </c>
      <c r="D1188" s="248">
        <v>893.44190000000003</v>
      </c>
      <c r="E1188" s="248">
        <v>933.2953</v>
      </c>
      <c r="F1188" s="248">
        <v>953.34680000000003</v>
      </c>
      <c r="G1188" s="248">
        <v>969.14200000000005</v>
      </c>
      <c r="H1188" s="248">
        <v>996.4787</v>
      </c>
      <c r="I1188"/>
      <c r="J1188"/>
      <c r="K1188"/>
      <c r="L1188"/>
      <c r="M1188"/>
    </row>
    <row r="1189" spans="3:13" hidden="1" outlineLevel="1" x14ac:dyDescent="0.2">
      <c r="C1189" s="139">
        <v>963</v>
      </c>
      <c r="D1189" s="248">
        <v>894.41480000000001</v>
      </c>
      <c r="E1189" s="248">
        <v>934.28020000000004</v>
      </c>
      <c r="F1189" s="248">
        <v>954.36710000000005</v>
      </c>
      <c r="G1189" s="248">
        <v>970.16560000000004</v>
      </c>
      <c r="H1189" s="248">
        <v>997.53070000000002</v>
      </c>
      <c r="I1189"/>
      <c r="J1189"/>
      <c r="K1189"/>
      <c r="L1189"/>
      <c r="M1189"/>
    </row>
    <row r="1190" spans="3:13" hidden="1" outlineLevel="1" x14ac:dyDescent="0.2">
      <c r="C1190" s="139">
        <v>964</v>
      </c>
      <c r="D1190" s="248">
        <v>895.3877</v>
      </c>
      <c r="E1190" s="248">
        <v>935.27980000000002</v>
      </c>
      <c r="F1190" s="248">
        <v>955.37289999999996</v>
      </c>
      <c r="G1190" s="248">
        <v>971.1893</v>
      </c>
      <c r="H1190" s="248">
        <v>998.58270000000005</v>
      </c>
      <c r="I1190"/>
      <c r="J1190"/>
      <c r="K1190"/>
      <c r="L1190"/>
      <c r="M1190"/>
    </row>
    <row r="1191" spans="3:13" hidden="1" outlineLevel="1" x14ac:dyDescent="0.2">
      <c r="C1191" s="139">
        <v>965</v>
      </c>
      <c r="D1191" s="248">
        <v>896.36069999999995</v>
      </c>
      <c r="E1191" s="248">
        <v>936.27940000000001</v>
      </c>
      <c r="F1191" s="248">
        <v>956.39340000000004</v>
      </c>
      <c r="G1191" s="248">
        <v>972.21289999999999</v>
      </c>
      <c r="H1191" s="248">
        <v>999.63480000000004</v>
      </c>
      <c r="I1191"/>
      <c r="J1191"/>
      <c r="K1191"/>
      <c r="L1191"/>
      <c r="M1191"/>
    </row>
    <row r="1192" spans="3:13" hidden="1" outlineLevel="1" x14ac:dyDescent="0.2">
      <c r="C1192" s="139">
        <v>966</v>
      </c>
      <c r="D1192" s="248">
        <v>897.31899999999996</v>
      </c>
      <c r="E1192" s="248">
        <v>937.27909999999997</v>
      </c>
      <c r="F1192" s="248">
        <v>957.39919999999995</v>
      </c>
      <c r="G1192" s="248">
        <v>973.23659999999995</v>
      </c>
      <c r="H1192" s="248">
        <v>1000.6869</v>
      </c>
      <c r="I1192"/>
      <c r="J1192"/>
      <c r="K1192"/>
      <c r="L1192"/>
      <c r="M1192"/>
    </row>
    <row r="1193" spans="3:13" hidden="1" outlineLevel="1" x14ac:dyDescent="0.2">
      <c r="C1193" s="139">
        <v>967</v>
      </c>
      <c r="D1193" s="248">
        <v>898.29219999999998</v>
      </c>
      <c r="E1193" s="248">
        <v>938.27890000000002</v>
      </c>
      <c r="F1193" s="248">
        <v>958.41980000000001</v>
      </c>
      <c r="G1193" s="248">
        <v>974.27660000000003</v>
      </c>
      <c r="H1193" s="248">
        <v>1001.7228</v>
      </c>
      <c r="I1193"/>
      <c r="J1193"/>
      <c r="K1193"/>
      <c r="L1193"/>
      <c r="M1193"/>
    </row>
    <row r="1194" spans="3:13" hidden="1" outlineLevel="1" x14ac:dyDescent="0.2">
      <c r="C1194" s="139">
        <v>968</v>
      </c>
      <c r="D1194" s="248">
        <v>899.2654</v>
      </c>
      <c r="E1194" s="248">
        <v>939.27869999999996</v>
      </c>
      <c r="F1194" s="248">
        <v>959.42570000000001</v>
      </c>
      <c r="G1194" s="248">
        <v>975.30029999999999</v>
      </c>
      <c r="H1194" s="248">
        <v>1002.7749</v>
      </c>
      <c r="I1194"/>
      <c r="J1194"/>
      <c r="K1194"/>
      <c r="L1194"/>
      <c r="M1194"/>
    </row>
    <row r="1195" spans="3:13" hidden="1" outlineLevel="1" x14ac:dyDescent="0.2">
      <c r="C1195" s="139">
        <v>969</v>
      </c>
      <c r="D1195" s="248">
        <v>900.23879999999997</v>
      </c>
      <c r="E1195" s="248">
        <v>940.27859999999998</v>
      </c>
      <c r="F1195" s="248">
        <v>960.44640000000004</v>
      </c>
      <c r="G1195" s="248">
        <v>976.32410000000004</v>
      </c>
      <c r="H1195" s="248">
        <v>1003.8271</v>
      </c>
      <c r="I1195"/>
      <c r="J1195"/>
      <c r="K1195"/>
      <c r="L1195"/>
      <c r="M1195"/>
    </row>
    <row r="1196" spans="3:13" hidden="1" outlineLevel="1" x14ac:dyDescent="0.2">
      <c r="C1196" s="139">
        <v>970</v>
      </c>
      <c r="D1196" s="248">
        <v>901.21220000000005</v>
      </c>
      <c r="E1196" s="248">
        <v>941.26379999999995</v>
      </c>
      <c r="F1196" s="248">
        <v>961.45240000000001</v>
      </c>
      <c r="G1196" s="248">
        <v>977.34799999999996</v>
      </c>
      <c r="H1196" s="248">
        <v>1004.8794</v>
      </c>
      <c r="I1196"/>
      <c r="J1196"/>
      <c r="K1196"/>
      <c r="L1196"/>
      <c r="M1196"/>
    </row>
    <row r="1197" spans="3:13" hidden="1" outlineLevel="1" x14ac:dyDescent="0.2">
      <c r="C1197" s="139">
        <v>971</v>
      </c>
      <c r="D1197" s="248">
        <v>902.17100000000005</v>
      </c>
      <c r="E1197" s="248">
        <v>942.26379999999995</v>
      </c>
      <c r="F1197" s="248">
        <v>962.47320000000002</v>
      </c>
      <c r="G1197" s="248">
        <v>978.37180000000001</v>
      </c>
      <c r="H1197" s="248">
        <v>1005.9316</v>
      </c>
      <c r="I1197"/>
      <c r="J1197"/>
      <c r="K1197"/>
      <c r="L1197"/>
      <c r="M1197"/>
    </row>
    <row r="1198" spans="3:13" hidden="1" outlineLevel="1" x14ac:dyDescent="0.2">
      <c r="C1198" s="139">
        <v>972</v>
      </c>
      <c r="D1198" s="248">
        <v>903.14459999999997</v>
      </c>
      <c r="E1198" s="248">
        <v>943.26390000000004</v>
      </c>
      <c r="F1198" s="248">
        <v>963.47929999999997</v>
      </c>
      <c r="G1198" s="248">
        <v>979.39570000000003</v>
      </c>
      <c r="H1198" s="248">
        <v>1006.9838999999999</v>
      </c>
      <c r="I1198"/>
      <c r="J1198"/>
      <c r="K1198"/>
      <c r="L1198"/>
      <c r="M1198"/>
    </row>
    <row r="1199" spans="3:13" hidden="1" outlineLevel="1" x14ac:dyDescent="0.2">
      <c r="C1199" s="139">
        <v>973</v>
      </c>
      <c r="D1199" s="248">
        <v>904.11829999999998</v>
      </c>
      <c r="E1199" s="248">
        <v>944.26400000000001</v>
      </c>
      <c r="F1199" s="248">
        <v>964.50019999999995</v>
      </c>
      <c r="G1199" s="248">
        <v>980.41970000000003</v>
      </c>
      <c r="H1199" s="248">
        <v>1008.0362</v>
      </c>
      <c r="I1199"/>
      <c r="J1199"/>
      <c r="K1199"/>
      <c r="L1199"/>
      <c r="M1199"/>
    </row>
    <row r="1200" spans="3:13" hidden="1" outlineLevel="1" x14ac:dyDescent="0.2">
      <c r="C1200" s="139">
        <v>974</v>
      </c>
      <c r="D1200" s="248">
        <v>905.09209999999996</v>
      </c>
      <c r="E1200" s="248">
        <v>945.26419999999996</v>
      </c>
      <c r="F1200" s="248">
        <v>965.50630000000001</v>
      </c>
      <c r="G1200" s="248">
        <v>981.46</v>
      </c>
      <c r="H1200" s="248">
        <v>1009.0886</v>
      </c>
      <c r="I1200"/>
      <c r="J1200"/>
      <c r="K1200"/>
      <c r="L1200"/>
      <c r="M1200"/>
    </row>
    <row r="1201" spans="3:13" hidden="1" outlineLevel="1" x14ac:dyDescent="0.2">
      <c r="C1201" s="139">
        <v>975</v>
      </c>
      <c r="D1201" s="248">
        <v>906.05110000000002</v>
      </c>
      <c r="E1201" s="248">
        <v>946.2645</v>
      </c>
      <c r="F1201" s="248">
        <v>966.52739999999994</v>
      </c>
      <c r="G1201" s="248">
        <v>982.48400000000004</v>
      </c>
      <c r="H1201" s="248">
        <v>1010.1246</v>
      </c>
      <c r="I1201"/>
      <c r="J1201"/>
      <c r="K1201"/>
      <c r="L1201"/>
      <c r="M1201"/>
    </row>
    <row r="1202" spans="3:13" hidden="1" outlineLevel="1" x14ac:dyDescent="0.2">
      <c r="C1202" s="139">
        <v>976</v>
      </c>
      <c r="D1202" s="248">
        <v>907.02499999999998</v>
      </c>
      <c r="E1202" s="248">
        <v>947.24990000000003</v>
      </c>
      <c r="F1202" s="248">
        <v>967.53359999999998</v>
      </c>
      <c r="G1202" s="248">
        <v>983.50810000000001</v>
      </c>
      <c r="H1202" s="248">
        <v>1011.177</v>
      </c>
      <c r="I1202"/>
      <c r="J1202"/>
      <c r="K1202"/>
      <c r="L1202"/>
      <c r="M1202"/>
    </row>
    <row r="1203" spans="3:13" hidden="1" outlineLevel="1" x14ac:dyDescent="0.2">
      <c r="C1203" s="139">
        <v>977</v>
      </c>
      <c r="D1203" s="248">
        <v>907.9991</v>
      </c>
      <c r="E1203" s="248">
        <v>948.25019999999995</v>
      </c>
      <c r="F1203" s="248">
        <v>968.55470000000003</v>
      </c>
      <c r="G1203" s="248">
        <v>984.53219999999999</v>
      </c>
      <c r="H1203" s="248">
        <v>1012.2295</v>
      </c>
      <c r="I1203"/>
      <c r="J1203"/>
      <c r="K1203"/>
      <c r="L1203"/>
      <c r="M1203"/>
    </row>
    <row r="1204" spans="3:13" hidden="1" outlineLevel="1" x14ac:dyDescent="0.2">
      <c r="C1204" s="139">
        <v>978</v>
      </c>
      <c r="D1204" s="248">
        <v>908.97320000000002</v>
      </c>
      <c r="E1204" s="248">
        <v>949.25070000000005</v>
      </c>
      <c r="F1204" s="248">
        <v>969.56100000000004</v>
      </c>
      <c r="G1204" s="248">
        <v>985.55629999999996</v>
      </c>
      <c r="H1204" s="248">
        <v>1013.2819</v>
      </c>
      <c r="I1204"/>
      <c r="J1204"/>
      <c r="K1204"/>
      <c r="L1204"/>
      <c r="M1204"/>
    </row>
    <row r="1205" spans="3:13" hidden="1" outlineLevel="1" x14ac:dyDescent="0.2">
      <c r="C1205" s="139">
        <v>979</v>
      </c>
      <c r="D1205" s="248">
        <v>909.94749999999999</v>
      </c>
      <c r="E1205" s="248">
        <v>950.25109999999995</v>
      </c>
      <c r="F1205" s="248">
        <v>970.56730000000005</v>
      </c>
      <c r="G1205" s="248">
        <v>986.58050000000003</v>
      </c>
      <c r="H1205" s="248">
        <v>1014.3344</v>
      </c>
      <c r="I1205"/>
      <c r="J1205"/>
      <c r="K1205"/>
      <c r="L1205"/>
      <c r="M1205"/>
    </row>
    <row r="1206" spans="3:13" hidden="1" outlineLevel="1" x14ac:dyDescent="0.2">
      <c r="C1206" s="139">
        <v>980</v>
      </c>
      <c r="D1206" s="248">
        <v>910.90679999999998</v>
      </c>
      <c r="E1206" s="248">
        <v>951.25170000000003</v>
      </c>
      <c r="F1206" s="248">
        <v>971.58860000000004</v>
      </c>
      <c r="G1206" s="248">
        <v>987.60469999999998</v>
      </c>
      <c r="H1206" s="248">
        <v>1015.3869999999999</v>
      </c>
      <c r="I1206"/>
      <c r="J1206"/>
      <c r="K1206"/>
      <c r="L1206"/>
      <c r="M1206"/>
    </row>
    <row r="1207" spans="3:13" hidden="1" outlineLevel="1" x14ac:dyDescent="0.2">
      <c r="C1207" s="139">
        <v>981</v>
      </c>
      <c r="D1207" s="248">
        <v>911.88120000000004</v>
      </c>
      <c r="E1207" s="248">
        <v>952.2373</v>
      </c>
      <c r="F1207" s="248">
        <v>972.59500000000003</v>
      </c>
      <c r="G1207" s="248">
        <v>988.6454</v>
      </c>
      <c r="H1207" s="248">
        <v>1016.4396</v>
      </c>
      <c r="I1207"/>
      <c r="J1207"/>
      <c r="K1207"/>
      <c r="L1207"/>
      <c r="M1207"/>
    </row>
    <row r="1208" spans="3:13" hidden="1" outlineLevel="1" x14ac:dyDescent="0.2">
      <c r="C1208" s="139">
        <v>982</v>
      </c>
      <c r="D1208" s="248">
        <v>912.85569999999996</v>
      </c>
      <c r="E1208" s="248">
        <v>953.23800000000006</v>
      </c>
      <c r="F1208" s="248">
        <v>973.6164</v>
      </c>
      <c r="G1208" s="248">
        <v>989.66959999999995</v>
      </c>
      <c r="H1208" s="248">
        <v>1017.4922</v>
      </c>
      <c r="I1208"/>
      <c r="J1208"/>
      <c r="K1208"/>
      <c r="L1208"/>
      <c r="M1208"/>
    </row>
    <row r="1209" spans="3:13" hidden="1" outlineLevel="1" x14ac:dyDescent="0.2">
      <c r="C1209" s="139">
        <v>983</v>
      </c>
      <c r="D1209" s="248">
        <v>913.81529999999998</v>
      </c>
      <c r="E1209" s="248">
        <v>954.23869999999999</v>
      </c>
      <c r="F1209" s="248">
        <v>974.62279999999998</v>
      </c>
      <c r="G1209" s="248">
        <v>990.69389999999999</v>
      </c>
      <c r="H1209" s="248">
        <v>1018.5282999999999</v>
      </c>
      <c r="I1209"/>
      <c r="J1209"/>
      <c r="K1209"/>
      <c r="L1209"/>
      <c r="M1209"/>
    </row>
    <row r="1210" spans="3:13" hidden="1" outlineLevel="1" x14ac:dyDescent="0.2">
      <c r="C1210" s="139">
        <v>984</v>
      </c>
      <c r="D1210" s="248">
        <v>914.79</v>
      </c>
      <c r="E1210" s="248">
        <v>955.23940000000005</v>
      </c>
      <c r="F1210" s="248">
        <v>975.64430000000004</v>
      </c>
      <c r="G1210" s="248">
        <v>991.7183</v>
      </c>
      <c r="H1210" s="248">
        <v>1019.581</v>
      </c>
      <c r="I1210"/>
      <c r="J1210"/>
      <c r="K1210"/>
      <c r="L1210"/>
      <c r="M1210"/>
    </row>
    <row r="1211" spans="3:13" hidden="1" outlineLevel="1" x14ac:dyDescent="0.2">
      <c r="C1211" s="139">
        <v>985</v>
      </c>
      <c r="D1211" s="248">
        <v>915.76469999999995</v>
      </c>
      <c r="E1211" s="248">
        <v>956.24030000000005</v>
      </c>
      <c r="F1211" s="248">
        <v>976.65089999999998</v>
      </c>
      <c r="G1211" s="248">
        <v>992.74270000000001</v>
      </c>
      <c r="H1211" s="248">
        <v>1020.6337</v>
      </c>
      <c r="I1211"/>
      <c r="J1211"/>
      <c r="K1211"/>
      <c r="L1211"/>
      <c r="M1211"/>
    </row>
    <row r="1212" spans="3:13" hidden="1" outlineLevel="1" x14ac:dyDescent="0.2">
      <c r="C1212" s="139">
        <v>986</v>
      </c>
      <c r="D1212" s="248">
        <v>916.7396</v>
      </c>
      <c r="E1212" s="248">
        <v>957.22609999999997</v>
      </c>
      <c r="F1212" s="248">
        <v>977.67250000000001</v>
      </c>
      <c r="G1212" s="248">
        <v>993.76710000000003</v>
      </c>
      <c r="H1212" s="248">
        <v>1021.6864</v>
      </c>
      <c r="I1212"/>
      <c r="J1212"/>
      <c r="K1212"/>
      <c r="L1212"/>
      <c r="M1212"/>
    </row>
    <row r="1213" spans="3:13" hidden="1" outlineLevel="1" x14ac:dyDescent="0.2">
      <c r="C1213" s="139">
        <v>987</v>
      </c>
      <c r="D1213" s="248">
        <v>917.69949999999994</v>
      </c>
      <c r="E1213" s="248">
        <v>958.22709999999995</v>
      </c>
      <c r="F1213" s="248">
        <v>978.67909999999995</v>
      </c>
      <c r="G1213" s="248">
        <v>994.79150000000004</v>
      </c>
      <c r="H1213" s="248">
        <v>1022.7391</v>
      </c>
      <c r="I1213"/>
      <c r="J1213"/>
      <c r="K1213"/>
      <c r="L1213"/>
      <c r="M1213"/>
    </row>
    <row r="1214" spans="3:13" hidden="1" outlineLevel="1" x14ac:dyDescent="0.2">
      <c r="C1214" s="139">
        <v>988</v>
      </c>
      <c r="D1214" s="248">
        <v>918.67449999999997</v>
      </c>
      <c r="E1214" s="248">
        <v>959.22810000000004</v>
      </c>
      <c r="F1214" s="248">
        <v>979.70079999999996</v>
      </c>
      <c r="G1214" s="248">
        <v>995.81600000000003</v>
      </c>
      <c r="H1214" s="248">
        <v>1023.7919000000001</v>
      </c>
      <c r="I1214"/>
      <c r="J1214"/>
      <c r="K1214"/>
      <c r="L1214"/>
      <c r="M1214"/>
    </row>
    <row r="1215" spans="3:13" hidden="1" outlineLevel="1" x14ac:dyDescent="0.2">
      <c r="C1215" s="139">
        <v>989</v>
      </c>
      <c r="D1215" s="248">
        <v>919.64959999999996</v>
      </c>
      <c r="E1215" s="248">
        <v>960.22910000000002</v>
      </c>
      <c r="F1215" s="248">
        <v>980.70749999999998</v>
      </c>
      <c r="G1215" s="248">
        <v>996.84050000000002</v>
      </c>
      <c r="H1215" s="248">
        <v>1024.8448000000001</v>
      </c>
      <c r="I1215"/>
      <c r="J1215"/>
      <c r="K1215"/>
      <c r="L1215"/>
      <c r="M1215"/>
    </row>
    <row r="1216" spans="3:13" hidden="1" outlineLevel="1" x14ac:dyDescent="0.2">
      <c r="C1216" s="139">
        <v>990</v>
      </c>
      <c r="D1216" s="248">
        <v>920.60969999999998</v>
      </c>
      <c r="E1216" s="248">
        <v>961.23019999999997</v>
      </c>
      <c r="F1216" s="248">
        <v>981.71420000000001</v>
      </c>
      <c r="G1216" s="248">
        <v>997.88170000000002</v>
      </c>
      <c r="H1216" s="248">
        <v>1025.8810000000001</v>
      </c>
      <c r="I1216"/>
      <c r="J1216"/>
      <c r="K1216"/>
      <c r="L1216"/>
      <c r="M1216"/>
    </row>
    <row r="1217" spans="3:13" hidden="1" outlineLevel="1" x14ac:dyDescent="0.2">
      <c r="C1217" s="139">
        <v>991</v>
      </c>
      <c r="D1217" s="248">
        <v>921.58489999999995</v>
      </c>
      <c r="E1217" s="248">
        <v>962.21630000000005</v>
      </c>
      <c r="F1217" s="248">
        <v>982.73609999999996</v>
      </c>
      <c r="G1217" s="248">
        <v>998.90629999999999</v>
      </c>
      <c r="H1217" s="248">
        <v>1026.9339</v>
      </c>
      <c r="I1217"/>
      <c r="J1217"/>
      <c r="K1217"/>
      <c r="L1217"/>
      <c r="M1217"/>
    </row>
    <row r="1218" spans="3:13" hidden="1" outlineLevel="1" x14ac:dyDescent="0.2">
      <c r="C1218" s="139">
        <v>992</v>
      </c>
      <c r="D1218" s="248">
        <v>922.56029999999998</v>
      </c>
      <c r="E1218" s="248">
        <v>963.21749999999997</v>
      </c>
      <c r="F1218" s="248">
        <v>983.74289999999996</v>
      </c>
      <c r="G1218" s="248">
        <v>999.93089999999995</v>
      </c>
      <c r="H1218" s="248">
        <v>1027.9867999999999</v>
      </c>
      <c r="I1218"/>
      <c r="J1218"/>
      <c r="K1218"/>
      <c r="L1218"/>
      <c r="M1218"/>
    </row>
    <row r="1219" spans="3:13" hidden="1" outlineLevel="1" x14ac:dyDescent="0.2">
      <c r="C1219" s="139">
        <v>993</v>
      </c>
      <c r="D1219" s="248">
        <v>923.53579999999999</v>
      </c>
      <c r="E1219" s="248">
        <v>964.21879999999999</v>
      </c>
      <c r="F1219" s="248">
        <v>984.76490000000001</v>
      </c>
      <c r="G1219" s="248">
        <v>1000.9555</v>
      </c>
      <c r="H1219" s="248">
        <v>1029.0397</v>
      </c>
      <c r="I1219"/>
      <c r="J1219"/>
      <c r="K1219"/>
      <c r="L1219"/>
      <c r="M1219"/>
    </row>
    <row r="1220" spans="3:13" hidden="1" outlineLevel="1" x14ac:dyDescent="0.2">
      <c r="C1220" s="139">
        <v>994</v>
      </c>
      <c r="D1220" s="248">
        <v>924.49609999999996</v>
      </c>
      <c r="E1220" s="248">
        <v>965.22019999999998</v>
      </c>
      <c r="F1220" s="248">
        <v>985.77179999999998</v>
      </c>
      <c r="G1220" s="248">
        <v>1001.9802</v>
      </c>
      <c r="H1220" s="248">
        <v>1030.0926999999999</v>
      </c>
      <c r="I1220"/>
      <c r="J1220"/>
      <c r="K1220"/>
      <c r="L1220"/>
      <c r="M1220"/>
    </row>
    <row r="1221" spans="3:13" hidden="1" outlineLevel="1" x14ac:dyDescent="0.2">
      <c r="C1221" s="139">
        <v>995</v>
      </c>
      <c r="D1221" s="248">
        <v>925.47180000000003</v>
      </c>
      <c r="E1221" s="248">
        <v>966.22159999999997</v>
      </c>
      <c r="F1221" s="248">
        <v>986.79390000000001</v>
      </c>
      <c r="G1221" s="248">
        <v>1003.005</v>
      </c>
      <c r="H1221" s="248">
        <v>1031.1457</v>
      </c>
      <c r="I1221"/>
      <c r="J1221"/>
      <c r="K1221"/>
      <c r="L1221"/>
      <c r="M1221"/>
    </row>
    <row r="1222" spans="3:13" hidden="1" outlineLevel="1" x14ac:dyDescent="0.2">
      <c r="C1222" s="139">
        <v>996</v>
      </c>
      <c r="D1222" s="248">
        <v>926.44749999999999</v>
      </c>
      <c r="E1222" s="248">
        <v>967.2079</v>
      </c>
      <c r="F1222" s="248">
        <v>987.80079999999998</v>
      </c>
      <c r="G1222" s="248">
        <v>1004.0297</v>
      </c>
      <c r="H1222" s="248">
        <v>1032.1987999999999</v>
      </c>
      <c r="I1222"/>
      <c r="J1222"/>
      <c r="K1222"/>
      <c r="L1222"/>
      <c r="M1222"/>
    </row>
    <row r="1223" spans="3:13" hidden="1" outlineLevel="1" x14ac:dyDescent="0.2">
      <c r="C1223" s="139">
        <v>997</v>
      </c>
      <c r="D1223" s="248">
        <v>927.40809999999999</v>
      </c>
      <c r="E1223" s="248">
        <v>968.20939999999996</v>
      </c>
      <c r="F1223" s="248">
        <v>988.80780000000004</v>
      </c>
      <c r="G1223" s="248">
        <v>1005.0545</v>
      </c>
      <c r="H1223" s="248">
        <v>1033.2351000000001</v>
      </c>
      <c r="I1223"/>
      <c r="J1223"/>
      <c r="K1223"/>
      <c r="L1223"/>
      <c r="M1223"/>
    </row>
    <row r="1224" spans="3:13" hidden="1" outlineLevel="1" x14ac:dyDescent="0.2">
      <c r="C1224" s="139">
        <v>998</v>
      </c>
      <c r="D1224" s="248">
        <v>928.38400000000001</v>
      </c>
      <c r="E1224" s="248">
        <v>969.21100000000001</v>
      </c>
      <c r="F1224" s="248">
        <v>989.83</v>
      </c>
      <c r="G1224" s="248">
        <v>1006.0794</v>
      </c>
      <c r="H1224" s="248">
        <v>1034.2882</v>
      </c>
      <c r="I1224"/>
      <c r="J1224"/>
      <c r="K1224"/>
      <c r="L1224"/>
      <c r="M1224"/>
    </row>
    <row r="1225" spans="3:13" hidden="1" outlineLevel="1" x14ac:dyDescent="0.2">
      <c r="C1225" s="139">
        <v>999</v>
      </c>
      <c r="D1225" s="248">
        <v>929.35990000000004</v>
      </c>
      <c r="E1225" s="248">
        <v>970.21259999999995</v>
      </c>
      <c r="F1225" s="248">
        <v>990.83709999999996</v>
      </c>
      <c r="G1225" s="248">
        <v>1007.1042</v>
      </c>
      <c r="H1225" s="248">
        <v>1035.3413</v>
      </c>
      <c r="I1225"/>
      <c r="J1225"/>
      <c r="K1225"/>
      <c r="L1225"/>
      <c r="M1225"/>
    </row>
    <row r="1226" spans="3:13" hidden="1" outlineLevel="1" x14ac:dyDescent="0.2">
      <c r="C1226" s="139">
        <v>1000</v>
      </c>
      <c r="D1226" s="248">
        <v>930.32069999999999</v>
      </c>
      <c r="E1226" s="248">
        <v>971.19899999999996</v>
      </c>
      <c r="F1226" s="248">
        <v>991.85940000000005</v>
      </c>
      <c r="G1226" s="248">
        <v>1008.1459</v>
      </c>
      <c r="H1226" s="248">
        <v>1036.3945000000001</v>
      </c>
      <c r="I1226"/>
      <c r="J1226"/>
      <c r="K1226"/>
      <c r="L1226"/>
      <c r="M1226"/>
    </row>
    <row r="1227" spans="3:13" hidden="1" outlineLevel="1" x14ac:dyDescent="0.2">
      <c r="C1227" s="139">
        <v>1001</v>
      </c>
      <c r="D1227" s="248">
        <v>931.29690000000005</v>
      </c>
      <c r="E1227" s="248">
        <v>972.20079999999996</v>
      </c>
      <c r="F1227" s="248">
        <v>992.86659999999995</v>
      </c>
      <c r="G1227" s="248">
        <v>1009.1709</v>
      </c>
      <c r="H1227" s="248">
        <v>1037.4476999999999</v>
      </c>
      <c r="I1227"/>
      <c r="J1227"/>
      <c r="K1227"/>
      <c r="L1227"/>
      <c r="M1227"/>
    </row>
    <row r="1228" spans="3:13" hidden="1" outlineLevel="1" x14ac:dyDescent="0.2">
      <c r="C1228" s="139">
        <v>1002</v>
      </c>
      <c r="D1228" s="248">
        <v>932.2731</v>
      </c>
      <c r="E1228" s="248">
        <v>973.20259999999996</v>
      </c>
      <c r="F1228" s="248">
        <v>993.87369999999999</v>
      </c>
      <c r="G1228" s="248">
        <v>1010.1958</v>
      </c>
      <c r="H1228" s="248">
        <v>1038.5009</v>
      </c>
      <c r="I1228"/>
      <c r="J1228"/>
      <c r="K1228"/>
      <c r="L1228"/>
      <c r="M1228"/>
    </row>
    <row r="1229" spans="3:13" hidden="1" outlineLevel="1" x14ac:dyDescent="0.2">
      <c r="C1229" s="139">
        <v>1003</v>
      </c>
      <c r="D1229" s="248">
        <v>933.23410000000001</v>
      </c>
      <c r="E1229" s="248">
        <v>974.20450000000005</v>
      </c>
      <c r="F1229" s="248">
        <v>994.89620000000002</v>
      </c>
      <c r="G1229" s="248">
        <v>1011.2208000000001</v>
      </c>
      <c r="H1229" s="248">
        <v>1039.5373999999999</v>
      </c>
      <c r="I1229"/>
      <c r="J1229"/>
      <c r="K1229"/>
      <c r="L1229"/>
      <c r="M1229"/>
    </row>
    <row r="1230" spans="3:13" hidden="1" outlineLevel="1" x14ac:dyDescent="0.2">
      <c r="C1230" s="139">
        <v>1004</v>
      </c>
      <c r="D1230" s="248">
        <v>934.21050000000002</v>
      </c>
      <c r="E1230" s="248">
        <v>975.19110000000001</v>
      </c>
      <c r="F1230" s="248">
        <v>995.90350000000001</v>
      </c>
      <c r="G1230" s="248">
        <v>1012.2459</v>
      </c>
      <c r="H1230" s="248">
        <v>1040.5906</v>
      </c>
      <c r="I1230"/>
      <c r="J1230"/>
      <c r="K1230"/>
      <c r="L1230"/>
      <c r="M1230"/>
    </row>
    <row r="1231" spans="3:13" hidden="1" outlineLevel="1" x14ac:dyDescent="0.2">
      <c r="C1231" s="139">
        <v>1005</v>
      </c>
      <c r="D1231" s="248">
        <v>935.18700000000001</v>
      </c>
      <c r="E1231" s="248">
        <v>976.19299999999998</v>
      </c>
      <c r="F1231" s="248">
        <v>996.92610000000002</v>
      </c>
      <c r="G1231" s="248">
        <v>1013.271</v>
      </c>
      <c r="H1231" s="248">
        <v>1041.6439</v>
      </c>
      <c r="I1231"/>
      <c r="J1231"/>
      <c r="K1231"/>
      <c r="L1231"/>
      <c r="M1231"/>
    </row>
    <row r="1232" spans="3:13" hidden="1" outlineLevel="1" x14ac:dyDescent="0.2">
      <c r="C1232" s="139">
        <v>1006</v>
      </c>
      <c r="D1232" s="248">
        <v>936.14829999999995</v>
      </c>
      <c r="E1232" s="248">
        <v>977.19510000000002</v>
      </c>
      <c r="F1232" s="248">
        <v>997.93340000000001</v>
      </c>
      <c r="G1232" s="248">
        <v>1014.2961</v>
      </c>
      <c r="H1232" s="248">
        <v>1042.6973</v>
      </c>
      <c r="I1232"/>
      <c r="J1232"/>
      <c r="K1232"/>
      <c r="L1232"/>
      <c r="M1232"/>
    </row>
    <row r="1233" spans="3:13" hidden="1" outlineLevel="1" x14ac:dyDescent="0.2">
      <c r="C1233" s="139">
        <v>1007</v>
      </c>
      <c r="D1233" s="248">
        <v>937.12490000000003</v>
      </c>
      <c r="E1233" s="248">
        <v>978.19719999999995</v>
      </c>
      <c r="F1233" s="248">
        <v>998.94069999999999</v>
      </c>
      <c r="G1233" s="248">
        <v>1015.3212</v>
      </c>
      <c r="H1233" s="248">
        <v>1043.7507000000001</v>
      </c>
      <c r="I1233"/>
      <c r="J1233"/>
      <c r="K1233"/>
      <c r="L1233"/>
      <c r="M1233"/>
    </row>
    <row r="1234" spans="3:13" hidden="1" outlineLevel="1" x14ac:dyDescent="0.2">
      <c r="C1234" s="139">
        <v>1008</v>
      </c>
      <c r="D1234" s="248">
        <v>938.08630000000005</v>
      </c>
      <c r="E1234" s="248">
        <v>979.18399999999997</v>
      </c>
      <c r="F1234" s="248">
        <v>999.96349999999995</v>
      </c>
      <c r="G1234" s="248">
        <v>1016.3464</v>
      </c>
      <c r="H1234" s="248">
        <v>1044.8041000000001</v>
      </c>
      <c r="I1234"/>
      <c r="J1234"/>
      <c r="K1234"/>
      <c r="L1234"/>
      <c r="M1234"/>
    </row>
    <row r="1235" spans="3:13" hidden="1" outlineLevel="1" x14ac:dyDescent="0.2">
      <c r="C1235" s="139">
        <v>1009</v>
      </c>
      <c r="D1235" s="248">
        <v>939.06309999999996</v>
      </c>
      <c r="E1235" s="248">
        <v>980.18619999999999</v>
      </c>
      <c r="F1235" s="248">
        <v>1000.9709</v>
      </c>
      <c r="G1235" s="248">
        <v>1017.3715999999999</v>
      </c>
      <c r="H1235" s="248">
        <v>1045.8406</v>
      </c>
      <c r="I1235"/>
      <c r="J1235"/>
      <c r="K1235"/>
      <c r="L1235"/>
      <c r="M1235"/>
    </row>
    <row r="1236" spans="3:13" hidden="1" outlineLevel="1" x14ac:dyDescent="0.2">
      <c r="C1236" s="139">
        <v>1010</v>
      </c>
      <c r="D1236" s="248">
        <v>940.04010000000005</v>
      </c>
      <c r="E1236" s="248">
        <v>981.1884</v>
      </c>
      <c r="F1236" s="248">
        <v>1001.9938</v>
      </c>
      <c r="G1236" s="248">
        <v>1018.3969</v>
      </c>
      <c r="H1236" s="248">
        <v>1046.8941</v>
      </c>
      <c r="I1236"/>
      <c r="J1236"/>
      <c r="K1236"/>
      <c r="L1236"/>
      <c r="M1236"/>
    </row>
    <row r="1237" spans="3:13" hidden="1" outlineLevel="1" x14ac:dyDescent="0.2">
      <c r="C1237" s="139">
        <v>1011</v>
      </c>
      <c r="D1237" s="248">
        <v>941.00160000000005</v>
      </c>
      <c r="E1237" s="248">
        <v>982.17529999999999</v>
      </c>
      <c r="F1237" s="248">
        <v>1003.0013</v>
      </c>
      <c r="G1237" s="248">
        <v>1019.4222</v>
      </c>
      <c r="H1237" s="248">
        <v>1047.9476</v>
      </c>
      <c r="I1237"/>
      <c r="J1237"/>
      <c r="K1237"/>
      <c r="L1237"/>
      <c r="M1237"/>
    </row>
    <row r="1238" spans="3:13" hidden="1" outlineLevel="1" x14ac:dyDescent="0.2">
      <c r="C1238" s="139">
        <v>1012</v>
      </c>
      <c r="D1238" s="248">
        <v>941.9787</v>
      </c>
      <c r="E1238" s="248">
        <v>983.17769999999996</v>
      </c>
      <c r="F1238" s="248">
        <v>1004.0088</v>
      </c>
      <c r="G1238" s="248">
        <v>1020.4475</v>
      </c>
      <c r="H1238" s="248">
        <v>1049.0011</v>
      </c>
      <c r="I1238"/>
      <c r="J1238"/>
      <c r="K1238"/>
      <c r="L1238"/>
      <c r="M1238"/>
    </row>
    <row r="1239" spans="3:13" hidden="1" outlineLevel="1" x14ac:dyDescent="0.2">
      <c r="C1239" s="139">
        <v>1013</v>
      </c>
      <c r="D1239" s="248">
        <v>942.95590000000004</v>
      </c>
      <c r="E1239" s="248">
        <v>984.18010000000004</v>
      </c>
      <c r="F1239" s="248">
        <v>1005.0318</v>
      </c>
      <c r="G1239" s="248">
        <v>1021.4897999999999</v>
      </c>
      <c r="H1239" s="248">
        <v>1050.0546999999999</v>
      </c>
      <c r="I1239"/>
      <c r="J1239"/>
      <c r="K1239"/>
      <c r="L1239"/>
      <c r="M1239"/>
    </row>
    <row r="1240" spans="3:13" hidden="1" outlineLevel="1" x14ac:dyDescent="0.2">
      <c r="C1240" s="139">
        <v>1014</v>
      </c>
      <c r="D1240" s="248">
        <v>943.91769999999997</v>
      </c>
      <c r="E1240" s="248">
        <v>985.18259999999998</v>
      </c>
      <c r="F1240" s="248">
        <v>1006.0394</v>
      </c>
      <c r="G1240" s="248">
        <v>1022.5152</v>
      </c>
      <c r="H1240" s="248">
        <v>1051.0912000000001</v>
      </c>
      <c r="I1240"/>
      <c r="J1240"/>
      <c r="K1240"/>
      <c r="L1240"/>
      <c r="M1240"/>
    </row>
    <row r="1241" spans="3:13" hidden="1" outlineLevel="1" x14ac:dyDescent="0.2">
      <c r="C1241" s="139">
        <v>1015</v>
      </c>
      <c r="D1241" s="248">
        <v>944.89509999999996</v>
      </c>
      <c r="E1241" s="248">
        <v>986.16970000000003</v>
      </c>
      <c r="F1241" s="248">
        <v>1007.0626</v>
      </c>
      <c r="G1241" s="248">
        <v>1023.5407</v>
      </c>
      <c r="H1241" s="248">
        <v>1052.1449</v>
      </c>
      <c r="I1241"/>
      <c r="J1241"/>
      <c r="K1241"/>
      <c r="L1241"/>
      <c r="M1241"/>
    </row>
    <row r="1242" spans="3:13" hidden="1" outlineLevel="1" x14ac:dyDescent="0.2">
      <c r="C1242" s="139">
        <v>1016</v>
      </c>
      <c r="D1242" s="248">
        <v>945.85699999999997</v>
      </c>
      <c r="E1242" s="248">
        <v>987.17229999999995</v>
      </c>
      <c r="F1242" s="248">
        <v>1008.0703</v>
      </c>
      <c r="G1242" s="248">
        <v>1024.5661</v>
      </c>
      <c r="H1242" s="248">
        <v>1053.1985</v>
      </c>
      <c r="I1242"/>
      <c r="J1242"/>
      <c r="K1242"/>
      <c r="L1242"/>
      <c r="M1242"/>
    </row>
    <row r="1243" spans="3:13" hidden="1" outlineLevel="1" x14ac:dyDescent="0.2">
      <c r="C1243" s="139">
        <v>1017</v>
      </c>
      <c r="D1243" s="248">
        <v>946.83450000000005</v>
      </c>
      <c r="E1243" s="248">
        <v>988.17499999999995</v>
      </c>
      <c r="F1243" s="248">
        <v>1009.078</v>
      </c>
      <c r="G1243" s="248">
        <v>1025.5916</v>
      </c>
      <c r="H1243" s="248">
        <v>1054.2521999999999</v>
      </c>
      <c r="I1243"/>
      <c r="J1243"/>
      <c r="K1243"/>
      <c r="L1243"/>
      <c r="M1243"/>
    </row>
    <row r="1244" spans="3:13" hidden="1" outlineLevel="1" x14ac:dyDescent="0.2">
      <c r="C1244" s="139">
        <v>1018</v>
      </c>
      <c r="D1244" s="248">
        <v>947.81209999999999</v>
      </c>
      <c r="E1244" s="248">
        <v>989.16219999999998</v>
      </c>
      <c r="F1244" s="248">
        <v>1010.1011999999999</v>
      </c>
      <c r="G1244" s="248">
        <v>1026.6171999999999</v>
      </c>
      <c r="H1244" s="248">
        <v>1055.3059000000001</v>
      </c>
      <c r="I1244"/>
      <c r="J1244"/>
      <c r="K1244"/>
      <c r="L1244"/>
      <c r="M1244"/>
    </row>
    <row r="1245" spans="3:13" hidden="1" outlineLevel="1" x14ac:dyDescent="0.2">
      <c r="C1245" s="139">
        <v>1019</v>
      </c>
      <c r="D1245" s="248">
        <v>948.77430000000004</v>
      </c>
      <c r="E1245" s="248">
        <v>990.16489999999999</v>
      </c>
      <c r="F1245" s="248">
        <v>1011.109</v>
      </c>
      <c r="G1245" s="248">
        <v>1027.6427000000001</v>
      </c>
      <c r="H1245" s="248">
        <v>1056.3425</v>
      </c>
      <c r="I1245"/>
      <c r="J1245"/>
      <c r="K1245"/>
      <c r="L1245"/>
      <c r="M1245"/>
    </row>
    <row r="1246" spans="3:13" hidden="1" outlineLevel="1" x14ac:dyDescent="0.2">
      <c r="C1246" s="139">
        <v>1020</v>
      </c>
      <c r="D1246" s="248">
        <v>949.75199999999995</v>
      </c>
      <c r="E1246" s="248">
        <v>991.16780000000006</v>
      </c>
      <c r="F1246" s="248">
        <v>1012.1169</v>
      </c>
      <c r="G1246" s="248">
        <v>1028.6684</v>
      </c>
      <c r="H1246" s="248">
        <v>1057.3963000000001</v>
      </c>
      <c r="I1246"/>
      <c r="J1246"/>
      <c r="K1246"/>
      <c r="L1246"/>
      <c r="M1246"/>
    </row>
    <row r="1247" spans="3:13" hidden="1" outlineLevel="1" x14ac:dyDescent="0.2">
      <c r="C1247" s="139">
        <v>1021</v>
      </c>
      <c r="D1247" s="248">
        <v>950.71429999999998</v>
      </c>
      <c r="E1247" s="248">
        <v>992.17060000000004</v>
      </c>
      <c r="F1247" s="248">
        <v>1013.1403</v>
      </c>
      <c r="G1247" s="248">
        <v>1029.694</v>
      </c>
      <c r="H1247" s="248">
        <v>1058.4501</v>
      </c>
      <c r="I1247"/>
      <c r="J1247"/>
      <c r="K1247"/>
      <c r="L1247"/>
      <c r="M1247"/>
    </row>
    <row r="1248" spans="3:13" hidden="1" outlineLevel="1" x14ac:dyDescent="0.2">
      <c r="C1248" s="139">
        <v>1022</v>
      </c>
      <c r="D1248" s="248">
        <v>951.69230000000005</v>
      </c>
      <c r="E1248" s="248">
        <v>993.15800000000002</v>
      </c>
      <c r="F1248" s="248">
        <v>1014.1482</v>
      </c>
      <c r="G1248" s="248">
        <v>1030.7197000000001</v>
      </c>
      <c r="H1248" s="248">
        <v>1059.5039999999999</v>
      </c>
      <c r="I1248"/>
      <c r="J1248"/>
      <c r="K1248"/>
      <c r="L1248"/>
      <c r="M1248"/>
    </row>
    <row r="1249" spans="3:13" hidden="1" outlineLevel="1" x14ac:dyDescent="0.2">
      <c r="C1249" s="139">
        <v>1023</v>
      </c>
      <c r="D1249" s="248">
        <v>952.65470000000005</v>
      </c>
      <c r="E1249" s="248">
        <v>994.16099999999994</v>
      </c>
      <c r="F1249" s="248">
        <v>1015.1717</v>
      </c>
      <c r="G1249" s="248">
        <v>1031.7454</v>
      </c>
      <c r="H1249" s="248">
        <v>1060.5578</v>
      </c>
      <c r="I1249"/>
      <c r="J1249"/>
      <c r="K1249"/>
      <c r="L1249"/>
      <c r="M1249"/>
    </row>
    <row r="1250" spans="3:13" hidden="1" outlineLevel="1" x14ac:dyDescent="0.2">
      <c r="C1250" s="139">
        <v>1024</v>
      </c>
      <c r="D1250" s="248">
        <v>953.63279999999997</v>
      </c>
      <c r="E1250" s="248">
        <v>995.16409999999996</v>
      </c>
      <c r="F1250" s="248">
        <v>1016.1797</v>
      </c>
      <c r="G1250" s="248">
        <v>1032.7710999999999</v>
      </c>
      <c r="H1250" s="248">
        <v>1061.6116999999999</v>
      </c>
      <c r="I1250"/>
      <c r="J1250"/>
      <c r="K1250"/>
      <c r="L1250"/>
      <c r="M1250"/>
    </row>
    <row r="1251" spans="3:13" hidden="1" outlineLevel="1" x14ac:dyDescent="0.2">
      <c r="C1251" s="139">
        <v>1025</v>
      </c>
      <c r="D1251" s="248">
        <v>954.61099999999999</v>
      </c>
      <c r="E1251" s="248">
        <v>996.15150000000006</v>
      </c>
      <c r="F1251" s="248">
        <v>1017.1876999999999</v>
      </c>
      <c r="G1251" s="248">
        <v>1033.7969000000001</v>
      </c>
      <c r="H1251" s="248">
        <v>1062.6484</v>
      </c>
      <c r="I1251"/>
      <c r="J1251"/>
      <c r="K1251"/>
      <c r="L1251"/>
      <c r="M1251"/>
    </row>
    <row r="1252" spans="3:13" hidden="1" outlineLevel="1" x14ac:dyDescent="0.2">
      <c r="C1252" s="139">
        <v>1026</v>
      </c>
      <c r="D1252" s="248">
        <v>955.57370000000003</v>
      </c>
      <c r="E1252" s="248">
        <v>997.15470000000005</v>
      </c>
      <c r="F1252" s="248">
        <v>1018.2114</v>
      </c>
      <c r="G1252" s="248">
        <v>1034.8226999999999</v>
      </c>
      <c r="H1252" s="248">
        <v>1063.7023999999999</v>
      </c>
      <c r="I1252"/>
      <c r="J1252"/>
      <c r="K1252"/>
      <c r="L1252"/>
      <c r="M1252"/>
    </row>
    <row r="1253" spans="3:13" hidden="1" outlineLevel="1" x14ac:dyDescent="0.2">
      <c r="C1253" s="139">
        <v>1027</v>
      </c>
      <c r="D1253" s="248">
        <v>956.55200000000002</v>
      </c>
      <c r="E1253" s="248">
        <v>998.15790000000004</v>
      </c>
      <c r="F1253" s="248">
        <v>1019.2195</v>
      </c>
      <c r="G1253" s="248">
        <v>1035.8485000000001</v>
      </c>
      <c r="H1253" s="248">
        <v>1064.7564</v>
      </c>
      <c r="I1253"/>
      <c r="J1253"/>
      <c r="K1253"/>
      <c r="L1253"/>
      <c r="M1253"/>
    </row>
    <row r="1254" spans="3:13" hidden="1" outlineLevel="1" x14ac:dyDescent="0.2">
      <c r="C1254" s="139">
        <v>1028</v>
      </c>
      <c r="D1254" s="248">
        <v>957.51480000000004</v>
      </c>
      <c r="E1254" s="248">
        <v>999.14549999999997</v>
      </c>
      <c r="F1254" s="248">
        <v>1020.2276000000001</v>
      </c>
      <c r="G1254" s="248">
        <v>1036.8743999999999</v>
      </c>
      <c r="H1254" s="248">
        <v>1065.8104000000001</v>
      </c>
      <c r="I1254"/>
      <c r="J1254"/>
      <c r="K1254"/>
      <c r="L1254"/>
      <c r="M1254"/>
    </row>
    <row r="1255" spans="3:13" hidden="1" outlineLevel="1" x14ac:dyDescent="0.2">
      <c r="C1255" s="139">
        <v>1029</v>
      </c>
      <c r="D1255" s="248">
        <v>958.49329999999998</v>
      </c>
      <c r="E1255" s="248">
        <v>1000.1489</v>
      </c>
      <c r="F1255" s="248">
        <v>1021.2514</v>
      </c>
      <c r="G1255" s="248">
        <v>1037.9003</v>
      </c>
      <c r="H1255" s="248">
        <v>1066.8644999999999</v>
      </c>
      <c r="I1255"/>
      <c r="J1255"/>
      <c r="K1255"/>
      <c r="L1255"/>
      <c r="M1255"/>
    </row>
    <row r="1256" spans="3:13" hidden="1" outlineLevel="1" x14ac:dyDescent="0.2">
      <c r="C1256" s="139">
        <v>1030</v>
      </c>
      <c r="D1256" s="248">
        <v>959.45630000000006</v>
      </c>
      <c r="E1256" s="248">
        <v>1001.1523</v>
      </c>
      <c r="F1256" s="248">
        <v>1022.2596</v>
      </c>
      <c r="G1256" s="248">
        <v>1038.9262000000001</v>
      </c>
      <c r="H1256" s="248">
        <v>1067.9013</v>
      </c>
      <c r="I1256"/>
      <c r="J1256"/>
      <c r="K1256"/>
      <c r="L1256"/>
      <c r="M1256"/>
    </row>
    <row r="1257" spans="3:13" hidden="1" outlineLevel="1" x14ac:dyDescent="0.2">
      <c r="C1257" s="139">
        <v>1031</v>
      </c>
      <c r="D1257" s="248">
        <v>960.43499999999995</v>
      </c>
      <c r="E1257" s="248">
        <v>1002.14</v>
      </c>
      <c r="F1257" s="248">
        <v>1023.2678</v>
      </c>
      <c r="G1257" s="248">
        <v>1039.9521999999999</v>
      </c>
      <c r="H1257" s="248">
        <v>1068.9554000000001</v>
      </c>
      <c r="I1257"/>
      <c r="J1257"/>
      <c r="K1257"/>
      <c r="L1257"/>
      <c r="M1257"/>
    </row>
    <row r="1258" spans="3:13" hidden="1" outlineLevel="1" x14ac:dyDescent="0.2">
      <c r="C1258" s="139">
        <v>1032</v>
      </c>
      <c r="D1258" s="248">
        <v>961.39800000000002</v>
      </c>
      <c r="E1258" s="248">
        <v>1003.1435</v>
      </c>
      <c r="F1258" s="248">
        <v>1024.2918</v>
      </c>
      <c r="G1258" s="248">
        <v>1040.9782</v>
      </c>
      <c r="H1258" s="248">
        <v>1070.0094999999999</v>
      </c>
      <c r="I1258"/>
      <c r="J1258"/>
      <c r="K1258"/>
      <c r="L1258"/>
      <c r="M1258"/>
    </row>
    <row r="1259" spans="3:13" hidden="1" outlineLevel="1" x14ac:dyDescent="0.2">
      <c r="C1259" s="139">
        <v>1033</v>
      </c>
      <c r="D1259" s="248">
        <v>962.37689999999998</v>
      </c>
      <c r="E1259" s="248">
        <v>1004.1471</v>
      </c>
      <c r="F1259" s="248">
        <v>1025.3000999999999</v>
      </c>
      <c r="G1259" s="248">
        <v>1042.0042000000001</v>
      </c>
      <c r="H1259" s="248">
        <v>1071.0636999999999</v>
      </c>
      <c r="I1259"/>
      <c r="J1259"/>
      <c r="K1259"/>
      <c r="L1259"/>
      <c r="M1259"/>
    </row>
    <row r="1260" spans="3:13" hidden="1" outlineLevel="1" x14ac:dyDescent="0.2">
      <c r="C1260" s="139">
        <v>1034</v>
      </c>
      <c r="D1260" s="248">
        <v>963.34010000000001</v>
      </c>
      <c r="E1260" s="248">
        <v>1005.1349</v>
      </c>
      <c r="F1260" s="248">
        <v>1026.3083999999999</v>
      </c>
      <c r="G1260" s="248">
        <v>1043.0477000000001</v>
      </c>
      <c r="H1260" s="248">
        <v>1072.1005</v>
      </c>
      <c r="I1260"/>
      <c r="J1260"/>
      <c r="K1260"/>
      <c r="L1260"/>
      <c r="M1260"/>
    </row>
    <row r="1261" spans="3:13" hidden="1" outlineLevel="1" x14ac:dyDescent="0.2">
      <c r="C1261" s="139">
        <v>1035</v>
      </c>
      <c r="D1261" s="248">
        <v>964.31910000000005</v>
      </c>
      <c r="E1261" s="248">
        <v>1006.1386</v>
      </c>
      <c r="F1261" s="248">
        <v>1027.3326</v>
      </c>
      <c r="G1261" s="248">
        <v>1044.0737999999999</v>
      </c>
      <c r="H1261" s="248">
        <v>1073.1547</v>
      </c>
      <c r="I1261"/>
      <c r="J1261"/>
      <c r="K1261"/>
      <c r="L1261"/>
      <c r="M1261"/>
    </row>
    <row r="1262" spans="3:13" hidden="1" outlineLevel="1" x14ac:dyDescent="0.2">
      <c r="C1262" s="139">
        <v>1036</v>
      </c>
      <c r="D1262" s="248">
        <v>965.28240000000005</v>
      </c>
      <c r="E1262" s="248">
        <v>1007.1423</v>
      </c>
      <c r="F1262" s="248">
        <v>1028.3409999999999</v>
      </c>
      <c r="G1262" s="248">
        <v>1045.0998999999999</v>
      </c>
      <c r="H1262" s="248">
        <v>1074.2090000000001</v>
      </c>
      <c r="I1262"/>
      <c r="J1262"/>
      <c r="K1262"/>
      <c r="L1262"/>
      <c r="M1262"/>
    </row>
    <row r="1263" spans="3:13" hidden="1" outlineLevel="1" x14ac:dyDescent="0.2">
      <c r="C1263" s="139">
        <v>1037</v>
      </c>
      <c r="D1263" s="248">
        <v>966.26170000000002</v>
      </c>
      <c r="E1263" s="248">
        <v>1008.1303</v>
      </c>
      <c r="F1263" s="248">
        <v>1029.3494000000001</v>
      </c>
      <c r="G1263" s="248">
        <v>1046.1261</v>
      </c>
      <c r="H1263" s="248">
        <v>1075.2633000000001</v>
      </c>
      <c r="I1263"/>
      <c r="J1263"/>
      <c r="K1263"/>
      <c r="L1263"/>
      <c r="M1263"/>
    </row>
    <row r="1264" spans="3:13" hidden="1" outlineLevel="1" x14ac:dyDescent="0.2">
      <c r="C1264" s="139">
        <v>1038</v>
      </c>
      <c r="D1264" s="248">
        <v>967.2251</v>
      </c>
      <c r="E1264" s="248">
        <v>1009.1341</v>
      </c>
      <c r="F1264" s="248">
        <v>1030.3737000000001</v>
      </c>
      <c r="G1264" s="248">
        <v>1047.1523</v>
      </c>
      <c r="H1264" s="248">
        <v>1076.3176000000001</v>
      </c>
      <c r="I1264"/>
      <c r="J1264"/>
      <c r="K1264"/>
      <c r="L1264"/>
      <c r="M1264"/>
    </row>
    <row r="1265" spans="3:13" hidden="1" outlineLevel="1" x14ac:dyDescent="0.2">
      <c r="C1265" s="139">
        <v>1039</v>
      </c>
      <c r="D1265" s="248">
        <v>968.20450000000005</v>
      </c>
      <c r="E1265" s="248">
        <v>1010.138</v>
      </c>
      <c r="F1265" s="248">
        <v>1031.3822</v>
      </c>
      <c r="G1265" s="248">
        <v>1048.1786</v>
      </c>
      <c r="H1265" s="248">
        <v>1077.3544999999999</v>
      </c>
      <c r="I1265"/>
      <c r="J1265"/>
      <c r="K1265"/>
      <c r="L1265"/>
      <c r="M1265"/>
    </row>
    <row r="1266" spans="3:13" hidden="1" outlineLevel="1" x14ac:dyDescent="0.2">
      <c r="C1266" s="139">
        <v>1040</v>
      </c>
      <c r="D1266" s="248">
        <v>969.18399999999997</v>
      </c>
      <c r="E1266" s="248">
        <v>1011.1261</v>
      </c>
      <c r="F1266" s="248">
        <v>1032.3906999999999</v>
      </c>
      <c r="G1266" s="248">
        <v>1049.2049</v>
      </c>
      <c r="H1266" s="248">
        <v>1078.4088999999999</v>
      </c>
      <c r="I1266"/>
      <c r="J1266"/>
      <c r="K1266"/>
      <c r="L1266"/>
      <c r="M1266"/>
    </row>
    <row r="1267" spans="3:13" hidden="1" outlineLevel="1" x14ac:dyDescent="0.2">
      <c r="C1267" s="139">
        <v>1041</v>
      </c>
      <c r="D1267" s="248">
        <v>970.14760000000001</v>
      </c>
      <c r="E1267" s="248">
        <v>1012.1301</v>
      </c>
      <c r="F1267" s="248">
        <v>1033.4151999999999</v>
      </c>
      <c r="G1267" s="248">
        <v>1050.2311999999999</v>
      </c>
      <c r="H1267" s="248">
        <v>1079.4632999999999</v>
      </c>
      <c r="I1267"/>
      <c r="J1267"/>
      <c r="K1267"/>
      <c r="L1267"/>
      <c r="M1267"/>
    </row>
    <row r="1268" spans="3:13" hidden="1" outlineLevel="1" x14ac:dyDescent="0.2">
      <c r="C1268" s="139">
        <v>1042</v>
      </c>
      <c r="D1268" s="248">
        <v>971.12729999999999</v>
      </c>
      <c r="E1268" s="248">
        <v>1013.1342</v>
      </c>
      <c r="F1268" s="248">
        <v>1034.4238</v>
      </c>
      <c r="G1268" s="248">
        <v>1051.2575999999999</v>
      </c>
      <c r="H1268" s="248">
        <v>1080.5177000000001</v>
      </c>
      <c r="I1268"/>
      <c r="J1268"/>
      <c r="K1268"/>
      <c r="L1268"/>
      <c r="M1268"/>
    </row>
    <row r="1269" spans="3:13" hidden="1" outlineLevel="1" x14ac:dyDescent="0.2">
      <c r="C1269" s="139">
        <v>1043</v>
      </c>
      <c r="D1269" s="248">
        <v>972.09109999999998</v>
      </c>
      <c r="E1269" s="248">
        <v>1014.1224</v>
      </c>
      <c r="F1269" s="248">
        <v>1035.4324999999999</v>
      </c>
      <c r="G1269" s="248">
        <v>1052.2840000000001</v>
      </c>
      <c r="H1269" s="248">
        <v>1081.5722000000001</v>
      </c>
      <c r="I1269"/>
      <c r="J1269"/>
      <c r="K1269"/>
      <c r="L1269"/>
      <c r="M1269"/>
    </row>
    <row r="1270" spans="3:13" hidden="1" outlineLevel="1" x14ac:dyDescent="0.2">
      <c r="C1270" s="139">
        <v>1044</v>
      </c>
      <c r="D1270" s="248">
        <v>973.05499999999995</v>
      </c>
      <c r="E1270" s="248">
        <v>1015.1266000000001</v>
      </c>
      <c r="F1270" s="248">
        <v>1036.4571000000001</v>
      </c>
      <c r="G1270" s="248">
        <v>1053.3104000000001</v>
      </c>
      <c r="H1270" s="248">
        <v>1082.6092000000001</v>
      </c>
      <c r="I1270"/>
      <c r="J1270"/>
      <c r="K1270"/>
      <c r="L1270"/>
      <c r="M1270"/>
    </row>
    <row r="1271" spans="3:13" hidden="1" outlineLevel="1" x14ac:dyDescent="0.2">
      <c r="C1271" s="139">
        <v>1045</v>
      </c>
      <c r="D1271" s="248">
        <v>974.03480000000002</v>
      </c>
      <c r="E1271" s="248">
        <v>1016.1308</v>
      </c>
      <c r="F1271" s="248">
        <v>1037.4657999999999</v>
      </c>
      <c r="G1271" s="248">
        <v>1054.3368</v>
      </c>
      <c r="H1271" s="248">
        <v>1083.6637000000001</v>
      </c>
      <c r="I1271"/>
      <c r="J1271"/>
      <c r="K1271"/>
      <c r="L1271"/>
      <c r="M1271"/>
    </row>
    <row r="1272" spans="3:13" hidden="1" outlineLevel="1" x14ac:dyDescent="0.2">
      <c r="C1272" s="139">
        <v>1046</v>
      </c>
      <c r="D1272" s="248">
        <v>974.99890000000005</v>
      </c>
      <c r="E1272" s="248">
        <v>1017.1191</v>
      </c>
      <c r="F1272" s="248">
        <v>1038.4745</v>
      </c>
      <c r="G1272" s="248">
        <v>1055.3633</v>
      </c>
      <c r="H1272" s="248">
        <v>1084.7182</v>
      </c>
      <c r="I1272"/>
      <c r="J1272"/>
      <c r="K1272"/>
      <c r="L1272"/>
      <c r="M1272"/>
    </row>
    <row r="1273" spans="3:13" hidden="1" outlineLevel="1" x14ac:dyDescent="0.2">
      <c r="C1273" s="139">
        <v>1047</v>
      </c>
      <c r="D1273" s="248">
        <v>975.97889999999995</v>
      </c>
      <c r="E1273" s="248">
        <v>1018.1235</v>
      </c>
      <c r="F1273" s="248">
        <v>1039.4992999999999</v>
      </c>
      <c r="G1273" s="248">
        <v>1056.3898999999999</v>
      </c>
      <c r="H1273" s="248">
        <v>1085.7728</v>
      </c>
      <c r="I1273"/>
      <c r="J1273"/>
      <c r="K1273"/>
      <c r="L1273"/>
      <c r="M1273"/>
    </row>
    <row r="1274" spans="3:13" hidden="1" outlineLevel="1" x14ac:dyDescent="0.2">
      <c r="C1274" s="139">
        <v>1048</v>
      </c>
      <c r="D1274" s="248">
        <v>976.94309999999996</v>
      </c>
      <c r="E1274" s="248">
        <v>1019.1119</v>
      </c>
      <c r="F1274" s="248">
        <v>1040.5081</v>
      </c>
      <c r="G1274" s="248">
        <v>1057.4164000000001</v>
      </c>
      <c r="H1274" s="248">
        <v>1086.8099</v>
      </c>
      <c r="I1274"/>
      <c r="J1274"/>
      <c r="K1274"/>
      <c r="L1274"/>
      <c r="M1274"/>
    </row>
    <row r="1275" spans="3:13" hidden="1" outlineLevel="1" x14ac:dyDescent="0.2">
      <c r="C1275" s="139">
        <v>1049</v>
      </c>
      <c r="D1275" s="248">
        <v>977.92330000000004</v>
      </c>
      <c r="E1275" s="248">
        <v>1020.1163</v>
      </c>
      <c r="F1275" s="248">
        <v>1041.5170000000001</v>
      </c>
      <c r="G1275" s="248">
        <v>1058.443</v>
      </c>
      <c r="H1275" s="248">
        <v>1087.8644999999999</v>
      </c>
      <c r="I1275"/>
      <c r="J1275"/>
      <c r="K1275"/>
      <c r="L1275"/>
      <c r="M1275"/>
    </row>
    <row r="1276" spans="3:13" hidden="1" outlineLevel="1" x14ac:dyDescent="0.2">
      <c r="C1276" s="139">
        <v>1050</v>
      </c>
      <c r="D1276" s="248">
        <v>978.88760000000002</v>
      </c>
      <c r="E1276" s="248">
        <v>1021.1208</v>
      </c>
      <c r="F1276" s="248">
        <v>1042.5259000000001</v>
      </c>
      <c r="G1276" s="248">
        <v>1059.4695999999999</v>
      </c>
      <c r="H1276" s="248">
        <v>1088.9192</v>
      </c>
      <c r="I1276"/>
      <c r="J1276"/>
      <c r="K1276"/>
      <c r="L1276"/>
      <c r="M1276"/>
    </row>
    <row r="1277" spans="3:13" hidden="1" outlineLevel="1" x14ac:dyDescent="0.2">
      <c r="C1277" s="139">
        <v>1051</v>
      </c>
      <c r="D1277" s="248">
        <v>979.86789999999996</v>
      </c>
      <c r="E1277" s="248">
        <v>1022.1094000000001</v>
      </c>
      <c r="F1277" s="248">
        <v>1043.5508</v>
      </c>
      <c r="G1277" s="248">
        <v>1060.4963</v>
      </c>
      <c r="H1277" s="248">
        <v>1089.9739</v>
      </c>
      <c r="I1277"/>
      <c r="J1277"/>
      <c r="K1277"/>
      <c r="L1277"/>
      <c r="M1277"/>
    </row>
    <row r="1278" spans="3:13" hidden="1" outlineLevel="1" x14ac:dyDescent="0.2">
      <c r="C1278" s="139">
        <v>1052</v>
      </c>
      <c r="D1278" s="248">
        <v>980.83240000000001</v>
      </c>
      <c r="E1278" s="248">
        <v>1023.114</v>
      </c>
      <c r="F1278" s="248">
        <v>1044.5598</v>
      </c>
      <c r="G1278" s="248">
        <v>1061.5229999999999</v>
      </c>
      <c r="H1278" s="248">
        <v>1091.011</v>
      </c>
      <c r="I1278"/>
      <c r="J1278"/>
      <c r="K1278"/>
      <c r="L1278"/>
      <c r="M1278"/>
    </row>
    <row r="1279" spans="3:13" hidden="1" outlineLevel="1" x14ac:dyDescent="0.2">
      <c r="C1279" s="139">
        <v>1053</v>
      </c>
      <c r="D1279" s="248">
        <v>981.81290000000001</v>
      </c>
      <c r="E1279" s="248">
        <v>1024.1187</v>
      </c>
      <c r="F1279" s="248">
        <v>1045.5688</v>
      </c>
      <c r="G1279" s="248">
        <v>1062.5497</v>
      </c>
      <c r="H1279" s="248">
        <v>1092.0657000000001</v>
      </c>
      <c r="I1279"/>
      <c r="J1279"/>
      <c r="K1279"/>
      <c r="L1279"/>
      <c r="M1279"/>
    </row>
    <row r="1280" spans="3:13" hidden="1" outlineLevel="1" x14ac:dyDescent="0.2">
      <c r="C1280" s="139">
        <v>1054</v>
      </c>
      <c r="D1280" s="248">
        <v>982.77750000000003</v>
      </c>
      <c r="E1280" s="248">
        <v>1025.1072999999999</v>
      </c>
      <c r="F1280" s="248">
        <v>1046.5939000000001</v>
      </c>
      <c r="G1280" s="248">
        <v>1063.5764999999999</v>
      </c>
      <c r="H1280" s="248">
        <v>1093.1205</v>
      </c>
      <c r="I1280"/>
      <c r="J1280"/>
      <c r="K1280"/>
      <c r="L1280"/>
      <c r="M1280"/>
    </row>
    <row r="1281" spans="3:13" hidden="1" outlineLevel="1" x14ac:dyDescent="0.2">
      <c r="C1281" s="139">
        <v>1055</v>
      </c>
      <c r="D1281" s="248">
        <v>983.75819999999999</v>
      </c>
      <c r="E1281" s="248">
        <v>1026.1121000000001</v>
      </c>
      <c r="F1281" s="248">
        <v>1047.6030000000001</v>
      </c>
      <c r="G1281" s="248">
        <v>1064.6033</v>
      </c>
      <c r="H1281" s="248">
        <v>1094.1753000000001</v>
      </c>
      <c r="I1281"/>
      <c r="J1281"/>
      <c r="K1281"/>
      <c r="L1281"/>
      <c r="M1281"/>
    </row>
    <row r="1282" spans="3:13" hidden="1" outlineLevel="1" x14ac:dyDescent="0.2">
      <c r="C1282" s="139">
        <v>1056</v>
      </c>
      <c r="D1282" s="248">
        <v>984.72289999999998</v>
      </c>
      <c r="E1282" s="248">
        <v>1027.1007999999999</v>
      </c>
      <c r="F1282" s="248">
        <v>1048.6121000000001</v>
      </c>
      <c r="G1282" s="248">
        <v>1065.6301000000001</v>
      </c>
      <c r="H1282" s="248">
        <v>1095.2125000000001</v>
      </c>
      <c r="I1282"/>
      <c r="J1282"/>
      <c r="K1282"/>
      <c r="L1282"/>
      <c r="M1282"/>
    </row>
    <row r="1283" spans="3:13" hidden="1" outlineLevel="1" x14ac:dyDescent="0.2">
      <c r="C1283" s="139">
        <v>1057</v>
      </c>
      <c r="D1283" s="248">
        <v>985.7038</v>
      </c>
      <c r="E1283" s="248">
        <v>1028.1057000000001</v>
      </c>
      <c r="F1283" s="248">
        <v>1049.6212</v>
      </c>
      <c r="G1283" s="248">
        <v>1066.6569999999999</v>
      </c>
      <c r="H1283" s="248">
        <v>1096.2674</v>
      </c>
      <c r="I1283"/>
      <c r="J1283"/>
      <c r="K1283"/>
      <c r="L1283"/>
      <c r="M1283"/>
    </row>
    <row r="1284" spans="3:13" hidden="1" outlineLevel="1" x14ac:dyDescent="0.2">
      <c r="C1284" s="139">
        <v>1058</v>
      </c>
      <c r="D1284" s="248">
        <v>986.66859999999997</v>
      </c>
      <c r="E1284" s="248">
        <v>1029.1107</v>
      </c>
      <c r="F1284" s="248">
        <v>1050.6465000000001</v>
      </c>
      <c r="G1284" s="248">
        <v>1067.6839</v>
      </c>
      <c r="H1284" s="248">
        <v>1097.3223</v>
      </c>
      <c r="I1284"/>
      <c r="J1284"/>
      <c r="K1284"/>
      <c r="L1284"/>
      <c r="M1284"/>
    </row>
    <row r="1285" spans="3:13" hidden="1" outlineLevel="1" x14ac:dyDescent="0.2">
      <c r="C1285" s="139">
        <v>1059</v>
      </c>
      <c r="D1285" s="248">
        <v>987.63350000000003</v>
      </c>
      <c r="E1285" s="248">
        <v>1030.0995</v>
      </c>
      <c r="F1285" s="248">
        <v>1051.6557</v>
      </c>
      <c r="G1285" s="248">
        <v>1068.7108000000001</v>
      </c>
      <c r="H1285" s="248">
        <v>1098.3771999999999</v>
      </c>
      <c r="I1285"/>
      <c r="J1285"/>
      <c r="K1285"/>
      <c r="L1285"/>
      <c r="M1285"/>
    </row>
    <row r="1286" spans="3:13" hidden="1" outlineLevel="1" x14ac:dyDescent="0.2">
      <c r="C1286" s="139">
        <v>1060</v>
      </c>
      <c r="D1286" s="248">
        <v>988.61469999999997</v>
      </c>
      <c r="E1286" s="248">
        <v>1031.1045999999999</v>
      </c>
      <c r="F1286" s="248">
        <v>1052.6649</v>
      </c>
      <c r="G1286" s="248">
        <v>1069.7376999999999</v>
      </c>
      <c r="H1286" s="248">
        <v>1099.4143999999999</v>
      </c>
      <c r="I1286"/>
      <c r="J1286"/>
      <c r="K1286"/>
      <c r="L1286"/>
      <c r="M1286"/>
    </row>
    <row r="1287" spans="3:13" hidden="1" outlineLevel="1" x14ac:dyDescent="0.2">
      <c r="C1287" s="139">
        <v>1061</v>
      </c>
      <c r="D1287" s="248">
        <v>989.5797</v>
      </c>
      <c r="E1287" s="248">
        <v>1032.0934999999999</v>
      </c>
      <c r="F1287" s="248">
        <v>1053.6904</v>
      </c>
      <c r="G1287" s="248">
        <v>1070.7646999999999</v>
      </c>
      <c r="H1287" s="248">
        <v>1100.4694</v>
      </c>
      <c r="I1287"/>
      <c r="J1287"/>
      <c r="K1287"/>
      <c r="L1287"/>
      <c r="M1287"/>
    </row>
    <row r="1288" spans="3:13" hidden="1" outlineLevel="1" x14ac:dyDescent="0.2">
      <c r="C1288" s="139">
        <v>1062</v>
      </c>
      <c r="D1288" s="248">
        <v>990.56100000000004</v>
      </c>
      <c r="E1288" s="248">
        <v>1033.0987</v>
      </c>
      <c r="F1288" s="248">
        <v>1054.6996999999999</v>
      </c>
      <c r="G1288" s="248">
        <v>1071.7918</v>
      </c>
      <c r="H1288" s="248">
        <v>1101.5244</v>
      </c>
      <c r="I1288"/>
      <c r="J1288"/>
      <c r="K1288"/>
      <c r="L1288"/>
      <c r="M1288"/>
    </row>
    <row r="1289" spans="3:13" hidden="1" outlineLevel="1" x14ac:dyDescent="0.2">
      <c r="C1289" s="139">
        <v>1063</v>
      </c>
      <c r="D1289" s="248">
        <v>991.52620000000002</v>
      </c>
      <c r="E1289" s="248">
        <v>1034.1039000000001</v>
      </c>
      <c r="F1289" s="248">
        <v>1055.7091</v>
      </c>
      <c r="G1289" s="248">
        <v>1072.8188</v>
      </c>
      <c r="H1289" s="248">
        <v>1102.5795000000001</v>
      </c>
      <c r="I1289"/>
      <c r="J1289"/>
      <c r="K1289"/>
      <c r="L1289"/>
      <c r="M1289"/>
    </row>
    <row r="1290" spans="3:13" hidden="1" outlineLevel="1" x14ac:dyDescent="0.2">
      <c r="C1290" s="139">
        <v>1064</v>
      </c>
      <c r="D1290" s="248">
        <v>992.50760000000002</v>
      </c>
      <c r="E1290" s="248">
        <v>1035.0930000000001</v>
      </c>
      <c r="F1290" s="248">
        <v>1056.7184</v>
      </c>
      <c r="G1290" s="248">
        <v>1073.8459</v>
      </c>
      <c r="H1290" s="248">
        <v>1103.6346000000001</v>
      </c>
      <c r="I1290"/>
      <c r="J1290"/>
      <c r="K1290"/>
      <c r="L1290"/>
      <c r="M1290"/>
    </row>
    <row r="1291" spans="3:13" hidden="1" outlineLevel="1" x14ac:dyDescent="0.2">
      <c r="C1291" s="139">
        <v>1065</v>
      </c>
      <c r="D1291" s="248">
        <v>993.47289999999998</v>
      </c>
      <c r="E1291" s="248">
        <v>1036.0983000000001</v>
      </c>
      <c r="F1291" s="248">
        <v>1057.7440999999999</v>
      </c>
      <c r="G1291" s="248">
        <v>1074.8731</v>
      </c>
      <c r="H1291" s="248">
        <v>1104.6718000000001</v>
      </c>
      <c r="I1291"/>
      <c r="J1291"/>
      <c r="K1291"/>
      <c r="L1291"/>
      <c r="M1291"/>
    </row>
    <row r="1292" spans="3:13" hidden="1" outlineLevel="1" x14ac:dyDescent="0.2">
      <c r="C1292" s="139">
        <v>1066</v>
      </c>
      <c r="D1292" s="248">
        <v>994.43830000000003</v>
      </c>
      <c r="E1292" s="248">
        <v>1037.0873999999999</v>
      </c>
      <c r="F1292" s="248">
        <v>1058.7536</v>
      </c>
      <c r="G1292" s="248">
        <v>1075.9002</v>
      </c>
      <c r="H1292" s="248">
        <v>1105.7268999999999</v>
      </c>
      <c r="I1292"/>
      <c r="J1292"/>
      <c r="K1292"/>
      <c r="L1292"/>
      <c r="M1292"/>
    </row>
    <row r="1293" spans="3:13" hidden="1" outlineLevel="1" x14ac:dyDescent="0.2">
      <c r="C1293" s="139">
        <v>1067</v>
      </c>
      <c r="D1293" s="248">
        <v>995.42</v>
      </c>
      <c r="E1293" s="248">
        <v>1038.0929000000001</v>
      </c>
      <c r="F1293" s="248">
        <v>1059.7629999999999</v>
      </c>
      <c r="G1293" s="248">
        <v>1076.9095</v>
      </c>
      <c r="H1293" s="248">
        <v>1106.7820999999999</v>
      </c>
      <c r="I1293"/>
      <c r="J1293"/>
      <c r="K1293"/>
      <c r="L1293"/>
      <c r="M1293"/>
    </row>
    <row r="1294" spans="3:13" hidden="1" outlineLevel="1" x14ac:dyDescent="0.2">
      <c r="C1294" s="139">
        <v>1068</v>
      </c>
      <c r="D1294" s="248">
        <v>996.38549999999998</v>
      </c>
      <c r="E1294" s="248">
        <v>1039.0821000000001</v>
      </c>
      <c r="F1294" s="248">
        <v>1060.7726</v>
      </c>
      <c r="G1294" s="248">
        <v>1077.9367</v>
      </c>
      <c r="H1294" s="248">
        <v>1107.8194000000001</v>
      </c>
      <c r="I1294"/>
      <c r="J1294"/>
      <c r="K1294"/>
      <c r="L1294"/>
      <c r="M1294"/>
    </row>
    <row r="1295" spans="3:13" hidden="1" outlineLevel="1" x14ac:dyDescent="0.2">
      <c r="C1295" s="139">
        <v>1069</v>
      </c>
      <c r="D1295" s="248">
        <v>997.36739999999998</v>
      </c>
      <c r="E1295" s="248">
        <v>1040.0876000000001</v>
      </c>
      <c r="F1295" s="248">
        <v>1061.7983999999999</v>
      </c>
      <c r="G1295" s="248">
        <v>1078.9639999999999</v>
      </c>
      <c r="H1295" s="248">
        <v>1108.8746000000001</v>
      </c>
      <c r="I1295"/>
      <c r="J1295"/>
      <c r="K1295"/>
      <c r="L1295"/>
      <c r="M1295"/>
    </row>
    <row r="1296" spans="3:13" hidden="1" outlineLevel="1" x14ac:dyDescent="0.2">
      <c r="C1296" s="139">
        <v>1070</v>
      </c>
      <c r="D1296" s="248">
        <v>998.33309999999994</v>
      </c>
      <c r="E1296" s="248">
        <v>1041.0932</v>
      </c>
      <c r="F1296" s="248">
        <v>1062.808</v>
      </c>
      <c r="G1296" s="248">
        <v>1079.9911999999999</v>
      </c>
      <c r="H1296" s="248">
        <v>1109.9299000000001</v>
      </c>
      <c r="I1296"/>
      <c r="J1296"/>
      <c r="K1296"/>
      <c r="L1296"/>
      <c r="M1296"/>
    </row>
    <row r="1297" spans="3:13" hidden="1" outlineLevel="1" x14ac:dyDescent="0.2">
      <c r="C1297" s="139">
        <v>1071</v>
      </c>
      <c r="D1297" s="248">
        <v>999.29880000000003</v>
      </c>
      <c r="E1297" s="248">
        <v>1042.0825</v>
      </c>
      <c r="F1297" s="248">
        <v>1063.8176000000001</v>
      </c>
      <c r="G1297" s="248">
        <v>1081.0186000000001</v>
      </c>
      <c r="H1297" s="248">
        <v>1110.9852000000001</v>
      </c>
      <c r="I1297"/>
      <c r="J1297"/>
      <c r="K1297"/>
      <c r="L1297"/>
      <c r="M1297"/>
    </row>
    <row r="1298" spans="3:13" hidden="1" outlineLevel="1" x14ac:dyDescent="0.2">
      <c r="C1298" s="139">
        <v>1072</v>
      </c>
      <c r="D1298" s="248">
        <v>1000.2809</v>
      </c>
      <c r="E1298" s="248">
        <v>1043.0882999999999</v>
      </c>
      <c r="F1298" s="248">
        <v>1064.8435999999999</v>
      </c>
      <c r="G1298" s="248">
        <v>1082.0459000000001</v>
      </c>
      <c r="H1298" s="248">
        <v>1112.0225</v>
      </c>
      <c r="I1298"/>
      <c r="J1298"/>
      <c r="K1298"/>
      <c r="L1298"/>
      <c r="M1298"/>
    </row>
    <row r="1299" spans="3:13" hidden="1" outlineLevel="1" x14ac:dyDescent="0.2">
      <c r="C1299" s="139">
        <v>1073</v>
      </c>
      <c r="D1299" s="248">
        <v>1001.2467</v>
      </c>
      <c r="E1299" s="248">
        <v>1044.0777</v>
      </c>
      <c r="F1299" s="248">
        <v>1065.8533</v>
      </c>
      <c r="G1299" s="248">
        <v>1083.0733</v>
      </c>
      <c r="H1299" s="248">
        <v>1113.0779</v>
      </c>
      <c r="I1299"/>
      <c r="J1299"/>
      <c r="K1299"/>
      <c r="L1299"/>
      <c r="M1299"/>
    </row>
    <row r="1300" spans="3:13" hidden="1" outlineLevel="1" x14ac:dyDescent="0.2">
      <c r="C1300" s="139">
        <v>1074</v>
      </c>
      <c r="D1300" s="248">
        <v>1002.229</v>
      </c>
      <c r="E1300" s="248">
        <v>1045.0835</v>
      </c>
      <c r="F1300" s="248">
        <v>1066.8631</v>
      </c>
      <c r="G1300" s="248">
        <v>1084.1007</v>
      </c>
      <c r="H1300" s="248">
        <v>1114.1332</v>
      </c>
      <c r="I1300"/>
      <c r="J1300"/>
      <c r="K1300"/>
      <c r="L1300"/>
      <c r="M1300"/>
    </row>
    <row r="1301" spans="3:13" hidden="1" outlineLevel="1" x14ac:dyDescent="0.2">
      <c r="C1301" s="139">
        <v>1075</v>
      </c>
      <c r="D1301" s="248">
        <v>1003.1950000000001</v>
      </c>
      <c r="E1301" s="248">
        <v>1046.0730000000001</v>
      </c>
      <c r="F1301" s="248">
        <v>1067.8728000000001</v>
      </c>
      <c r="G1301" s="248">
        <v>1085.1282000000001</v>
      </c>
      <c r="H1301" s="248">
        <v>1115.1886999999999</v>
      </c>
      <c r="I1301"/>
      <c r="J1301"/>
      <c r="K1301"/>
      <c r="L1301"/>
      <c r="M1301"/>
    </row>
    <row r="1302" spans="3:13" hidden="1" outlineLevel="1" x14ac:dyDescent="0.2">
      <c r="C1302" s="139">
        <v>1076</v>
      </c>
      <c r="D1302" s="248">
        <v>1004.1609999999999</v>
      </c>
      <c r="E1302" s="248">
        <v>1047.0789</v>
      </c>
      <c r="F1302" s="248">
        <v>1068.8989999999999</v>
      </c>
      <c r="G1302" s="248">
        <v>1086.1556</v>
      </c>
      <c r="H1302" s="248">
        <v>1116.2260000000001</v>
      </c>
      <c r="I1302"/>
      <c r="J1302"/>
      <c r="K1302"/>
      <c r="L1302"/>
      <c r="M1302"/>
    </row>
    <row r="1303" spans="3:13" hidden="1" outlineLevel="1" x14ac:dyDescent="0.2">
      <c r="C1303" s="139">
        <v>1077</v>
      </c>
      <c r="D1303" s="248">
        <v>1005.1436</v>
      </c>
      <c r="E1303" s="248">
        <v>1048.0849000000001</v>
      </c>
      <c r="F1303" s="248">
        <v>1069.9088999999999</v>
      </c>
      <c r="G1303" s="248">
        <v>1087.1831999999999</v>
      </c>
      <c r="H1303" s="248">
        <v>1117.2815000000001</v>
      </c>
      <c r="I1303"/>
      <c r="J1303"/>
      <c r="K1303"/>
      <c r="L1303"/>
      <c r="M1303"/>
    </row>
    <row r="1304" spans="3:13" hidden="1" outlineLevel="1" x14ac:dyDescent="0.2">
      <c r="C1304" s="139">
        <v>1078</v>
      </c>
      <c r="D1304" s="248">
        <v>1006.1098</v>
      </c>
      <c r="E1304" s="248">
        <v>1049.0744999999999</v>
      </c>
      <c r="F1304" s="248">
        <v>1070.9186999999999</v>
      </c>
      <c r="G1304" s="248">
        <v>1088.2107000000001</v>
      </c>
      <c r="H1304" s="248">
        <v>1118.337</v>
      </c>
      <c r="I1304"/>
      <c r="J1304"/>
      <c r="K1304"/>
      <c r="L1304"/>
      <c r="M1304"/>
    </row>
    <row r="1305" spans="3:13" hidden="1" outlineLevel="1" x14ac:dyDescent="0.2">
      <c r="C1305" s="139">
        <v>1079</v>
      </c>
      <c r="D1305" s="248">
        <v>1007.076</v>
      </c>
      <c r="E1305" s="248">
        <v>1050.0806</v>
      </c>
      <c r="F1305" s="248">
        <v>1071.9286</v>
      </c>
      <c r="G1305" s="248">
        <v>1089.2383</v>
      </c>
      <c r="H1305" s="248">
        <v>1119.3924999999999</v>
      </c>
      <c r="I1305"/>
      <c r="J1305"/>
      <c r="K1305"/>
      <c r="L1305"/>
      <c r="M1305"/>
    </row>
    <row r="1306" spans="3:13" hidden="1" outlineLevel="1" x14ac:dyDescent="0.2">
      <c r="C1306" s="139">
        <v>1080</v>
      </c>
      <c r="D1306" s="248">
        <v>1008.0588</v>
      </c>
      <c r="E1306" s="248">
        <v>1051.0703000000001</v>
      </c>
      <c r="F1306" s="248">
        <v>1072.9549999999999</v>
      </c>
      <c r="G1306" s="248">
        <v>1090.2659000000001</v>
      </c>
      <c r="H1306" s="248">
        <v>1120.43</v>
      </c>
      <c r="I1306"/>
      <c r="J1306"/>
      <c r="K1306"/>
      <c r="L1306"/>
      <c r="M1306"/>
    </row>
    <row r="1307" spans="3:13" hidden="1" outlineLevel="1" x14ac:dyDescent="0.2">
      <c r="C1307" s="139">
        <v>1081</v>
      </c>
      <c r="D1307" s="248">
        <v>1009.0252</v>
      </c>
      <c r="E1307" s="248">
        <v>1052.0764999999999</v>
      </c>
      <c r="F1307" s="248">
        <v>1073.9649999999999</v>
      </c>
      <c r="G1307" s="248">
        <v>1091.2935</v>
      </c>
      <c r="H1307" s="248">
        <v>1121.4855</v>
      </c>
      <c r="I1307"/>
      <c r="J1307"/>
      <c r="K1307"/>
      <c r="L1307"/>
      <c r="M1307"/>
    </row>
    <row r="1308" spans="3:13" hidden="1" outlineLevel="1" x14ac:dyDescent="0.2">
      <c r="C1308" s="139">
        <v>1082</v>
      </c>
      <c r="D1308" s="248">
        <v>1010.0081</v>
      </c>
      <c r="E1308" s="248">
        <v>1053.0662</v>
      </c>
      <c r="F1308" s="248">
        <v>1074.9749999999999</v>
      </c>
      <c r="G1308" s="248">
        <v>1092.3212000000001</v>
      </c>
      <c r="H1308" s="248">
        <v>1122.5411999999999</v>
      </c>
      <c r="I1308"/>
      <c r="J1308"/>
      <c r="K1308"/>
      <c r="L1308"/>
      <c r="M1308"/>
    </row>
    <row r="1309" spans="3:13" hidden="1" outlineLevel="1" x14ac:dyDescent="0.2">
      <c r="C1309" s="139">
        <v>1083</v>
      </c>
      <c r="D1309" s="248">
        <v>1010.9746</v>
      </c>
      <c r="E1309" s="248">
        <v>1054.0725</v>
      </c>
      <c r="F1309" s="248">
        <v>1075.9849999999999</v>
      </c>
      <c r="G1309" s="248">
        <v>1093.3489</v>
      </c>
      <c r="H1309" s="248">
        <v>1123.5786000000001</v>
      </c>
      <c r="I1309"/>
      <c r="J1309"/>
      <c r="K1309"/>
      <c r="L1309"/>
      <c r="M1309"/>
    </row>
    <row r="1310" spans="3:13" hidden="1" outlineLevel="1" x14ac:dyDescent="0.2">
      <c r="C1310" s="139">
        <v>1084</v>
      </c>
      <c r="D1310" s="248">
        <v>1011.9412</v>
      </c>
      <c r="E1310" s="248">
        <v>1055.0623000000001</v>
      </c>
      <c r="F1310" s="248">
        <v>1076.9951000000001</v>
      </c>
      <c r="G1310" s="248">
        <v>1094.3767</v>
      </c>
      <c r="H1310" s="248">
        <v>1124.6342999999999</v>
      </c>
      <c r="I1310"/>
      <c r="J1310"/>
      <c r="K1310"/>
      <c r="L1310"/>
      <c r="M1310"/>
    </row>
    <row r="1311" spans="3:13" hidden="1" outlineLevel="1" x14ac:dyDescent="0.2">
      <c r="C1311" s="139">
        <v>1085</v>
      </c>
      <c r="D1311" s="248">
        <v>1012.9244</v>
      </c>
      <c r="E1311" s="248">
        <v>1056.0688</v>
      </c>
      <c r="F1311" s="248">
        <v>1078.0217</v>
      </c>
      <c r="G1311" s="248">
        <v>1095.4045000000001</v>
      </c>
      <c r="H1311" s="248">
        <v>1125.69</v>
      </c>
      <c r="I1311"/>
      <c r="J1311"/>
      <c r="K1311"/>
      <c r="L1311"/>
      <c r="M1311"/>
    </row>
    <row r="1312" spans="3:13" hidden="1" outlineLevel="1" x14ac:dyDescent="0.2">
      <c r="C1312" s="139">
        <v>1086</v>
      </c>
      <c r="D1312" s="248">
        <v>1013.8911000000001</v>
      </c>
      <c r="E1312" s="248">
        <v>1057.0587</v>
      </c>
      <c r="F1312" s="248">
        <v>1079.0319</v>
      </c>
      <c r="G1312" s="248">
        <v>1096.4322999999999</v>
      </c>
      <c r="H1312" s="248">
        <v>1126.7456999999999</v>
      </c>
      <c r="I1312"/>
      <c r="J1312"/>
      <c r="K1312"/>
      <c r="L1312"/>
      <c r="M1312"/>
    </row>
    <row r="1313" spans="3:13" hidden="1" outlineLevel="1" x14ac:dyDescent="0.2">
      <c r="C1313" s="139">
        <v>1087</v>
      </c>
      <c r="D1313" s="248">
        <v>1014.8579</v>
      </c>
      <c r="E1313" s="248">
        <v>1058.0652</v>
      </c>
      <c r="F1313" s="248">
        <v>1080.0419999999999</v>
      </c>
      <c r="G1313" s="248">
        <v>1097.4602</v>
      </c>
      <c r="H1313" s="248">
        <v>1127.7832000000001</v>
      </c>
      <c r="I1313"/>
      <c r="J1313"/>
      <c r="K1313"/>
      <c r="L1313"/>
      <c r="M1313"/>
    </row>
    <row r="1314" spans="3:13" hidden="1" outlineLevel="1" x14ac:dyDescent="0.2">
      <c r="C1314" s="139">
        <v>1088</v>
      </c>
      <c r="D1314" s="248">
        <v>1015.8413</v>
      </c>
      <c r="E1314" s="248">
        <v>1059.0717999999999</v>
      </c>
      <c r="F1314" s="248">
        <v>1081.0522000000001</v>
      </c>
      <c r="G1314" s="248">
        <v>1098.4880000000001</v>
      </c>
      <c r="H1314" s="248">
        <v>1128.8389999999999</v>
      </c>
      <c r="I1314"/>
      <c r="J1314"/>
      <c r="K1314"/>
      <c r="L1314"/>
      <c r="M1314"/>
    </row>
    <row r="1315" spans="3:13" hidden="1" outlineLevel="1" x14ac:dyDescent="0.2">
      <c r="C1315" s="139">
        <v>1089</v>
      </c>
      <c r="D1315" s="248">
        <v>1016.8082000000001</v>
      </c>
      <c r="E1315" s="248">
        <v>1060.0617999999999</v>
      </c>
      <c r="F1315" s="248">
        <v>1082.0790999999999</v>
      </c>
      <c r="G1315" s="248">
        <v>1099.5160000000001</v>
      </c>
      <c r="H1315" s="248">
        <v>1129.8948</v>
      </c>
      <c r="I1315"/>
      <c r="J1315"/>
      <c r="K1315"/>
      <c r="L1315"/>
      <c r="M1315"/>
    </row>
    <row r="1316" spans="3:13" hidden="1" outlineLevel="1" x14ac:dyDescent="0.2">
      <c r="C1316" s="139">
        <v>1090</v>
      </c>
      <c r="D1316" s="248">
        <v>1017.7752</v>
      </c>
      <c r="E1316" s="248">
        <v>1061.0685000000001</v>
      </c>
      <c r="F1316" s="248">
        <v>1083.0894000000001</v>
      </c>
      <c r="G1316" s="248">
        <v>1100.5255999999999</v>
      </c>
      <c r="H1316" s="248">
        <v>1130.9507000000001</v>
      </c>
      <c r="I1316"/>
      <c r="J1316"/>
      <c r="K1316"/>
      <c r="L1316"/>
      <c r="M1316"/>
    </row>
    <row r="1317" spans="3:13" hidden="1" outlineLevel="1" x14ac:dyDescent="0.2">
      <c r="C1317" s="139">
        <v>1091</v>
      </c>
      <c r="D1317" s="248">
        <v>1018.7589</v>
      </c>
      <c r="E1317" s="248">
        <v>1062.0586000000001</v>
      </c>
      <c r="F1317" s="248">
        <v>1084.0997</v>
      </c>
      <c r="G1317" s="248">
        <v>1101.5536</v>
      </c>
      <c r="H1317" s="248">
        <v>1131.9882</v>
      </c>
      <c r="I1317"/>
      <c r="J1317"/>
      <c r="K1317"/>
      <c r="L1317"/>
      <c r="M1317"/>
    </row>
    <row r="1318" spans="3:13" hidden="1" outlineLevel="1" x14ac:dyDescent="0.2">
      <c r="C1318" s="139">
        <v>1092</v>
      </c>
      <c r="D1318" s="248">
        <v>1019.726</v>
      </c>
      <c r="E1318" s="248">
        <v>1063.0654</v>
      </c>
      <c r="F1318" s="248">
        <v>1085.1099999999999</v>
      </c>
      <c r="G1318" s="248">
        <v>1102.5816</v>
      </c>
      <c r="H1318" s="248">
        <v>1133.0441000000001</v>
      </c>
      <c r="I1318"/>
      <c r="J1318"/>
      <c r="K1318"/>
      <c r="L1318"/>
      <c r="M1318"/>
    </row>
    <row r="1319" spans="3:13" hidden="1" outlineLevel="1" x14ac:dyDescent="0.2">
      <c r="C1319" s="139">
        <v>1093</v>
      </c>
      <c r="D1319" s="248">
        <v>1020.6932</v>
      </c>
      <c r="E1319" s="248">
        <v>1064.0555999999999</v>
      </c>
      <c r="F1319" s="248">
        <v>1086.1204</v>
      </c>
      <c r="G1319" s="248">
        <v>1103.6096</v>
      </c>
      <c r="H1319" s="248">
        <v>1134.1001000000001</v>
      </c>
      <c r="I1319"/>
      <c r="J1319"/>
      <c r="K1319"/>
      <c r="L1319"/>
      <c r="M1319"/>
    </row>
    <row r="1320" spans="3:13" hidden="1" outlineLevel="1" x14ac:dyDescent="0.2">
      <c r="C1320" s="139">
        <v>1094</v>
      </c>
      <c r="D1320" s="248">
        <v>1021.6771</v>
      </c>
      <c r="E1320" s="248">
        <v>1065.0625</v>
      </c>
      <c r="F1320" s="248">
        <v>1087.1475</v>
      </c>
      <c r="G1320" s="248">
        <v>1104.6377</v>
      </c>
      <c r="H1320" s="248">
        <v>1135.1377</v>
      </c>
      <c r="I1320"/>
      <c r="J1320"/>
      <c r="K1320"/>
      <c r="L1320"/>
      <c r="M1320"/>
    </row>
    <row r="1321" spans="3:13" hidden="1" outlineLevel="1" x14ac:dyDescent="0.2">
      <c r="C1321" s="139">
        <v>1095</v>
      </c>
      <c r="D1321" s="248">
        <v>1022.6444</v>
      </c>
      <c r="E1321" s="248">
        <v>1066.0527</v>
      </c>
      <c r="F1321" s="248">
        <v>1088.1578999999999</v>
      </c>
      <c r="G1321" s="248">
        <v>1105.6658</v>
      </c>
      <c r="H1321" s="248">
        <v>1136.1937</v>
      </c>
      <c r="I1321"/>
      <c r="J1321"/>
      <c r="K1321"/>
      <c r="L1321"/>
      <c r="M1321"/>
    </row>
    <row r="1322" spans="3:13" hidden="1" outlineLevel="1" x14ac:dyDescent="0.2">
      <c r="C1322" s="139">
        <v>1096</v>
      </c>
      <c r="D1322" s="248">
        <v>1023.6118</v>
      </c>
      <c r="E1322" s="248">
        <v>1067.0598</v>
      </c>
      <c r="F1322" s="248">
        <v>1089.1684</v>
      </c>
      <c r="G1322" s="248">
        <v>1106.6939</v>
      </c>
      <c r="H1322" s="248">
        <v>1137.2497000000001</v>
      </c>
      <c r="I1322"/>
      <c r="J1322"/>
      <c r="K1322"/>
      <c r="L1322"/>
      <c r="M1322"/>
    </row>
    <row r="1323" spans="3:13" hidden="1" outlineLevel="1" x14ac:dyDescent="0.2">
      <c r="C1323" s="139">
        <v>1097</v>
      </c>
      <c r="D1323" s="248">
        <v>1024.5791999999999</v>
      </c>
      <c r="E1323" s="248">
        <v>1068.0500999999999</v>
      </c>
      <c r="F1323" s="248">
        <v>1090.1789000000001</v>
      </c>
      <c r="G1323" s="248">
        <v>1107.7221</v>
      </c>
      <c r="H1323" s="248">
        <v>1138.3056999999999</v>
      </c>
      <c r="I1323"/>
      <c r="J1323"/>
      <c r="K1323"/>
      <c r="L1323"/>
      <c r="M1323"/>
    </row>
    <row r="1324" spans="3:13" hidden="1" outlineLevel="1" x14ac:dyDescent="0.2">
      <c r="C1324" s="139">
        <v>1098</v>
      </c>
      <c r="D1324" s="248">
        <v>1025.5634</v>
      </c>
      <c r="E1324" s="248">
        <v>1069.0572</v>
      </c>
      <c r="F1324" s="248">
        <v>1091.2062000000001</v>
      </c>
      <c r="G1324" s="248">
        <v>1108.7502999999999</v>
      </c>
      <c r="H1324" s="248">
        <v>1139.3434</v>
      </c>
      <c r="I1324"/>
      <c r="J1324"/>
      <c r="K1324"/>
      <c r="L1324"/>
      <c r="M1324"/>
    </row>
    <row r="1325" spans="3:13" hidden="1" outlineLevel="1" x14ac:dyDescent="0.2">
      <c r="C1325" s="139">
        <v>1099</v>
      </c>
      <c r="D1325" s="248">
        <v>1026.5309999999999</v>
      </c>
      <c r="E1325" s="248">
        <v>1070.0476000000001</v>
      </c>
      <c r="F1325" s="248">
        <v>1092.2167999999999</v>
      </c>
      <c r="G1325" s="248">
        <v>1109.7784999999999</v>
      </c>
      <c r="H1325" s="248">
        <v>1140.3995</v>
      </c>
      <c r="I1325"/>
      <c r="J1325"/>
      <c r="K1325"/>
      <c r="L1325"/>
      <c r="M1325"/>
    </row>
    <row r="1326" spans="3:13" hidden="1" outlineLevel="1" x14ac:dyDescent="0.2">
      <c r="C1326" s="139">
        <v>1100</v>
      </c>
      <c r="D1326" s="248">
        <v>1027.4985999999999</v>
      </c>
      <c r="E1326" s="248">
        <v>1071.0547999999999</v>
      </c>
      <c r="F1326" s="248">
        <v>1093.2274</v>
      </c>
      <c r="G1326" s="248">
        <v>1110.8068000000001</v>
      </c>
      <c r="H1326" s="248">
        <v>1141.4556</v>
      </c>
      <c r="I1326"/>
      <c r="J1326"/>
      <c r="K1326"/>
      <c r="L1326"/>
      <c r="M1326"/>
    </row>
    <row r="1327" spans="3:13" hidden="1" outlineLevel="1" x14ac:dyDescent="0.2">
      <c r="C1327" s="139">
        <v>1101</v>
      </c>
      <c r="D1327" s="248">
        <v>1028.4830999999999</v>
      </c>
      <c r="E1327" s="248">
        <v>1072.0453</v>
      </c>
      <c r="F1327" s="248">
        <v>1094.2380000000001</v>
      </c>
      <c r="G1327" s="248">
        <v>1111.8351</v>
      </c>
      <c r="H1327" s="248">
        <v>1142.4933000000001</v>
      </c>
      <c r="I1327"/>
      <c r="J1327"/>
      <c r="K1327"/>
      <c r="L1327"/>
      <c r="M1327"/>
    </row>
    <row r="1328" spans="3:13" hidden="1" outlineLevel="1" x14ac:dyDescent="0.2">
      <c r="C1328" s="139">
        <v>1102</v>
      </c>
      <c r="D1328" s="248">
        <v>1029.4509</v>
      </c>
      <c r="E1328" s="248">
        <v>1073.0527</v>
      </c>
      <c r="F1328" s="248">
        <v>1095.2487000000001</v>
      </c>
      <c r="G1328" s="248">
        <v>1112.8634999999999</v>
      </c>
      <c r="H1328" s="248">
        <v>1143.5495000000001</v>
      </c>
      <c r="I1328"/>
      <c r="J1328"/>
      <c r="K1328"/>
      <c r="L1328"/>
      <c r="M1328"/>
    </row>
    <row r="1329" spans="3:13" hidden="1" outlineLevel="1" x14ac:dyDescent="0.2">
      <c r="C1329" s="139">
        <v>1103</v>
      </c>
      <c r="D1329" s="248">
        <v>1030.4186999999999</v>
      </c>
      <c r="E1329" s="248">
        <v>1074.0432000000001</v>
      </c>
      <c r="F1329" s="248">
        <v>1096.2762</v>
      </c>
      <c r="G1329" s="248">
        <v>1113.8918000000001</v>
      </c>
      <c r="H1329" s="248">
        <v>1144.6057000000001</v>
      </c>
      <c r="I1329"/>
      <c r="J1329"/>
      <c r="K1329"/>
      <c r="L1329"/>
      <c r="M1329"/>
    </row>
    <row r="1330" spans="3:13" hidden="1" outlineLevel="1" x14ac:dyDescent="0.2">
      <c r="C1330" s="139">
        <v>1104</v>
      </c>
      <c r="D1330" s="248">
        <v>1031.4033999999999</v>
      </c>
      <c r="E1330" s="248">
        <v>1075.0507</v>
      </c>
      <c r="F1330" s="248">
        <v>1097.287</v>
      </c>
      <c r="G1330" s="248">
        <v>1114.9016999999999</v>
      </c>
      <c r="H1330" s="248">
        <v>1145.6433999999999</v>
      </c>
      <c r="I1330"/>
      <c r="J1330"/>
      <c r="K1330"/>
      <c r="L1330"/>
      <c r="M1330"/>
    </row>
    <row r="1331" spans="3:13" hidden="1" outlineLevel="1" x14ac:dyDescent="0.2">
      <c r="C1331" s="139">
        <v>1105</v>
      </c>
      <c r="D1331" s="248">
        <v>1032.3714</v>
      </c>
      <c r="E1331" s="248">
        <v>1076.0413000000001</v>
      </c>
      <c r="F1331" s="248">
        <v>1098.2978000000001</v>
      </c>
      <c r="G1331" s="248">
        <v>1115.9301</v>
      </c>
      <c r="H1331" s="248">
        <v>1146.6996999999999</v>
      </c>
      <c r="I1331"/>
      <c r="J1331"/>
      <c r="K1331"/>
      <c r="L1331"/>
      <c r="M1331"/>
    </row>
    <row r="1332" spans="3:13" hidden="1" outlineLevel="1" x14ac:dyDescent="0.2">
      <c r="C1332" s="139">
        <v>1106</v>
      </c>
      <c r="D1332" s="248">
        <v>1033.3394000000001</v>
      </c>
      <c r="E1332" s="248">
        <v>1077.0488</v>
      </c>
      <c r="F1332" s="248">
        <v>1099.3086000000001</v>
      </c>
      <c r="G1332" s="248">
        <v>1116.9585999999999</v>
      </c>
      <c r="H1332" s="248">
        <v>1147.7560000000001</v>
      </c>
      <c r="I1332"/>
      <c r="J1332"/>
      <c r="K1332"/>
      <c r="L1332"/>
      <c r="M1332"/>
    </row>
    <row r="1333" spans="3:13" hidden="1" outlineLevel="1" x14ac:dyDescent="0.2">
      <c r="C1333" s="139">
        <v>1107</v>
      </c>
      <c r="D1333" s="248">
        <v>1034.3074999999999</v>
      </c>
      <c r="E1333" s="248">
        <v>1078.0396000000001</v>
      </c>
      <c r="F1333" s="248">
        <v>1100.3194000000001</v>
      </c>
      <c r="G1333" s="248">
        <v>1117.9871000000001</v>
      </c>
      <c r="H1333" s="248">
        <v>1148.8123000000001</v>
      </c>
      <c r="I1333"/>
      <c r="J1333"/>
      <c r="K1333"/>
      <c r="L1333"/>
      <c r="M1333"/>
    </row>
    <row r="1334" spans="3:13" hidden="1" outlineLevel="1" x14ac:dyDescent="0.2">
      <c r="C1334" s="139">
        <v>1108</v>
      </c>
      <c r="D1334" s="248">
        <v>1035.2926</v>
      </c>
      <c r="E1334" s="248">
        <v>1079.0472</v>
      </c>
      <c r="F1334" s="248">
        <v>1101.3471999999999</v>
      </c>
      <c r="G1334" s="248">
        <v>1119.0155999999999</v>
      </c>
      <c r="H1334" s="248">
        <v>1149.8501000000001</v>
      </c>
      <c r="I1334"/>
      <c r="J1334"/>
      <c r="K1334"/>
      <c r="L1334"/>
      <c r="M1334"/>
    </row>
    <row r="1335" spans="3:13" hidden="1" outlineLevel="1" x14ac:dyDescent="0.2">
      <c r="C1335" s="139">
        <v>1109</v>
      </c>
      <c r="D1335" s="248">
        <v>1036.2608</v>
      </c>
      <c r="E1335" s="248">
        <v>1080.038</v>
      </c>
      <c r="F1335" s="248">
        <v>1102.3580999999999</v>
      </c>
      <c r="G1335" s="248">
        <v>1120.0441000000001</v>
      </c>
      <c r="H1335" s="248">
        <v>1150.9065000000001</v>
      </c>
      <c r="I1335"/>
      <c r="J1335"/>
      <c r="K1335"/>
      <c r="L1335"/>
      <c r="M1335"/>
    </row>
    <row r="1336" spans="3:13" hidden="1" outlineLevel="1" x14ac:dyDescent="0.2">
      <c r="C1336" s="139">
        <v>1110</v>
      </c>
      <c r="D1336" s="248">
        <v>1037.2291</v>
      </c>
      <c r="E1336" s="248">
        <v>1081.0458000000001</v>
      </c>
      <c r="F1336" s="248">
        <v>1103.3690999999999</v>
      </c>
      <c r="G1336" s="248">
        <v>1121.0726999999999</v>
      </c>
      <c r="H1336" s="248">
        <v>1151.9629</v>
      </c>
      <c r="I1336"/>
      <c r="J1336"/>
      <c r="K1336"/>
      <c r="L1336"/>
      <c r="M1336"/>
    </row>
    <row r="1337" spans="3:13" hidden="1" outlineLevel="1" x14ac:dyDescent="0.2">
      <c r="C1337" s="139">
        <v>1111</v>
      </c>
      <c r="D1337" s="248">
        <v>1038.1974</v>
      </c>
      <c r="E1337" s="248">
        <v>1082.0365999999999</v>
      </c>
      <c r="F1337" s="248">
        <v>1104.3800000000001</v>
      </c>
      <c r="G1337" s="248">
        <v>1122.1014</v>
      </c>
      <c r="H1337" s="248">
        <v>1153.0007000000001</v>
      </c>
      <c r="I1337"/>
      <c r="J1337"/>
      <c r="K1337"/>
      <c r="L1337"/>
      <c r="M1337"/>
    </row>
    <row r="1338" spans="3:13" hidden="1" outlineLevel="1" x14ac:dyDescent="0.2">
      <c r="C1338" s="139">
        <v>1112</v>
      </c>
      <c r="D1338" s="248">
        <v>1039.1828</v>
      </c>
      <c r="E1338" s="248">
        <v>1083.0445</v>
      </c>
      <c r="F1338" s="248">
        <v>1105.3911000000001</v>
      </c>
      <c r="G1338" s="248">
        <v>1123.1300000000001</v>
      </c>
      <c r="H1338" s="248">
        <v>1154.0572</v>
      </c>
      <c r="I1338"/>
      <c r="J1338"/>
      <c r="K1338"/>
      <c r="L1338"/>
      <c r="M1338"/>
    </row>
    <row r="1339" spans="3:13" hidden="1" outlineLevel="1" x14ac:dyDescent="0.2">
      <c r="C1339" s="139">
        <v>1113</v>
      </c>
      <c r="D1339" s="248">
        <v>1040.1513</v>
      </c>
      <c r="E1339" s="248">
        <v>1084.0354</v>
      </c>
      <c r="F1339" s="248">
        <v>1106.4021</v>
      </c>
      <c r="G1339" s="248">
        <v>1124.1587</v>
      </c>
      <c r="H1339" s="248">
        <v>1155.1137000000001</v>
      </c>
      <c r="I1339"/>
      <c r="J1339"/>
      <c r="K1339"/>
      <c r="L1339"/>
      <c r="M1339"/>
    </row>
    <row r="1340" spans="3:13" hidden="1" outlineLevel="1" x14ac:dyDescent="0.2">
      <c r="C1340" s="139">
        <v>1114</v>
      </c>
      <c r="D1340" s="248">
        <v>1041.1197999999999</v>
      </c>
      <c r="E1340" s="248">
        <v>1085.0434</v>
      </c>
      <c r="F1340" s="248">
        <v>1107.4302</v>
      </c>
      <c r="G1340" s="248">
        <v>1125.1874</v>
      </c>
      <c r="H1340" s="248">
        <v>1156.1514999999999</v>
      </c>
      <c r="I1340"/>
      <c r="J1340"/>
      <c r="K1340"/>
      <c r="L1340"/>
      <c r="M1340"/>
    </row>
    <row r="1341" spans="3:13" hidden="1" outlineLevel="1" x14ac:dyDescent="0.2">
      <c r="C1341" s="139">
        <v>1115</v>
      </c>
      <c r="D1341" s="248">
        <v>1042.0884000000001</v>
      </c>
      <c r="E1341" s="248">
        <v>1086.0344</v>
      </c>
      <c r="F1341" s="248">
        <v>1108.4413</v>
      </c>
      <c r="G1341" s="248">
        <v>1126.1975</v>
      </c>
      <c r="H1341" s="248">
        <v>1157.2081000000001</v>
      </c>
      <c r="I1341"/>
      <c r="J1341"/>
      <c r="K1341"/>
      <c r="L1341"/>
      <c r="M1341"/>
    </row>
    <row r="1342" spans="3:13" hidden="1" outlineLevel="1" x14ac:dyDescent="0.2">
      <c r="C1342" s="139">
        <v>1116</v>
      </c>
      <c r="D1342" s="248">
        <v>1043.0741</v>
      </c>
      <c r="E1342" s="248">
        <v>1087.0425</v>
      </c>
      <c r="F1342" s="248">
        <v>1109.4523999999999</v>
      </c>
      <c r="G1342" s="248">
        <v>1127.2262000000001</v>
      </c>
      <c r="H1342" s="248">
        <v>1158.2646999999999</v>
      </c>
      <c r="I1342"/>
      <c r="J1342"/>
      <c r="K1342"/>
      <c r="L1342"/>
      <c r="M1342"/>
    </row>
    <row r="1343" spans="3:13" hidden="1" outlineLevel="1" x14ac:dyDescent="0.2">
      <c r="C1343" s="139">
        <v>1117</v>
      </c>
      <c r="D1343" s="248">
        <v>1044.0428999999999</v>
      </c>
      <c r="E1343" s="248">
        <v>1088.0336</v>
      </c>
      <c r="F1343" s="248">
        <v>1110.4636</v>
      </c>
      <c r="G1343" s="248">
        <v>1128.2550000000001</v>
      </c>
      <c r="H1343" s="248">
        <v>1159.3025</v>
      </c>
      <c r="I1343"/>
      <c r="J1343"/>
      <c r="K1343"/>
      <c r="L1343"/>
      <c r="M1343"/>
    </row>
    <row r="1344" spans="3:13" hidden="1" outlineLevel="1" x14ac:dyDescent="0.2">
      <c r="C1344" s="139">
        <v>1118</v>
      </c>
      <c r="D1344" s="248">
        <v>1045.0117</v>
      </c>
      <c r="E1344" s="248">
        <v>1089.0246999999999</v>
      </c>
      <c r="F1344" s="248">
        <v>1111.4748</v>
      </c>
      <c r="G1344" s="248">
        <v>1129.2838999999999</v>
      </c>
      <c r="H1344" s="248">
        <v>1160.3592000000001</v>
      </c>
      <c r="I1344"/>
      <c r="J1344"/>
      <c r="K1344"/>
      <c r="L1344"/>
      <c r="M1344"/>
    </row>
    <row r="1345" spans="3:13" hidden="1" outlineLevel="1" x14ac:dyDescent="0.2">
      <c r="C1345" s="139">
        <v>1119</v>
      </c>
      <c r="D1345" s="248">
        <v>1045.9804999999999</v>
      </c>
      <c r="E1345" s="248">
        <v>1090.0329999999999</v>
      </c>
      <c r="F1345" s="248">
        <v>1112.4860000000001</v>
      </c>
      <c r="G1345" s="248">
        <v>1130.3127999999999</v>
      </c>
      <c r="H1345" s="248">
        <v>1161.4158</v>
      </c>
      <c r="I1345"/>
      <c r="J1345"/>
      <c r="K1345"/>
      <c r="L1345"/>
      <c r="M1345"/>
    </row>
    <row r="1346" spans="3:13" hidden="1" outlineLevel="1" x14ac:dyDescent="0.2">
      <c r="C1346" s="139">
        <v>1120</v>
      </c>
      <c r="D1346" s="248">
        <v>1046.9666</v>
      </c>
      <c r="E1346" s="248">
        <v>1091.0242000000001</v>
      </c>
      <c r="F1346" s="248">
        <v>1113.5144</v>
      </c>
      <c r="G1346" s="248">
        <v>1131.3416999999999</v>
      </c>
      <c r="H1346" s="248">
        <v>1162.4725000000001</v>
      </c>
      <c r="I1346"/>
      <c r="J1346"/>
      <c r="K1346"/>
      <c r="L1346"/>
      <c r="M1346"/>
    </row>
    <row r="1347" spans="3:13" hidden="1" outlineLevel="1" x14ac:dyDescent="0.2">
      <c r="C1347" s="139">
        <v>1121</v>
      </c>
      <c r="D1347" s="248">
        <v>1047.9356</v>
      </c>
      <c r="E1347" s="248">
        <v>1092.0325</v>
      </c>
      <c r="F1347" s="248">
        <v>1114.5256999999999</v>
      </c>
      <c r="G1347" s="248">
        <v>1132.3706</v>
      </c>
      <c r="H1347" s="248">
        <v>1163.5105000000001</v>
      </c>
      <c r="I1347"/>
      <c r="J1347"/>
      <c r="K1347"/>
      <c r="L1347"/>
      <c r="M1347"/>
    </row>
    <row r="1348" spans="3:13" hidden="1" outlineLevel="1" x14ac:dyDescent="0.2">
      <c r="C1348" s="139">
        <v>1122</v>
      </c>
      <c r="D1348" s="248">
        <v>1048.9046000000001</v>
      </c>
      <c r="E1348" s="248">
        <v>1093.0237999999999</v>
      </c>
      <c r="F1348" s="248">
        <v>1115.5371</v>
      </c>
      <c r="G1348" s="248">
        <v>1133.3996</v>
      </c>
      <c r="H1348" s="248">
        <v>1164.5672</v>
      </c>
      <c r="I1348"/>
      <c r="J1348"/>
      <c r="K1348"/>
      <c r="L1348"/>
      <c r="M1348"/>
    </row>
    <row r="1349" spans="3:13" hidden="1" outlineLevel="1" x14ac:dyDescent="0.2">
      <c r="C1349" s="139">
        <v>1123</v>
      </c>
      <c r="D1349" s="248">
        <v>1049.8737000000001</v>
      </c>
      <c r="E1349" s="248">
        <v>1094.0322000000001</v>
      </c>
      <c r="F1349" s="248">
        <v>1116.5483999999999</v>
      </c>
      <c r="G1349" s="248">
        <v>1134.4286</v>
      </c>
      <c r="H1349" s="248">
        <v>1165.624</v>
      </c>
      <c r="I1349"/>
      <c r="J1349"/>
      <c r="K1349"/>
      <c r="L1349"/>
      <c r="M1349"/>
    </row>
    <row r="1350" spans="3:13" hidden="1" outlineLevel="1" x14ac:dyDescent="0.2">
      <c r="C1350" s="139">
        <v>1124</v>
      </c>
      <c r="D1350" s="248">
        <v>1050.8601000000001</v>
      </c>
      <c r="E1350" s="248">
        <v>1095.0236</v>
      </c>
      <c r="F1350" s="248">
        <v>1117.5598</v>
      </c>
      <c r="G1350" s="248">
        <v>1135.4387999999999</v>
      </c>
      <c r="H1350" s="248">
        <v>1166.662</v>
      </c>
      <c r="I1350"/>
      <c r="J1350"/>
      <c r="K1350"/>
      <c r="L1350"/>
      <c r="M1350"/>
    </row>
    <row r="1351" spans="3:13" hidden="1" outlineLevel="1" x14ac:dyDescent="0.2">
      <c r="C1351" s="139">
        <v>1125</v>
      </c>
      <c r="D1351" s="248">
        <v>1051.8293000000001</v>
      </c>
      <c r="E1351" s="248">
        <v>1096.0320999999999</v>
      </c>
      <c r="F1351" s="248">
        <v>1118.5713000000001</v>
      </c>
      <c r="G1351" s="248">
        <v>1136.4677999999999</v>
      </c>
      <c r="H1351" s="248">
        <v>1167.7188000000001</v>
      </c>
      <c r="I1351"/>
      <c r="J1351"/>
      <c r="K1351"/>
      <c r="L1351"/>
      <c r="M1351"/>
    </row>
    <row r="1352" spans="3:13" hidden="1" outlineLevel="1" x14ac:dyDescent="0.2">
      <c r="C1352" s="139">
        <v>1126</v>
      </c>
      <c r="D1352" s="248">
        <v>1052.7987000000001</v>
      </c>
      <c r="E1352" s="248">
        <v>1097.0236</v>
      </c>
      <c r="F1352" s="248">
        <v>1119.5998999999999</v>
      </c>
      <c r="G1352" s="248">
        <v>1137.4969000000001</v>
      </c>
      <c r="H1352" s="248">
        <v>1168.7756999999999</v>
      </c>
      <c r="I1352"/>
      <c r="J1352"/>
      <c r="K1352"/>
      <c r="L1352"/>
      <c r="M1352"/>
    </row>
    <row r="1353" spans="3:13" hidden="1" outlineLevel="1" x14ac:dyDescent="0.2">
      <c r="C1353" s="139">
        <v>1127</v>
      </c>
      <c r="D1353" s="248">
        <v>1053.768</v>
      </c>
      <c r="E1353" s="248">
        <v>1098.0322000000001</v>
      </c>
      <c r="F1353" s="248">
        <v>1120.6114</v>
      </c>
      <c r="G1353" s="248">
        <v>1138.5261</v>
      </c>
      <c r="H1353" s="248">
        <v>1169.8136999999999</v>
      </c>
      <c r="I1353"/>
      <c r="J1353"/>
      <c r="K1353"/>
      <c r="L1353"/>
      <c r="M1353"/>
    </row>
    <row r="1354" spans="3:13" hidden="1" outlineLevel="1" x14ac:dyDescent="0.2">
      <c r="C1354" s="139">
        <v>1128</v>
      </c>
      <c r="D1354" s="248">
        <v>1054.7375</v>
      </c>
      <c r="E1354" s="248">
        <v>1099.0237</v>
      </c>
      <c r="F1354" s="248">
        <v>1121.623</v>
      </c>
      <c r="G1354" s="248">
        <v>1139.5552</v>
      </c>
      <c r="H1354" s="248">
        <v>1170.8706</v>
      </c>
      <c r="I1354"/>
      <c r="J1354"/>
      <c r="K1354"/>
      <c r="L1354"/>
      <c r="M1354"/>
    </row>
    <row r="1355" spans="3:13" hidden="1" outlineLevel="1" x14ac:dyDescent="0.2">
      <c r="C1355" s="139">
        <v>1129</v>
      </c>
      <c r="D1355" s="248">
        <v>1055.7242000000001</v>
      </c>
      <c r="E1355" s="248">
        <v>1100.0153</v>
      </c>
      <c r="F1355" s="248">
        <v>1122.6346000000001</v>
      </c>
      <c r="G1355" s="248">
        <v>1140.5844</v>
      </c>
      <c r="H1355" s="248">
        <v>1171.9275</v>
      </c>
      <c r="I1355"/>
      <c r="J1355"/>
      <c r="K1355"/>
      <c r="L1355"/>
      <c r="M1355"/>
    </row>
    <row r="1356" spans="3:13" hidden="1" outlineLevel="1" x14ac:dyDescent="0.2">
      <c r="C1356" s="139">
        <v>1130</v>
      </c>
      <c r="D1356" s="248">
        <v>1056.6938</v>
      </c>
      <c r="E1356" s="248">
        <v>1101.0241000000001</v>
      </c>
      <c r="F1356" s="248">
        <v>1123.6461999999999</v>
      </c>
      <c r="G1356" s="248">
        <v>1141.6135999999999</v>
      </c>
      <c r="H1356" s="248">
        <v>1172.9656</v>
      </c>
      <c r="I1356"/>
      <c r="J1356"/>
      <c r="K1356"/>
      <c r="L1356"/>
      <c r="M1356"/>
    </row>
    <row r="1357" spans="3:13" hidden="1" outlineLevel="1" x14ac:dyDescent="0.2">
      <c r="C1357" s="139">
        <v>1131</v>
      </c>
      <c r="D1357" s="248">
        <v>1057.6633999999999</v>
      </c>
      <c r="E1357" s="248">
        <v>1102.0156999999999</v>
      </c>
      <c r="F1357" s="248">
        <v>1124.6578</v>
      </c>
      <c r="G1357" s="248">
        <v>1142.6429000000001</v>
      </c>
      <c r="H1357" s="248">
        <v>1174.0226</v>
      </c>
      <c r="I1357"/>
      <c r="J1357"/>
      <c r="K1357"/>
      <c r="L1357"/>
      <c r="M1357"/>
    </row>
    <row r="1358" spans="3:13" hidden="1" outlineLevel="1" x14ac:dyDescent="0.2">
      <c r="C1358" s="139">
        <v>1132</v>
      </c>
      <c r="D1358" s="248">
        <v>1058.6331</v>
      </c>
      <c r="E1358" s="248">
        <v>1103.0246</v>
      </c>
      <c r="F1358" s="248">
        <v>1125.6867</v>
      </c>
      <c r="G1358" s="248">
        <v>1143.6722</v>
      </c>
      <c r="H1358" s="248">
        <v>1175.0796</v>
      </c>
      <c r="I1358"/>
      <c r="J1358"/>
      <c r="K1358"/>
      <c r="L1358"/>
      <c r="M1358"/>
    </row>
    <row r="1359" spans="3:13" hidden="1" outlineLevel="1" x14ac:dyDescent="0.2">
      <c r="C1359" s="139">
        <v>1133</v>
      </c>
      <c r="D1359" s="248">
        <v>1059.6029000000001</v>
      </c>
      <c r="E1359" s="248">
        <v>1104.0163</v>
      </c>
      <c r="F1359" s="248">
        <v>1126.6984</v>
      </c>
      <c r="G1359" s="248">
        <v>1144.6824999999999</v>
      </c>
      <c r="H1359" s="248">
        <v>1176.1177</v>
      </c>
      <c r="I1359"/>
      <c r="J1359"/>
      <c r="K1359"/>
      <c r="L1359"/>
      <c r="M1359"/>
    </row>
    <row r="1360" spans="3:13" hidden="1" outlineLevel="1" x14ac:dyDescent="0.2">
      <c r="C1360" s="139">
        <v>1134</v>
      </c>
      <c r="D1360" s="248">
        <v>1060.5899999999999</v>
      </c>
      <c r="E1360" s="248">
        <v>1105.0253</v>
      </c>
      <c r="F1360" s="248">
        <v>1127.7102</v>
      </c>
      <c r="G1360" s="248">
        <v>1145.7119</v>
      </c>
      <c r="H1360" s="248">
        <v>1177.1747</v>
      </c>
      <c r="I1360"/>
      <c r="J1360"/>
      <c r="K1360"/>
      <c r="L1360"/>
      <c r="M1360"/>
    </row>
    <row r="1361" spans="3:13" hidden="1" outlineLevel="1" x14ac:dyDescent="0.2">
      <c r="C1361" s="139">
        <v>1135</v>
      </c>
      <c r="D1361" s="248">
        <v>1061.5599</v>
      </c>
      <c r="E1361" s="248">
        <v>1106.0171</v>
      </c>
      <c r="F1361" s="248">
        <v>1128.722</v>
      </c>
      <c r="G1361" s="248">
        <v>1146.7411999999999</v>
      </c>
      <c r="H1361" s="248">
        <v>1178.2319</v>
      </c>
      <c r="I1361"/>
      <c r="J1361"/>
      <c r="K1361"/>
      <c r="L1361"/>
      <c r="M1361"/>
    </row>
    <row r="1362" spans="3:13" hidden="1" outlineLevel="1" x14ac:dyDescent="0.2">
      <c r="C1362" s="139">
        <v>1136</v>
      </c>
      <c r="D1362" s="248">
        <v>1062.5299</v>
      </c>
      <c r="E1362" s="248">
        <v>1107.0089</v>
      </c>
      <c r="F1362" s="248">
        <v>1129.7338</v>
      </c>
      <c r="G1362" s="248">
        <v>1147.7706000000001</v>
      </c>
      <c r="H1362" s="248">
        <v>1179.27</v>
      </c>
      <c r="I1362"/>
      <c r="J1362"/>
      <c r="K1362"/>
      <c r="L1362"/>
      <c r="M1362"/>
    </row>
    <row r="1363" spans="3:13" hidden="1" outlineLevel="1" x14ac:dyDescent="0.2">
      <c r="C1363" s="139">
        <v>1137</v>
      </c>
      <c r="D1363" s="248">
        <v>1063.4999</v>
      </c>
      <c r="E1363" s="248">
        <v>1108.0181</v>
      </c>
      <c r="F1363" s="248">
        <v>1130.7456</v>
      </c>
      <c r="G1363" s="248">
        <v>1148.8000999999999</v>
      </c>
      <c r="H1363" s="248">
        <v>1180.3271</v>
      </c>
      <c r="I1363"/>
      <c r="J1363"/>
      <c r="K1363"/>
      <c r="L1363"/>
      <c r="M1363"/>
    </row>
    <row r="1364" spans="3:13" hidden="1" outlineLevel="1" x14ac:dyDescent="0.2">
      <c r="C1364" s="139">
        <v>1138</v>
      </c>
      <c r="D1364" s="248">
        <v>1064.47</v>
      </c>
      <c r="E1364" s="248">
        <v>1109.01</v>
      </c>
      <c r="F1364" s="248">
        <v>1131.7574999999999</v>
      </c>
      <c r="G1364" s="248">
        <v>1149.8296</v>
      </c>
      <c r="H1364" s="248">
        <v>1181.3842999999999</v>
      </c>
      <c r="I1364"/>
      <c r="J1364"/>
      <c r="K1364"/>
      <c r="L1364"/>
      <c r="M1364"/>
    </row>
    <row r="1365" spans="3:13" hidden="1" outlineLevel="1" x14ac:dyDescent="0.2">
      <c r="C1365" s="139">
        <v>1139</v>
      </c>
      <c r="D1365" s="248">
        <v>1065.4575</v>
      </c>
      <c r="E1365" s="248">
        <v>1110.0192</v>
      </c>
      <c r="F1365" s="248">
        <v>1132.7867000000001</v>
      </c>
      <c r="G1365" s="248">
        <v>1150.8590999999999</v>
      </c>
      <c r="H1365" s="248">
        <v>1182.4224999999999</v>
      </c>
      <c r="I1365"/>
      <c r="J1365"/>
      <c r="K1365"/>
      <c r="L1365"/>
      <c r="M1365"/>
    </row>
    <row r="1366" spans="3:13" hidden="1" outlineLevel="1" x14ac:dyDescent="0.2">
      <c r="C1366" s="139">
        <v>1140</v>
      </c>
      <c r="D1366" s="248">
        <v>1066.4277999999999</v>
      </c>
      <c r="E1366" s="248">
        <v>1111.0111999999999</v>
      </c>
      <c r="F1366" s="248">
        <v>1133.7987000000001</v>
      </c>
      <c r="G1366" s="248">
        <v>1151.8886</v>
      </c>
      <c r="H1366" s="248">
        <v>1183.4797000000001</v>
      </c>
      <c r="I1366"/>
      <c r="J1366"/>
      <c r="K1366"/>
      <c r="L1366"/>
      <c r="M1366"/>
    </row>
    <row r="1367" spans="3:13" hidden="1" outlineLevel="1" x14ac:dyDescent="0.2">
      <c r="C1367" s="139">
        <v>1141</v>
      </c>
      <c r="D1367" s="248">
        <v>1067.3979999999999</v>
      </c>
      <c r="E1367" s="248">
        <v>1112.0206000000001</v>
      </c>
      <c r="F1367" s="248">
        <v>1134.8106</v>
      </c>
      <c r="G1367" s="248">
        <v>1152.8991000000001</v>
      </c>
      <c r="H1367" s="248">
        <v>1184.537</v>
      </c>
      <c r="I1367"/>
      <c r="J1367"/>
      <c r="K1367"/>
      <c r="L1367"/>
      <c r="M1367"/>
    </row>
    <row r="1368" spans="3:13" hidden="1" outlineLevel="1" x14ac:dyDescent="0.2">
      <c r="C1368" s="139">
        <v>1142</v>
      </c>
      <c r="D1368" s="248">
        <v>1068.3684000000001</v>
      </c>
      <c r="E1368" s="248">
        <v>1113.0126</v>
      </c>
      <c r="F1368" s="248">
        <v>1135.8226</v>
      </c>
      <c r="G1368" s="248">
        <v>1153.9286999999999</v>
      </c>
      <c r="H1368" s="248">
        <v>1185.5752</v>
      </c>
      <c r="I1368"/>
      <c r="J1368"/>
      <c r="K1368"/>
      <c r="L1368"/>
      <c r="M1368"/>
    </row>
    <row r="1369" spans="3:13" hidden="1" outlineLevel="1" x14ac:dyDescent="0.2">
      <c r="C1369" s="139">
        <v>1143</v>
      </c>
      <c r="D1369" s="248">
        <v>1069.3388</v>
      </c>
      <c r="E1369" s="248">
        <v>1114.0047</v>
      </c>
      <c r="F1369" s="248">
        <v>1136.8347000000001</v>
      </c>
      <c r="G1369" s="248">
        <v>1154.9583</v>
      </c>
      <c r="H1369" s="248">
        <v>1186.6324999999999</v>
      </c>
      <c r="I1369"/>
      <c r="J1369"/>
      <c r="K1369"/>
      <c r="L1369"/>
      <c r="M1369"/>
    </row>
    <row r="1370" spans="3:13" hidden="1" outlineLevel="1" x14ac:dyDescent="0.2">
      <c r="C1370" s="139">
        <v>1144</v>
      </c>
      <c r="D1370" s="248">
        <v>1070.3092999999999</v>
      </c>
      <c r="E1370" s="248">
        <v>1115.0142000000001</v>
      </c>
      <c r="F1370" s="248">
        <v>1137.8467000000001</v>
      </c>
      <c r="G1370" s="248">
        <v>1155.9879000000001</v>
      </c>
      <c r="H1370" s="248">
        <v>1187.6899000000001</v>
      </c>
      <c r="I1370"/>
      <c r="J1370"/>
      <c r="K1370"/>
      <c r="L1370"/>
      <c r="M1370"/>
    </row>
    <row r="1371" spans="3:13" hidden="1" outlineLevel="1" x14ac:dyDescent="0.2">
      <c r="C1371" s="139">
        <v>1145</v>
      </c>
      <c r="D1371" s="248">
        <v>1071.2973</v>
      </c>
      <c r="E1371" s="248">
        <v>1116.0064</v>
      </c>
      <c r="F1371" s="248">
        <v>1138.8588</v>
      </c>
      <c r="G1371" s="248">
        <v>1157.0175999999999</v>
      </c>
      <c r="H1371" s="248">
        <v>1188.7281</v>
      </c>
      <c r="I1371"/>
      <c r="J1371"/>
      <c r="K1371"/>
      <c r="L1371"/>
      <c r="M1371"/>
    </row>
    <row r="1372" spans="3:13" hidden="1" outlineLevel="1" x14ac:dyDescent="0.2">
      <c r="C1372" s="139">
        <v>1146</v>
      </c>
      <c r="D1372" s="248">
        <v>1072.2679000000001</v>
      </c>
      <c r="E1372" s="248">
        <v>1117.0160000000001</v>
      </c>
      <c r="F1372" s="248">
        <v>1139.8710000000001</v>
      </c>
      <c r="G1372" s="248">
        <v>1158.0473999999999</v>
      </c>
      <c r="H1372" s="248">
        <v>1189.7855</v>
      </c>
      <c r="I1372"/>
      <c r="J1372"/>
      <c r="K1372"/>
      <c r="L1372"/>
      <c r="M1372"/>
    </row>
    <row r="1373" spans="3:13" hidden="1" outlineLevel="1" x14ac:dyDescent="0.2">
      <c r="C1373" s="139">
        <v>1147</v>
      </c>
      <c r="D1373" s="248">
        <v>1073.2384999999999</v>
      </c>
      <c r="E1373" s="248">
        <v>1118.0082</v>
      </c>
      <c r="F1373" s="248">
        <v>1140.9005999999999</v>
      </c>
      <c r="G1373" s="248">
        <v>1159.0771</v>
      </c>
      <c r="H1373" s="248">
        <v>1190.8430000000001</v>
      </c>
      <c r="I1373"/>
      <c r="J1373"/>
      <c r="K1373"/>
      <c r="L1373"/>
      <c r="M1373"/>
    </row>
    <row r="1374" spans="3:13" hidden="1" outlineLevel="1" x14ac:dyDescent="0.2">
      <c r="C1374" s="139">
        <v>1148</v>
      </c>
      <c r="D1374" s="248">
        <v>1074.2093</v>
      </c>
      <c r="E1374" s="248">
        <v>1119.0005000000001</v>
      </c>
      <c r="F1374" s="248">
        <v>1141.9128000000001</v>
      </c>
      <c r="G1374" s="248">
        <v>1160.0877</v>
      </c>
      <c r="H1374" s="248">
        <v>1191.8812</v>
      </c>
      <c r="I1374"/>
      <c r="J1374"/>
      <c r="K1374"/>
      <c r="L1374"/>
      <c r="M1374"/>
    </row>
    <row r="1375" spans="3:13" hidden="1" outlineLevel="1" x14ac:dyDescent="0.2">
      <c r="C1375" s="139">
        <v>1149</v>
      </c>
      <c r="D1375" s="248">
        <v>1075.18</v>
      </c>
      <c r="E1375" s="248">
        <v>1120.0102999999999</v>
      </c>
      <c r="F1375" s="248">
        <v>1142.925</v>
      </c>
      <c r="G1375" s="248">
        <v>1161.1175000000001</v>
      </c>
      <c r="H1375" s="248">
        <v>1192.9386999999999</v>
      </c>
      <c r="I1375"/>
      <c r="J1375"/>
      <c r="K1375"/>
      <c r="L1375"/>
      <c r="M1375"/>
    </row>
    <row r="1376" spans="3:13" hidden="1" outlineLevel="1" x14ac:dyDescent="0.2">
      <c r="C1376" s="139">
        <v>1150</v>
      </c>
      <c r="D1376" s="248">
        <v>1076.1509000000001</v>
      </c>
      <c r="E1376" s="248">
        <v>1121.0026</v>
      </c>
      <c r="F1376" s="248">
        <v>1143.9373000000001</v>
      </c>
      <c r="G1376" s="248">
        <v>1162.1473000000001</v>
      </c>
      <c r="H1376" s="248">
        <v>1193.9962</v>
      </c>
      <c r="I1376"/>
      <c r="J1376"/>
      <c r="K1376"/>
      <c r="L1376"/>
      <c r="M1376"/>
    </row>
    <row r="1377" spans="3:13" hidden="1" outlineLevel="1" x14ac:dyDescent="0.2">
      <c r="C1377" s="139">
        <v>1151</v>
      </c>
      <c r="D1377" s="248">
        <v>1077.1217999999999</v>
      </c>
      <c r="E1377" s="248">
        <v>1122.0125</v>
      </c>
      <c r="F1377" s="248">
        <v>1144.9495999999999</v>
      </c>
      <c r="G1377" s="248">
        <v>1163.1772000000001</v>
      </c>
      <c r="H1377" s="248">
        <v>1195.0345</v>
      </c>
      <c r="I1377"/>
      <c r="J1377"/>
      <c r="K1377"/>
      <c r="L1377"/>
      <c r="M1377"/>
    </row>
    <row r="1378" spans="3:13" hidden="1" outlineLevel="1" x14ac:dyDescent="0.2">
      <c r="C1378" s="139">
        <v>1152</v>
      </c>
      <c r="D1378" s="248">
        <v>1078.1104</v>
      </c>
      <c r="E1378" s="248">
        <v>1123.0048999999999</v>
      </c>
      <c r="F1378" s="248">
        <v>1145.9619</v>
      </c>
      <c r="G1378" s="248">
        <v>1164.2071000000001</v>
      </c>
      <c r="H1378" s="248">
        <v>1196.0921000000001</v>
      </c>
      <c r="I1378"/>
      <c r="J1378"/>
      <c r="K1378"/>
      <c r="L1378"/>
      <c r="M1378"/>
    </row>
    <row r="1379" spans="3:13" hidden="1" outlineLevel="1" x14ac:dyDescent="0.2">
      <c r="C1379" s="139">
        <v>1153</v>
      </c>
      <c r="D1379" s="248">
        <v>1079.0814</v>
      </c>
      <c r="E1379" s="248">
        <v>1123.9973</v>
      </c>
      <c r="F1379" s="248">
        <v>1146.9743000000001</v>
      </c>
      <c r="G1379" s="248">
        <v>1165.2371000000001</v>
      </c>
      <c r="H1379" s="248">
        <v>1197.1304</v>
      </c>
      <c r="I1379"/>
      <c r="J1379"/>
      <c r="K1379"/>
      <c r="L1379"/>
      <c r="M1379"/>
    </row>
    <row r="1380" spans="3:13" hidden="1" outlineLevel="1" x14ac:dyDescent="0.2">
      <c r="C1380" s="139">
        <v>1154</v>
      </c>
      <c r="D1380" s="248">
        <v>1080.0525</v>
      </c>
      <c r="E1380" s="248">
        <v>1125.0074</v>
      </c>
      <c r="F1380" s="248">
        <v>1147.9866</v>
      </c>
      <c r="G1380" s="248">
        <v>1166.2671</v>
      </c>
      <c r="H1380" s="248">
        <v>1198.1880000000001</v>
      </c>
      <c r="I1380"/>
      <c r="J1380"/>
      <c r="K1380"/>
      <c r="L1380"/>
      <c r="M1380"/>
    </row>
    <row r="1381" spans="3:13" hidden="1" outlineLevel="1" x14ac:dyDescent="0.2">
      <c r="C1381" s="139">
        <v>1155</v>
      </c>
      <c r="D1381" s="248">
        <v>1081.0237</v>
      </c>
      <c r="E1381" s="248">
        <v>1125.9999</v>
      </c>
      <c r="F1381" s="248">
        <v>1148.9991</v>
      </c>
      <c r="G1381" s="248">
        <v>1167.2777000000001</v>
      </c>
      <c r="H1381" s="248">
        <v>1199.2456999999999</v>
      </c>
      <c r="I1381"/>
      <c r="J1381"/>
      <c r="K1381"/>
      <c r="L1381"/>
      <c r="M1381"/>
    </row>
    <row r="1382" spans="3:13" hidden="1" outlineLevel="1" x14ac:dyDescent="0.2">
      <c r="C1382" s="139">
        <v>1156</v>
      </c>
      <c r="D1382" s="248">
        <v>1081.9948999999999</v>
      </c>
      <c r="E1382" s="248">
        <v>1127.01</v>
      </c>
      <c r="F1382" s="248">
        <v>1150.0291</v>
      </c>
      <c r="G1382" s="248">
        <v>1168.3077000000001</v>
      </c>
      <c r="H1382" s="248">
        <v>1200.2840000000001</v>
      </c>
      <c r="I1382"/>
      <c r="J1382"/>
      <c r="K1382"/>
      <c r="L1382"/>
      <c r="M1382"/>
    </row>
    <row r="1383" spans="3:13" hidden="1" outlineLevel="1" x14ac:dyDescent="0.2">
      <c r="C1383" s="139">
        <v>1157</v>
      </c>
      <c r="D1383" s="248">
        <v>1082.9662000000001</v>
      </c>
      <c r="E1383" s="248">
        <v>1128.0026</v>
      </c>
      <c r="F1383" s="248">
        <v>1151.0416</v>
      </c>
      <c r="G1383" s="248">
        <v>1169.3378</v>
      </c>
      <c r="H1383" s="248">
        <v>1201.3416999999999</v>
      </c>
      <c r="I1383"/>
      <c r="J1383"/>
      <c r="K1383"/>
      <c r="L1383"/>
      <c r="M1383"/>
    </row>
    <row r="1384" spans="3:13" hidden="1" outlineLevel="1" x14ac:dyDescent="0.2">
      <c r="C1384" s="139">
        <v>1158</v>
      </c>
      <c r="D1384" s="248">
        <v>1083.9375</v>
      </c>
      <c r="E1384" s="248">
        <v>1128.9952000000001</v>
      </c>
      <c r="F1384" s="248">
        <v>1152.0542</v>
      </c>
      <c r="G1384" s="248">
        <v>1170.3679</v>
      </c>
      <c r="H1384" s="248">
        <v>1202.3995</v>
      </c>
      <c r="I1384"/>
      <c r="J1384"/>
      <c r="K1384"/>
      <c r="L1384"/>
      <c r="M1384"/>
    </row>
    <row r="1385" spans="3:13" hidden="1" outlineLevel="1" x14ac:dyDescent="0.2">
      <c r="C1385" s="139">
        <v>1159</v>
      </c>
      <c r="D1385" s="248">
        <v>1084.9266</v>
      </c>
      <c r="E1385" s="248">
        <v>1130.0055</v>
      </c>
      <c r="F1385" s="248">
        <v>1153.0667000000001</v>
      </c>
      <c r="G1385" s="248">
        <v>1171.3979999999999</v>
      </c>
      <c r="H1385" s="248">
        <v>1203.4377999999999</v>
      </c>
      <c r="I1385"/>
      <c r="J1385"/>
      <c r="K1385"/>
      <c r="L1385"/>
      <c r="M1385"/>
    </row>
    <row r="1386" spans="3:13" hidden="1" outlineLevel="1" x14ac:dyDescent="0.2">
      <c r="C1386" s="139">
        <v>1160</v>
      </c>
      <c r="D1386" s="248">
        <v>1085.8981000000001</v>
      </c>
      <c r="E1386" s="248">
        <v>1130.9982</v>
      </c>
      <c r="F1386" s="248">
        <v>1154.0793000000001</v>
      </c>
      <c r="G1386" s="248">
        <v>1172.4282000000001</v>
      </c>
      <c r="H1386" s="248">
        <v>1204.4956</v>
      </c>
      <c r="I1386"/>
      <c r="J1386"/>
      <c r="K1386"/>
      <c r="L1386"/>
      <c r="M1386"/>
    </row>
    <row r="1387" spans="3:13" hidden="1" outlineLevel="1" x14ac:dyDescent="0.2">
      <c r="C1387" s="139">
        <v>1161</v>
      </c>
      <c r="D1387" s="248">
        <v>1086.8697</v>
      </c>
      <c r="E1387" s="248">
        <v>1132.0087000000001</v>
      </c>
      <c r="F1387" s="248">
        <v>1155.0918999999999</v>
      </c>
      <c r="G1387" s="248">
        <v>1173.4389000000001</v>
      </c>
      <c r="H1387" s="248">
        <v>1205.5535</v>
      </c>
      <c r="I1387"/>
      <c r="J1387"/>
      <c r="K1387"/>
      <c r="L1387"/>
      <c r="M1387"/>
    </row>
    <row r="1388" spans="3:13" hidden="1" outlineLevel="1" x14ac:dyDescent="0.2">
      <c r="C1388" s="139">
        <v>1162</v>
      </c>
      <c r="D1388" s="248">
        <v>1087.8413</v>
      </c>
      <c r="E1388" s="248">
        <v>1133.0014000000001</v>
      </c>
      <c r="F1388" s="248">
        <v>1156.1044999999999</v>
      </c>
      <c r="G1388" s="248">
        <v>1174.4691</v>
      </c>
      <c r="H1388" s="248">
        <v>1206.5918999999999</v>
      </c>
      <c r="I1388"/>
      <c r="J1388"/>
      <c r="K1388"/>
      <c r="L1388"/>
      <c r="M1388"/>
    </row>
    <row r="1389" spans="3:13" hidden="1" outlineLevel="1" x14ac:dyDescent="0.2">
      <c r="C1389" s="139">
        <v>1163</v>
      </c>
      <c r="D1389" s="248">
        <v>1088.8130000000001</v>
      </c>
      <c r="E1389" s="248">
        <v>1133.9942000000001</v>
      </c>
      <c r="F1389" s="248">
        <v>1157.1171999999999</v>
      </c>
      <c r="G1389" s="248">
        <v>1175.4993999999999</v>
      </c>
      <c r="H1389" s="248">
        <v>1207.6497999999999</v>
      </c>
      <c r="I1389"/>
      <c r="J1389"/>
      <c r="K1389"/>
      <c r="L1389"/>
      <c r="M1389"/>
    </row>
    <row r="1390" spans="3:13" hidden="1" outlineLevel="1" x14ac:dyDescent="0.2">
      <c r="C1390" s="139">
        <v>1164</v>
      </c>
      <c r="D1390" s="248">
        <v>1089.7846999999999</v>
      </c>
      <c r="E1390" s="248">
        <v>1135.0047999999999</v>
      </c>
      <c r="F1390" s="248">
        <v>1158.1298999999999</v>
      </c>
      <c r="G1390" s="248">
        <v>1176.5297</v>
      </c>
      <c r="H1390" s="248">
        <v>1208.7076999999999</v>
      </c>
      <c r="I1390"/>
      <c r="J1390"/>
      <c r="K1390"/>
      <c r="L1390"/>
      <c r="M1390"/>
    </row>
    <row r="1391" spans="3:13" hidden="1" outlineLevel="1" x14ac:dyDescent="0.2">
      <c r="C1391" s="139">
        <v>1165</v>
      </c>
      <c r="D1391" s="248">
        <v>1090.7565</v>
      </c>
      <c r="E1391" s="248">
        <v>1135.9976999999999</v>
      </c>
      <c r="F1391" s="248">
        <v>1159.1425999999999</v>
      </c>
      <c r="G1391" s="248">
        <v>1177.56</v>
      </c>
      <c r="H1391" s="248">
        <v>1209.7461000000001</v>
      </c>
      <c r="I1391"/>
      <c r="J1391"/>
      <c r="K1391"/>
      <c r="L1391"/>
      <c r="M1391"/>
    </row>
    <row r="1392" spans="3:13" hidden="1" outlineLevel="1" x14ac:dyDescent="0.2">
      <c r="C1392" s="139">
        <v>1166</v>
      </c>
      <c r="D1392" s="248">
        <v>1091.7283</v>
      </c>
      <c r="E1392" s="248">
        <v>1136.9906000000001</v>
      </c>
      <c r="F1392" s="248">
        <v>1160.1732</v>
      </c>
      <c r="G1392" s="248">
        <v>1178.5903000000001</v>
      </c>
      <c r="H1392" s="248">
        <v>1210.8041000000001</v>
      </c>
      <c r="I1392"/>
      <c r="J1392"/>
      <c r="K1392"/>
      <c r="L1392"/>
      <c r="M1392"/>
    </row>
    <row r="1393" spans="3:13" hidden="1" outlineLevel="1" x14ac:dyDescent="0.2">
      <c r="C1393" s="139">
        <v>1167</v>
      </c>
      <c r="D1393" s="248">
        <v>1092.7003</v>
      </c>
      <c r="E1393" s="248">
        <v>1138.0012999999999</v>
      </c>
      <c r="F1393" s="248">
        <v>1161.1859999999999</v>
      </c>
      <c r="G1393" s="248">
        <v>1179.6206999999999</v>
      </c>
      <c r="H1393" s="248">
        <v>1211.8425</v>
      </c>
      <c r="I1393"/>
      <c r="J1393"/>
      <c r="K1393"/>
      <c r="L1393"/>
      <c r="M1393"/>
    </row>
    <row r="1394" spans="3:13" hidden="1" outlineLevel="1" x14ac:dyDescent="0.2">
      <c r="C1394" s="139">
        <v>1168</v>
      </c>
      <c r="D1394" s="248">
        <v>1093.6722</v>
      </c>
      <c r="E1394" s="248">
        <v>1138.9943000000001</v>
      </c>
      <c r="F1394" s="248">
        <v>1162.1989000000001</v>
      </c>
      <c r="G1394" s="248">
        <v>1180.6315</v>
      </c>
      <c r="H1394" s="248">
        <v>1212.9005</v>
      </c>
      <c r="I1394"/>
      <c r="J1394"/>
      <c r="K1394"/>
      <c r="L1394"/>
      <c r="M1394"/>
    </row>
    <row r="1395" spans="3:13" hidden="1" outlineLevel="1" x14ac:dyDescent="0.2">
      <c r="C1395" s="139">
        <v>1169</v>
      </c>
      <c r="D1395" s="248">
        <v>1094.6621</v>
      </c>
      <c r="E1395" s="248">
        <v>1139.9873</v>
      </c>
      <c r="F1395" s="248">
        <v>1163.2117000000001</v>
      </c>
      <c r="G1395" s="248">
        <v>1181.662</v>
      </c>
      <c r="H1395" s="248">
        <v>1213.9585999999999</v>
      </c>
      <c r="I1395"/>
      <c r="J1395"/>
      <c r="K1395"/>
      <c r="L1395"/>
      <c r="M1395"/>
    </row>
    <row r="1396" spans="3:13" hidden="1" outlineLevel="1" x14ac:dyDescent="0.2">
      <c r="C1396" s="139">
        <v>1170</v>
      </c>
      <c r="D1396" s="248">
        <v>1095.6342</v>
      </c>
      <c r="E1396" s="248">
        <v>1140.9982</v>
      </c>
      <c r="F1396" s="248">
        <v>1164.2246</v>
      </c>
      <c r="G1396" s="248">
        <v>1182.6923999999999</v>
      </c>
      <c r="H1396" s="248">
        <v>1214.9970000000001</v>
      </c>
      <c r="I1396"/>
      <c r="J1396"/>
      <c r="K1396"/>
      <c r="L1396"/>
      <c r="M1396"/>
    </row>
    <row r="1397" spans="3:13" hidden="1" outlineLevel="1" x14ac:dyDescent="0.2">
      <c r="C1397" s="139">
        <v>1171</v>
      </c>
      <c r="D1397" s="248">
        <v>1096.6063999999999</v>
      </c>
      <c r="E1397" s="248">
        <v>1141.9911999999999</v>
      </c>
      <c r="F1397" s="248">
        <v>1165.2375999999999</v>
      </c>
      <c r="G1397" s="248">
        <v>1183.7229</v>
      </c>
      <c r="H1397" s="248">
        <v>1216.0552</v>
      </c>
      <c r="I1397"/>
      <c r="J1397"/>
      <c r="K1397"/>
      <c r="L1397"/>
      <c r="M1397"/>
    </row>
    <row r="1398" spans="3:13" hidden="1" outlineLevel="1" x14ac:dyDescent="0.2">
      <c r="C1398" s="139">
        <v>1172</v>
      </c>
      <c r="D1398" s="248">
        <v>1097.5786000000001</v>
      </c>
      <c r="E1398" s="248">
        <v>1143.0021999999999</v>
      </c>
      <c r="F1398" s="248">
        <v>1166.2505000000001</v>
      </c>
      <c r="G1398" s="248">
        <v>1184.7535</v>
      </c>
      <c r="H1398" s="248">
        <v>1217.1133</v>
      </c>
      <c r="I1398"/>
      <c r="J1398"/>
      <c r="K1398"/>
      <c r="L1398"/>
      <c r="M1398"/>
    </row>
    <row r="1399" spans="3:13" hidden="1" outlineLevel="1" x14ac:dyDescent="0.2">
      <c r="C1399" s="139">
        <v>1173</v>
      </c>
      <c r="D1399" s="248">
        <v>1098.5509</v>
      </c>
      <c r="E1399" s="248">
        <v>1143.9954</v>
      </c>
      <c r="F1399" s="248">
        <v>1167.2635</v>
      </c>
      <c r="G1399" s="248">
        <v>1185.7644</v>
      </c>
      <c r="H1399" s="248">
        <v>1218.1518000000001</v>
      </c>
      <c r="I1399"/>
      <c r="J1399"/>
      <c r="K1399"/>
      <c r="L1399"/>
      <c r="M1399"/>
    </row>
    <row r="1400" spans="3:13" hidden="1" outlineLevel="1" x14ac:dyDescent="0.2">
      <c r="C1400" s="139">
        <v>1174</v>
      </c>
      <c r="D1400" s="248">
        <v>1099.5233000000001</v>
      </c>
      <c r="E1400" s="248">
        <v>1144.9885999999999</v>
      </c>
      <c r="F1400" s="248">
        <v>1168.2764999999999</v>
      </c>
      <c r="G1400" s="248">
        <v>1186.7949000000001</v>
      </c>
      <c r="H1400" s="248">
        <v>1219.21</v>
      </c>
      <c r="I1400"/>
      <c r="J1400"/>
      <c r="K1400"/>
      <c r="L1400"/>
      <c r="M1400"/>
    </row>
    <row r="1401" spans="3:13" hidden="1" outlineLevel="1" x14ac:dyDescent="0.2">
      <c r="C1401" s="139">
        <v>1175</v>
      </c>
      <c r="D1401" s="248">
        <v>1100.4956999999999</v>
      </c>
      <c r="E1401" s="248">
        <v>1145.9997000000001</v>
      </c>
      <c r="F1401" s="248">
        <v>1169.2896000000001</v>
      </c>
      <c r="G1401" s="248">
        <v>1187.8255999999999</v>
      </c>
      <c r="H1401" s="248">
        <v>1220.2484999999999</v>
      </c>
      <c r="I1401"/>
      <c r="J1401"/>
      <c r="K1401"/>
      <c r="L1401"/>
      <c r="M1401"/>
    </row>
    <row r="1402" spans="3:13" hidden="1" outlineLevel="1" x14ac:dyDescent="0.2">
      <c r="C1402" s="139">
        <v>1176</v>
      </c>
      <c r="D1402" s="248">
        <v>1101.4682</v>
      </c>
      <c r="E1402" s="248">
        <v>1146.9929999999999</v>
      </c>
      <c r="F1402" s="248">
        <v>1170.3027</v>
      </c>
      <c r="G1402" s="248">
        <v>1188.8561999999999</v>
      </c>
      <c r="H1402" s="248">
        <v>1221.3068000000001</v>
      </c>
      <c r="I1402"/>
      <c r="J1402"/>
      <c r="K1402"/>
      <c r="L1402"/>
      <c r="M1402"/>
    </row>
    <row r="1403" spans="3:13" hidden="1" outlineLevel="1" x14ac:dyDescent="0.2">
      <c r="C1403" s="139">
        <v>1177</v>
      </c>
      <c r="D1403" s="248">
        <v>1102.4407000000001</v>
      </c>
      <c r="E1403" s="248">
        <v>1147.9863</v>
      </c>
      <c r="F1403" s="248">
        <v>1171.3158000000001</v>
      </c>
      <c r="G1403" s="248">
        <v>1189.8869</v>
      </c>
      <c r="H1403" s="248">
        <v>1222.365</v>
      </c>
      <c r="I1403"/>
      <c r="J1403"/>
      <c r="K1403"/>
      <c r="L1403"/>
      <c r="M1403"/>
    </row>
    <row r="1404" spans="3:13" hidden="1" outlineLevel="1" x14ac:dyDescent="0.2">
      <c r="C1404" s="139">
        <v>1178</v>
      </c>
      <c r="D1404" s="248">
        <v>1103.4132999999999</v>
      </c>
      <c r="E1404" s="248">
        <v>1148.9975999999999</v>
      </c>
      <c r="F1404" s="248">
        <v>1172.3469</v>
      </c>
      <c r="G1404" s="248">
        <v>1190.9176</v>
      </c>
      <c r="H1404" s="248">
        <v>1223.4036000000001</v>
      </c>
      <c r="I1404"/>
      <c r="J1404"/>
      <c r="K1404"/>
      <c r="L1404"/>
      <c r="M1404"/>
    </row>
    <row r="1405" spans="3:13" hidden="1" outlineLevel="1" x14ac:dyDescent="0.2">
      <c r="C1405" s="139">
        <v>1179</v>
      </c>
      <c r="D1405" s="248">
        <v>1104.386</v>
      </c>
      <c r="E1405" s="248">
        <v>1149.9909</v>
      </c>
      <c r="F1405" s="248">
        <v>1173.3601000000001</v>
      </c>
      <c r="G1405" s="248">
        <v>1191.9286</v>
      </c>
      <c r="H1405" s="248">
        <v>1224.4619</v>
      </c>
      <c r="I1405"/>
      <c r="J1405"/>
      <c r="K1405"/>
      <c r="L1405"/>
      <c r="M1405"/>
    </row>
    <row r="1406" spans="3:13" hidden="1" outlineLevel="1" x14ac:dyDescent="0.2">
      <c r="C1406" s="139">
        <v>1180</v>
      </c>
      <c r="D1406" s="248">
        <v>1105.3587</v>
      </c>
      <c r="E1406" s="248">
        <v>1150.9843000000001</v>
      </c>
      <c r="F1406" s="248">
        <v>1174.3733</v>
      </c>
      <c r="G1406" s="248">
        <v>1192.9594</v>
      </c>
      <c r="H1406" s="248">
        <v>1225.5202999999999</v>
      </c>
      <c r="I1406"/>
      <c r="J1406"/>
      <c r="K1406"/>
      <c r="L1406"/>
      <c r="M1406"/>
    </row>
    <row r="1407" spans="3:13" hidden="1" outlineLevel="1" x14ac:dyDescent="0.2">
      <c r="C1407" s="139">
        <v>1181</v>
      </c>
      <c r="D1407" s="248">
        <v>1106.3315</v>
      </c>
      <c r="E1407" s="248">
        <v>1151.9957999999999</v>
      </c>
      <c r="F1407" s="248">
        <v>1175.3866</v>
      </c>
      <c r="G1407" s="248">
        <v>1193.9902</v>
      </c>
      <c r="H1407" s="248">
        <v>1226.5589</v>
      </c>
      <c r="I1407"/>
      <c r="J1407"/>
      <c r="K1407"/>
      <c r="L1407"/>
      <c r="M1407"/>
    </row>
    <row r="1408" spans="3:13" hidden="1" outlineLevel="1" x14ac:dyDescent="0.2">
      <c r="C1408" s="139">
        <v>1182</v>
      </c>
      <c r="D1408" s="248">
        <v>1107.3224</v>
      </c>
      <c r="E1408" s="248">
        <v>1152.9893</v>
      </c>
      <c r="F1408" s="248">
        <v>1176.3998999999999</v>
      </c>
      <c r="G1408" s="248">
        <v>1195.021</v>
      </c>
      <c r="H1408" s="248">
        <v>1227.6172999999999</v>
      </c>
      <c r="I1408"/>
      <c r="J1408"/>
      <c r="K1408"/>
      <c r="L1408"/>
      <c r="M1408"/>
    </row>
    <row r="1409" spans="3:13" hidden="1" outlineLevel="1" x14ac:dyDescent="0.2">
      <c r="C1409" s="139">
        <v>1183</v>
      </c>
      <c r="D1409" s="248">
        <v>1108.2953</v>
      </c>
      <c r="E1409" s="248">
        <v>1153.9828</v>
      </c>
      <c r="F1409" s="248">
        <v>1177.4132</v>
      </c>
      <c r="G1409" s="248">
        <v>1196.0518999999999</v>
      </c>
      <c r="H1409" s="248">
        <v>1228.6559</v>
      </c>
      <c r="I1409"/>
      <c r="J1409"/>
      <c r="K1409"/>
      <c r="L1409"/>
      <c r="M1409"/>
    </row>
    <row r="1410" spans="3:13" hidden="1" outlineLevel="1" x14ac:dyDescent="0.2">
      <c r="C1410" s="139">
        <v>1184</v>
      </c>
      <c r="D1410" s="248">
        <v>1109.2683</v>
      </c>
      <c r="E1410" s="248">
        <v>1154.9944</v>
      </c>
      <c r="F1410" s="248">
        <v>1178.4265</v>
      </c>
      <c r="G1410" s="248">
        <v>1197.0628999999999</v>
      </c>
      <c r="H1410" s="248">
        <v>1229.7143000000001</v>
      </c>
      <c r="I1410"/>
      <c r="J1410"/>
      <c r="K1410"/>
      <c r="L1410"/>
      <c r="M1410"/>
    </row>
    <row r="1411" spans="3:13" hidden="1" outlineLevel="1" x14ac:dyDescent="0.2">
      <c r="C1411" s="139">
        <v>1185</v>
      </c>
      <c r="D1411" s="248">
        <v>1110.2414000000001</v>
      </c>
      <c r="E1411" s="248">
        <v>1155.9880000000001</v>
      </c>
      <c r="F1411" s="248">
        <v>1179.4399000000001</v>
      </c>
      <c r="G1411" s="248">
        <v>1198.0938000000001</v>
      </c>
      <c r="H1411" s="248">
        <v>1230.7728</v>
      </c>
      <c r="I1411"/>
      <c r="J1411"/>
      <c r="K1411"/>
      <c r="L1411"/>
      <c r="M1411"/>
    </row>
    <row r="1412" spans="3:13" hidden="1" outlineLevel="1" x14ac:dyDescent="0.2">
      <c r="C1412" s="139">
        <v>1186</v>
      </c>
      <c r="D1412" s="248">
        <v>1111.2145</v>
      </c>
      <c r="E1412" s="248">
        <v>1156.9816000000001</v>
      </c>
      <c r="F1412" s="248">
        <v>1180.4532999999999</v>
      </c>
      <c r="G1412" s="248">
        <v>1199.1248000000001</v>
      </c>
      <c r="H1412" s="248">
        <v>1231.8115</v>
      </c>
      <c r="I1412"/>
      <c r="J1412"/>
      <c r="K1412"/>
      <c r="L1412"/>
      <c r="M1412"/>
    </row>
    <row r="1413" spans="3:13" hidden="1" outlineLevel="1" x14ac:dyDescent="0.2">
      <c r="C1413" s="139">
        <v>1187</v>
      </c>
      <c r="D1413" s="248">
        <v>1112.1876</v>
      </c>
      <c r="E1413" s="248">
        <v>1157.9933000000001</v>
      </c>
      <c r="F1413" s="248">
        <v>1181.4666999999999</v>
      </c>
      <c r="G1413" s="248">
        <v>1200.1558</v>
      </c>
      <c r="H1413" s="248">
        <v>1232.8699999999999</v>
      </c>
      <c r="I1413"/>
      <c r="J1413"/>
      <c r="K1413"/>
      <c r="L1413"/>
      <c r="M1413"/>
    </row>
    <row r="1414" spans="3:13" hidden="1" outlineLevel="1" x14ac:dyDescent="0.2">
      <c r="C1414" s="139">
        <v>1188</v>
      </c>
      <c r="D1414" s="248">
        <v>1113.1609000000001</v>
      </c>
      <c r="E1414" s="248">
        <v>1158.9870000000001</v>
      </c>
      <c r="F1414" s="248">
        <v>1182.4802</v>
      </c>
      <c r="G1414" s="248">
        <v>1201.1867999999999</v>
      </c>
      <c r="H1414" s="248">
        <v>1233.9286</v>
      </c>
      <c r="I1414"/>
      <c r="J1414"/>
      <c r="K1414"/>
      <c r="L1414"/>
      <c r="M1414"/>
    </row>
    <row r="1415" spans="3:13" hidden="1" outlineLevel="1" x14ac:dyDescent="0.2">
      <c r="C1415" s="139">
        <v>1189</v>
      </c>
      <c r="D1415" s="248">
        <v>1114.1341</v>
      </c>
      <c r="E1415" s="248">
        <v>1159.9808</v>
      </c>
      <c r="F1415" s="248">
        <v>1183.4937</v>
      </c>
      <c r="G1415" s="248">
        <v>1202.2179000000001</v>
      </c>
      <c r="H1415" s="248">
        <v>1234.9673</v>
      </c>
      <c r="I1415"/>
      <c r="J1415"/>
      <c r="K1415"/>
      <c r="L1415"/>
      <c r="M1415"/>
    </row>
    <row r="1416" spans="3:13" hidden="1" outlineLevel="1" x14ac:dyDescent="0.2">
      <c r="C1416" s="139">
        <v>1190</v>
      </c>
      <c r="D1416" s="248">
        <v>1115.1075000000001</v>
      </c>
      <c r="E1416" s="248">
        <v>1160.9927</v>
      </c>
      <c r="F1416" s="248">
        <v>1184.5072</v>
      </c>
      <c r="G1416" s="248">
        <v>1203.229</v>
      </c>
      <c r="H1416" s="248">
        <v>1236.0259000000001</v>
      </c>
      <c r="I1416"/>
      <c r="J1416"/>
      <c r="K1416"/>
      <c r="L1416"/>
      <c r="M1416"/>
    </row>
    <row r="1417" spans="3:13" hidden="1" outlineLevel="1" x14ac:dyDescent="0.2">
      <c r="C1417" s="139">
        <v>1191</v>
      </c>
      <c r="D1417" s="248">
        <v>1116.0808999999999</v>
      </c>
      <c r="E1417" s="248">
        <v>1161.9865</v>
      </c>
      <c r="F1417" s="248">
        <v>1185.5208</v>
      </c>
      <c r="G1417" s="248">
        <v>1204.2601</v>
      </c>
      <c r="H1417" s="248">
        <v>1237.0645999999999</v>
      </c>
      <c r="I1417"/>
      <c r="J1417"/>
      <c r="K1417"/>
      <c r="L1417"/>
      <c r="M1417"/>
    </row>
    <row r="1418" spans="3:13" hidden="1" outlineLevel="1" x14ac:dyDescent="0.2">
      <c r="C1418" s="139">
        <v>1192</v>
      </c>
      <c r="D1418" s="248">
        <v>1117.0544</v>
      </c>
      <c r="E1418" s="248">
        <v>1162.9802999999999</v>
      </c>
      <c r="F1418" s="248">
        <v>1186.5344</v>
      </c>
      <c r="G1418" s="248">
        <v>1205.2911999999999</v>
      </c>
      <c r="H1418" s="248">
        <v>1238.1232</v>
      </c>
      <c r="I1418"/>
      <c r="J1418"/>
      <c r="K1418"/>
      <c r="L1418"/>
      <c r="M1418"/>
    </row>
    <row r="1419" spans="3:13" hidden="1" outlineLevel="1" x14ac:dyDescent="0.2">
      <c r="C1419" s="139">
        <v>1193</v>
      </c>
      <c r="D1419" s="248">
        <v>1118.0279</v>
      </c>
      <c r="E1419" s="248">
        <v>1163.9922999999999</v>
      </c>
      <c r="F1419" s="248">
        <v>1187.548</v>
      </c>
      <c r="G1419" s="248">
        <v>1206.3224</v>
      </c>
      <c r="H1419" s="248">
        <v>1239.182</v>
      </c>
      <c r="I1419"/>
      <c r="J1419"/>
      <c r="K1419"/>
      <c r="L1419"/>
      <c r="M1419"/>
    </row>
    <row r="1420" spans="3:13" hidden="1" outlineLevel="1" x14ac:dyDescent="0.2">
      <c r="C1420" s="139">
        <v>1194</v>
      </c>
      <c r="D1420" s="248">
        <v>1119.0015000000001</v>
      </c>
      <c r="E1420" s="248">
        <v>1164.9863</v>
      </c>
      <c r="F1420" s="248">
        <v>1188.5616</v>
      </c>
      <c r="G1420" s="248">
        <v>1207.3535999999999</v>
      </c>
      <c r="H1420" s="248">
        <v>1240.2207000000001</v>
      </c>
      <c r="I1420"/>
      <c r="J1420"/>
      <c r="K1420"/>
      <c r="L1420"/>
      <c r="M1420"/>
    </row>
    <row r="1421" spans="3:13" hidden="1" outlineLevel="1" x14ac:dyDescent="0.2">
      <c r="C1421" s="139">
        <v>1195</v>
      </c>
      <c r="D1421" s="248">
        <v>1119.9752000000001</v>
      </c>
      <c r="E1421" s="248">
        <v>1165.9802</v>
      </c>
      <c r="F1421" s="248">
        <v>1189.5934999999999</v>
      </c>
      <c r="G1421" s="248">
        <v>1208.3648000000001</v>
      </c>
      <c r="H1421" s="248">
        <v>1241.2793999999999</v>
      </c>
      <c r="I1421"/>
      <c r="J1421"/>
      <c r="K1421"/>
      <c r="L1421"/>
      <c r="M1421"/>
    </row>
    <row r="1422" spans="3:13" hidden="1" outlineLevel="1" x14ac:dyDescent="0.2">
      <c r="C1422" s="139">
        <v>1196</v>
      </c>
      <c r="D1422" s="248">
        <v>1120.9489000000001</v>
      </c>
      <c r="E1422" s="248">
        <v>1166.9924000000001</v>
      </c>
      <c r="F1422" s="248">
        <v>1190.6072999999999</v>
      </c>
      <c r="G1422" s="248">
        <v>1209.3960999999999</v>
      </c>
      <c r="H1422" s="248">
        <v>1242.3181999999999</v>
      </c>
      <c r="I1422"/>
      <c r="J1422"/>
      <c r="K1422"/>
      <c r="L1422"/>
      <c r="M1422"/>
    </row>
    <row r="1423" spans="3:13" hidden="1" outlineLevel="1" x14ac:dyDescent="0.2">
      <c r="C1423" s="139">
        <v>1197</v>
      </c>
      <c r="D1423" s="248">
        <v>1121.9227000000001</v>
      </c>
      <c r="E1423" s="248">
        <v>1167.9864</v>
      </c>
      <c r="F1423" s="248">
        <v>1191.6210000000001</v>
      </c>
      <c r="G1423" s="248">
        <v>1210.4273000000001</v>
      </c>
      <c r="H1423" s="248">
        <v>1243.377</v>
      </c>
      <c r="I1423"/>
      <c r="J1423"/>
      <c r="K1423"/>
      <c r="L1423"/>
      <c r="M1423"/>
    </row>
    <row r="1424" spans="3:13" hidden="1" outlineLevel="1" x14ac:dyDescent="0.2">
      <c r="C1424" s="139">
        <v>1198</v>
      </c>
      <c r="D1424" s="248">
        <v>1122.8965000000001</v>
      </c>
      <c r="E1424" s="248">
        <v>1168.9804999999999</v>
      </c>
      <c r="F1424" s="248">
        <v>1192.6348</v>
      </c>
      <c r="G1424" s="248">
        <v>1211.4586999999999</v>
      </c>
      <c r="H1424" s="248">
        <v>1244.4358</v>
      </c>
      <c r="I1424"/>
      <c r="J1424"/>
      <c r="K1424"/>
      <c r="L1424"/>
      <c r="M1424"/>
    </row>
    <row r="1425" spans="3:13" hidden="1" outlineLevel="1" x14ac:dyDescent="0.2">
      <c r="C1425" s="139">
        <v>1199</v>
      </c>
      <c r="D1425" s="248">
        <v>1123.8704</v>
      </c>
      <c r="E1425" s="248">
        <v>1169.9745</v>
      </c>
      <c r="F1425" s="248">
        <v>1193.6486</v>
      </c>
      <c r="G1425" s="248">
        <v>1212.49</v>
      </c>
      <c r="H1425" s="248">
        <v>1245.4746</v>
      </c>
      <c r="I1425"/>
      <c r="J1425"/>
      <c r="K1425"/>
      <c r="L1425"/>
      <c r="M1425"/>
    </row>
    <row r="1426" spans="3:13" hidden="1" outlineLevel="1" x14ac:dyDescent="0.2">
      <c r="C1426" s="139">
        <v>1200</v>
      </c>
      <c r="D1426" s="248">
        <v>1124.8444</v>
      </c>
      <c r="E1426" s="248">
        <v>1170.9869000000001</v>
      </c>
      <c r="F1426" s="248">
        <v>1194.6624999999999</v>
      </c>
      <c r="G1426" s="248">
        <v>1213.5012999999999</v>
      </c>
      <c r="H1426" s="248">
        <v>1246.5335</v>
      </c>
      <c r="I1426"/>
      <c r="J1426"/>
      <c r="K1426"/>
      <c r="L1426"/>
      <c r="M1426"/>
    </row>
    <row r="1427" spans="3:13" hidden="1" outlineLevel="1" x14ac:dyDescent="0.2">
      <c r="C1427" s="139">
        <v>1201</v>
      </c>
      <c r="D1427" s="248">
        <v>1125.8184000000001</v>
      </c>
      <c r="E1427" s="248">
        <v>1171.9811</v>
      </c>
      <c r="F1427" s="248">
        <v>1195.6764000000001</v>
      </c>
      <c r="G1427" s="248">
        <v>1214.5327</v>
      </c>
      <c r="H1427" s="248">
        <v>1247.5723</v>
      </c>
      <c r="I1427"/>
      <c r="J1427"/>
      <c r="K1427"/>
      <c r="L1427"/>
      <c r="M1427"/>
    </row>
    <row r="1428" spans="3:13" hidden="1" outlineLevel="1" x14ac:dyDescent="0.2">
      <c r="C1428" s="139">
        <v>1202</v>
      </c>
      <c r="D1428" s="248">
        <v>1126.7925</v>
      </c>
      <c r="E1428" s="248">
        <v>1172.9753000000001</v>
      </c>
      <c r="F1428" s="248">
        <v>1196.6903</v>
      </c>
      <c r="G1428" s="248">
        <v>1215.5641000000001</v>
      </c>
      <c r="H1428" s="248">
        <v>1248.6312</v>
      </c>
      <c r="I1428"/>
      <c r="J1428"/>
      <c r="K1428"/>
      <c r="L1428"/>
      <c r="M1428"/>
    </row>
    <row r="1429" spans="3:13" hidden="1" outlineLevel="1" x14ac:dyDescent="0.2">
      <c r="C1429" s="139">
        <v>1203</v>
      </c>
      <c r="D1429" s="248">
        <v>1127.7665999999999</v>
      </c>
      <c r="E1429" s="248">
        <v>1173.9878000000001</v>
      </c>
      <c r="F1429" s="248">
        <v>1197.7041999999999</v>
      </c>
      <c r="G1429" s="248">
        <v>1216.5956000000001</v>
      </c>
      <c r="H1429" s="248">
        <v>1249.6902</v>
      </c>
      <c r="I1429"/>
      <c r="J1429"/>
      <c r="K1429"/>
      <c r="L1429"/>
      <c r="M1429"/>
    </row>
    <row r="1430" spans="3:13" hidden="1" outlineLevel="1" x14ac:dyDescent="0.2">
      <c r="C1430" s="139">
        <v>1204</v>
      </c>
      <c r="D1430" s="248">
        <v>1128.7408</v>
      </c>
      <c r="E1430" s="248">
        <v>1174.9820999999999</v>
      </c>
      <c r="F1430" s="248">
        <v>1198.7182</v>
      </c>
      <c r="G1430" s="248">
        <v>1217.6270999999999</v>
      </c>
      <c r="H1430" s="248">
        <v>1250.729</v>
      </c>
      <c r="I1430"/>
      <c r="J1430"/>
      <c r="K1430"/>
      <c r="L1430"/>
      <c r="M1430"/>
    </row>
    <row r="1431" spans="3:13" hidden="1" outlineLevel="1" x14ac:dyDescent="0.2">
      <c r="C1431" s="139">
        <v>1205</v>
      </c>
      <c r="D1431" s="248">
        <v>1129.7150999999999</v>
      </c>
      <c r="E1431" s="248">
        <v>1175.9764</v>
      </c>
      <c r="F1431" s="248">
        <v>1199.7321999999999</v>
      </c>
      <c r="G1431" s="248">
        <v>1218.6384</v>
      </c>
      <c r="H1431" s="248">
        <v>1251.7881</v>
      </c>
      <c r="I1431"/>
      <c r="J1431"/>
      <c r="K1431"/>
      <c r="L1431"/>
      <c r="M1431"/>
    </row>
    <row r="1432" spans="3:13" hidden="1" outlineLevel="1" x14ac:dyDescent="0.2">
      <c r="C1432" s="139">
        <v>1206</v>
      </c>
      <c r="D1432" s="248">
        <v>1130.6894</v>
      </c>
      <c r="E1432" s="248">
        <v>1176.9891</v>
      </c>
      <c r="F1432" s="248">
        <v>1200.7462</v>
      </c>
      <c r="G1432" s="248">
        <v>1219.67</v>
      </c>
      <c r="H1432" s="248">
        <v>1252.8269</v>
      </c>
      <c r="I1432"/>
      <c r="J1432"/>
      <c r="K1432"/>
      <c r="L1432"/>
      <c r="M1432"/>
    </row>
    <row r="1433" spans="3:13" hidden="1" outlineLevel="1" x14ac:dyDescent="0.2">
      <c r="C1433" s="139">
        <v>1207</v>
      </c>
      <c r="D1433" s="248">
        <v>1131.6638</v>
      </c>
      <c r="E1433" s="248">
        <v>1177.9835</v>
      </c>
      <c r="F1433" s="248">
        <v>1201.7602999999999</v>
      </c>
      <c r="G1433" s="248">
        <v>1220.7016000000001</v>
      </c>
      <c r="H1433" s="248">
        <v>1253.886</v>
      </c>
      <c r="I1433"/>
      <c r="J1433"/>
      <c r="K1433"/>
      <c r="L1433"/>
      <c r="M1433"/>
    </row>
    <row r="1434" spans="3:13" hidden="1" outlineLevel="1" x14ac:dyDescent="0.2">
      <c r="C1434" s="139">
        <v>1208</v>
      </c>
      <c r="D1434" s="248">
        <v>1132.6382000000001</v>
      </c>
      <c r="E1434" s="248">
        <v>1178.9777999999999</v>
      </c>
      <c r="F1434" s="248">
        <v>1202.7744</v>
      </c>
      <c r="G1434" s="248">
        <v>1221.7331999999999</v>
      </c>
      <c r="H1434" s="248">
        <v>1254.9450999999999</v>
      </c>
      <c r="I1434"/>
      <c r="J1434"/>
      <c r="K1434"/>
      <c r="L1434"/>
      <c r="M1434"/>
    </row>
    <row r="1435" spans="3:13" hidden="1" outlineLevel="1" x14ac:dyDescent="0.2">
      <c r="C1435" s="139">
        <v>1209</v>
      </c>
      <c r="D1435" s="248">
        <v>1133.6128000000001</v>
      </c>
      <c r="E1435" s="248">
        <v>1179.9722999999999</v>
      </c>
      <c r="F1435" s="248">
        <v>1203.7885000000001</v>
      </c>
      <c r="G1435" s="248">
        <v>1222.7446</v>
      </c>
      <c r="H1435" s="248">
        <v>1255.9839999999999</v>
      </c>
      <c r="I1435"/>
      <c r="J1435"/>
      <c r="K1435"/>
      <c r="L1435"/>
      <c r="M1435"/>
    </row>
    <row r="1436" spans="3:13" hidden="1" outlineLevel="1" x14ac:dyDescent="0.2">
      <c r="C1436" s="139">
        <v>1210</v>
      </c>
      <c r="D1436" s="248">
        <v>1134.5872999999999</v>
      </c>
      <c r="E1436" s="248">
        <v>1180.9852000000001</v>
      </c>
      <c r="F1436" s="248">
        <v>1204.8026</v>
      </c>
      <c r="G1436" s="248">
        <v>1223.7763</v>
      </c>
      <c r="H1436" s="248">
        <v>1257.0431000000001</v>
      </c>
      <c r="I1436"/>
      <c r="J1436"/>
      <c r="K1436"/>
      <c r="L1436"/>
      <c r="M1436"/>
    </row>
    <row r="1437" spans="3:13" hidden="1" outlineLevel="1" x14ac:dyDescent="0.2">
      <c r="C1437" s="139">
        <v>1211</v>
      </c>
      <c r="D1437" s="248">
        <v>1135.5619999999999</v>
      </c>
      <c r="E1437" s="248">
        <v>1181.9797000000001</v>
      </c>
      <c r="F1437" s="248">
        <v>1205.8168000000001</v>
      </c>
      <c r="G1437" s="248">
        <v>1224.808</v>
      </c>
      <c r="H1437" s="248">
        <v>1258.0820000000001</v>
      </c>
      <c r="I1437"/>
      <c r="J1437"/>
      <c r="K1437"/>
      <c r="L1437"/>
      <c r="M1437"/>
    </row>
    <row r="1438" spans="3:13" hidden="1" outlineLevel="1" x14ac:dyDescent="0.2">
      <c r="C1438" s="139">
        <v>1212</v>
      </c>
      <c r="D1438" s="248">
        <v>1136.5367000000001</v>
      </c>
      <c r="E1438" s="248">
        <v>1182.9742000000001</v>
      </c>
      <c r="F1438" s="248">
        <v>1206.8309999999999</v>
      </c>
      <c r="G1438" s="248">
        <v>1225.8397</v>
      </c>
      <c r="H1438" s="248">
        <v>1259.1412</v>
      </c>
      <c r="I1438"/>
      <c r="J1438"/>
      <c r="K1438"/>
      <c r="L1438"/>
      <c r="M1438"/>
    </row>
    <row r="1439" spans="3:13" hidden="1" outlineLevel="1" x14ac:dyDescent="0.2">
      <c r="C1439" s="139">
        <v>1213</v>
      </c>
      <c r="D1439" s="248">
        <v>1137.5114000000001</v>
      </c>
      <c r="E1439" s="248">
        <v>1183.9873</v>
      </c>
      <c r="F1439" s="248">
        <v>1207.8453</v>
      </c>
      <c r="G1439" s="248">
        <v>1226.8715</v>
      </c>
      <c r="H1439" s="248">
        <v>1260.2004999999999</v>
      </c>
      <c r="I1439"/>
      <c r="J1439"/>
      <c r="K1439"/>
      <c r="L1439"/>
      <c r="M1439"/>
    </row>
    <row r="1440" spans="3:13" hidden="1" outlineLevel="1" x14ac:dyDescent="0.2">
      <c r="C1440" s="139">
        <v>1214</v>
      </c>
      <c r="D1440" s="248">
        <v>1138.4862000000001</v>
      </c>
      <c r="E1440" s="248">
        <v>1184.9819</v>
      </c>
      <c r="F1440" s="248">
        <v>1208.8595</v>
      </c>
      <c r="G1440" s="248">
        <v>1227.8829000000001</v>
      </c>
      <c r="H1440" s="248">
        <v>1261.2393999999999</v>
      </c>
      <c r="I1440"/>
      <c r="J1440"/>
      <c r="K1440"/>
      <c r="L1440"/>
      <c r="M1440"/>
    </row>
    <row r="1441" spans="3:13" hidden="1" outlineLevel="1" x14ac:dyDescent="0.2">
      <c r="C1441" s="139">
        <v>1215</v>
      </c>
      <c r="D1441" s="248">
        <v>1139.4611</v>
      </c>
      <c r="E1441" s="248">
        <v>1185.9765</v>
      </c>
      <c r="F1441" s="248">
        <v>1209.8738000000001</v>
      </c>
      <c r="G1441" s="248">
        <v>1228.9148</v>
      </c>
      <c r="H1441" s="248">
        <v>1262.2987000000001</v>
      </c>
      <c r="I1441"/>
      <c r="J1441"/>
      <c r="K1441"/>
      <c r="L1441"/>
      <c r="M1441"/>
    </row>
    <row r="1442" spans="3:13" hidden="1" outlineLevel="1" x14ac:dyDescent="0.2">
      <c r="C1442" s="139">
        <v>1216</v>
      </c>
      <c r="D1442" s="248">
        <v>1140.4359999999999</v>
      </c>
      <c r="E1442" s="248">
        <v>1186.9712</v>
      </c>
      <c r="F1442" s="248">
        <v>1210.8882000000001</v>
      </c>
      <c r="G1442" s="248">
        <v>1229.9466</v>
      </c>
      <c r="H1442" s="248">
        <v>1263.3376000000001</v>
      </c>
      <c r="I1442"/>
      <c r="J1442"/>
      <c r="K1442"/>
      <c r="L1442"/>
      <c r="M1442"/>
    </row>
    <row r="1443" spans="3:13" hidden="1" outlineLevel="1" x14ac:dyDescent="0.2">
      <c r="C1443" s="139">
        <v>1217</v>
      </c>
      <c r="D1443" s="248">
        <v>1141.4110000000001</v>
      </c>
      <c r="E1443" s="248">
        <v>1187.9845</v>
      </c>
      <c r="F1443" s="248">
        <v>1211.9024999999999</v>
      </c>
      <c r="G1443" s="248">
        <v>1230.9784999999999</v>
      </c>
      <c r="H1443" s="248">
        <v>1264.3969999999999</v>
      </c>
      <c r="I1443"/>
      <c r="J1443"/>
      <c r="K1443"/>
      <c r="L1443"/>
      <c r="M1443"/>
    </row>
    <row r="1444" spans="3:13" hidden="1" outlineLevel="1" x14ac:dyDescent="0.2">
      <c r="C1444" s="139">
        <v>1218</v>
      </c>
      <c r="D1444" s="248">
        <v>1142.3860999999999</v>
      </c>
      <c r="E1444" s="248">
        <v>1188.9792</v>
      </c>
      <c r="F1444" s="248">
        <v>1212.9168999999999</v>
      </c>
      <c r="G1444" s="248">
        <v>1231.99</v>
      </c>
      <c r="H1444" s="248">
        <v>1265.4564</v>
      </c>
      <c r="I1444"/>
      <c r="J1444"/>
      <c r="K1444"/>
      <c r="L1444"/>
      <c r="M1444"/>
    </row>
    <row r="1445" spans="3:13" hidden="1" outlineLevel="1" x14ac:dyDescent="0.2">
      <c r="C1445" s="139">
        <v>1219</v>
      </c>
      <c r="D1445" s="248">
        <v>1143.3612000000001</v>
      </c>
      <c r="E1445" s="248">
        <v>1189.9739999999999</v>
      </c>
      <c r="F1445" s="248">
        <v>1213.9313999999999</v>
      </c>
      <c r="G1445" s="248">
        <v>1233.0219999999999</v>
      </c>
      <c r="H1445" s="248">
        <v>1266.4954</v>
      </c>
      <c r="I1445"/>
      <c r="J1445"/>
      <c r="K1445"/>
      <c r="L1445"/>
      <c r="M1445"/>
    </row>
    <row r="1446" spans="3:13" hidden="1" outlineLevel="1" x14ac:dyDescent="0.2">
      <c r="C1446" s="139">
        <v>1220</v>
      </c>
      <c r="D1446" s="248">
        <v>1144.3363999999999</v>
      </c>
      <c r="E1446" s="248">
        <v>1190.9874</v>
      </c>
      <c r="F1446" s="248">
        <v>1214.9458</v>
      </c>
      <c r="G1446" s="248">
        <v>1234.0539000000001</v>
      </c>
      <c r="H1446" s="248">
        <v>1267.5547999999999</v>
      </c>
      <c r="I1446"/>
      <c r="J1446"/>
      <c r="K1446"/>
      <c r="L1446"/>
      <c r="M1446"/>
    </row>
    <row r="1447" spans="3:13" hidden="1" outlineLevel="1" x14ac:dyDescent="0.2">
      <c r="C1447" s="139">
        <v>1221</v>
      </c>
      <c r="D1447" s="248">
        <v>1145.3116</v>
      </c>
      <c r="E1447" s="248">
        <v>1191.9821999999999</v>
      </c>
      <c r="F1447" s="248">
        <v>1215.9603</v>
      </c>
      <c r="G1447" s="248">
        <v>1235.086</v>
      </c>
      <c r="H1447" s="248">
        <v>1268.5938000000001</v>
      </c>
      <c r="I1447"/>
      <c r="J1447"/>
      <c r="K1447"/>
      <c r="L1447"/>
      <c r="M1447"/>
    </row>
    <row r="1448" spans="3:13" hidden="1" outlineLevel="1" x14ac:dyDescent="0.2">
      <c r="C1448" s="139">
        <v>1222</v>
      </c>
      <c r="D1448" s="248">
        <v>1146.2869000000001</v>
      </c>
      <c r="E1448" s="248">
        <v>1192.9771000000001</v>
      </c>
      <c r="F1448" s="248">
        <v>1216.9748</v>
      </c>
      <c r="G1448" s="248">
        <v>1236.1179999999999</v>
      </c>
      <c r="H1448" s="248">
        <v>1269.6532999999999</v>
      </c>
      <c r="I1448"/>
      <c r="J1448"/>
      <c r="K1448"/>
      <c r="L1448"/>
      <c r="M1448"/>
    </row>
    <row r="1449" spans="3:13" hidden="1" outlineLevel="1" x14ac:dyDescent="0.2">
      <c r="C1449" s="139">
        <v>1223</v>
      </c>
      <c r="D1449" s="248">
        <v>1147.2623000000001</v>
      </c>
      <c r="E1449" s="248">
        <v>1193.972</v>
      </c>
      <c r="F1449" s="248">
        <v>1217.9893999999999</v>
      </c>
      <c r="G1449" s="248">
        <v>1237.1296</v>
      </c>
      <c r="H1449" s="248">
        <v>1270.6922999999999</v>
      </c>
      <c r="I1449"/>
      <c r="J1449"/>
      <c r="K1449"/>
      <c r="L1449"/>
      <c r="M1449"/>
    </row>
    <row r="1450" spans="3:13" hidden="1" outlineLevel="1" x14ac:dyDescent="0.2">
      <c r="C1450" s="139">
        <v>1224</v>
      </c>
      <c r="D1450" s="248">
        <v>1148.2376999999999</v>
      </c>
      <c r="E1450" s="248">
        <v>1194.9857</v>
      </c>
      <c r="F1450" s="248">
        <v>1219.0039999999999</v>
      </c>
      <c r="G1450" s="248">
        <v>1238.1617000000001</v>
      </c>
      <c r="H1450" s="248">
        <v>1271.7518</v>
      </c>
      <c r="I1450"/>
      <c r="J1450"/>
      <c r="K1450"/>
      <c r="L1450"/>
      <c r="M1450"/>
    </row>
    <row r="1451" spans="3:13" hidden="1" outlineLevel="1" x14ac:dyDescent="0.2">
      <c r="C1451" s="139">
        <v>1225</v>
      </c>
      <c r="D1451" s="248">
        <v>1149.2131999999999</v>
      </c>
      <c r="E1451" s="248">
        <v>1195.9806000000001</v>
      </c>
      <c r="F1451" s="248">
        <v>1220.0186000000001</v>
      </c>
      <c r="G1451" s="248">
        <v>1239.1938</v>
      </c>
      <c r="H1451" s="248">
        <v>1272.8114</v>
      </c>
      <c r="I1451"/>
      <c r="J1451"/>
      <c r="K1451"/>
      <c r="L1451"/>
      <c r="M1451"/>
    </row>
    <row r="1452" spans="3:13" hidden="1" outlineLevel="1" x14ac:dyDescent="0.2">
      <c r="C1452" s="139">
        <v>1226</v>
      </c>
      <c r="D1452" s="248">
        <v>1150.1701</v>
      </c>
      <c r="E1452" s="248">
        <v>1196.9757</v>
      </c>
      <c r="F1452" s="248">
        <v>1221.0332000000001</v>
      </c>
      <c r="G1452" s="248">
        <v>1240.2258999999999</v>
      </c>
      <c r="H1452" s="248">
        <v>1273.8504</v>
      </c>
      <c r="I1452"/>
      <c r="J1452"/>
      <c r="K1452"/>
      <c r="L1452"/>
      <c r="M1452"/>
    </row>
    <row r="1453" spans="3:13" hidden="1" outlineLevel="1" x14ac:dyDescent="0.2">
      <c r="C1453" s="139">
        <v>1227</v>
      </c>
      <c r="D1453" s="248">
        <v>1151.1457</v>
      </c>
      <c r="E1453" s="248">
        <v>1197.9707000000001</v>
      </c>
      <c r="F1453" s="248">
        <v>1222.0479</v>
      </c>
      <c r="G1453" s="248">
        <v>1241.2375999999999</v>
      </c>
      <c r="H1453" s="248">
        <v>1274.9100000000001</v>
      </c>
      <c r="I1453"/>
      <c r="J1453"/>
      <c r="K1453"/>
      <c r="L1453"/>
      <c r="M1453"/>
    </row>
    <row r="1454" spans="3:13" hidden="1" outlineLevel="1" x14ac:dyDescent="0.2">
      <c r="C1454" s="139">
        <v>1228</v>
      </c>
      <c r="D1454" s="248">
        <v>1152.1213</v>
      </c>
      <c r="E1454" s="248">
        <v>1198.9845</v>
      </c>
      <c r="F1454" s="248">
        <v>1223.0626</v>
      </c>
      <c r="G1454" s="248">
        <v>1242.2698</v>
      </c>
      <c r="H1454" s="248">
        <v>1275.9491</v>
      </c>
      <c r="I1454"/>
      <c r="J1454"/>
      <c r="K1454"/>
      <c r="L1454"/>
      <c r="M1454"/>
    </row>
    <row r="1455" spans="3:13" hidden="1" outlineLevel="1" x14ac:dyDescent="0.2">
      <c r="C1455" s="139">
        <v>1229</v>
      </c>
      <c r="D1455" s="248">
        <v>1153.097</v>
      </c>
      <c r="E1455" s="248">
        <v>1199.9797000000001</v>
      </c>
      <c r="F1455" s="248">
        <v>1224.0772999999999</v>
      </c>
      <c r="G1455" s="248">
        <v>1243.3019999999999</v>
      </c>
      <c r="H1455" s="248">
        <v>1277.0088000000001</v>
      </c>
      <c r="I1455"/>
      <c r="J1455"/>
      <c r="K1455"/>
      <c r="L1455"/>
      <c r="M1455"/>
    </row>
    <row r="1456" spans="3:13" hidden="1" outlineLevel="1" x14ac:dyDescent="0.2">
      <c r="C1456" s="139">
        <v>1230</v>
      </c>
      <c r="D1456" s="248">
        <v>1154.0727999999999</v>
      </c>
      <c r="E1456" s="248">
        <v>1200.9748</v>
      </c>
      <c r="F1456" s="248">
        <v>1225.0921000000001</v>
      </c>
      <c r="G1456" s="248">
        <v>1244.3343</v>
      </c>
      <c r="H1456" s="248">
        <v>1278.0478000000001</v>
      </c>
      <c r="I1456"/>
      <c r="J1456"/>
      <c r="K1456"/>
      <c r="L1456"/>
      <c r="M1456"/>
    </row>
    <row r="1457" spans="3:13" hidden="1" outlineLevel="1" x14ac:dyDescent="0.2">
      <c r="C1457" s="139">
        <v>1231</v>
      </c>
      <c r="D1457" s="248">
        <v>1155.0486000000001</v>
      </c>
      <c r="E1457" s="248">
        <v>1201.97</v>
      </c>
      <c r="F1457" s="248">
        <v>1226.1069</v>
      </c>
      <c r="G1457" s="248">
        <v>1245.346</v>
      </c>
      <c r="H1457" s="248">
        <v>1279.1075000000001</v>
      </c>
      <c r="I1457"/>
      <c r="J1457"/>
      <c r="K1457"/>
      <c r="L1457"/>
      <c r="M1457"/>
    </row>
    <row r="1458" spans="3:13" hidden="1" outlineLevel="1" x14ac:dyDescent="0.2">
      <c r="C1458" s="139">
        <v>1232</v>
      </c>
      <c r="D1458" s="248">
        <v>1156.0245</v>
      </c>
      <c r="E1458" s="248">
        <v>1202.9839999999999</v>
      </c>
      <c r="F1458" s="248">
        <v>1227.1216999999999</v>
      </c>
      <c r="G1458" s="248">
        <v>1246.3783000000001</v>
      </c>
      <c r="H1458" s="248">
        <v>1280.1673000000001</v>
      </c>
      <c r="I1458"/>
      <c r="J1458"/>
      <c r="K1458"/>
      <c r="L1458"/>
      <c r="M1458"/>
    </row>
    <row r="1459" spans="3:13" hidden="1" outlineLevel="1" x14ac:dyDescent="0.2">
      <c r="C1459" s="139">
        <v>1233</v>
      </c>
      <c r="D1459" s="248">
        <v>1157.0005000000001</v>
      </c>
      <c r="E1459" s="248">
        <v>1203.9793</v>
      </c>
      <c r="F1459" s="248">
        <v>1228.1366</v>
      </c>
      <c r="G1459" s="248">
        <v>1247.4105999999999</v>
      </c>
      <c r="H1459" s="248">
        <v>1281.2064</v>
      </c>
      <c r="I1459"/>
      <c r="J1459"/>
      <c r="K1459"/>
      <c r="L1459"/>
      <c r="M1459"/>
    </row>
    <row r="1460" spans="3:13" hidden="1" outlineLevel="1" x14ac:dyDescent="0.2">
      <c r="C1460" s="139">
        <v>1234</v>
      </c>
      <c r="D1460" s="248">
        <v>1157.9765</v>
      </c>
      <c r="E1460" s="248">
        <v>1204.9746</v>
      </c>
      <c r="F1460" s="248">
        <v>1229.1514</v>
      </c>
      <c r="G1460" s="248">
        <v>1248.443</v>
      </c>
      <c r="H1460" s="248">
        <v>1282.2662</v>
      </c>
      <c r="I1460"/>
      <c r="J1460"/>
      <c r="K1460"/>
      <c r="L1460"/>
      <c r="M1460"/>
    </row>
    <row r="1461" spans="3:13" hidden="1" outlineLevel="1" x14ac:dyDescent="0.2">
      <c r="C1461" s="139">
        <v>1235</v>
      </c>
      <c r="D1461" s="248">
        <v>1158.9526000000001</v>
      </c>
      <c r="E1461" s="248">
        <v>1205.9699000000001</v>
      </c>
      <c r="F1461" s="248">
        <v>1230.1664000000001</v>
      </c>
      <c r="G1461" s="248">
        <v>1249.4548</v>
      </c>
      <c r="H1461" s="248">
        <v>1283.3053</v>
      </c>
      <c r="I1461"/>
      <c r="J1461"/>
      <c r="K1461"/>
      <c r="L1461"/>
      <c r="M1461"/>
    </row>
    <row r="1462" spans="3:13" hidden="1" outlineLevel="1" x14ac:dyDescent="0.2">
      <c r="C1462" s="139">
        <v>1236</v>
      </c>
      <c r="D1462" s="248">
        <v>1159.9286999999999</v>
      </c>
      <c r="E1462" s="248">
        <v>1206.9840999999999</v>
      </c>
      <c r="F1462" s="248">
        <v>1231.1813</v>
      </c>
      <c r="G1462" s="248">
        <v>1250.4872</v>
      </c>
      <c r="H1462" s="248">
        <v>1284.3652</v>
      </c>
      <c r="I1462"/>
      <c r="J1462"/>
      <c r="K1462"/>
      <c r="L1462"/>
      <c r="M1462"/>
    </row>
    <row r="1463" spans="3:13" hidden="1" outlineLevel="1" x14ac:dyDescent="0.2">
      <c r="C1463" s="139">
        <v>1237</v>
      </c>
      <c r="D1463" s="248">
        <v>1160.9049</v>
      </c>
      <c r="E1463" s="248">
        <v>1207.9794999999999</v>
      </c>
      <c r="F1463" s="248">
        <v>1232.1963000000001</v>
      </c>
      <c r="G1463" s="248">
        <v>1251.5197000000001</v>
      </c>
      <c r="H1463" s="248">
        <v>1285.4250999999999</v>
      </c>
      <c r="I1463"/>
      <c r="J1463"/>
      <c r="K1463"/>
      <c r="L1463"/>
      <c r="M1463"/>
    </row>
    <row r="1464" spans="3:13" hidden="1" outlineLevel="1" x14ac:dyDescent="0.2">
      <c r="C1464" s="139">
        <v>1238</v>
      </c>
      <c r="D1464" s="248">
        <v>1161.8812</v>
      </c>
      <c r="E1464" s="248">
        <v>1208.9748999999999</v>
      </c>
      <c r="F1464" s="248">
        <v>1233.2112999999999</v>
      </c>
      <c r="G1464" s="248">
        <v>1252.5522000000001</v>
      </c>
      <c r="H1464" s="248">
        <v>1286.4641999999999</v>
      </c>
      <c r="I1464"/>
      <c r="J1464"/>
      <c r="K1464"/>
      <c r="L1464"/>
      <c r="M1464"/>
    </row>
    <row r="1465" spans="3:13" hidden="1" outlineLevel="1" x14ac:dyDescent="0.2">
      <c r="C1465" s="139">
        <v>1239</v>
      </c>
      <c r="D1465" s="248">
        <v>1162.8575000000001</v>
      </c>
      <c r="E1465" s="248">
        <v>1209.9703999999999</v>
      </c>
      <c r="F1465" s="248">
        <v>1234.2263</v>
      </c>
      <c r="G1465" s="248">
        <v>1253.5640000000001</v>
      </c>
      <c r="H1465" s="248">
        <v>1287.5242000000001</v>
      </c>
      <c r="I1465"/>
      <c r="J1465"/>
      <c r="K1465"/>
      <c r="L1465"/>
      <c r="M1465"/>
    </row>
    <row r="1466" spans="3:13" hidden="1" outlineLevel="1" x14ac:dyDescent="0.2">
      <c r="C1466" s="139">
        <v>1240</v>
      </c>
      <c r="D1466" s="248">
        <v>1163.8150000000001</v>
      </c>
      <c r="E1466" s="248">
        <v>1210.9848</v>
      </c>
      <c r="F1466" s="248">
        <v>1235.2414000000001</v>
      </c>
      <c r="G1466" s="248">
        <v>1254.5965000000001</v>
      </c>
      <c r="H1466" s="248">
        <v>1288.5633</v>
      </c>
      <c r="I1466"/>
      <c r="J1466"/>
      <c r="K1466"/>
      <c r="L1466"/>
      <c r="M1466"/>
    </row>
    <row r="1467" spans="3:13" hidden="1" outlineLevel="1" x14ac:dyDescent="0.2">
      <c r="C1467" s="139">
        <v>1241</v>
      </c>
      <c r="D1467" s="248">
        <v>1164.7914000000001</v>
      </c>
      <c r="E1467" s="248">
        <v>1211.9802999999999</v>
      </c>
      <c r="F1467" s="248">
        <v>1236.2565</v>
      </c>
      <c r="G1467" s="248">
        <v>1255.6291000000001</v>
      </c>
      <c r="H1467" s="248">
        <v>1289.6233</v>
      </c>
      <c r="I1467"/>
      <c r="J1467"/>
      <c r="K1467"/>
      <c r="L1467"/>
      <c r="M1467"/>
    </row>
    <row r="1468" spans="3:13" hidden="1" outlineLevel="1" x14ac:dyDescent="0.2">
      <c r="C1468" s="139">
        <v>1242</v>
      </c>
      <c r="D1468" s="248">
        <v>1165.7679000000001</v>
      </c>
      <c r="E1468" s="248">
        <v>1212.9758999999999</v>
      </c>
      <c r="F1468" s="248">
        <v>1237.2716</v>
      </c>
      <c r="G1468" s="248">
        <v>1256.6618000000001</v>
      </c>
      <c r="H1468" s="248">
        <v>1290.6624999999999</v>
      </c>
      <c r="I1468"/>
      <c r="J1468"/>
      <c r="K1468"/>
      <c r="L1468"/>
      <c r="M1468"/>
    </row>
    <row r="1469" spans="3:13" hidden="1" outlineLevel="1" x14ac:dyDescent="0.2">
      <c r="C1469" s="139">
        <v>1243</v>
      </c>
      <c r="D1469" s="248">
        <v>1166.7445</v>
      </c>
      <c r="E1469" s="248">
        <v>1213.9715000000001</v>
      </c>
      <c r="F1469" s="248">
        <v>1238.2868000000001</v>
      </c>
      <c r="G1469" s="248">
        <v>1257.6736000000001</v>
      </c>
      <c r="H1469" s="248">
        <v>1291.7225000000001</v>
      </c>
      <c r="I1469"/>
      <c r="J1469"/>
      <c r="K1469"/>
      <c r="L1469"/>
      <c r="M1469"/>
    </row>
    <row r="1470" spans="3:13" hidden="1" outlineLevel="1" x14ac:dyDescent="0.2">
      <c r="C1470" s="139">
        <v>1244</v>
      </c>
      <c r="D1470" s="248">
        <v>1167.7211</v>
      </c>
      <c r="E1470" s="248">
        <v>1214.9861000000001</v>
      </c>
      <c r="F1470" s="248">
        <v>1239.3019999999999</v>
      </c>
      <c r="G1470" s="248">
        <v>1258.7063000000001</v>
      </c>
      <c r="H1470" s="248">
        <v>1292.7617</v>
      </c>
      <c r="I1470"/>
      <c r="J1470"/>
      <c r="K1470"/>
      <c r="L1470"/>
      <c r="M1470"/>
    </row>
    <row r="1471" spans="3:13" hidden="1" outlineLevel="1" x14ac:dyDescent="0.2">
      <c r="C1471" s="139">
        <v>1245</v>
      </c>
      <c r="D1471" s="248">
        <v>1168.6977999999999</v>
      </c>
      <c r="E1471" s="248">
        <v>1215.9818</v>
      </c>
      <c r="F1471" s="248">
        <v>1240.3172</v>
      </c>
      <c r="G1471" s="248">
        <v>1259.739</v>
      </c>
      <c r="H1471" s="248">
        <v>1293.8217999999999</v>
      </c>
      <c r="I1471"/>
      <c r="J1471"/>
      <c r="K1471"/>
      <c r="L1471"/>
      <c r="M1471"/>
    </row>
    <row r="1472" spans="3:13" hidden="1" outlineLevel="1" x14ac:dyDescent="0.2">
      <c r="C1472" s="139">
        <v>1246</v>
      </c>
      <c r="D1472" s="248">
        <v>1169.6745000000001</v>
      </c>
      <c r="E1472" s="248">
        <v>1216.9775</v>
      </c>
      <c r="F1472" s="248">
        <v>1241.3324</v>
      </c>
      <c r="G1472" s="248">
        <v>1260.7717</v>
      </c>
      <c r="H1472" s="248">
        <v>1294.8820000000001</v>
      </c>
      <c r="I1472"/>
      <c r="J1472"/>
      <c r="K1472"/>
      <c r="L1472"/>
      <c r="M1472"/>
    </row>
    <row r="1473" spans="3:13" hidden="1" outlineLevel="1" x14ac:dyDescent="0.2">
      <c r="C1473" s="139">
        <v>1247</v>
      </c>
      <c r="D1473" s="248">
        <v>1170.6513</v>
      </c>
      <c r="E1473" s="248">
        <v>1217.9731999999999</v>
      </c>
      <c r="F1473" s="248">
        <v>1242.3477</v>
      </c>
      <c r="G1473" s="248">
        <v>1261.7836</v>
      </c>
      <c r="H1473" s="248">
        <v>1295.9212</v>
      </c>
      <c r="I1473"/>
      <c r="J1473"/>
      <c r="K1473"/>
      <c r="L1473"/>
      <c r="M1473"/>
    </row>
    <row r="1474" spans="3:13" hidden="1" outlineLevel="1" x14ac:dyDescent="0.2">
      <c r="C1474" s="139">
        <v>1248</v>
      </c>
      <c r="D1474" s="248">
        <v>1171.6282000000001</v>
      </c>
      <c r="E1474" s="248">
        <v>1218.9690000000001</v>
      </c>
      <c r="F1474" s="248">
        <v>1243.3630000000001</v>
      </c>
      <c r="G1474" s="248">
        <v>1262.8163999999999</v>
      </c>
      <c r="H1474" s="248">
        <v>1296.9813999999999</v>
      </c>
      <c r="I1474"/>
      <c r="J1474"/>
      <c r="K1474"/>
      <c r="L1474"/>
      <c r="M1474"/>
    </row>
    <row r="1475" spans="3:13" hidden="1" outlineLevel="1" x14ac:dyDescent="0.2">
      <c r="C1475" s="139">
        <v>1249</v>
      </c>
      <c r="D1475" s="248">
        <v>1172.6051</v>
      </c>
      <c r="E1475" s="248">
        <v>1219.9838</v>
      </c>
      <c r="F1475" s="248">
        <v>1244.3784000000001</v>
      </c>
      <c r="G1475" s="248">
        <v>1263.8492000000001</v>
      </c>
      <c r="H1475" s="248">
        <v>1298.0206000000001</v>
      </c>
      <c r="I1475"/>
      <c r="J1475"/>
      <c r="K1475"/>
      <c r="L1475"/>
      <c r="M1475"/>
    </row>
    <row r="1476" spans="3:13" hidden="1" outlineLevel="1" x14ac:dyDescent="0.2">
      <c r="C1476" s="139">
        <v>1250</v>
      </c>
      <c r="D1476" s="248">
        <v>1173.5630000000001</v>
      </c>
      <c r="E1476" s="248">
        <v>1220.9797000000001</v>
      </c>
      <c r="F1476" s="248">
        <v>1245.3938000000001</v>
      </c>
      <c r="G1476" s="248">
        <v>1264.8821</v>
      </c>
      <c r="H1476" s="248">
        <v>1299.0808</v>
      </c>
      <c r="I1476"/>
      <c r="J1476"/>
      <c r="K1476"/>
      <c r="L1476"/>
      <c r="M1476"/>
    </row>
    <row r="1477" spans="3:13" hidden="1" outlineLevel="1" x14ac:dyDescent="0.2">
      <c r="C1477" s="139">
        <v>1251</v>
      </c>
      <c r="D1477" s="248">
        <v>1174.54</v>
      </c>
      <c r="E1477" s="248">
        <v>1221.9756</v>
      </c>
      <c r="F1477" s="248">
        <v>1246.4092000000001</v>
      </c>
      <c r="G1477" s="248">
        <v>1265.894</v>
      </c>
      <c r="H1477" s="248">
        <v>1300.1201000000001</v>
      </c>
      <c r="I1477"/>
      <c r="J1477"/>
      <c r="K1477"/>
      <c r="L1477"/>
      <c r="M1477"/>
    </row>
    <row r="1478" spans="3:13" hidden="1" outlineLevel="1" x14ac:dyDescent="0.2">
      <c r="C1478" s="139">
        <v>1252</v>
      </c>
      <c r="D1478" s="248">
        <v>1175.5171</v>
      </c>
      <c r="E1478" s="248">
        <v>1222.9715000000001</v>
      </c>
      <c r="F1478" s="248">
        <v>1247.4246000000001</v>
      </c>
      <c r="G1478" s="248">
        <v>1266.9268999999999</v>
      </c>
      <c r="H1478" s="248">
        <v>1301.1804</v>
      </c>
      <c r="I1478"/>
      <c r="J1478"/>
      <c r="K1478"/>
      <c r="L1478"/>
      <c r="M1478"/>
    </row>
    <row r="1479" spans="3:13" hidden="1" outlineLevel="1" x14ac:dyDescent="0.2">
      <c r="C1479" s="139">
        <v>1253</v>
      </c>
      <c r="D1479" s="248">
        <v>1176.4943000000001</v>
      </c>
      <c r="E1479" s="248">
        <v>1223.9865</v>
      </c>
      <c r="F1479" s="248">
        <v>1248.4401</v>
      </c>
      <c r="G1479" s="248">
        <v>1267.9599000000001</v>
      </c>
      <c r="H1479" s="248">
        <v>1302.2407000000001</v>
      </c>
      <c r="I1479"/>
      <c r="J1479"/>
      <c r="K1479"/>
      <c r="L1479"/>
      <c r="M1479"/>
    </row>
    <row r="1480" spans="3:13" hidden="1" outlineLevel="1" x14ac:dyDescent="0.2">
      <c r="C1480" s="139">
        <v>1254</v>
      </c>
      <c r="D1480" s="248">
        <v>1177.4715000000001</v>
      </c>
      <c r="E1480" s="248">
        <v>1224.9825000000001</v>
      </c>
      <c r="F1480" s="248">
        <v>1249.4556</v>
      </c>
      <c r="G1480" s="248">
        <v>1268.9929</v>
      </c>
      <c r="H1480" s="248">
        <v>1303.28</v>
      </c>
      <c r="I1480"/>
      <c r="J1480"/>
      <c r="K1480"/>
      <c r="L1480"/>
      <c r="M1480"/>
    </row>
    <row r="1481" spans="3:13" hidden="1" outlineLevel="1" x14ac:dyDescent="0.2">
      <c r="C1481" s="139">
        <v>1255</v>
      </c>
      <c r="D1481" s="248">
        <v>1178.4487999999999</v>
      </c>
      <c r="E1481" s="248">
        <v>1225.9784999999999</v>
      </c>
      <c r="F1481" s="248">
        <v>1250.4711</v>
      </c>
      <c r="G1481" s="248">
        <v>1270.0047999999999</v>
      </c>
      <c r="H1481" s="248">
        <v>1304.3404</v>
      </c>
      <c r="I1481"/>
      <c r="J1481"/>
      <c r="K1481"/>
      <c r="L1481"/>
      <c r="M1481"/>
    </row>
    <row r="1482" spans="3:13" hidden="1" outlineLevel="1" x14ac:dyDescent="0.2">
      <c r="C1482" s="139">
        <v>1256</v>
      </c>
      <c r="D1482" s="248">
        <v>1179.4260999999999</v>
      </c>
      <c r="E1482" s="248">
        <v>1226.9745</v>
      </c>
      <c r="F1482" s="248">
        <v>1251.4866</v>
      </c>
      <c r="G1482" s="248">
        <v>1271.0378000000001</v>
      </c>
      <c r="H1482" s="248">
        <v>1305.3797</v>
      </c>
      <c r="I1482"/>
      <c r="J1482"/>
      <c r="K1482"/>
      <c r="L1482"/>
      <c r="M1482"/>
    </row>
    <row r="1483" spans="3:13" hidden="1" outlineLevel="1" x14ac:dyDescent="0.2">
      <c r="C1483" s="139">
        <v>1257</v>
      </c>
      <c r="D1483" s="248">
        <v>1180.4034999999999</v>
      </c>
      <c r="E1483" s="248">
        <v>1227.9706000000001</v>
      </c>
      <c r="F1483" s="248">
        <v>1252.5021999999999</v>
      </c>
      <c r="G1483" s="248">
        <v>1272.0708999999999</v>
      </c>
      <c r="H1483" s="248">
        <v>1306.4401</v>
      </c>
      <c r="I1483"/>
      <c r="J1483"/>
      <c r="K1483"/>
      <c r="L1483"/>
      <c r="M1483"/>
    </row>
    <row r="1484" spans="3:13" hidden="1" outlineLevel="1" x14ac:dyDescent="0.2">
      <c r="C1484" s="139">
        <v>1258</v>
      </c>
      <c r="D1484" s="248">
        <v>1181.3616999999999</v>
      </c>
      <c r="E1484" s="248">
        <v>1228.9858999999999</v>
      </c>
      <c r="F1484" s="248">
        <v>1253.5178000000001</v>
      </c>
      <c r="G1484" s="248">
        <v>1273.104</v>
      </c>
      <c r="H1484" s="248">
        <v>1307.4793999999999</v>
      </c>
      <c r="I1484"/>
      <c r="J1484"/>
      <c r="K1484"/>
      <c r="L1484"/>
      <c r="M1484"/>
    </row>
    <row r="1485" spans="3:13" hidden="1" outlineLevel="1" x14ac:dyDescent="0.2">
      <c r="C1485" s="139">
        <v>1259</v>
      </c>
      <c r="D1485" s="248">
        <v>1182.3391999999999</v>
      </c>
      <c r="E1485" s="248">
        <v>1229.9820999999999</v>
      </c>
      <c r="F1485" s="248">
        <v>1254.5335</v>
      </c>
      <c r="G1485" s="248">
        <v>1274.116</v>
      </c>
      <c r="H1485" s="248">
        <v>1308.5399</v>
      </c>
      <c r="I1485"/>
      <c r="J1485"/>
      <c r="K1485"/>
      <c r="L1485"/>
      <c r="M1485"/>
    </row>
    <row r="1486" spans="3:13" hidden="1" outlineLevel="1" x14ac:dyDescent="0.2">
      <c r="C1486" s="139">
        <v>1260</v>
      </c>
      <c r="D1486" s="248">
        <v>1183.3168000000001</v>
      </c>
      <c r="E1486" s="248">
        <v>1230.9782</v>
      </c>
      <c r="F1486" s="248">
        <v>1255.5491999999999</v>
      </c>
      <c r="G1486" s="248">
        <v>1275.1492000000001</v>
      </c>
      <c r="H1486" s="248">
        <v>1309.5791999999999</v>
      </c>
      <c r="I1486"/>
      <c r="J1486"/>
      <c r="K1486"/>
      <c r="L1486"/>
      <c r="M1486"/>
    </row>
    <row r="1487" spans="3:13" hidden="1" outlineLevel="1" x14ac:dyDescent="0.2">
      <c r="C1487" s="139">
        <v>1261</v>
      </c>
      <c r="D1487" s="248">
        <v>1184.2944</v>
      </c>
      <c r="E1487" s="248">
        <v>1231.9744000000001</v>
      </c>
      <c r="F1487" s="248">
        <v>1256.5455999999999</v>
      </c>
      <c r="G1487" s="248">
        <v>1276.1823999999999</v>
      </c>
      <c r="H1487" s="248">
        <v>1310.6397999999999</v>
      </c>
      <c r="I1487"/>
      <c r="J1487"/>
      <c r="K1487"/>
      <c r="L1487"/>
      <c r="M1487"/>
    </row>
    <row r="1488" spans="3:13" hidden="1" outlineLevel="1" x14ac:dyDescent="0.2">
      <c r="C1488" s="139">
        <v>1262</v>
      </c>
      <c r="D1488" s="248">
        <v>1185.2720999999999</v>
      </c>
      <c r="E1488" s="248">
        <v>1232.9707000000001</v>
      </c>
      <c r="F1488" s="248">
        <v>1257.5614</v>
      </c>
      <c r="G1488" s="248">
        <v>1277.1944000000001</v>
      </c>
      <c r="H1488" s="248">
        <v>1311.7003</v>
      </c>
      <c r="I1488"/>
      <c r="J1488"/>
      <c r="K1488"/>
      <c r="L1488"/>
      <c r="M1488"/>
    </row>
    <row r="1489" spans="3:13" hidden="1" outlineLevel="1" x14ac:dyDescent="0.2">
      <c r="C1489" s="139">
        <v>1263</v>
      </c>
      <c r="D1489" s="248">
        <v>1186.2499</v>
      </c>
      <c r="E1489" s="248">
        <v>1233.9862000000001</v>
      </c>
      <c r="F1489" s="248">
        <v>1258.5771</v>
      </c>
      <c r="G1489" s="248">
        <v>1278.2276999999999</v>
      </c>
      <c r="H1489" s="248">
        <v>1312.7397000000001</v>
      </c>
      <c r="I1489"/>
      <c r="J1489"/>
      <c r="K1489"/>
      <c r="L1489"/>
      <c r="M1489"/>
    </row>
    <row r="1490" spans="3:13" hidden="1" outlineLevel="1" x14ac:dyDescent="0.2">
      <c r="C1490" s="139">
        <v>1264</v>
      </c>
      <c r="D1490" s="248">
        <v>1187.2276999999999</v>
      </c>
      <c r="E1490" s="248">
        <v>1234.9825000000001</v>
      </c>
      <c r="F1490" s="248">
        <v>1259.5929000000001</v>
      </c>
      <c r="G1490" s="248">
        <v>1279.2609</v>
      </c>
      <c r="H1490" s="248">
        <v>1313.8003000000001</v>
      </c>
      <c r="I1490"/>
      <c r="J1490"/>
      <c r="K1490"/>
      <c r="L1490"/>
      <c r="M1490"/>
    </row>
    <row r="1491" spans="3:13" hidden="1" outlineLevel="1" x14ac:dyDescent="0.2">
      <c r="C1491" s="139">
        <v>1265</v>
      </c>
      <c r="D1491" s="248">
        <v>1188.1862000000001</v>
      </c>
      <c r="E1491" s="248">
        <v>1235.9789000000001</v>
      </c>
      <c r="F1491" s="248">
        <v>1260.6087</v>
      </c>
      <c r="G1491" s="248">
        <v>1280.2942</v>
      </c>
      <c r="H1491" s="248">
        <v>1314.8397</v>
      </c>
      <c r="I1491"/>
      <c r="J1491"/>
      <c r="K1491"/>
      <c r="L1491"/>
      <c r="M1491"/>
    </row>
    <row r="1492" spans="3:13" hidden="1" outlineLevel="1" x14ac:dyDescent="0.2">
      <c r="C1492" s="139">
        <v>1266</v>
      </c>
      <c r="D1492" s="248">
        <v>1189.1641</v>
      </c>
      <c r="E1492" s="248">
        <v>1236.9753000000001</v>
      </c>
      <c r="F1492" s="248">
        <v>1261.6246000000001</v>
      </c>
      <c r="G1492" s="248">
        <v>1281.3063</v>
      </c>
      <c r="H1492" s="248">
        <v>1315.9003</v>
      </c>
      <c r="I1492"/>
      <c r="J1492"/>
      <c r="K1492"/>
      <c r="L1492"/>
      <c r="M1492"/>
    </row>
    <row r="1493" spans="3:13" hidden="1" outlineLevel="1" x14ac:dyDescent="0.2">
      <c r="C1493" s="139">
        <v>1267</v>
      </c>
      <c r="D1493" s="248">
        <v>1190.1421</v>
      </c>
      <c r="E1493" s="248">
        <v>1237.9717000000001</v>
      </c>
      <c r="F1493" s="248">
        <v>1262.6404</v>
      </c>
      <c r="G1493" s="248">
        <v>1282.3397</v>
      </c>
      <c r="H1493" s="248">
        <v>1316.9396999999999</v>
      </c>
      <c r="I1493"/>
      <c r="J1493"/>
      <c r="K1493"/>
      <c r="L1493"/>
      <c r="M1493"/>
    </row>
    <row r="1494" spans="3:13" hidden="1" outlineLevel="1" x14ac:dyDescent="0.2">
      <c r="C1494" s="139">
        <v>1268</v>
      </c>
      <c r="D1494" s="248">
        <v>1191.1201000000001</v>
      </c>
      <c r="E1494" s="248">
        <v>1238.9875</v>
      </c>
      <c r="F1494" s="248">
        <v>1263.6563000000001</v>
      </c>
      <c r="G1494" s="248">
        <v>1283.3731</v>
      </c>
      <c r="H1494" s="248">
        <v>1318.0003999999999</v>
      </c>
      <c r="I1494"/>
      <c r="J1494"/>
      <c r="K1494"/>
      <c r="L1494"/>
      <c r="M1494"/>
    </row>
    <row r="1495" spans="3:13" hidden="1" outlineLevel="1" x14ac:dyDescent="0.2">
      <c r="C1495" s="139">
        <v>1269</v>
      </c>
      <c r="D1495" s="248">
        <v>1192.0981999999999</v>
      </c>
      <c r="E1495" s="248">
        <v>1239.9838999999999</v>
      </c>
      <c r="F1495" s="248">
        <v>1264.6723</v>
      </c>
      <c r="G1495" s="248">
        <v>1284.4065000000001</v>
      </c>
      <c r="H1495" s="248">
        <v>1319.0399</v>
      </c>
      <c r="I1495"/>
      <c r="J1495"/>
      <c r="K1495"/>
      <c r="L1495"/>
      <c r="M1495"/>
    </row>
    <row r="1496" spans="3:13" hidden="1" outlineLevel="1" x14ac:dyDescent="0.2">
      <c r="C1496" s="139">
        <v>1270</v>
      </c>
      <c r="D1496" s="248">
        <v>1193.0763999999999</v>
      </c>
      <c r="E1496" s="248">
        <v>1240.9804999999999</v>
      </c>
      <c r="F1496" s="248">
        <v>1265.6882000000001</v>
      </c>
      <c r="G1496" s="248">
        <v>1285.4186</v>
      </c>
      <c r="H1496" s="248">
        <v>1320.1006</v>
      </c>
      <c r="I1496"/>
      <c r="J1496"/>
      <c r="K1496"/>
      <c r="L1496"/>
      <c r="M1496"/>
    </row>
    <row r="1497" spans="3:13" hidden="1" outlineLevel="1" x14ac:dyDescent="0.2">
      <c r="C1497" s="139">
        <v>1271</v>
      </c>
      <c r="D1497" s="248">
        <v>1194.0545999999999</v>
      </c>
      <c r="E1497" s="248">
        <v>1241.9770000000001</v>
      </c>
      <c r="F1497" s="248">
        <v>1266.7041999999999</v>
      </c>
      <c r="G1497" s="248">
        <v>1286.4521</v>
      </c>
      <c r="H1497" s="248">
        <v>1321.1401000000001</v>
      </c>
      <c r="I1497"/>
      <c r="J1497"/>
      <c r="K1497"/>
      <c r="L1497"/>
      <c r="M1497"/>
    </row>
    <row r="1498" spans="3:13" hidden="1" outlineLevel="1" x14ac:dyDescent="0.2">
      <c r="C1498" s="139">
        <v>1272</v>
      </c>
      <c r="D1498" s="248">
        <v>1195.0135</v>
      </c>
      <c r="E1498" s="248">
        <v>1242.9736</v>
      </c>
      <c r="F1498" s="248">
        <v>1267.7203</v>
      </c>
      <c r="G1498" s="248">
        <v>1287.4856</v>
      </c>
      <c r="H1498" s="248">
        <v>1322.2009</v>
      </c>
      <c r="I1498"/>
      <c r="J1498"/>
      <c r="K1498"/>
      <c r="L1498"/>
      <c r="M1498"/>
    </row>
    <row r="1499" spans="3:13" hidden="1" outlineLevel="1" x14ac:dyDescent="0.2">
      <c r="C1499" s="139">
        <v>1273</v>
      </c>
      <c r="D1499" s="248">
        <v>1195.9918</v>
      </c>
      <c r="E1499" s="248">
        <v>1243.9896000000001</v>
      </c>
      <c r="F1499" s="248">
        <v>1268.7363</v>
      </c>
      <c r="G1499" s="248">
        <v>1288.4978000000001</v>
      </c>
      <c r="H1499" s="248">
        <v>1323.2617</v>
      </c>
      <c r="I1499"/>
      <c r="J1499"/>
      <c r="K1499"/>
      <c r="L1499"/>
      <c r="M1499"/>
    </row>
    <row r="1500" spans="3:13" hidden="1" outlineLevel="1" x14ac:dyDescent="0.2">
      <c r="C1500" s="139">
        <v>1274</v>
      </c>
      <c r="D1500" s="248">
        <v>1196.9702</v>
      </c>
      <c r="E1500" s="248">
        <v>1244.9863</v>
      </c>
      <c r="F1500" s="248">
        <v>1269.7524000000001</v>
      </c>
      <c r="G1500" s="248">
        <v>1289.5313000000001</v>
      </c>
      <c r="H1500" s="248">
        <v>1324.3012000000001</v>
      </c>
      <c r="I1500"/>
      <c r="J1500"/>
      <c r="K1500"/>
      <c r="L1500"/>
      <c r="M1500"/>
    </row>
    <row r="1501" spans="3:13" hidden="1" outlineLevel="1" x14ac:dyDescent="0.2">
      <c r="C1501" s="139">
        <v>1275</v>
      </c>
      <c r="D1501" s="248">
        <v>1197.9485999999999</v>
      </c>
      <c r="E1501" s="248">
        <v>1245.9829</v>
      </c>
      <c r="F1501" s="248">
        <v>1270.7684999999999</v>
      </c>
      <c r="G1501" s="248">
        <v>1290.5649000000001</v>
      </c>
      <c r="H1501" s="248">
        <v>1325.3621000000001</v>
      </c>
      <c r="I1501"/>
      <c r="J1501"/>
      <c r="K1501"/>
      <c r="L1501"/>
      <c r="M1501"/>
    </row>
    <row r="1502" spans="3:13" hidden="1" outlineLevel="1" x14ac:dyDescent="0.2">
      <c r="C1502" s="139">
        <v>1276</v>
      </c>
      <c r="D1502" s="248">
        <v>1198.9272000000001</v>
      </c>
      <c r="E1502" s="248">
        <v>1246.9795999999999</v>
      </c>
      <c r="F1502" s="248">
        <v>1271.7846999999999</v>
      </c>
      <c r="G1502" s="248">
        <v>1291.5986</v>
      </c>
      <c r="H1502" s="248">
        <v>1326.4015999999999</v>
      </c>
      <c r="I1502"/>
      <c r="J1502"/>
      <c r="K1502"/>
      <c r="L1502"/>
      <c r="M1502"/>
    </row>
    <row r="1503" spans="3:13" hidden="1" outlineLevel="1" x14ac:dyDescent="0.2">
      <c r="C1503" s="139">
        <v>1277</v>
      </c>
      <c r="D1503" s="248">
        <v>1199.9057</v>
      </c>
      <c r="E1503" s="248">
        <v>1247.9764</v>
      </c>
      <c r="F1503" s="248">
        <v>1272.8009</v>
      </c>
      <c r="G1503" s="248">
        <v>1292.6107999999999</v>
      </c>
      <c r="H1503" s="248">
        <v>1327.4625000000001</v>
      </c>
      <c r="I1503"/>
      <c r="J1503"/>
      <c r="K1503"/>
      <c r="L1503"/>
      <c r="M1503"/>
    </row>
    <row r="1504" spans="3:13" hidden="1" outlineLevel="1" x14ac:dyDescent="0.2">
      <c r="C1504" s="139">
        <v>1278</v>
      </c>
      <c r="D1504" s="248">
        <v>1200.8649</v>
      </c>
      <c r="E1504" s="248">
        <v>1248.9731999999999</v>
      </c>
      <c r="F1504" s="248">
        <v>1273.8171</v>
      </c>
      <c r="G1504" s="248">
        <v>1293.6445000000001</v>
      </c>
      <c r="H1504" s="248">
        <v>1328.502</v>
      </c>
      <c r="I1504"/>
      <c r="J1504"/>
      <c r="K1504"/>
      <c r="L1504"/>
      <c r="M1504"/>
    </row>
    <row r="1505" spans="3:13" hidden="1" outlineLevel="1" x14ac:dyDescent="0.2">
      <c r="C1505" s="139">
        <v>1279</v>
      </c>
      <c r="D1505" s="248">
        <v>1201.8434999999999</v>
      </c>
      <c r="E1505" s="248">
        <v>1249.9894999999999</v>
      </c>
      <c r="F1505" s="248">
        <v>1274.8137999999999</v>
      </c>
      <c r="G1505" s="248">
        <v>1294.6782000000001</v>
      </c>
      <c r="H1505" s="248">
        <v>1329.5630000000001</v>
      </c>
      <c r="I1505"/>
      <c r="J1505"/>
      <c r="K1505"/>
      <c r="L1505"/>
      <c r="M1505"/>
    </row>
    <row r="1506" spans="3:13" hidden="1" outlineLevel="1" x14ac:dyDescent="0.2">
      <c r="C1506" s="139">
        <v>1280</v>
      </c>
      <c r="D1506" s="248">
        <v>1202.8223</v>
      </c>
      <c r="E1506" s="248">
        <v>1250.9863</v>
      </c>
      <c r="F1506" s="248">
        <v>1275.8300999999999</v>
      </c>
      <c r="G1506" s="248">
        <v>1295.6904</v>
      </c>
      <c r="H1506" s="248">
        <v>1330.6025</v>
      </c>
      <c r="I1506"/>
      <c r="J1506"/>
      <c r="K1506"/>
      <c r="L1506"/>
      <c r="M1506"/>
    </row>
    <row r="1507" spans="3:13" hidden="1" outlineLevel="1" x14ac:dyDescent="0.2">
      <c r="C1507" s="139">
        <v>1281</v>
      </c>
      <c r="D1507" s="248">
        <v>1203.8010999999999</v>
      </c>
      <c r="E1507" s="248">
        <v>1251.9831999999999</v>
      </c>
      <c r="F1507" s="248">
        <v>1276.8463999999999</v>
      </c>
      <c r="G1507" s="248">
        <v>1296.7242000000001</v>
      </c>
      <c r="H1507" s="248">
        <v>1331.6636000000001</v>
      </c>
      <c r="I1507"/>
      <c r="J1507"/>
      <c r="K1507"/>
      <c r="L1507"/>
      <c r="M1507"/>
    </row>
    <row r="1508" spans="3:13" hidden="1" outlineLevel="1" x14ac:dyDescent="0.2">
      <c r="C1508" s="139">
        <v>1282</v>
      </c>
      <c r="D1508" s="248">
        <v>1204.7799</v>
      </c>
      <c r="E1508" s="248">
        <v>1252.9801</v>
      </c>
      <c r="F1508" s="248">
        <v>1277.8626999999999</v>
      </c>
      <c r="G1508" s="248">
        <v>1297.758</v>
      </c>
      <c r="H1508" s="248">
        <v>1332.7030999999999</v>
      </c>
      <c r="I1508"/>
      <c r="J1508"/>
      <c r="K1508"/>
      <c r="L1508"/>
      <c r="M1508"/>
    </row>
    <row r="1509" spans="3:13" hidden="1" outlineLevel="1" x14ac:dyDescent="0.2">
      <c r="C1509" s="139">
        <v>1283</v>
      </c>
      <c r="D1509" s="248">
        <v>1205.7393</v>
      </c>
      <c r="E1509" s="248">
        <v>1253.9771000000001</v>
      </c>
      <c r="F1509" s="248">
        <v>1278.8789999999999</v>
      </c>
      <c r="G1509" s="248">
        <v>1298.7702999999999</v>
      </c>
      <c r="H1509" s="248">
        <v>1333.7642000000001</v>
      </c>
      <c r="I1509"/>
      <c r="J1509"/>
      <c r="K1509"/>
      <c r="L1509"/>
      <c r="M1509"/>
    </row>
    <row r="1510" spans="3:13" hidden="1" outlineLevel="1" x14ac:dyDescent="0.2">
      <c r="C1510" s="139">
        <v>1284</v>
      </c>
      <c r="D1510" s="248">
        <v>1206.7182</v>
      </c>
      <c r="E1510" s="248">
        <v>1254.9739999999999</v>
      </c>
      <c r="F1510" s="248">
        <v>1279.8954000000001</v>
      </c>
      <c r="G1510" s="248">
        <v>1299.8041000000001</v>
      </c>
      <c r="H1510" s="248">
        <v>1334.8037999999999</v>
      </c>
      <c r="I1510"/>
      <c r="J1510"/>
      <c r="K1510"/>
      <c r="L1510"/>
      <c r="M1510"/>
    </row>
    <row r="1511" spans="3:13" hidden="1" outlineLevel="1" x14ac:dyDescent="0.2">
      <c r="C1511" s="139">
        <v>1285</v>
      </c>
      <c r="D1511" s="248">
        <v>1207.6973</v>
      </c>
      <c r="E1511" s="248">
        <v>1255.9906000000001</v>
      </c>
      <c r="F1511" s="248">
        <v>1280.9118000000001</v>
      </c>
      <c r="G1511" s="248">
        <v>1300.838</v>
      </c>
      <c r="H1511" s="248">
        <v>1335.8649</v>
      </c>
      <c r="I1511"/>
      <c r="J1511"/>
      <c r="K1511"/>
      <c r="L1511"/>
      <c r="M1511"/>
    </row>
    <row r="1512" spans="3:13" hidden="1" outlineLevel="1" x14ac:dyDescent="0.2">
      <c r="C1512" s="139">
        <v>1286</v>
      </c>
      <c r="D1512" s="248">
        <v>1208.6763000000001</v>
      </c>
      <c r="E1512" s="248">
        <v>1256.9876999999999</v>
      </c>
      <c r="F1512" s="248">
        <v>1281.9283</v>
      </c>
      <c r="G1512" s="248">
        <v>1301.8719000000001</v>
      </c>
      <c r="H1512" s="248">
        <v>1336.9045000000001</v>
      </c>
      <c r="I1512"/>
      <c r="J1512"/>
      <c r="K1512"/>
      <c r="L1512"/>
      <c r="M1512"/>
    </row>
    <row r="1513" spans="3:13" hidden="1" outlineLevel="1" x14ac:dyDescent="0.2">
      <c r="C1513" s="139">
        <v>1287</v>
      </c>
      <c r="D1513" s="248">
        <v>1209.6555000000001</v>
      </c>
      <c r="E1513" s="248">
        <v>1257.9848</v>
      </c>
      <c r="F1513" s="248">
        <v>1282.9447</v>
      </c>
      <c r="G1513" s="248">
        <v>1302.8842</v>
      </c>
      <c r="H1513" s="248">
        <v>1337.9657</v>
      </c>
      <c r="I1513"/>
      <c r="J1513"/>
      <c r="K1513"/>
      <c r="L1513"/>
      <c r="M1513"/>
    </row>
    <row r="1514" spans="3:13" hidden="1" outlineLevel="1" x14ac:dyDescent="0.2">
      <c r="C1514" s="139">
        <v>1288</v>
      </c>
      <c r="D1514" s="248">
        <v>1210.6151</v>
      </c>
      <c r="E1514" s="248">
        <v>1258.9819</v>
      </c>
      <c r="F1514" s="248">
        <v>1283.9612</v>
      </c>
      <c r="G1514" s="248">
        <v>1303.9182000000001</v>
      </c>
      <c r="H1514" s="248">
        <v>1339.0269000000001</v>
      </c>
      <c r="I1514"/>
      <c r="J1514"/>
      <c r="K1514"/>
      <c r="L1514"/>
      <c r="M1514"/>
    </row>
    <row r="1515" spans="3:13" hidden="1" outlineLevel="1" x14ac:dyDescent="0.2">
      <c r="C1515" s="139">
        <v>1289</v>
      </c>
      <c r="D1515" s="248">
        <v>1211.5943</v>
      </c>
      <c r="E1515" s="248">
        <v>1259.979</v>
      </c>
      <c r="F1515" s="248">
        <v>1284.9777999999999</v>
      </c>
      <c r="G1515" s="248">
        <v>1304.9521999999999</v>
      </c>
      <c r="H1515" s="248">
        <v>1340.0664999999999</v>
      </c>
      <c r="I1515"/>
      <c r="J1515"/>
      <c r="K1515"/>
      <c r="L1515"/>
      <c r="M1515"/>
    </row>
    <row r="1516" spans="3:13" hidden="1" outlineLevel="1" x14ac:dyDescent="0.2">
      <c r="C1516" s="139">
        <v>1290</v>
      </c>
      <c r="D1516" s="248">
        <v>1212.5735999999999</v>
      </c>
      <c r="E1516" s="248">
        <v>1260.9762000000001</v>
      </c>
      <c r="F1516" s="248">
        <v>1285.9943000000001</v>
      </c>
      <c r="G1516" s="248">
        <v>1305.9646</v>
      </c>
      <c r="H1516" s="248">
        <v>1341.1278</v>
      </c>
      <c r="I1516"/>
      <c r="J1516"/>
      <c r="K1516"/>
      <c r="L1516"/>
      <c r="M1516"/>
    </row>
    <row r="1517" spans="3:13" hidden="1" outlineLevel="1" x14ac:dyDescent="0.2">
      <c r="C1517" s="139">
        <v>1291</v>
      </c>
      <c r="D1517" s="248">
        <v>1213.5530000000001</v>
      </c>
      <c r="E1517" s="248">
        <v>1261.9930999999999</v>
      </c>
      <c r="F1517" s="248">
        <v>1287.0109</v>
      </c>
      <c r="G1517" s="248">
        <v>1306.9985999999999</v>
      </c>
      <c r="H1517" s="248">
        <v>1342.1674</v>
      </c>
      <c r="I1517"/>
      <c r="J1517"/>
      <c r="K1517"/>
      <c r="L1517"/>
      <c r="M1517"/>
    </row>
    <row r="1518" spans="3:13" hidden="1" outlineLevel="1" x14ac:dyDescent="0.2">
      <c r="C1518" s="139">
        <v>1292</v>
      </c>
      <c r="D1518" s="248">
        <v>1214.5324000000001</v>
      </c>
      <c r="E1518" s="248">
        <v>1262.9902999999999</v>
      </c>
      <c r="F1518" s="248">
        <v>1288.0078000000001</v>
      </c>
      <c r="G1518" s="248">
        <v>1308.0327</v>
      </c>
      <c r="H1518" s="248">
        <v>1343.2286999999999</v>
      </c>
      <c r="I1518"/>
      <c r="J1518"/>
      <c r="K1518"/>
      <c r="L1518"/>
      <c r="M1518"/>
    </row>
    <row r="1519" spans="3:13" hidden="1" outlineLevel="1" x14ac:dyDescent="0.2">
      <c r="C1519" s="139">
        <v>1293</v>
      </c>
      <c r="D1519" s="248">
        <v>1215.4921999999999</v>
      </c>
      <c r="E1519" s="248">
        <v>1263.9875999999999</v>
      </c>
      <c r="F1519" s="248">
        <v>1289.0245</v>
      </c>
      <c r="G1519" s="248">
        <v>1309.0668000000001</v>
      </c>
      <c r="H1519" s="248">
        <v>1344.2683999999999</v>
      </c>
      <c r="I1519"/>
      <c r="J1519"/>
      <c r="K1519"/>
      <c r="L1519"/>
      <c r="M1519"/>
    </row>
    <row r="1520" spans="3:13" hidden="1" outlineLevel="1" x14ac:dyDescent="0.2">
      <c r="C1520" s="139">
        <v>1294</v>
      </c>
      <c r="D1520" s="248">
        <v>1216.4718</v>
      </c>
      <c r="E1520" s="248">
        <v>1264.9848999999999</v>
      </c>
      <c r="F1520" s="248">
        <v>1290.0411999999999</v>
      </c>
      <c r="G1520" s="248">
        <v>1310.0791999999999</v>
      </c>
      <c r="H1520" s="248">
        <v>1345.3298</v>
      </c>
      <c r="I1520"/>
      <c r="J1520"/>
      <c r="K1520"/>
      <c r="L1520"/>
      <c r="M1520"/>
    </row>
    <row r="1521" spans="3:13" hidden="1" outlineLevel="1" x14ac:dyDescent="0.2">
      <c r="C1521" s="139">
        <v>1295</v>
      </c>
      <c r="D1521" s="248">
        <v>1217.4513999999999</v>
      </c>
      <c r="E1521" s="248">
        <v>1265.9821999999999</v>
      </c>
      <c r="F1521" s="248">
        <v>1291.0579</v>
      </c>
      <c r="G1521" s="248">
        <v>1311.1134</v>
      </c>
      <c r="H1521" s="248">
        <v>1346.3694</v>
      </c>
      <c r="I1521"/>
      <c r="J1521"/>
      <c r="K1521"/>
      <c r="L1521"/>
      <c r="M1521"/>
    </row>
    <row r="1522" spans="3:13" hidden="1" outlineLevel="1" x14ac:dyDescent="0.2">
      <c r="C1522" s="139">
        <v>1296</v>
      </c>
      <c r="D1522" s="248">
        <v>1218.431</v>
      </c>
      <c r="E1522" s="248">
        <v>1266.9795999999999</v>
      </c>
      <c r="F1522" s="248">
        <v>1292.0745999999999</v>
      </c>
      <c r="G1522" s="248">
        <v>1312.1476</v>
      </c>
      <c r="H1522" s="248">
        <v>1347.4308000000001</v>
      </c>
      <c r="I1522"/>
      <c r="J1522"/>
      <c r="K1522"/>
      <c r="L1522"/>
      <c r="M1522"/>
    </row>
    <row r="1523" spans="3:13" hidden="1" outlineLevel="1" x14ac:dyDescent="0.2">
      <c r="C1523" s="139">
        <v>1297</v>
      </c>
      <c r="D1523" s="248">
        <v>1219.4108000000001</v>
      </c>
      <c r="E1523" s="248">
        <v>1267.9967999999999</v>
      </c>
      <c r="F1523" s="248">
        <v>1293.0913</v>
      </c>
      <c r="G1523" s="248">
        <v>1313.1601000000001</v>
      </c>
      <c r="H1523" s="248">
        <v>1348.4704999999999</v>
      </c>
      <c r="I1523"/>
      <c r="J1523"/>
      <c r="K1523"/>
      <c r="L1523"/>
      <c r="M1523"/>
    </row>
    <row r="1524" spans="3:13" hidden="1" outlineLevel="1" x14ac:dyDescent="0.2">
      <c r="C1524" s="139">
        <v>1298</v>
      </c>
      <c r="D1524" s="248">
        <v>1220.3706999999999</v>
      </c>
      <c r="E1524" s="248">
        <v>1268.9942000000001</v>
      </c>
      <c r="F1524" s="248">
        <v>1294.1080999999999</v>
      </c>
      <c r="G1524" s="248">
        <v>1314.1943000000001</v>
      </c>
      <c r="H1524" s="248">
        <v>1349.5319999999999</v>
      </c>
      <c r="I1524"/>
      <c r="J1524"/>
      <c r="K1524"/>
      <c r="L1524"/>
      <c r="M1524"/>
    </row>
    <row r="1525" spans="3:13" hidden="1" outlineLevel="1" x14ac:dyDescent="0.2">
      <c r="C1525" s="139">
        <v>1299</v>
      </c>
      <c r="D1525" s="248">
        <v>1221.3506</v>
      </c>
      <c r="E1525" s="248">
        <v>1269.9917</v>
      </c>
      <c r="F1525" s="248">
        <v>1295.125</v>
      </c>
      <c r="G1525" s="248">
        <v>1315.2285999999999</v>
      </c>
      <c r="H1525" s="248">
        <v>1350.5717</v>
      </c>
      <c r="I1525"/>
      <c r="J1525"/>
      <c r="K1525"/>
      <c r="L1525"/>
      <c r="M1525"/>
    </row>
    <row r="1526" spans="3:13" hidden="1" outlineLevel="1" x14ac:dyDescent="0.2">
      <c r="C1526" s="139">
        <v>1300</v>
      </c>
      <c r="D1526" s="248">
        <v>1222.3305</v>
      </c>
      <c r="E1526" s="248">
        <v>1270.9892</v>
      </c>
      <c r="F1526" s="248">
        <v>1296.1418000000001</v>
      </c>
      <c r="G1526" s="248">
        <v>1316.2411</v>
      </c>
      <c r="H1526" s="248">
        <v>1351.6332</v>
      </c>
      <c r="I1526"/>
      <c r="J1526"/>
      <c r="K1526"/>
      <c r="L1526"/>
      <c r="M1526"/>
    </row>
    <row r="1527" spans="3:13" hidden="1" outlineLevel="1" x14ac:dyDescent="0.2">
      <c r="C1527" s="139">
        <v>1301</v>
      </c>
      <c r="D1527" s="248">
        <v>1223.3104000000001</v>
      </c>
      <c r="E1527" s="248">
        <v>1271.9867999999999</v>
      </c>
      <c r="F1527" s="248">
        <v>1297.1587</v>
      </c>
      <c r="G1527" s="248">
        <v>1317.2754</v>
      </c>
      <c r="H1527" s="248">
        <v>1352.6729</v>
      </c>
      <c r="I1527"/>
      <c r="J1527"/>
      <c r="K1527"/>
      <c r="L1527"/>
      <c r="M1527"/>
    </row>
    <row r="1528" spans="3:13" hidden="1" outlineLevel="1" x14ac:dyDescent="0.2">
      <c r="C1528" s="139">
        <v>1302</v>
      </c>
      <c r="D1528" s="248">
        <v>1224.2706000000001</v>
      </c>
      <c r="E1528" s="248">
        <v>1272.9843000000001</v>
      </c>
      <c r="F1528" s="248">
        <v>1298.1756</v>
      </c>
      <c r="G1528" s="248">
        <v>1318.3098</v>
      </c>
      <c r="H1528" s="248">
        <v>1353.7345</v>
      </c>
      <c r="I1528"/>
      <c r="J1528"/>
      <c r="K1528"/>
      <c r="L1528"/>
      <c r="M1528"/>
    </row>
    <row r="1529" spans="3:13" hidden="1" outlineLevel="1" x14ac:dyDescent="0.2">
      <c r="C1529" s="139">
        <v>1303</v>
      </c>
      <c r="D1529" s="248">
        <v>1225.2506000000001</v>
      </c>
      <c r="E1529" s="248">
        <v>1273.9819</v>
      </c>
      <c r="F1529" s="248">
        <v>1299.1926000000001</v>
      </c>
      <c r="G1529" s="248">
        <v>1319.3223</v>
      </c>
      <c r="H1529" s="248">
        <v>1354.7742000000001</v>
      </c>
      <c r="I1529"/>
      <c r="J1529"/>
      <c r="K1529"/>
      <c r="L1529"/>
      <c r="M1529"/>
    </row>
    <row r="1530" spans="3:13" hidden="1" outlineLevel="1" x14ac:dyDescent="0.2">
      <c r="C1530" s="139">
        <v>1304</v>
      </c>
      <c r="D1530" s="248">
        <v>1226.2308</v>
      </c>
      <c r="E1530" s="248">
        <v>1274.9994999999999</v>
      </c>
      <c r="F1530" s="248">
        <v>1300.1895999999999</v>
      </c>
      <c r="G1530" s="248">
        <v>1320.3567</v>
      </c>
      <c r="H1530" s="248">
        <v>1355.8359</v>
      </c>
      <c r="I1530"/>
      <c r="J1530"/>
      <c r="K1530"/>
      <c r="L1530"/>
      <c r="M1530"/>
    </row>
    <row r="1531" spans="3:13" hidden="1" outlineLevel="1" x14ac:dyDescent="0.2">
      <c r="C1531" s="139">
        <v>1305</v>
      </c>
      <c r="D1531" s="248">
        <v>1227.211</v>
      </c>
      <c r="E1531" s="248">
        <v>1275.9971</v>
      </c>
      <c r="F1531" s="248">
        <v>1301.2066</v>
      </c>
      <c r="G1531" s="248">
        <v>1321.3912</v>
      </c>
      <c r="H1531" s="248">
        <v>1356.8756000000001</v>
      </c>
      <c r="I1531"/>
      <c r="J1531"/>
      <c r="K1531"/>
      <c r="L1531"/>
      <c r="M1531"/>
    </row>
    <row r="1532" spans="3:13" hidden="1" outlineLevel="1" x14ac:dyDescent="0.2">
      <c r="C1532" s="139">
        <v>1306</v>
      </c>
      <c r="D1532" s="248">
        <v>1228.1912</v>
      </c>
      <c r="E1532" s="248">
        <v>1276.9947999999999</v>
      </c>
      <c r="F1532" s="248">
        <v>1302.2236</v>
      </c>
      <c r="G1532" s="248">
        <v>1322.4256</v>
      </c>
      <c r="H1532" s="248">
        <v>1357.9373000000001</v>
      </c>
      <c r="I1532"/>
      <c r="J1532"/>
      <c r="K1532"/>
      <c r="L1532"/>
      <c r="M1532"/>
    </row>
    <row r="1533" spans="3:13" hidden="1" outlineLevel="1" x14ac:dyDescent="0.2">
      <c r="C1533" s="139">
        <v>1307</v>
      </c>
      <c r="D1533" s="248">
        <v>1229.1515999999999</v>
      </c>
      <c r="E1533" s="248">
        <v>1277.9926</v>
      </c>
      <c r="F1533" s="248">
        <v>1303.2407000000001</v>
      </c>
      <c r="G1533" s="248">
        <v>1323.4382000000001</v>
      </c>
      <c r="H1533" s="248">
        <v>1358.9771000000001</v>
      </c>
      <c r="I1533"/>
      <c r="J1533"/>
      <c r="K1533"/>
      <c r="L1533"/>
      <c r="M1533"/>
    </row>
    <row r="1534" spans="3:13" hidden="1" outlineLevel="1" x14ac:dyDescent="0.2">
      <c r="C1534" s="139">
        <v>1308</v>
      </c>
      <c r="D1534" s="248">
        <v>1230.1319000000001</v>
      </c>
      <c r="E1534" s="248">
        <v>1278.9902999999999</v>
      </c>
      <c r="F1534" s="248">
        <v>1304.2578000000001</v>
      </c>
      <c r="G1534" s="248">
        <v>1324.4727</v>
      </c>
      <c r="H1534" s="248">
        <v>1360.0388</v>
      </c>
      <c r="I1534"/>
      <c r="J1534"/>
      <c r="K1534"/>
      <c r="L1534"/>
      <c r="M1534"/>
    </row>
    <row r="1535" spans="3:13" hidden="1" outlineLevel="1" x14ac:dyDescent="0.2">
      <c r="C1535" s="139">
        <v>1309</v>
      </c>
      <c r="D1535" s="248">
        <v>1231.1123</v>
      </c>
      <c r="E1535" s="248">
        <v>1279.9881</v>
      </c>
      <c r="F1535" s="248">
        <v>1305.2748999999999</v>
      </c>
      <c r="G1535" s="248">
        <v>1325.5073</v>
      </c>
      <c r="H1535" s="248">
        <v>1361.1005</v>
      </c>
      <c r="I1535"/>
      <c r="J1535"/>
      <c r="K1535"/>
      <c r="L1535"/>
      <c r="M1535"/>
    </row>
    <row r="1536" spans="3:13" hidden="1" outlineLevel="1" x14ac:dyDescent="0.2">
      <c r="C1536" s="139">
        <v>1310</v>
      </c>
      <c r="D1536" s="248">
        <v>1232.0927999999999</v>
      </c>
      <c r="E1536" s="248">
        <v>1280.9858999999999</v>
      </c>
      <c r="F1536" s="248">
        <v>1306.2919999999999</v>
      </c>
      <c r="G1536" s="248">
        <v>1326.5199</v>
      </c>
      <c r="H1536" s="248">
        <v>1362.1403</v>
      </c>
      <c r="I1536"/>
      <c r="J1536"/>
      <c r="K1536"/>
      <c r="L1536"/>
      <c r="M1536"/>
    </row>
    <row r="1537" spans="3:13" hidden="1" outlineLevel="1" x14ac:dyDescent="0.2">
      <c r="C1537" s="139">
        <v>1311</v>
      </c>
      <c r="D1537" s="248">
        <v>1233.0534</v>
      </c>
      <c r="E1537" s="248">
        <v>1281.9838</v>
      </c>
      <c r="F1537" s="248">
        <v>1307.3091999999999</v>
      </c>
      <c r="G1537" s="248">
        <v>1327.5545</v>
      </c>
      <c r="H1537" s="248">
        <v>1363.2021</v>
      </c>
      <c r="I1537"/>
      <c r="J1537"/>
      <c r="K1537"/>
      <c r="L1537"/>
      <c r="M1537"/>
    </row>
    <row r="1538" spans="3:13" hidden="1" outlineLevel="1" x14ac:dyDescent="0.2">
      <c r="C1538" s="139">
        <v>1312</v>
      </c>
      <c r="D1538" s="248">
        <v>1234.0338999999999</v>
      </c>
      <c r="E1538" s="248">
        <v>1283.0017</v>
      </c>
      <c r="F1538" s="248">
        <v>1308.3263999999999</v>
      </c>
      <c r="G1538" s="248">
        <v>1328.5891999999999</v>
      </c>
      <c r="H1538" s="248">
        <v>1364.242</v>
      </c>
      <c r="I1538"/>
      <c r="J1538"/>
      <c r="K1538"/>
      <c r="L1538"/>
      <c r="M1538"/>
    </row>
    <row r="1539" spans="3:13" hidden="1" outlineLevel="1" x14ac:dyDescent="0.2">
      <c r="C1539" s="139">
        <v>1313</v>
      </c>
      <c r="D1539" s="248">
        <v>1235.0146</v>
      </c>
      <c r="E1539" s="248">
        <v>1283.9996000000001</v>
      </c>
      <c r="F1539" s="248">
        <v>1309.3235999999999</v>
      </c>
      <c r="G1539" s="248">
        <v>1329.6017999999999</v>
      </c>
      <c r="H1539" s="248">
        <v>1365.3037999999999</v>
      </c>
      <c r="I1539"/>
      <c r="J1539"/>
      <c r="K1539"/>
      <c r="L1539"/>
      <c r="M1539"/>
    </row>
    <row r="1540" spans="3:13" hidden="1" outlineLevel="1" x14ac:dyDescent="0.2">
      <c r="C1540" s="139">
        <v>1314</v>
      </c>
      <c r="D1540" s="248">
        <v>1235.9953</v>
      </c>
      <c r="E1540" s="248">
        <v>1284.9975999999999</v>
      </c>
      <c r="F1540" s="248">
        <v>1310.3408999999999</v>
      </c>
      <c r="G1540" s="248">
        <v>1330.6365000000001</v>
      </c>
      <c r="H1540" s="248">
        <v>1366.3436999999999</v>
      </c>
      <c r="I1540"/>
      <c r="J1540"/>
      <c r="K1540"/>
      <c r="L1540"/>
      <c r="M1540"/>
    </row>
    <row r="1541" spans="3:13" hidden="1" outlineLevel="1" x14ac:dyDescent="0.2">
      <c r="C1541" s="139">
        <v>1315</v>
      </c>
      <c r="D1541" s="248">
        <v>1236.9559999999999</v>
      </c>
      <c r="E1541" s="248">
        <v>1285.9956</v>
      </c>
      <c r="F1541" s="248">
        <v>1311.3580999999999</v>
      </c>
      <c r="G1541" s="248">
        <v>1331.6713</v>
      </c>
      <c r="H1541" s="248">
        <v>1367.4056</v>
      </c>
      <c r="I1541"/>
      <c r="J1541"/>
      <c r="K1541"/>
      <c r="L1541"/>
      <c r="M1541"/>
    </row>
    <row r="1542" spans="3:13" hidden="1" outlineLevel="1" x14ac:dyDescent="0.2">
      <c r="C1542" s="139">
        <v>1316</v>
      </c>
      <c r="D1542" s="248">
        <v>1237.9367999999999</v>
      </c>
      <c r="E1542" s="248">
        <v>1286.9936</v>
      </c>
      <c r="F1542" s="248">
        <v>1312.3755000000001</v>
      </c>
      <c r="G1542" s="248">
        <v>1332.6839</v>
      </c>
      <c r="H1542" s="248">
        <v>1368.4454000000001</v>
      </c>
      <c r="I1542"/>
      <c r="J1542"/>
      <c r="K1542"/>
      <c r="L1542"/>
      <c r="M1542"/>
    </row>
    <row r="1543" spans="3:13" hidden="1" outlineLevel="1" x14ac:dyDescent="0.2">
      <c r="C1543" s="139">
        <v>1317</v>
      </c>
      <c r="D1543" s="248">
        <v>1238.9177</v>
      </c>
      <c r="E1543" s="248">
        <v>1287.9917</v>
      </c>
      <c r="F1543" s="248">
        <v>1313.3928000000001</v>
      </c>
      <c r="G1543" s="248">
        <v>1333.7186999999999</v>
      </c>
      <c r="H1543" s="248">
        <v>1369.5074</v>
      </c>
      <c r="I1543"/>
      <c r="J1543"/>
      <c r="K1543"/>
      <c r="L1543"/>
      <c r="M1543"/>
    </row>
    <row r="1544" spans="3:13" hidden="1" outlineLevel="1" x14ac:dyDescent="0.2">
      <c r="C1544" s="139">
        <v>1318</v>
      </c>
      <c r="D1544" s="248">
        <v>1239.8986</v>
      </c>
      <c r="E1544" s="248">
        <v>1288.9898000000001</v>
      </c>
      <c r="F1544" s="248">
        <v>1314.4102</v>
      </c>
      <c r="G1544" s="248">
        <v>1334.7535</v>
      </c>
      <c r="H1544" s="248">
        <v>1370.5472</v>
      </c>
      <c r="I1544"/>
      <c r="J1544"/>
      <c r="K1544"/>
      <c r="L1544"/>
      <c r="M1544"/>
    </row>
    <row r="1545" spans="3:13" hidden="1" outlineLevel="1" x14ac:dyDescent="0.2">
      <c r="C1545" s="139">
        <v>1319</v>
      </c>
      <c r="D1545" s="248">
        <v>1240.8595</v>
      </c>
      <c r="E1545" s="248">
        <v>1289.9879000000001</v>
      </c>
      <c r="F1545" s="248">
        <v>1315.4276</v>
      </c>
      <c r="G1545" s="248">
        <v>1335.7662</v>
      </c>
      <c r="H1545" s="248">
        <v>1371.6093000000001</v>
      </c>
      <c r="I1545"/>
      <c r="J1545"/>
      <c r="K1545"/>
      <c r="L1545"/>
      <c r="M1545"/>
    </row>
    <row r="1546" spans="3:13" hidden="1" outlineLevel="1" x14ac:dyDescent="0.2">
      <c r="C1546" s="139">
        <v>1320</v>
      </c>
      <c r="D1546" s="248">
        <v>1241.8405</v>
      </c>
      <c r="E1546" s="248">
        <v>1291.0062</v>
      </c>
      <c r="F1546" s="248">
        <v>1316.4449999999999</v>
      </c>
      <c r="G1546" s="248">
        <v>1336.8010999999999</v>
      </c>
      <c r="H1546" s="248">
        <v>1372.6491000000001</v>
      </c>
      <c r="I1546"/>
      <c r="J1546"/>
      <c r="K1546"/>
      <c r="L1546"/>
      <c r="M1546"/>
    </row>
    <row r="1547" spans="3:13" hidden="1" outlineLevel="1" x14ac:dyDescent="0.2">
      <c r="C1547" s="139">
        <v>1321</v>
      </c>
      <c r="D1547" s="248">
        <v>1242.8216</v>
      </c>
      <c r="E1547" s="248">
        <v>1292.0044</v>
      </c>
      <c r="F1547" s="248">
        <v>1317.4625000000001</v>
      </c>
      <c r="G1547" s="248">
        <v>1337.836</v>
      </c>
      <c r="H1547" s="248">
        <v>1373.7112</v>
      </c>
      <c r="I1547"/>
      <c r="J1547"/>
      <c r="K1547"/>
      <c r="L1547"/>
      <c r="M1547"/>
    </row>
    <row r="1548" spans="3:13" hidden="1" outlineLevel="1" x14ac:dyDescent="0.2">
      <c r="C1548" s="139">
        <v>1322</v>
      </c>
      <c r="D1548" s="248">
        <v>1243.7826</v>
      </c>
      <c r="E1548" s="248">
        <v>1293.0026</v>
      </c>
      <c r="F1548" s="248">
        <v>1318.4598000000001</v>
      </c>
      <c r="G1548" s="248">
        <v>1338.8488</v>
      </c>
      <c r="H1548" s="248">
        <v>1374.7511</v>
      </c>
      <c r="I1548"/>
      <c r="J1548"/>
      <c r="K1548"/>
      <c r="L1548"/>
      <c r="M1548"/>
    </row>
    <row r="1549" spans="3:13" hidden="1" outlineLevel="1" x14ac:dyDescent="0.2">
      <c r="C1549" s="139">
        <v>1323</v>
      </c>
      <c r="D1549" s="248">
        <v>1244.7637999999999</v>
      </c>
      <c r="E1549" s="248">
        <v>1294.0008</v>
      </c>
      <c r="F1549" s="248">
        <v>1319.4773</v>
      </c>
      <c r="G1549" s="248">
        <v>1339.8837000000001</v>
      </c>
      <c r="H1549" s="248">
        <v>1375.8132000000001</v>
      </c>
      <c r="I1549"/>
      <c r="J1549"/>
      <c r="K1549"/>
      <c r="L1549"/>
      <c r="M1549"/>
    </row>
    <row r="1550" spans="3:13" hidden="1" outlineLevel="1" x14ac:dyDescent="0.2">
      <c r="C1550" s="139">
        <v>1324</v>
      </c>
      <c r="D1550" s="248">
        <v>1245.7451000000001</v>
      </c>
      <c r="E1550" s="248">
        <v>1294.9991</v>
      </c>
      <c r="F1550" s="248">
        <v>1320.4947999999999</v>
      </c>
      <c r="G1550" s="248">
        <v>1340.9186999999999</v>
      </c>
      <c r="H1550" s="248">
        <v>1376.8531</v>
      </c>
      <c r="I1550"/>
      <c r="J1550"/>
      <c r="K1550"/>
      <c r="L1550"/>
      <c r="M1550"/>
    </row>
    <row r="1551" spans="3:13" hidden="1" outlineLevel="1" x14ac:dyDescent="0.2">
      <c r="C1551" s="139">
        <v>1325</v>
      </c>
      <c r="D1551" s="248">
        <v>1246.7264</v>
      </c>
      <c r="E1551" s="248">
        <v>1295.9974</v>
      </c>
      <c r="F1551" s="248">
        <v>1321.5124000000001</v>
      </c>
      <c r="G1551" s="248">
        <v>1341.9314999999999</v>
      </c>
      <c r="H1551" s="248">
        <v>1377.9152999999999</v>
      </c>
      <c r="I1551"/>
      <c r="J1551"/>
      <c r="K1551"/>
      <c r="L1551"/>
      <c r="M1551"/>
    </row>
    <row r="1552" spans="3:13" hidden="1" outlineLevel="1" x14ac:dyDescent="0.2">
      <c r="C1552" s="139">
        <v>1326</v>
      </c>
      <c r="D1552" s="248">
        <v>1247.6876</v>
      </c>
      <c r="E1552" s="248">
        <v>1296.9957999999999</v>
      </c>
      <c r="F1552" s="248">
        <v>1322.53</v>
      </c>
      <c r="G1552" s="248">
        <v>1342.9665</v>
      </c>
      <c r="H1552" s="248">
        <v>1378.9552000000001</v>
      </c>
      <c r="I1552"/>
      <c r="J1552"/>
      <c r="K1552"/>
      <c r="L1552"/>
      <c r="M1552"/>
    </row>
    <row r="1553" spans="3:13" hidden="1" outlineLevel="1" x14ac:dyDescent="0.2">
      <c r="C1553" s="139">
        <v>1327</v>
      </c>
      <c r="D1553" s="248">
        <v>1248.6690000000001</v>
      </c>
      <c r="E1553" s="248">
        <v>1297.9940999999999</v>
      </c>
      <c r="F1553" s="248">
        <v>1323.5476000000001</v>
      </c>
      <c r="G1553" s="248">
        <v>1344.0016000000001</v>
      </c>
      <c r="H1553" s="248">
        <v>1380.0174</v>
      </c>
      <c r="I1553"/>
      <c r="J1553"/>
      <c r="K1553"/>
      <c r="L1553"/>
      <c r="M1553"/>
    </row>
    <row r="1554" spans="3:13" hidden="1" outlineLevel="1" x14ac:dyDescent="0.2">
      <c r="C1554" s="139">
        <v>1328</v>
      </c>
      <c r="D1554" s="248">
        <v>1249.6505</v>
      </c>
      <c r="E1554" s="248">
        <v>1298.9926</v>
      </c>
      <c r="F1554" s="248">
        <v>1324.5653</v>
      </c>
      <c r="G1554" s="248">
        <v>1345.0144</v>
      </c>
      <c r="H1554" s="248">
        <v>1381.0573999999999</v>
      </c>
      <c r="I1554"/>
      <c r="J1554"/>
      <c r="K1554"/>
      <c r="L1554"/>
      <c r="M1554"/>
    </row>
    <row r="1555" spans="3:13" hidden="1" outlineLevel="1" x14ac:dyDescent="0.2">
      <c r="C1555" s="139">
        <v>1329</v>
      </c>
      <c r="D1555" s="248">
        <v>1250.6321</v>
      </c>
      <c r="E1555" s="248">
        <v>1300.0112999999999</v>
      </c>
      <c r="F1555" s="248">
        <v>1325.5830000000001</v>
      </c>
      <c r="G1555" s="248">
        <v>1346.0495000000001</v>
      </c>
      <c r="H1555" s="248">
        <v>1382.1196</v>
      </c>
      <c r="I1555"/>
      <c r="J1555"/>
      <c r="K1555"/>
      <c r="L1555"/>
      <c r="M1555"/>
    </row>
    <row r="1556" spans="3:13" hidden="1" outlineLevel="1" x14ac:dyDescent="0.2">
      <c r="C1556" s="139">
        <v>1330</v>
      </c>
      <c r="D1556" s="248">
        <v>1251.5934</v>
      </c>
      <c r="E1556" s="248">
        <v>1301.0098</v>
      </c>
      <c r="F1556" s="248">
        <v>1326.5804000000001</v>
      </c>
      <c r="G1556" s="248">
        <v>1347.0847000000001</v>
      </c>
      <c r="H1556" s="248">
        <v>1383.1596</v>
      </c>
      <c r="I1556"/>
      <c r="J1556"/>
      <c r="K1556"/>
      <c r="L1556"/>
      <c r="M1556"/>
    </row>
    <row r="1557" spans="3:13" hidden="1" outlineLevel="1" x14ac:dyDescent="0.2">
      <c r="C1557" s="139">
        <v>1331</v>
      </c>
      <c r="D1557" s="248">
        <v>1252.5751</v>
      </c>
      <c r="E1557" s="248">
        <v>1302.0083</v>
      </c>
      <c r="F1557" s="248">
        <v>1327.5981999999999</v>
      </c>
      <c r="G1557" s="248">
        <v>1348.0975000000001</v>
      </c>
      <c r="H1557" s="248">
        <v>1384.2219</v>
      </c>
      <c r="I1557"/>
      <c r="J1557"/>
      <c r="K1557"/>
      <c r="L1557"/>
      <c r="M1557"/>
    </row>
    <row r="1558" spans="3:13" hidden="1" outlineLevel="1" x14ac:dyDescent="0.2">
      <c r="C1558" s="139">
        <v>1332</v>
      </c>
      <c r="D1558" s="248">
        <v>1253.5568000000001</v>
      </c>
      <c r="E1558" s="248">
        <v>1303.0068000000001</v>
      </c>
      <c r="F1558" s="248">
        <v>1328.6159</v>
      </c>
      <c r="G1558" s="248">
        <v>1349.1327000000001</v>
      </c>
      <c r="H1558" s="248">
        <v>1385.2619</v>
      </c>
      <c r="I1558"/>
      <c r="J1558"/>
      <c r="K1558"/>
      <c r="L1558"/>
      <c r="M1558"/>
    </row>
    <row r="1559" spans="3:13" hidden="1" outlineLevel="1" x14ac:dyDescent="0.2">
      <c r="C1559" s="139">
        <v>1333</v>
      </c>
      <c r="D1559" s="248">
        <v>1254.5182</v>
      </c>
      <c r="E1559" s="248">
        <v>1304.0054</v>
      </c>
      <c r="F1559" s="248">
        <v>1329.6337000000001</v>
      </c>
      <c r="G1559" s="248">
        <v>1350.1678999999999</v>
      </c>
      <c r="H1559" s="248">
        <v>1386.3243</v>
      </c>
      <c r="I1559"/>
      <c r="J1559"/>
      <c r="K1559"/>
      <c r="L1559"/>
      <c r="M1559"/>
    </row>
    <row r="1560" spans="3:13" hidden="1" outlineLevel="1" x14ac:dyDescent="0.2">
      <c r="C1560" s="139">
        <v>1334</v>
      </c>
      <c r="D1560" s="248">
        <v>1255.5001</v>
      </c>
      <c r="E1560" s="248">
        <v>1305.0039999999999</v>
      </c>
      <c r="F1560" s="248">
        <v>1330.6515999999999</v>
      </c>
      <c r="G1560" s="248">
        <v>1351.1808000000001</v>
      </c>
      <c r="H1560" s="248">
        <v>1387.3643</v>
      </c>
      <c r="I1560"/>
      <c r="J1560"/>
      <c r="K1560"/>
      <c r="L1560"/>
      <c r="M1560"/>
    </row>
    <row r="1561" spans="3:13" hidden="1" outlineLevel="1" x14ac:dyDescent="0.2">
      <c r="C1561" s="139">
        <v>1335</v>
      </c>
      <c r="D1561" s="248">
        <v>1256.482</v>
      </c>
      <c r="E1561" s="248">
        <v>1306.0026</v>
      </c>
      <c r="F1561" s="248">
        <v>1331.6694</v>
      </c>
      <c r="G1561" s="248">
        <v>1352.2161000000001</v>
      </c>
      <c r="H1561" s="248">
        <v>1388.4267</v>
      </c>
      <c r="I1561"/>
      <c r="J1561"/>
      <c r="K1561"/>
      <c r="L1561"/>
      <c r="M1561"/>
    </row>
    <row r="1562" spans="3:13" hidden="1" outlineLevel="1" x14ac:dyDescent="0.2">
      <c r="C1562" s="139">
        <v>1336</v>
      </c>
      <c r="D1562" s="248">
        <v>1257.4435000000001</v>
      </c>
      <c r="E1562" s="248">
        <v>1307.0012999999999</v>
      </c>
      <c r="F1562" s="248">
        <v>1332.6873000000001</v>
      </c>
      <c r="G1562" s="248">
        <v>1353.2514000000001</v>
      </c>
      <c r="H1562" s="248">
        <v>1389.4666999999999</v>
      </c>
      <c r="I1562"/>
      <c r="J1562"/>
      <c r="K1562"/>
      <c r="L1562"/>
      <c r="M1562"/>
    </row>
    <row r="1563" spans="3:13" hidden="1" outlineLevel="1" x14ac:dyDescent="0.2">
      <c r="C1563" s="139">
        <v>1337</v>
      </c>
      <c r="D1563" s="248">
        <v>1258.4255000000001</v>
      </c>
      <c r="E1563" s="248">
        <v>1308</v>
      </c>
      <c r="F1563" s="248">
        <v>1333.7052000000001</v>
      </c>
      <c r="G1563" s="248">
        <v>1354.2643</v>
      </c>
      <c r="H1563" s="248">
        <v>1390.5291999999999</v>
      </c>
      <c r="I1563"/>
      <c r="J1563"/>
      <c r="K1563"/>
      <c r="L1563"/>
      <c r="M1563"/>
    </row>
    <row r="1564" spans="3:13" hidden="1" outlineLevel="1" x14ac:dyDescent="0.2">
      <c r="C1564" s="139">
        <v>1338</v>
      </c>
      <c r="D1564" s="248">
        <v>1259.4076</v>
      </c>
      <c r="E1564" s="248">
        <v>1308.9987000000001</v>
      </c>
      <c r="F1564" s="248">
        <v>1334.7028</v>
      </c>
      <c r="G1564" s="248">
        <v>1355.2997</v>
      </c>
      <c r="H1564" s="248">
        <v>1391.5691999999999</v>
      </c>
      <c r="I1564"/>
      <c r="J1564"/>
      <c r="K1564"/>
      <c r="L1564"/>
      <c r="M1564"/>
    </row>
    <row r="1565" spans="3:13" hidden="1" outlineLevel="1" x14ac:dyDescent="0.2">
      <c r="C1565" s="139">
        <v>1339</v>
      </c>
      <c r="D1565" s="248">
        <v>1260.3896999999999</v>
      </c>
      <c r="E1565" s="248">
        <v>1310.0179000000001</v>
      </c>
      <c r="F1565" s="248">
        <v>1335.7207000000001</v>
      </c>
      <c r="G1565" s="248">
        <v>1356.3351</v>
      </c>
      <c r="H1565" s="248">
        <v>1392.6316999999999</v>
      </c>
      <c r="I1565"/>
      <c r="J1565"/>
      <c r="K1565"/>
      <c r="L1565"/>
      <c r="M1565"/>
    </row>
    <row r="1566" spans="3:13" hidden="1" outlineLevel="1" x14ac:dyDescent="0.2">
      <c r="C1566" s="139">
        <v>1340</v>
      </c>
      <c r="D1566" s="248">
        <v>1261.3515</v>
      </c>
      <c r="E1566" s="248">
        <v>1311.0166999999999</v>
      </c>
      <c r="F1566" s="248">
        <v>1336.7387000000001</v>
      </c>
      <c r="G1566" s="248">
        <v>1357.3480999999999</v>
      </c>
      <c r="H1566" s="248">
        <v>1393.6718000000001</v>
      </c>
      <c r="I1566"/>
      <c r="J1566"/>
      <c r="K1566"/>
      <c r="L1566"/>
      <c r="M1566"/>
    </row>
    <row r="1567" spans="3:13" hidden="1" outlineLevel="1" x14ac:dyDescent="0.2">
      <c r="C1567" s="139">
        <v>1341</v>
      </c>
      <c r="D1567" s="248">
        <v>1262.3336999999999</v>
      </c>
      <c r="E1567" s="248">
        <v>1312.0155</v>
      </c>
      <c r="F1567" s="248">
        <v>1337.7568000000001</v>
      </c>
      <c r="G1567" s="248">
        <v>1358.3834999999999</v>
      </c>
      <c r="H1567" s="248">
        <v>1394.7343000000001</v>
      </c>
      <c r="I1567"/>
      <c r="J1567"/>
      <c r="K1567"/>
      <c r="L1567"/>
      <c r="M1567"/>
    </row>
    <row r="1568" spans="3:13" hidden="1" outlineLevel="1" x14ac:dyDescent="0.2">
      <c r="C1568" s="139">
        <v>1342</v>
      </c>
      <c r="D1568" s="248">
        <v>1263.316</v>
      </c>
      <c r="E1568" s="248">
        <v>1313.0144</v>
      </c>
      <c r="F1568" s="248">
        <v>1338.7747999999999</v>
      </c>
      <c r="G1568" s="248">
        <v>1359.4190000000001</v>
      </c>
      <c r="H1568" s="248">
        <v>1395.7744</v>
      </c>
      <c r="I1568"/>
      <c r="J1568"/>
      <c r="K1568"/>
      <c r="L1568"/>
      <c r="M1568"/>
    </row>
    <row r="1569" spans="3:13" hidden="1" outlineLevel="1" x14ac:dyDescent="0.2">
      <c r="C1569" s="139">
        <v>1343</v>
      </c>
      <c r="D1569" s="248">
        <v>1264.2779</v>
      </c>
      <c r="E1569" s="248">
        <v>1314.0133000000001</v>
      </c>
      <c r="F1569" s="248">
        <v>1339.7928999999999</v>
      </c>
      <c r="G1569" s="248">
        <v>1360.432</v>
      </c>
      <c r="H1569" s="248">
        <v>1396.837</v>
      </c>
      <c r="I1569"/>
      <c r="J1569"/>
      <c r="K1569"/>
      <c r="L1569"/>
      <c r="M1569"/>
    </row>
    <row r="1570" spans="3:13" hidden="1" outlineLevel="1" x14ac:dyDescent="0.2">
      <c r="C1570" s="139">
        <v>1344</v>
      </c>
      <c r="D1570" s="248">
        <v>1265.2602999999999</v>
      </c>
      <c r="E1570" s="248">
        <v>1315.0121999999999</v>
      </c>
      <c r="F1570" s="248">
        <v>1340.8109999999999</v>
      </c>
      <c r="G1570" s="248">
        <v>1361.4675</v>
      </c>
      <c r="H1570" s="248">
        <v>1397.8770999999999</v>
      </c>
      <c r="I1570"/>
      <c r="J1570"/>
      <c r="K1570"/>
      <c r="L1570"/>
      <c r="M1570"/>
    </row>
    <row r="1571" spans="3:13" hidden="1" outlineLevel="1" x14ac:dyDescent="0.2">
      <c r="C1571" s="139">
        <v>1345</v>
      </c>
      <c r="D1571" s="248">
        <v>1266.2427</v>
      </c>
      <c r="E1571" s="248">
        <v>1316.0111999999999</v>
      </c>
      <c r="F1571" s="248">
        <v>1341.8087</v>
      </c>
      <c r="G1571" s="248">
        <v>1362.5030999999999</v>
      </c>
      <c r="H1571" s="248">
        <v>1398.9398000000001</v>
      </c>
      <c r="I1571"/>
      <c r="J1571"/>
      <c r="K1571"/>
      <c r="L1571"/>
      <c r="M1571"/>
    </row>
    <row r="1572" spans="3:13" hidden="1" outlineLevel="1" x14ac:dyDescent="0.2">
      <c r="C1572" s="139">
        <v>1346</v>
      </c>
      <c r="D1572" s="248">
        <v>1267.2047</v>
      </c>
      <c r="E1572" s="248">
        <v>1317.0101</v>
      </c>
      <c r="F1572" s="248">
        <v>1342.8268</v>
      </c>
      <c r="G1572" s="248">
        <v>1363.5161000000001</v>
      </c>
      <c r="H1572" s="248">
        <v>1399.9799</v>
      </c>
      <c r="I1572"/>
      <c r="J1572"/>
      <c r="K1572"/>
      <c r="L1572"/>
      <c r="M1572"/>
    </row>
    <row r="1573" spans="3:13" hidden="1" outlineLevel="1" x14ac:dyDescent="0.2">
      <c r="C1573" s="139">
        <v>1347</v>
      </c>
      <c r="D1573" s="248">
        <v>1268.1873000000001</v>
      </c>
      <c r="E1573" s="248">
        <v>1318.0092</v>
      </c>
      <c r="F1573" s="248">
        <v>1343.845</v>
      </c>
      <c r="G1573" s="248">
        <v>1364.5517</v>
      </c>
      <c r="H1573" s="248">
        <v>1401.0426</v>
      </c>
      <c r="I1573"/>
      <c r="J1573"/>
      <c r="K1573"/>
      <c r="L1573"/>
      <c r="M1573"/>
    </row>
    <row r="1574" spans="3:13" hidden="1" outlineLevel="1" x14ac:dyDescent="0.2">
      <c r="C1574" s="139">
        <v>1348</v>
      </c>
      <c r="D1574" s="248">
        <v>1269.1699000000001</v>
      </c>
      <c r="E1574" s="248">
        <v>1319.0082</v>
      </c>
      <c r="F1574" s="248">
        <v>1344.8633</v>
      </c>
      <c r="G1574" s="248">
        <v>1365.5648000000001</v>
      </c>
      <c r="H1574" s="248">
        <v>1402.0826999999999</v>
      </c>
      <c r="I1574"/>
      <c r="J1574"/>
      <c r="K1574"/>
      <c r="L1574"/>
      <c r="M1574"/>
    </row>
    <row r="1575" spans="3:13" hidden="1" outlineLevel="1" x14ac:dyDescent="0.2">
      <c r="C1575" s="139">
        <v>1349</v>
      </c>
      <c r="D1575" s="248">
        <v>1270.1320000000001</v>
      </c>
      <c r="E1575" s="248">
        <v>1320.0073</v>
      </c>
      <c r="F1575" s="248">
        <v>1345.8815</v>
      </c>
      <c r="G1575" s="248">
        <v>1366.6004</v>
      </c>
      <c r="H1575" s="248">
        <v>1403.1455000000001</v>
      </c>
      <c r="I1575"/>
      <c r="J1575"/>
      <c r="K1575"/>
      <c r="L1575"/>
      <c r="M1575"/>
    </row>
    <row r="1576" spans="3:13" hidden="1" outlineLevel="1" x14ac:dyDescent="0.2">
      <c r="C1576" s="139">
        <v>1350</v>
      </c>
      <c r="D1576" s="248">
        <v>1271.1147000000001</v>
      </c>
      <c r="E1576" s="248">
        <v>1321.0064</v>
      </c>
      <c r="F1576" s="248">
        <v>1346.8997999999999</v>
      </c>
      <c r="G1576" s="248">
        <v>1367.6360999999999</v>
      </c>
      <c r="H1576" s="248">
        <v>1404.1856</v>
      </c>
      <c r="I1576"/>
      <c r="J1576"/>
      <c r="K1576"/>
      <c r="L1576"/>
      <c r="M1576"/>
    </row>
    <row r="1577" spans="3:13" hidden="1" outlineLevel="1" x14ac:dyDescent="0.2">
      <c r="C1577" s="139">
        <v>1351</v>
      </c>
      <c r="D1577" s="248">
        <v>1272.0975000000001</v>
      </c>
      <c r="E1577" s="248">
        <v>1322.0261</v>
      </c>
      <c r="F1577" s="248">
        <v>1347.9181000000001</v>
      </c>
      <c r="G1577" s="248">
        <v>1368.6492000000001</v>
      </c>
      <c r="H1577" s="248">
        <v>1405.2483999999999</v>
      </c>
      <c r="I1577"/>
      <c r="J1577"/>
      <c r="K1577"/>
      <c r="L1577"/>
      <c r="M1577"/>
    </row>
    <row r="1578" spans="3:13" hidden="1" outlineLevel="1" x14ac:dyDescent="0.2">
      <c r="C1578" s="139">
        <v>1352</v>
      </c>
      <c r="D1578" s="248">
        <v>1273.0598</v>
      </c>
      <c r="E1578" s="248">
        <v>1323.0253</v>
      </c>
      <c r="F1578" s="248">
        <v>1348.9158</v>
      </c>
      <c r="G1578" s="248">
        <v>1369.6849999999999</v>
      </c>
      <c r="H1578" s="248">
        <v>1406.2886000000001</v>
      </c>
      <c r="I1578"/>
      <c r="J1578"/>
      <c r="K1578"/>
      <c r="L1578"/>
      <c r="M1578"/>
    </row>
    <row r="1579" spans="3:13" hidden="1" outlineLevel="1" x14ac:dyDescent="0.2">
      <c r="C1579" s="139">
        <v>1353</v>
      </c>
      <c r="D1579" s="248">
        <v>1274.0427</v>
      </c>
      <c r="E1579" s="248">
        <v>1324.0245</v>
      </c>
      <c r="F1579" s="248">
        <v>1349.9341999999999</v>
      </c>
      <c r="G1579" s="248">
        <v>1370.7208000000001</v>
      </c>
      <c r="H1579" s="248">
        <v>1407.3287</v>
      </c>
      <c r="I1579"/>
      <c r="J1579"/>
      <c r="K1579"/>
      <c r="L1579"/>
      <c r="M1579"/>
    </row>
    <row r="1580" spans="3:13" hidden="1" outlineLevel="1" x14ac:dyDescent="0.2">
      <c r="C1580" s="139">
        <v>1354</v>
      </c>
      <c r="D1580" s="248">
        <v>1275.0255999999999</v>
      </c>
      <c r="E1580" s="248">
        <v>1325.0237999999999</v>
      </c>
      <c r="F1580" s="248">
        <v>1350.9526000000001</v>
      </c>
      <c r="G1580" s="248">
        <v>1371.7338999999999</v>
      </c>
      <c r="H1580" s="248">
        <v>1408.3915999999999</v>
      </c>
      <c r="I1580"/>
      <c r="J1580"/>
      <c r="K1580"/>
      <c r="L1580"/>
      <c r="M1580"/>
    </row>
    <row r="1581" spans="3:13" hidden="1" outlineLevel="1" x14ac:dyDescent="0.2">
      <c r="C1581" s="139">
        <v>1355</v>
      </c>
      <c r="D1581" s="248">
        <v>1275.9880000000001</v>
      </c>
      <c r="E1581" s="248">
        <v>1326.0231000000001</v>
      </c>
      <c r="F1581" s="248">
        <v>1351.971</v>
      </c>
      <c r="G1581" s="248">
        <v>1372.7697000000001</v>
      </c>
      <c r="H1581" s="248">
        <v>1409.4318000000001</v>
      </c>
      <c r="I1581"/>
      <c r="J1581"/>
      <c r="K1581"/>
      <c r="L1581"/>
      <c r="M1581"/>
    </row>
    <row r="1582" spans="3:13" hidden="1" outlineLevel="1" x14ac:dyDescent="0.2">
      <c r="C1582" s="139">
        <v>1356</v>
      </c>
      <c r="D1582" s="248">
        <v>1276.971</v>
      </c>
      <c r="E1582" s="248">
        <v>1327.0224000000001</v>
      </c>
      <c r="F1582" s="248">
        <v>1352.9894999999999</v>
      </c>
      <c r="G1582" s="248">
        <v>1373.8055999999999</v>
      </c>
      <c r="H1582" s="248">
        <v>1410.4947</v>
      </c>
      <c r="I1582"/>
      <c r="J1582"/>
      <c r="K1582"/>
      <c r="L1582"/>
      <c r="M1582"/>
    </row>
    <row r="1583" spans="3:13" hidden="1" outlineLevel="1" x14ac:dyDescent="0.2">
      <c r="C1583" s="139">
        <v>1357</v>
      </c>
      <c r="D1583" s="248">
        <v>1277.9541999999999</v>
      </c>
      <c r="E1583" s="248">
        <v>1328.0217</v>
      </c>
      <c r="F1583" s="248">
        <v>1354.008</v>
      </c>
      <c r="G1583" s="248">
        <v>1374.8187</v>
      </c>
      <c r="H1583" s="248">
        <v>1411.5349000000001</v>
      </c>
      <c r="I1583"/>
      <c r="J1583"/>
      <c r="K1583"/>
      <c r="L1583"/>
      <c r="M1583"/>
    </row>
    <row r="1584" spans="3:13" hidden="1" outlineLevel="1" x14ac:dyDescent="0.2">
      <c r="C1584" s="139">
        <v>1358</v>
      </c>
      <c r="D1584" s="248">
        <v>1278.9166</v>
      </c>
      <c r="E1584" s="248">
        <v>1329.0210999999999</v>
      </c>
      <c r="F1584" s="248">
        <v>1355.0057999999999</v>
      </c>
      <c r="G1584" s="248">
        <v>1375.8545999999999</v>
      </c>
      <c r="H1584" s="248">
        <v>1412.5979</v>
      </c>
      <c r="I1584"/>
      <c r="J1584"/>
      <c r="K1584"/>
      <c r="L1584"/>
      <c r="M1584"/>
    </row>
    <row r="1585" spans="3:13" hidden="1" outlineLevel="1" x14ac:dyDescent="0.2">
      <c r="C1585" s="139">
        <v>1359</v>
      </c>
      <c r="D1585" s="248">
        <v>1279.8998999999999</v>
      </c>
      <c r="E1585" s="248">
        <v>1330.0205000000001</v>
      </c>
      <c r="F1585" s="248">
        <v>1356.0243</v>
      </c>
      <c r="G1585" s="248">
        <v>1376.8905999999999</v>
      </c>
      <c r="H1585" s="248">
        <v>1413.6380999999999</v>
      </c>
      <c r="I1585"/>
      <c r="J1585"/>
      <c r="K1585"/>
      <c r="L1585"/>
      <c r="M1585"/>
    </row>
    <row r="1586" spans="3:13" hidden="1" outlineLevel="1" x14ac:dyDescent="0.2">
      <c r="C1586" s="139">
        <v>1360</v>
      </c>
      <c r="D1586" s="248">
        <v>1280.8832</v>
      </c>
      <c r="E1586" s="248">
        <v>1331.0199</v>
      </c>
      <c r="F1586" s="248">
        <v>1357.0427999999999</v>
      </c>
      <c r="G1586" s="248">
        <v>1377.9037000000001</v>
      </c>
      <c r="H1586" s="248">
        <v>1414.7011</v>
      </c>
      <c r="I1586"/>
      <c r="J1586"/>
      <c r="K1586"/>
      <c r="L1586"/>
      <c r="M1586"/>
    </row>
    <row r="1587" spans="3:13" hidden="1" outlineLevel="1" x14ac:dyDescent="0.2">
      <c r="C1587" s="139">
        <v>1361</v>
      </c>
      <c r="D1587" s="248">
        <v>1281.8458000000001</v>
      </c>
      <c r="E1587" s="248">
        <v>1332.0193999999999</v>
      </c>
      <c r="F1587" s="248">
        <v>1358.0614</v>
      </c>
      <c r="G1587" s="248">
        <v>1378.9398000000001</v>
      </c>
      <c r="H1587" s="248">
        <v>1415.7412999999999</v>
      </c>
      <c r="I1587"/>
      <c r="J1587"/>
      <c r="K1587"/>
      <c r="L1587"/>
      <c r="M1587"/>
    </row>
    <row r="1588" spans="3:13" hidden="1" outlineLevel="1" x14ac:dyDescent="0.2">
      <c r="C1588" s="139">
        <v>1362</v>
      </c>
      <c r="D1588" s="248">
        <v>1282.8291999999999</v>
      </c>
      <c r="E1588" s="248">
        <v>1333.0188000000001</v>
      </c>
      <c r="F1588" s="248">
        <v>1359.0800999999999</v>
      </c>
      <c r="G1588" s="248">
        <v>1379.9529</v>
      </c>
      <c r="H1588" s="248">
        <v>1416.8044</v>
      </c>
      <c r="I1588"/>
      <c r="J1588"/>
      <c r="K1588"/>
      <c r="L1588"/>
      <c r="M1588"/>
    </row>
    <row r="1589" spans="3:13" hidden="1" outlineLevel="1" x14ac:dyDescent="0.2">
      <c r="C1589" s="139">
        <v>1363</v>
      </c>
      <c r="D1589" s="248">
        <v>1283.8126</v>
      </c>
      <c r="E1589" s="248">
        <v>1334.0183999999999</v>
      </c>
      <c r="F1589" s="248">
        <v>1360.0987</v>
      </c>
      <c r="G1589" s="248">
        <v>1380.989</v>
      </c>
      <c r="H1589" s="248">
        <v>1417.8447000000001</v>
      </c>
      <c r="I1589"/>
      <c r="J1589"/>
      <c r="K1589"/>
      <c r="L1589"/>
      <c r="M1589"/>
    </row>
    <row r="1590" spans="3:13" hidden="1" outlineLevel="1" x14ac:dyDescent="0.2">
      <c r="C1590" s="139">
        <v>1364</v>
      </c>
      <c r="D1590" s="248">
        <v>1284.7754</v>
      </c>
      <c r="E1590" s="248">
        <v>1335.0179000000001</v>
      </c>
      <c r="F1590" s="248">
        <v>1361.1174000000001</v>
      </c>
      <c r="G1590" s="248">
        <v>1382.0251000000001</v>
      </c>
      <c r="H1590" s="248">
        <v>1418.9078</v>
      </c>
      <c r="I1590"/>
      <c r="J1590"/>
      <c r="K1590"/>
      <c r="L1590"/>
      <c r="M1590"/>
    </row>
    <row r="1591" spans="3:13" hidden="1" outlineLevel="1" x14ac:dyDescent="0.2">
      <c r="C1591" s="139">
        <v>1365</v>
      </c>
      <c r="D1591" s="248">
        <v>1285.7589</v>
      </c>
      <c r="E1591" s="248">
        <v>1336.0174999999999</v>
      </c>
      <c r="F1591" s="248">
        <v>1362.1152999999999</v>
      </c>
      <c r="G1591" s="248">
        <v>1383.0382999999999</v>
      </c>
      <c r="H1591" s="248">
        <v>1419.9480000000001</v>
      </c>
      <c r="I1591"/>
      <c r="J1591"/>
      <c r="K1591"/>
      <c r="L1591"/>
      <c r="M1591"/>
    </row>
    <row r="1592" spans="3:13" hidden="1" outlineLevel="1" x14ac:dyDescent="0.2">
      <c r="C1592" s="139">
        <v>1366</v>
      </c>
      <c r="D1592" s="248">
        <v>1286.7426</v>
      </c>
      <c r="E1592" s="248">
        <v>1337.0379</v>
      </c>
      <c r="F1592" s="248">
        <v>1363.134</v>
      </c>
      <c r="G1592" s="248">
        <v>1384.0744</v>
      </c>
      <c r="H1592" s="248">
        <v>1421.0111999999999</v>
      </c>
      <c r="I1592"/>
      <c r="J1592"/>
      <c r="K1592"/>
      <c r="L1592"/>
      <c r="M1592"/>
    </row>
    <row r="1593" spans="3:13" hidden="1" outlineLevel="1" x14ac:dyDescent="0.2">
      <c r="C1593" s="139">
        <v>1367</v>
      </c>
      <c r="D1593" s="248">
        <v>1287.7054000000001</v>
      </c>
      <c r="E1593" s="248">
        <v>1338.0376000000001</v>
      </c>
      <c r="F1593" s="248">
        <v>1364.1528000000001</v>
      </c>
      <c r="G1593" s="248">
        <v>1385.1106</v>
      </c>
      <c r="H1593" s="248">
        <v>1422.0515</v>
      </c>
      <c r="I1593"/>
      <c r="J1593"/>
      <c r="K1593"/>
      <c r="L1593"/>
      <c r="M1593"/>
    </row>
    <row r="1594" spans="3:13" hidden="1" outlineLevel="1" x14ac:dyDescent="0.2">
      <c r="C1594" s="139">
        <v>1368</v>
      </c>
      <c r="D1594" s="248">
        <v>1288.6891000000001</v>
      </c>
      <c r="E1594" s="248">
        <v>1339.0373</v>
      </c>
      <c r="F1594" s="248">
        <v>1365.1715999999999</v>
      </c>
      <c r="G1594" s="248">
        <v>1386.1239</v>
      </c>
      <c r="H1594" s="248">
        <v>1423.1147000000001</v>
      </c>
      <c r="I1594"/>
      <c r="J1594"/>
      <c r="K1594"/>
      <c r="L1594"/>
      <c r="M1594"/>
    </row>
    <row r="1595" spans="3:13" hidden="1" outlineLevel="1" x14ac:dyDescent="0.2">
      <c r="C1595" s="139">
        <v>1369</v>
      </c>
      <c r="D1595" s="248">
        <v>1289.673</v>
      </c>
      <c r="E1595" s="248">
        <v>1340.037</v>
      </c>
      <c r="F1595" s="248">
        <v>1366.1904</v>
      </c>
      <c r="G1595" s="248">
        <v>1387.1601000000001</v>
      </c>
      <c r="H1595" s="248">
        <v>1424.155</v>
      </c>
      <c r="I1595"/>
      <c r="J1595"/>
      <c r="K1595"/>
      <c r="L1595"/>
      <c r="M1595"/>
    </row>
    <row r="1596" spans="3:13" hidden="1" outlineLevel="1" x14ac:dyDescent="0.2">
      <c r="C1596" s="139">
        <v>1370</v>
      </c>
      <c r="D1596" s="248">
        <v>1290.6359</v>
      </c>
      <c r="E1596" s="248">
        <v>1341.0368000000001</v>
      </c>
      <c r="F1596" s="248">
        <v>1367.2092</v>
      </c>
      <c r="G1596" s="248">
        <v>1388.1964</v>
      </c>
      <c r="H1596" s="248">
        <v>1425.2183</v>
      </c>
      <c r="I1596"/>
      <c r="J1596"/>
      <c r="K1596"/>
      <c r="L1596"/>
      <c r="M1596"/>
    </row>
    <row r="1597" spans="3:13" hidden="1" outlineLevel="1" x14ac:dyDescent="0.2">
      <c r="C1597" s="139">
        <v>1371</v>
      </c>
      <c r="D1597" s="248">
        <v>1291.6197999999999</v>
      </c>
      <c r="E1597" s="248">
        <v>1342.0364999999999</v>
      </c>
      <c r="F1597" s="248">
        <v>1368.2072000000001</v>
      </c>
      <c r="G1597" s="248">
        <v>1389.2095999999999</v>
      </c>
      <c r="H1597" s="248">
        <v>1426.2585999999999</v>
      </c>
      <c r="I1597"/>
      <c r="J1597"/>
      <c r="K1597"/>
      <c r="L1597"/>
      <c r="M1597"/>
    </row>
    <row r="1598" spans="3:13" hidden="1" outlineLevel="1" x14ac:dyDescent="0.2">
      <c r="C1598" s="139">
        <v>1372</v>
      </c>
      <c r="D1598" s="248">
        <v>1292.6038000000001</v>
      </c>
      <c r="E1598" s="248">
        <v>1343.0363</v>
      </c>
      <c r="F1598" s="248">
        <v>1369.2261000000001</v>
      </c>
      <c r="G1598" s="248">
        <v>1390.2460000000001</v>
      </c>
      <c r="H1598" s="248">
        <v>1427.3218999999999</v>
      </c>
      <c r="I1598"/>
      <c r="J1598"/>
      <c r="K1598"/>
      <c r="L1598"/>
      <c r="M1598"/>
    </row>
    <row r="1599" spans="3:13" hidden="1" outlineLevel="1" x14ac:dyDescent="0.2">
      <c r="C1599" s="139">
        <v>1373</v>
      </c>
      <c r="D1599" s="248">
        <v>1293.5669</v>
      </c>
      <c r="E1599" s="248">
        <v>1344.0362</v>
      </c>
      <c r="F1599" s="248">
        <v>1370.2449999999999</v>
      </c>
      <c r="G1599" s="248">
        <v>1391.2592</v>
      </c>
      <c r="H1599" s="248">
        <v>1428.3623</v>
      </c>
      <c r="I1599"/>
      <c r="J1599"/>
      <c r="K1599"/>
      <c r="L1599"/>
      <c r="M1599"/>
    </row>
    <row r="1600" spans="3:13" hidden="1" outlineLevel="1" x14ac:dyDescent="0.2">
      <c r="C1600" s="139">
        <v>1374</v>
      </c>
      <c r="D1600" s="248">
        <v>1294.5509</v>
      </c>
      <c r="E1600" s="248">
        <v>1345.0361</v>
      </c>
      <c r="F1600" s="248">
        <v>1371.2639999999999</v>
      </c>
      <c r="G1600" s="248">
        <v>1392.2955999999999</v>
      </c>
      <c r="H1600" s="248">
        <v>1429.4256</v>
      </c>
      <c r="I1600"/>
      <c r="J1600"/>
      <c r="K1600"/>
      <c r="L1600"/>
      <c r="M1600"/>
    </row>
    <row r="1601" spans="3:13" hidden="1" outlineLevel="1" x14ac:dyDescent="0.2">
      <c r="C1601" s="139">
        <v>1375</v>
      </c>
      <c r="D1601" s="248">
        <v>1295.5141000000001</v>
      </c>
      <c r="E1601" s="248">
        <v>1346.0360000000001</v>
      </c>
      <c r="F1601" s="248">
        <v>1372.2829999999999</v>
      </c>
      <c r="G1601" s="248">
        <v>1393.3320000000001</v>
      </c>
      <c r="H1601" s="248">
        <v>1430.4659999999999</v>
      </c>
      <c r="I1601"/>
      <c r="J1601"/>
      <c r="K1601"/>
      <c r="L1601"/>
      <c r="M1601"/>
    </row>
    <row r="1602" spans="3:13" hidden="1" outlineLevel="1" x14ac:dyDescent="0.2">
      <c r="C1602" s="139">
        <v>1376</v>
      </c>
      <c r="D1602" s="248">
        <v>1296.4983</v>
      </c>
      <c r="E1602" s="248">
        <v>1347.0359000000001</v>
      </c>
      <c r="F1602" s="248">
        <v>1373.2809999999999</v>
      </c>
      <c r="G1602" s="248">
        <v>1394.3453</v>
      </c>
      <c r="H1602" s="248">
        <v>1431.5063</v>
      </c>
      <c r="I1602"/>
      <c r="J1602"/>
      <c r="K1602"/>
      <c r="L1602"/>
      <c r="M1602"/>
    </row>
    <row r="1603" spans="3:13" hidden="1" outlineLevel="1" x14ac:dyDescent="0.2">
      <c r="C1603" s="139">
        <v>1377</v>
      </c>
      <c r="D1603" s="248">
        <v>1297.4825000000001</v>
      </c>
      <c r="E1603" s="248">
        <v>1348.0359000000001</v>
      </c>
      <c r="F1603" s="248">
        <v>1374.3</v>
      </c>
      <c r="G1603" s="248">
        <v>1395.3818000000001</v>
      </c>
      <c r="H1603" s="248">
        <v>1432.5698</v>
      </c>
      <c r="I1603"/>
      <c r="J1603"/>
      <c r="K1603"/>
      <c r="L1603"/>
      <c r="M1603"/>
    </row>
    <row r="1604" spans="3:13" hidden="1" outlineLevel="1" x14ac:dyDescent="0.2">
      <c r="C1604" s="139">
        <v>1378</v>
      </c>
      <c r="D1604" s="248">
        <v>1298.4458</v>
      </c>
      <c r="E1604" s="248">
        <v>1349.0358000000001</v>
      </c>
      <c r="F1604" s="248">
        <v>1375.3190999999999</v>
      </c>
      <c r="G1604" s="248">
        <v>1396.4183</v>
      </c>
      <c r="H1604" s="248">
        <v>1433.6101000000001</v>
      </c>
      <c r="I1604"/>
      <c r="J1604"/>
      <c r="K1604"/>
      <c r="L1604"/>
      <c r="M1604"/>
    </row>
    <row r="1605" spans="3:13" hidden="1" outlineLevel="1" x14ac:dyDescent="0.2">
      <c r="C1605" s="139">
        <v>1379</v>
      </c>
      <c r="D1605" s="248">
        <v>1299.4302</v>
      </c>
      <c r="E1605" s="248">
        <v>1350.0359000000001</v>
      </c>
      <c r="F1605" s="248">
        <v>1376.3381999999999</v>
      </c>
      <c r="G1605" s="248">
        <v>1397.4315999999999</v>
      </c>
      <c r="H1605" s="248">
        <v>1434.6736000000001</v>
      </c>
      <c r="I1605"/>
      <c r="J1605"/>
      <c r="K1605"/>
      <c r="L1605"/>
      <c r="M1605"/>
    </row>
    <row r="1606" spans="3:13" hidden="1" outlineLevel="1" x14ac:dyDescent="0.2">
      <c r="C1606" s="139">
        <v>1380</v>
      </c>
      <c r="D1606" s="248">
        <v>1300.4146000000001</v>
      </c>
      <c r="E1606" s="248">
        <v>1351.0359000000001</v>
      </c>
      <c r="F1606" s="248">
        <v>1377.3572999999999</v>
      </c>
      <c r="G1606" s="248">
        <v>1398.4682</v>
      </c>
      <c r="H1606" s="248">
        <v>1435.7139999999999</v>
      </c>
      <c r="I1606"/>
      <c r="J1606"/>
      <c r="K1606"/>
      <c r="L1606"/>
      <c r="M1606"/>
    </row>
    <row r="1607" spans="3:13" hidden="1" outlineLevel="1" x14ac:dyDescent="0.2">
      <c r="C1607" s="139">
        <v>1381</v>
      </c>
      <c r="D1607" s="248">
        <v>1301.3779999999999</v>
      </c>
      <c r="E1607" s="248">
        <v>1352.0360000000001</v>
      </c>
      <c r="F1607" s="248">
        <v>1378.3765000000001</v>
      </c>
      <c r="G1607" s="248">
        <v>1399.4815000000001</v>
      </c>
      <c r="H1607" s="248">
        <v>1436.7775999999999</v>
      </c>
      <c r="I1607"/>
      <c r="J1607"/>
      <c r="K1607"/>
      <c r="L1607"/>
      <c r="M1607"/>
    </row>
    <row r="1608" spans="3:13" hidden="1" outlineLevel="1" x14ac:dyDescent="0.2">
      <c r="C1608" s="139">
        <v>1382</v>
      </c>
      <c r="D1608" s="248">
        <v>1302.3625</v>
      </c>
      <c r="E1608" s="248">
        <v>1353.0361</v>
      </c>
      <c r="F1608" s="248">
        <v>1379.3746000000001</v>
      </c>
      <c r="G1608" s="248">
        <v>1400.5181</v>
      </c>
      <c r="H1608" s="248">
        <v>1437.8179</v>
      </c>
      <c r="I1608"/>
      <c r="J1608"/>
      <c r="K1608"/>
      <c r="L1608"/>
      <c r="M1608"/>
    </row>
    <row r="1609" spans="3:13" hidden="1" outlineLevel="1" x14ac:dyDescent="0.2">
      <c r="C1609" s="139">
        <v>1383</v>
      </c>
      <c r="D1609" s="248">
        <v>1303.326</v>
      </c>
      <c r="E1609" s="248">
        <v>1354.0363</v>
      </c>
      <c r="F1609" s="248">
        <v>1380.3938000000001</v>
      </c>
      <c r="G1609" s="248">
        <v>1401.5546999999999</v>
      </c>
      <c r="H1609" s="248">
        <v>1438.8815</v>
      </c>
      <c r="I1609"/>
      <c r="J1609"/>
      <c r="K1609"/>
      <c r="L1609"/>
      <c r="M1609"/>
    </row>
    <row r="1610" spans="3:13" hidden="1" outlineLevel="1" x14ac:dyDescent="0.2">
      <c r="C1610" s="139">
        <v>1384</v>
      </c>
      <c r="D1610" s="248">
        <v>1304.3106</v>
      </c>
      <c r="E1610" s="248">
        <v>1355.0364</v>
      </c>
      <c r="F1610" s="248">
        <v>1381.413</v>
      </c>
      <c r="G1610" s="248">
        <v>1402.5681</v>
      </c>
      <c r="H1610" s="248">
        <v>1439.922</v>
      </c>
      <c r="I1610"/>
      <c r="J1610"/>
      <c r="K1610"/>
      <c r="L1610"/>
      <c r="M1610"/>
    </row>
    <row r="1611" spans="3:13" hidden="1" outlineLevel="1" x14ac:dyDescent="0.2">
      <c r="C1611" s="139">
        <v>1385</v>
      </c>
      <c r="D1611" s="248">
        <v>1305.2953</v>
      </c>
      <c r="E1611" s="248">
        <v>1356.0365999999999</v>
      </c>
      <c r="F1611" s="248">
        <v>1382.4322999999999</v>
      </c>
      <c r="G1611" s="248">
        <v>1403.6048000000001</v>
      </c>
      <c r="H1611" s="248">
        <v>1440.9856</v>
      </c>
      <c r="I1611"/>
      <c r="J1611"/>
      <c r="K1611"/>
      <c r="L1611"/>
      <c r="M1611"/>
    </row>
    <row r="1612" spans="3:13" hidden="1" outlineLevel="1" x14ac:dyDescent="0.2">
      <c r="C1612" s="139">
        <v>1386</v>
      </c>
      <c r="D1612" s="248">
        <v>1306.2589</v>
      </c>
      <c r="E1612" s="248">
        <v>1357.0369000000001</v>
      </c>
      <c r="F1612" s="248">
        <v>1383.4516000000001</v>
      </c>
      <c r="G1612" s="248">
        <v>1404.6415</v>
      </c>
      <c r="H1612" s="248">
        <v>1442.0260000000001</v>
      </c>
      <c r="I1612"/>
      <c r="J1612"/>
      <c r="K1612"/>
      <c r="L1612"/>
      <c r="M1612"/>
    </row>
    <row r="1613" spans="3:13" hidden="1" outlineLevel="1" x14ac:dyDescent="0.2">
      <c r="C1613" s="139">
        <v>1387</v>
      </c>
      <c r="D1613" s="248">
        <v>1307.2437</v>
      </c>
      <c r="E1613" s="248">
        <v>1358.0371</v>
      </c>
      <c r="F1613" s="248">
        <v>1384.4496999999999</v>
      </c>
      <c r="G1613" s="248">
        <v>1405.655</v>
      </c>
      <c r="H1613" s="248">
        <v>1443.0897</v>
      </c>
      <c r="I1613"/>
      <c r="J1613"/>
      <c r="K1613"/>
      <c r="L1613"/>
      <c r="M1613"/>
    </row>
    <row r="1614" spans="3:13" hidden="1" outlineLevel="1" x14ac:dyDescent="0.2">
      <c r="C1614" s="139">
        <v>1388</v>
      </c>
      <c r="D1614" s="248">
        <v>1308.2074</v>
      </c>
      <c r="E1614" s="248">
        <v>1359.0373999999999</v>
      </c>
      <c r="F1614" s="248">
        <v>1385.4691</v>
      </c>
      <c r="G1614" s="248">
        <v>1406.6917000000001</v>
      </c>
      <c r="H1614" s="248">
        <v>1444.1302000000001</v>
      </c>
      <c r="I1614"/>
      <c r="J1614"/>
      <c r="K1614"/>
      <c r="L1614"/>
      <c r="M1614"/>
    </row>
    <row r="1615" spans="3:13" hidden="1" outlineLevel="1" x14ac:dyDescent="0.2">
      <c r="C1615" s="139">
        <v>1389</v>
      </c>
      <c r="D1615" s="248">
        <v>1309.1922999999999</v>
      </c>
      <c r="E1615" s="248">
        <v>1360.059</v>
      </c>
      <c r="F1615" s="248">
        <v>1386.4884999999999</v>
      </c>
      <c r="G1615" s="248">
        <v>1407.7052000000001</v>
      </c>
      <c r="H1615" s="248">
        <v>1445.1939</v>
      </c>
      <c r="I1615"/>
      <c r="J1615"/>
      <c r="K1615"/>
      <c r="L1615"/>
      <c r="M1615"/>
    </row>
    <row r="1616" spans="3:13" hidden="1" outlineLevel="1" x14ac:dyDescent="0.2">
      <c r="C1616" s="139">
        <v>1390</v>
      </c>
      <c r="D1616" s="248">
        <v>1310.1772000000001</v>
      </c>
      <c r="E1616" s="248">
        <v>1361.0592999999999</v>
      </c>
      <c r="F1616" s="248">
        <v>1387.5079000000001</v>
      </c>
      <c r="G1616" s="248">
        <v>1408.742</v>
      </c>
      <c r="H1616" s="248">
        <v>1446.2344000000001</v>
      </c>
      <c r="I1616"/>
      <c r="J1616"/>
      <c r="K1616"/>
      <c r="L1616"/>
      <c r="M1616"/>
    </row>
    <row r="1617" spans="3:13" hidden="1" outlineLevel="1" x14ac:dyDescent="0.2">
      <c r="C1617" s="139">
        <v>1391</v>
      </c>
      <c r="D1617" s="248">
        <v>1311.1410000000001</v>
      </c>
      <c r="E1617" s="248">
        <v>1362.0597</v>
      </c>
      <c r="F1617" s="248">
        <v>1388.5273</v>
      </c>
      <c r="G1617" s="248">
        <v>1409.7788</v>
      </c>
      <c r="H1617" s="248">
        <v>1447.2747999999999</v>
      </c>
      <c r="I1617"/>
      <c r="J1617"/>
      <c r="K1617"/>
      <c r="L1617"/>
      <c r="M1617"/>
    </row>
    <row r="1618" spans="3:13" hidden="1" outlineLevel="1" x14ac:dyDescent="0.2">
      <c r="C1618" s="139">
        <v>1392</v>
      </c>
      <c r="D1618" s="248">
        <v>1312.1261</v>
      </c>
      <c r="E1618" s="248">
        <v>1363.0601999999999</v>
      </c>
      <c r="F1618" s="248">
        <v>1389.5468000000001</v>
      </c>
      <c r="G1618" s="248">
        <v>1410.7923000000001</v>
      </c>
      <c r="H1618" s="248">
        <v>1448.3387</v>
      </c>
      <c r="I1618"/>
      <c r="J1618"/>
      <c r="K1618"/>
      <c r="L1618"/>
      <c r="M1618"/>
    </row>
    <row r="1619" spans="3:13" hidden="1" outlineLevel="1" x14ac:dyDescent="0.2">
      <c r="C1619" s="139">
        <v>1393</v>
      </c>
      <c r="D1619" s="248">
        <v>1313.09</v>
      </c>
      <c r="E1619" s="248">
        <v>1364.0606</v>
      </c>
      <c r="F1619" s="248">
        <v>1390.5450000000001</v>
      </c>
      <c r="G1619" s="248">
        <v>1411.8291999999999</v>
      </c>
      <c r="H1619" s="248">
        <v>1449.3791000000001</v>
      </c>
      <c r="I1619"/>
      <c r="J1619"/>
      <c r="K1619"/>
      <c r="L1619"/>
      <c r="M1619"/>
    </row>
    <row r="1620" spans="3:13" hidden="1" outlineLevel="1" x14ac:dyDescent="0.2">
      <c r="C1620" s="139">
        <v>1394</v>
      </c>
      <c r="D1620" s="248">
        <v>1314.0751</v>
      </c>
      <c r="E1620" s="248">
        <v>1365.0610999999999</v>
      </c>
      <c r="F1620" s="248">
        <v>1391.5645</v>
      </c>
      <c r="G1620" s="248">
        <v>1412.8426999999999</v>
      </c>
      <c r="H1620" s="248">
        <v>1450.443</v>
      </c>
      <c r="I1620"/>
      <c r="J1620"/>
      <c r="K1620"/>
      <c r="L1620"/>
      <c r="M1620"/>
    </row>
    <row r="1621" spans="3:13" hidden="1" outlineLevel="1" x14ac:dyDescent="0.2">
      <c r="C1621" s="139">
        <v>1395</v>
      </c>
      <c r="D1621" s="248">
        <v>1315.0604000000001</v>
      </c>
      <c r="E1621" s="248">
        <v>1366.0617</v>
      </c>
      <c r="F1621" s="248">
        <v>1392.5840000000001</v>
      </c>
      <c r="G1621" s="248">
        <v>1413.8796</v>
      </c>
      <c r="H1621" s="248">
        <v>1451.4835</v>
      </c>
      <c r="I1621"/>
      <c r="J1621"/>
      <c r="K1621"/>
      <c r="L1621"/>
      <c r="M1621"/>
    </row>
    <row r="1622" spans="3:13" hidden="1" outlineLevel="1" x14ac:dyDescent="0.2">
      <c r="C1622" s="139">
        <v>1396</v>
      </c>
      <c r="D1622" s="248">
        <v>1316.0244</v>
      </c>
      <c r="E1622" s="248">
        <v>1367.0622000000001</v>
      </c>
      <c r="F1622" s="248">
        <v>1393.6035999999999</v>
      </c>
      <c r="G1622" s="248">
        <v>1414.9166</v>
      </c>
      <c r="H1622" s="248">
        <v>1452.5473999999999</v>
      </c>
      <c r="I1622"/>
      <c r="J1622"/>
      <c r="K1622"/>
      <c r="L1622"/>
      <c r="M1622"/>
    </row>
    <row r="1623" spans="3:13" hidden="1" outlineLevel="1" x14ac:dyDescent="0.2">
      <c r="C1623" s="139">
        <v>1397</v>
      </c>
      <c r="D1623" s="248">
        <v>1317.0097000000001</v>
      </c>
      <c r="E1623" s="248">
        <v>1368.0627999999999</v>
      </c>
      <c r="F1623" s="248">
        <v>1394.6232</v>
      </c>
      <c r="G1623" s="248">
        <v>1415.9301</v>
      </c>
      <c r="H1623" s="248">
        <v>1453.5879</v>
      </c>
      <c r="I1623"/>
      <c r="J1623"/>
      <c r="K1623"/>
      <c r="L1623"/>
      <c r="M1623"/>
    </row>
    <row r="1624" spans="3:13" hidden="1" outlineLevel="1" x14ac:dyDescent="0.2">
      <c r="C1624" s="139">
        <v>1398</v>
      </c>
      <c r="D1624" s="248">
        <v>1317.9738</v>
      </c>
      <c r="E1624" s="248">
        <v>1369.0634</v>
      </c>
      <c r="F1624" s="248">
        <v>1395.6215</v>
      </c>
      <c r="G1624" s="248">
        <v>1416.9672</v>
      </c>
      <c r="H1624" s="248">
        <v>1454.6519000000001</v>
      </c>
      <c r="I1624"/>
      <c r="J1624"/>
      <c r="K1624"/>
      <c r="L1624"/>
      <c r="M1624"/>
    </row>
    <row r="1625" spans="3:13" hidden="1" outlineLevel="1" x14ac:dyDescent="0.2">
      <c r="C1625" s="139">
        <v>1399</v>
      </c>
      <c r="D1625" s="248">
        <v>1318.9593</v>
      </c>
      <c r="E1625" s="248">
        <v>1370.0641000000001</v>
      </c>
      <c r="F1625" s="248">
        <v>1396.6412</v>
      </c>
      <c r="G1625" s="248">
        <v>1418.0042000000001</v>
      </c>
      <c r="H1625" s="248">
        <v>1455.6923999999999</v>
      </c>
      <c r="I1625"/>
      <c r="J1625"/>
      <c r="K1625"/>
      <c r="L1625"/>
      <c r="M1625"/>
    </row>
    <row r="1626" spans="3:13" hidden="1" outlineLevel="1" x14ac:dyDescent="0.2">
      <c r="C1626" s="139">
        <v>1400</v>
      </c>
      <c r="D1626" s="248">
        <v>1319.9448</v>
      </c>
      <c r="E1626" s="248">
        <v>1371.0648000000001</v>
      </c>
      <c r="F1626" s="248">
        <v>1397.6608000000001</v>
      </c>
      <c r="G1626" s="248">
        <v>1419.0178000000001</v>
      </c>
      <c r="H1626" s="248">
        <v>1456.7564</v>
      </c>
      <c r="I1626"/>
      <c r="J1626"/>
      <c r="K1626"/>
      <c r="L1626"/>
      <c r="M1626"/>
    </row>
    <row r="1627" spans="3:13" hidden="1" outlineLevel="1" x14ac:dyDescent="0.2">
      <c r="C1627" s="139">
        <v>1401</v>
      </c>
      <c r="D1627" s="248">
        <v>1320.9090000000001</v>
      </c>
      <c r="E1627" s="248">
        <v>1372.0654999999999</v>
      </c>
      <c r="F1627" s="248">
        <v>1398.6804999999999</v>
      </c>
      <c r="G1627" s="248">
        <v>1420.0549000000001</v>
      </c>
      <c r="H1627" s="248">
        <v>1457.797</v>
      </c>
      <c r="I1627"/>
      <c r="J1627"/>
      <c r="K1627"/>
      <c r="L1627"/>
      <c r="M1627"/>
    </row>
    <row r="1628" spans="3:13" hidden="1" outlineLevel="1" x14ac:dyDescent="0.2">
      <c r="C1628" s="139">
        <v>1402</v>
      </c>
      <c r="D1628" s="248">
        <v>1321.8946000000001</v>
      </c>
      <c r="E1628" s="248">
        <v>1373.0662</v>
      </c>
      <c r="F1628" s="248">
        <v>1399.7003</v>
      </c>
      <c r="G1628" s="248">
        <v>1421.0685000000001</v>
      </c>
      <c r="H1628" s="248">
        <v>1458.8375000000001</v>
      </c>
      <c r="I1628"/>
      <c r="J1628"/>
      <c r="K1628"/>
      <c r="L1628"/>
      <c r="M1628"/>
    </row>
    <row r="1629" spans="3:13" hidden="1" outlineLevel="1" x14ac:dyDescent="0.2">
      <c r="C1629" s="139">
        <v>1403</v>
      </c>
      <c r="D1629" s="248">
        <v>1322.8588</v>
      </c>
      <c r="E1629" s="248">
        <v>1374.067</v>
      </c>
      <c r="F1629" s="248">
        <v>1400.6985999999999</v>
      </c>
      <c r="G1629" s="248">
        <v>1422.1056000000001</v>
      </c>
      <c r="H1629" s="248">
        <v>1459.9015999999999</v>
      </c>
      <c r="I1629"/>
      <c r="J1629"/>
      <c r="K1629"/>
      <c r="L1629"/>
      <c r="M1629"/>
    </row>
    <row r="1630" spans="3:13" hidden="1" outlineLevel="1" x14ac:dyDescent="0.2">
      <c r="C1630" s="139">
        <v>1404</v>
      </c>
      <c r="D1630" s="248">
        <v>1323.8445999999999</v>
      </c>
      <c r="E1630" s="248">
        <v>1375.0678</v>
      </c>
      <c r="F1630" s="248">
        <v>1401.7184</v>
      </c>
      <c r="G1630" s="248">
        <v>1423.1428000000001</v>
      </c>
      <c r="H1630" s="248">
        <v>1460.9422</v>
      </c>
      <c r="I1630"/>
      <c r="J1630"/>
      <c r="K1630"/>
      <c r="L1630"/>
      <c r="M1630"/>
    </row>
    <row r="1631" spans="3:13" hidden="1" outlineLevel="1" x14ac:dyDescent="0.2">
      <c r="C1631" s="139">
        <v>1405</v>
      </c>
      <c r="D1631" s="248">
        <v>1324.8089</v>
      </c>
      <c r="E1631" s="248">
        <v>1376.0686000000001</v>
      </c>
      <c r="F1631" s="248">
        <v>1402.7382</v>
      </c>
      <c r="G1631" s="248">
        <v>1424.1565000000001</v>
      </c>
      <c r="H1631" s="248">
        <v>1462.0063</v>
      </c>
      <c r="I1631"/>
      <c r="J1631"/>
      <c r="K1631"/>
      <c r="L1631"/>
      <c r="M1631"/>
    </row>
    <row r="1632" spans="3:13" hidden="1" outlineLevel="1" x14ac:dyDescent="0.2">
      <c r="C1632" s="139">
        <v>1406</v>
      </c>
      <c r="D1632" s="248">
        <v>1325.7947999999999</v>
      </c>
      <c r="E1632" s="248">
        <v>1377.0695000000001</v>
      </c>
      <c r="F1632" s="248">
        <v>1403.7581</v>
      </c>
      <c r="G1632" s="248">
        <v>1425.1937</v>
      </c>
      <c r="H1632" s="248">
        <v>1463.0469000000001</v>
      </c>
      <c r="I1632"/>
      <c r="J1632"/>
      <c r="K1632"/>
      <c r="L1632"/>
      <c r="M1632"/>
    </row>
    <row r="1633" spans="3:13" hidden="1" outlineLevel="1" x14ac:dyDescent="0.2">
      <c r="C1633" s="139">
        <v>1407</v>
      </c>
      <c r="D1633" s="248">
        <v>1326.7806</v>
      </c>
      <c r="E1633" s="248">
        <v>1378.0704000000001</v>
      </c>
      <c r="F1633" s="248">
        <v>1404.7779</v>
      </c>
      <c r="G1633" s="248">
        <v>1426.2073</v>
      </c>
      <c r="H1633" s="248">
        <v>1464.1111000000001</v>
      </c>
      <c r="I1633"/>
      <c r="J1633"/>
      <c r="K1633"/>
      <c r="L1633"/>
      <c r="M1633"/>
    </row>
    <row r="1634" spans="3:13" hidden="1" outlineLevel="1" x14ac:dyDescent="0.2">
      <c r="C1634" s="139">
        <v>1408</v>
      </c>
      <c r="D1634" s="248">
        <v>1327.7451000000001</v>
      </c>
      <c r="E1634" s="248">
        <v>1379.0713000000001</v>
      </c>
      <c r="F1634" s="248">
        <v>1405.7764</v>
      </c>
      <c r="G1634" s="248">
        <v>1427.2446</v>
      </c>
      <c r="H1634" s="248">
        <v>1465.1516999999999</v>
      </c>
      <c r="I1634"/>
      <c r="J1634"/>
      <c r="K1634"/>
      <c r="L1634"/>
      <c r="M1634"/>
    </row>
    <row r="1635" spans="3:13" hidden="1" outlineLevel="1" x14ac:dyDescent="0.2">
      <c r="C1635" s="139">
        <v>1409</v>
      </c>
      <c r="D1635" s="248">
        <v>1328.7311</v>
      </c>
      <c r="E1635" s="248">
        <v>1380.0722000000001</v>
      </c>
      <c r="F1635" s="248">
        <v>1406.7963</v>
      </c>
      <c r="G1635" s="248">
        <v>1428.2819</v>
      </c>
      <c r="H1635" s="248">
        <v>1466.2158999999999</v>
      </c>
      <c r="I1635"/>
      <c r="J1635"/>
      <c r="K1635"/>
      <c r="L1635"/>
      <c r="M1635"/>
    </row>
    <row r="1636" spans="3:13" hidden="1" outlineLevel="1" x14ac:dyDescent="0.2">
      <c r="C1636" s="139">
        <v>1410</v>
      </c>
      <c r="D1636" s="248">
        <v>1329.6957</v>
      </c>
      <c r="E1636" s="248">
        <v>1381.0732</v>
      </c>
      <c r="F1636" s="248">
        <v>1407.8162</v>
      </c>
      <c r="G1636" s="248">
        <v>1429.2955999999999</v>
      </c>
      <c r="H1636" s="248">
        <v>1467.2565</v>
      </c>
      <c r="I1636"/>
      <c r="J1636"/>
      <c r="K1636"/>
      <c r="L1636"/>
      <c r="M1636"/>
    </row>
    <row r="1637" spans="3:13" hidden="1" outlineLevel="1" x14ac:dyDescent="0.2">
      <c r="C1637" s="139">
        <v>1411</v>
      </c>
      <c r="D1637" s="248">
        <v>1330.6818000000001</v>
      </c>
      <c r="E1637" s="248">
        <v>1382.0742</v>
      </c>
      <c r="F1637" s="248">
        <v>1408.8362</v>
      </c>
      <c r="G1637" s="248">
        <v>1430.3330000000001</v>
      </c>
      <c r="H1637" s="248">
        <v>1468.3208</v>
      </c>
      <c r="I1637"/>
      <c r="J1637"/>
      <c r="K1637"/>
      <c r="L1637"/>
      <c r="M1637"/>
    </row>
    <row r="1638" spans="3:13" hidden="1" outlineLevel="1" x14ac:dyDescent="0.2">
      <c r="C1638" s="139">
        <v>1412</v>
      </c>
      <c r="D1638" s="248">
        <v>1331.6464000000001</v>
      </c>
      <c r="E1638" s="248">
        <v>1383.0753</v>
      </c>
      <c r="F1638" s="248">
        <v>1409.8561999999999</v>
      </c>
      <c r="G1638" s="248">
        <v>1431.3467000000001</v>
      </c>
      <c r="H1638" s="248">
        <v>1469.3614</v>
      </c>
      <c r="I1638"/>
      <c r="J1638"/>
      <c r="K1638"/>
      <c r="L1638"/>
      <c r="M1638"/>
    </row>
    <row r="1639" spans="3:13" hidden="1" outlineLevel="1" x14ac:dyDescent="0.2">
      <c r="C1639" s="139">
        <v>1413</v>
      </c>
      <c r="D1639" s="248">
        <v>1332.6325999999999</v>
      </c>
      <c r="E1639" s="248">
        <v>1384.0763999999999</v>
      </c>
      <c r="F1639" s="248">
        <v>1410.8547000000001</v>
      </c>
      <c r="G1639" s="248">
        <v>1432.3841</v>
      </c>
      <c r="H1639" s="248">
        <v>1470.402</v>
      </c>
      <c r="I1639"/>
      <c r="J1639"/>
      <c r="K1639"/>
      <c r="L1639"/>
      <c r="M1639"/>
    </row>
    <row r="1640" spans="3:13" hidden="1" outlineLevel="1" x14ac:dyDescent="0.2">
      <c r="C1640" s="139">
        <v>1414</v>
      </c>
      <c r="D1640" s="248">
        <v>1333.6188999999999</v>
      </c>
      <c r="E1640" s="248">
        <v>1385.0775000000001</v>
      </c>
      <c r="F1640" s="248">
        <v>1411.8748000000001</v>
      </c>
      <c r="G1640" s="248">
        <v>1433.4215999999999</v>
      </c>
      <c r="H1640" s="248">
        <v>1471.4664</v>
      </c>
      <c r="I1640"/>
      <c r="J1640"/>
      <c r="K1640"/>
      <c r="L1640"/>
      <c r="M1640"/>
    </row>
    <row r="1641" spans="3:13" hidden="1" outlineLevel="1" x14ac:dyDescent="0.2">
      <c r="C1641" s="139">
        <v>1415</v>
      </c>
      <c r="D1641" s="248">
        <v>1334.5835999999999</v>
      </c>
      <c r="E1641" s="248">
        <v>1386.0786000000001</v>
      </c>
      <c r="F1641" s="248">
        <v>1412.8949</v>
      </c>
      <c r="G1641" s="248">
        <v>1434.4353000000001</v>
      </c>
      <c r="H1641" s="248">
        <v>1472.5070000000001</v>
      </c>
      <c r="I1641"/>
      <c r="J1641"/>
      <c r="K1641"/>
      <c r="L1641"/>
      <c r="M1641"/>
    </row>
    <row r="1642" spans="3:13" hidden="1" outlineLevel="1" x14ac:dyDescent="0.2">
      <c r="C1642" s="139">
        <v>1416</v>
      </c>
      <c r="D1642" s="248">
        <v>1335.57</v>
      </c>
      <c r="E1642" s="248">
        <v>1387.0798</v>
      </c>
      <c r="F1642" s="248">
        <v>1413.915</v>
      </c>
      <c r="G1642" s="248">
        <v>1435.4728</v>
      </c>
      <c r="H1642" s="248">
        <v>1473.5715</v>
      </c>
      <c r="I1642"/>
      <c r="J1642"/>
      <c r="K1642"/>
      <c r="L1642"/>
      <c r="M1642"/>
    </row>
    <row r="1643" spans="3:13" hidden="1" outlineLevel="1" x14ac:dyDescent="0.2">
      <c r="C1643" s="139">
        <v>1417</v>
      </c>
      <c r="D1643" s="248">
        <v>1336.5347999999999</v>
      </c>
      <c r="E1643" s="248">
        <v>1388.0809999999999</v>
      </c>
      <c r="F1643" s="248">
        <v>1414.9135000000001</v>
      </c>
      <c r="G1643" s="248">
        <v>1436.4866</v>
      </c>
      <c r="H1643" s="248">
        <v>1474.6121000000001</v>
      </c>
      <c r="I1643"/>
      <c r="J1643"/>
      <c r="K1643"/>
      <c r="L1643"/>
      <c r="M1643"/>
    </row>
    <row r="1644" spans="3:13" hidden="1" outlineLevel="1" x14ac:dyDescent="0.2">
      <c r="C1644" s="139">
        <v>1418</v>
      </c>
      <c r="D1644" s="248">
        <v>1337.5213000000001</v>
      </c>
      <c r="E1644" s="248">
        <v>1389.0822000000001</v>
      </c>
      <c r="F1644" s="248">
        <v>1415.9337</v>
      </c>
      <c r="G1644" s="248">
        <v>1437.5241000000001</v>
      </c>
      <c r="H1644" s="248">
        <v>1475.6766</v>
      </c>
      <c r="I1644"/>
      <c r="J1644"/>
      <c r="K1644"/>
      <c r="L1644"/>
      <c r="M1644"/>
    </row>
    <row r="1645" spans="3:13" hidden="1" outlineLevel="1" x14ac:dyDescent="0.2">
      <c r="C1645" s="139">
        <v>1419</v>
      </c>
      <c r="D1645" s="248">
        <v>1338.4862000000001</v>
      </c>
      <c r="E1645" s="248">
        <v>1390.0835</v>
      </c>
      <c r="F1645" s="248">
        <v>1416.9539</v>
      </c>
      <c r="G1645" s="248">
        <v>1438.5617</v>
      </c>
      <c r="H1645" s="248">
        <v>1476.7172</v>
      </c>
      <c r="I1645"/>
      <c r="J1645"/>
      <c r="K1645"/>
      <c r="L1645"/>
      <c r="M1645"/>
    </row>
    <row r="1646" spans="3:13" hidden="1" outlineLevel="1" x14ac:dyDescent="0.2">
      <c r="C1646" s="139">
        <v>1420</v>
      </c>
      <c r="D1646" s="248">
        <v>1339.4728</v>
      </c>
      <c r="E1646" s="248">
        <v>1391.0847000000001</v>
      </c>
      <c r="F1646" s="248">
        <v>1417.9740999999999</v>
      </c>
      <c r="G1646" s="248">
        <v>1439.5754999999999</v>
      </c>
      <c r="H1646" s="248">
        <v>1477.7818</v>
      </c>
      <c r="I1646"/>
      <c r="J1646"/>
      <c r="K1646"/>
      <c r="L1646"/>
      <c r="M1646"/>
    </row>
    <row r="1647" spans="3:13" hidden="1" outlineLevel="1" x14ac:dyDescent="0.2">
      <c r="C1647" s="139">
        <v>1421</v>
      </c>
      <c r="D1647" s="248">
        <v>1340.4377999999999</v>
      </c>
      <c r="E1647" s="248">
        <v>1392.0861</v>
      </c>
      <c r="F1647" s="248">
        <v>1418.9943000000001</v>
      </c>
      <c r="G1647" s="248">
        <v>1440.6131</v>
      </c>
      <c r="H1647" s="248">
        <v>1478.8224</v>
      </c>
      <c r="I1647"/>
      <c r="J1647"/>
      <c r="K1647"/>
      <c r="L1647"/>
      <c r="M1647"/>
    </row>
    <row r="1648" spans="3:13" hidden="1" outlineLevel="1" x14ac:dyDescent="0.2">
      <c r="C1648" s="139">
        <v>1422</v>
      </c>
      <c r="D1648" s="248">
        <v>1341.4245000000001</v>
      </c>
      <c r="E1648" s="248">
        <v>1393.0873999999999</v>
      </c>
      <c r="F1648" s="248">
        <v>1419.9929</v>
      </c>
      <c r="G1648" s="248">
        <v>1441.6269</v>
      </c>
      <c r="H1648" s="248">
        <v>1479.8631</v>
      </c>
      <c r="I1648"/>
      <c r="J1648"/>
      <c r="K1648"/>
      <c r="L1648"/>
      <c r="M1648"/>
    </row>
    <row r="1649" spans="3:13" hidden="1" outlineLevel="1" x14ac:dyDescent="0.2">
      <c r="C1649" s="139">
        <v>1423</v>
      </c>
      <c r="D1649" s="248">
        <v>1342.4112</v>
      </c>
      <c r="E1649" s="248">
        <v>1394.0888</v>
      </c>
      <c r="F1649" s="248">
        <v>1421.0132000000001</v>
      </c>
      <c r="G1649" s="248">
        <v>1442.6646000000001</v>
      </c>
      <c r="H1649" s="248">
        <v>1480.9277</v>
      </c>
      <c r="I1649"/>
      <c r="J1649"/>
      <c r="K1649"/>
      <c r="L1649"/>
      <c r="M1649"/>
    </row>
    <row r="1650" spans="3:13" hidden="1" outlineLevel="1" x14ac:dyDescent="0.2">
      <c r="C1650" s="139">
        <v>1424</v>
      </c>
      <c r="D1650" s="248">
        <v>1343.3762999999999</v>
      </c>
      <c r="E1650" s="248">
        <v>1395.0902000000001</v>
      </c>
      <c r="F1650" s="248">
        <v>1422.0336</v>
      </c>
      <c r="G1650" s="248">
        <v>1443.6784</v>
      </c>
      <c r="H1650" s="248">
        <v>1481.9684</v>
      </c>
      <c r="I1650"/>
      <c r="J1650"/>
      <c r="K1650"/>
      <c r="L1650"/>
      <c r="M1650"/>
    </row>
    <row r="1651" spans="3:13" hidden="1" outlineLevel="1" x14ac:dyDescent="0.2">
      <c r="C1651" s="139">
        <v>1425</v>
      </c>
      <c r="D1651" s="248">
        <v>1344.3632</v>
      </c>
      <c r="E1651" s="248">
        <v>1396.0916999999999</v>
      </c>
      <c r="F1651" s="248">
        <v>1423.0539000000001</v>
      </c>
      <c r="G1651" s="248">
        <v>1444.7162000000001</v>
      </c>
      <c r="H1651" s="248">
        <v>1483.0329999999999</v>
      </c>
      <c r="I1651"/>
      <c r="J1651"/>
      <c r="K1651"/>
      <c r="L1651"/>
      <c r="M1651"/>
    </row>
    <row r="1652" spans="3:13" hidden="1" outlineLevel="1" x14ac:dyDescent="0.2">
      <c r="C1652" s="139">
        <v>1426</v>
      </c>
      <c r="D1652" s="248">
        <v>1345.3284000000001</v>
      </c>
      <c r="E1652" s="248">
        <v>1397.0931</v>
      </c>
      <c r="F1652" s="248">
        <v>1424.0526</v>
      </c>
      <c r="G1652" s="248">
        <v>1445.7538999999999</v>
      </c>
      <c r="H1652" s="248">
        <v>1484.0737999999999</v>
      </c>
      <c r="I1652"/>
      <c r="J1652"/>
      <c r="K1652"/>
      <c r="L1652"/>
      <c r="M1652"/>
    </row>
    <row r="1653" spans="3:13" hidden="1" outlineLevel="1" x14ac:dyDescent="0.2">
      <c r="C1653" s="139">
        <v>1427</v>
      </c>
      <c r="D1653" s="248">
        <v>1346.3154</v>
      </c>
      <c r="E1653" s="248">
        <v>1398.0945999999999</v>
      </c>
      <c r="F1653" s="248">
        <v>1425.0730000000001</v>
      </c>
      <c r="G1653" s="248">
        <v>1446.7678000000001</v>
      </c>
      <c r="H1653" s="248">
        <v>1485.1384</v>
      </c>
      <c r="I1653"/>
      <c r="J1653"/>
      <c r="K1653"/>
      <c r="L1653"/>
      <c r="M1653"/>
    </row>
    <row r="1654" spans="3:13" hidden="1" outlineLevel="1" x14ac:dyDescent="0.2">
      <c r="C1654" s="139">
        <v>1428</v>
      </c>
      <c r="D1654" s="248">
        <v>1347.2806</v>
      </c>
      <c r="E1654" s="248">
        <v>1399.0962</v>
      </c>
      <c r="F1654" s="248">
        <v>1426.0934</v>
      </c>
      <c r="G1654" s="248">
        <v>1447.8055999999999</v>
      </c>
      <c r="H1654" s="248">
        <v>1486.1792</v>
      </c>
      <c r="I1654"/>
      <c r="J1654"/>
      <c r="K1654"/>
      <c r="L1654"/>
      <c r="M1654"/>
    </row>
    <row r="1655" spans="3:13" hidden="1" outlineLevel="1" x14ac:dyDescent="0.2">
      <c r="C1655" s="139">
        <v>1429</v>
      </c>
      <c r="D1655" s="248">
        <v>1348.2677000000001</v>
      </c>
      <c r="E1655" s="248">
        <v>1400.0977</v>
      </c>
      <c r="F1655" s="248">
        <v>1427.1139000000001</v>
      </c>
      <c r="G1655" s="248">
        <v>1448.8195000000001</v>
      </c>
      <c r="H1655" s="248">
        <v>1487.2438999999999</v>
      </c>
      <c r="I1655"/>
      <c r="J1655"/>
      <c r="K1655"/>
      <c r="L1655"/>
      <c r="M1655"/>
    </row>
    <row r="1656" spans="3:13" hidden="1" outlineLevel="1" x14ac:dyDescent="0.2">
      <c r="C1656" s="139">
        <v>1430</v>
      </c>
      <c r="D1656" s="248">
        <v>1349.2329999999999</v>
      </c>
      <c r="E1656" s="248">
        <v>1401.0993000000001</v>
      </c>
      <c r="F1656" s="248">
        <v>1428.1343999999999</v>
      </c>
      <c r="G1656" s="248">
        <v>1449.8574000000001</v>
      </c>
      <c r="H1656" s="248">
        <v>1488.2846999999999</v>
      </c>
      <c r="I1656"/>
      <c r="J1656"/>
      <c r="K1656"/>
      <c r="L1656"/>
      <c r="M1656"/>
    </row>
    <row r="1657" spans="3:13" hidden="1" outlineLevel="1" x14ac:dyDescent="0.2">
      <c r="C1657" s="139">
        <v>1431</v>
      </c>
      <c r="D1657" s="248">
        <v>1350.2202</v>
      </c>
      <c r="E1657" s="248">
        <v>1402.1008999999999</v>
      </c>
      <c r="F1657" s="248">
        <v>1429.1331</v>
      </c>
      <c r="G1657" s="248">
        <v>1450.8952999999999</v>
      </c>
      <c r="H1657" s="248">
        <v>1489.3253999999999</v>
      </c>
      <c r="I1657"/>
      <c r="J1657"/>
      <c r="K1657"/>
      <c r="L1657"/>
      <c r="M1657"/>
    </row>
    <row r="1658" spans="3:13" hidden="1" outlineLevel="1" x14ac:dyDescent="0.2">
      <c r="C1658" s="139">
        <v>1432</v>
      </c>
      <c r="D1658" s="248">
        <v>1351.1856</v>
      </c>
      <c r="E1658" s="248">
        <v>1403.1025999999999</v>
      </c>
      <c r="F1658" s="248">
        <v>1430.1536000000001</v>
      </c>
      <c r="G1658" s="248">
        <v>1451.9092000000001</v>
      </c>
      <c r="H1658" s="248">
        <v>1490.3902</v>
      </c>
      <c r="I1658"/>
      <c r="J1658"/>
      <c r="K1658"/>
      <c r="L1658"/>
      <c r="M1658"/>
    </row>
    <row r="1659" spans="3:13" hidden="1" outlineLevel="1" x14ac:dyDescent="0.2">
      <c r="C1659" s="139">
        <v>1433</v>
      </c>
      <c r="D1659" s="248">
        <v>1352.1729</v>
      </c>
      <c r="E1659" s="248">
        <v>1404.1043</v>
      </c>
      <c r="F1659" s="248">
        <v>1431.1741999999999</v>
      </c>
      <c r="G1659" s="248">
        <v>1452.9471000000001</v>
      </c>
      <c r="H1659" s="248">
        <v>1491.431</v>
      </c>
      <c r="I1659"/>
      <c r="J1659"/>
      <c r="K1659"/>
      <c r="L1659"/>
      <c r="M1659"/>
    </row>
    <row r="1660" spans="3:13" hidden="1" outlineLevel="1" x14ac:dyDescent="0.2">
      <c r="C1660" s="139">
        <v>1434</v>
      </c>
      <c r="D1660" s="248">
        <v>1353.1384</v>
      </c>
      <c r="E1660" s="248">
        <v>1405.106</v>
      </c>
      <c r="F1660" s="248">
        <v>1432.1948</v>
      </c>
      <c r="G1660" s="248">
        <v>1453.961</v>
      </c>
      <c r="H1660" s="248">
        <v>1492.4957999999999</v>
      </c>
      <c r="I1660"/>
      <c r="J1660"/>
      <c r="K1660"/>
      <c r="L1660"/>
      <c r="M1660"/>
    </row>
    <row r="1661" spans="3:13" hidden="1" outlineLevel="1" x14ac:dyDescent="0.2">
      <c r="C1661" s="139">
        <v>1435</v>
      </c>
      <c r="D1661" s="248">
        <v>1354.1258</v>
      </c>
      <c r="E1661" s="248">
        <v>1406.1077</v>
      </c>
      <c r="F1661" s="248">
        <v>1433.1936000000001</v>
      </c>
      <c r="G1661" s="248">
        <v>1454.999</v>
      </c>
      <c r="H1661" s="248">
        <v>1493.5365999999999</v>
      </c>
      <c r="I1661"/>
      <c r="J1661"/>
      <c r="K1661"/>
      <c r="L1661"/>
      <c r="M1661"/>
    </row>
    <row r="1662" spans="3:13" hidden="1" outlineLevel="1" x14ac:dyDescent="0.2">
      <c r="C1662" s="139">
        <v>1436</v>
      </c>
      <c r="D1662" s="248">
        <v>1355.0913</v>
      </c>
      <c r="E1662" s="248">
        <v>1407.0876000000001</v>
      </c>
      <c r="F1662" s="248">
        <v>1434.2141999999999</v>
      </c>
      <c r="G1662" s="248">
        <v>1456.0129999999999</v>
      </c>
      <c r="H1662" s="248">
        <v>1494.6015</v>
      </c>
      <c r="I1662"/>
      <c r="J1662"/>
      <c r="K1662"/>
      <c r="L1662"/>
      <c r="M1662"/>
    </row>
    <row r="1663" spans="3:13" hidden="1" outlineLevel="1" x14ac:dyDescent="0.2">
      <c r="C1663" s="139">
        <v>1437</v>
      </c>
      <c r="D1663" s="248">
        <v>1356.0788</v>
      </c>
      <c r="E1663" s="248">
        <v>1408.0894000000001</v>
      </c>
      <c r="F1663" s="248">
        <v>1435.2348999999999</v>
      </c>
      <c r="G1663" s="248">
        <v>1457.0509999999999</v>
      </c>
      <c r="H1663" s="248">
        <v>1495.6423</v>
      </c>
      <c r="I1663"/>
      <c r="J1663"/>
      <c r="K1663"/>
      <c r="L1663"/>
      <c r="M1663"/>
    </row>
    <row r="1664" spans="3:13" hidden="1" outlineLevel="1" x14ac:dyDescent="0.2">
      <c r="C1664" s="139">
        <v>1438</v>
      </c>
      <c r="D1664" s="248">
        <v>1357.0445</v>
      </c>
      <c r="E1664" s="248">
        <v>1409.0912000000001</v>
      </c>
      <c r="F1664" s="248">
        <v>1436.2556</v>
      </c>
      <c r="G1664" s="248">
        <v>1458.0890999999999</v>
      </c>
      <c r="H1664" s="248">
        <v>1496.6831999999999</v>
      </c>
      <c r="I1664"/>
      <c r="J1664"/>
      <c r="K1664"/>
      <c r="L1664"/>
      <c r="M1664"/>
    </row>
    <row r="1665" spans="3:13" hidden="1" outlineLevel="1" x14ac:dyDescent="0.2">
      <c r="C1665" s="139">
        <v>1439</v>
      </c>
      <c r="D1665" s="248">
        <v>1358.0320999999999</v>
      </c>
      <c r="E1665" s="248">
        <v>1410.0931</v>
      </c>
      <c r="F1665" s="248">
        <v>1437.2544</v>
      </c>
      <c r="G1665" s="248">
        <v>1459.1031</v>
      </c>
      <c r="H1665" s="248">
        <v>1497.7481</v>
      </c>
      <c r="I1665"/>
      <c r="J1665"/>
      <c r="K1665"/>
      <c r="L1665"/>
      <c r="M1665"/>
    </row>
    <row r="1666" spans="3:13" hidden="1" outlineLevel="1" x14ac:dyDescent="0.2">
      <c r="C1666" s="139">
        <v>1440</v>
      </c>
      <c r="D1666" s="248">
        <v>1359.0198</v>
      </c>
      <c r="E1666" s="248">
        <v>1411.095</v>
      </c>
      <c r="F1666" s="248">
        <v>1438.2751000000001</v>
      </c>
      <c r="G1666" s="248">
        <v>1460.1412</v>
      </c>
      <c r="H1666" s="248">
        <v>1498.7889</v>
      </c>
      <c r="I1666"/>
      <c r="J1666"/>
      <c r="K1666"/>
      <c r="L1666"/>
      <c r="M1666"/>
    </row>
    <row r="1667" spans="3:13" hidden="1" outlineLevel="1" x14ac:dyDescent="0.2">
      <c r="C1667" s="139">
        <v>1441</v>
      </c>
      <c r="D1667" s="248">
        <v>1359.9855</v>
      </c>
      <c r="E1667" s="248">
        <v>1412.0969</v>
      </c>
      <c r="F1667" s="248">
        <v>1439.2959000000001</v>
      </c>
      <c r="G1667" s="248">
        <v>1461.1551999999999</v>
      </c>
      <c r="H1667" s="248">
        <v>1499.854</v>
      </c>
      <c r="I1667"/>
      <c r="J1667"/>
      <c r="K1667"/>
      <c r="L1667"/>
      <c r="M1667"/>
    </row>
    <row r="1668" spans="3:13" hidden="1" outlineLevel="1" x14ac:dyDescent="0.2">
      <c r="C1668" s="139">
        <v>1442</v>
      </c>
      <c r="D1668" s="248">
        <v>1360.9733000000001</v>
      </c>
      <c r="E1668" s="248">
        <v>1413.0988</v>
      </c>
      <c r="F1668" s="248">
        <v>1440.3168000000001</v>
      </c>
      <c r="G1668" s="248">
        <v>1462.1934000000001</v>
      </c>
      <c r="H1668" s="248">
        <v>1500.8948</v>
      </c>
      <c r="I1668"/>
      <c r="J1668"/>
      <c r="K1668"/>
      <c r="L1668"/>
      <c r="M1668"/>
    </row>
    <row r="1669" spans="3:13" hidden="1" outlineLevel="1" x14ac:dyDescent="0.2">
      <c r="C1669" s="139">
        <v>1443</v>
      </c>
      <c r="D1669" s="248">
        <v>1361.9391000000001</v>
      </c>
      <c r="E1669" s="248">
        <v>1414.1007999999999</v>
      </c>
      <c r="F1669" s="248">
        <v>1441.3376000000001</v>
      </c>
      <c r="G1669" s="248">
        <v>1463.2316000000001</v>
      </c>
      <c r="H1669" s="248">
        <v>1501.9599000000001</v>
      </c>
      <c r="I1669"/>
      <c r="J1669"/>
      <c r="K1669"/>
      <c r="L1669"/>
      <c r="M1669"/>
    </row>
    <row r="1670" spans="3:13" hidden="1" outlineLevel="1" x14ac:dyDescent="0.2">
      <c r="C1670" s="139">
        <v>1444</v>
      </c>
      <c r="D1670" s="248">
        <v>1362.9269999999999</v>
      </c>
      <c r="E1670" s="248">
        <v>1415.1027999999999</v>
      </c>
      <c r="F1670" s="248">
        <v>1442.3364999999999</v>
      </c>
      <c r="G1670" s="248">
        <v>1464.2456999999999</v>
      </c>
      <c r="H1670" s="248">
        <v>1503.0007000000001</v>
      </c>
      <c r="I1670"/>
      <c r="J1670"/>
      <c r="K1670"/>
      <c r="L1670"/>
      <c r="M1670"/>
    </row>
    <row r="1671" spans="3:13" hidden="1" outlineLevel="1" x14ac:dyDescent="0.2">
      <c r="C1671" s="139">
        <v>1445</v>
      </c>
      <c r="D1671" s="248">
        <v>1363.8929000000001</v>
      </c>
      <c r="E1671" s="248">
        <v>1416.1049</v>
      </c>
      <c r="F1671" s="248">
        <v>1443.3574000000001</v>
      </c>
      <c r="G1671" s="248">
        <v>1465.2838999999999</v>
      </c>
      <c r="H1671" s="248">
        <v>1504.0658000000001</v>
      </c>
      <c r="I1671"/>
      <c r="J1671"/>
      <c r="K1671"/>
      <c r="L1671"/>
      <c r="M1671"/>
    </row>
    <row r="1672" spans="3:13" hidden="1" outlineLevel="1" x14ac:dyDescent="0.2">
      <c r="C1672" s="139">
        <v>1446</v>
      </c>
      <c r="D1672" s="248">
        <v>1364.8809000000001</v>
      </c>
      <c r="E1672" s="248">
        <v>1417.1069</v>
      </c>
      <c r="F1672" s="248">
        <v>1444.3783000000001</v>
      </c>
      <c r="G1672" s="248">
        <v>1466.298</v>
      </c>
      <c r="H1672" s="248">
        <v>1505.1067</v>
      </c>
      <c r="I1672"/>
      <c r="J1672"/>
      <c r="K1672"/>
      <c r="L1672"/>
      <c r="M1672"/>
    </row>
    <row r="1673" spans="3:13" hidden="1" outlineLevel="1" x14ac:dyDescent="0.2">
      <c r="C1673" s="139">
        <v>1447</v>
      </c>
      <c r="D1673" s="248">
        <v>1365.8469</v>
      </c>
      <c r="E1673" s="248">
        <v>1418.1089999999999</v>
      </c>
      <c r="F1673" s="248">
        <v>1445.3992000000001</v>
      </c>
      <c r="G1673" s="248">
        <v>1467.3362999999999</v>
      </c>
      <c r="H1673" s="248">
        <v>1506.1476</v>
      </c>
      <c r="I1673"/>
      <c r="J1673"/>
      <c r="K1673"/>
      <c r="L1673"/>
      <c r="M1673"/>
    </row>
    <row r="1674" spans="3:13" hidden="1" outlineLevel="1" x14ac:dyDescent="0.2">
      <c r="C1674" s="139">
        <v>1448</v>
      </c>
      <c r="D1674" s="248">
        <v>1366.835</v>
      </c>
      <c r="E1674" s="248">
        <v>1419.1111000000001</v>
      </c>
      <c r="F1674" s="248">
        <v>1446.3981000000001</v>
      </c>
      <c r="G1674" s="248">
        <v>1468.3503000000001</v>
      </c>
      <c r="H1674" s="248">
        <v>1507.2128</v>
      </c>
      <c r="I1674"/>
      <c r="J1674"/>
      <c r="K1674"/>
      <c r="L1674"/>
      <c r="M1674"/>
    </row>
    <row r="1675" spans="3:13" hidden="1" outlineLevel="1" x14ac:dyDescent="0.2">
      <c r="C1675" s="139">
        <v>1449</v>
      </c>
      <c r="D1675" s="248">
        <v>1367.8010999999999</v>
      </c>
      <c r="E1675" s="248">
        <v>1420.1133</v>
      </c>
      <c r="F1675" s="248">
        <v>1447.4191000000001</v>
      </c>
      <c r="G1675" s="248">
        <v>1469.3887</v>
      </c>
      <c r="H1675" s="248">
        <v>1508.2537</v>
      </c>
      <c r="I1675"/>
      <c r="J1675"/>
      <c r="K1675"/>
      <c r="L1675"/>
      <c r="M1675"/>
    </row>
    <row r="1676" spans="3:13" hidden="1" outlineLevel="1" x14ac:dyDescent="0.2">
      <c r="C1676" s="139">
        <v>1450</v>
      </c>
      <c r="D1676" s="248">
        <v>1368.7892999999999</v>
      </c>
      <c r="E1676" s="248">
        <v>1421.1155000000001</v>
      </c>
      <c r="F1676" s="248">
        <v>1448.4402</v>
      </c>
      <c r="G1676" s="248">
        <v>1470.4271000000001</v>
      </c>
      <c r="H1676" s="248">
        <v>1509.3189</v>
      </c>
      <c r="I1676"/>
      <c r="J1676"/>
      <c r="K1676"/>
      <c r="L1676"/>
      <c r="M1676"/>
    </row>
    <row r="1677" spans="3:13" hidden="1" outlineLevel="1" x14ac:dyDescent="0.2">
      <c r="C1677" s="139">
        <v>1451</v>
      </c>
      <c r="D1677" s="248">
        <v>1369.7554</v>
      </c>
      <c r="E1677" s="248">
        <v>1422.1177</v>
      </c>
      <c r="F1677" s="248">
        <v>1449.4612</v>
      </c>
      <c r="G1677" s="248">
        <v>1471.4412</v>
      </c>
      <c r="H1677" s="248">
        <v>1510.3598</v>
      </c>
      <c r="I1677"/>
      <c r="J1677"/>
      <c r="K1677"/>
      <c r="L1677"/>
      <c r="M1677"/>
    </row>
    <row r="1678" spans="3:13" hidden="1" outlineLevel="1" x14ac:dyDescent="0.2">
      <c r="C1678" s="139">
        <v>1452</v>
      </c>
      <c r="D1678" s="248">
        <v>1370.7437</v>
      </c>
      <c r="E1678" s="248">
        <v>1423.12</v>
      </c>
      <c r="F1678" s="248">
        <v>1450.4602</v>
      </c>
      <c r="G1678" s="248">
        <v>1472.4797000000001</v>
      </c>
      <c r="H1678" s="248">
        <v>1511.4250999999999</v>
      </c>
      <c r="I1678"/>
      <c r="J1678"/>
      <c r="K1678"/>
      <c r="L1678"/>
      <c r="M1678"/>
    </row>
    <row r="1679" spans="3:13" hidden="1" outlineLevel="1" x14ac:dyDescent="0.2">
      <c r="C1679" s="139">
        <v>1453</v>
      </c>
      <c r="D1679" s="248">
        <v>1371.71</v>
      </c>
      <c r="E1679" s="248">
        <v>1424.1222</v>
      </c>
      <c r="F1679" s="248">
        <v>1451.4812999999999</v>
      </c>
      <c r="G1679" s="248">
        <v>1473.4938</v>
      </c>
      <c r="H1679" s="248">
        <v>1512.4659999999999</v>
      </c>
      <c r="I1679"/>
      <c r="J1679"/>
      <c r="K1679"/>
      <c r="L1679"/>
      <c r="M1679"/>
    </row>
    <row r="1680" spans="3:13" hidden="1" outlineLevel="1" x14ac:dyDescent="0.2">
      <c r="C1680" s="139">
        <v>1454</v>
      </c>
      <c r="D1680" s="248">
        <v>1372.6984</v>
      </c>
      <c r="E1680" s="248">
        <v>1425.1246000000001</v>
      </c>
      <c r="F1680" s="248">
        <v>1452.5024000000001</v>
      </c>
      <c r="G1680" s="248">
        <v>1474.5323000000001</v>
      </c>
      <c r="H1680" s="248">
        <v>1513.5069000000001</v>
      </c>
      <c r="I1680"/>
      <c r="J1680"/>
      <c r="K1680"/>
      <c r="L1680"/>
      <c r="M1680"/>
    </row>
    <row r="1681" spans="3:13" hidden="1" outlineLevel="1" x14ac:dyDescent="0.2">
      <c r="C1681" s="139">
        <v>1455</v>
      </c>
      <c r="D1681" s="248">
        <v>1373.6647</v>
      </c>
      <c r="E1681" s="248">
        <v>1426.1269</v>
      </c>
      <c r="F1681" s="248">
        <v>1453.5236</v>
      </c>
      <c r="G1681" s="248">
        <v>1475.5463999999999</v>
      </c>
      <c r="H1681" s="248">
        <v>1514.5723</v>
      </c>
      <c r="I1681"/>
      <c r="J1681"/>
      <c r="K1681"/>
      <c r="L1681"/>
      <c r="M1681"/>
    </row>
    <row r="1682" spans="3:13" hidden="1" outlineLevel="1" x14ac:dyDescent="0.2">
      <c r="C1682" s="139">
        <v>1456</v>
      </c>
      <c r="D1682" s="248">
        <v>1374.6532</v>
      </c>
      <c r="E1682" s="248">
        <v>1427.1293000000001</v>
      </c>
      <c r="F1682" s="248">
        <v>1454.5226</v>
      </c>
      <c r="G1682" s="248">
        <v>1476.585</v>
      </c>
      <c r="H1682" s="248">
        <v>1515.6132</v>
      </c>
      <c r="I1682"/>
      <c r="J1682"/>
      <c r="K1682"/>
      <c r="L1682"/>
      <c r="M1682"/>
    </row>
    <row r="1683" spans="3:13" hidden="1" outlineLevel="1" x14ac:dyDescent="0.2">
      <c r="C1683" s="139">
        <v>1457</v>
      </c>
      <c r="D1683" s="248">
        <v>1375.6196</v>
      </c>
      <c r="E1683" s="248">
        <v>1428.1316999999999</v>
      </c>
      <c r="F1683" s="248">
        <v>1455.5437999999999</v>
      </c>
      <c r="G1683" s="248">
        <v>1477.6235999999999</v>
      </c>
      <c r="H1683" s="248">
        <v>1516.6786</v>
      </c>
      <c r="I1683"/>
      <c r="J1683"/>
      <c r="K1683"/>
      <c r="L1683"/>
      <c r="M1683"/>
    </row>
    <row r="1684" spans="3:13" hidden="1" outlineLevel="1" x14ac:dyDescent="0.2">
      <c r="C1684" s="139">
        <v>1458</v>
      </c>
      <c r="D1684" s="248">
        <v>1376.6081999999999</v>
      </c>
      <c r="E1684" s="248">
        <v>1429.1341</v>
      </c>
      <c r="F1684" s="248">
        <v>1456.5650000000001</v>
      </c>
      <c r="G1684" s="248">
        <v>1478.6377</v>
      </c>
      <c r="H1684" s="248">
        <v>1517.7195999999999</v>
      </c>
      <c r="I1684"/>
      <c r="J1684"/>
      <c r="K1684"/>
      <c r="L1684"/>
      <c r="M1684"/>
    </row>
    <row r="1685" spans="3:13" hidden="1" outlineLevel="1" x14ac:dyDescent="0.2">
      <c r="C1685" s="139">
        <v>1459</v>
      </c>
      <c r="D1685" s="248">
        <v>1377.5745999999999</v>
      </c>
      <c r="E1685" s="248">
        <v>1430.1366</v>
      </c>
      <c r="F1685" s="248">
        <v>1457.5862999999999</v>
      </c>
      <c r="G1685" s="248">
        <v>1479.6764000000001</v>
      </c>
      <c r="H1685" s="248">
        <v>1518.7605000000001</v>
      </c>
      <c r="I1685"/>
      <c r="J1685"/>
      <c r="K1685"/>
      <c r="L1685"/>
      <c r="M1685"/>
    </row>
    <row r="1686" spans="3:13" hidden="1" outlineLevel="1" x14ac:dyDescent="0.2">
      <c r="C1686" s="139">
        <v>1460</v>
      </c>
      <c r="D1686" s="248">
        <v>1378.5410999999999</v>
      </c>
      <c r="E1686" s="248">
        <v>1431.1391000000001</v>
      </c>
      <c r="F1686" s="248">
        <v>1458.5853999999999</v>
      </c>
      <c r="G1686" s="248">
        <v>1480.6904999999999</v>
      </c>
      <c r="H1686" s="248">
        <v>1519.826</v>
      </c>
      <c r="I1686"/>
      <c r="J1686"/>
      <c r="K1686"/>
      <c r="L1686"/>
      <c r="M1686"/>
    </row>
    <row r="1687" spans="3:13" hidden="1" outlineLevel="1" x14ac:dyDescent="0.2">
      <c r="C1687" s="139">
        <v>1461</v>
      </c>
      <c r="D1687" s="248">
        <v>1379.5299</v>
      </c>
      <c r="E1687" s="248">
        <v>1432.1193000000001</v>
      </c>
      <c r="F1687" s="248">
        <v>1459.6067</v>
      </c>
      <c r="G1687" s="248">
        <v>1481.7292</v>
      </c>
      <c r="H1687" s="248">
        <v>1520.867</v>
      </c>
      <c r="I1687"/>
      <c r="J1687"/>
      <c r="K1687"/>
      <c r="L1687"/>
      <c r="M1687"/>
    </row>
    <row r="1688" spans="3:13" hidden="1" outlineLevel="1" x14ac:dyDescent="0.2">
      <c r="C1688" s="139">
        <v>1462</v>
      </c>
      <c r="D1688" s="248">
        <v>1380.4964</v>
      </c>
      <c r="E1688" s="248">
        <v>1433.1217999999999</v>
      </c>
      <c r="F1688" s="248">
        <v>1460.6279999999999</v>
      </c>
      <c r="G1688" s="248">
        <v>1482.7434000000001</v>
      </c>
      <c r="H1688" s="248">
        <v>1521.9324999999999</v>
      </c>
      <c r="I1688"/>
      <c r="J1688"/>
      <c r="K1688"/>
      <c r="L1688"/>
      <c r="M1688"/>
    </row>
    <row r="1689" spans="3:13" hidden="1" outlineLevel="1" x14ac:dyDescent="0.2">
      <c r="C1689" s="139">
        <v>1463</v>
      </c>
      <c r="D1689" s="248">
        <v>1381.4853000000001</v>
      </c>
      <c r="E1689" s="248">
        <v>1434.1243999999999</v>
      </c>
      <c r="F1689" s="248">
        <v>1461.6494</v>
      </c>
      <c r="G1689" s="248">
        <v>1483.7822000000001</v>
      </c>
      <c r="H1689" s="248">
        <v>1522.9735000000001</v>
      </c>
      <c r="I1689"/>
      <c r="J1689"/>
      <c r="K1689"/>
      <c r="L1689"/>
      <c r="M1689"/>
    </row>
    <row r="1690" spans="3:13" hidden="1" outlineLevel="1" x14ac:dyDescent="0.2">
      <c r="C1690" s="139">
        <v>1464</v>
      </c>
      <c r="D1690" s="248">
        <v>1382.452</v>
      </c>
      <c r="E1690" s="248">
        <v>1435.127</v>
      </c>
      <c r="F1690" s="248">
        <v>1462.6485</v>
      </c>
      <c r="G1690" s="248">
        <v>1484.7963999999999</v>
      </c>
      <c r="H1690" s="248">
        <v>1524.0391</v>
      </c>
      <c r="I1690"/>
      <c r="J1690"/>
      <c r="K1690"/>
      <c r="L1690"/>
      <c r="M1690"/>
    </row>
    <row r="1691" spans="3:13" hidden="1" outlineLevel="1" x14ac:dyDescent="0.2">
      <c r="C1691" s="139">
        <v>1465</v>
      </c>
      <c r="D1691" s="248">
        <v>1383.441</v>
      </c>
      <c r="E1691" s="248">
        <v>1436.1296</v>
      </c>
      <c r="F1691" s="248">
        <v>1463.6699000000001</v>
      </c>
      <c r="G1691" s="248">
        <v>1485.8352</v>
      </c>
      <c r="H1691" s="248">
        <v>1525.0800999999999</v>
      </c>
      <c r="I1691"/>
      <c r="J1691"/>
      <c r="K1691"/>
      <c r="L1691"/>
      <c r="M1691"/>
    </row>
    <row r="1692" spans="3:13" hidden="1" outlineLevel="1" x14ac:dyDescent="0.2">
      <c r="C1692" s="139">
        <v>1466</v>
      </c>
      <c r="D1692" s="248">
        <v>1384.4077</v>
      </c>
      <c r="E1692" s="248">
        <v>1437.1323</v>
      </c>
      <c r="F1692" s="248">
        <v>1464.6913999999999</v>
      </c>
      <c r="G1692" s="248">
        <v>1486.874</v>
      </c>
      <c r="H1692" s="248">
        <v>1526.1211000000001</v>
      </c>
      <c r="I1692"/>
      <c r="J1692"/>
      <c r="K1692"/>
      <c r="L1692"/>
      <c r="M1692"/>
    </row>
    <row r="1693" spans="3:13" hidden="1" outlineLevel="1" x14ac:dyDescent="0.2">
      <c r="C1693" s="139">
        <v>1467</v>
      </c>
      <c r="D1693" s="248">
        <v>1385.3968</v>
      </c>
      <c r="E1693" s="248">
        <v>1438.135</v>
      </c>
      <c r="F1693" s="248">
        <v>1465.6904999999999</v>
      </c>
      <c r="G1693" s="248">
        <v>1487.8882000000001</v>
      </c>
      <c r="H1693" s="248">
        <v>1527.1867</v>
      </c>
      <c r="I1693"/>
      <c r="J1693"/>
      <c r="K1693"/>
      <c r="L1693"/>
      <c r="M1693"/>
    </row>
    <row r="1694" spans="3:13" hidden="1" outlineLevel="1" x14ac:dyDescent="0.2">
      <c r="C1694" s="139">
        <v>1468</v>
      </c>
      <c r="D1694" s="248">
        <v>1386.3635999999999</v>
      </c>
      <c r="E1694" s="248">
        <v>1439.1377</v>
      </c>
      <c r="F1694" s="248">
        <v>1466.712</v>
      </c>
      <c r="G1694" s="248">
        <v>1488.9271000000001</v>
      </c>
      <c r="H1694" s="248">
        <v>1528.2276999999999</v>
      </c>
      <c r="I1694"/>
      <c r="J1694"/>
      <c r="K1694"/>
      <c r="L1694"/>
      <c r="M1694"/>
    </row>
    <row r="1695" spans="3:13" hidden="1" outlineLevel="1" x14ac:dyDescent="0.2">
      <c r="C1695" s="139">
        <v>1469</v>
      </c>
      <c r="D1695" s="248">
        <v>1387.3527999999999</v>
      </c>
      <c r="E1695" s="248">
        <v>1440.1405</v>
      </c>
      <c r="F1695" s="248">
        <v>1467.7335</v>
      </c>
      <c r="G1695" s="248">
        <v>1489.9413999999999</v>
      </c>
      <c r="H1695" s="248">
        <v>1529.2934</v>
      </c>
      <c r="I1695"/>
      <c r="J1695"/>
      <c r="K1695"/>
      <c r="L1695"/>
      <c r="M1695"/>
    </row>
    <row r="1696" spans="3:13" hidden="1" outlineLevel="1" x14ac:dyDescent="0.2">
      <c r="C1696" s="139">
        <v>1470</v>
      </c>
      <c r="D1696" s="248">
        <v>1388.3196</v>
      </c>
      <c r="E1696" s="248">
        <v>1441.1433</v>
      </c>
      <c r="F1696" s="248">
        <v>1468.7551000000001</v>
      </c>
      <c r="G1696" s="248">
        <v>1490.9802999999999</v>
      </c>
      <c r="H1696" s="248">
        <v>1530.3344999999999</v>
      </c>
      <c r="I1696"/>
      <c r="J1696"/>
      <c r="K1696"/>
      <c r="L1696"/>
      <c r="M1696"/>
    </row>
    <row r="1697" spans="3:13" hidden="1" outlineLevel="1" x14ac:dyDescent="0.2">
      <c r="C1697" s="139">
        <v>1471</v>
      </c>
      <c r="D1697" s="248">
        <v>1389.309</v>
      </c>
      <c r="E1697" s="248">
        <v>1442.1460999999999</v>
      </c>
      <c r="F1697" s="248">
        <v>1469.7543000000001</v>
      </c>
      <c r="G1697" s="248">
        <v>1491.9946</v>
      </c>
      <c r="H1697" s="248">
        <v>1531.4002</v>
      </c>
      <c r="I1697"/>
      <c r="J1697"/>
      <c r="K1697"/>
      <c r="L1697"/>
      <c r="M1697"/>
    </row>
    <row r="1698" spans="3:13" hidden="1" outlineLevel="1" x14ac:dyDescent="0.2">
      <c r="C1698" s="139">
        <v>1472</v>
      </c>
      <c r="D1698" s="248">
        <v>1390.2759000000001</v>
      </c>
      <c r="E1698" s="248">
        <v>1443.1488999999999</v>
      </c>
      <c r="F1698" s="248">
        <v>1470.7759000000001</v>
      </c>
      <c r="G1698" s="248">
        <v>1493.0335</v>
      </c>
      <c r="H1698" s="248">
        <v>1532.4413</v>
      </c>
      <c r="I1698"/>
      <c r="J1698"/>
      <c r="K1698"/>
      <c r="L1698"/>
      <c r="M1698"/>
    </row>
    <row r="1699" spans="3:13" hidden="1" outlineLevel="1" x14ac:dyDescent="0.2">
      <c r="C1699" s="139">
        <v>1473</v>
      </c>
      <c r="D1699" s="248">
        <v>1391.2653</v>
      </c>
      <c r="E1699" s="248">
        <v>1444.1518000000001</v>
      </c>
      <c r="F1699" s="248">
        <v>1471.7974999999999</v>
      </c>
      <c r="G1699" s="248">
        <v>1494.0478000000001</v>
      </c>
      <c r="H1699" s="248">
        <v>1533.4822999999999</v>
      </c>
      <c r="I1699"/>
      <c r="J1699"/>
      <c r="K1699"/>
      <c r="L1699"/>
      <c r="M1699"/>
    </row>
    <row r="1700" spans="3:13" hidden="1" outlineLevel="1" x14ac:dyDescent="0.2">
      <c r="C1700" s="139">
        <v>1474</v>
      </c>
      <c r="D1700" s="248">
        <v>1392.2322999999999</v>
      </c>
      <c r="E1700" s="248">
        <v>1445.1547</v>
      </c>
      <c r="F1700" s="248">
        <v>1472.8191999999999</v>
      </c>
      <c r="G1700" s="248">
        <v>1495.0869</v>
      </c>
      <c r="H1700" s="248">
        <v>1534.5481</v>
      </c>
      <c r="I1700"/>
      <c r="J1700"/>
      <c r="K1700"/>
      <c r="L1700"/>
      <c r="M1700"/>
    </row>
    <row r="1701" spans="3:13" hidden="1" outlineLevel="1" x14ac:dyDescent="0.2">
      <c r="C1701" s="139">
        <v>1475</v>
      </c>
      <c r="D1701" s="248">
        <v>1393.2219</v>
      </c>
      <c r="E1701" s="248">
        <v>1446.1576</v>
      </c>
      <c r="F1701" s="248">
        <v>1473.8184000000001</v>
      </c>
      <c r="G1701" s="248">
        <v>1496.1259</v>
      </c>
      <c r="H1701" s="248">
        <v>1535.5891999999999</v>
      </c>
      <c r="I1701"/>
      <c r="J1701"/>
      <c r="K1701"/>
      <c r="L1701"/>
      <c r="M1701"/>
    </row>
    <row r="1702" spans="3:13" hidden="1" outlineLevel="1" x14ac:dyDescent="0.2">
      <c r="C1702" s="139">
        <v>1476</v>
      </c>
      <c r="D1702" s="248">
        <v>1394.1889000000001</v>
      </c>
      <c r="E1702" s="248">
        <v>1447.1605999999999</v>
      </c>
      <c r="F1702" s="248">
        <v>1474.8400999999999</v>
      </c>
      <c r="G1702" s="248">
        <v>1497.1402</v>
      </c>
      <c r="H1702" s="248">
        <v>1536.6550999999999</v>
      </c>
      <c r="I1702"/>
      <c r="J1702"/>
      <c r="K1702"/>
      <c r="L1702"/>
      <c r="M1702"/>
    </row>
    <row r="1703" spans="3:13" hidden="1" outlineLevel="1" x14ac:dyDescent="0.2">
      <c r="C1703" s="139">
        <v>1477</v>
      </c>
      <c r="D1703" s="248">
        <v>1395.1559999999999</v>
      </c>
      <c r="E1703" s="248">
        <v>1448.1411000000001</v>
      </c>
      <c r="F1703" s="248">
        <v>1475.8619000000001</v>
      </c>
      <c r="G1703" s="248">
        <v>1498.1794</v>
      </c>
      <c r="H1703" s="248">
        <v>1537.6960999999999</v>
      </c>
      <c r="I1703"/>
      <c r="J1703"/>
      <c r="K1703"/>
      <c r="L1703"/>
      <c r="M1703"/>
    </row>
    <row r="1704" spans="3:13" hidden="1" outlineLevel="1" x14ac:dyDescent="0.2">
      <c r="C1704" s="139">
        <v>1478</v>
      </c>
      <c r="D1704" s="248">
        <v>1396.1457</v>
      </c>
      <c r="E1704" s="248">
        <v>1449.1441</v>
      </c>
      <c r="F1704" s="248">
        <v>1476.8837000000001</v>
      </c>
      <c r="G1704" s="248">
        <v>1499.1937</v>
      </c>
      <c r="H1704" s="248">
        <v>1538.7372</v>
      </c>
      <c r="I1704"/>
      <c r="J1704"/>
      <c r="K1704"/>
      <c r="L1704"/>
      <c r="M1704"/>
    </row>
    <row r="1705" spans="3:13" hidden="1" outlineLevel="1" x14ac:dyDescent="0.2">
      <c r="C1705" s="139">
        <v>1479</v>
      </c>
      <c r="D1705" s="248">
        <v>1397.1129000000001</v>
      </c>
      <c r="E1705" s="248">
        <v>1450.1470999999999</v>
      </c>
      <c r="F1705" s="248">
        <v>1477.8829000000001</v>
      </c>
      <c r="G1705" s="248">
        <v>1500.2329</v>
      </c>
      <c r="H1705" s="248">
        <v>1539.8032000000001</v>
      </c>
      <c r="I1705"/>
      <c r="J1705"/>
      <c r="K1705"/>
      <c r="L1705"/>
      <c r="M1705"/>
    </row>
    <row r="1706" spans="3:13" hidden="1" outlineLevel="1" x14ac:dyDescent="0.2">
      <c r="C1706" s="139">
        <v>1480</v>
      </c>
      <c r="D1706" s="248">
        <v>1398.1026999999999</v>
      </c>
      <c r="E1706" s="248">
        <v>1451.1502</v>
      </c>
      <c r="F1706" s="248">
        <v>1478.9047</v>
      </c>
      <c r="G1706" s="248">
        <v>1501.2472</v>
      </c>
      <c r="H1706" s="248">
        <v>1540.8443</v>
      </c>
      <c r="I1706"/>
      <c r="J1706"/>
      <c r="K1706"/>
      <c r="L1706"/>
      <c r="M1706"/>
    </row>
    <row r="1707" spans="3:13" hidden="1" outlineLevel="1" x14ac:dyDescent="0.2">
      <c r="C1707" s="139">
        <v>1481</v>
      </c>
      <c r="D1707" s="248">
        <v>1399.07</v>
      </c>
      <c r="E1707" s="248">
        <v>1452.1532999999999</v>
      </c>
      <c r="F1707" s="248">
        <v>1479.9266</v>
      </c>
      <c r="G1707" s="248">
        <v>1502.2864</v>
      </c>
      <c r="H1707" s="248">
        <v>1541.9102</v>
      </c>
      <c r="I1707"/>
      <c r="J1707"/>
      <c r="K1707"/>
      <c r="L1707"/>
      <c r="M1707"/>
    </row>
    <row r="1708" spans="3:13" hidden="1" outlineLevel="1" x14ac:dyDescent="0.2">
      <c r="C1708" s="139">
        <v>1482</v>
      </c>
      <c r="D1708" s="248">
        <v>1400.0599</v>
      </c>
      <c r="E1708" s="248">
        <v>1453.1564000000001</v>
      </c>
      <c r="F1708" s="248">
        <v>1480.9259</v>
      </c>
      <c r="G1708" s="248">
        <v>1503.3008</v>
      </c>
      <c r="H1708" s="248">
        <v>1542.9513999999999</v>
      </c>
      <c r="I1708"/>
      <c r="J1708"/>
      <c r="K1708"/>
      <c r="L1708"/>
      <c r="M1708"/>
    </row>
    <row r="1709" spans="3:13" hidden="1" outlineLevel="1" x14ac:dyDescent="0.2">
      <c r="C1709" s="139">
        <v>1483</v>
      </c>
      <c r="D1709" s="248">
        <v>1401.0272</v>
      </c>
      <c r="E1709" s="248">
        <v>1454.1596</v>
      </c>
      <c r="F1709" s="248">
        <v>1481.9477999999999</v>
      </c>
      <c r="G1709" s="248">
        <v>1504.3400999999999</v>
      </c>
      <c r="H1709" s="248">
        <v>1543.9925000000001</v>
      </c>
      <c r="I1709"/>
      <c r="J1709"/>
      <c r="K1709"/>
      <c r="L1709"/>
      <c r="M1709"/>
    </row>
    <row r="1710" spans="3:13" hidden="1" outlineLevel="1" x14ac:dyDescent="0.2">
      <c r="C1710" s="139">
        <v>1484</v>
      </c>
      <c r="D1710" s="248">
        <v>1402.0172</v>
      </c>
      <c r="E1710" s="248">
        <v>1455.1628000000001</v>
      </c>
      <c r="F1710" s="248">
        <v>1482.9697000000001</v>
      </c>
      <c r="G1710" s="248">
        <v>1505.3794</v>
      </c>
      <c r="H1710" s="248">
        <v>1545.0585000000001</v>
      </c>
      <c r="I1710"/>
      <c r="J1710"/>
      <c r="K1710"/>
      <c r="L1710"/>
      <c r="M1710"/>
    </row>
    <row r="1711" spans="3:13" hidden="1" outlineLevel="1" x14ac:dyDescent="0.2">
      <c r="C1711" s="139">
        <v>1485</v>
      </c>
      <c r="D1711" s="248">
        <v>1402.9847</v>
      </c>
      <c r="E1711" s="248">
        <v>1456.1659999999999</v>
      </c>
      <c r="F1711" s="248">
        <v>1483.9917</v>
      </c>
      <c r="G1711" s="248">
        <v>1506.3938000000001</v>
      </c>
      <c r="H1711" s="248">
        <v>1546.0997</v>
      </c>
      <c r="I1711"/>
      <c r="J1711"/>
      <c r="K1711"/>
      <c r="L1711"/>
      <c r="M1711"/>
    </row>
    <row r="1712" spans="3:13" hidden="1" outlineLevel="1" x14ac:dyDescent="0.2">
      <c r="C1712" s="139">
        <v>1486</v>
      </c>
      <c r="D1712" s="248">
        <v>1403.9748</v>
      </c>
      <c r="E1712" s="248">
        <v>1457.1693</v>
      </c>
      <c r="F1712" s="248">
        <v>1484.991</v>
      </c>
      <c r="G1712" s="248">
        <v>1507.4331</v>
      </c>
      <c r="H1712" s="248">
        <v>1547.1658</v>
      </c>
      <c r="I1712"/>
      <c r="J1712"/>
      <c r="K1712"/>
      <c r="L1712"/>
      <c r="M1712"/>
    </row>
    <row r="1713" spans="3:13" hidden="1" outlineLevel="1" x14ac:dyDescent="0.2">
      <c r="C1713" s="139">
        <v>1487</v>
      </c>
      <c r="D1713" s="248">
        <v>1404.9422999999999</v>
      </c>
      <c r="E1713" s="248">
        <v>1458.1726000000001</v>
      </c>
      <c r="F1713" s="248">
        <v>1486.0129999999999</v>
      </c>
      <c r="G1713" s="248">
        <v>1508.4476</v>
      </c>
      <c r="H1713" s="248">
        <v>1548.2068999999999</v>
      </c>
      <c r="I1713"/>
      <c r="J1713"/>
      <c r="K1713"/>
      <c r="L1713"/>
      <c r="M1713"/>
    </row>
    <row r="1714" spans="3:13" hidden="1" outlineLevel="1" x14ac:dyDescent="0.2">
      <c r="C1714" s="139">
        <v>1488</v>
      </c>
      <c r="D1714" s="248">
        <v>1405.9097999999999</v>
      </c>
      <c r="E1714" s="248">
        <v>1459.1759</v>
      </c>
      <c r="F1714" s="248">
        <v>1487.0350000000001</v>
      </c>
      <c r="G1714" s="248">
        <v>1509.4870000000001</v>
      </c>
      <c r="H1714" s="248">
        <v>1549.2731000000001</v>
      </c>
      <c r="I1714"/>
      <c r="J1714"/>
      <c r="K1714"/>
      <c r="L1714"/>
      <c r="M1714"/>
    </row>
    <row r="1715" spans="3:13" hidden="1" outlineLevel="1" x14ac:dyDescent="0.2">
      <c r="C1715" s="139">
        <v>1489</v>
      </c>
      <c r="D1715" s="248">
        <v>1406.9001000000001</v>
      </c>
      <c r="E1715" s="248">
        <v>1460.1793</v>
      </c>
      <c r="F1715" s="248">
        <v>1488.0571</v>
      </c>
      <c r="G1715" s="248">
        <v>1510.5014000000001</v>
      </c>
      <c r="H1715" s="248">
        <v>1550.3142</v>
      </c>
      <c r="I1715"/>
      <c r="J1715"/>
      <c r="K1715"/>
      <c r="L1715"/>
      <c r="M1715"/>
    </row>
    <row r="1716" spans="3:13" hidden="1" outlineLevel="1" x14ac:dyDescent="0.2">
      <c r="C1716" s="139">
        <v>1490</v>
      </c>
      <c r="D1716" s="248">
        <v>1407.8677</v>
      </c>
      <c r="E1716" s="248">
        <v>1461.1599000000001</v>
      </c>
      <c r="F1716" s="248">
        <v>1489.0564999999999</v>
      </c>
      <c r="G1716" s="248">
        <v>1511.5408</v>
      </c>
      <c r="H1716" s="248">
        <v>1551.3553999999999</v>
      </c>
      <c r="I1716"/>
      <c r="J1716"/>
      <c r="K1716"/>
      <c r="L1716"/>
      <c r="M1716"/>
    </row>
    <row r="1717" spans="3:13" hidden="1" outlineLevel="1" x14ac:dyDescent="0.2">
      <c r="C1717" s="139">
        <v>1491</v>
      </c>
      <c r="D1717" s="248">
        <v>1408.8579999999999</v>
      </c>
      <c r="E1717" s="248">
        <v>1462.1632999999999</v>
      </c>
      <c r="F1717" s="248">
        <v>1490.0786000000001</v>
      </c>
      <c r="G1717" s="248">
        <v>1512.5553</v>
      </c>
      <c r="H1717" s="248">
        <v>1552.4215999999999</v>
      </c>
      <c r="I1717"/>
      <c r="J1717"/>
      <c r="K1717"/>
      <c r="L1717"/>
      <c r="M1717"/>
    </row>
    <row r="1718" spans="3:13" hidden="1" outlineLevel="1" x14ac:dyDescent="0.2">
      <c r="C1718" s="139">
        <v>1492</v>
      </c>
      <c r="D1718" s="248">
        <v>1409.8257000000001</v>
      </c>
      <c r="E1718" s="248">
        <v>1463.1667</v>
      </c>
      <c r="F1718" s="248">
        <v>1491.1007</v>
      </c>
      <c r="G1718" s="248">
        <v>1513.5948000000001</v>
      </c>
      <c r="H1718" s="248">
        <v>1553.4628</v>
      </c>
      <c r="I1718"/>
      <c r="J1718"/>
      <c r="K1718"/>
      <c r="L1718"/>
      <c r="M1718"/>
    </row>
    <row r="1719" spans="3:13" hidden="1" outlineLevel="1" x14ac:dyDescent="0.2">
      <c r="C1719" s="139">
        <v>1493</v>
      </c>
      <c r="D1719" s="248">
        <v>1410.8162</v>
      </c>
      <c r="E1719" s="248">
        <v>1464.1702</v>
      </c>
      <c r="F1719" s="248">
        <v>1492.1001000000001</v>
      </c>
      <c r="G1719" s="248">
        <v>1514.6093000000001</v>
      </c>
      <c r="H1719" s="248">
        <v>1554.5291</v>
      </c>
      <c r="I1719"/>
      <c r="J1719"/>
      <c r="K1719"/>
      <c r="L1719"/>
      <c r="M1719"/>
    </row>
    <row r="1720" spans="3:13" hidden="1" outlineLevel="1" x14ac:dyDescent="0.2">
      <c r="C1720" s="139">
        <v>1494</v>
      </c>
      <c r="D1720" s="248">
        <v>1411.7840000000001</v>
      </c>
      <c r="E1720" s="248">
        <v>1465.1737000000001</v>
      </c>
      <c r="F1720" s="248">
        <v>1493.1223</v>
      </c>
      <c r="G1720" s="248">
        <v>1515.6487999999999</v>
      </c>
      <c r="H1720" s="248">
        <v>1555.5703000000001</v>
      </c>
      <c r="I1720"/>
      <c r="J1720"/>
      <c r="K1720"/>
      <c r="L1720"/>
      <c r="M1720"/>
    </row>
    <row r="1721" spans="3:13" hidden="1" outlineLevel="1" x14ac:dyDescent="0.2">
      <c r="C1721" s="139">
        <v>1495</v>
      </c>
      <c r="D1721" s="248">
        <v>1412.7517</v>
      </c>
      <c r="E1721" s="248">
        <v>1466.1772000000001</v>
      </c>
      <c r="F1721" s="248">
        <v>1494.1446000000001</v>
      </c>
      <c r="G1721" s="248">
        <v>1516.6884</v>
      </c>
      <c r="H1721" s="248">
        <v>1556.6115</v>
      </c>
      <c r="I1721"/>
      <c r="J1721"/>
      <c r="K1721"/>
      <c r="L1721"/>
      <c r="M1721"/>
    </row>
    <row r="1722" spans="3:13" hidden="1" outlineLevel="1" x14ac:dyDescent="0.2">
      <c r="C1722" s="139">
        <v>1496</v>
      </c>
      <c r="D1722" s="248">
        <v>1413.7424000000001</v>
      </c>
      <c r="E1722" s="248">
        <v>1467.1806999999999</v>
      </c>
      <c r="F1722" s="248">
        <v>1495.1668</v>
      </c>
      <c r="G1722" s="248">
        <v>1517.7029</v>
      </c>
      <c r="H1722" s="248">
        <v>1557.6777999999999</v>
      </c>
      <c r="I1722"/>
      <c r="J1722"/>
      <c r="K1722"/>
      <c r="L1722"/>
      <c r="M1722"/>
    </row>
    <row r="1723" spans="3:13" hidden="1" outlineLevel="1" x14ac:dyDescent="0.2">
      <c r="C1723" s="139">
        <v>1497</v>
      </c>
      <c r="D1723" s="248">
        <v>1414.7102</v>
      </c>
      <c r="E1723" s="248">
        <v>1468.1842999999999</v>
      </c>
      <c r="F1723" s="248">
        <v>1496.1663000000001</v>
      </c>
      <c r="G1723" s="248">
        <v>1518.7425000000001</v>
      </c>
      <c r="H1723" s="248">
        <v>1558.7190000000001</v>
      </c>
      <c r="I1723"/>
      <c r="J1723"/>
      <c r="K1723"/>
      <c r="L1723"/>
      <c r="M1723"/>
    </row>
    <row r="1724" spans="3:13" hidden="1" outlineLevel="1" x14ac:dyDescent="0.2">
      <c r="C1724" s="139">
        <v>1498</v>
      </c>
      <c r="D1724" s="248">
        <v>1415.701</v>
      </c>
      <c r="E1724" s="248">
        <v>1469.1878999999999</v>
      </c>
      <c r="F1724" s="248">
        <v>1497.1886</v>
      </c>
      <c r="G1724" s="248">
        <v>1519.7571</v>
      </c>
      <c r="H1724" s="248">
        <v>1559.7854</v>
      </c>
      <c r="I1724"/>
      <c r="J1724"/>
      <c r="K1724"/>
      <c r="L1724"/>
      <c r="M1724"/>
    </row>
    <row r="1725" spans="3:13" hidden="1" outlineLevel="1" x14ac:dyDescent="0.2">
      <c r="C1725" s="139">
        <v>1499</v>
      </c>
      <c r="D1725" s="248">
        <v>1416.6688999999999</v>
      </c>
      <c r="E1725" s="248">
        <v>1470.1916000000001</v>
      </c>
      <c r="F1725" s="248">
        <v>1498.2109</v>
      </c>
      <c r="G1725" s="248">
        <v>1520.7968000000001</v>
      </c>
      <c r="H1725" s="248">
        <v>1560.8267000000001</v>
      </c>
      <c r="I1725"/>
      <c r="J1725"/>
      <c r="K1725"/>
      <c r="L1725"/>
      <c r="M1725"/>
    </row>
    <row r="1726" spans="3:13" hidden="1" outlineLevel="1" x14ac:dyDescent="0.2">
      <c r="C1726" s="139">
        <v>1500</v>
      </c>
      <c r="D1726" s="248">
        <v>1417.6597999999999</v>
      </c>
      <c r="E1726" s="248">
        <v>1471.1952000000001</v>
      </c>
      <c r="F1726" s="248">
        <v>1499.2103999999999</v>
      </c>
      <c r="G1726" s="248">
        <v>1521.8113000000001</v>
      </c>
      <c r="H1726" s="248">
        <v>1561.8679</v>
      </c>
      <c r="I1726"/>
      <c r="J1726"/>
      <c r="K1726"/>
      <c r="L1726"/>
      <c r="M1726"/>
    </row>
    <row r="1727" spans="3:13" hidden="1" outlineLevel="1" x14ac:dyDescent="0.2">
      <c r="C1727" s="139">
        <v>1501</v>
      </c>
      <c r="D1727" s="248">
        <v>1418.6278</v>
      </c>
      <c r="E1727" s="248">
        <v>1472.1759999999999</v>
      </c>
      <c r="F1727" s="248">
        <v>1500.2327</v>
      </c>
      <c r="G1727" s="248">
        <v>1522.8510000000001</v>
      </c>
      <c r="H1727" s="248">
        <v>1562.9342999999999</v>
      </c>
      <c r="I1727"/>
      <c r="J1727"/>
      <c r="K1727"/>
      <c r="L1727"/>
      <c r="M1727"/>
    </row>
    <row r="1728" spans="3:13" hidden="1" outlineLevel="1" x14ac:dyDescent="0.2">
      <c r="C1728" s="139">
        <v>1502</v>
      </c>
      <c r="D1728" s="248">
        <v>1419.5958000000001</v>
      </c>
      <c r="E1728" s="248">
        <v>1473.1796999999999</v>
      </c>
      <c r="F1728" s="248">
        <v>1501.2551000000001</v>
      </c>
      <c r="G1728" s="248">
        <v>1523.8656000000001</v>
      </c>
      <c r="H1728" s="248">
        <v>1563.9756</v>
      </c>
      <c r="I1728"/>
      <c r="J1728"/>
      <c r="K1728"/>
      <c r="L1728"/>
      <c r="M1728"/>
    </row>
    <row r="1729" spans="3:13" hidden="1" outlineLevel="1" x14ac:dyDescent="0.2">
      <c r="C1729" s="139">
        <v>1503</v>
      </c>
      <c r="D1729" s="248">
        <v>1420.5868</v>
      </c>
      <c r="E1729" s="248">
        <v>1474.1835000000001</v>
      </c>
      <c r="F1729" s="248">
        <v>1502.2775999999999</v>
      </c>
      <c r="G1729" s="248">
        <v>1524.9054000000001</v>
      </c>
      <c r="H1729" s="248">
        <v>1565.0420999999999</v>
      </c>
      <c r="I1729"/>
      <c r="J1729"/>
      <c r="K1729"/>
      <c r="L1729"/>
      <c r="M1729"/>
    </row>
    <row r="1730" spans="3:13" hidden="1" outlineLevel="1" x14ac:dyDescent="0.2">
      <c r="C1730" s="139">
        <v>1504</v>
      </c>
      <c r="D1730" s="248">
        <v>1421.5549000000001</v>
      </c>
      <c r="E1730" s="248">
        <v>1475.1873000000001</v>
      </c>
      <c r="F1730" s="248">
        <v>1503.2771</v>
      </c>
      <c r="G1730" s="248">
        <v>1525.9199000000001</v>
      </c>
      <c r="H1730" s="248">
        <v>1566.0834</v>
      </c>
      <c r="I1730"/>
      <c r="J1730"/>
      <c r="K1730"/>
      <c r="L1730"/>
      <c r="M1730"/>
    </row>
    <row r="1731" spans="3:13" hidden="1" outlineLevel="1" x14ac:dyDescent="0.2">
      <c r="C1731" s="139">
        <v>1505</v>
      </c>
      <c r="D1731" s="248">
        <v>1422.546</v>
      </c>
      <c r="E1731" s="248">
        <v>1476.1911</v>
      </c>
      <c r="F1731" s="248">
        <v>1504.2996000000001</v>
      </c>
      <c r="G1731" s="248">
        <v>1526.9598000000001</v>
      </c>
      <c r="H1731" s="248">
        <v>1567.1247000000001</v>
      </c>
      <c r="I1731"/>
      <c r="J1731"/>
      <c r="K1731"/>
      <c r="L1731"/>
      <c r="M1731"/>
    </row>
    <row r="1732" spans="3:13" hidden="1" outlineLevel="1" x14ac:dyDescent="0.2">
      <c r="C1732" s="139">
        <v>1506</v>
      </c>
      <c r="D1732" s="248">
        <v>1423.5142000000001</v>
      </c>
      <c r="E1732" s="248">
        <v>1477.1949</v>
      </c>
      <c r="F1732" s="248">
        <v>1505.3221000000001</v>
      </c>
      <c r="G1732" s="248">
        <v>1527.9744000000001</v>
      </c>
      <c r="H1732" s="248">
        <v>1568.1912</v>
      </c>
      <c r="I1732"/>
      <c r="J1732"/>
      <c r="K1732"/>
      <c r="L1732"/>
      <c r="M1732"/>
    </row>
    <row r="1733" spans="3:13" hidden="1" outlineLevel="1" x14ac:dyDescent="0.2">
      <c r="C1733" s="139">
        <v>1507</v>
      </c>
      <c r="D1733" s="248">
        <v>1424.5055</v>
      </c>
      <c r="E1733" s="248">
        <v>1478.1987999999999</v>
      </c>
      <c r="F1733" s="248">
        <v>1506.3216</v>
      </c>
      <c r="G1733" s="248">
        <v>1529.0143</v>
      </c>
      <c r="H1733" s="248">
        <v>1569.2325000000001</v>
      </c>
      <c r="I1733"/>
      <c r="J1733"/>
      <c r="K1733"/>
      <c r="L1733"/>
      <c r="M1733"/>
    </row>
    <row r="1734" spans="3:13" hidden="1" outlineLevel="1" x14ac:dyDescent="0.2">
      <c r="C1734" s="139">
        <v>1508</v>
      </c>
      <c r="D1734" s="248">
        <v>1425.4737</v>
      </c>
      <c r="E1734" s="248">
        <v>1479.2027</v>
      </c>
      <c r="F1734" s="248">
        <v>1507.3442</v>
      </c>
      <c r="G1734" s="248">
        <v>1530.0542</v>
      </c>
      <c r="H1734" s="248">
        <v>1570.2991</v>
      </c>
      <c r="I1734"/>
      <c r="J1734"/>
      <c r="K1734"/>
      <c r="L1734"/>
      <c r="M1734"/>
    </row>
    <row r="1735" spans="3:13" hidden="1" outlineLevel="1" x14ac:dyDescent="0.2">
      <c r="C1735" s="139">
        <v>1509</v>
      </c>
      <c r="D1735" s="248">
        <v>1426.442</v>
      </c>
      <c r="E1735" s="248">
        <v>1480.2066</v>
      </c>
      <c r="F1735" s="248">
        <v>1508.3668</v>
      </c>
      <c r="G1735" s="248">
        <v>1531.0688</v>
      </c>
      <c r="H1735" s="248">
        <v>1571.3404</v>
      </c>
      <c r="I1735"/>
      <c r="J1735"/>
      <c r="K1735"/>
      <c r="L1735"/>
      <c r="M1735"/>
    </row>
    <row r="1736" spans="3:13" hidden="1" outlineLevel="1" x14ac:dyDescent="0.2">
      <c r="C1736" s="139">
        <v>1510</v>
      </c>
      <c r="D1736" s="248">
        <v>1427.4333999999999</v>
      </c>
      <c r="E1736" s="248">
        <v>1481.2106000000001</v>
      </c>
      <c r="F1736" s="248">
        <v>1509.3664000000001</v>
      </c>
      <c r="G1736" s="248">
        <v>1532.1088</v>
      </c>
      <c r="H1736" s="248">
        <v>1572.3816999999999</v>
      </c>
      <c r="I1736"/>
      <c r="J1736"/>
      <c r="K1736"/>
      <c r="L1736"/>
      <c r="M1736"/>
    </row>
    <row r="1737" spans="3:13" hidden="1" outlineLevel="1" x14ac:dyDescent="0.2">
      <c r="C1737" s="139">
        <v>1511</v>
      </c>
      <c r="D1737" s="248">
        <v>1428.4018000000001</v>
      </c>
      <c r="E1737" s="248">
        <v>1482.1914999999999</v>
      </c>
      <c r="F1737" s="248">
        <v>1510.3889999999999</v>
      </c>
      <c r="G1737" s="248">
        <v>1533.1233999999999</v>
      </c>
      <c r="H1737" s="248">
        <v>1573.4484</v>
      </c>
      <c r="I1737"/>
      <c r="J1737"/>
      <c r="K1737"/>
      <c r="L1737"/>
      <c r="M1737"/>
    </row>
    <row r="1738" spans="3:13" hidden="1" outlineLevel="1" x14ac:dyDescent="0.2">
      <c r="C1738" s="139">
        <v>1512</v>
      </c>
      <c r="D1738" s="248">
        <v>1429.3932</v>
      </c>
      <c r="E1738" s="248">
        <v>1483.1955</v>
      </c>
      <c r="F1738" s="248">
        <v>1511.4117000000001</v>
      </c>
      <c r="G1738" s="248">
        <v>1534.1633999999999</v>
      </c>
      <c r="H1738" s="248">
        <v>1574.4897000000001</v>
      </c>
      <c r="I1738"/>
      <c r="J1738"/>
      <c r="K1738"/>
      <c r="L1738"/>
      <c r="M1738"/>
    </row>
    <row r="1739" spans="3:13" hidden="1" outlineLevel="1" x14ac:dyDescent="0.2">
      <c r="C1739" s="139">
        <v>1513</v>
      </c>
      <c r="D1739" s="248">
        <v>1430.3616999999999</v>
      </c>
      <c r="E1739" s="248">
        <v>1484.1994999999999</v>
      </c>
      <c r="F1739" s="248">
        <v>1512.4344000000001</v>
      </c>
      <c r="G1739" s="248">
        <v>1535.1781000000001</v>
      </c>
      <c r="H1739" s="248">
        <v>1575.5564999999999</v>
      </c>
      <c r="I1739"/>
      <c r="J1739"/>
      <c r="K1739"/>
      <c r="L1739"/>
      <c r="M1739"/>
    </row>
    <row r="1740" spans="3:13" hidden="1" outlineLevel="1" x14ac:dyDescent="0.2">
      <c r="C1740" s="139">
        <v>1514</v>
      </c>
      <c r="D1740" s="248">
        <v>1431.3302000000001</v>
      </c>
      <c r="E1740" s="248">
        <v>1485.2036000000001</v>
      </c>
      <c r="F1740" s="248">
        <v>1513.434</v>
      </c>
      <c r="G1740" s="248">
        <v>1536.2182</v>
      </c>
      <c r="H1740" s="248">
        <v>1576.5978</v>
      </c>
      <c r="I1740"/>
      <c r="J1740"/>
      <c r="K1740"/>
      <c r="L1740"/>
      <c r="M1740"/>
    </row>
    <row r="1741" spans="3:13" hidden="1" outlineLevel="1" x14ac:dyDescent="0.2">
      <c r="C1741" s="139">
        <v>1515</v>
      </c>
      <c r="D1741" s="248">
        <v>1432.3217999999999</v>
      </c>
      <c r="E1741" s="248">
        <v>1486.2076999999999</v>
      </c>
      <c r="F1741" s="248">
        <v>1514.4567</v>
      </c>
      <c r="G1741" s="248">
        <v>1537.2328</v>
      </c>
      <c r="H1741" s="248">
        <v>1577.6392000000001</v>
      </c>
      <c r="I1741"/>
      <c r="J1741"/>
      <c r="K1741"/>
      <c r="L1741"/>
      <c r="M1741"/>
    </row>
    <row r="1742" spans="3:13" hidden="1" outlineLevel="1" x14ac:dyDescent="0.2">
      <c r="C1742" s="139">
        <v>1516</v>
      </c>
      <c r="D1742" s="248">
        <v>1433.2904000000001</v>
      </c>
      <c r="E1742" s="248">
        <v>1487.2118</v>
      </c>
      <c r="F1742" s="248">
        <v>1515.4794999999999</v>
      </c>
      <c r="G1742" s="248">
        <v>1538.2729999999999</v>
      </c>
      <c r="H1742" s="248">
        <v>1578.7058999999999</v>
      </c>
      <c r="I1742"/>
      <c r="J1742"/>
      <c r="K1742"/>
      <c r="L1742"/>
      <c r="M1742"/>
    </row>
    <row r="1743" spans="3:13" hidden="1" outlineLevel="1" x14ac:dyDescent="0.2">
      <c r="C1743" s="139">
        <v>1517</v>
      </c>
      <c r="D1743" s="248">
        <v>1434.2820999999999</v>
      </c>
      <c r="E1743" s="248">
        <v>1488.2159999999999</v>
      </c>
      <c r="F1743" s="248">
        <v>1516.4792</v>
      </c>
      <c r="G1743" s="248">
        <v>1539.2877000000001</v>
      </c>
      <c r="H1743" s="248">
        <v>1579.7473</v>
      </c>
      <c r="I1743"/>
      <c r="J1743"/>
      <c r="K1743"/>
      <c r="L1743"/>
      <c r="M1743"/>
    </row>
    <row r="1744" spans="3:13" hidden="1" outlineLevel="1" x14ac:dyDescent="0.2">
      <c r="C1744" s="139">
        <v>1518</v>
      </c>
      <c r="D1744" s="248">
        <v>1435.2507000000001</v>
      </c>
      <c r="E1744" s="248">
        <v>1489.2202</v>
      </c>
      <c r="F1744" s="248">
        <v>1517.5136</v>
      </c>
      <c r="G1744" s="248">
        <v>1540.3278</v>
      </c>
      <c r="H1744" s="248">
        <v>1580.8142</v>
      </c>
      <c r="I1744"/>
      <c r="J1744"/>
      <c r="K1744"/>
      <c r="L1744"/>
      <c r="M1744"/>
    </row>
    <row r="1745" spans="3:13" hidden="1" outlineLevel="1" x14ac:dyDescent="0.2">
      <c r="C1745" s="139">
        <v>1519</v>
      </c>
      <c r="D1745" s="248">
        <v>1436.2194</v>
      </c>
      <c r="E1745" s="248">
        <v>1490.2244000000001</v>
      </c>
      <c r="F1745" s="248">
        <v>1518.5133000000001</v>
      </c>
      <c r="G1745" s="248">
        <v>1541.3425</v>
      </c>
      <c r="H1745" s="248">
        <v>1581.8554999999999</v>
      </c>
      <c r="I1745"/>
      <c r="J1745"/>
      <c r="K1745"/>
      <c r="L1745"/>
      <c r="M1745"/>
    </row>
    <row r="1746" spans="3:13" hidden="1" outlineLevel="1" x14ac:dyDescent="0.2">
      <c r="C1746" s="139">
        <v>1520</v>
      </c>
      <c r="D1746" s="248">
        <v>1437.2112999999999</v>
      </c>
      <c r="E1746" s="248">
        <v>1491.2054000000001</v>
      </c>
      <c r="F1746" s="248">
        <v>1519.5128999999999</v>
      </c>
      <c r="G1746" s="248">
        <v>1542.3828000000001</v>
      </c>
      <c r="H1746" s="248">
        <v>1582.8969</v>
      </c>
      <c r="I1746"/>
      <c r="J1746"/>
      <c r="K1746"/>
      <c r="L1746"/>
      <c r="M1746"/>
    </row>
    <row r="1747" spans="3:13" hidden="1" outlineLevel="1" x14ac:dyDescent="0.2">
      <c r="C1747" s="139">
        <v>1521</v>
      </c>
      <c r="D1747" s="248">
        <v>1438.18</v>
      </c>
      <c r="E1747" s="248">
        <v>1492.2097000000001</v>
      </c>
      <c r="F1747" s="248">
        <v>1520.559</v>
      </c>
      <c r="G1747" s="248">
        <v>1543.3975</v>
      </c>
      <c r="H1747" s="248">
        <v>1583.9638</v>
      </c>
      <c r="I1747"/>
      <c r="J1747"/>
      <c r="K1747"/>
      <c r="L1747"/>
      <c r="M1747"/>
    </row>
    <row r="1748" spans="3:13" hidden="1" outlineLevel="1" x14ac:dyDescent="0.2">
      <c r="C1748" s="139">
        <v>1522</v>
      </c>
      <c r="D1748" s="248">
        <v>1439.172</v>
      </c>
      <c r="E1748" s="248">
        <v>1493.2139999999999</v>
      </c>
      <c r="F1748" s="248">
        <v>1521.5587</v>
      </c>
      <c r="G1748" s="248">
        <v>1544.4376999999999</v>
      </c>
      <c r="H1748" s="248">
        <v>1585.0052000000001</v>
      </c>
      <c r="I1748"/>
      <c r="J1748"/>
      <c r="K1748"/>
      <c r="L1748"/>
      <c r="M1748"/>
    </row>
    <row r="1749" spans="3:13" hidden="1" outlineLevel="1" x14ac:dyDescent="0.2">
      <c r="C1749" s="139">
        <v>1523</v>
      </c>
      <c r="D1749" s="248">
        <v>1440.1409000000001</v>
      </c>
      <c r="E1749" s="248">
        <v>1494.2183</v>
      </c>
      <c r="F1749" s="248">
        <v>1522.6049</v>
      </c>
      <c r="G1749" s="248">
        <v>1545.4525000000001</v>
      </c>
      <c r="H1749" s="248">
        <v>1586.0465999999999</v>
      </c>
      <c r="I1749"/>
      <c r="J1749"/>
      <c r="K1749"/>
      <c r="L1749"/>
      <c r="M1749"/>
    </row>
    <row r="1750" spans="3:13" hidden="1" outlineLevel="1" x14ac:dyDescent="0.2">
      <c r="C1750" s="139">
        <v>1524</v>
      </c>
      <c r="D1750" s="248">
        <v>1441.1097</v>
      </c>
      <c r="E1750" s="248">
        <v>1495.2227</v>
      </c>
      <c r="F1750" s="248">
        <v>1523.6047000000001</v>
      </c>
      <c r="G1750" s="248">
        <v>1546.4928</v>
      </c>
      <c r="H1750" s="248">
        <v>1587.1135999999999</v>
      </c>
      <c r="I1750"/>
      <c r="J1750"/>
      <c r="K1750"/>
      <c r="L1750"/>
      <c r="M1750"/>
    </row>
    <row r="1751" spans="3:13" hidden="1" outlineLevel="1" x14ac:dyDescent="0.2">
      <c r="C1751" s="139">
        <v>1525</v>
      </c>
      <c r="D1751" s="248">
        <v>1442.1018999999999</v>
      </c>
      <c r="E1751" s="248">
        <v>1496.2271000000001</v>
      </c>
      <c r="F1751" s="248">
        <v>1524.6043999999999</v>
      </c>
      <c r="G1751" s="248">
        <v>1547.5332000000001</v>
      </c>
      <c r="H1751" s="248">
        <v>1588.155</v>
      </c>
      <c r="I1751"/>
      <c r="J1751"/>
      <c r="K1751"/>
      <c r="L1751"/>
      <c r="M1751"/>
    </row>
    <row r="1752" spans="3:13" hidden="1" outlineLevel="1" x14ac:dyDescent="0.2">
      <c r="C1752" s="139">
        <v>1526</v>
      </c>
      <c r="D1752" s="248">
        <v>1443.0708</v>
      </c>
      <c r="E1752" s="248">
        <v>1497.2315000000001</v>
      </c>
      <c r="F1752" s="248">
        <v>1525.6506999999999</v>
      </c>
      <c r="G1752" s="248">
        <v>1548.5479</v>
      </c>
      <c r="H1752" s="248">
        <v>1589.222</v>
      </c>
      <c r="I1752"/>
      <c r="J1752"/>
      <c r="K1752"/>
      <c r="L1752"/>
      <c r="M1752"/>
    </row>
    <row r="1753" spans="3:13" hidden="1" outlineLevel="1" x14ac:dyDescent="0.2">
      <c r="C1753" s="139">
        <v>1527</v>
      </c>
      <c r="D1753" s="248">
        <v>1444.0630000000001</v>
      </c>
      <c r="E1753" s="248">
        <v>1498.2358999999999</v>
      </c>
      <c r="F1753" s="248">
        <v>1526.6505</v>
      </c>
      <c r="G1753" s="248">
        <v>1549.5884000000001</v>
      </c>
      <c r="H1753" s="248">
        <v>1590.2635</v>
      </c>
      <c r="I1753"/>
      <c r="J1753"/>
      <c r="K1753"/>
      <c r="L1753"/>
      <c r="M1753"/>
    </row>
    <row r="1754" spans="3:13" hidden="1" outlineLevel="1" x14ac:dyDescent="0.2">
      <c r="C1754" s="139">
        <v>1528</v>
      </c>
      <c r="D1754" s="248">
        <v>1445.0319999999999</v>
      </c>
      <c r="E1754" s="248">
        <v>1499.2403999999999</v>
      </c>
      <c r="F1754" s="248">
        <v>1527.6503</v>
      </c>
      <c r="G1754" s="248">
        <v>1550.6031</v>
      </c>
      <c r="H1754" s="248">
        <v>1591.3049000000001</v>
      </c>
      <c r="I1754"/>
      <c r="J1754"/>
      <c r="K1754"/>
      <c r="L1754"/>
      <c r="M1754"/>
    </row>
    <row r="1755" spans="3:13" hidden="1" outlineLevel="1" x14ac:dyDescent="0.2">
      <c r="C1755" s="139">
        <v>1529</v>
      </c>
      <c r="D1755" s="248">
        <v>1446.0011</v>
      </c>
      <c r="E1755" s="248">
        <v>1500.2216000000001</v>
      </c>
      <c r="F1755" s="248">
        <v>1528.6967</v>
      </c>
      <c r="G1755" s="248">
        <v>1551.6436000000001</v>
      </c>
      <c r="H1755" s="248">
        <v>1592.3720000000001</v>
      </c>
      <c r="I1755"/>
      <c r="J1755"/>
      <c r="K1755"/>
      <c r="L1755"/>
      <c r="M1755"/>
    </row>
    <row r="1756" spans="3:13" hidden="1" outlineLevel="1" x14ac:dyDescent="0.2">
      <c r="C1756" s="139">
        <v>1530</v>
      </c>
      <c r="D1756" s="248">
        <v>1446.9935</v>
      </c>
      <c r="E1756" s="248">
        <v>1501.2261000000001</v>
      </c>
      <c r="F1756" s="248">
        <v>1529.6965</v>
      </c>
      <c r="G1756" s="248">
        <v>1552.6584</v>
      </c>
      <c r="H1756" s="248">
        <v>1593.4133999999999</v>
      </c>
      <c r="I1756"/>
      <c r="J1756"/>
      <c r="K1756"/>
      <c r="L1756"/>
      <c r="M1756"/>
    </row>
    <row r="1757" spans="3:13" hidden="1" outlineLevel="1" x14ac:dyDescent="0.2">
      <c r="C1757" s="139">
        <v>1531</v>
      </c>
      <c r="D1757" s="248">
        <v>1447.9626000000001</v>
      </c>
      <c r="E1757" s="248">
        <v>1502.2307000000001</v>
      </c>
      <c r="F1757" s="248">
        <v>1530.6963000000001</v>
      </c>
      <c r="G1757" s="248">
        <v>1553.6989000000001</v>
      </c>
      <c r="H1757" s="248">
        <v>1594.4806000000001</v>
      </c>
      <c r="I1757"/>
      <c r="J1757"/>
      <c r="K1757"/>
      <c r="L1757"/>
      <c r="M1757"/>
    </row>
    <row r="1758" spans="3:13" hidden="1" outlineLevel="1" x14ac:dyDescent="0.2">
      <c r="C1758" s="139">
        <v>1532</v>
      </c>
      <c r="D1758" s="248">
        <v>1448.9317000000001</v>
      </c>
      <c r="E1758" s="248">
        <v>1503.2353000000001</v>
      </c>
      <c r="F1758" s="248">
        <v>1531.7429</v>
      </c>
      <c r="G1758" s="248">
        <v>1554.7137</v>
      </c>
      <c r="H1758" s="248">
        <v>1595.5219999999999</v>
      </c>
      <c r="I1758"/>
      <c r="J1758"/>
      <c r="K1758"/>
      <c r="L1758"/>
      <c r="M1758"/>
    </row>
    <row r="1759" spans="3:13" hidden="1" outlineLevel="1" x14ac:dyDescent="0.2">
      <c r="C1759" s="139">
        <v>1533</v>
      </c>
      <c r="D1759" s="248">
        <v>1449.9242999999999</v>
      </c>
      <c r="E1759" s="248">
        <v>1504.2399</v>
      </c>
      <c r="F1759" s="248">
        <v>1532.7427</v>
      </c>
      <c r="G1759" s="248">
        <v>1555.7543000000001</v>
      </c>
      <c r="H1759" s="248">
        <v>1596.5635</v>
      </c>
      <c r="I1759"/>
      <c r="J1759"/>
      <c r="K1759"/>
      <c r="L1759"/>
      <c r="M1759"/>
    </row>
    <row r="1760" spans="3:13" hidden="1" outlineLevel="1" x14ac:dyDescent="0.2">
      <c r="C1760" s="139">
        <v>1534</v>
      </c>
      <c r="D1760" s="248">
        <v>1450.8934999999999</v>
      </c>
      <c r="E1760" s="248">
        <v>1505.2445</v>
      </c>
      <c r="F1760" s="248">
        <v>1533.7425000000001</v>
      </c>
      <c r="G1760" s="248">
        <v>1556.7691</v>
      </c>
      <c r="H1760" s="248">
        <v>1597.6306999999999</v>
      </c>
      <c r="I1760"/>
      <c r="J1760"/>
      <c r="K1760"/>
      <c r="L1760"/>
      <c r="M1760"/>
    </row>
    <row r="1761" spans="3:13" hidden="1" outlineLevel="1" x14ac:dyDescent="0.2">
      <c r="C1761" s="139">
        <v>1535</v>
      </c>
      <c r="D1761" s="248">
        <v>1451.8861999999999</v>
      </c>
      <c r="E1761" s="248">
        <v>1506.2492</v>
      </c>
      <c r="F1761" s="248">
        <v>1534.7891999999999</v>
      </c>
      <c r="G1761" s="248">
        <v>1557.8097</v>
      </c>
      <c r="H1761" s="248">
        <v>1598.6722</v>
      </c>
      <c r="I1761"/>
      <c r="J1761"/>
      <c r="K1761"/>
      <c r="L1761"/>
      <c r="M1761"/>
    </row>
    <row r="1762" spans="3:13" hidden="1" outlineLevel="1" x14ac:dyDescent="0.2">
      <c r="C1762" s="139">
        <v>1536</v>
      </c>
      <c r="D1762" s="248">
        <v>1452.8554999999999</v>
      </c>
      <c r="E1762" s="248">
        <v>1507.2538999999999</v>
      </c>
      <c r="F1762" s="248">
        <v>1535.7891</v>
      </c>
      <c r="G1762" s="248">
        <v>1558.8245999999999</v>
      </c>
      <c r="H1762" s="248">
        <v>1599.7394999999999</v>
      </c>
      <c r="I1762"/>
      <c r="J1762"/>
      <c r="K1762"/>
      <c r="L1762"/>
      <c r="M1762"/>
    </row>
    <row r="1763" spans="3:13" hidden="1" outlineLevel="1" x14ac:dyDescent="0.2">
      <c r="C1763" s="139">
        <v>1537</v>
      </c>
      <c r="D1763" s="248">
        <v>1453.8248000000001</v>
      </c>
      <c r="E1763" s="248">
        <v>1508.2352000000001</v>
      </c>
      <c r="F1763" s="248">
        <v>1536.7889</v>
      </c>
      <c r="G1763" s="248">
        <v>1559.8652999999999</v>
      </c>
      <c r="H1763" s="248">
        <v>1600.7809999999999</v>
      </c>
      <c r="I1763"/>
      <c r="J1763"/>
      <c r="K1763"/>
      <c r="L1763"/>
      <c r="M1763"/>
    </row>
    <row r="1764" spans="3:13" hidden="1" outlineLevel="1" x14ac:dyDescent="0.2">
      <c r="C1764" s="139">
        <v>1538</v>
      </c>
      <c r="D1764" s="248">
        <v>1454.8176000000001</v>
      </c>
      <c r="E1764" s="248">
        <v>1509.2399</v>
      </c>
      <c r="F1764" s="248">
        <v>1537.8357000000001</v>
      </c>
      <c r="G1764" s="248">
        <v>1560.8801000000001</v>
      </c>
      <c r="H1764" s="248">
        <v>1601.8224</v>
      </c>
      <c r="I1764"/>
      <c r="J1764"/>
      <c r="K1764"/>
      <c r="L1764"/>
      <c r="M1764"/>
    </row>
    <row r="1765" spans="3:13" hidden="1" outlineLevel="1" x14ac:dyDescent="0.2">
      <c r="C1765" s="139">
        <v>1539</v>
      </c>
      <c r="D1765" s="248">
        <v>1455.787</v>
      </c>
      <c r="E1765" s="248">
        <v>1510.2447</v>
      </c>
      <c r="F1765" s="248">
        <v>1538.8356000000001</v>
      </c>
      <c r="G1765" s="248">
        <v>1561.9209000000001</v>
      </c>
      <c r="H1765" s="248">
        <v>1602.8897999999999</v>
      </c>
      <c r="I1765"/>
      <c r="J1765"/>
      <c r="K1765"/>
      <c r="L1765"/>
      <c r="M1765"/>
    </row>
    <row r="1766" spans="3:13" hidden="1" outlineLevel="1" x14ac:dyDescent="0.2">
      <c r="C1766" s="139">
        <v>1540</v>
      </c>
      <c r="D1766" s="248">
        <v>1456.7564</v>
      </c>
      <c r="E1766" s="248">
        <v>1511.2494999999999</v>
      </c>
      <c r="F1766" s="248">
        <v>1539.8354999999999</v>
      </c>
      <c r="G1766" s="248">
        <v>1562.9357</v>
      </c>
      <c r="H1766" s="248">
        <v>1603.9313</v>
      </c>
      <c r="I1766"/>
      <c r="J1766"/>
      <c r="K1766"/>
      <c r="L1766"/>
      <c r="M1766"/>
    </row>
    <row r="1767" spans="3:13" hidden="1" outlineLevel="1" x14ac:dyDescent="0.2">
      <c r="C1767" s="139">
        <v>1541</v>
      </c>
      <c r="D1767" s="248">
        <v>1457.7493999999999</v>
      </c>
      <c r="E1767" s="248">
        <v>1512.2544</v>
      </c>
      <c r="F1767" s="248">
        <v>1540.8824</v>
      </c>
      <c r="G1767" s="248">
        <v>1563.9765</v>
      </c>
      <c r="H1767" s="248">
        <v>1604.9728</v>
      </c>
      <c r="I1767"/>
      <c r="J1767"/>
      <c r="K1767"/>
      <c r="L1767"/>
      <c r="M1767"/>
    </row>
    <row r="1768" spans="3:13" hidden="1" outlineLevel="1" x14ac:dyDescent="0.2">
      <c r="C1768" s="139">
        <v>1542</v>
      </c>
      <c r="D1768" s="248">
        <v>1458.7189000000001</v>
      </c>
      <c r="E1768" s="248">
        <v>1513.2592999999999</v>
      </c>
      <c r="F1768" s="248">
        <v>1541.8824</v>
      </c>
      <c r="G1768" s="248">
        <v>1564.9914000000001</v>
      </c>
      <c r="H1768" s="248">
        <v>1606.0401999999999</v>
      </c>
      <c r="I1768"/>
      <c r="J1768"/>
      <c r="K1768"/>
      <c r="L1768"/>
      <c r="M1768"/>
    </row>
    <row r="1769" spans="3:13" hidden="1" outlineLevel="1" x14ac:dyDescent="0.2">
      <c r="C1769" s="139">
        <v>1543</v>
      </c>
      <c r="D1769" s="248">
        <v>1459.6885</v>
      </c>
      <c r="E1769" s="248">
        <v>1514.2642000000001</v>
      </c>
      <c r="F1769" s="248">
        <v>1542.8823</v>
      </c>
      <c r="G1769" s="248">
        <v>1566.0322000000001</v>
      </c>
      <c r="H1769" s="248">
        <v>1607.0817</v>
      </c>
      <c r="I1769"/>
      <c r="J1769"/>
      <c r="K1769"/>
      <c r="L1769"/>
      <c r="M1769"/>
    </row>
    <row r="1770" spans="3:13" hidden="1" outlineLevel="1" x14ac:dyDescent="0.2">
      <c r="C1770" s="139">
        <v>1544</v>
      </c>
      <c r="D1770" s="248">
        <v>1460.6815999999999</v>
      </c>
      <c r="E1770" s="248">
        <v>1515.2691</v>
      </c>
      <c r="F1770" s="248">
        <v>1543.9293</v>
      </c>
      <c r="G1770" s="248">
        <v>1567.0471</v>
      </c>
      <c r="H1770" s="248">
        <v>1608.1492000000001</v>
      </c>
      <c r="I1770"/>
      <c r="J1770"/>
      <c r="K1770"/>
      <c r="L1770"/>
      <c r="M1770"/>
    </row>
    <row r="1771" spans="3:13" hidden="1" outlineLevel="1" x14ac:dyDescent="0.2">
      <c r="C1771" s="139">
        <v>1545</v>
      </c>
      <c r="D1771" s="248">
        <v>1461.6512</v>
      </c>
      <c r="E1771" s="248">
        <v>1516.2505000000001</v>
      </c>
      <c r="F1771" s="248">
        <v>1544.9293</v>
      </c>
      <c r="G1771" s="248">
        <v>1568.088</v>
      </c>
      <c r="H1771" s="248">
        <v>1609.1907000000001</v>
      </c>
      <c r="I1771"/>
      <c r="J1771"/>
      <c r="K1771"/>
      <c r="L1771"/>
      <c r="M1771"/>
    </row>
    <row r="1772" spans="3:13" hidden="1" outlineLevel="1" x14ac:dyDescent="0.2">
      <c r="C1772" s="139">
        <v>1546</v>
      </c>
      <c r="D1772" s="248">
        <v>1462.6443999999999</v>
      </c>
      <c r="E1772" s="248">
        <v>1517.2437</v>
      </c>
      <c r="F1772" s="248">
        <v>1545.9292</v>
      </c>
      <c r="G1772" s="248">
        <v>1569.1030000000001</v>
      </c>
      <c r="H1772" s="248">
        <v>1610.2322999999999</v>
      </c>
      <c r="I1772"/>
      <c r="J1772"/>
      <c r="K1772"/>
      <c r="L1772"/>
      <c r="M1772"/>
    </row>
    <row r="1773" spans="3:13" hidden="1" outlineLevel="1" x14ac:dyDescent="0.2">
      <c r="C1773" s="139">
        <v>1547</v>
      </c>
      <c r="D1773" s="248">
        <v>1463.6141</v>
      </c>
      <c r="E1773" s="248">
        <v>1518.2723000000001</v>
      </c>
      <c r="F1773" s="248">
        <v>1546.9764</v>
      </c>
      <c r="G1773" s="248">
        <v>1570.1439</v>
      </c>
      <c r="H1773" s="248">
        <v>1611.2998</v>
      </c>
      <c r="I1773"/>
      <c r="J1773"/>
      <c r="K1773"/>
      <c r="L1773"/>
      <c r="M1773"/>
    </row>
    <row r="1774" spans="3:13" hidden="1" outlineLevel="1" x14ac:dyDescent="0.2">
      <c r="C1774" s="139">
        <v>1548</v>
      </c>
      <c r="D1774" s="248">
        <v>1464.5838000000001</v>
      </c>
      <c r="E1774" s="248">
        <v>1519.2537</v>
      </c>
      <c r="F1774" s="248">
        <v>1547.9764</v>
      </c>
      <c r="G1774" s="248">
        <v>1571.1587999999999</v>
      </c>
      <c r="H1774" s="248">
        <v>1612.3413</v>
      </c>
      <c r="I1774"/>
      <c r="J1774"/>
      <c r="K1774"/>
      <c r="L1774"/>
      <c r="M1774"/>
    </row>
    <row r="1775" spans="3:13" hidden="1" outlineLevel="1" x14ac:dyDescent="0.2">
      <c r="C1775" s="139">
        <v>1549</v>
      </c>
      <c r="D1775" s="248">
        <v>1465.5771999999999</v>
      </c>
      <c r="E1775" s="248">
        <v>1520.2824000000001</v>
      </c>
      <c r="F1775" s="248">
        <v>1548.9764</v>
      </c>
      <c r="G1775" s="248">
        <v>1572.1998000000001</v>
      </c>
      <c r="H1775" s="248">
        <v>1613.3829000000001</v>
      </c>
      <c r="I1775"/>
      <c r="J1775"/>
      <c r="K1775"/>
      <c r="L1775"/>
      <c r="M1775"/>
    </row>
    <row r="1776" spans="3:13" hidden="1" outlineLevel="1" x14ac:dyDescent="0.2">
      <c r="C1776" s="139">
        <v>1550</v>
      </c>
      <c r="D1776" s="248">
        <v>1466.547</v>
      </c>
      <c r="E1776" s="248">
        <v>1521.2638999999999</v>
      </c>
      <c r="F1776" s="248">
        <v>1550.0083</v>
      </c>
      <c r="G1776" s="248">
        <v>1573.2148</v>
      </c>
      <c r="H1776" s="248">
        <v>1614.4504999999999</v>
      </c>
      <c r="I1776"/>
      <c r="J1776"/>
      <c r="K1776"/>
      <c r="L1776"/>
      <c r="M1776"/>
    </row>
    <row r="1777" spans="3:13" hidden="1" outlineLevel="1" x14ac:dyDescent="0.2">
      <c r="C1777" s="139">
        <v>1551</v>
      </c>
      <c r="D1777" s="248">
        <v>1467.5168000000001</v>
      </c>
      <c r="E1777" s="248">
        <v>1522.2927</v>
      </c>
      <c r="F1777" s="248">
        <v>1551.0343</v>
      </c>
      <c r="G1777" s="248">
        <v>1574.2557999999999</v>
      </c>
      <c r="H1777" s="248">
        <v>1615.4920999999999</v>
      </c>
      <c r="I1777"/>
      <c r="J1777"/>
      <c r="K1777"/>
      <c r="L1777"/>
      <c r="M1777"/>
    </row>
    <row r="1778" spans="3:13" hidden="1" outlineLevel="1" x14ac:dyDescent="0.2">
      <c r="C1778" s="139">
        <v>1552</v>
      </c>
      <c r="D1778" s="248">
        <v>1468.5103999999999</v>
      </c>
      <c r="E1778" s="248">
        <v>1523.2742000000001</v>
      </c>
      <c r="F1778" s="248">
        <v>1552.0343</v>
      </c>
      <c r="G1778" s="248">
        <v>1575.2708</v>
      </c>
      <c r="H1778" s="248">
        <v>1616.5597</v>
      </c>
      <c r="I1778"/>
      <c r="J1778"/>
      <c r="K1778"/>
      <c r="L1778"/>
      <c r="M1778"/>
    </row>
    <row r="1779" spans="3:13" hidden="1" outlineLevel="1" x14ac:dyDescent="0.2">
      <c r="C1779" s="139">
        <v>1553</v>
      </c>
      <c r="D1779" s="248">
        <v>1469.4802999999999</v>
      </c>
      <c r="E1779" s="248">
        <v>1524.2556999999999</v>
      </c>
      <c r="F1779" s="248">
        <v>1553.0604000000001</v>
      </c>
      <c r="G1779" s="248">
        <v>1576.3117999999999</v>
      </c>
      <c r="H1779" s="248">
        <v>1617.6013</v>
      </c>
      <c r="I1779"/>
      <c r="J1779"/>
      <c r="K1779"/>
      <c r="L1779"/>
      <c r="M1779"/>
    </row>
    <row r="1780" spans="3:13" hidden="1" outlineLevel="1" x14ac:dyDescent="0.2">
      <c r="C1780" s="139">
        <v>1554</v>
      </c>
      <c r="D1780" s="248">
        <v>1470.4502</v>
      </c>
      <c r="E1780" s="248">
        <v>1525.2846</v>
      </c>
      <c r="F1780" s="248">
        <v>1554.0864999999999</v>
      </c>
      <c r="G1780" s="248">
        <v>1577.3268</v>
      </c>
      <c r="H1780" s="248">
        <v>1618.6429000000001</v>
      </c>
      <c r="I1780"/>
      <c r="J1780"/>
      <c r="K1780"/>
      <c r="L1780"/>
      <c r="M1780"/>
    </row>
    <row r="1781" spans="3:13" hidden="1" outlineLevel="1" x14ac:dyDescent="0.2">
      <c r="C1781" s="139">
        <v>1555</v>
      </c>
      <c r="D1781" s="248">
        <v>1471.4439</v>
      </c>
      <c r="E1781" s="248">
        <v>1526.2661000000001</v>
      </c>
      <c r="F1781" s="248">
        <v>1555.0866000000001</v>
      </c>
      <c r="G1781" s="248">
        <v>1578.3679</v>
      </c>
      <c r="H1781" s="248">
        <v>1619.7106000000001</v>
      </c>
      <c r="I1781"/>
      <c r="J1781"/>
      <c r="K1781"/>
      <c r="L1781"/>
      <c r="M1781"/>
    </row>
    <row r="1782" spans="3:13" hidden="1" outlineLevel="1" x14ac:dyDescent="0.2">
      <c r="C1782" s="139">
        <v>1556</v>
      </c>
      <c r="D1782" s="248">
        <v>1472.4139</v>
      </c>
      <c r="E1782" s="248">
        <v>1527.2951</v>
      </c>
      <c r="F1782" s="248">
        <v>1556.1128000000001</v>
      </c>
      <c r="G1782" s="248">
        <v>1579.383</v>
      </c>
      <c r="H1782" s="248">
        <v>1620.7521999999999</v>
      </c>
      <c r="I1782"/>
      <c r="J1782"/>
      <c r="K1782"/>
      <c r="L1782"/>
      <c r="M1782"/>
    </row>
    <row r="1783" spans="3:13" hidden="1" outlineLevel="1" x14ac:dyDescent="0.2">
      <c r="C1783" s="139">
        <v>1557</v>
      </c>
      <c r="D1783" s="248">
        <v>1473.3839</v>
      </c>
      <c r="E1783" s="248">
        <v>1528.2766999999999</v>
      </c>
      <c r="F1783" s="248">
        <v>1557.1129000000001</v>
      </c>
      <c r="G1783" s="248">
        <v>1580.4241</v>
      </c>
      <c r="H1783" s="248">
        <v>1621.82</v>
      </c>
      <c r="I1783"/>
      <c r="J1783"/>
      <c r="K1783"/>
      <c r="L1783"/>
      <c r="M1783"/>
    </row>
    <row r="1784" spans="3:13" hidden="1" outlineLevel="1" x14ac:dyDescent="0.2">
      <c r="C1784" s="139">
        <v>1558</v>
      </c>
      <c r="D1784" s="248">
        <v>1474.3778</v>
      </c>
      <c r="E1784" s="248">
        <v>1529.3058000000001</v>
      </c>
      <c r="F1784" s="248">
        <v>1558.1391000000001</v>
      </c>
      <c r="G1784" s="248">
        <v>1581.4392</v>
      </c>
      <c r="H1784" s="248">
        <v>1622.8616</v>
      </c>
      <c r="I1784"/>
      <c r="J1784"/>
      <c r="K1784"/>
      <c r="L1784"/>
      <c r="M1784"/>
    </row>
    <row r="1785" spans="3:13" hidden="1" outlineLevel="1" x14ac:dyDescent="0.2">
      <c r="C1785" s="139">
        <v>1559</v>
      </c>
      <c r="D1785" s="248">
        <v>1475.3479</v>
      </c>
      <c r="E1785" s="248">
        <v>1530.2873</v>
      </c>
      <c r="F1785" s="248">
        <v>1559.1652999999999</v>
      </c>
      <c r="G1785" s="248">
        <v>1582.4803999999999</v>
      </c>
      <c r="H1785" s="248">
        <v>1623.9032</v>
      </c>
      <c r="I1785"/>
      <c r="J1785"/>
      <c r="K1785"/>
      <c r="L1785"/>
      <c r="M1785"/>
    </row>
    <row r="1786" spans="3:13" hidden="1" outlineLevel="1" x14ac:dyDescent="0.2">
      <c r="C1786" s="139">
        <v>1560</v>
      </c>
      <c r="D1786" s="248">
        <v>1476.3181</v>
      </c>
      <c r="E1786" s="248">
        <v>1531.2689</v>
      </c>
      <c r="F1786" s="248">
        <v>1560.1654000000001</v>
      </c>
      <c r="G1786" s="248">
        <v>1583.4955</v>
      </c>
      <c r="H1786" s="248">
        <v>1624.971</v>
      </c>
      <c r="I1786"/>
      <c r="J1786"/>
      <c r="K1786"/>
      <c r="L1786"/>
      <c r="M1786"/>
    </row>
    <row r="1787" spans="3:13" hidden="1" outlineLevel="1" x14ac:dyDescent="0.2">
      <c r="C1787" s="139">
        <v>1561</v>
      </c>
      <c r="D1787" s="248">
        <v>1477.3119999999999</v>
      </c>
      <c r="E1787" s="248">
        <v>1532.2981</v>
      </c>
      <c r="F1787" s="248">
        <v>1561.1917000000001</v>
      </c>
      <c r="G1787" s="248">
        <v>1584.5367000000001</v>
      </c>
      <c r="H1787" s="248">
        <v>1626.0127</v>
      </c>
      <c r="I1787"/>
      <c r="J1787"/>
      <c r="K1787"/>
      <c r="L1787"/>
      <c r="M1787"/>
    </row>
    <row r="1788" spans="3:13" hidden="1" outlineLevel="1" x14ac:dyDescent="0.2">
      <c r="C1788" s="139">
        <v>1562</v>
      </c>
      <c r="D1788" s="248">
        <v>1478.2823000000001</v>
      </c>
      <c r="E1788" s="248">
        <v>1533.2798</v>
      </c>
      <c r="F1788" s="248">
        <v>1562.1919</v>
      </c>
      <c r="G1788" s="248">
        <v>1585.5518</v>
      </c>
      <c r="H1788" s="248">
        <v>1627.0543</v>
      </c>
      <c r="I1788"/>
      <c r="J1788"/>
      <c r="K1788"/>
      <c r="L1788"/>
      <c r="M1788"/>
    </row>
    <row r="1789" spans="3:13" hidden="1" outlineLevel="1" x14ac:dyDescent="0.2">
      <c r="C1789" s="139">
        <v>1563</v>
      </c>
      <c r="D1789" s="248">
        <v>1479.2525000000001</v>
      </c>
      <c r="E1789" s="248">
        <v>1534.3090999999999</v>
      </c>
      <c r="F1789" s="248">
        <v>1563.2182</v>
      </c>
      <c r="G1789" s="248">
        <v>1586.5931</v>
      </c>
      <c r="H1789" s="248">
        <v>1628.1222</v>
      </c>
      <c r="I1789"/>
      <c r="J1789"/>
      <c r="K1789"/>
      <c r="L1789"/>
      <c r="M1789"/>
    </row>
    <row r="1790" spans="3:13" hidden="1" outlineLevel="1" x14ac:dyDescent="0.2">
      <c r="C1790" s="139">
        <v>1564</v>
      </c>
      <c r="D1790" s="248">
        <v>1480.2466999999999</v>
      </c>
      <c r="E1790" s="248">
        <v>1535.2907</v>
      </c>
      <c r="F1790" s="248">
        <v>1564.2446</v>
      </c>
      <c r="G1790" s="248">
        <v>1587.6081999999999</v>
      </c>
      <c r="H1790" s="248">
        <v>1629.1639</v>
      </c>
      <c r="I1790"/>
      <c r="J1790"/>
      <c r="K1790"/>
      <c r="L1790"/>
      <c r="M1790"/>
    </row>
    <row r="1791" spans="3:13" hidden="1" outlineLevel="1" x14ac:dyDescent="0.2">
      <c r="C1791" s="139">
        <v>1565</v>
      </c>
      <c r="D1791" s="248">
        <v>1481.2170000000001</v>
      </c>
      <c r="E1791" s="248">
        <v>1536.2724000000001</v>
      </c>
      <c r="F1791" s="248">
        <v>1565.2447999999999</v>
      </c>
      <c r="G1791" s="248">
        <v>1588.6496</v>
      </c>
      <c r="H1791" s="248">
        <v>1630.2055</v>
      </c>
      <c r="I1791"/>
      <c r="J1791"/>
      <c r="K1791"/>
      <c r="L1791"/>
      <c r="M1791"/>
    </row>
    <row r="1792" spans="3:13" hidden="1" outlineLevel="1" x14ac:dyDescent="0.2">
      <c r="C1792" s="139">
        <v>1566</v>
      </c>
      <c r="D1792" s="248">
        <v>1482.1874</v>
      </c>
      <c r="E1792" s="248">
        <v>1537.3018</v>
      </c>
      <c r="F1792" s="248">
        <v>1566.2711999999999</v>
      </c>
      <c r="G1792" s="248">
        <v>1589.6647</v>
      </c>
      <c r="H1792" s="248">
        <v>1631.2735</v>
      </c>
      <c r="I1792"/>
      <c r="J1792"/>
      <c r="K1792"/>
      <c r="L1792"/>
      <c r="M1792"/>
    </row>
    <row r="1793" spans="3:13" hidden="1" outlineLevel="1" x14ac:dyDescent="0.2">
      <c r="C1793" s="139">
        <v>1567</v>
      </c>
      <c r="D1793" s="248">
        <v>1483.1817000000001</v>
      </c>
      <c r="E1793" s="248">
        <v>1538.2835</v>
      </c>
      <c r="F1793" s="248">
        <v>1567.2714000000001</v>
      </c>
      <c r="G1793" s="248">
        <v>1590.7061000000001</v>
      </c>
      <c r="H1793" s="248">
        <v>1632.3152</v>
      </c>
      <c r="I1793"/>
      <c r="J1793"/>
      <c r="K1793"/>
      <c r="L1793"/>
      <c r="M1793"/>
    </row>
    <row r="1794" spans="3:13" hidden="1" outlineLevel="1" x14ac:dyDescent="0.2">
      <c r="C1794" s="139">
        <v>1568</v>
      </c>
      <c r="D1794" s="248">
        <v>1484.1521</v>
      </c>
      <c r="E1794" s="248">
        <v>1539.3130000000001</v>
      </c>
      <c r="F1794" s="248">
        <v>1568.2979</v>
      </c>
      <c r="G1794" s="248">
        <v>1591.7212</v>
      </c>
      <c r="H1794" s="248">
        <v>1633.3832</v>
      </c>
      <c r="I1794"/>
      <c r="J1794"/>
      <c r="K1794"/>
      <c r="L1794"/>
      <c r="M1794"/>
    </row>
    <row r="1795" spans="3:13" hidden="1" outlineLevel="1" x14ac:dyDescent="0.2">
      <c r="C1795" s="139">
        <v>1569</v>
      </c>
      <c r="D1795" s="248">
        <v>1485.1225999999999</v>
      </c>
      <c r="E1795" s="248">
        <v>1540.2946999999999</v>
      </c>
      <c r="F1795" s="248">
        <v>1569.3244</v>
      </c>
      <c r="G1795" s="248">
        <v>1592.7627</v>
      </c>
      <c r="H1795" s="248">
        <v>1634.4249</v>
      </c>
      <c r="I1795"/>
      <c r="J1795"/>
      <c r="K1795"/>
      <c r="L1795"/>
      <c r="M1795"/>
    </row>
    <row r="1796" spans="3:13" hidden="1" outlineLevel="1" x14ac:dyDescent="0.2">
      <c r="C1796" s="139">
        <v>1570</v>
      </c>
      <c r="D1796" s="248">
        <v>1486.117</v>
      </c>
      <c r="E1796" s="248">
        <v>1541.3243</v>
      </c>
      <c r="F1796" s="248">
        <v>1570.3245999999999</v>
      </c>
      <c r="G1796" s="248">
        <v>1593.7778000000001</v>
      </c>
      <c r="H1796" s="248">
        <v>1635.4666</v>
      </c>
      <c r="I1796"/>
      <c r="J1796"/>
      <c r="K1796"/>
      <c r="L1796"/>
      <c r="M1796"/>
    </row>
    <row r="1797" spans="3:13" hidden="1" outlineLevel="1" x14ac:dyDescent="0.2">
      <c r="C1797" s="139">
        <v>1571</v>
      </c>
      <c r="D1797" s="248">
        <v>1487.0876000000001</v>
      </c>
      <c r="E1797" s="248">
        <v>1542.306</v>
      </c>
      <c r="F1797" s="248">
        <v>1571.3512000000001</v>
      </c>
      <c r="G1797" s="248">
        <v>1594.8193000000001</v>
      </c>
      <c r="H1797" s="248">
        <v>1636.5346</v>
      </c>
      <c r="I1797"/>
      <c r="J1797"/>
      <c r="K1797"/>
      <c r="L1797"/>
      <c r="M1797"/>
    </row>
    <row r="1798" spans="3:13" hidden="1" outlineLevel="1" x14ac:dyDescent="0.2">
      <c r="C1798" s="139">
        <v>1572</v>
      </c>
      <c r="D1798" s="248">
        <v>1488.0581</v>
      </c>
      <c r="E1798" s="248">
        <v>1543.2878000000001</v>
      </c>
      <c r="F1798" s="248">
        <v>1572.3514</v>
      </c>
      <c r="G1798" s="248">
        <v>1595.8344999999999</v>
      </c>
      <c r="H1798" s="248">
        <v>1637.5763999999999</v>
      </c>
      <c r="I1798"/>
      <c r="J1798"/>
      <c r="K1798"/>
      <c r="L1798"/>
      <c r="M1798"/>
    </row>
    <row r="1799" spans="3:13" hidden="1" outlineLevel="1" x14ac:dyDescent="0.2">
      <c r="C1799" s="139">
        <v>1573</v>
      </c>
      <c r="D1799" s="248">
        <v>1489.0527</v>
      </c>
      <c r="E1799" s="248">
        <v>1544.3175000000001</v>
      </c>
      <c r="F1799" s="248">
        <v>1573.3779999999999</v>
      </c>
      <c r="G1799" s="248">
        <v>1596.8761</v>
      </c>
      <c r="H1799" s="248">
        <v>1638.6180999999999</v>
      </c>
      <c r="I1799"/>
      <c r="J1799"/>
      <c r="K1799"/>
      <c r="L1799"/>
      <c r="M1799"/>
    </row>
    <row r="1800" spans="3:13" hidden="1" outlineLevel="1" x14ac:dyDescent="0.2">
      <c r="C1800" s="139">
        <v>1574</v>
      </c>
      <c r="D1800" s="248">
        <v>1490.0234</v>
      </c>
      <c r="E1800" s="248">
        <v>1545.2992999999999</v>
      </c>
      <c r="F1800" s="248">
        <v>1574.4047</v>
      </c>
      <c r="G1800" s="248">
        <v>1597.8912</v>
      </c>
      <c r="H1800" s="248">
        <v>1639.6862000000001</v>
      </c>
      <c r="I1800"/>
      <c r="J1800"/>
      <c r="K1800"/>
      <c r="L1800"/>
      <c r="M1800"/>
    </row>
    <row r="1801" spans="3:13" hidden="1" outlineLevel="1" x14ac:dyDescent="0.2">
      <c r="C1801" s="139">
        <v>1575</v>
      </c>
      <c r="D1801" s="248">
        <v>1490.9940999999999</v>
      </c>
      <c r="E1801" s="248">
        <v>1546.3290999999999</v>
      </c>
      <c r="F1801" s="248">
        <v>1575.4049</v>
      </c>
      <c r="G1801" s="248">
        <v>1598.9329</v>
      </c>
      <c r="H1801" s="248">
        <v>1640.7279000000001</v>
      </c>
      <c r="I1801"/>
      <c r="J1801"/>
      <c r="K1801"/>
      <c r="L1801"/>
      <c r="M1801"/>
    </row>
    <row r="1802" spans="3:13" hidden="1" outlineLevel="1" x14ac:dyDescent="0.2">
      <c r="C1802" s="139">
        <v>1576</v>
      </c>
      <c r="D1802" s="248">
        <v>1491.9888000000001</v>
      </c>
      <c r="E1802" s="248">
        <v>1547.3108999999999</v>
      </c>
      <c r="F1802" s="248">
        <v>1576.4317000000001</v>
      </c>
      <c r="G1802" s="248">
        <v>1599.9481000000001</v>
      </c>
      <c r="H1802" s="248">
        <v>1641.7961</v>
      </c>
      <c r="I1802"/>
      <c r="J1802"/>
      <c r="K1802"/>
      <c r="L1802"/>
      <c r="M1802"/>
    </row>
    <row r="1803" spans="3:13" hidden="1" outlineLevel="1" x14ac:dyDescent="0.2">
      <c r="C1803" s="139">
        <v>1577</v>
      </c>
      <c r="D1803" s="248">
        <v>1492.9595999999999</v>
      </c>
      <c r="E1803" s="248">
        <v>1548.3407999999999</v>
      </c>
      <c r="F1803" s="248">
        <v>1577.4319</v>
      </c>
      <c r="G1803" s="248">
        <v>1600.9897000000001</v>
      </c>
      <c r="H1803" s="248">
        <v>1642.8379</v>
      </c>
      <c r="I1803"/>
      <c r="J1803"/>
      <c r="K1803"/>
      <c r="L1803"/>
      <c r="M1803"/>
    </row>
    <row r="1804" spans="3:13" hidden="1" outlineLevel="1" x14ac:dyDescent="0.2">
      <c r="C1804" s="139">
        <v>1578</v>
      </c>
      <c r="D1804" s="248">
        <v>1493.9304</v>
      </c>
      <c r="E1804" s="248">
        <v>1549.3226999999999</v>
      </c>
      <c r="F1804" s="248">
        <v>1578.4586999999999</v>
      </c>
      <c r="G1804" s="248">
        <v>1602.0048999999999</v>
      </c>
      <c r="H1804" s="248">
        <v>1643.8796</v>
      </c>
      <c r="I1804"/>
      <c r="J1804"/>
      <c r="K1804"/>
      <c r="L1804"/>
      <c r="M1804"/>
    </row>
    <row r="1805" spans="3:13" hidden="1" outlineLevel="1" x14ac:dyDescent="0.2">
      <c r="C1805" s="139">
        <v>1579</v>
      </c>
      <c r="D1805" s="248">
        <v>1494.9253000000001</v>
      </c>
      <c r="E1805" s="248">
        <v>1550.3045</v>
      </c>
      <c r="F1805" s="248">
        <v>1579.4855</v>
      </c>
      <c r="G1805" s="248">
        <v>1603.0465999999999</v>
      </c>
      <c r="H1805" s="248">
        <v>1644.9478999999999</v>
      </c>
      <c r="I1805"/>
      <c r="J1805"/>
      <c r="K1805"/>
      <c r="L1805"/>
      <c r="M1805"/>
    </row>
    <row r="1806" spans="3:13" hidden="1" outlineLevel="1" x14ac:dyDescent="0.2">
      <c r="C1806" s="139">
        <v>1580</v>
      </c>
      <c r="D1806" s="248">
        <v>1495.8960999999999</v>
      </c>
      <c r="E1806" s="248">
        <v>1551.3344999999999</v>
      </c>
      <c r="F1806" s="248">
        <v>1580.4857999999999</v>
      </c>
      <c r="G1806" s="248">
        <v>1604.0618999999999</v>
      </c>
      <c r="H1806" s="248">
        <v>1645.9896000000001</v>
      </c>
      <c r="I1806"/>
      <c r="J1806"/>
      <c r="K1806"/>
      <c r="L1806"/>
      <c r="M1806"/>
    </row>
    <row r="1807" spans="3:13" hidden="1" outlineLevel="1" x14ac:dyDescent="0.2">
      <c r="C1807" s="139">
        <v>1581</v>
      </c>
      <c r="D1807" s="248">
        <v>1496.867</v>
      </c>
      <c r="E1807" s="248">
        <v>1552.3163999999999</v>
      </c>
      <c r="F1807" s="248">
        <v>1581.5126</v>
      </c>
      <c r="G1807" s="248">
        <v>1605.1035999999999</v>
      </c>
      <c r="H1807" s="248">
        <v>1647.0314000000001</v>
      </c>
      <c r="I1807"/>
      <c r="J1807"/>
      <c r="K1807"/>
      <c r="L1807"/>
      <c r="M1807"/>
    </row>
    <row r="1808" spans="3:13" hidden="1" outlineLevel="1" x14ac:dyDescent="0.2">
      <c r="C1808" s="139">
        <v>1582</v>
      </c>
      <c r="D1808" s="248">
        <v>1497.8621000000001</v>
      </c>
      <c r="E1808" s="248">
        <v>1553.3465000000001</v>
      </c>
      <c r="F1808" s="248">
        <v>1582.5129999999999</v>
      </c>
      <c r="G1808" s="248">
        <v>1606.1188999999999</v>
      </c>
      <c r="H1808" s="248">
        <v>1648.0997</v>
      </c>
      <c r="I1808"/>
      <c r="J1808"/>
      <c r="K1808"/>
      <c r="L1808"/>
      <c r="M1808"/>
    </row>
    <row r="1809" spans="3:13" hidden="1" outlineLevel="1" x14ac:dyDescent="0.2">
      <c r="C1809" s="139">
        <v>1583</v>
      </c>
      <c r="D1809" s="248">
        <v>1498.8331000000001</v>
      </c>
      <c r="E1809" s="248">
        <v>1554.3284000000001</v>
      </c>
      <c r="F1809" s="248">
        <v>1583.5399</v>
      </c>
      <c r="G1809" s="248">
        <v>1607.1606999999999</v>
      </c>
      <c r="H1809" s="248">
        <v>1649.1415</v>
      </c>
      <c r="I1809"/>
      <c r="J1809"/>
      <c r="K1809"/>
      <c r="L1809"/>
      <c r="M1809"/>
    </row>
    <row r="1810" spans="3:13" hidden="1" outlineLevel="1" x14ac:dyDescent="0.2">
      <c r="C1810" s="139">
        <v>1584</v>
      </c>
      <c r="D1810" s="248">
        <v>1499.8041000000001</v>
      </c>
      <c r="E1810" s="248">
        <v>1555.3103000000001</v>
      </c>
      <c r="F1810" s="248">
        <v>1584.5668000000001</v>
      </c>
      <c r="G1810" s="248">
        <v>1608.1759999999999</v>
      </c>
      <c r="H1810" s="248">
        <v>1650.1832999999999</v>
      </c>
      <c r="I1810"/>
      <c r="J1810"/>
      <c r="K1810"/>
      <c r="L1810"/>
      <c r="M1810"/>
    </row>
    <row r="1811" spans="3:13" hidden="1" outlineLevel="1" x14ac:dyDescent="0.2">
      <c r="C1811" s="139">
        <v>1585</v>
      </c>
      <c r="D1811" s="248">
        <v>1500.7992999999999</v>
      </c>
      <c r="E1811" s="248">
        <v>1556.3406</v>
      </c>
      <c r="F1811" s="248">
        <v>1585.5671</v>
      </c>
      <c r="G1811" s="248">
        <v>1609.2177999999999</v>
      </c>
      <c r="H1811" s="248">
        <v>1651.2517</v>
      </c>
      <c r="I1811"/>
      <c r="J1811"/>
      <c r="K1811"/>
      <c r="L1811"/>
      <c r="M1811"/>
    </row>
    <row r="1812" spans="3:13" hidden="1" outlineLevel="1" x14ac:dyDescent="0.2">
      <c r="C1812" s="139">
        <v>1586</v>
      </c>
      <c r="D1812" s="248">
        <v>1501.7704000000001</v>
      </c>
      <c r="E1812" s="248">
        <v>1557.3225</v>
      </c>
      <c r="F1812" s="248">
        <v>1586.5941</v>
      </c>
      <c r="G1812" s="248">
        <v>1610.2330999999999</v>
      </c>
      <c r="H1812" s="248">
        <v>1652.2935</v>
      </c>
      <c r="I1812"/>
      <c r="J1812"/>
      <c r="K1812"/>
      <c r="L1812"/>
      <c r="M1812"/>
    </row>
    <row r="1813" spans="3:13" hidden="1" outlineLevel="1" x14ac:dyDescent="0.2">
      <c r="C1813" s="139">
        <v>1587</v>
      </c>
      <c r="D1813" s="248">
        <v>1502.7415000000001</v>
      </c>
      <c r="E1813" s="248">
        <v>1558.3527999999999</v>
      </c>
      <c r="F1813" s="248">
        <v>1587.5944999999999</v>
      </c>
      <c r="G1813" s="248">
        <v>1611.2750000000001</v>
      </c>
      <c r="H1813" s="248">
        <v>1653.3619000000001</v>
      </c>
      <c r="I1813"/>
      <c r="J1813"/>
      <c r="K1813"/>
      <c r="L1813"/>
      <c r="M1813"/>
    </row>
    <row r="1814" spans="3:13" hidden="1" outlineLevel="1" x14ac:dyDescent="0.2">
      <c r="C1814" s="139">
        <v>1588</v>
      </c>
      <c r="D1814" s="248">
        <v>1503.7126000000001</v>
      </c>
      <c r="E1814" s="248">
        <v>1559.3348000000001</v>
      </c>
      <c r="F1814" s="248">
        <v>1588.6215</v>
      </c>
      <c r="G1814" s="248">
        <v>1612.2902999999999</v>
      </c>
      <c r="H1814" s="248">
        <v>1654.4037000000001</v>
      </c>
      <c r="I1814"/>
      <c r="J1814"/>
      <c r="K1814"/>
      <c r="L1814"/>
      <c r="M1814"/>
    </row>
    <row r="1815" spans="3:13" hidden="1" outlineLevel="1" x14ac:dyDescent="0.2">
      <c r="C1815" s="139">
        <v>1589</v>
      </c>
      <c r="D1815" s="248">
        <v>1504.7080000000001</v>
      </c>
      <c r="E1815" s="248">
        <v>1560.3167000000001</v>
      </c>
      <c r="F1815" s="248">
        <v>1589.6486</v>
      </c>
      <c r="G1815" s="248">
        <v>1613.3323</v>
      </c>
      <c r="H1815" s="248">
        <v>1655.4455</v>
      </c>
      <c r="I1815"/>
      <c r="J1815"/>
      <c r="K1815"/>
      <c r="L1815"/>
      <c r="M1815"/>
    </row>
    <row r="1816" spans="3:13" hidden="1" outlineLevel="1" x14ac:dyDescent="0.2">
      <c r="C1816" s="139">
        <v>1590</v>
      </c>
      <c r="D1816" s="248">
        <v>1505.6792</v>
      </c>
      <c r="E1816" s="248">
        <v>1561.3471999999999</v>
      </c>
      <c r="F1816" s="248">
        <v>1590.6489999999999</v>
      </c>
      <c r="G1816" s="248">
        <v>1614.3476000000001</v>
      </c>
      <c r="H1816" s="248">
        <v>1656.5139999999999</v>
      </c>
      <c r="I1816"/>
      <c r="J1816"/>
      <c r="K1816"/>
      <c r="L1816"/>
      <c r="M1816"/>
    </row>
    <row r="1817" spans="3:13" hidden="1" outlineLevel="1" x14ac:dyDescent="0.2">
      <c r="C1817" s="139">
        <v>1591</v>
      </c>
      <c r="D1817" s="248">
        <v>1506.6505</v>
      </c>
      <c r="E1817" s="248">
        <v>1562.3291999999999</v>
      </c>
      <c r="F1817" s="248">
        <v>1591.6760999999999</v>
      </c>
      <c r="G1817" s="248">
        <v>1615.3896</v>
      </c>
      <c r="H1817" s="248">
        <v>1657.5559000000001</v>
      </c>
      <c r="I1817"/>
      <c r="J1817"/>
      <c r="K1817"/>
      <c r="L1817"/>
      <c r="M1817"/>
    </row>
    <row r="1818" spans="3:13" hidden="1" outlineLevel="1" x14ac:dyDescent="0.2">
      <c r="C1818" s="139">
        <v>1592</v>
      </c>
      <c r="D1818" s="248">
        <v>1507.6460999999999</v>
      </c>
      <c r="E1818" s="248">
        <v>1563.3597</v>
      </c>
      <c r="F1818" s="248">
        <v>1592.6765</v>
      </c>
      <c r="G1818" s="248">
        <v>1616.4049</v>
      </c>
      <c r="H1818" s="248">
        <v>1658.5977</v>
      </c>
      <c r="I1818"/>
      <c r="J1818"/>
      <c r="K1818"/>
      <c r="L1818"/>
      <c r="M1818"/>
    </row>
    <row r="1819" spans="3:13" hidden="1" outlineLevel="1" x14ac:dyDescent="0.2">
      <c r="C1819" s="139">
        <v>1593</v>
      </c>
      <c r="D1819" s="248">
        <v>1508.6174000000001</v>
      </c>
      <c r="E1819" s="248">
        <v>1564.3417999999999</v>
      </c>
      <c r="F1819" s="248">
        <v>1593.7037</v>
      </c>
      <c r="G1819" s="248">
        <v>1617.4469999999999</v>
      </c>
      <c r="H1819" s="248">
        <v>1659.6663000000001</v>
      </c>
      <c r="I1819"/>
      <c r="J1819"/>
      <c r="K1819"/>
      <c r="L1819"/>
      <c r="M1819"/>
    </row>
    <row r="1820" spans="3:13" hidden="1" outlineLevel="1" x14ac:dyDescent="0.2">
      <c r="C1820" s="139">
        <v>1594</v>
      </c>
      <c r="D1820" s="248">
        <v>1509.5887</v>
      </c>
      <c r="E1820" s="248">
        <v>1565.3724</v>
      </c>
      <c r="F1820" s="248">
        <v>1594.7040999999999</v>
      </c>
      <c r="G1820" s="248">
        <v>1618.4623999999999</v>
      </c>
      <c r="H1820" s="248">
        <v>1660.7081000000001</v>
      </c>
      <c r="I1820"/>
      <c r="J1820"/>
      <c r="K1820"/>
      <c r="L1820"/>
      <c r="M1820"/>
    </row>
    <row r="1821" spans="3:13" hidden="1" outlineLevel="1" x14ac:dyDescent="0.2">
      <c r="C1821" s="139">
        <v>1595</v>
      </c>
      <c r="D1821" s="248">
        <v>1510.5844</v>
      </c>
      <c r="E1821" s="248">
        <v>1566.3543999999999</v>
      </c>
      <c r="F1821" s="248">
        <v>1595.7312999999999</v>
      </c>
      <c r="G1821" s="248">
        <v>1619.5045</v>
      </c>
      <c r="H1821" s="248">
        <v>1661.75</v>
      </c>
      <c r="I1821"/>
      <c r="J1821"/>
      <c r="K1821"/>
      <c r="L1821"/>
      <c r="M1821"/>
    </row>
    <row r="1822" spans="3:13" hidden="1" outlineLevel="1" x14ac:dyDescent="0.2">
      <c r="C1822" s="139">
        <v>1596</v>
      </c>
      <c r="D1822" s="248">
        <v>1511.5559000000001</v>
      </c>
      <c r="E1822" s="248">
        <v>1567.3364999999999</v>
      </c>
      <c r="F1822" s="248">
        <v>1596.7585999999999</v>
      </c>
      <c r="G1822" s="248">
        <v>1620.5198</v>
      </c>
      <c r="H1822" s="248">
        <v>1662.8186000000001</v>
      </c>
      <c r="I1822"/>
      <c r="J1822"/>
      <c r="K1822"/>
      <c r="L1822"/>
      <c r="M1822"/>
    </row>
    <row r="1823" spans="3:13" hidden="1" outlineLevel="1" x14ac:dyDescent="0.2">
      <c r="C1823" s="139">
        <v>1597</v>
      </c>
      <c r="D1823" s="248">
        <v>1512.5273</v>
      </c>
      <c r="E1823" s="248">
        <v>1568.3672999999999</v>
      </c>
      <c r="F1823" s="248">
        <v>1597.7591</v>
      </c>
      <c r="G1823" s="248">
        <v>1621.5619999999999</v>
      </c>
      <c r="H1823" s="248">
        <v>1663.8605</v>
      </c>
      <c r="I1823"/>
      <c r="J1823"/>
      <c r="K1823"/>
      <c r="L1823"/>
      <c r="M1823"/>
    </row>
    <row r="1824" spans="3:13" hidden="1" outlineLevel="1" x14ac:dyDescent="0.2">
      <c r="C1824" s="139">
        <v>1598</v>
      </c>
      <c r="D1824" s="248">
        <v>1513.4988000000001</v>
      </c>
      <c r="E1824" s="248">
        <v>1569.3493000000001</v>
      </c>
      <c r="F1824" s="248">
        <v>1598.7864</v>
      </c>
      <c r="G1824" s="248">
        <v>1622.5773999999999</v>
      </c>
      <c r="H1824" s="248">
        <v>1664.9292</v>
      </c>
      <c r="I1824"/>
      <c r="J1824"/>
      <c r="K1824"/>
      <c r="L1824"/>
      <c r="M1824"/>
    </row>
    <row r="1825" spans="3:13" hidden="1" outlineLevel="1" x14ac:dyDescent="0.2">
      <c r="C1825" s="139">
        <v>1599</v>
      </c>
      <c r="D1825" s="248">
        <v>1514.4947</v>
      </c>
      <c r="E1825" s="248">
        <v>1570.3802000000001</v>
      </c>
      <c r="F1825" s="248">
        <v>1599.7869000000001</v>
      </c>
      <c r="G1825" s="248">
        <v>1623.6196</v>
      </c>
      <c r="H1825" s="248">
        <v>1665.9711</v>
      </c>
      <c r="I1825"/>
      <c r="J1825"/>
      <c r="K1825"/>
      <c r="L1825"/>
      <c r="M1825"/>
    </row>
    <row r="1826" spans="3:13" hidden="1" outlineLevel="1" x14ac:dyDescent="0.2">
      <c r="C1826" s="139">
        <v>1600</v>
      </c>
      <c r="D1826" s="248">
        <v>1515.4663</v>
      </c>
      <c r="E1826" s="248">
        <v>1571.3623</v>
      </c>
      <c r="F1826" s="248">
        <v>1600.8142</v>
      </c>
      <c r="G1826" s="248">
        <v>1624.635</v>
      </c>
      <c r="H1826" s="248">
        <v>1667.0128999999999</v>
      </c>
      <c r="I1826"/>
      <c r="J1826"/>
      <c r="K1826"/>
      <c r="L1826"/>
      <c r="M1826"/>
    </row>
    <row r="1827" spans="3:13" hidden="1" outlineLevel="1" x14ac:dyDescent="0.2">
      <c r="C1827" s="139">
        <v>1601</v>
      </c>
      <c r="D1827" s="248">
        <v>1516.4378999999999</v>
      </c>
      <c r="E1827" s="248">
        <v>1572.3444</v>
      </c>
      <c r="F1827" s="248">
        <v>1601.8416</v>
      </c>
      <c r="G1827" s="248">
        <v>1625.6773000000001</v>
      </c>
      <c r="H1827" s="248">
        <v>1668.0817</v>
      </c>
      <c r="I1827"/>
      <c r="J1827"/>
      <c r="K1827"/>
      <c r="L1827"/>
      <c r="M1827"/>
    </row>
    <row r="1828" spans="3:13" hidden="1" outlineLevel="1" x14ac:dyDescent="0.2">
      <c r="C1828" s="139">
        <v>1602</v>
      </c>
      <c r="D1828" s="248">
        <v>1517.4462000000001</v>
      </c>
      <c r="E1828" s="248">
        <v>1573.3753999999999</v>
      </c>
      <c r="F1828" s="248">
        <v>1602.8421000000001</v>
      </c>
      <c r="G1828" s="248">
        <v>1626.6927000000001</v>
      </c>
      <c r="H1828" s="248">
        <v>1669.1369999999999</v>
      </c>
      <c r="I1828"/>
      <c r="J1828"/>
      <c r="K1828"/>
      <c r="L1828"/>
      <c r="M1828"/>
    </row>
    <row r="1829" spans="3:13" hidden="1" outlineLevel="1" x14ac:dyDescent="0.2">
      <c r="C1829" s="139">
        <v>1603</v>
      </c>
      <c r="D1829" s="248">
        <v>1518.3933999999999</v>
      </c>
      <c r="E1829" s="248">
        <v>1574.3575000000001</v>
      </c>
      <c r="F1829" s="248">
        <v>1603.8695</v>
      </c>
      <c r="G1829" s="248">
        <v>1627.7349999999999</v>
      </c>
      <c r="H1829" s="248">
        <v>1670.1789000000001</v>
      </c>
      <c r="I1829"/>
      <c r="J1829"/>
      <c r="K1829"/>
      <c r="L1829"/>
      <c r="M1829"/>
    </row>
    <row r="1830" spans="3:13" hidden="1" outlineLevel="1" x14ac:dyDescent="0.2">
      <c r="C1830" s="139">
        <v>1604</v>
      </c>
      <c r="D1830" s="248">
        <v>1519.3896</v>
      </c>
      <c r="E1830" s="248">
        <v>1575.3886</v>
      </c>
      <c r="F1830" s="248">
        <v>1604.8701000000001</v>
      </c>
      <c r="G1830" s="248">
        <v>1628.7503999999999</v>
      </c>
      <c r="H1830" s="248">
        <v>1671.2209</v>
      </c>
      <c r="I1830"/>
      <c r="J1830"/>
      <c r="K1830"/>
      <c r="L1830"/>
      <c r="M1830"/>
    </row>
    <row r="1831" spans="3:13" hidden="1" outlineLevel="1" x14ac:dyDescent="0.2">
      <c r="C1831" s="139">
        <v>1605</v>
      </c>
      <c r="D1831" s="248">
        <v>1520.3368</v>
      </c>
      <c r="E1831" s="248">
        <v>1576.3707999999999</v>
      </c>
      <c r="F1831" s="248">
        <v>1605.8976</v>
      </c>
      <c r="G1831" s="248">
        <v>1629.7659000000001</v>
      </c>
      <c r="H1831" s="248">
        <v>1672.2628</v>
      </c>
      <c r="I1831"/>
      <c r="J1831"/>
      <c r="K1831"/>
      <c r="L1831"/>
      <c r="M1831"/>
    </row>
    <row r="1832" spans="3:13" hidden="1" outlineLevel="1" x14ac:dyDescent="0.2">
      <c r="C1832" s="139">
        <v>1606</v>
      </c>
      <c r="D1832" s="248">
        <v>1521.3331000000001</v>
      </c>
      <c r="E1832" s="248">
        <v>1577.3529000000001</v>
      </c>
      <c r="F1832" s="248">
        <v>1606.8981000000001</v>
      </c>
      <c r="G1832" s="248">
        <v>1630.8082999999999</v>
      </c>
      <c r="H1832" s="248">
        <v>1673.3046999999999</v>
      </c>
      <c r="I1832"/>
      <c r="J1832"/>
      <c r="K1832"/>
      <c r="L1832"/>
      <c r="M1832"/>
    </row>
    <row r="1833" spans="3:13" hidden="1" outlineLevel="1" x14ac:dyDescent="0.2">
      <c r="C1833" s="139">
        <v>1607</v>
      </c>
      <c r="D1833" s="248">
        <v>1522.3294000000001</v>
      </c>
      <c r="E1833" s="248">
        <v>1578.3841</v>
      </c>
      <c r="F1833" s="248">
        <v>1607.9257</v>
      </c>
      <c r="G1833" s="248">
        <v>1631.8236999999999</v>
      </c>
      <c r="H1833" s="248">
        <v>1674.4005</v>
      </c>
      <c r="I1833"/>
      <c r="J1833"/>
      <c r="K1833"/>
      <c r="L1833"/>
      <c r="M1833"/>
    </row>
    <row r="1834" spans="3:13" hidden="1" outlineLevel="1" x14ac:dyDescent="0.2">
      <c r="C1834" s="139">
        <v>1608</v>
      </c>
      <c r="D1834" s="248">
        <v>1523.2766999999999</v>
      </c>
      <c r="E1834" s="248">
        <v>1579.3662999999999</v>
      </c>
      <c r="F1834" s="248">
        <v>1608.9531999999999</v>
      </c>
      <c r="G1834" s="248">
        <v>1632.8661</v>
      </c>
      <c r="H1834" s="248">
        <v>1675.4425000000001</v>
      </c>
      <c r="I1834"/>
      <c r="J1834"/>
      <c r="K1834"/>
      <c r="L1834"/>
      <c r="M1834"/>
    </row>
    <row r="1835" spans="3:13" hidden="1" outlineLevel="1" x14ac:dyDescent="0.2">
      <c r="C1835" s="139">
        <v>1609</v>
      </c>
      <c r="D1835" s="248">
        <v>1524.2731000000001</v>
      </c>
      <c r="E1835" s="248">
        <v>1580.3976</v>
      </c>
      <c r="F1835" s="248">
        <v>1609.9538</v>
      </c>
      <c r="G1835" s="248">
        <v>1633.8815999999999</v>
      </c>
      <c r="H1835" s="248">
        <v>1676.4844000000001</v>
      </c>
      <c r="I1835"/>
      <c r="J1835"/>
      <c r="K1835"/>
      <c r="L1835"/>
      <c r="M1835"/>
    </row>
    <row r="1836" spans="3:13" hidden="1" outlineLevel="1" x14ac:dyDescent="0.2">
      <c r="C1836" s="139">
        <v>1610</v>
      </c>
      <c r="D1836" s="248">
        <v>1525.2696000000001</v>
      </c>
      <c r="E1836" s="248">
        <v>1581.3798999999999</v>
      </c>
      <c r="F1836" s="248">
        <v>1610.9813999999999</v>
      </c>
      <c r="G1836" s="248">
        <v>1634.9241</v>
      </c>
      <c r="H1836" s="248">
        <v>1677.5264</v>
      </c>
      <c r="I1836"/>
      <c r="J1836"/>
      <c r="K1836"/>
      <c r="L1836"/>
      <c r="M1836"/>
    </row>
    <row r="1837" spans="3:13" hidden="1" outlineLevel="1" x14ac:dyDescent="0.2">
      <c r="C1837" s="139">
        <v>1611</v>
      </c>
      <c r="D1837" s="248">
        <v>1526.2170000000001</v>
      </c>
      <c r="E1837" s="248">
        <v>1582.3621000000001</v>
      </c>
      <c r="F1837" s="248">
        <v>1611.982</v>
      </c>
      <c r="G1837" s="248">
        <v>1635.9395999999999</v>
      </c>
      <c r="H1837" s="248">
        <v>1678.5682999999999</v>
      </c>
      <c r="I1837"/>
      <c r="J1837"/>
      <c r="K1837"/>
      <c r="L1837"/>
      <c r="M1837"/>
    </row>
    <row r="1838" spans="3:13" hidden="1" outlineLevel="1" x14ac:dyDescent="0.2">
      <c r="C1838" s="139">
        <v>1612</v>
      </c>
      <c r="D1838" s="248">
        <v>1527.2136</v>
      </c>
      <c r="E1838" s="248">
        <v>1583.3934999999999</v>
      </c>
      <c r="F1838" s="248">
        <v>1613.0097000000001</v>
      </c>
      <c r="G1838" s="248">
        <v>1636.9820999999999</v>
      </c>
      <c r="H1838" s="248">
        <v>1679.6642999999999</v>
      </c>
      <c r="I1838"/>
      <c r="J1838"/>
      <c r="K1838"/>
      <c r="L1838"/>
      <c r="M1838"/>
    </row>
    <row r="1839" spans="3:13" hidden="1" outlineLevel="1" x14ac:dyDescent="0.2">
      <c r="C1839" s="139">
        <v>1613</v>
      </c>
      <c r="D1839" s="248">
        <v>1528.2102</v>
      </c>
      <c r="E1839" s="248">
        <v>1584.3757000000001</v>
      </c>
      <c r="F1839" s="248">
        <v>1614.0102999999999</v>
      </c>
      <c r="G1839" s="248">
        <v>1637.9975999999999</v>
      </c>
      <c r="H1839" s="248">
        <v>1680.7063000000001</v>
      </c>
      <c r="I1839"/>
      <c r="J1839"/>
      <c r="K1839"/>
      <c r="L1839"/>
      <c r="M1839"/>
    </row>
    <row r="1840" spans="3:13" hidden="1" outlineLevel="1" x14ac:dyDescent="0.2">
      <c r="C1840" s="139">
        <v>1614</v>
      </c>
      <c r="D1840" s="248">
        <v>1529.1576</v>
      </c>
      <c r="E1840" s="248">
        <v>1585.4073000000001</v>
      </c>
      <c r="F1840" s="248">
        <v>1615.0381</v>
      </c>
      <c r="G1840" s="248">
        <v>1639.0401999999999</v>
      </c>
      <c r="H1840" s="248">
        <v>1681.7483</v>
      </c>
      <c r="I1840"/>
      <c r="J1840"/>
      <c r="K1840"/>
      <c r="L1840"/>
      <c r="M1840"/>
    </row>
    <row r="1841" spans="3:13" hidden="1" outlineLevel="1" x14ac:dyDescent="0.2">
      <c r="C1841" s="139">
        <v>1615</v>
      </c>
      <c r="D1841" s="248">
        <v>1530.1542999999999</v>
      </c>
      <c r="E1841" s="248">
        <v>1586.3895</v>
      </c>
      <c r="F1841" s="248">
        <v>1616.0658000000001</v>
      </c>
      <c r="G1841" s="248">
        <v>1640.0556999999999</v>
      </c>
      <c r="H1841" s="248">
        <v>1682.7902999999999</v>
      </c>
      <c r="I1841"/>
      <c r="J1841"/>
      <c r="K1841"/>
      <c r="L1841"/>
      <c r="M1841"/>
    </row>
    <row r="1842" spans="3:13" hidden="1" outlineLevel="1" x14ac:dyDescent="0.2">
      <c r="C1842" s="139">
        <v>1616</v>
      </c>
      <c r="D1842" s="248">
        <v>1531.1017999999999</v>
      </c>
      <c r="E1842" s="248">
        <v>1587.3717999999999</v>
      </c>
      <c r="F1842" s="248">
        <v>1617.0664999999999</v>
      </c>
      <c r="G1842" s="248">
        <v>1641.0984000000001</v>
      </c>
      <c r="H1842" s="248">
        <v>1683.8323</v>
      </c>
      <c r="I1842"/>
      <c r="J1842"/>
      <c r="K1842"/>
      <c r="L1842"/>
      <c r="M1842"/>
    </row>
    <row r="1843" spans="3:13" hidden="1" outlineLevel="1" x14ac:dyDescent="0.2">
      <c r="C1843" s="139">
        <v>1617</v>
      </c>
      <c r="D1843" s="248">
        <v>1532.0986</v>
      </c>
      <c r="E1843" s="248">
        <v>1588.4034999999999</v>
      </c>
      <c r="F1843" s="248">
        <v>1618.0943</v>
      </c>
      <c r="G1843" s="248">
        <v>1642.1139000000001</v>
      </c>
      <c r="H1843" s="248">
        <v>1684.8742</v>
      </c>
      <c r="I1843"/>
      <c r="J1843"/>
      <c r="K1843"/>
      <c r="L1843"/>
      <c r="M1843"/>
    </row>
    <row r="1844" spans="3:13" hidden="1" outlineLevel="1" x14ac:dyDescent="0.2">
      <c r="C1844" s="139">
        <v>1618</v>
      </c>
      <c r="D1844" s="248">
        <v>1533.0954999999999</v>
      </c>
      <c r="E1844" s="248">
        <v>1589.3858</v>
      </c>
      <c r="F1844" s="248">
        <v>1619.0949000000001</v>
      </c>
      <c r="G1844" s="248">
        <v>1643.1566</v>
      </c>
      <c r="H1844" s="248">
        <v>1685.9704999999999</v>
      </c>
      <c r="I1844"/>
      <c r="J1844"/>
      <c r="K1844"/>
      <c r="L1844"/>
      <c r="M1844"/>
    </row>
    <row r="1845" spans="3:13" hidden="1" outlineLevel="1" x14ac:dyDescent="0.2">
      <c r="C1845" s="139">
        <v>1619</v>
      </c>
      <c r="D1845" s="248">
        <v>1534.0429999999999</v>
      </c>
      <c r="E1845" s="248">
        <v>1590.4175</v>
      </c>
      <c r="F1845" s="248">
        <v>1620.1228000000001</v>
      </c>
      <c r="G1845" s="248">
        <v>1644.1721</v>
      </c>
      <c r="H1845" s="248">
        <v>1687.0125</v>
      </c>
      <c r="I1845"/>
      <c r="J1845"/>
      <c r="K1845"/>
      <c r="L1845"/>
      <c r="M1845"/>
    </row>
    <row r="1846" spans="3:13" hidden="1" outlineLevel="1" x14ac:dyDescent="0.2">
      <c r="C1846" s="139">
        <v>1620</v>
      </c>
      <c r="D1846" s="248">
        <v>1535.04</v>
      </c>
      <c r="E1846" s="248">
        <v>1591.3997999999999</v>
      </c>
      <c r="F1846" s="248">
        <v>1621.1234999999999</v>
      </c>
      <c r="G1846" s="248">
        <v>1645.2148999999999</v>
      </c>
      <c r="H1846" s="248">
        <v>1688.0545</v>
      </c>
      <c r="I1846"/>
      <c r="J1846"/>
      <c r="K1846"/>
      <c r="L1846"/>
      <c r="M1846"/>
    </row>
    <row r="1847" spans="3:13" hidden="1" outlineLevel="1" x14ac:dyDescent="0.2">
      <c r="C1847" s="139">
        <v>1621</v>
      </c>
      <c r="D1847" s="248">
        <v>1536.037</v>
      </c>
      <c r="E1847" s="248">
        <v>1592.3822</v>
      </c>
      <c r="F1847" s="248">
        <v>1622.1514</v>
      </c>
      <c r="G1847" s="248">
        <v>1646.2303999999999</v>
      </c>
      <c r="H1847" s="248">
        <v>1689.0965000000001</v>
      </c>
      <c r="I1847"/>
      <c r="J1847"/>
      <c r="K1847"/>
      <c r="L1847"/>
      <c r="M1847"/>
    </row>
    <row r="1848" spans="3:13" hidden="1" outlineLevel="1" x14ac:dyDescent="0.2">
      <c r="C1848" s="139">
        <v>1622</v>
      </c>
      <c r="D1848" s="248">
        <v>1536.9846</v>
      </c>
      <c r="E1848" s="248">
        <v>1593.414</v>
      </c>
      <c r="F1848" s="248">
        <v>1623.1793</v>
      </c>
      <c r="G1848" s="248">
        <v>1647.2732000000001</v>
      </c>
      <c r="H1848" s="248">
        <v>1690.1386</v>
      </c>
      <c r="I1848"/>
      <c r="J1848"/>
      <c r="K1848"/>
      <c r="L1848"/>
      <c r="M1848"/>
    </row>
    <row r="1849" spans="3:13" hidden="1" outlineLevel="1" x14ac:dyDescent="0.2">
      <c r="C1849" s="139">
        <v>1623</v>
      </c>
      <c r="D1849" s="248">
        <v>1537.9817</v>
      </c>
      <c r="E1849" s="248">
        <v>1594.3964000000001</v>
      </c>
      <c r="F1849" s="248">
        <v>1624.1801</v>
      </c>
      <c r="G1849" s="248">
        <v>1648.2888</v>
      </c>
      <c r="H1849" s="248">
        <v>1691.1805999999999</v>
      </c>
      <c r="I1849"/>
      <c r="J1849"/>
      <c r="K1849"/>
      <c r="L1849"/>
      <c r="M1849"/>
    </row>
    <row r="1850" spans="3:13" hidden="1" outlineLevel="1" x14ac:dyDescent="0.2">
      <c r="C1850" s="139">
        <v>1624</v>
      </c>
      <c r="D1850" s="248">
        <v>1538.9789000000001</v>
      </c>
      <c r="E1850" s="248">
        <v>1595.4283</v>
      </c>
      <c r="F1850" s="248">
        <v>1625.2080000000001</v>
      </c>
      <c r="G1850" s="248">
        <v>1649.3044</v>
      </c>
      <c r="H1850" s="248">
        <v>1692.2771</v>
      </c>
      <c r="I1850"/>
      <c r="J1850"/>
      <c r="K1850"/>
      <c r="L1850"/>
      <c r="M1850"/>
    </row>
    <row r="1851" spans="3:13" hidden="1" outlineLevel="1" x14ac:dyDescent="0.2">
      <c r="C1851" s="139">
        <v>1625</v>
      </c>
      <c r="D1851" s="248">
        <v>1539.9265</v>
      </c>
      <c r="E1851" s="248">
        <v>1596.4108000000001</v>
      </c>
      <c r="F1851" s="248">
        <v>1626.2088000000001</v>
      </c>
      <c r="G1851" s="248">
        <v>1650.3471999999999</v>
      </c>
      <c r="H1851" s="248">
        <v>1693.3190999999999</v>
      </c>
      <c r="I1851"/>
      <c r="J1851"/>
      <c r="K1851"/>
      <c r="L1851"/>
      <c r="M1851"/>
    </row>
    <row r="1852" spans="3:13" hidden="1" outlineLevel="1" x14ac:dyDescent="0.2">
      <c r="C1852" s="139">
        <v>1626</v>
      </c>
      <c r="D1852" s="248">
        <v>1540.9238</v>
      </c>
      <c r="E1852" s="248">
        <v>1597.3932</v>
      </c>
      <c r="F1852" s="248">
        <v>1627.2367999999999</v>
      </c>
      <c r="G1852" s="248">
        <v>1651.3628000000001</v>
      </c>
      <c r="H1852" s="248">
        <v>1694.3612000000001</v>
      </c>
      <c r="I1852"/>
      <c r="J1852"/>
      <c r="K1852"/>
      <c r="L1852"/>
      <c r="M1852"/>
    </row>
    <row r="1853" spans="3:13" hidden="1" outlineLevel="1" x14ac:dyDescent="0.2">
      <c r="C1853" s="139">
        <v>1627</v>
      </c>
      <c r="D1853" s="248">
        <v>1541.8715</v>
      </c>
      <c r="E1853" s="248">
        <v>1598.4251999999999</v>
      </c>
      <c r="F1853" s="248">
        <v>1628.2375999999999</v>
      </c>
      <c r="G1853" s="248">
        <v>1652.4057</v>
      </c>
      <c r="H1853" s="248">
        <v>1695.4032</v>
      </c>
      <c r="I1853"/>
      <c r="J1853"/>
      <c r="K1853"/>
      <c r="L1853"/>
      <c r="M1853"/>
    </row>
    <row r="1854" spans="3:13" hidden="1" outlineLevel="1" x14ac:dyDescent="0.2">
      <c r="C1854" s="139">
        <v>1628</v>
      </c>
      <c r="D1854" s="248">
        <v>1542.8688</v>
      </c>
      <c r="E1854" s="248">
        <v>1599.4077</v>
      </c>
      <c r="F1854" s="248">
        <v>1629.2656999999999</v>
      </c>
      <c r="G1854" s="248">
        <v>1653.4213999999999</v>
      </c>
      <c r="H1854" s="248">
        <v>1696.4453000000001</v>
      </c>
      <c r="I1854"/>
      <c r="J1854"/>
      <c r="K1854"/>
      <c r="L1854"/>
      <c r="M1854"/>
    </row>
    <row r="1855" spans="3:13" hidden="1" outlineLevel="1" x14ac:dyDescent="0.2">
      <c r="C1855" s="139">
        <v>1629</v>
      </c>
      <c r="D1855" s="248">
        <v>1543.8662999999999</v>
      </c>
      <c r="E1855" s="248">
        <v>1600.4398000000001</v>
      </c>
      <c r="F1855" s="248">
        <v>1630.2664</v>
      </c>
      <c r="G1855" s="248">
        <v>1654.4643000000001</v>
      </c>
      <c r="H1855" s="248">
        <v>1697.4873</v>
      </c>
      <c r="I1855"/>
      <c r="J1855"/>
      <c r="K1855"/>
      <c r="L1855"/>
      <c r="M1855"/>
    </row>
    <row r="1856" spans="3:13" hidden="1" outlineLevel="1" x14ac:dyDescent="0.2">
      <c r="C1856" s="139">
        <v>1630</v>
      </c>
      <c r="D1856" s="248">
        <v>1544.8140000000001</v>
      </c>
      <c r="E1856" s="248">
        <v>1601.4223</v>
      </c>
      <c r="F1856" s="248">
        <v>1631.2945999999999</v>
      </c>
      <c r="G1856" s="248">
        <v>1655.4799</v>
      </c>
      <c r="H1856" s="248">
        <v>1698.5841</v>
      </c>
      <c r="I1856"/>
      <c r="J1856"/>
      <c r="K1856"/>
      <c r="L1856"/>
      <c r="M1856"/>
    </row>
    <row r="1857" spans="3:13" hidden="1" outlineLevel="1" x14ac:dyDescent="0.2">
      <c r="C1857" s="139">
        <v>1631</v>
      </c>
      <c r="D1857" s="248">
        <v>1545.8115</v>
      </c>
      <c r="E1857" s="248">
        <v>1602.4047</v>
      </c>
      <c r="F1857" s="248">
        <v>1632.3226999999999</v>
      </c>
      <c r="G1857" s="248">
        <v>1656.5228999999999</v>
      </c>
      <c r="H1857" s="248">
        <v>1699.6261</v>
      </c>
      <c r="I1857"/>
      <c r="J1857"/>
      <c r="K1857"/>
      <c r="L1857"/>
      <c r="M1857"/>
    </row>
    <row r="1858" spans="3:13" hidden="1" outlineLevel="1" x14ac:dyDescent="0.2">
      <c r="C1858" s="139">
        <v>1632</v>
      </c>
      <c r="D1858" s="248">
        <v>1546.8090999999999</v>
      </c>
      <c r="E1858" s="248">
        <v>1603.4369999999999</v>
      </c>
      <c r="F1858" s="248">
        <v>1633.3235999999999</v>
      </c>
      <c r="G1858" s="248">
        <v>1657.5386000000001</v>
      </c>
      <c r="H1858" s="248">
        <v>1700.6682000000001</v>
      </c>
      <c r="I1858"/>
      <c r="J1858"/>
      <c r="K1858"/>
      <c r="L1858"/>
      <c r="M1858"/>
    </row>
    <row r="1859" spans="3:13" hidden="1" outlineLevel="1" x14ac:dyDescent="0.2">
      <c r="C1859" s="139">
        <v>1633</v>
      </c>
      <c r="D1859" s="248">
        <v>1547.7569000000001</v>
      </c>
      <c r="E1859" s="248">
        <v>1604.4195</v>
      </c>
      <c r="F1859" s="248">
        <v>1634.3517999999999</v>
      </c>
      <c r="G1859" s="248">
        <v>1658.5817</v>
      </c>
      <c r="H1859" s="248">
        <v>1701.7103</v>
      </c>
      <c r="I1859"/>
      <c r="J1859"/>
      <c r="K1859"/>
      <c r="L1859"/>
      <c r="M1859"/>
    </row>
    <row r="1860" spans="3:13" hidden="1" outlineLevel="1" x14ac:dyDescent="0.2">
      <c r="C1860" s="139">
        <v>1634</v>
      </c>
      <c r="D1860" s="248">
        <v>1548.7545</v>
      </c>
      <c r="E1860" s="248">
        <v>1605.4519</v>
      </c>
      <c r="F1860" s="248">
        <v>1635.3525999999999</v>
      </c>
      <c r="G1860" s="248">
        <v>1659.5972999999999</v>
      </c>
      <c r="H1860" s="248">
        <v>1702.7524000000001</v>
      </c>
      <c r="I1860"/>
      <c r="J1860"/>
      <c r="K1860"/>
      <c r="L1860"/>
      <c r="M1860"/>
    </row>
    <row r="1861" spans="3:13" hidden="1" outlineLevel="1" x14ac:dyDescent="0.2">
      <c r="C1861" s="139">
        <v>1635</v>
      </c>
      <c r="D1861" s="248">
        <v>1549.7023999999999</v>
      </c>
      <c r="E1861" s="248">
        <v>1606.4344000000001</v>
      </c>
      <c r="F1861" s="248">
        <v>1636.3809000000001</v>
      </c>
      <c r="G1861" s="248">
        <v>1660.6404</v>
      </c>
      <c r="H1861" s="248">
        <v>1703.8493000000001</v>
      </c>
      <c r="I1861"/>
      <c r="J1861"/>
      <c r="K1861"/>
      <c r="L1861"/>
      <c r="M1861"/>
    </row>
    <row r="1862" spans="3:13" hidden="1" outlineLevel="1" x14ac:dyDescent="0.2">
      <c r="C1862" s="139">
        <v>1636</v>
      </c>
      <c r="D1862" s="248">
        <v>1550.7001</v>
      </c>
      <c r="E1862" s="248">
        <v>1607.4168999999999</v>
      </c>
      <c r="F1862" s="248">
        <v>1637.3816999999999</v>
      </c>
      <c r="G1862" s="248">
        <v>1661.6560999999999</v>
      </c>
      <c r="H1862" s="248">
        <v>1704.8914</v>
      </c>
      <c r="I1862"/>
      <c r="J1862"/>
      <c r="K1862"/>
      <c r="L1862"/>
      <c r="M1862"/>
    </row>
    <row r="1863" spans="3:13" hidden="1" outlineLevel="1" x14ac:dyDescent="0.2">
      <c r="C1863" s="139">
        <v>1637</v>
      </c>
      <c r="D1863" s="248">
        <v>1551.6980000000001</v>
      </c>
      <c r="E1863" s="248">
        <v>1608.4494</v>
      </c>
      <c r="F1863" s="248">
        <v>1638.41</v>
      </c>
      <c r="G1863" s="248">
        <v>1662.6993</v>
      </c>
      <c r="H1863" s="248">
        <v>1705.9335000000001</v>
      </c>
      <c r="I1863"/>
      <c r="J1863"/>
      <c r="K1863"/>
      <c r="L1863"/>
      <c r="M1863"/>
    </row>
    <row r="1864" spans="3:13" hidden="1" outlineLevel="1" x14ac:dyDescent="0.2">
      <c r="C1864" s="139">
        <v>1638</v>
      </c>
      <c r="D1864" s="248">
        <v>1552.6458</v>
      </c>
      <c r="E1864" s="248">
        <v>1609.432</v>
      </c>
      <c r="F1864" s="248">
        <v>1639.4384</v>
      </c>
      <c r="G1864" s="248">
        <v>1663.7149999999999</v>
      </c>
      <c r="H1864" s="248">
        <v>1706.9757</v>
      </c>
      <c r="I1864"/>
      <c r="J1864"/>
      <c r="K1864"/>
      <c r="L1864"/>
      <c r="M1864"/>
    </row>
    <row r="1865" spans="3:13" hidden="1" outlineLevel="1" x14ac:dyDescent="0.2">
      <c r="C1865" s="139">
        <v>1639</v>
      </c>
      <c r="D1865" s="248">
        <v>1553.6438000000001</v>
      </c>
      <c r="E1865" s="248">
        <v>1610.4646</v>
      </c>
      <c r="F1865" s="248">
        <v>1640.4393</v>
      </c>
      <c r="G1865" s="248">
        <v>1664.7307000000001</v>
      </c>
      <c r="H1865" s="248">
        <v>1708.0178000000001</v>
      </c>
      <c r="I1865"/>
      <c r="J1865"/>
      <c r="K1865"/>
      <c r="L1865"/>
      <c r="M1865"/>
    </row>
    <row r="1866" spans="3:13" hidden="1" outlineLevel="1" x14ac:dyDescent="0.2">
      <c r="C1866" s="139">
        <v>1640</v>
      </c>
      <c r="D1866" s="248">
        <v>1554.6416999999999</v>
      </c>
      <c r="E1866" s="248">
        <v>1611.4471000000001</v>
      </c>
      <c r="F1866" s="248">
        <v>1641.4676999999999</v>
      </c>
      <c r="G1866" s="248">
        <v>1665.7738999999999</v>
      </c>
      <c r="H1866" s="248">
        <v>1709.0599</v>
      </c>
      <c r="I1866"/>
      <c r="J1866"/>
      <c r="K1866"/>
      <c r="L1866"/>
      <c r="M1866"/>
    </row>
    <row r="1867" spans="3:13" hidden="1" outlineLevel="1" x14ac:dyDescent="0.2">
      <c r="C1867" s="139">
        <v>1641</v>
      </c>
      <c r="D1867" s="248">
        <v>1555.5897</v>
      </c>
      <c r="E1867" s="248">
        <v>1612.4296999999999</v>
      </c>
      <c r="F1867" s="248">
        <v>1642.4685999999999</v>
      </c>
      <c r="G1867" s="248">
        <v>1666.7896000000001</v>
      </c>
      <c r="H1867" s="248">
        <v>1710.1570999999999</v>
      </c>
      <c r="I1867"/>
      <c r="J1867"/>
      <c r="K1867"/>
      <c r="L1867"/>
      <c r="M1867"/>
    </row>
    <row r="1868" spans="3:13" hidden="1" outlineLevel="1" x14ac:dyDescent="0.2">
      <c r="C1868" s="139">
        <v>1642</v>
      </c>
      <c r="D1868" s="248">
        <v>1556.5877</v>
      </c>
      <c r="E1868" s="248">
        <v>1613.4623999999999</v>
      </c>
      <c r="F1868" s="248">
        <v>1643.4970000000001</v>
      </c>
      <c r="G1868" s="248">
        <v>1667.8329000000001</v>
      </c>
      <c r="H1868" s="248">
        <v>1711.1992</v>
      </c>
      <c r="I1868"/>
      <c r="J1868"/>
      <c r="K1868"/>
      <c r="L1868"/>
      <c r="M1868"/>
    </row>
    <row r="1869" spans="3:13" hidden="1" outlineLevel="1" x14ac:dyDescent="0.2">
      <c r="C1869" s="139">
        <v>1643</v>
      </c>
      <c r="D1869" s="248">
        <v>1557.5356999999999</v>
      </c>
      <c r="E1869" s="248">
        <v>1614.4450999999999</v>
      </c>
      <c r="F1869" s="248">
        <v>1644.4979000000001</v>
      </c>
      <c r="G1869" s="248">
        <v>1668.8486</v>
      </c>
      <c r="H1869" s="248">
        <v>1712.2414000000001</v>
      </c>
      <c r="I1869"/>
      <c r="J1869"/>
      <c r="K1869"/>
      <c r="L1869"/>
      <c r="M1869"/>
    </row>
    <row r="1870" spans="3:13" hidden="1" outlineLevel="1" x14ac:dyDescent="0.2">
      <c r="C1870" s="139">
        <v>1644</v>
      </c>
      <c r="D1870" s="248">
        <v>1558.5338999999999</v>
      </c>
      <c r="E1870" s="248">
        <v>1615.4777999999999</v>
      </c>
      <c r="F1870" s="248">
        <v>1645.5264</v>
      </c>
      <c r="G1870" s="248">
        <v>1669.9057</v>
      </c>
      <c r="H1870" s="248">
        <v>1713.2835</v>
      </c>
      <c r="I1870"/>
      <c r="J1870"/>
      <c r="K1870"/>
      <c r="L1870"/>
      <c r="M1870"/>
    </row>
    <row r="1871" spans="3:13" hidden="1" outlineLevel="1" x14ac:dyDescent="0.2">
      <c r="C1871" s="139">
        <v>1645</v>
      </c>
      <c r="D1871" s="248">
        <v>1559.5320999999999</v>
      </c>
      <c r="E1871" s="248">
        <v>1616.4604999999999</v>
      </c>
      <c r="F1871" s="248">
        <v>1646.5273999999999</v>
      </c>
      <c r="G1871" s="248">
        <v>1670.9214999999999</v>
      </c>
      <c r="H1871" s="248">
        <v>1714.3255999999999</v>
      </c>
      <c r="I1871"/>
      <c r="J1871"/>
      <c r="K1871"/>
      <c r="L1871"/>
      <c r="M1871"/>
    </row>
    <row r="1872" spans="3:13" hidden="1" outlineLevel="1" x14ac:dyDescent="0.2">
      <c r="C1872" s="139">
        <v>1646</v>
      </c>
      <c r="D1872" s="248">
        <v>1560.4801</v>
      </c>
      <c r="E1872" s="248">
        <v>1617.4431</v>
      </c>
      <c r="F1872" s="248">
        <v>1647.5559000000001</v>
      </c>
      <c r="G1872" s="248">
        <v>1671.9373000000001</v>
      </c>
      <c r="H1872" s="248">
        <v>1715.3678</v>
      </c>
      <c r="I1872"/>
      <c r="J1872"/>
      <c r="K1872"/>
      <c r="L1872"/>
      <c r="M1872"/>
    </row>
    <row r="1873" spans="3:13" hidden="1" outlineLevel="1" x14ac:dyDescent="0.2">
      <c r="C1873" s="139">
        <v>1647</v>
      </c>
      <c r="D1873" s="248">
        <v>1561.4784</v>
      </c>
      <c r="E1873" s="248">
        <v>1618.4761000000001</v>
      </c>
      <c r="F1873" s="248">
        <v>1648.5569</v>
      </c>
      <c r="G1873" s="248">
        <v>1672.953</v>
      </c>
      <c r="H1873" s="248">
        <v>1716.4652000000001</v>
      </c>
      <c r="I1873"/>
      <c r="J1873"/>
      <c r="K1873"/>
      <c r="L1873"/>
      <c r="M1873"/>
    </row>
    <row r="1874" spans="3:13" hidden="1" outlineLevel="1" x14ac:dyDescent="0.2">
      <c r="C1874" s="139">
        <v>1648</v>
      </c>
      <c r="D1874" s="248">
        <v>1562.4265</v>
      </c>
      <c r="E1874" s="248">
        <v>1619.4586999999999</v>
      </c>
      <c r="F1874" s="248">
        <v>1649.5854999999999</v>
      </c>
      <c r="G1874" s="248">
        <v>1674.0241000000001</v>
      </c>
      <c r="H1874" s="248">
        <v>1717.5074</v>
      </c>
      <c r="I1874"/>
      <c r="J1874"/>
      <c r="K1874"/>
      <c r="L1874"/>
      <c r="M1874"/>
    </row>
    <row r="1875" spans="3:13" hidden="1" outlineLevel="1" x14ac:dyDescent="0.2">
      <c r="C1875" s="139">
        <v>1649</v>
      </c>
      <c r="D1875" s="248">
        <v>1563.4249</v>
      </c>
      <c r="E1875" s="248">
        <v>1620.4413999999999</v>
      </c>
      <c r="F1875" s="248">
        <v>1650.6141</v>
      </c>
      <c r="G1875" s="248">
        <v>1675.0399</v>
      </c>
      <c r="H1875" s="248">
        <v>1718.5496000000001</v>
      </c>
      <c r="I1875"/>
      <c r="J1875"/>
      <c r="K1875"/>
      <c r="L1875"/>
      <c r="M1875"/>
    </row>
    <row r="1876" spans="3:13" hidden="1" outlineLevel="1" x14ac:dyDescent="0.2">
      <c r="C1876" s="139">
        <v>1650</v>
      </c>
      <c r="D1876" s="248">
        <v>1564.4233999999999</v>
      </c>
      <c r="E1876" s="248">
        <v>1621.4745</v>
      </c>
      <c r="F1876" s="248">
        <v>1651.6151</v>
      </c>
      <c r="G1876" s="248">
        <v>1676.0556999999999</v>
      </c>
      <c r="H1876" s="248">
        <v>1719.5917999999999</v>
      </c>
      <c r="I1876"/>
      <c r="J1876"/>
      <c r="K1876"/>
      <c r="L1876"/>
      <c r="M1876"/>
    </row>
    <row r="1877" spans="3:13" hidden="1" outlineLevel="1" x14ac:dyDescent="0.2">
      <c r="C1877" s="139">
        <v>1651</v>
      </c>
      <c r="D1877" s="248">
        <v>1565.3715</v>
      </c>
      <c r="E1877" s="248">
        <v>1622.4572000000001</v>
      </c>
      <c r="F1877" s="248">
        <v>1652.6438000000001</v>
      </c>
      <c r="G1877" s="248">
        <v>1677.0715</v>
      </c>
      <c r="H1877" s="248">
        <v>1720.6339</v>
      </c>
      <c r="I1877"/>
      <c r="J1877"/>
      <c r="K1877"/>
      <c r="L1877"/>
      <c r="M1877"/>
    </row>
    <row r="1878" spans="3:13" hidden="1" outlineLevel="1" x14ac:dyDescent="0.2">
      <c r="C1878" s="139">
        <v>1652</v>
      </c>
      <c r="D1878" s="248">
        <v>1566.3701000000001</v>
      </c>
      <c r="E1878" s="248">
        <v>1623.4902999999999</v>
      </c>
      <c r="F1878" s="248">
        <v>1653.6448</v>
      </c>
      <c r="G1878" s="248">
        <v>1678.0872999999999</v>
      </c>
      <c r="H1878" s="248">
        <v>1721.6760999999999</v>
      </c>
      <c r="I1878"/>
      <c r="J1878"/>
      <c r="K1878"/>
      <c r="L1878"/>
      <c r="M1878"/>
    </row>
    <row r="1879" spans="3:13" hidden="1" outlineLevel="1" x14ac:dyDescent="0.2">
      <c r="C1879" s="139">
        <v>1653</v>
      </c>
      <c r="D1879" s="248">
        <v>1567.3687</v>
      </c>
      <c r="E1879" s="248">
        <v>1624.473</v>
      </c>
      <c r="F1879" s="248">
        <v>1654.6735000000001</v>
      </c>
      <c r="G1879" s="248">
        <v>1679.1585</v>
      </c>
      <c r="H1879" s="248">
        <v>1722.7737999999999</v>
      </c>
      <c r="I1879"/>
      <c r="J1879"/>
      <c r="K1879"/>
      <c r="L1879"/>
      <c r="M1879"/>
    </row>
    <row r="1880" spans="3:13" hidden="1" outlineLevel="1" x14ac:dyDescent="0.2">
      <c r="C1880" s="139">
        <v>1654</v>
      </c>
      <c r="D1880" s="248">
        <v>1568.3169</v>
      </c>
      <c r="E1880" s="248">
        <v>1625.4558</v>
      </c>
      <c r="F1880" s="248">
        <v>1655.6745000000001</v>
      </c>
      <c r="G1880" s="248">
        <v>1680.1744000000001</v>
      </c>
      <c r="H1880" s="248">
        <v>1723.816</v>
      </c>
      <c r="I1880"/>
      <c r="J1880"/>
      <c r="K1880"/>
      <c r="L1880"/>
      <c r="M1880"/>
    </row>
    <row r="1881" spans="3:13" hidden="1" outlineLevel="1" x14ac:dyDescent="0.2">
      <c r="C1881" s="139">
        <v>1655</v>
      </c>
      <c r="D1881" s="248">
        <v>1569.3155999999999</v>
      </c>
      <c r="E1881" s="248">
        <v>1626.489</v>
      </c>
      <c r="F1881" s="248">
        <v>1656.7032999999999</v>
      </c>
      <c r="G1881" s="248">
        <v>1681.1902</v>
      </c>
      <c r="H1881" s="248">
        <v>1724.8581999999999</v>
      </c>
      <c r="I1881"/>
      <c r="J1881"/>
      <c r="K1881"/>
      <c r="L1881"/>
      <c r="M1881"/>
    </row>
    <row r="1882" spans="3:13" hidden="1" outlineLevel="1" x14ac:dyDescent="0.2">
      <c r="C1882" s="139">
        <v>1656</v>
      </c>
      <c r="D1882" s="248">
        <v>1570.2637999999999</v>
      </c>
      <c r="E1882" s="248">
        <v>1627.4718</v>
      </c>
      <c r="F1882" s="248">
        <v>1657.7044000000001</v>
      </c>
      <c r="G1882" s="248">
        <v>1682.2059999999999</v>
      </c>
      <c r="H1882" s="248">
        <v>1725.9004</v>
      </c>
      <c r="I1882"/>
      <c r="J1882"/>
      <c r="K1882"/>
      <c r="L1882"/>
      <c r="M1882"/>
    </row>
    <row r="1883" spans="3:13" hidden="1" outlineLevel="1" x14ac:dyDescent="0.2">
      <c r="C1883" s="139">
        <v>1657</v>
      </c>
      <c r="D1883" s="248">
        <v>1571.2626</v>
      </c>
      <c r="E1883" s="248">
        <v>1628.5051000000001</v>
      </c>
      <c r="F1883" s="248">
        <v>1658.7331999999999</v>
      </c>
      <c r="G1883" s="248">
        <v>1683.2774999999999</v>
      </c>
      <c r="H1883" s="248">
        <v>1726.9426000000001</v>
      </c>
      <c r="I1883"/>
      <c r="J1883"/>
      <c r="K1883"/>
      <c r="L1883"/>
      <c r="M1883"/>
    </row>
    <row r="1884" spans="3:13" hidden="1" outlineLevel="1" x14ac:dyDescent="0.2">
      <c r="C1884" s="139">
        <v>1658</v>
      </c>
      <c r="D1884" s="248">
        <v>1572.2614000000001</v>
      </c>
      <c r="E1884" s="248">
        <v>1629.4879000000001</v>
      </c>
      <c r="F1884" s="248">
        <v>1659.7620999999999</v>
      </c>
      <c r="G1884" s="248">
        <v>1684.2933</v>
      </c>
      <c r="H1884" s="248">
        <v>1727.9848</v>
      </c>
      <c r="I1884"/>
      <c r="J1884"/>
      <c r="K1884"/>
      <c r="L1884"/>
      <c r="M1884"/>
    </row>
    <row r="1885" spans="3:13" hidden="1" outlineLevel="1" x14ac:dyDescent="0.2">
      <c r="C1885" s="139">
        <v>1659</v>
      </c>
      <c r="D1885" s="248">
        <v>1573.2097000000001</v>
      </c>
      <c r="E1885" s="248">
        <v>1630.4707000000001</v>
      </c>
      <c r="F1885" s="248">
        <v>1660.7630999999999</v>
      </c>
      <c r="G1885" s="248">
        <v>1685.3091999999999</v>
      </c>
      <c r="H1885" s="248">
        <v>1729.0826999999999</v>
      </c>
      <c r="I1885"/>
      <c r="J1885"/>
      <c r="K1885"/>
      <c r="L1885"/>
      <c r="M1885"/>
    </row>
    <row r="1886" spans="3:13" hidden="1" outlineLevel="1" x14ac:dyDescent="0.2">
      <c r="C1886" s="139">
        <v>1660</v>
      </c>
      <c r="D1886" s="248">
        <v>1574.2086999999999</v>
      </c>
      <c r="E1886" s="248">
        <v>1631.5042000000001</v>
      </c>
      <c r="F1886" s="248">
        <v>1661.7920999999999</v>
      </c>
      <c r="G1886" s="248">
        <v>1686.325</v>
      </c>
      <c r="H1886" s="248">
        <v>1730.125</v>
      </c>
      <c r="I1886"/>
      <c r="J1886"/>
      <c r="K1886"/>
      <c r="L1886"/>
      <c r="M1886"/>
    </row>
    <row r="1887" spans="3:13" hidden="1" outlineLevel="1" x14ac:dyDescent="0.2">
      <c r="C1887" s="139">
        <v>1661</v>
      </c>
      <c r="D1887" s="248">
        <v>1575.1569999999999</v>
      </c>
      <c r="E1887" s="248">
        <v>1632.4870000000001</v>
      </c>
      <c r="F1887" s="248">
        <v>1662.7931000000001</v>
      </c>
      <c r="G1887" s="248">
        <v>1687.3408999999999</v>
      </c>
      <c r="H1887" s="248">
        <v>1731.1672000000001</v>
      </c>
      <c r="I1887"/>
      <c r="J1887"/>
      <c r="K1887"/>
      <c r="L1887"/>
      <c r="M1887"/>
    </row>
    <row r="1888" spans="3:13" hidden="1" outlineLevel="1" x14ac:dyDescent="0.2">
      <c r="C1888" s="139">
        <v>1662</v>
      </c>
      <c r="D1888" s="248">
        <v>1576.1559999999999</v>
      </c>
      <c r="E1888" s="248">
        <v>1633.4699000000001</v>
      </c>
      <c r="F1888" s="248">
        <v>1663.8221000000001</v>
      </c>
      <c r="G1888" s="248">
        <v>1688.4126000000001</v>
      </c>
      <c r="H1888" s="248">
        <v>1732.2094999999999</v>
      </c>
      <c r="I1888"/>
      <c r="J1888"/>
      <c r="K1888"/>
      <c r="L1888"/>
      <c r="M1888"/>
    </row>
    <row r="1889" spans="3:13" hidden="1" outlineLevel="1" x14ac:dyDescent="0.2">
      <c r="C1889" s="139">
        <v>1663</v>
      </c>
      <c r="D1889" s="248">
        <v>1577.1550999999999</v>
      </c>
      <c r="E1889" s="248">
        <v>1634.5035</v>
      </c>
      <c r="F1889" s="248">
        <v>1664.8232</v>
      </c>
      <c r="G1889" s="248">
        <v>1689.4284</v>
      </c>
      <c r="H1889" s="248">
        <v>1733.2517</v>
      </c>
      <c r="I1889"/>
      <c r="J1889"/>
      <c r="K1889"/>
      <c r="L1889"/>
      <c r="M1889"/>
    </row>
    <row r="1890" spans="3:13" hidden="1" outlineLevel="1" x14ac:dyDescent="0.2">
      <c r="C1890" s="139">
        <v>1664</v>
      </c>
      <c r="D1890" s="248">
        <v>1578.1034999999999</v>
      </c>
      <c r="E1890" s="248">
        <v>1635.4863</v>
      </c>
      <c r="F1890" s="248">
        <v>1665.8522</v>
      </c>
      <c r="G1890" s="248">
        <v>1690.4443000000001</v>
      </c>
      <c r="H1890" s="248">
        <v>1734.2938999999999</v>
      </c>
      <c r="I1890"/>
      <c r="J1890"/>
      <c r="K1890"/>
      <c r="L1890"/>
      <c r="M1890"/>
    </row>
    <row r="1891" spans="3:13" hidden="1" outlineLevel="1" x14ac:dyDescent="0.2">
      <c r="C1891" s="139">
        <v>1665</v>
      </c>
      <c r="D1891" s="248">
        <v>1579.1026999999999</v>
      </c>
      <c r="E1891" s="248">
        <v>1636.52</v>
      </c>
      <c r="F1891" s="248">
        <v>1666.8534</v>
      </c>
      <c r="G1891" s="248">
        <v>1691.4602</v>
      </c>
      <c r="H1891" s="248">
        <v>1735.3921</v>
      </c>
      <c r="I1891"/>
      <c r="J1891"/>
      <c r="K1891"/>
      <c r="L1891"/>
      <c r="M1891"/>
    </row>
    <row r="1892" spans="3:13" hidden="1" outlineLevel="1" x14ac:dyDescent="0.2">
      <c r="C1892" s="139">
        <v>1666</v>
      </c>
      <c r="D1892" s="248">
        <v>1580.0510999999999</v>
      </c>
      <c r="E1892" s="248">
        <v>1637.5029</v>
      </c>
      <c r="F1892" s="248">
        <v>1667.8824</v>
      </c>
      <c r="G1892" s="248">
        <v>1692.5319999999999</v>
      </c>
      <c r="H1892" s="248">
        <v>1736.4344000000001</v>
      </c>
      <c r="I1892"/>
      <c r="J1892"/>
      <c r="K1892"/>
      <c r="L1892"/>
      <c r="M1892"/>
    </row>
    <row r="1893" spans="3:13" hidden="1" outlineLevel="1" x14ac:dyDescent="0.2">
      <c r="C1893" s="139">
        <v>1667</v>
      </c>
      <c r="D1893" s="248">
        <v>1581.0504000000001</v>
      </c>
      <c r="E1893" s="248">
        <v>1638.4857999999999</v>
      </c>
      <c r="F1893" s="248">
        <v>1668.8835999999999</v>
      </c>
      <c r="G1893" s="248">
        <v>1693.548</v>
      </c>
      <c r="H1893" s="248">
        <v>1737.4766</v>
      </c>
      <c r="I1893"/>
      <c r="J1893"/>
      <c r="K1893"/>
      <c r="L1893"/>
      <c r="M1893"/>
    </row>
    <row r="1894" spans="3:13" hidden="1" outlineLevel="1" x14ac:dyDescent="0.2">
      <c r="C1894" s="139">
        <v>1668</v>
      </c>
      <c r="D1894" s="248">
        <v>1582.0497</v>
      </c>
      <c r="E1894" s="248">
        <v>1639.5196000000001</v>
      </c>
      <c r="F1894" s="248">
        <v>1669.9267</v>
      </c>
      <c r="G1894" s="248">
        <v>1694.5639000000001</v>
      </c>
      <c r="H1894" s="248">
        <v>1738.5189</v>
      </c>
      <c r="I1894"/>
      <c r="J1894"/>
      <c r="K1894"/>
      <c r="L1894"/>
      <c r="M1894"/>
    </row>
    <row r="1895" spans="3:13" hidden="1" outlineLevel="1" x14ac:dyDescent="0.2">
      <c r="C1895" s="139">
        <v>1669</v>
      </c>
      <c r="D1895" s="248">
        <v>1582.9982</v>
      </c>
      <c r="E1895" s="248">
        <v>1640.5025000000001</v>
      </c>
      <c r="F1895" s="248">
        <v>1670.9277999999999</v>
      </c>
      <c r="G1895" s="248">
        <v>1695.5798</v>
      </c>
      <c r="H1895" s="248">
        <v>1739.5612000000001</v>
      </c>
      <c r="I1895"/>
      <c r="J1895"/>
      <c r="K1895"/>
      <c r="L1895"/>
      <c r="M1895"/>
    </row>
    <row r="1896" spans="3:13" hidden="1" outlineLevel="1" x14ac:dyDescent="0.2">
      <c r="C1896" s="139">
        <v>1670</v>
      </c>
      <c r="D1896" s="248">
        <v>1583.9976999999999</v>
      </c>
      <c r="E1896" s="248">
        <v>1641.5364</v>
      </c>
      <c r="F1896" s="248">
        <v>1671.9290000000001</v>
      </c>
      <c r="G1896" s="248">
        <v>1696.5957000000001</v>
      </c>
      <c r="H1896" s="248">
        <v>1740.6034999999999</v>
      </c>
      <c r="I1896"/>
      <c r="J1896"/>
      <c r="K1896"/>
      <c r="L1896"/>
      <c r="M1896"/>
    </row>
    <row r="1897" spans="3:13" hidden="1" outlineLevel="1" x14ac:dyDescent="0.2">
      <c r="C1897" s="139">
        <v>1671</v>
      </c>
      <c r="D1897" s="248">
        <v>1584.9462000000001</v>
      </c>
      <c r="E1897" s="248">
        <v>1642.5193999999999</v>
      </c>
      <c r="F1897" s="248">
        <v>1672.9863</v>
      </c>
      <c r="G1897" s="248">
        <v>1697.6677999999999</v>
      </c>
      <c r="H1897" s="248">
        <v>1741.7018</v>
      </c>
      <c r="I1897"/>
      <c r="J1897"/>
      <c r="K1897"/>
      <c r="L1897"/>
      <c r="M1897"/>
    </row>
    <row r="1898" spans="3:13" hidden="1" outlineLevel="1" x14ac:dyDescent="0.2">
      <c r="C1898" s="139">
        <v>1672</v>
      </c>
      <c r="D1898" s="248">
        <v>1585.9457</v>
      </c>
      <c r="E1898" s="248">
        <v>1643.5023000000001</v>
      </c>
      <c r="F1898" s="248">
        <v>1673.9874</v>
      </c>
      <c r="G1898" s="248">
        <v>1698.6837</v>
      </c>
      <c r="H1898" s="248">
        <v>1742.7442000000001</v>
      </c>
      <c r="I1898"/>
      <c r="J1898"/>
      <c r="K1898"/>
      <c r="L1898"/>
      <c r="M1898"/>
    </row>
    <row r="1899" spans="3:13" hidden="1" outlineLevel="1" x14ac:dyDescent="0.2">
      <c r="C1899" s="139">
        <v>1673</v>
      </c>
      <c r="D1899" s="248">
        <v>1586.9453000000001</v>
      </c>
      <c r="E1899" s="248">
        <v>1644.5363</v>
      </c>
      <c r="F1899" s="248">
        <v>1674.9885999999999</v>
      </c>
      <c r="G1899" s="248">
        <v>1699.6996999999999</v>
      </c>
      <c r="H1899" s="248">
        <v>1743.7864999999999</v>
      </c>
      <c r="I1899"/>
      <c r="J1899"/>
      <c r="K1899"/>
      <c r="L1899"/>
      <c r="M1899"/>
    </row>
    <row r="1900" spans="3:13" hidden="1" outlineLevel="1" x14ac:dyDescent="0.2">
      <c r="C1900" s="139">
        <v>1674</v>
      </c>
      <c r="D1900" s="248">
        <v>1587.8938000000001</v>
      </c>
      <c r="E1900" s="248">
        <v>1645.5192999999999</v>
      </c>
      <c r="F1900" s="248">
        <v>1675.9898000000001</v>
      </c>
      <c r="G1900" s="248">
        <v>1700.7156</v>
      </c>
      <c r="H1900" s="248">
        <v>1744.8288</v>
      </c>
      <c r="I1900"/>
      <c r="J1900"/>
      <c r="K1900"/>
      <c r="L1900"/>
      <c r="M1900"/>
    </row>
    <row r="1901" spans="3:13" hidden="1" outlineLevel="1" x14ac:dyDescent="0.2">
      <c r="C1901" s="139">
        <v>1675</v>
      </c>
      <c r="D1901" s="248">
        <v>1588.8934999999999</v>
      </c>
      <c r="E1901" s="248">
        <v>1646.5023000000001</v>
      </c>
      <c r="F1901" s="248">
        <v>1677.0472</v>
      </c>
      <c r="G1901" s="248">
        <v>1701.7878000000001</v>
      </c>
      <c r="H1901" s="248">
        <v>1745.8711000000001</v>
      </c>
      <c r="I1901"/>
      <c r="J1901"/>
      <c r="K1901"/>
      <c r="L1901"/>
      <c r="M1901"/>
    </row>
    <row r="1902" spans="3:13" hidden="1" outlineLevel="1" x14ac:dyDescent="0.2">
      <c r="C1902" s="139">
        <v>1676</v>
      </c>
      <c r="D1902" s="248">
        <v>1589.8421000000001</v>
      </c>
      <c r="E1902" s="248">
        <v>1647.5364</v>
      </c>
      <c r="F1902" s="248">
        <v>1678.0485000000001</v>
      </c>
      <c r="G1902" s="248">
        <v>1702.8037999999999</v>
      </c>
      <c r="H1902" s="248">
        <v>1746.9133999999999</v>
      </c>
      <c r="I1902"/>
      <c r="J1902"/>
      <c r="K1902"/>
      <c r="L1902"/>
      <c r="M1902"/>
    </row>
    <row r="1903" spans="3:13" hidden="1" outlineLevel="1" x14ac:dyDescent="0.2">
      <c r="C1903" s="139">
        <v>1677</v>
      </c>
      <c r="D1903" s="248">
        <v>1590.8418999999999</v>
      </c>
      <c r="E1903" s="248">
        <v>1648.5195000000001</v>
      </c>
      <c r="F1903" s="248">
        <v>1679.0497</v>
      </c>
      <c r="G1903" s="248">
        <v>1703.8198</v>
      </c>
      <c r="H1903" s="248">
        <v>1748.0119999999999</v>
      </c>
      <c r="I1903"/>
      <c r="J1903"/>
      <c r="K1903"/>
      <c r="L1903"/>
      <c r="M1903"/>
    </row>
    <row r="1904" spans="3:13" hidden="1" outlineLevel="1" x14ac:dyDescent="0.2">
      <c r="C1904" s="139">
        <v>1678</v>
      </c>
      <c r="D1904" s="248">
        <v>1591.8416999999999</v>
      </c>
      <c r="E1904" s="248">
        <v>1649.5536999999999</v>
      </c>
      <c r="F1904" s="248">
        <v>1680.0509</v>
      </c>
      <c r="G1904" s="248">
        <v>1704.8358000000001</v>
      </c>
      <c r="H1904" s="248">
        <v>1749.0543</v>
      </c>
      <c r="I1904"/>
      <c r="J1904"/>
      <c r="K1904"/>
      <c r="L1904"/>
      <c r="M1904"/>
    </row>
    <row r="1905" spans="3:13" hidden="1" outlineLevel="1" x14ac:dyDescent="0.2">
      <c r="C1905" s="139">
        <v>1679</v>
      </c>
      <c r="D1905" s="248">
        <v>1592.7904000000001</v>
      </c>
      <c r="E1905" s="248">
        <v>1650.5367000000001</v>
      </c>
      <c r="F1905" s="248">
        <v>1681.1085</v>
      </c>
      <c r="G1905" s="248">
        <v>1705.8517999999999</v>
      </c>
      <c r="H1905" s="248">
        <v>1750.0967000000001</v>
      </c>
      <c r="I1905"/>
      <c r="J1905"/>
      <c r="K1905"/>
      <c r="L1905"/>
      <c r="M1905"/>
    </row>
    <row r="1906" spans="3:13" hidden="1" outlineLevel="1" x14ac:dyDescent="0.2">
      <c r="C1906" s="139">
        <v>1680</v>
      </c>
      <c r="D1906" s="248">
        <v>1593.7902999999999</v>
      </c>
      <c r="E1906" s="248">
        <v>1651.5198</v>
      </c>
      <c r="F1906" s="248">
        <v>1682.1097</v>
      </c>
      <c r="G1906" s="248">
        <v>1706.9241999999999</v>
      </c>
      <c r="H1906" s="248">
        <v>1751.1389999999999</v>
      </c>
      <c r="I1906"/>
      <c r="J1906"/>
      <c r="K1906"/>
      <c r="L1906"/>
      <c r="M1906"/>
    </row>
    <row r="1907" spans="3:13" hidden="1" outlineLevel="1" x14ac:dyDescent="0.2">
      <c r="C1907" s="139">
        <v>1681</v>
      </c>
      <c r="D1907" s="248">
        <v>1594.739</v>
      </c>
      <c r="E1907" s="248">
        <v>1652.5541000000001</v>
      </c>
      <c r="F1907" s="248">
        <v>1683.1110000000001</v>
      </c>
      <c r="G1907" s="248">
        <v>1707.9402</v>
      </c>
      <c r="H1907" s="248">
        <v>1752.1813999999999</v>
      </c>
      <c r="I1907"/>
      <c r="J1907"/>
      <c r="K1907"/>
      <c r="L1907"/>
      <c r="M1907"/>
    </row>
    <row r="1908" spans="3:13" hidden="1" outlineLevel="1" x14ac:dyDescent="0.2">
      <c r="C1908" s="139">
        <v>1682</v>
      </c>
      <c r="D1908" s="248">
        <v>1595.739</v>
      </c>
      <c r="E1908" s="248">
        <v>1653.5372</v>
      </c>
      <c r="F1908" s="248">
        <v>1684.1123</v>
      </c>
      <c r="G1908" s="248">
        <v>1708.9562000000001</v>
      </c>
      <c r="H1908" s="248">
        <v>1753.2237</v>
      </c>
      <c r="I1908"/>
      <c r="J1908"/>
      <c r="K1908"/>
      <c r="L1908"/>
      <c r="M1908"/>
    </row>
    <row r="1909" spans="3:13" hidden="1" outlineLevel="1" x14ac:dyDescent="0.2">
      <c r="C1909" s="139">
        <v>1683</v>
      </c>
      <c r="D1909" s="248">
        <v>1596.7391</v>
      </c>
      <c r="E1909" s="248">
        <v>1654.5202999999999</v>
      </c>
      <c r="F1909" s="248">
        <v>1685.17</v>
      </c>
      <c r="G1909" s="248">
        <v>1709.9722999999999</v>
      </c>
      <c r="H1909" s="248">
        <v>1754.3226</v>
      </c>
      <c r="I1909"/>
      <c r="J1909"/>
      <c r="K1909"/>
      <c r="L1909"/>
      <c r="M1909"/>
    </row>
    <row r="1910" spans="3:13" hidden="1" outlineLevel="1" x14ac:dyDescent="0.2">
      <c r="C1910" s="139">
        <v>1684</v>
      </c>
      <c r="D1910" s="248">
        <v>1597.6877999999999</v>
      </c>
      <c r="E1910" s="248">
        <v>1655.5546999999999</v>
      </c>
      <c r="F1910" s="248">
        <v>1686.1713</v>
      </c>
      <c r="G1910" s="248">
        <v>1711.0447999999999</v>
      </c>
      <c r="H1910" s="248">
        <v>1755.3649</v>
      </c>
      <c r="I1910"/>
      <c r="J1910"/>
      <c r="K1910"/>
      <c r="L1910"/>
      <c r="M1910"/>
    </row>
    <row r="1911" spans="3:13" hidden="1" outlineLevel="1" x14ac:dyDescent="0.2">
      <c r="C1911" s="139">
        <v>1685</v>
      </c>
      <c r="D1911" s="248">
        <v>1598.6880000000001</v>
      </c>
      <c r="E1911" s="248">
        <v>1656.5379</v>
      </c>
      <c r="F1911" s="248">
        <v>1687.1726000000001</v>
      </c>
      <c r="G1911" s="248">
        <v>1712.0608999999999</v>
      </c>
      <c r="H1911" s="248">
        <v>1756.4073000000001</v>
      </c>
      <c r="I1911"/>
      <c r="J1911"/>
      <c r="K1911"/>
      <c r="L1911"/>
      <c r="M1911"/>
    </row>
    <row r="1912" spans="3:13" hidden="1" outlineLevel="1" x14ac:dyDescent="0.2">
      <c r="C1912" s="139">
        <v>1686</v>
      </c>
      <c r="D1912" s="248">
        <v>1599.6367</v>
      </c>
      <c r="E1912" s="248">
        <v>1657.5724</v>
      </c>
      <c r="F1912" s="248">
        <v>1688.2304999999999</v>
      </c>
      <c r="G1912" s="248">
        <v>1713.077</v>
      </c>
      <c r="H1912" s="248">
        <v>1757.4496999999999</v>
      </c>
      <c r="I1912"/>
      <c r="J1912"/>
      <c r="K1912"/>
      <c r="L1912"/>
      <c r="M1912"/>
    </row>
    <row r="1913" spans="3:13" hidden="1" outlineLevel="1" x14ac:dyDescent="0.2">
      <c r="C1913" s="139">
        <v>1687</v>
      </c>
      <c r="D1913" s="248">
        <v>1600.6369999999999</v>
      </c>
      <c r="E1913" s="248">
        <v>1658.5555999999999</v>
      </c>
      <c r="F1913" s="248">
        <v>1689.2318</v>
      </c>
      <c r="G1913" s="248">
        <v>1714.0930000000001</v>
      </c>
      <c r="H1913" s="248">
        <v>1758.4920999999999</v>
      </c>
      <c r="I1913"/>
      <c r="J1913"/>
      <c r="K1913"/>
      <c r="L1913"/>
      <c r="M1913"/>
    </row>
    <row r="1914" spans="3:13" hidden="1" outlineLevel="1" x14ac:dyDescent="0.2">
      <c r="C1914" s="139">
        <v>1688</v>
      </c>
      <c r="D1914" s="248">
        <v>1601.6373000000001</v>
      </c>
      <c r="E1914" s="248">
        <v>1659.5387000000001</v>
      </c>
      <c r="F1914" s="248">
        <v>1690.2330999999999</v>
      </c>
      <c r="G1914" s="248">
        <v>1715.1090999999999</v>
      </c>
      <c r="H1914" s="248">
        <v>1759.5345</v>
      </c>
      <c r="I1914"/>
      <c r="J1914"/>
      <c r="K1914"/>
      <c r="L1914"/>
      <c r="M1914"/>
    </row>
    <row r="1915" spans="3:13" hidden="1" outlineLevel="1" x14ac:dyDescent="0.2">
      <c r="C1915" s="139">
        <v>1689</v>
      </c>
      <c r="D1915" s="248">
        <v>1602.5862</v>
      </c>
      <c r="E1915" s="248">
        <v>1660.5734</v>
      </c>
      <c r="F1915" s="248">
        <v>1691.2344000000001</v>
      </c>
      <c r="G1915" s="248">
        <v>1716.1818000000001</v>
      </c>
      <c r="H1915" s="248">
        <v>1760.5768</v>
      </c>
      <c r="I1915"/>
      <c r="J1915"/>
      <c r="K1915"/>
      <c r="L1915"/>
      <c r="M1915"/>
    </row>
    <row r="1916" spans="3:13" hidden="1" outlineLevel="1" x14ac:dyDescent="0.2">
      <c r="C1916" s="139">
        <v>1690</v>
      </c>
      <c r="D1916" s="248">
        <v>1603.5866000000001</v>
      </c>
      <c r="E1916" s="248">
        <v>1661.5564999999999</v>
      </c>
      <c r="F1916" s="248">
        <v>1692.2925</v>
      </c>
      <c r="G1916" s="248">
        <v>1717.1978999999999</v>
      </c>
      <c r="H1916" s="248">
        <v>1761.6759</v>
      </c>
      <c r="I1916"/>
      <c r="J1916"/>
      <c r="K1916"/>
      <c r="L1916"/>
      <c r="M1916"/>
    </row>
    <row r="1917" spans="3:13" hidden="1" outlineLevel="1" x14ac:dyDescent="0.2">
      <c r="C1917" s="139">
        <v>1691</v>
      </c>
      <c r="D1917" s="248">
        <v>1604.5354</v>
      </c>
      <c r="E1917" s="248">
        <v>1662.5397</v>
      </c>
      <c r="F1917" s="248">
        <v>1693.2938999999999</v>
      </c>
      <c r="G1917" s="248">
        <v>1718.2139999999999</v>
      </c>
      <c r="H1917" s="248">
        <v>1762.7184</v>
      </c>
      <c r="I1917"/>
      <c r="J1917"/>
      <c r="K1917"/>
      <c r="L1917"/>
      <c r="M1917"/>
    </row>
    <row r="1918" spans="3:13" hidden="1" outlineLevel="1" x14ac:dyDescent="0.2">
      <c r="C1918" s="139">
        <v>1692</v>
      </c>
      <c r="D1918" s="248">
        <v>1605.5359000000001</v>
      </c>
      <c r="E1918" s="248">
        <v>1663.5744999999999</v>
      </c>
      <c r="F1918" s="248">
        <v>1694.2952</v>
      </c>
      <c r="G1918" s="248">
        <v>1719.2301</v>
      </c>
      <c r="H1918" s="248">
        <v>1763.7608</v>
      </c>
      <c r="I1918"/>
      <c r="J1918"/>
      <c r="K1918"/>
      <c r="L1918"/>
      <c r="M1918"/>
    </row>
    <row r="1919" spans="3:13" hidden="1" outlineLevel="1" x14ac:dyDescent="0.2">
      <c r="C1919" s="139">
        <v>1693</v>
      </c>
      <c r="D1919" s="248">
        <v>1606.5364999999999</v>
      </c>
      <c r="E1919" s="248">
        <v>1664.5577000000001</v>
      </c>
      <c r="F1919" s="248">
        <v>1695.2965999999999</v>
      </c>
      <c r="G1919" s="248">
        <v>1720.3030000000001</v>
      </c>
      <c r="H1919" s="248">
        <v>1764.8032000000001</v>
      </c>
      <c r="I1919"/>
      <c r="J1919"/>
      <c r="K1919"/>
      <c r="L1919"/>
      <c r="M1919"/>
    </row>
    <row r="1920" spans="3:13" hidden="1" outlineLevel="1" x14ac:dyDescent="0.2">
      <c r="C1920" s="139">
        <v>1694</v>
      </c>
      <c r="D1920" s="248">
        <v>1607.4854</v>
      </c>
      <c r="E1920" s="248">
        <v>1665.5925999999999</v>
      </c>
      <c r="F1920" s="248">
        <v>1696.3548000000001</v>
      </c>
      <c r="G1920" s="248">
        <v>1721.3191999999999</v>
      </c>
      <c r="H1920" s="248">
        <v>1765.8456000000001</v>
      </c>
      <c r="I1920"/>
      <c r="J1920"/>
      <c r="K1920"/>
      <c r="L1920"/>
      <c r="M1920"/>
    </row>
    <row r="1921" spans="3:13" hidden="1" outlineLevel="1" x14ac:dyDescent="0.2">
      <c r="C1921" s="139">
        <v>1695</v>
      </c>
      <c r="D1921" s="248">
        <v>1608.4861000000001</v>
      </c>
      <c r="E1921" s="248">
        <v>1666.5759</v>
      </c>
      <c r="F1921" s="248">
        <v>1697.3561999999999</v>
      </c>
      <c r="G1921" s="248">
        <v>1722.3353</v>
      </c>
      <c r="H1921" s="248">
        <v>1766.8879999999999</v>
      </c>
      <c r="I1921"/>
      <c r="J1921"/>
      <c r="K1921"/>
      <c r="L1921"/>
      <c r="M1921"/>
    </row>
    <row r="1922" spans="3:13" hidden="1" outlineLevel="1" x14ac:dyDescent="0.2">
      <c r="C1922" s="139">
        <v>1696</v>
      </c>
      <c r="D1922" s="248">
        <v>1609.4350999999999</v>
      </c>
      <c r="E1922" s="248">
        <v>1667.5590999999999</v>
      </c>
      <c r="F1922" s="248">
        <v>1698.3576</v>
      </c>
      <c r="G1922" s="248">
        <v>1723.3514</v>
      </c>
      <c r="H1922" s="248">
        <v>1767.9874</v>
      </c>
      <c r="I1922"/>
      <c r="J1922"/>
      <c r="K1922"/>
      <c r="L1922"/>
      <c r="M1922"/>
    </row>
    <row r="1923" spans="3:13" hidden="1" outlineLevel="1" x14ac:dyDescent="0.2">
      <c r="C1923" s="139">
        <v>1697</v>
      </c>
      <c r="D1923" s="248">
        <v>1610.4358</v>
      </c>
      <c r="E1923" s="248">
        <v>1668.5941</v>
      </c>
      <c r="F1923" s="248">
        <v>1699.3589999999999</v>
      </c>
      <c r="G1923" s="248">
        <v>1724.3675000000001</v>
      </c>
      <c r="H1923" s="248">
        <v>1769.0298</v>
      </c>
      <c r="I1923"/>
      <c r="J1923"/>
      <c r="K1923"/>
      <c r="L1923"/>
      <c r="M1923"/>
    </row>
    <row r="1924" spans="3:13" hidden="1" outlineLevel="1" x14ac:dyDescent="0.2">
      <c r="C1924" s="139">
        <v>1698</v>
      </c>
      <c r="D1924" s="248">
        <v>1611.3848</v>
      </c>
      <c r="E1924" s="248">
        <v>1669.5773999999999</v>
      </c>
      <c r="F1924" s="248">
        <v>1700.4173000000001</v>
      </c>
      <c r="G1924" s="248">
        <v>1725.4407000000001</v>
      </c>
      <c r="H1924" s="248">
        <v>1770.0722000000001</v>
      </c>
      <c r="I1924"/>
      <c r="J1924"/>
      <c r="K1924"/>
      <c r="L1924"/>
      <c r="M1924"/>
    </row>
    <row r="1925" spans="3:13" hidden="1" outlineLevel="1" x14ac:dyDescent="0.2">
      <c r="C1925" s="139">
        <v>1699</v>
      </c>
      <c r="D1925" s="248">
        <v>1612.3856000000001</v>
      </c>
      <c r="E1925" s="248">
        <v>1670.5606</v>
      </c>
      <c r="F1925" s="248">
        <v>1701.4187999999999</v>
      </c>
      <c r="G1925" s="248">
        <v>1726.4567999999999</v>
      </c>
      <c r="H1925" s="248">
        <v>1771.1147000000001</v>
      </c>
      <c r="I1925"/>
      <c r="J1925"/>
      <c r="K1925"/>
      <c r="L1925"/>
      <c r="M1925"/>
    </row>
    <row r="1926" spans="3:13" hidden="1" outlineLevel="1" x14ac:dyDescent="0.2">
      <c r="C1926" s="139">
        <v>1700</v>
      </c>
      <c r="D1926" s="248">
        <v>1613.3865000000001</v>
      </c>
      <c r="E1926" s="248">
        <v>1671.5958000000001</v>
      </c>
      <c r="F1926" s="248">
        <v>1702.4202</v>
      </c>
      <c r="G1926" s="248">
        <v>1727.473</v>
      </c>
      <c r="H1926" s="248">
        <v>1772.1570999999999</v>
      </c>
      <c r="I1926"/>
      <c r="J1926"/>
      <c r="K1926"/>
      <c r="L1926"/>
      <c r="M1926"/>
    </row>
    <row r="1927" spans="3:13" hidden="1" outlineLevel="1" x14ac:dyDescent="0.2">
      <c r="C1927" s="139">
        <v>1701</v>
      </c>
      <c r="D1927" s="248">
        <v>1614.3356000000001</v>
      </c>
      <c r="E1927" s="248">
        <v>1672.5790999999999</v>
      </c>
      <c r="F1927" s="248">
        <v>1703.4215999999999</v>
      </c>
      <c r="G1927" s="248">
        <v>1728.4892</v>
      </c>
      <c r="H1927" s="248">
        <v>1773.1995999999999</v>
      </c>
      <c r="I1927"/>
      <c r="J1927"/>
      <c r="K1927"/>
      <c r="L1927"/>
      <c r="M1927"/>
    </row>
    <row r="1928" spans="3:13" hidden="1" outlineLevel="1" x14ac:dyDescent="0.2">
      <c r="C1928" s="139">
        <v>1702</v>
      </c>
      <c r="D1928" s="248">
        <v>1615.3366000000001</v>
      </c>
      <c r="E1928" s="248">
        <v>1673.5623000000001</v>
      </c>
      <c r="F1928" s="248">
        <v>1704.4802</v>
      </c>
      <c r="G1928" s="248">
        <v>1729.5053</v>
      </c>
      <c r="H1928" s="248">
        <v>1774.2991999999999</v>
      </c>
      <c r="I1928"/>
      <c r="J1928"/>
      <c r="K1928"/>
      <c r="L1928"/>
      <c r="M1928"/>
    </row>
    <row r="1929" spans="3:13" hidden="1" outlineLevel="1" x14ac:dyDescent="0.2">
      <c r="C1929" s="139">
        <v>1703</v>
      </c>
      <c r="D1929" s="248">
        <v>1616.2856999999999</v>
      </c>
      <c r="E1929" s="248">
        <v>1674.5976000000001</v>
      </c>
      <c r="F1929" s="248">
        <v>1705.4816000000001</v>
      </c>
      <c r="G1929" s="248">
        <v>1730.5786000000001</v>
      </c>
      <c r="H1929" s="248">
        <v>1775.3416</v>
      </c>
      <c r="I1929"/>
      <c r="J1929"/>
      <c r="K1929"/>
      <c r="L1929"/>
      <c r="M1929"/>
    </row>
    <row r="1930" spans="3:13" hidden="1" outlineLevel="1" x14ac:dyDescent="0.2">
      <c r="C1930" s="139">
        <v>1704</v>
      </c>
      <c r="D1930" s="248">
        <v>1617.2867000000001</v>
      </c>
      <c r="E1930" s="248">
        <v>1675.5808999999999</v>
      </c>
      <c r="F1930" s="248">
        <v>1706.4830999999999</v>
      </c>
      <c r="G1930" s="248">
        <v>1731.5948000000001</v>
      </c>
      <c r="H1930" s="248">
        <v>1776.3841</v>
      </c>
      <c r="I1930"/>
      <c r="J1930"/>
      <c r="K1930"/>
      <c r="L1930"/>
      <c r="M1930"/>
    </row>
    <row r="1931" spans="3:13" hidden="1" outlineLevel="1" x14ac:dyDescent="0.2">
      <c r="C1931" s="139">
        <v>1705</v>
      </c>
      <c r="D1931" s="248">
        <v>1618.2879</v>
      </c>
      <c r="E1931" s="248">
        <v>1676.6162999999999</v>
      </c>
      <c r="F1931" s="248">
        <v>1707.5418</v>
      </c>
      <c r="G1931" s="248">
        <v>1732.6110000000001</v>
      </c>
      <c r="H1931" s="248">
        <v>1777.4266</v>
      </c>
      <c r="I1931"/>
      <c r="J1931"/>
      <c r="K1931"/>
      <c r="L1931"/>
      <c r="M1931"/>
    </row>
    <row r="1932" spans="3:13" hidden="1" outlineLevel="1" x14ac:dyDescent="0.2">
      <c r="C1932" s="139">
        <v>1706</v>
      </c>
      <c r="D1932" s="248">
        <v>1619.2370000000001</v>
      </c>
      <c r="E1932" s="248">
        <v>1677.5996</v>
      </c>
      <c r="F1932" s="248">
        <v>1708.5433</v>
      </c>
      <c r="G1932" s="248">
        <v>1733.6271999999999</v>
      </c>
      <c r="H1932" s="248">
        <v>1778.4691</v>
      </c>
      <c r="I1932"/>
      <c r="J1932"/>
      <c r="K1932"/>
      <c r="L1932"/>
      <c r="M1932"/>
    </row>
    <row r="1933" spans="3:13" hidden="1" outlineLevel="1" x14ac:dyDescent="0.2">
      <c r="C1933" s="139">
        <v>1707</v>
      </c>
      <c r="D1933" s="248">
        <v>1620.2383</v>
      </c>
      <c r="E1933" s="248">
        <v>1678.5830000000001</v>
      </c>
      <c r="F1933" s="248">
        <v>1709.5447999999999</v>
      </c>
      <c r="G1933" s="248">
        <v>1734.7007000000001</v>
      </c>
      <c r="H1933" s="248">
        <v>1779.5116</v>
      </c>
      <c r="I1933"/>
      <c r="J1933"/>
      <c r="K1933"/>
      <c r="L1933"/>
      <c r="M1933"/>
    </row>
    <row r="1934" spans="3:13" hidden="1" outlineLevel="1" x14ac:dyDescent="0.2">
      <c r="C1934" s="139">
        <v>1708</v>
      </c>
      <c r="D1934" s="248">
        <v>1621.1874</v>
      </c>
      <c r="E1934" s="248">
        <v>1679.6185</v>
      </c>
      <c r="F1934" s="248">
        <v>1710.5463</v>
      </c>
      <c r="G1934" s="248">
        <v>1735.7168999999999</v>
      </c>
      <c r="H1934" s="248">
        <v>1780.6114</v>
      </c>
      <c r="I1934"/>
      <c r="J1934"/>
      <c r="K1934"/>
      <c r="L1934"/>
      <c r="M1934"/>
    </row>
    <row r="1935" spans="3:13" hidden="1" outlineLevel="1" x14ac:dyDescent="0.2">
      <c r="C1935" s="139">
        <v>1709</v>
      </c>
      <c r="D1935" s="248">
        <v>1622.1887999999999</v>
      </c>
      <c r="E1935" s="248">
        <v>1680.6018999999999</v>
      </c>
      <c r="F1935" s="248">
        <v>1711.6051</v>
      </c>
      <c r="G1935" s="248">
        <v>1736.7331999999999</v>
      </c>
      <c r="H1935" s="248">
        <v>1781.6539</v>
      </c>
      <c r="I1935"/>
      <c r="J1935"/>
      <c r="K1935"/>
      <c r="L1935"/>
      <c r="M1935"/>
    </row>
    <row r="1936" spans="3:13" hidden="1" outlineLevel="1" x14ac:dyDescent="0.2">
      <c r="C1936" s="139">
        <v>1710</v>
      </c>
      <c r="D1936" s="248">
        <v>1623.1379999999999</v>
      </c>
      <c r="E1936" s="248">
        <v>1681.5852</v>
      </c>
      <c r="F1936" s="248">
        <v>1712.6066000000001</v>
      </c>
      <c r="G1936" s="248">
        <v>1737.7493999999999</v>
      </c>
      <c r="H1936" s="248">
        <v>1782.6964</v>
      </c>
      <c r="I1936"/>
      <c r="J1936"/>
      <c r="K1936"/>
      <c r="L1936"/>
      <c r="M1936"/>
    </row>
    <row r="1937" spans="3:13" hidden="1" outlineLevel="1" x14ac:dyDescent="0.2">
      <c r="C1937" s="139">
        <v>1711</v>
      </c>
      <c r="D1937" s="248">
        <v>1624.1394</v>
      </c>
      <c r="E1937" s="248">
        <v>1682.6207999999999</v>
      </c>
      <c r="F1937" s="248">
        <v>1713.6081999999999</v>
      </c>
      <c r="G1937" s="248">
        <v>1738.7655999999999</v>
      </c>
      <c r="H1937" s="248">
        <v>1783.7389000000001</v>
      </c>
      <c r="I1937"/>
      <c r="J1937"/>
      <c r="K1937"/>
      <c r="L1937"/>
      <c r="M1937"/>
    </row>
    <row r="1938" spans="3:13" hidden="1" outlineLevel="1" x14ac:dyDescent="0.2">
      <c r="C1938" s="139">
        <v>1712</v>
      </c>
      <c r="D1938" s="248">
        <v>1625.1409000000001</v>
      </c>
      <c r="E1938" s="248">
        <v>1683.6042</v>
      </c>
      <c r="F1938" s="248">
        <v>1714.6097</v>
      </c>
      <c r="G1938" s="248">
        <v>1739.8393000000001</v>
      </c>
      <c r="H1938" s="248">
        <v>1784.7814000000001</v>
      </c>
      <c r="I1938"/>
      <c r="J1938"/>
      <c r="K1938"/>
      <c r="L1938"/>
      <c r="M1938"/>
    </row>
    <row r="1939" spans="3:13" hidden="1" outlineLevel="1" x14ac:dyDescent="0.2">
      <c r="C1939" s="139">
        <v>1713</v>
      </c>
      <c r="D1939" s="248">
        <v>1626.0900999999999</v>
      </c>
      <c r="E1939" s="248">
        <v>1684.6398999999999</v>
      </c>
      <c r="F1939" s="248">
        <v>1715.6686999999999</v>
      </c>
      <c r="G1939" s="248">
        <v>1740.8556000000001</v>
      </c>
      <c r="H1939" s="248">
        <v>1785.8239000000001</v>
      </c>
      <c r="I1939"/>
      <c r="J1939"/>
      <c r="K1939"/>
      <c r="L1939"/>
      <c r="M1939"/>
    </row>
    <row r="1940" spans="3:13" hidden="1" outlineLevel="1" x14ac:dyDescent="0.2">
      <c r="C1940" s="139">
        <v>1714</v>
      </c>
      <c r="D1940" s="248">
        <v>1627.0916999999999</v>
      </c>
      <c r="E1940" s="248">
        <v>1685.6233999999999</v>
      </c>
      <c r="F1940" s="248">
        <v>1716.6703</v>
      </c>
      <c r="G1940" s="248">
        <v>1741.8719000000001</v>
      </c>
      <c r="H1940" s="248">
        <v>1786.8664000000001</v>
      </c>
      <c r="I1940"/>
      <c r="J1940"/>
      <c r="K1940"/>
      <c r="L1940"/>
      <c r="M1940"/>
    </row>
    <row r="1941" spans="3:13" hidden="1" outlineLevel="1" x14ac:dyDescent="0.2">
      <c r="C1941" s="139">
        <v>1715</v>
      </c>
      <c r="D1941" s="248">
        <v>1628.0409999999999</v>
      </c>
      <c r="E1941" s="248">
        <v>1686.6068</v>
      </c>
      <c r="F1941" s="248">
        <v>1717.6718000000001</v>
      </c>
      <c r="G1941" s="248">
        <v>1742.8880999999999</v>
      </c>
      <c r="H1941" s="248">
        <v>1787.9665</v>
      </c>
      <c r="I1941"/>
      <c r="J1941"/>
      <c r="K1941"/>
      <c r="L1941"/>
      <c r="M1941"/>
    </row>
    <row r="1942" spans="3:13" hidden="1" outlineLevel="1" x14ac:dyDescent="0.2">
      <c r="C1942" s="139">
        <v>1716</v>
      </c>
      <c r="D1942" s="248">
        <v>1629.0427</v>
      </c>
      <c r="E1942" s="248">
        <v>1687.6425999999999</v>
      </c>
      <c r="F1942" s="248">
        <v>1718.6733999999999</v>
      </c>
      <c r="G1942" s="248">
        <v>1743.9043999999999</v>
      </c>
      <c r="H1942" s="248">
        <v>1789.0091</v>
      </c>
      <c r="I1942"/>
      <c r="J1942"/>
      <c r="K1942"/>
      <c r="L1942"/>
      <c r="M1942"/>
    </row>
    <row r="1943" spans="3:13" hidden="1" outlineLevel="1" x14ac:dyDescent="0.2">
      <c r="C1943" s="139">
        <v>1717</v>
      </c>
      <c r="D1943" s="248">
        <v>1630.0444</v>
      </c>
      <c r="E1943" s="248">
        <v>1688.6261</v>
      </c>
      <c r="F1943" s="248">
        <v>1719.7326</v>
      </c>
      <c r="G1943" s="248">
        <v>1744.9783</v>
      </c>
      <c r="H1943" s="248">
        <v>1790.0516</v>
      </c>
      <c r="I1943"/>
      <c r="J1943"/>
      <c r="K1943"/>
      <c r="L1943"/>
      <c r="M1943"/>
    </row>
    <row r="1944" spans="3:13" hidden="1" outlineLevel="1" x14ac:dyDescent="0.2">
      <c r="C1944" s="139">
        <v>1718</v>
      </c>
      <c r="D1944" s="248">
        <v>1630.9937</v>
      </c>
      <c r="E1944" s="248">
        <v>1689.6096</v>
      </c>
      <c r="F1944" s="248">
        <v>1720.7342000000001</v>
      </c>
      <c r="G1944" s="248">
        <v>1745.9946</v>
      </c>
      <c r="H1944" s="248">
        <v>1791.0942</v>
      </c>
      <c r="I1944"/>
      <c r="J1944"/>
      <c r="K1944"/>
      <c r="L1944"/>
      <c r="M1944"/>
    </row>
    <row r="1945" spans="3:13" hidden="1" outlineLevel="1" x14ac:dyDescent="0.2">
      <c r="C1945" s="139">
        <v>1719</v>
      </c>
      <c r="D1945" s="248">
        <v>1631.9956</v>
      </c>
      <c r="E1945" s="248">
        <v>1690.6455000000001</v>
      </c>
      <c r="F1945" s="248">
        <v>1721.7357999999999</v>
      </c>
      <c r="G1945" s="248">
        <v>1747.0109</v>
      </c>
      <c r="H1945" s="248">
        <v>1792.1367</v>
      </c>
      <c r="I1945"/>
      <c r="J1945"/>
      <c r="K1945"/>
      <c r="L1945"/>
      <c r="M1945"/>
    </row>
    <row r="1946" spans="3:13" hidden="1" outlineLevel="1" x14ac:dyDescent="0.2">
      <c r="C1946" s="139">
        <v>1720</v>
      </c>
      <c r="D1946" s="248">
        <v>1632.9449</v>
      </c>
      <c r="E1946" s="248">
        <v>1691.6289999999999</v>
      </c>
      <c r="F1946" s="248">
        <v>1722.7374</v>
      </c>
      <c r="G1946" s="248">
        <v>1748.0272</v>
      </c>
      <c r="H1946" s="248">
        <v>1793.1793</v>
      </c>
      <c r="I1946"/>
      <c r="J1946"/>
      <c r="K1946"/>
      <c r="L1946"/>
      <c r="M1946"/>
    </row>
    <row r="1947" spans="3:13" hidden="1" outlineLevel="1" x14ac:dyDescent="0.2">
      <c r="C1947" s="139">
        <v>1721</v>
      </c>
      <c r="D1947" s="248">
        <v>1633.9468999999999</v>
      </c>
      <c r="E1947" s="248">
        <v>1692.6125</v>
      </c>
      <c r="F1947" s="248">
        <v>1723.7967000000001</v>
      </c>
      <c r="G1947" s="248">
        <v>1749.1012000000001</v>
      </c>
      <c r="H1947" s="248">
        <v>1794.2796000000001</v>
      </c>
      <c r="I1947"/>
      <c r="J1947"/>
      <c r="K1947"/>
      <c r="L1947"/>
      <c r="M1947"/>
    </row>
    <row r="1948" spans="3:13" hidden="1" outlineLevel="1" x14ac:dyDescent="0.2">
      <c r="C1948" s="139">
        <v>1722</v>
      </c>
      <c r="D1948" s="248">
        <v>1634.8963000000001</v>
      </c>
      <c r="E1948" s="248">
        <v>1693.6486</v>
      </c>
      <c r="F1948" s="248">
        <v>1724.7983999999999</v>
      </c>
      <c r="G1948" s="248">
        <v>1750.1176</v>
      </c>
      <c r="H1948" s="248">
        <v>1795.3222000000001</v>
      </c>
      <c r="I1948"/>
      <c r="J1948"/>
      <c r="K1948"/>
      <c r="L1948"/>
      <c r="M1948"/>
    </row>
    <row r="1949" spans="3:13" hidden="1" outlineLevel="1" x14ac:dyDescent="0.2">
      <c r="C1949" s="139">
        <v>1723</v>
      </c>
      <c r="D1949" s="248">
        <v>1635.8983000000001</v>
      </c>
      <c r="E1949" s="248">
        <v>1694.6321</v>
      </c>
      <c r="F1949" s="248">
        <v>1725.8</v>
      </c>
      <c r="G1949" s="248">
        <v>1751.1339</v>
      </c>
      <c r="H1949" s="248">
        <v>1796.3647000000001</v>
      </c>
      <c r="I1949"/>
      <c r="J1949"/>
      <c r="K1949"/>
      <c r="L1949"/>
      <c r="M1949"/>
    </row>
    <row r="1950" spans="3:13" hidden="1" outlineLevel="1" x14ac:dyDescent="0.2">
      <c r="C1950" s="139">
        <v>1724</v>
      </c>
      <c r="D1950" s="248">
        <v>1636.9003</v>
      </c>
      <c r="E1950" s="248">
        <v>1695.6157000000001</v>
      </c>
      <c r="F1950" s="248">
        <v>1726.8016</v>
      </c>
      <c r="G1950" s="248">
        <v>1752.1502</v>
      </c>
      <c r="H1950" s="248">
        <v>1797.4073000000001</v>
      </c>
      <c r="I1950"/>
      <c r="J1950"/>
      <c r="K1950"/>
      <c r="L1950"/>
      <c r="M1950"/>
    </row>
    <row r="1951" spans="3:13" hidden="1" outlineLevel="1" x14ac:dyDescent="0.2">
      <c r="C1951" s="139">
        <v>1725</v>
      </c>
      <c r="D1951" s="248">
        <v>1637.8498</v>
      </c>
      <c r="E1951" s="248">
        <v>1696.6518000000001</v>
      </c>
      <c r="F1951" s="248">
        <v>1727.8611000000001</v>
      </c>
      <c r="G1951" s="248">
        <v>1753.1665</v>
      </c>
      <c r="H1951" s="248">
        <v>1798.4499000000001</v>
      </c>
      <c r="I1951"/>
      <c r="J1951"/>
      <c r="K1951"/>
      <c r="L1951"/>
      <c r="M1951"/>
    </row>
    <row r="1952" spans="3:13" hidden="1" outlineLevel="1" x14ac:dyDescent="0.2">
      <c r="C1952" s="139">
        <v>1726</v>
      </c>
      <c r="D1952" s="248">
        <v>1638.8520000000001</v>
      </c>
      <c r="E1952" s="248">
        <v>1697.6353999999999</v>
      </c>
      <c r="F1952" s="248">
        <v>1728.8628000000001</v>
      </c>
      <c r="G1952" s="248">
        <v>1754.2408</v>
      </c>
      <c r="H1952" s="248">
        <v>1799.4925000000001</v>
      </c>
      <c r="I1952"/>
      <c r="J1952"/>
      <c r="K1952"/>
      <c r="L1952"/>
      <c r="M1952"/>
    </row>
    <row r="1953" spans="3:13" hidden="1" outlineLevel="1" x14ac:dyDescent="0.2">
      <c r="C1953" s="139">
        <v>1727</v>
      </c>
      <c r="D1953" s="248">
        <v>1639.8015</v>
      </c>
      <c r="E1953" s="248">
        <v>1698.6717000000001</v>
      </c>
      <c r="F1953" s="248">
        <v>1729.8644999999999</v>
      </c>
      <c r="G1953" s="248">
        <v>1755.2572</v>
      </c>
      <c r="H1953" s="248">
        <v>1800.5930000000001</v>
      </c>
      <c r="I1953"/>
      <c r="J1953"/>
      <c r="K1953"/>
      <c r="L1953"/>
      <c r="M1953"/>
    </row>
    <row r="1954" spans="3:13" hidden="1" outlineLevel="1" x14ac:dyDescent="0.2">
      <c r="C1954" s="139">
        <v>1728</v>
      </c>
      <c r="D1954" s="248">
        <v>1640.8036999999999</v>
      </c>
      <c r="E1954" s="248">
        <v>1699.6552999999999</v>
      </c>
      <c r="F1954" s="248">
        <v>1730.8661</v>
      </c>
      <c r="G1954" s="248">
        <v>1756.2735</v>
      </c>
      <c r="H1954" s="248">
        <v>1801.6356000000001</v>
      </c>
      <c r="I1954"/>
      <c r="J1954"/>
      <c r="K1954"/>
      <c r="L1954"/>
      <c r="M1954"/>
    </row>
    <row r="1955" spans="3:13" hidden="1" outlineLevel="1" x14ac:dyDescent="0.2">
      <c r="C1955" s="139">
        <v>1729</v>
      </c>
      <c r="D1955" s="248">
        <v>1641.7533000000001</v>
      </c>
      <c r="E1955" s="248">
        <v>1700.6388999999999</v>
      </c>
      <c r="F1955" s="248">
        <v>1731.9258</v>
      </c>
      <c r="G1955" s="248">
        <v>1757.2899</v>
      </c>
      <c r="H1955" s="248">
        <v>1802.6783</v>
      </c>
      <c r="I1955"/>
      <c r="J1955"/>
      <c r="K1955"/>
      <c r="L1955"/>
      <c r="M1955"/>
    </row>
    <row r="1956" spans="3:13" hidden="1" outlineLevel="1" x14ac:dyDescent="0.2">
      <c r="C1956" s="139">
        <v>1730</v>
      </c>
      <c r="D1956" s="248">
        <v>1642.7556</v>
      </c>
      <c r="E1956" s="248">
        <v>1701.6753000000001</v>
      </c>
      <c r="F1956" s="248">
        <v>1732.9275</v>
      </c>
      <c r="G1956" s="248">
        <v>1758.3063</v>
      </c>
      <c r="H1956" s="248">
        <v>1803.7209</v>
      </c>
      <c r="I1956"/>
      <c r="J1956"/>
      <c r="K1956"/>
      <c r="L1956"/>
      <c r="M1956"/>
    </row>
    <row r="1957" spans="3:13" hidden="1" outlineLevel="1" x14ac:dyDescent="0.2">
      <c r="C1957" s="139">
        <v>1731</v>
      </c>
      <c r="D1957" s="248">
        <v>1643.758</v>
      </c>
      <c r="E1957" s="248">
        <v>1702.6588999999999</v>
      </c>
      <c r="F1957" s="248">
        <v>1733.9292</v>
      </c>
      <c r="G1957" s="248">
        <v>1759.3806999999999</v>
      </c>
      <c r="H1957" s="248">
        <v>1804.7635</v>
      </c>
      <c r="I1957"/>
      <c r="J1957"/>
      <c r="K1957"/>
      <c r="L1957"/>
      <c r="M1957"/>
    </row>
    <row r="1958" spans="3:13" hidden="1" outlineLevel="1" x14ac:dyDescent="0.2">
      <c r="C1958" s="139">
        <v>1732</v>
      </c>
      <c r="D1958" s="248">
        <v>1644.7076</v>
      </c>
      <c r="E1958" s="248">
        <v>1703.6424999999999</v>
      </c>
      <c r="F1958" s="248">
        <v>1734.9309000000001</v>
      </c>
      <c r="G1958" s="248">
        <v>1760.3970999999999</v>
      </c>
      <c r="H1958" s="248">
        <v>1805.8061</v>
      </c>
      <c r="I1958"/>
      <c r="J1958"/>
      <c r="K1958"/>
      <c r="L1958"/>
      <c r="M1958"/>
    </row>
    <row r="1959" spans="3:13" hidden="1" outlineLevel="1" x14ac:dyDescent="0.2">
      <c r="C1959" s="139">
        <v>1733</v>
      </c>
      <c r="D1959" s="248">
        <v>1645.7101</v>
      </c>
      <c r="E1959" s="248">
        <v>1704.6790000000001</v>
      </c>
      <c r="F1959" s="248">
        <v>1735.9908</v>
      </c>
      <c r="G1959" s="248">
        <v>1761.4135000000001</v>
      </c>
      <c r="H1959" s="248">
        <v>1806.8487</v>
      </c>
      <c r="I1959"/>
      <c r="J1959"/>
      <c r="K1959"/>
      <c r="L1959"/>
      <c r="M1959"/>
    </row>
    <row r="1960" spans="3:13" hidden="1" outlineLevel="1" x14ac:dyDescent="0.2">
      <c r="C1960" s="139">
        <v>1734</v>
      </c>
      <c r="D1960" s="248">
        <v>1646.6596999999999</v>
      </c>
      <c r="E1960" s="248">
        <v>1705.6627000000001</v>
      </c>
      <c r="F1960" s="248">
        <v>1736.9925000000001</v>
      </c>
      <c r="G1960" s="248">
        <v>1762.4299000000001</v>
      </c>
      <c r="H1960" s="248">
        <v>1807.9494999999999</v>
      </c>
      <c r="I1960"/>
      <c r="J1960"/>
      <c r="K1960"/>
      <c r="L1960"/>
      <c r="M1960"/>
    </row>
    <row r="1961" spans="3:13" hidden="1" outlineLevel="1" x14ac:dyDescent="0.2">
      <c r="C1961" s="139">
        <v>1735</v>
      </c>
      <c r="D1961" s="248">
        <v>1647.6623</v>
      </c>
      <c r="E1961" s="248">
        <v>1706.6463000000001</v>
      </c>
      <c r="F1961" s="248">
        <v>1737.9942000000001</v>
      </c>
      <c r="G1961" s="248">
        <v>1763.4463000000001</v>
      </c>
      <c r="H1961" s="248">
        <v>1808.9921999999999</v>
      </c>
      <c r="I1961"/>
      <c r="J1961"/>
      <c r="K1961"/>
      <c r="L1961"/>
      <c r="M1961"/>
    </row>
    <row r="1962" spans="3:13" hidden="1" outlineLevel="1" x14ac:dyDescent="0.2">
      <c r="C1962" s="139">
        <v>1736</v>
      </c>
      <c r="D1962" s="248">
        <v>1648.6119000000001</v>
      </c>
      <c r="E1962" s="248">
        <v>1707.683</v>
      </c>
      <c r="F1962" s="248">
        <v>1738.9958999999999</v>
      </c>
      <c r="G1962" s="248">
        <v>1764.521</v>
      </c>
      <c r="H1962" s="248">
        <v>1810.0347999999999</v>
      </c>
      <c r="I1962"/>
      <c r="J1962"/>
      <c r="K1962"/>
      <c r="L1962"/>
      <c r="M1962"/>
    </row>
    <row r="1963" spans="3:13" hidden="1" outlineLevel="1" x14ac:dyDescent="0.2">
      <c r="C1963" s="139">
        <v>1737</v>
      </c>
      <c r="D1963" s="248">
        <v>1649.6146000000001</v>
      </c>
      <c r="E1963" s="248">
        <v>1708.6667</v>
      </c>
      <c r="F1963" s="248">
        <v>1740.056</v>
      </c>
      <c r="G1963" s="248">
        <v>1765.5373999999999</v>
      </c>
      <c r="H1963" s="248">
        <v>1811.0775000000001</v>
      </c>
      <c r="I1963"/>
      <c r="J1963"/>
      <c r="K1963"/>
      <c r="L1963"/>
      <c r="M1963"/>
    </row>
    <row r="1964" spans="3:13" hidden="1" outlineLevel="1" x14ac:dyDescent="0.2">
      <c r="C1964" s="139">
        <v>1738</v>
      </c>
      <c r="D1964" s="248">
        <v>1650.6172999999999</v>
      </c>
      <c r="E1964" s="248">
        <v>1709.7034000000001</v>
      </c>
      <c r="F1964" s="248">
        <v>1741.0577000000001</v>
      </c>
      <c r="G1964" s="248">
        <v>1766.5537999999999</v>
      </c>
      <c r="H1964" s="248">
        <v>1812.1201000000001</v>
      </c>
      <c r="I1964"/>
      <c r="J1964"/>
      <c r="K1964"/>
      <c r="L1964"/>
      <c r="M1964"/>
    </row>
    <row r="1965" spans="3:13" hidden="1" outlineLevel="1" x14ac:dyDescent="0.2">
      <c r="C1965" s="139">
        <v>1739</v>
      </c>
      <c r="D1965" s="248">
        <v>1651.5671</v>
      </c>
      <c r="E1965" s="248">
        <v>1710.6871000000001</v>
      </c>
      <c r="F1965" s="248">
        <v>1742.0595000000001</v>
      </c>
      <c r="G1965" s="248">
        <v>1767.5703000000001</v>
      </c>
      <c r="H1965" s="248">
        <v>1813.1628000000001</v>
      </c>
      <c r="I1965"/>
      <c r="J1965"/>
      <c r="K1965"/>
      <c r="L1965"/>
      <c r="M1965"/>
    </row>
    <row r="1966" spans="3:13" hidden="1" outlineLevel="1" x14ac:dyDescent="0.2">
      <c r="C1966" s="139">
        <v>1740</v>
      </c>
      <c r="D1966" s="248">
        <v>1652.5699</v>
      </c>
      <c r="E1966" s="248">
        <v>1711.6708000000001</v>
      </c>
      <c r="F1966" s="248">
        <v>1743.0612000000001</v>
      </c>
      <c r="G1966" s="248">
        <v>1768.6451</v>
      </c>
      <c r="H1966" s="248">
        <v>1814.2637999999999</v>
      </c>
      <c r="I1966"/>
      <c r="J1966"/>
      <c r="K1966"/>
      <c r="L1966"/>
      <c r="M1966"/>
    </row>
    <row r="1967" spans="3:13" hidden="1" outlineLevel="1" x14ac:dyDescent="0.2">
      <c r="C1967" s="139">
        <v>1741</v>
      </c>
      <c r="D1967" s="248">
        <v>1653.5196000000001</v>
      </c>
      <c r="E1967" s="248">
        <v>1712.7076999999999</v>
      </c>
      <c r="F1967" s="248">
        <v>1744.1215</v>
      </c>
      <c r="G1967" s="248">
        <v>1769.6615999999999</v>
      </c>
      <c r="H1967" s="248">
        <v>1815.3064999999999</v>
      </c>
      <c r="I1967"/>
      <c r="J1967"/>
      <c r="K1967"/>
      <c r="L1967"/>
      <c r="M1967"/>
    </row>
    <row r="1968" spans="3:13" hidden="1" outlineLevel="1" x14ac:dyDescent="0.2">
      <c r="C1968" s="139">
        <v>1742</v>
      </c>
      <c r="D1968" s="248">
        <v>1654.5226</v>
      </c>
      <c r="E1968" s="248">
        <v>1713.6913999999999</v>
      </c>
      <c r="F1968" s="248">
        <v>1745.1232</v>
      </c>
      <c r="G1968" s="248">
        <v>1770.6780000000001</v>
      </c>
      <c r="H1968" s="248">
        <v>1816.3492000000001</v>
      </c>
      <c r="I1968"/>
      <c r="J1968"/>
      <c r="K1968"/>
      <c r="L1968"/>
      <c r="M1968"/>
    </row>
    <row r="1969" spans="3:13" hidden="1" outlineLevel="1" x14ac:dyDescent="0.2">
      <c r="C1969" s="139">
        <v>1743</v>
      </c>
      <c r="D1969" s="248">
        <v>1655.4722999999999</v>
      </c>
      <c r="E1969" s="248">
        <v>1714.6751999999999</v>
      </c>
      <c r="F1969" s="248">
        <v>1746.125</v>
      </c>
      <c r="G1969" s="248">
        <v>1771.6945000000001</v>
      </c>
      <c r="H1969" s="248">
        <v>1817.3919000000001</v>
      </c>
      <c r="I1969"/>
      <c r="J1969"/>
      <c r="K1969"/>
      <c r="L1969"/>
      <c r="M1969"/>
    </row>
    <row r="1970" spans="3:13" hidden="1" outlineLevel="1" x14ac:dyDescent="0.2">
      <c r="C1970" s="139">
        <v>1744</v>
      </c>
      <c r="D1970" s="248">
        <v>1656.4753000000001</v>
      </c>
      <c r="E1970" s="248">
        <v>1715.7121999999999</v>
      </c>
      <c r="F1970" s="248">
        <v>1747.1268</v>
      </c>
      <c r="G1970" s="248">
        <v>1772.711</v>
      </c>
      <c r="H1970" s="248">
        <v>1818.4345000000001</v>
      </c>
      <c r="I1970"/>
      <c r="J1970"/>
      <c r="K1970"/>
      <c r="L1970"/>
      <c r="M1970"/>
    </row>
    <row r="1971" spans="3:13" hidden="1" outlineLevel="1" x14ac:dyDescent="0.2">
      <c r="C1971" s="139">
        <v>1745</v>
      </c>
      <c r="D1971" s="248">
        <v>1657.4784</v>
      </c>
      <c r="E1971" s="248">
        <v>1716.6958999999999</v>
      </c>
      <c r="F1971" s="248">
        <v>1748.1872000000001</v>
      </c>
      <c r="G1971" s="248">
        <v>1773.7860000000001</v>
      </c>
      <c r="H1971" s="248">
        <v>1819.4772</v>
      </c>
      <c r="I1971"/>
      <c r="J1971"/>
      <c r="K1971"/>
      <c r="L1971"/>
      <c r="M1971"/>
    </row>
    <row r="1972" spans="3:13" hidden="1" outlineLevel="1" x14ac:dyDescent="0.2">
      <c r="C1972" s="139">
        <v>1746</v>
      </c>
      <c r="D1972" s="248">
        <v>1658.4283</v>
      </c>
      <c r="E1972" s="248">
        <v>1717.6796999999999</v>
      </c>
      <c r="F1972" s="248">
        <v>1749.1890000000001</v>
      </c>
      <c r="G1972" s="248">
        <v>1774.8025</v>
      </c>
      <c r="H1972" s="248">
        <v>1820.5199</v>
      </c>
      <c r="I1972"/>
      <c r="J1972"/>
      <c r="K1972"/>
      <c r="L1972"/>
      <c r="M1972"/>
    </row>
    <row r="1973" spans="3:13" hidden="1" outlineLevel="1" x14ac:dyDescent="0.2">
      <c r="C1973" s="139">
        <v>1747</v>
      </c>
      <c r="D1973" s="248">
        <v>1659.4313999999999</v>
      </c>
      <c r="E1973" s="248">
        <v>1718.7167999999999</v>
      </c>
      <c r="F1973" s="248">
        <v>1750.1909000000001</v>
      </c>
      <c r="G1973" s="248">
        <v>1775.819</v>
      </c>
      <c r="H1973" s="248">
        <v>1821.6212</v>
      </c>
      <c r="I1973"/>
      <c r="J1973"/>
      <c r="K1973"/>
      <c r="L1973"/>
      <c r="M1973"/>
    </row>
    <row r="1974" spans="3:13" hidden="1" outlineLevel="1" x14ac:dyDescent="0.2">
      <c r="C1974" s="139">
        <v>1748</v>
      </c>
      <c r="D1974" s="248">
        <v>1660.3813</v>
      </c>
      <c r="E1974" s="248">
        <v>1719.7005999999999</v>
      </c>
      <c r="F1974" s="248">
        <v>1751.1927000000001</v>
      </c>
      <c r="G1974" s="248">
        <v>1776.8354999999999</v>
      </c>
      <c r="H1974" s="248">
        <v>1822.6639</v>
      </c>
      <c r="I1974"/>
      <c r="J1974"/>
      <c r="K1974"/>
      <c r="L1974"/>
      <c r="M1974"/>
    </row>
    <row r="1975" spans="3:13" hidden="1" outlineLevel="1" x14ac:dyDescent="0.2">
      <c r="C1975" s="139">
        <v>1749</v>
      </c>
      <c r="D1975" s="248">
        <v>1661.3844999999999</v>
      </c>
      <c r="E1975" s="248">
        <v>1720.6844000000001</v>
      </c>
      <c r="F1975" s="248">
        <v>1752.2532000000001</v>
      </c>
      <c r="G1975" s="248">
        <v>1777.8520000000001</v>
      </c>
      <c r="H1975" s="248">
        <v>1823.7067</v>
      </c>
      <c r="I1975"/>
      <c r="J1975"/>
      <c r="K1975"/>
      <c r="L1975"/>
      <c r="M1975"/>
    </row>
    <row r="1976" spans="3:13" hidden="1" outlineLevel="1" x14ac:dyDescent="0.2">
      <c r="C1976" s="139">
        <v>1750</v>
      </c>
      <c r="D1976" s="248">
        <v>1662.3344</v>
      </c>
      <c r="E1976" s="248">
        <v>1721.7216000000001</v>
      </c>
      <c r="F1976" s="248">
        <v>1753.2551000000001</v>
      </c>
      <c r="G1976" s="248">
        <v>1778.9272000000001</v>
      </c>
      <c r="H1976" s="248">
        <v>1824.7493999999999</v>
      </c>
      <c r="I1976"/>
      <c r="J1976"/>
      <c r="K1976"/>
      <c r="L1976"/>
      <c r="M1976"/>
    </row>
    <row r="1977" spans="3:13" hidden="1" outlineLevel="1" x14ac:dyDescent="0.2">
      <c r="C1977" s="139">
        <v>1751</v>
      </c>
      <c r="D1977" s="248">
        <v>1663.3378</v>
      </c>
      <c r="E1977" s="248">
        <v>1722.7055</v>
      </c>
      <c r="F1977" s="248">
        <v>1754.2569000000001</v>
      </c>
      <c r="G1977" s="248">
        <v>1779.9438</v>
      </c>
      <c r="H1977" s="248">
        <v>1825.7920999999999</v>
      </c>
      <c r="I1977"/>
      <c r="J1977"/>
      <c r="K1977"/>
      <c r="L1977"/>
      <c r="M1977"/>
    </row>
    <row r="1978" spans="3:13" hidden="1" outlineLevel="1" x14ac:dyDescent="0.2">
      <c r="C1978" s="139">
        <v>1752</v>
      </c>
      <c r="D1978" s="248">
        <v>1664.2877000000001</v>
      </c>
      <c r="E1978" s="248">
        <v>1723.6893</v>
      </c>
      <c r="F1978" s="248">
        <v>1755.2588000000001</v>
      </c>
      <c r="G1978" s="248">
        <v>1780.9603</v>
      </c>
      <c r="H1978" s="248">
        <v>1826.8348000000001</v>
      </c>
      <c r="I1978"/>
      <c r="J1978"/>
      <c r="K1978"/>
      <c r="L1978"/>
      <c r="M1978"/>
    </row>
    <row r="1979" spans="3:13" hidden="1" outlineLevel="1" x14ac:dyDescent="0.2">
      <c r="C1979" s="139">
        <v>1753</v>
      </c>
      <c r="D1979" s="248">
        <v>1665.2911999999999</v>
      </c>
      <c r="E1979" s="248">
        <v>1724.7266999999999</v>
      </c>
      <c r="F1979" s="248">
        <v>1756.3195000000001</v>
      </c>
      <c r="G1979" s="248">
        <v>1781.9767999999999</v>
      </c>
      <c r="H1979" s="248">
        <v>1827.9364</v>
      </c>
      <c r="I1979"/>
      <c r="J1979"/>
      <c r="K1979"/>
      <c r="L1979"/>
      <c r="M1979"/>
    </row>
    <row r="1980" spans="3:13" hidden="1" outlineLevel="1" x14ac:dyDescent="0.2">
      <c r="C1980" s="139">
        <v>1754</v>
      </c>
      <c r="D1980" s="248">
        <v>1666.2945999999999</v>
      </c>
      <c r="E1980" s="248">
        <v>1725.7104999999999</v>
      </c>
      <c r="F1980" s="248">
        <v>1757.3214</v>
      </c>
      <c r="G1980" s="248">
        <v>1782.9934000000001</v>
      </c>
      <c r="H1980" s="248">
        <v>1828.9791</v>
      </c>
      <c r="I1980"/>
      <c r="J1980"/>
      <c r="K1980"/>
      <c r="L1980"/>
      <c r="M1980"/>
    </row>
    <row r="1981" spans="3:13" hidden="1" outlineLevel="1" x14ac:dyDescent="0.2">
      <c r="C1981" s="139">
        <v>1755</v>
      </c>
      <c r="D1981" s="248">
        <v>1667.2446</v>
      </c>
      <c r="E1981" s="248">
        <v>1726.748</v>
      </c>
      <c r="F1981" s="248">
        <v>1758.3233</v>
      </c>
      <c r="G1981" s="248">
        <v>1784.0688</v>
      </c>
      <c r="H1981" s="248">
        <v>1830.0219</v>
      </c>
      <c r="I1981"/>
      <c r="J1981"/>
      <c r="K1981"/>
      <c r="L1981"/>
      <c r="M1981"/>
    </row>
    <row r="1982" spans="3:13" hidden="1" outlineLevel="1" x14ac:dyDescent="0.2">
      <c r="C1982" s="139">
        <v>1756</v>
      </c>
      <c r="D1982" s="248">
        <v>1668.2482</v>
      </c>
      <c r="E1982" s="248">
        <v>1727.7319</v>
      </c>
      <c r="F1982" s="248">
        <v>1759.3252</v>
      </c>
      <c r="G1982" s="248">
        <v>1785.0853999999999</v>
      </c>
      <c r="H1982" s="248">
        <v>1831.0645999999999</v>
      </c>
      <c r="I1982"/>
      <c r="J1982"/>
      <c r="K1982"/>
      <c r="L1982"/>
      <c r="M1982"/>
    </row>
    <row r="1983" spans="3:13" hidden="1" outlineLevel="1" x14ac:dyDescent="0.2">
      <c r="C1983" s="139">
        <v>1757</v>
      </c>
      <c r="D1983" s="248">
        <v>1669.1983</v>
      </c>
      <c r="E1983" s="248">
        <v>1728.7157999999999</v>
      </c>
      <c r="F1983" s="248">
        <v>1760.3860999999999</v>
      </c>
      <c r="G1983" s="248">
        <v>1786.1018999999999</v>
      </c>
      <c r="H1983" s="248">
        <v>1832.1074000000001</v>
      </c>
      <c r="I1983"/>
      <c r="J1983"/>
      <c r="K1983"/>
      <c r="L1983"/>
      <c r="M1983"/>
    </row>
    <row r="1984" spans="3:13" hidden="1" outlineLevel="1" x14ac:dyDescent="0.2">
      <c r="C1984" s="139">
        <v>1758</v>
      </c>
      <c r="D1984" s="248">
        <v>1670.2019</v>
      </c>
      <c r="E1984" s="248">
        <v>1729.7533000000001</v>
      </c>
      <c r="F1984" s="248">
        <v>1761.3879999999999</v>
      </c>
      <c r="G1984" s="248">
        <v>1787.1185</v>
      </c>
      <c r="H1984" s="248">
        <v>1833.1501000000001</v>
      </c>
      <c r="I1984"/>
      <c r="J1984"/>
      <c r="K1984"/>
      <c r="L1984"/>
      <c r="M1984"/>
    </row>
    <row r="1985" spans="3:13" hidden="1" outlineLevel="1" x14ac:dyDescent="0.2">
      <c r="C1985" s="139">
        <v>1759</v>
      </c>
      <c r="D1985" s="248">
        <v>1671.152</v>
      </c>
      <c r="E1985" s="248">
        <v>1730.7373</v>
      </c>
      <c r="F1985" s="248">
        <v>1762.3898999999999</v>
      </c>
      <c r="G1985" s="248">
        <v>1788.135</v>
      </c>
      <c r="H1985" s="248">
        <v>1834.1928</v>
      </c>
      <c r="I1985"/>
      <c r="J1985"/>
      <c r="K1985"/>
      <c r="L1985"/>
      <c r="M1985"/>
    </row>
    <row r="1986" spans="3:13" hidden="1" outlineLevel="1" x14ac:dyDescent="0.2">
      <c r="C1986" s="139">
        <v>1760</v>
      </c>
      <c r="D1986" s="248">
        <v>1672.1558</v>
      </c>
      <c r="E1986" s="248">
        <v>1731.7212</v>
      </c>
      <c r="F1986" s="248">
        <v>1763.3918000000001</v>
      </c>
      <c r="G1986" s="248">
        <v>1789.2107000000001</v>
      </c>
      <c r="H1986" s="248">
        <v>1835.2946999999999</v>
      </c>
      <c r="I1986"/>
      <c r="J1986"/>
      <c r="K1986"/>
      <c r="L1986"/>
      <c r="M1986"/>
    </row>
    <row r="1987" spans="3:13" hidden="1" outlineLevel="1" x14ac:dyDescent="0.2">
      <c r="C1987" s="139">
        <v>1761</v>
      </c>
      <c r="D1987" s="248">
        <v>1673.1059</v>
      </c>
      <c r="E1987" s="248">
        <v>1732.7589</v>
      </c>
      <c r="F1987" s="248">
        <v>1764.4529</v>
      </c>
      <c r="G1987" s="248">
        <v>1790.2273</v>
      </c>
      <c r="H1987" s="248">
        <v>1836.3375000000001</v>
      </c>
      <c r="I1987"/>
      <c r="J1987"/>
      <c r="K1987"/>
      <c r="L1987"/>
      <c r="M1987"/>
    </row>
    <row r="1988" spans="3:13" hidden="1" outlineLevel="1" x14ac:dyDescent="0.2">
      <c r="C1988" s="139">
        <v>1762</v>
      </c>
      <c r="D1988" s="248">
        <v>1674.1097</v>
      </c>
      <c r="E1988" s="248">
        <v>1733.7428</v>
      </c>
      <c r="F1988" s="248">
        <v>1765.4548</v>
      </c>
      <c r="G1988" s="248">
        <v>1791.2438999999999</v>
      </c>
      <c r="H1988" s="248">
        <v>1837.3802000000001</v>
      </c>
      <c r="I1988"/>
      <c r="J1988"/>
      <c r="K1988"/>
      <c r="L1988"/>
      <c r="M1988"/>
    </row>
    <row r="1989" spans="3:13" hidden="1" outlineLevel="1" x14ac:dyDescent="0.2">
      <c r="C1989" s="139">
        <v>1763</v>
      </c>
      <c r="D1989" s="248">
        <v>1675.1135999999999</v>
      </c>
      <c r="E1989" s="248">
        <v>1734.7267999999999</v>
      </c>
      <c r="F1989" s="248">
        <v>1766.4567999999999</v>
      </c>
      <c r="G1989" s="248">
        <v>1792.2605000000001</v>
      </c>
      <c r="H1989" s="248">
        <v>1838.423</v>
      </c>
      <c r="I1989"/>
      <c r="J1989"/>
      <c r="K1989"/>
      <c r="L1989"/>
      <c r="M1989"/>
    </row>
    <row r="1990" spans="3:13" hidden="1" outlineLevel="1" x14ac:dyDescent="0.2">
      <c r="C1990" s="139">
        <v>1764</v>
      </c>
      <c r="D1990" s="248">
        <v>1676.0637999999999</v>
      </c>
      <c r="E1990" s="248">
        <v>1735.7646</v>
      </c>
      <c r="F1990" s="248">
        <v>1767.4588000000001</v>
      </c>
      <c r="G1990" s="248">
        <v>1793.2771</v>
      </c>
      <c r="H1990" s="248">
        <v>1839.4657999999999</v>
      </c>
      <c r="I1990"/>
      <c r="J1990"/>
      <c r="K1990"/>
      <c r="L1990"/>
      <c r="M1990"/>
    </row>
    <row r="1991" spans="3:13" hidden="1" outlineLevel="1" x14ac:dyDescent="0.2">
      <c r="C1991" s="139">
        <v>1765</v>
      </c>
      <c r="D1991" s="248">
        <v>1677.0678</v>
      </c>
      <c r="E1991" s="248">
        <v>1736.7485999999999</v>
      </c>
      <c r="F1991" s="248">
        <v>1768.52</v>
      </c>
      <c r="G1991" s="248">
        <v>1794.3529000000001</v>
      </c>
      <c r="H1991" s="248">
        <v>1840.5085999999999</v>
      </c>
      <c r="I1991"/>
      <c r="J1991"/>
      <c r="K1991"/>
      <c r="L1991"/>
      <c r="M1991"/>
    </row>
    <row r="1992" spans="3:13" hidden="1" outlineLevel="1" x14ac:dyDescent="0.2">
      <c r="C1992" s="139">
        <v>1766</v>
      </c>
      <c r="D1992" s="248">
        <v>1678.018</v>
      </c>
      <c r="E1992" s="248">
        <v>1737.7326</v>
      </c>
      <c r="F1992" s="248">
        <v>1769.5219999999999</v>
      </c>
      <c r="G1992" s="248">
        <v>1795.3696</v>
      </c>
      <c r="H1992" s="248">
        <v>1841.5514000000001</v>
      </c>
      <c r="I1992"/>
      <c r="J1992"/>
      <c r="K1992"/>
      <c r="L1992"/>
      <c r="M1992"/>
    </row>
    <row r="1993" spans="3:13" hidden="1" outlineLevel="1" x14ac:dyDescent="0.2">
      <c r="C1993" s="139">
        <v>1767</v>
      </c>
      <c r="D1993" s="248">
        <v>1679.0220999999999</v>
      </c>
      <c r="E1993" s="248">
        <v>1738.7705000000001</v>
      </c>
      <c r="F1993" s="248">
        <v>1770.5239999999999</v>
      </c>
      <c r="G1993" s="248">
        <v>1796.3861999999999</v>
      </c>
      <c r="H1993" s="248">
        <v>1842.6534999999999</v>
      </c>
      <c r="I1993"/>
      <c r="J1993"/>
      <c r="K1993"/>
      <c r="L1993"/>
      <c r="M1993"/>
    </row>
    <row r="1994" spans="3:13" hidden="1" outlineLevel="1" x14ac:dyDescent="0.2">
      <c r="C1994" s="139">
        <v>1768</v>
      </c>
      <c r="D1994" s="248">
        <v>1679.9722999999999</v>
      </c>
      <c r="E1994" s="248">
        <v>1739.7545</v>
      </c>
      <c r="F1994" s="248">
        <v>1771.5260000000001</v>
      </c>
      <c r="G1994" s="248">
        <v>1797.4028000000001</v>
      </c>
      <c r="H1994" s="248">
        <v>1843.6963000000001</v>
      </c>
      <c r="I1994"/>
      <c r="J1994"/>
      <c r="K1994"/>
      <c r="L1994"/>
      <c r="M1994"/>
    </row>
    <row r="1995" spans="3:13" hidden="1" outlineLevel="1" x14ac:dyDescent="0.2">
      <c r="C1995" s="139">
        <v>1769</v>
      </c>
      <c r="D1995" s="248">
        <v>1680.9765</v>
      </c>
      <c r="E1995" s="248">
        <v>1740.7384999999999</v>
      </c>
      <c r="F1995" s="248">
        <v>1772.5872999999999</v>
      </c>
      <c r="G1995" s="248">
        <v>1798.4195</v>
      </c>
      <c r="H1995" s="248">
        <v>1844.7391</v>
      </c>
      <c r="I1995"/>
      <c r="J1995"/>
      <c r="K1995"/>
      <c r="L1995"/>
      <c r="M1995"/>
    </row>
    <row r="1996" spans="3:13" hidden="1" outlineLevel="1" x14ac:dyDescent="0.2">
      <c r="C1996" s="139">
        <v>1770</v>
      </c>
      <c r="D1996" s="248">
        <v>1681.9267</v>
      </c>
      <c r="E1996" s="248">
        <v>1741.7765999999999</v>
      </c>
      <c r="F1996" s="248">
        <v>1773.5894000000001</v>
      </c>
      <c r="G1996" s="248">
        <v>1799.4955</v>
      </c>
      <c r="H1996" s="248">
        <v>1845.7819</v>
      </c>
      <c r="I1996"/>
      <c r="J1996"/>
      <c r="K1996"/>
      <c r="L1996"/>
      <c r="M1996"/>
    </row>
    <row r="1997" spans="3:13" hidden="1" outlineLevel="1" x14ac:dyDescent="0.2">
      <c r="C1997" s="139">
        <v>1771</v>
      </c>
      <c r="D1997" s="248">
        <v>1682.931</v>
      </c>
      <c r="E1997" s="248">
        <v>1742.7606000000001</v>
      </c>
      <c r="F1997" s="248">
        <v>1774.5914</v>
      </c>
      <c r="G1997" s="248">
        <v>1800.5121999999999</v>
      </c>
      <c r="H1997" s="248">
        <v>1846.8246999999999</v>
      </c>
      <c r="I1997"/>
      <c r="J1997"/>
      <c r="K1997"/>
      <c r="L1997"/>
      <c r="M1997"/>
    </row>
    <row r="1998" spans="3:13" hidden="1" outlineLevel="1" x14ac:dyDescent="0.2">
      <c r="C1998" s="139">
        <v>1772</v>
      </c>
      <c r="D1998" s="248">
        <v>1683.9354000000001</v>
      </c>
      <c r="E1998" s="248">
        <v>1743.7447</v>
      </c>
      <c r="F1998" s="248">
        <v>1775.5934</v>
      </c>
      <c r="G1998" s="248">
        <v>1801.5288</v>
      </c>
      <c r="H1998" s="248">
        <v>1847.8675000000001</v>
      </c>
      <c r="I1998"/>
      <c r="J1998"/>
      <c r="K1998"/>
      <c r="L1998"/>
      <c r="M1998"/>
    </row>
    <row r="1999" spans="3:13" hidden="1" outlineLevel="1" x14ac:dyDescent="0.2">
      <c r="C1999" s="139">
        <v>1773</v>
      </c>
      <c r="D1999" s="248">
        <v>1684.8857</v>
      </c>
      <c r="E1999" s="248">
        <v>1744.7828999999999</v>
      </c>
      <c r="F1999" s="248">
        <v>1776.655</v>
      </c>
      <c r="G1999" s="248">
        <v>1802.5454999999999</v>
      </c>
      <c r="H1999" s="248">
        <v>1848.9104</v>
      </c>
      <c r="I1999"/>
      <c r="J1999"/>
      <c r="K1999"/>
      <c r="L1999"/>
      <c r="M1999"/>
    </row>
    <row r="2000" spans="3:13" hidden="1" outlineLevel="1" x14ac:dyDescent="0.2">
      <c r="C2000" s="139">
        <v>1774</v>
      </c>
      <c r="D2000" s="248">
        <v>1685.8901000000001</v>
      </c>
      <c r="E2000" s="248">
        <v>1745.7669000000001</v>
      </c>
      <c r="F2000" s="248">
        <v>1777.6569999999999</v>
      </c>
      <c r="G2000" s="248">
        <v>1803.5622000000001</v>
      </c>
      <c r="H2000" s="248">
        <v>1850.0127</v>
      </c>
      <c r="I2000"/>
      <c r="J2000"/>
      <c r="K2000"/>
      <c r="L2000"/>
      <c r="M2000"/>
    </row>
    <row r="2001" spans="3:13" hidden="1" outlineLevel="1" x14ac:dyDescent="0.2">
      <c r="C2001" s="139">
        <v>1775</v>
      </c>
      <c r="D2001" s="248">
        <v>1686.8404</v>
      </c>
      <c r="E2001" s="248">
        <v>1746.751</v>
      </c>
      <c r="F2001" s="248">
        <v>1778.6591000000001</v>
      </c>
      <c r="G2001" s="248">
        <v>1804.6384</v>
      </c>
      <c r="H2001" s="248">
        <v>1851.0555999999999</v>
      </c>
      <c r="I2001"/>
      <c r="J2001"/>
      <c r="K2001"/>
      <c r="L2001"/>
      <c r="M2001"/>
    </row>
    <row r="2002" spans="3:13" hidden="1" outlineLevel="1" x14ac:dyDescent="0.2">
      <c r="C2002" s="139">
        <v>1776</v>
      </c>
      <c r="D2002" s="248">
        <v>1687.845</v>
      </c>
      <c r="E2002" s="248">
        <v>1747.7892999999999</v>
      </c>
      <c r="F2002" s="248">
        <v>1779.6612</v>
      </c>
      <c r="G2002" s="248">
        <v>1805.6550999999999</v>
      </c>
      <c r="H2002" s="248">
        <v>1852.0984000000001</v>
      </c>
      <c r="I2002"/>
      <c r="J2002"/>
      <c r="K2002"/>
      <c r="L2002"/>
      <c r="M2002"/>
    </row>
    <row r="2003" spans="3:13" hidden="1" outlineLevel="1" x14ac:dyDescent="0.2">
      <c r="C2003" s="139">
        <v>1777</v>
      </c>
      <c r="D2003" s="248">
        <v>1688.7953</v>
      </c>
      <c r="E2003" s="248">
        <v>1748.7734</v>
      </c>
      <c r="F2003" s="248">
        <v>1780.7229</v>
      </c>
      <c r="G2003" s="248">
        <v>1806.6718000000001</v>
      </c>
      <c r="H2003" s="248">
        <v>1853.1413</v>
      </c>
      <c r="I2003"/>
      <c r="J2003"/>
      <c r="K2003"/>
      <c r="L2003"/>
      <c r="M2003"/>
    </row>
    <row r="2004" spans="3:13" hidden="1" outlineLevel="1" x14ac:dyDescent="0.2">
      <c r="C2004" s="139">
        <v>1778</v>
      </c>
      <c r="D2004" s="248">
        <v>1689.8</v>
      </c>
      <c r="E2004" s="248">
        <v>1749.7574999999999</v>
      </c>
      <c r="F2004" s="248">
        <v>1781.7249999999999</v>
      </c>
      <c r="G2004" s="248">
        <v>1807.6885</v>
      </c>
      <c r="H2004" s="248">
        <v>1854.1840999999999</v>
      </c>
      <c r="I2004"/>
      <c r="J2004"/>
      <c r="K2004"/>
      <c r="L2004"/>
      <c r="M2004"/>
    </row>
    <row r="2005" spans="3:13" hidden="1" outlineLevel="1" x14ac:dyDescent="0.2">
      <c r="C2005" s="139">
        <v>1779</v>
      </c>
      <c r="D2005" s="248">
        <v>1690.7503999999999</v>
      </c>
      <c r="E2005" s="248">
        <v>1750.7959000000001</v>
      </c>
      <c r="F2005" s="248">
        <v>1782.7271000000001</v>
      </c>
      <c r="G2005" s="248">
        <v>1808.7052000000001</v>
      </c>
      <c r="H2005" s="248">
        <v>1855.2270000000001</v>
      </c>
      <c r="I2005"/>
      <c r="J2005"/>
      <c r="K2005"/>
      <c r="L2005"/>
      <c r="M2005"/>
    </row>
    <row r="2006" spans="3:13" hidden="1" outlineLevel="1" x14ac:dyDescent="0.2">
      <c r="C2006" s="139">
        <v>1780</v>
      </c>
      <c r="D2006" s="248">
        <v>1691.7551000000001</v>
      </c>
      <c r="E2006" s="248">
        <v>1751.7800999999999</v>
      </c>
      <c r="F2006" s="248">
        <v>1783.7292</v>
      </c>
      <c r="G2006" s="248">
        <v>1809.7816</v>
      </c>
      <c r="H2006" s="248">
        <v>1856.3296</v>
      </c>
      <c r="I2006"/>
      <c r="J2006"/>
      <c r="K2006"/>
      <c r="L2006"/>
      <c r="M2006"/>
    </row>
    <row r="2007" spans="3:13" hidden="1" outlineLevel="1" x14ac:dyDescent="0.2">
      <c r="C2007" s="139">
        <v>1781</v>
      </c>
      <c r="D2007" s="248">
        <v>1692.7055</v>
      </c>
      <c r="E2007" s="248">
        <v>1752.7642000000001</v>
      </c>
      <c r="F2007" s="248">
        <v>1784.7909999999999</v>
      </c>
      <c r="G2007" s="248">
        <v>1810.7983999999999</v>
      </c>
      <c r="H2007" s="248">
        <v>1857.3724</v>
      </c>
      <c r="I2007"/>
      <c r="J2007"/>
      <c r="K2007"/>
      <c r="L2007"/>
      <c r="M2007"/>
    </row>
    <row r="2008" spans="3:13" hidden="1" outlineLevel="1" x14ac:dyDescent="0.2">
      <c r="C2008" s="139">
        <v>1782</v>
      </c>
      <c r="D2008" s="248">
        <v>1693.7103</v>
      </c>
      <c r="E2008" s="248">
        <v>1753.8027999999999</v>
      </c>
      <c r="F2008" s="248">
        <v>1785.7932000000001</v>
      </c>
      <c r="G2008" s="248">
        <v>1811.8151</v>
      </c>
      <c r="H2008" s="248">
        <v>1858.4152999999999</v>
      </c>
      <c r="I2008"/>
      <c r="J2008"/>
      <c r="K2008"/>
      <c r="L2008"/>
      <c r="M2008"/>
    </row>
    <row r="2009" spans="3:13" hidden="1" outlineLevel="1" x14ac:dyDescent="0.2">
      <c r="C2009" s="139">
        <v>1783</v>
      </c>
      <c r="D2009" s="248">
        <v>1694.7152000000001</v>
      </c>
      <c r="E2009" s="248">
        <v>1754.7869000000001</v>
      </c>
      <c r="F2009" s="248">
        <v>1786.7953</v>
      </c>
      <c r="G2009" s="248">
        <v>1812.8317999999999</v>
      </c>
      <c r="H2009" s="248">
        <v>1859.4582</v>
      </c>
      <c r="I2009"/>
      <c r="J2009"/>
      <c r="K2009"/>
      <c r="L2009"/>
      <c r="M2009"/>
    </row>
    <row r="2010" spans="3:13" hidden="1" outlineLevel="1" x14ac:dyDescent="0.2">
      <c r="C2010" s="139">
        <v>1784</v>
      </c>
      <c r="D2010" s="248">
        <v>1695.6656</v>
      </c>
      <c r="E2010" s="248">
        <v>1755.8255999999999</v>
      </c>
      <c r="F2010" s="248">
        <v>1787.7973999999999</v>
      </c>
      <c r="G2010" s="248">
        <v>1813.8486</v>
      </c>
      <c r="H2010" s="248">
        <v>1860.5011</v>
      </c>
      <c r="I2010"/>
      <c r="J2010"/>
      <c r="K2010"/>
      <c r="L2010"/>
      <c r="M2010"/>
    </row>
    <row r="2011" spans="3:13" hidden="1" outlineLevel="1" x14ac:dyDescent="0.2">
      <c r="C2011" s="139">
        <v>1785</v>
      </c>
      <c r="D2011" s="248">
        <v>1696.6705999999999</v>
      </c>
      <c r="E2011" s="248">
        <v>1756.8098</v>
      </c>
      <c r="F2011" s="248">
        <v>1788.8595</v>
      </c>
      <c r="G2011" s="248">
        <v>1814.9251999999999</v>
      </c>
      <c r="H2011" s="248">
        <v>1861.5440000000001</v>
      </c>
      <c r="I2011"/>
      <c r="J2011"/>
      <c r="K2011"/>
      <c r="L2011"/>
      <c r="M2011"/>
    </row>
    <row r="2012" spans="3:13" hidden="1" outlineLevel="1" x14ac:dyDescent="0.2">
      <c r="C2012" s="139">
        <v>1786</v>
      </c>
      <c r="D2012" s="248">
        <v>1697.6211000000001</v>
      </c>
      <c r="E2012" s="248">
        <v>1757.7940000000001</v>
      </c>
      <c r="F2012" s="248">
        <v>1789.8616</v>
      </c>
      <c r="G2012" s="248">
        <v>1815.942</v>
      </c>
      <c r="H2012" s="248">
        <v>1862.5868</v>
      </c>
      <c r="I2012"/>
      <c r="J2012"/>
      <c r="K2012"/>
      <c r="L2012"/>
      <c r="M2012"/>
    </row>
    <row r="2013" spans="3:13" hidden="1" outlineLevel="1" x14ac:dyDescent="0.2">
      <c r="C2013" s="139">
        <v>1787</v>
      </c>
      <c r="D2013" s="248">
        <v>1698.6261999999999</v>
      </c>
      <c r="E2013" s="248">
        <v>1758.8326999999999</v>
      </c>
      <c r="F2013" s="248">
        <v>1790.8638000000001</v>
      </c>
      <c r="G2013" s="248">
        <v>1816.9588000000001</v>
      </c>
      <c r="H2013" s="248">
        <v>1863.6896999999999</v>
      </c>
      <c r="I2013"/>
      <c r="J2013"/>
      <c r="K2013"/>
      <c r="L2013"/>
      <c r="M2013"/>
    </row>
    <row r="2014" spans="3:13" hidden="1" outlineLevel="1" x14ac:dyDescent="0.2">
      <c r="C2014" s="139">
        <v>1788</v>
      </c>
      <c r="D2014" s="248">
        <v>1699.5767000000001</v>
      </c>
      <c r="E2014" s="248">
        <v>1759.817</v>
      </c>
      <c r="F2014" s="248">
        <v>1791.866</v>
      </c>
      <c r="G2014" s="248">
        <v>1817.9755</v>
      </c>
      <c r="H2014" s="248">
        <v>1864.7326</v>
      </c>
      <c r="I2014"/>
      <c r="J2014"/>
      <c r="K2014"/>
      <c r="L2014"/>
      <c r="M2014"/>
    </row>
    <row r="2015" spans="3:13" hidden="1" outlineLevel="1" x14ac:dyDescent="0.2">
      <c r="C2015" s="139">
        <v>1789</v>
      </c>
      <c r="D2015" s="248">
        <v>1700.5818999999999</v>
      </c>
      <c r="E2015" s="248">
        <v>1760.8012000000001</v>
      </c>
      <c r="F2015" s="248">
        <v>1792.8680999999999</v>
      </c>
      <c r="G2015" s="248">
        <v>1818.9922999999999</v>
      </c>
      <c r="H2015" s="248">
        <v>1865.7755999999999</v>
      </c>
      <c r="I2015"/>
      <c r="J2015"/>
      <c r="K2015"/>
      <c r="L2015"/>
      <c r="M2015"/>
    </row>
    <row r="2016" spans="3:13" hidden="1" outlineLevel="1" x14ac:dyDescent="0.2">
      <c r="C2016" s="139">
        <v>1790</v>
      </c>
      <c r="D2016" s="248">
        <v>1701.5324000000001</v>
      </c>
      <c r="E2016" s="248">
        <v>1761.8400999999999</v>
      </c>
      <c r="F2016" s="248">
        <v>1793.9304</v>
      </c>
      <c r="G2016" s="248">
        <v>1820.0690999999999</v>
      </c>
      <c r="H2016" s="248">
        <v>1866.8185000000001</v>
      </c>
      <c r="I2016"/>
      <c r="J2016"/>
      <c r="K2016"/>
      <c r="L2016"/>
      <c r="M2016"/>
    </row>
    <row r="2017" spans="3:13" hidden="1" outlineLevel="1" x14ac:dyDescent="0.2">
      <c r="C2017" s="139">
        <v>1791</v>
      </c>
      <c r="D2017" s="248">
        <v>1702.5377000000001</v>
      </c>
      <c r="E2017" s="248">
        <v>1762.8243</v>
      </c>
      <c r="F2017" s="248">
        <v>1794.9326000000001</v>
      </c>
      <c r="G2017" s="248">
        <v>1821.0859</v>
      </c>
      <c r="H2017" s="248">
        <v>1867.8614</v>
      </c>
      <c r="I2017"/>
      <c r="J2017"/>
      <c r="K2017"/>
      <c r="L2017"/>
      <c r="M2017"/>
    </row>
    <row r="2018" spans="3:13" hidden="1" outlineLevel="1" x14ac:dyDescent="0.2">
      <c r="C2018" s="139">
        <v>1792</v>
      </c>
      <c r="D2018" s="248">
        <v>1703.4883</v>
      </c>
      <c r="E2018" s="248">
        <v>1763.8086000000001</v>
      </c>
      <c r="F2018" s="248">
        <v>1795.9348</v>
      </c>
      <c r="G2018" s="248">
        <v>1822.1026999999999</v>
      </c>
      <c r="H2018" s="248">
        <v>1868.9042999999999</v>
      </c>
      <c r="I2018"/>
      <c r="J2018"/>
      <c r="K2018"/>
      <c r="L2018"/>
      <c r="M2018"/>
    </row>
    <row r="2019" spans="3:13" hidden="1" outlineLevel="1" x14ac:dyDescent="0.2">
      <c r="C2019" s="139">
        <v>1793</v>
      </c>
      <c r="D2019" s="248">
        <v>1704.4936</v>
      </c>
      <c r="E2019" s="248">
        <v>1764.8476000000001</v>
      </c>
      <c r="F2019" s="248">
        <v>1796.9369999999999</v>
      </c>
      <c r="G2019" s="248">
        <v>1823.1195</v>
      </c>
      <c r="H2019" s="248">
        <v>1869.9472000000001</v>
      </c>
      <c r="I2019"/>
      <c r="J2019"/>
      <c r="K2019"/>
      <c r="L2019"/>
      <c r="M2019"/>
    </row>
    <row r="2020" spans="3:13" hidden="1" outlineLevel="1" x14ac:dyDescent="0.2">
      <c r="C2020" s="139">
        <v>1794</v>
      </c>
      <c r="D2020" s="248">
        <v>1705.499</v>
      </c>
      <c r="E2020" s="248">
        <v>1765.8318999999999</v>
      </c>
      <c r="F2020" s="248">
        <v>1797.9993999999999</v>
      </c>
      <c r="G2020" s="248">
        <v>1824.1362999999999</v>
      </c>
      <c r="H2020" s="248">
        <v>1871.0504000000001</v>
      </c>
      <c r="I2020"/>
      <c r="J2020"/>
      <c r="K2020"/>
      <c r="L2020"/>
      <c r="M2020"/>
    </row>
    <row r="2021" spans="3:13" hidden="1" outlineLevel="1" x14ac:dyDescent="0.2">
      <c r="C2021" s="139">
        <v>1795</v>
      </c>
      <c r="D2021" s="248">
        <v>1706.4496999999999</v>
      </c>
      <c r="E2021" s="248">
        <v>1766.8162</v>
      </c>
      <c r="F2021" s="248">
        <v>1799.0016000000001</v>
      </c>
      <c r="G2021" s="248">
        <v>1825.2134000000001</v>
      </c>
      <c r="H2021" s="248">
        <v>1872.0933</v>
      </c>
      <c r="I2021"/>
      <c r="J2021"/>
      <c r="K2021"/>
      <c r="L2021"/>
      <c r="M2021"/>
    </row>
    <row r="2022" spans="3:13" hidden="1" outlineLevel="1" x14ac:dyDescent="0.2">
      <c r="C2022" s="139">
        <v>1796</v>
      </c>
      <c r="D2022" s="248">
        <v>1707.4550999999999</v>
      </c>
      <c r="E2022" s="248">
        <v>1767.8552999999999</v>
      </c>
      <c r="F2022" s="248">
        <v>1800.0038</v>
      </c>
      <c r="G2022" s="248">
        <v>1826.2302</v>
      </c>
      <c r="H2022" s="248">
        <v>1873.1361999999999</v>
      </c>
      <c r="I2022"/>
      <c r="J2022"/>
      <c r="K2022"/>
      <c r="L2022"/>
      <c r="M2022"/>
    </row>
    <row r="2023" spans="3:13" hidden="1" outlineLevel="1" x14ac:dyDescent="0.2">
      <c r="C2023" s="139">
        <v>1797</v>
      </c>
      <c r="D2023" s="248">
        <v>1708.4058</v>
      </c>
      <c r="E2023" s="248">
        <v>1768.8396</v>
      </c>
      <c r="F2023" s="248">
        <v>1801.0061000000001</v>
      </c>
      <c r="G2023" s="248">
        <v>1827.2471</v>
      </c>
      <c r="H2023" s="248">
        <v>1874.1792</v>
      </c>
      <c r="I2023"/>
      <c r="J2023"/>
      <c r="K2023"/>
      <c r="L2023"/>
      <c r="M2023"/>
    </row>
    <row r="2024" spans="3:13" hidden="1" outlineLevel="1" x14ac:dyDescent="0.2">
      <c r="C2024" s="139">
        <v>1798</v>
      </c>
      <c r="D2024" s="248">
        <v>1709.4114</v>
      </c>
      <c r="E2024" s="248">
        <v>1769.8239000000001</v>
      </c>
      <c r="F2024" s="248">
        <v>1802.0687</v>
      </c>
      <c r="G2024" s="248">
        <v>1828.2638999999999</v>
      </c>
      <c r="H2024" s="248">
        <v>1875.2221</v>
      </c>
      <c r="I2024"/>
      <c r="J2024"/>
      <c r="K2024"/>
      <c r="L2024"/>
      <c r="M2024"/>
    </row>
    <row r="2025" spans="3:13" hidden="1" outlineLevel="1" x14ac:dyDescent="0.2">
      <c r="C2025" s="139">
        <v>1799</v>
      </c>
      <c r="D2025" s="248">
        <v>1710.3621000000001</v>
      </c>
      <c r="E2025" s="248">
        <v>1770.8632</v>
      </c>
      <c r="F2025" s="248">
        <v>1803.0708999999999</v>
      </c>
      <c r="G2025" s="248">
        <v>1829.2807</v>
      </c>
      <c r="H2025" s="248">
        <v>1876.2651000000001</v>
      </c>
      <c r="I2025"/>
      <c r="J2025"/>
      <c r="K2025"/>
      <c r="L2025"/>
      <c r="M2025"/>
    </row>
    <row r="2026" spans="3:13" hidden="1" outlineLevel="1" x14ac:dyDescent="0.2">
      <c r="C2026" s="139">
        <v>1800</v>
      </c>
      <c r="D2026" s="248">
        <v>1711.3678</v>
      </c>
      <c r="E2026" s="248">
        <v>1771.8475000000001</v>
      </c>
      <c r="F2026" s="248">
        <v>1804.0732</v>
      </c>
      <c r="G2026" s="248">
        <v>1830.3579999999999</v>
      </c>
      <c r="H2026" s="248">
        <v>1877.308</v>
      </c>
      <c r="I2026"/>
      <c r="J2026"/>
      <c r="K2026"/>
      <c r="L2026"/>
      <c r="M2026"/>
    </row>
    <row r="2027" spans="3:13" hidden="1" outlineLevel="1" x14ac:dyDescent="0.2">
      <c r="C2027" s="139">
        <v>1801</v>
      </c>
      <c r="D2027" s="248">
        <v>1712.3186000000001</v>
      </c>
      <c r="E2027" s="248">
        <v>1772.8318999999999</v>
      </c>
      <c r="F2027" s="248">
        <v>1805.0753999999999</v>
      </c>
      <c r="G2027" s="248">
        <v>1831.3748000000001</v>
      </c>
      <c r="H2027" s="248">
        <v>1878.4114999999999</v>
      </c>
      <c r="I2027"/>
      <c r="J2027"/>
      <c r="K2027"/>
      <c r="L2027"/>
      <c r="M2027"/>
    </row>
    <row r="2028" spans="3:13" hidden="1" outlineLevel="1" x14ac:dyDescent="0.2">
      <c r="C2028" s="139">
        <v>1802</v>
      </c>
      <c r="D2028" s="248">
        <v>1713.3243</v>
      </c>
      <c r="E2028" s="248">
        <v>1773.8712</v>
      </c>
      <c r="F2028" s="248">
        <v>1806.1382000000001</v>
      </c>
      <c r="G2028" s="248">
        <v>1832.3916999999999</v>
      </c>
      <c r="H2028" s="248">
        <v>1879.4544000000001</v>
      </c>
      <c r="I2028"/>
      <c r="J2028"/>
      <c r="K2028"/>
      <c r="L2028"/>
      <c r="M2028"/>
    </row>
    <row r="2029" spans="3:13" hidden="1" outlineLevel="1" x14ac:dyDescent="0.2">
      <c r="C2029" s="139">
        <v>1803</v>
      </c>
      <c r="D2029" s="248">
        <v>1714.2751000000001</v>
      </c>
      <c r="E2029" s="248">
        <v>1774.8556000000001</v>
      </c>
      <c r="F2029" s="248">
        <v>1807.1405</v>
      </c>
      <c r="G2029" s="248">
        <v>1833.4086</v>
      </c>
      <c r="H2029" s="248">
        <v>1880.4974</v>
      </c>
      <c r="I2029"/>
      <c r="J2029"/>
      <c r="K2029"/>
      <c r="L2029"/>
      <c r="M2029"/>
    </row>
    <row r="2030" spans="3:13" hidden="1" outlineLevel="1" x14ac:dyDescent="0.2">
      <c r="C2030" s="139">
        <v>1804</v>
      </c>
      <c r="D2030" s="248">
        <v>1715.2809</v>
      </c>
      <c r="E2030" s="248">
        <v>1775.84</v>
      </c>
      <c r="F2030" s="248">
        <v>1808.1428000000001</v>
      </c>
      <c r="G2030" s="248">
        <v>1834.4254000000001</v>
      </c>
      <c r="H2030" s="248">
        <v>1881.5404000000001</v>
      </c>
      <c r="I2030"/>
      <c r="J2030"/>
      <c r="K2030"/>
      <c r="L2030"/>
      <c r="M2030"/>
    </row>
    <row r="2031" spans="3:13" hidden="1" outlineLevel="1" x14ac:dyDescent="0.2">
      <c r="C2031" s="139">
        <v>1805</v>
      </c>
      <c r="D2031" s="248">
        <v>1716.2318</v>
      </c>
      <c r="E2031" s="248">
        <v>1776.8795</v>
      </c>
      <c r="F2031" s="248">
        <v>1809.1451</v>
      </c>
      <c r="G2031" s="248">
        <v>1835.5029</v>
      </c>
      <c r="H2031" s="248">
        <v>1882.5834</v>
      </c>
      <c r="I2031"/>
      <c r="J2031"/>
      <c r="K2031"/>
      <c r="L2031"/>
      <c r="M2031"/>
    </row>
    <row r="2032" spans="3:13" hidden="1" outlineLevel="1" x14ac:dyDescent="0.2">
      <c r="C2032" s="139">
        <v>1806</v>
      </c>
      <c r="D2032" s="248">
        <v>1717.2376999999999</v>
      </c>
      <c r="E2032" s="248">
        <v>1777.8639000000001</v>
      </c>
      <c r="F2032" s="248">
        <v>1810.2080000000001</v>
      </c>
      <c r="G2032" s="248">
        <v>1836.5198</v>
      </c>
      <c r="H2032" s="248">
        <v>1883.6264000000001</v>
      </c>
      <c r="I2032"/>
      <c r="J2032"/>
      <c r="K2032"/>
      <c r="L2032"/>
      <c r="M2032"/>
    </row>
    <row r="2033" spans="3:13" hidden="1" outlineLevel="1" x14ac:dyDescent="0.2">
      <c r="C2033" s="139">
        <v>1807</v>
      </c>
      <c r="D2033" s="248">
        <v>1718.1886</v>
      </c>
      <c r="E2033" s="248">
        <v>1778.8483000000001</v>
      </c>
      <c r="F2033" s="248">
        <v>1811.2103</v>
      </c>
      <c r="G2033" s="248">
        <v>1837.5367000000001</v>
      </c>
      <c r="H2033" s="248">
        <v>1884.6693</v>
      </c>
      <c r="I2033"/>
      <c r="J2033"/>
      <c r="K2033"/>
      <c r="L2033"/>
      <c r="M2033"/>
    </row>
    <row r="2034" spans="3:13" hidden="1" outlineLevel="1" x14ac:dyDescent="0.2">
      <c r="C2034" s="139">
        <v>1808</v>
      </c>
      <c r="D2034" s="248">
        <v>1719.1946</v>
      </c>
      <c r="E2034" s="248">
        <v>1779.8878999999999</v>
      </c>
      <c r="F2034" s="248">
        <v>1812.2127</v>
      </c>
      <c r="G2034" s="248">
        <v>1838.5536</v>
      </c>
      <c r="H2034" s="248">
        <v>1885.7729999999999</v>
      </c>
      <c r="I2034"/>
      <c r="J2034"/>
      <c r="K2034"/>
      <c r="L2034"/>
      <c r="M2034"/>
    </row>
    <row r="2035" spans="3:13" hidden="1" outlineLevel="1" x14ac:dyDescent="0.2">
      <c r="C2035" s="139">
        <v>1809</v>
      </c>
      <c r="D2035" s="248">
        <v>1720.2007000000001</v>
      </c>
      <c r="E2035" s="248">
        <v>1780.8724</v>
      </c>
      <c r="F2035" s="248">
        <v>1813.2149999999999</v>
      </c>
      <c r="G2035" s="248">
        <v>1839.5705</v>
      </c>
      <c r="H2035" s="248">
        <v>1886.816</v>
      </c>
      <c r="I2035"/>
      <c r="J2035"/>
      <c r="K2035"/>
      <c r="L2035"/>
      <c r="M2035"/>
    </row>
    <row r="2036" spans="3:13" hidden="1" outlineLevel="1" x14ac:dyDescent="0.2">
      <c r="C2036" s="139">
        <v>1810</v>
      </c>
      <c r="D2036" s="248">
        <v>1721.1515999999999</v>
      </c>
      <c r="E2036" s="248">
        <v>1781.8568</v>
      </c>
      <c r="F2036" s="248">
        <v>1814.2173</v>
      </c>
      <c r="G2036" s="248">
        <v>1840.6481000000001</v>
      </c>
      <c r="H2036" s="248">
        <v>1887.8590999999999</v>
      </c>
      <c r="I2036"/>
      <c r="J2036"/>
      <c r="K2036"/>
      <c r="L2036"/>
      <c r="M2036"/>
    </row>
    <row r="2037" spans="3:13" hidden="1" outlineLevel="1" x14ac:dyDescent="0.2">
      <c r="C2037" s="139">
        <v>1811</v>
      </c>
      <c r="D2037" s="248">
        <v>1722.1578</v>
      </c>
      <c r="E2037" s="248">
        <v>1782.8966</v>
      </c>
      <c r="F2037" s="248">
        <v>1815.2805000000001</v>
      </c>
      <c r="G2037" s="248">
        <v>1841.6650999999999</v>
      </c>
      <c r="H2037" s="248">
        <v>1888.9021</v>
      </c>
      <c r="I2037"/>
      <c r="J2037"/>
      <c r="K2037"/>
      <c r="L2037"/>
      <c r="M2037"/>
    </row>
    <row r="2038" spans="3:13" hidden="1" outlineLevel="1" x14ac:dyDescent="0.2">
      <c r="C2038" s="139">
        <v>1812</v>
      </c>
      <c r="D2038" s="248">
        <v>1723.1087</v>
      </c>
      <c r="E2038" s="248">
        <v>1783.8810000000001</v>
      </c>
      <c r="F2038" s="248">
        <v>1816.2828</v>
      </c>
      <c r="G2038" s="248">
        <v>1842.682</v>
      </c>
      <c r="H2038" s="248">
        <v>1889.9450999999999</v>
      </c>
      <c r="I2038"/>
      <c r="J2038"/>
      <c r="K2038"/>
      <c r="L2038"/>
      <c r="M2038"/>
    </row>
    <row r="2039" spans="3:13" hidden="1" outlineLevel="1" x14ac:dyDescent="0.2">
      <c r="C2039" s="139">
        <v>1813</v>
      </c>
      <c r="D2039" s="248">
        <v>1724.115</v>
      </c>
      <c r="E2039" s="248">
        <v>1784.8655000000001</v>
      </c>
      <c r="F2039" s="248">
        <v>1817.2852</v>
      </c>
      <c r="G2039" s="248">
        <v>1843.6989000000001</v>
      </c>
      <c r="H2039" s="248">
        <v>1890.9881</v>
      </c>
      <c r="I2039"/>
      <c r="J2039"/>
      <c r="K2039"/>
      <c r="L2039"/>
      <c r="M2039"/>
    </row>
    <row r="2040" spans="3:13" hidden="1" outlineLevel="1" x14ac:dyDescent="0.2">
      <c r="C2040" s="139">
        <v>1814</v>
      </c>
      <c r="D2040" s="248">
        <v>1725.0659000000001</v>
      </c>
      <c r="E2040" s="248">
        <v>1785.9054000000001</v>
      </c>
      <c r="F2040" s="248">
        <v>1818.2874999999999</v>
      </c>
      <c r="G2040" s="248">
        <v>1844.7158999999999</v>
      </c>
      <c r="H2040" s="248">
        <v>1892.0310999999999</v>
      </c>
      <c r="I2040"/>
      <c r="J2040"/>
      <c r="K2040"/>
      <c r="L2040"/>
      <c r="M2040"/>
    </row>
    <row r="2041" spans="3:13" hidden="1" outlineLevel="1" x14ac:dyDescent="0.2">
      <c r="C2041" s="139">
        <v>1815</v>
      </c>
      <c r="D2041" s="248">
        <v>1726.0723</v>
      </c>
      <c r="E2041" s="248">
        <v>1786.8898999999999</v>
      </c>
      <c r="F2041" s="248">
        <v>1819.3507999999999</v>
      </c>
      <c r="G2041" s="248">
        <v>1845.7936999999999</v>
      </c>
      <c r="H2041" s="248">
        <v>1893.1351</v>
      </c>
      <c r="I2041"/>
      <c r="J2041"/>
      <c r="K2041"/>
      <c r="L2041"/>
      <c r="M2041"/>
    </row>
    <row r="2042" spans="3:13" hidden="1" outlineLevel="1" x14ac:dyDescent="0.2">
      <c r="C2042" s="139">
        <v>1816</v>
      </c>
      <c r="D2042" s="248">
        <v>1727.0233000000001</v>
      </c>
      <c r="E2042" s="248">
        <v>1787.8743999999999</v>
      </c>
      <c r="F2042" s="248">
        <v>1820.3532</v>
      </c>
      <c r="G2042" s="248">
        <v>1846.8107</v>
      </c>
      <c r="H2042" s="248">
        <v>1894.1781000000001</v>
      </c>
      <c r="I2042"/>
      <c r="J2042"/>
      <c r="K2042"/>
      <c r="L2042"/>
      <c r="M2042"/>
    </row>
    <row r="2043" spans="3:13" hidden="1" outlineLevel="1" x14ac:dyDescent="0.2">
      <c r="C2043" s="139">
        <v>1817</v>
      </c>
      <c r="D2043" s="248">
        <v>1728.0298</v>
      </c>
      <c r="E2043" s="248">
        <v>1788.9143999999999</v>
      </c>
      <c r="F2043" s="248">
        <v>1821.3556000000001</v>
      </c>
      <c r="G2043" s="248">
        <v>1847.8277</v>
      </c>
      <c r="H2043" s="248">
        <v>1895.2212</v>
      </c>
      <c r="I2043"/>
      <c r="J2043"/>
      <c r="K2043"/>
      <c r="L2043"/>
      <c r="M2043"/>
    </row>
    <row r="2044" spans="3:13" hidden="1" outlineLevel="1" x14ac:dyDescent="0.2">
      <c r="C2044" s="139">
        <v>1818</v>
      </c>
      <c r="D2044" s="248">
        <v>1728.9808</v>
      </c>
      <c r="E2044" s="248">
        <v>1789.8988999999999</v>
      </c>
      <c r="F2044" s="248">
        <v>1822.3579999999999</v>
      </c>
      <c r="G2044" s="248">
        <v>1848.8445999999999</v>
      </c>
      <c r="H2044" s="248">
        <v>1896.2642000000001</v>
      </c>
      <c r="I2044"/>
      <c r="J2044"/>
      <c r="K2044"/>
      <c r="L2044"/>
      <c r="M2044"/>
    </row>
    <row r="2045" spans="3:13" hidden="1" outlineLevel="1" x14ac:dyDescent="0.2">
      <c r="C2045" s="139">
        <v>1819</v>
      </c>
      <c r="D2045" s="248">
        <v>1729.9874</v>
      </c>
      <c r="E2045" s="248">
        <v>1790.8833999999999</v>
      </c>
      <c r="F2045" s="248">
        <v>1823.4214999999999</v>
      </c>
      <c r="G2045" s="248">
        <v>1849.8616</v>
      </c>
      <c r="H2045" s="248">
        <v>1897.3072999999999</v>
      </c>
      <c r="I2045"/>
      <c r="J2045"/>
      <c r="K2045"/>
      <c r="L2045"/>
      <c r="M2045"/>
    </row>
    <row r="2046" spans="3:13" hidden="1" outlineLevel="1" x14ac:dyDescent="0.2">
      <c r="C2046" s="139">
        <v>1820</v>
      </c>
      <c r="D2046" s="248">
        <v>1730.9384</v>
      </c>
      <c r="E2046" s="248">
        <v>1791.9235000000001</v>
      </c>
      <c r="F2046" s="248">
        <v>1824.4239</v>
      </c>
      <c r="G2046" s="248">
        <v>1850.8786</v>
      </c>
      <c r="H2046" s="248">
        <v>1898.3503000000001</v>
      </c>
      <c r="I2046"/>
      <c r="J2046"/>
      <c r="K2046"/>
      <c r="L2046"/>
      <c r="M2046"/>
    </row>
    <row r="2047" spans="3:13" hidden="1" outlineLevel="1" x14ac:dyDescent="0.2">
      <c r="C2047" s="139">
        <v>1821</v>
      </c>
      <c r="D2047" s="248">
        <v>1731.9450999999999</v>
      </c>
      <c r="E2047" s="248">
        <v>1792.9081000000001</v>
      </c>
      <c r="F2047" s="248">
        <v>1825.4264000000001</v>
      </c>
      <c r="G2047" s="248">
        <v>1851.9567</v>
      </c>
      <c r="H2047" s="248">
        <v>1899.3933999999999</v>
      </c>
      <c r="I2047"/>
      <c r="J2047"/>
      <c r="K2047"/>
      <c r="L2047"/>
      <c r="M2047"/>
    </row>
    <row r="2048" spans="3:13" hidden="1" outlineLevel="1" x14ac:dyDescent="0.2">
      <c r="C2048" s="139">
        <v>1822</v>
      </c>
      <c r="D2048" s="248">
        <v>1732.8960999999999</v>
      </c>
      <c r="E2048" s="248">
        <v>1793.8927000000001</v>
      </c>
      <c r="F2048" s="248">
        <v>1826.4287999999999</v>
      </c>
      <c r="G2048" s="248">
        <v>1852.9737</v>
      </c>
      <c r="H2048" s="248">
        <v>1900.4975999999999</v>
      </c>
      <c r="I2048"/>
      <c r="J2048"/>
      <c r="K2048"/>
      <c r="L2048"/>
      <c r="M2048"/>
    </row>
    <row r="2049" spans="3:13" hidden="1" outlineLevel="1" x14ac:dyDescent="0.2">
      <c r="C2049" s="139">
        <v>1823</v>
      </c>
      <c r="D2049" s="248">
        <v>1733.9029</v>
      </c>
      <c r="E2049" s="248">
        <v>1794.9329</v>
      </c>
      <c r="F2049" s="248">
        <v>1827.4312</v>
      </c>
      <c r="G2049" s="248">
        <v>1853.9907000000001</v>
      </c>
      <c r="H2049" s="248">
        <v>1901.5407</v>
      </c>
      <c r="I2049"/>
      <c r="J2049"/>
      <c r="K2049"/>
      <c r="L2049"/>
      <c r="M2049"/>
    </row>
    <row r="2050" spans="3:13" hidden="1" outlineLevel="1" x14ac:dyDescent="0.2">
      <c r="C2050" s="139">
        <v>1824</v>
      </c>
      <c r="D2050" s="248">
        <v>1734.854</v>
      </c>
      <c r="E2050" s="248">
        <v>1795.9175</v>
      </c>
      <c r="F2050" s="248">
        <v>1828.4948999999999</v>
      </c>
      <c r="G2050" s="248">
        <v>1855.0077000000001</v>
      </c>
      <c r="H2050" s="248">
        <v>1902.5836999999999</v>
      </c>
      <c r="I2050"/>
      <c r="J2050"/>
      <c r="K2050"/>
      <c r="L2050"/>
      <c r="M2050"/>
    </row>
    <row r="2051" spans="3:13" hidden="1" outlineLevel="1" x14ac:dyDescent="0.2">
      <c r="C2051" s="139">
        <v>1825</v>
      </c>
      <c r="D2051" s="248">
        <v>1735.8607999999999</v>
      </c>
      <c r="E2051" s="248">
        <v>1796.9021</v>
      </c>
      <c r="F2051" s="248">
        <v>1829.4973</v>
      </c>
      <c r="G2051" s="248">
        <v>1856.0246999999999</v>
      </c>
      <c r="H2051" s="248">
        <v>1903.6268</v>
      </c>
      <c r="I2051"/>
      <c r="J2051"/>
      <c r="K2051"/>
      <c r="L2051"/>
      <c r="M2051"/>
    </row>
    <row r="2052" spans="3:13" hidden="1" outlineLevel="1" x14ac:dyDescent="0.2">
      <c r="C2052" s="139">
        <v>1826</v>
      </c>
      <c r="D2052" s="248">
        <v>1736.8677</v>
      </c>
      <c r="E2052" s="248">
        <v>1797.9423999999999</v>
      </c>
      <c r="F2052" s="248">
        <v>1830.4998000000001</v>
      </c>
      <c r="G2052" s="248">
        <v>1857.1030000000001</v>
      </c>
      <c r="H2052" s="248">
        <v>1904.6699000000001</v>
      </c>
      <c r="I2052"/>
      <c r="J2052"/>
      <c r="K2052"/>
      <c r="L2052"/>
      <c r="M2052"/>
    </row>
    <row r="2053" spans="3:13" hidden="1" outlineLevel="1" x14ac:dyDescent="0.2">
      <c r="C2053" s="139">
        <v>1827</v>
      </c>
      <c r="D2053" s="248">
        <v>1737.8189</v>
      </c>
      <c r="E2053" s="248">
        <v>1798.9269999999999</v>
      </c>
      <c r="F2053" s="248">
        <v>1831.5023000000001</v>
      </c>
      <c r="G2053" s="248">
        <v>1858.12</v>
      </c>
      <c r="H2053" s="248">
        <v>1905.713</v>
      </c>
      <c r="I2053"/>
      <c r="J2053"/>
      <c r="K2053"/>
      <c r="L2053"/>
      <c r="M2053"/>
    </row>
    <row r="2054" spans="3:13" hidden="1" outlineLevel="1" x14ac:dyDescent="0.2">
      <c r="C2054" s="139">
        <v>1828</v>
      </c>
      <c r="D2054" s="248">
        <v>1738.8259</v>
      </c>
      <c r="E2054" s="248">
        <v>1799.9117000000001</v>
      </c>
      <c r="F2054" s="248">
        <v>1832.5661</v>
      </c>
      <c r="G2054" s="248">
        <v>1859.1369999999999</v>
      </c>
      <c r="H2054" s="248">
        <v>1906.7561000000001</v>
      </c>
      <c r="I2054"/>
      <c r="J2054"/>
      <c r="K2054"/>
      <c r="L2054"/>
      <c r="M2054"/>
    </row>
    <row r="2055" spans="3:13" hidden="1" outlineLevel="1" x14ac:dyDescent="0.2">
      <c r="C2055" s="139">
        <v>1829</v>
      </c>
      <c r="D2055" s="248">
        <v>1739.7771</v>
      </c>
      <c r="E2055" s="248">
        <v>1800.9521</v>
      </c>
      <c r="F2055" s="248">
        <v>1833.5686000000001</v>
      </c>
      <c r="G2055" s="248">
        <v>1860.1541</v>
      </c>
      <c r="H2055" s="248">
        <v>1907.8606</v>
      </c>
      <c r="I2055"/>
      <c r="J2055"/>
      <c r="K2055"/>
      <c r="L2055"/>
      <c r="M2055"/>
    </row>
    <row r="2056" spans="3:13" hidden="1" outlineLevel="1" x14ac:dyDescent="0.2">
      <c r="C2056" s="139">
        <v>1830</v>
      </c>
      <c r="D2056" s="248">
        <v>1740.7841000000001</v>
      </c>
      <c r="E2056" s="248">
        <v>1801.9367999999999</v>
      </c>
      <c r="F2056" s="248">
        <v>1834.5710999999999</v>
      </c>
      <c r="G2056" s="248">
        <v>1861.1711</v>
      </c>
      <c r="H2056" s="248">
        <v>1908.9037000000001</v>
      </c>
      <c r="I2056"/>
      <c r="J2056"/>
      <c r="K2056"/>
      <c r="L2056"/>
      <c r="M2056"/>
    </row>
    <row r="2057" spans="3:13" hidden="1" outlineLevel="1" x14ac:dyDescent="0.2">
      <c r="C2057" s="139">
        <v>1831</v>
      </c>
      <c r="D2057" s="248">
        <v>1741.7354</v>
      </c>
      <c r="E2057" s="248">
        <v>1802.9214999999999</v>
      </c>
      <c r="F2057" s="248">
        <v>1835.5735999999999</v>
      </c>
      <c r="G2057" s="248">
        <v>1862.2496000000001</v>
      </c>
      <c r="H2057" s="248">
        <v>1909.9467999999999</v>
      </c>
      <c r="I2057"/>
      <c r="J2057"/>
      <c r="K2057"/>
      <c r="L2057"/>
      <c r="M2057"/>
    </row>
    <row r="2058" spans="3:13" hidden="1" outlineLevel="1" x14ac:dyDescent="0.2">
      <c r="C2058" s="139">
        <v>1832</v>
      </c>
      <c r="D2058" s="248">
        <v>1742.7426</v>
      </c>
      <c r="E2058" s="248">
        <v>1803.962</v>
      </c>
      <c r="F2058" s="248">
        <v>1836.6376</v>
      </c>
      <c r="G2058" s="248">
        <v>1863.2666999999999</v>
      </c>
      <c r="H2058" s="248">
        <v>1910.9899</v>
      </c>
      <c r="I2058"/>
      <c r="J2058"/>
      <c r="K2058"/>
      <c r="L2058"/>
      <c r="M2058"/>
    </row>
    <row r="2059" spans="3:13" hidden="1" outlineLevel="1" x14ac:dyDescent="0.2">
      <c r="C2059" s="139">
        <v>1833</v>
      </c>
      <c r="D2059" s="248">
        <v>1743.6938</v>
      </c>
      <c r="E2059" s="248">
        <v>1804.9467</v>
      </c>
      <c r="F2059" s="248">
        <v>1837.6401000000001</v>
      </c>
      <c r="G2059" s="248">
        <v>1864.2837</v>
      </c>
      <c r="H2059" s="248">
        <v>1912.0329999999999</v>
      </c>
      <c r="I2059"/>
      <c r="J2059"/>
      <c r="K2059"/>
      <c r="L2059"/>
      <c r="M2059"/>
    </row>
    <row r="2060" spans="3:13" hidden="1" outlineLevel="1" x14ac:dyDescent="0.2">
      <c r="C2060" s="139">
        <v>1834</v>
      </c>
      <c r="D2060" s="248">
        <v>1744.7011</v>
      </c>
      <c r="E2060" s="248">
        <v>1805.9313999999999</v>
      </c>
      <c r="F2060" s="248">
        <v>1838.6425999999999</v>
      </c>
      <c r="G2060" s="248">
        <v>1865.3008</v>
      </c>
      <c r="H2060" s="248">
        <v>1913.0761</v>
      </c>
      <c r="I2060"/>
      <c r="J2060"/>
      <c r="K2060"/>
      <c r="L2060"/>
      <c r="M2060"/>
    </row>
    <row r="2061" spans="3:13" hidden="1" outlineLevel="1" x14ac:dyDescent="0.2">
      <c r="C2061" s="139">
        <v>1835</v>
      </c>
      <c r="D2061" s="248">
        <v>1745.6523999999999</v>
      </c>
      <c r="E2061" s="248">
        <v>1806.9160999999999</v>
      </c>
      <c r="F2061" s="248">
        <v>1839.6451999999999</v>
      </c>
      <c r="G2061" s="248">
        <v>1866.3179</v>
      </c>
      <c r="H2061" s="248">
        <v>1914.1193000000001</v>
      </c>
      <c r="I2061"/>
      <c r="J2061"/>
      <c r="K2061"/>
      <c r="L2061"/>
      <c r="M2061"/>
    </row>
    <row r="2062" spans="3:13" hidden="1" outlineLevel="1" x14ac:dyDescent="0.2">
      <c r="C2062" s="139">
        <v>1836</v>
      </c>
      <c r="D2062" s="248">
        <v>1746.6596999999999</v>
      </c>
      <c r="E2062" s="248">
        <v>1807.9567999999999</v>
      </c>
      <c r="F2062" s="248">
        <v>1840.6477</v>
      </c>
      <c r="G2062" s="248">
        <v>1867.3966</v>
      </c>
      <c r="H2062" s="248">
        <v>1915.2239999999999</v>
      </c>
      <c r="I2062"/>
      <c r="J2062"/>
      <c r="K2062"/>
      <c r="L2062"/>
      <c r="M2062"/>
    </row>
    <row r="2063" spans="3:13" hidden="1" outlineLevel="1" x14ac:dyDescent="0.2">
      <c r="C2063" s="139">
        <v>1837</v>
      </c>
      <c r="D2063" s="248">
        <v>1747.6111000000001</v>
      </c>
      <c r="E2063" s="248">
        <v>1808.9416000000001</v>
      </c>
      <c r="F2063" s="248">
        <v>1841.7119</v>
      </c>
      <c r="G2063" s="248">
        <v>1868.4137000000001</v>
      </c>
      <c r="H2063" s="248">
        <v>1916.2672</v>
      </c>
      <c r="I2063"/>
      <c r="J2063"/>
      <c r="K2063"/>
      <c r="L2063"/>
      <c r="M2063"/>
    </row>
    <row r="2064" spans="3:13" hidden="1" outlineLevel="1" x14ac:dyDescent="0.2">
      <c r="C2064" s="139">
        <v>1838</v>
      </c>
      <c r="D2064" s="248">
        <v>1748.6185</v>
      </c>
      <c r="E2064" s="248">
        <v>1809.9263000000001</v>
      </c>
      <c r="F2064" s="248">
        <v>1842.7145</v>
      </c>
      <c r="G2064" s="248">
        <v>1869.4308000000001</v>
      </c>
      <c r="H2064" s="248">
        <v>1917.3103000000001</v>
      </c>
      <c r="I2064"/>
      <c r="J2064"/>
      <c r="K2064"/>
      <c r="L2064"/>
      <c r="M2064"/>
    </row>
    <row r="2065" spans="3:13" hidden="1" outlineLevel="1" x14ac:dyDescent="0.2">
      <c r="C2065" s="139">
        <v>1839</v>
      </c>
      <c r="D2065" s="248">
        <v>1749.5699</v>
      </c>
      <c r="E2065" s="248">
        <v>1810.9671000000001</v>
      </c>
      <c r="F2065" s="248">
        <v>1843.7170000000001</v>
      </c>
      <c r="G2065" s="248">
        <v>1870.4478999999999</v>
      </c>
      <c r="H2065" s="248">
        <v>1918.3534999999999</v>
      </c>
      <c r="I2065"/>
      <c r="J2065"/>
      <c r="K2065"/>
      <c r="L2065"/>
      <c r="M2065"/>
    </row>
    <row r="2066" spans="3:13" hidden="1" outlineLevel="1" x14ac:dyDescent="0.2">
      <c r="C2066" s="139">
        <v>1840</v>
      </c>
      <c r="D2066" s="248">
        <v>1750.5773999999999</v>
      </c>
      <c r="E2066" s="248">
        <v>1811.9519</v>
      </c>
      <c r="F2066" s="248">
        <v>1844.7195999999999</v>
      </c>
      <c r="G2066" s="248">
        <v>1871.4649999999999</v>
      </c>
      <c r="H2066" s="248">
        <v>1919.3966</v>
      </c>
      <c r="I2066"/>
      <c r="J2066"/>
      <c r="K2066"/>
      <c r="L2066"/>
      <c r="M2066"/>
    </row>
    <row r="2067" spans="3:13" hidden="1" outlineLevel="1" x14ac:dyDescent="0.2">
      <c r="C2067" s="139">
        <v>1841</v>
      </c>
      <c r="D2067" s="248">
        <v>1751.5288</v>
      </c>
      <c r="E2067" s="248">
        <v>1812.9367</v>
      </c>
      <c r="F2067" s="248">
        <v>1845.7840000000001</v>
      </c>
      <c r="G2067" s="248">
        <v>1872.4820999999999</v>
      </c>
      <c r="H2067" s="248">
        <v>1920.4398000000001</v>
      </c>
      <c r="I2067"/>
      <c r="J2067"/>
      <c r="K2067"/>
      <c r="L2067"/>
      <c r="M2067"/>
    </row>
    <row r="2068" spans="3:13" hidden="1" outlineLevel="1" x14ac:dyDescent="0.2">
      <c r="C2068" s="139">
        <v>1842</v>
      </c>
      <c r="D2068" s="248">
        <v>1752.5364</v>
      </c>
      <c r="E2068" s="248">
        <v>1813.9775999999999</v>
      </c>
      <c r="F2068" s="248">
        <v>1846.7865999999999</v>
      </c>
      <c r="G2068" s="248">
        <v>1873.5609999999999</v>
      </c>
      <c r="H2068" s="248">
        <v>1921.4829</v>
      </c>
      <c r="I2068"/>
      <c r="J2068"/>
      <c r="K2068"/>
      <c r="L2068"/>
      <c r="M2068"/>
    </row>
    <row r="2069" spans="3:13" hidden="1" outlineLevel="1" x14ac:dyDescent="0.2">
      <c r="C2069" s="139">
        <v>1843</v>
      </c>
      <c r="D2069" s="248">
        <v>1753.4878000000001</v>
      </c>
      <c r="E2069" s="248">
        <v>1814.9623999999999</v>
      </c>
      <c r="F2069" s="248">
        <v>1847.7891999999999</v>
      </c>
      <c r="G2069" s="248">
        <v>1874.5780999999999</v>
      </c>
      <c r="H2069" s="248">
        <v>1922.5261</v>
      </c>
      <c r="I2069"/>
      <c r="J2069"/>
      <c r="K2069"/>
      <c r="L2069"/>
      <c r="M2069"/>
    </row>
    <row r="2070" spans="3:13" hidden="1" outlineLevel="1" x14ac:dyDescent="0.2">
      <c r="C2070" s="139">
        <v>1844</v>
      </c>
      <c r="D2070" s="248">
        <v>1754.4955</v>
      </c>
      <c r="E2070" s="248">
        <v>1815.9472000000001</v>
      </c>
      <c r="F2070" s="248">
        <v>1848.7918</v>
      </c>
      <c r="G2070" s="248">
        <v>1875.5953</v>
      </c>
      <c r="H2070" s="248">
        <v>1923.6311000000001</v>
      </c>
      <c r="I2070"/>
      <c r="J2070"/>
      <c r="K2070"/>
      <c r="L2070"/>
      <c r="M2070"/>
    </row>
    <row r="2071" spans="3:13" hidden="1" outlineLevel="1" x14ac:dyDescent="0.2">
      <c r="C2071" s="139">
        <v>1845</v>
      </c>
      <c r="D2071" s="248">
        <v>1755.4469999999999</v>
      </c>
      <c r="E2071" s="248">
        <v>1816.9883</v>
      </c>
      <c r="F2071" s="248">
        <v>1849.8562999999999</v>
      </c>
      <c r="G2071" s="248">
        <v>1876.6124</v>
      </c>
      <c r="H2071" s="248">
        <v>1924.6742999999999</v>
      </c>
      <c r="I2071"/>
      <c r="J2071"/>
      <c r="K2071"/>
      <c r="L2071"/>
      <c r="M2071"/>
    </row>
    <row r="2072" spans="3:13" hidden="1" outlineLevel="1" x14ac:dyDescent="0.2">
      <c r="C2072" s="139">
        <v>1846</v>
      </c>
      <c r="D2072" s="248">
        <v>1756.4548</v>
      </c>
      <c r="E2072" s="248">
        <v>1817.9730999999999</v>
      </c>
      <c r="F2072" s="248">
        <v>1850.8588999999999</v>
      </c>
      <c r="G2072" s="248">
        <v>1877.6295</v>
      </c>
      <c r="H2072" s="248">
        <v>1925.7175</v>
      </c>
      <c r="I2072"/>
      <c r="J2072"/>
      <c r="K2072"/>
      <c r="L2072"/>
      <c r="M2072"/>
    </row>
    <row r="2073" spans="3:13" hidden="1" outlineLevel="1" x14ac:dyDescent="0.2">
      <c r="C2073" s="139">
        <v>1847</v>
      </c>
      <c r="D2073" s="248">
        <v>1757.4063000000001</v>
      </c>
      <c r="E2073" s="248">
        <v>1818.9579000000001</v>
      </c>
      <c r="F2073" s="248">
        <v>1851.8616</v>
      </c>
      <c r="G2073" s="248">
        <v>1878.7086999999999</v>
      </c>
      <c r="H2073" s="248">
        <v>1926.7607</v>
      </c>
      <c r="I2073"/>
      <c r="J2073"/>
      <c r="K2073"/>
      <c r="L2073"/>
      <c r="M2073"/>
    </row>
    <row r="2074" spans="3:13" hidden="1" outlineLevel="1" x14ac:dyDescent="0.2">
      <c r="C2074" s="139">
        <v>1848</v>
      </c>
      <c r="D2074" s="248">
        <v>1758.4141999999999</v>
      </c>
      <c r="E2074" s="248">
        <v>1819.9991</v>
      </c>
      <c r="F2074" s="248">
        <v>1852.8642</v>
      </c>
      <c r="G2074" s="248">
        <v>1879.7257999999999</v>
      </c>
      <c r="H2074" s="248">
        <v>1927.8037999999999</v>
      </c>
      <c r="I2074"/>
      <c r="J2074"/>
      <c r="K2074"/>
      <c r="L2074"/>
      <c r="M2074"/>
    </row>
    <row r="2075" spans="3:13" hidden="1" outlineLevel="1" x14ac:dyDescent="0.2">
      <c r="C2075" s="139">
        <v>1849</v>
      </c>
      <c r="D2075" s="248">
        <v>1759.3657000000001</v>
      </c>
      <c r="E2075" s="248">
        <v>1820.9839999999999</v>
      </c>
      <c r="F2075" s="248">
        <v>1853.8668</v>
      </c>
      <c r="G2075" s="248">
        <v>1880.7429999999999</v>
      </c>
      <c r="H2075" s="248">
        <v>1928.847</v>
      </c>
      <c r="I2075"/>
      <c r="J2075"/>
      <c r="K2075"/>
      <c r="L2075"/>
      <c r="M2075"/>
    </row>
    <row r="2076" spans="3:13" hidden="1" outlineLevel="1" x14ac:dyDescent="0.2">
      <c r="C2076" s="139">
        <v>1850</v>
      </c>
      <c r="D2076" s="248">
        <v>1760.3737000000001</v>
      </c>
      <c r="E2076" s="248">
        <v>1821.9688000000001</v>
      </c>
      <c r="F2076" s="248">
        <v>1854.9315999999999</v>
      </c>
      <c r="G2076" s="248">
        <v>1881.7601999999999</v>
      </c>
      <c r="H2076" s="248">
        <v>1929.8902</v>
      </c>
      <c r="I2076"/>
      <c r="J2076"/>
      <c r="K2076"/>
      <c r="L2076"/>
      <c r="M2076"/>
    </row>
    <row r="2077" spans="3:13" hidden="1" outlineLevel="1" x14ac:dyDescent="0.2">
      <c r="C2077" s="139">
        <v>1851</v>
      </c>
      <c r="D2077" s="248">
        <v>1761.3816999999999</v>
      </c>
      <c r="E2077" s="248">
        <v>1823.0101999999999</v>
      </c>
      <c r="F2077" s="248">
        <v>1855.9341999999999</v>
      </c>
      <c r="G2077" s="248">
        <v>1882.7773</v>
      </c>
      <c r="H2077" s="248">
        <v>1930.9955</v>
      </c>
      <c r="I2077"/>
      <c r="J2077"/>
      <c r="K2077"/>
      <c r="L2077"/>
      <c r="M2077"/>
    </row>
    <row r="2078" spans="3:13" hidden="1" outlineLevel="1" x14ac:dyDescent="0.2">
      <c r="C2078" s="139">
        <v>1852</v>
      </c>
      <c r="D2078" s="248">
        <v>1762.3333</v>
      </c>
      <c r="E2078" s="248">
        <v>1823.9951000000001</v>
      </c>
      <c r="F2078" s="248">
        <v>1856.9368999999999</v>
      </c>
      <c r="G2078" s="248">
        <v>1883.7945</v>
      </c>
      <c r="H2078" s="248">
        <v>1932.0388</v>
      </c>
      <c r="I2078"/>
      <c r="J2078"/>
      <c r="K2078"/>
      <c r="L2078"/>
      <c r="M2078"/>
    </row>
    <row r="2079" spans="3:13" hidden="1" outlineLevel="1" x14ac:dyDescent="0.2">
      <c r="C2079" s="139">
        <v>1853</v>
      </c>
      <c r="D2079" s="248">
        <v>1763.3414</v>
      </c>
      <c r="E2079" s="248">
        <v>1824.9799</v>
      </c>
      <c r="F2079" s="248">
        <v>1857.9395999999999</v>
      </c>
      <c r="G2079" s="248">
        <v>1884.8739</v>
      </c>
      <c r="H2079" s="248">
        <v>1933.0820000000001</v>
      </c>
      <c r="I2079"/>
      <c r="J2079"/>
      <c r="K2079"/>
      <c r="L2079"/>
      <c r="M2079"/>
    </row>
    <row r="2080" spans="3:13" hidden="1" outlineLevel="1" x14ac:dyDescent="0.2">
      <c r="C2080" s="139">
        <v>1854</v>
      </c>
      <c r="D2080" s="248">
        <v>1764.2931000000001</v>
      </c>
      <c r="E2080" s="248">
        <v>1826.0214000000001</v>
      </c>
      <c r="F2080" s="248">
        <v>1859.0045</v>
      </c>
      <c r="G2080" s="248">
        <v>1885.8911000000001</v>
      </c>
      <c r="H2080" s="248">
        <v>1934.1251999999999</v>
      </c>
      <c r="I2080"/>
      <c r="J2080"/>
      <c r="K2080"/>
      <c r="L2080"/>
      <c r="M2080"/>
    </row>
    <row r="2081" spans="3:13" hidden="1" outlineLevel="1" x14ac:dyDescent="0.2">
      <c r="C2081" s="139">
        <v>1855</v>
      </c>
      <c r="D2081" s="248">
        <v>1765.3013000000001</v>
      </c>
      <c r="E2081" s="248">
        <v>1827.0063</v>
      </c>
      <c r="F2081" s="248">
        <v>1860.0072</v>
      </c>
      <c r="G2081" s="248">
        <v>1886.9083000000001</v>
      </c>
      <c r="H2081" s="248">
        <v>1935.1684</v>
      </c>
      <c r="I2081"/>
      <c r="J2081"/>
      <c r="K2081"/>
      <c r="L2081"/>
      <c r="M2081"/>
    </row>
    <row r="2082" spans="3:13" hidden="1" outlineLevel="1" x14ac:dyDescent="0.2">
      <c r="C2082" s="139">
        <v>1856</v>
      </c>
      <c r="D2082" s="248">
        <v>1766.2529</v>
      </c>
      <c r="E2082" s="248">
        <v>1827.9911999999999</v>
      </c>
      <c r="F2082" s="248">
        <v>1861.0099</v>
      </c>
      <c r="G2082" s="248">
        <v>1887.9255000000001</v>
      </c>
      <c r="H2082" s="248">
        <v>1936.2116000000001</v>
      </c>
      <c r="I2082"/>
      <c r="J2082"/>
      <c r="K2082"/>
      <c r="L2082"/>
      <c r="M2082"/>
    </row>
    <row r="2083" spans="3:13" hidden="1" outlineLevel="1" x14ac:dyDescent="0.2">
      <c r="C2083" s="139">
        <v>1857</v>
      </c>
      <c r="D2083" s="248">
        <v>1767.2611999999999</v>
      </c>
      <c r="E2083" s="248">
        <v>1829.0328</v>
      </c>
      <c r="F2083" s="248">
        <v>1862.0126</v>
      </c>
      <c r="G2083" s="248">
        <v>1888.9427000000001</v>
      </c>
      <c r="H2083" s="248">
        <v>1937.2547999999999</v>
      </c>
      <c r="I2083"/>
      <c r="J2083"/>
      <c r="K2083"/>
      <c r="L2083"/>
      <c r="M2083"/>
    </row>
    <row r="2084" spans="3:13" hidden="1" outlineLevel="1" x14ac:dyDescent="0.2">
      <c r="C2084" s="139">
        <v>1858</v>
      </c>
      <c r="D2084" s="248">
        <v>1768.2129</v>
      </c>
      <c r="E2084" s="248">
        <v>1830.0177000000001</v>
      </c>
      <c r="F2084" s="248">
        <v>1863.0153</v>
      </c>
      <c r="G2084" s="248">
        <v>1890.0223000000001</v>
      </c>
      <c r="H2084" s="248">
        <v>1938.3604</v>
      </c>
      <c r="I2084"/>
      <c r="J2084"/>
      <c r="K2084"/>
      <c r="L2084"/>
      <c r="M2084"/>
    </row>
    <row r="2085" spans="3:13" hidden="1" outlineLevel="1" x14ac:dyDescent="0.2">
      <c r="C2085" s="139">
        <v>1859</v>
      </c>
      <c r="D2085" s="248">
        <v>1769.2212999999999</v>
      </c>
      <c r="E2085" s="248">
        <v>1831.0027</v>
      </c>
      <c r="F2085" s="248">
        <v>1864.0804000000001</v>
      </c>
      <c r="G2085" s="248">
        <v>1891.0395000000001</v>
      </c>
      <c r="H2085" s="248">
        <v>1939.4037000000001</v>
      </c>
      <c r="I2085"/>
      <c r="J2085"/>
      <c r="K2085"/>
      <c r="L2085"/>
      <c r="M2085"/>
    </row>
    <row r="2086" spans="3:13" hidden="1" outlineLevel="1" x14ac:dyDescent="0.2">
      <c r="C2086" s="139">
        <v>1860</v>
      </c>
      <c r="D2086" s="248">
        <v>1770.173</v>
      </c>
      <c r="E2086" s="248">
        <v>1832.0444</v>
      </c>
      <c r="F2086" s="248">
        <v>1865.0831000000001</v>
      </c>
      <c r="G2086" s="248">
        <v>1892.0567000000001</v>
      </c>
      <c r="H2086" s="248">
        <v>1940.4468999999999</v>
      </c>
      <c r="I2086"/>
      <c r="J2086"/>
      <c r="K2086"/>
      <c r="L2086"/>
      <c r="M2086"/>
    </row>
    <row r="2087" spans="3:13" hidden="1" outlineLevel="1" x14ac:dyDescent="0.2">
      <c r="C2087" s="139">
        <v>1861</v>
      </c>
      <c r="D2087" s="248">
        <v>1771.1814999999999</v>
      </c>
      <c r="E2087" s="248">
        <v>1833.0292999999999</v>
      </c>
      <c r="F2087" s="248">
        <v>1866.0858000000001</v>
      </c>
      <c r="G2087" s="248">
        <v>1893.0740000000001</v>
      </c>
      <c r="H2087" s="248">
        <v>1941.4902</v>
      </c>
      <c r="I2087"/>
      <c r="J2087"/>
      <c r="K2087"/>
      <c r="L2087"/>
      <c r="M2087"/>
    </row>
    <row r="2088" spans="3:13" hidden="1" outlineLevel="1" x14ac:dyDescent="0.2">
      <c r="C2088" s="139">
        <v>1862</v>
      </c>
      <c r="D2088" s="248">
        <v>1772.1333</v>
      </c>
      <c r="E2088" s="248">
        <v>1834.0143</v>
      </c>
      <c r="F2088" s="248">
        <v>1867.0886</v>
      </c>
      <c r="G2088" s="248">
        <v>1894.0912000000001</v>
      </c>
      <c r="H2088" s="248">
        <v>1942.5334</v>
      </c>
      <c r="I2088"/>
      <c r="J2088"/>
      <c r="K2088"/>
      <c r="L2088"/>
      <c r="M2088"/>
    </row>
    <row r="2089" spans="3:13" hidden="1" outlineLevel="1" x14ac:dyDescent="0.2">
      <c r="C2089" s="139">
        <v>1863</v>
      </c>
      <c r="D2089" s="248">
        <v>1773.1419000000001</v>
      </c>
      <c r="E2089" s="248">
        <v>1834.9992999999999</v>
      </c>
      <c r="F2089" s="248">
        <v>1868.1538</v>
      </c>
      <c r="G2089" s="248">
        <v>1895.171</v>
      </c>
      <c r="H2089" s="248">
        <v>1943.5767000000001</v>
      </c>
      <c r="I2089"/>
      <c r="J2089"/>
      <c r="K2089"/>
      <c r="L2089"/>
      <c r="M2089"/>
    </row>
    <row r="2090" spans="3:13" hidden="1" outlineLevel="1" x14ac:dyDescent="0.2">
      <c r="C2090" s="139">
        <v>1864</v>
      </c>
      <c r="D2090" s="248">
        <v>1774.0935999999999</v>
      </c>
      <c r="E2090" s="248">
        <v>1836.0410999999999</v>
      </c>
      <c r="F2090" s="248">
        <v>1869.1566</v>
      </c>
      <c r="G2090" s="248">
        <v>1896.1882000000001</v>
      </c>
      <c r="H2090" s="248">
        <v>1944.6198999999999</v>
      </c>
      <c r="I2090"/>
      <c r="J2090"/>
      <c r="K2090"/>
      <c r="L2090"/>
      <c r="M2090"/>
    </row>
    <row r="2091" spans="3:13" hidden="1" outlineLevel="1" x14ac:dyDescent="0.2">
      <c r="C2091" s="139">
        <v>1865</v>
      </c>
      <c r="D2091" s="248">
        <v>1775.1023</v>
      </c>
      <c r="E2091" s="248">
        <v>1837.0261</v>
      </c>
      <c r="F2091" s="248">
        <v>1870.1594</v>
      </c>
      <c r="G2091" s="248">
        <v>1897.2055</v>
      </c>
      <c r="H2091" s="248">
        <v>1945.6632</v>
      </c>
      <c r="I2091"/>
      <c r="J2091"/>
      <c r="K2091"/>
      <c r="L2091"/>
      <c r="M2091"/>
    </row>
    <row r="2092" spans="3:13" hidden="1" outlineLevel="1" x14ac:dyDescent="0.2">
      <c r="C2092" s="139">
        <v>1866</v>
      </c>
      <c r="D2092" s="248">
        <v>1776.0541000000001</v>
      </c>
      <c r="E2092" s="248">
        <v>1838.0110999999999</v>
      </c>
      <c r="F2092" s="248">
        <v>1871.1621</v>
      </c>
      <c r="G2092" s="248">
        <v>1898.2228</v>
      </c>
      <c r="H2092" s="248">
        <v>1946.7691</v>
      </c>
      <c r="I2092"/>
      <c r="J2092"/>
      <c r="K2092"/>
      <c r="L2092"/>
      <c r="M2092"/>
    </row>
    <row r="2093" spans="3:13" hidden="1" outlineLevel="1" x14ac:dyDescent="0.2">
      <c r="C2093" s="139">
        <v>1867</v>
      </c>
      <c r="D2093" s="248">
        <v>1777.0628999999999</v>
      </c>
      <c r="E2093" s="248">
        <v>1839.0531000000001</v>
      </c>
      <c r="F2093" s="248">
        <v>1872.1649</v>
      </c>
      <c r="G2093" s="248">
        <v>1899.24</v>
      </c>
      <c r="H2093" s="248">
        <v>1947.8124</v>
      </c>
      <c r="I2093"/>
      <c r="J2093"/>
      <c r="K2093"/>
      <c r="L2093"/>
      <c r="M2093"/>
    </row>
    <row r="2094" spans="3:13" hidden="1" outlineLevel="1" x14ac:dyDescent="0.2">
      <c r="C2094" s="139">
        <v>1868</v>
      </c>
      <c r="D2094" s="248">
        <v>1778.0146999999999</v>
      </c>
      <c r="E2094" s="248">
        <v>1840.0381</v>
      </c>
      <c r="F2094" s="248">
        <v>1873.2303999999999</v>
      </c>
      <c r="G2094" s="248">
        <v>1900.2573</v>
      </c>
      <c r="H2094" s="248">
        <v>1948.8556000000001</v>
      </c>
      <c r="I2094"/>
      <c r="J2094"/>
      <c r="K2094"/>
      <c r="L2094"/>
      <c r="M2094"/>
    </row>
    <row r="2095" spans="3:13" hidden="1" outlineLevel="1" x14ac:dyDescent="0.2">
      <c r="C2095" s="139">
        <v>1869</v>
      </c>
      <c r="D2095" s="248">
        <v>1779.0236</v>
      </c>
      <c r="E2095" s="248">
        <v>1841.0232000000001</v>
      </c>
      <c r="F2095" s="248">
        <v>1874.2331999999999</v>
      </c>
      <c r="G2095" s="248">
        <v>1901.3372999999999</v>
      </c>
      <c r="H2095" s="248">
        <v>1949.8988999999999</v>
      </c>
      <c r="I2095"/>
      <c r="J2095"/>
      <c r="K2095"/>
      <c r="L2095"/>
      <c r="M2095"/>
    </row>
    <row r="2096" spans="3:13" hidden="1" outlineLevel="1" x14ac:dyDescent="0.2">
      <c r="C2096" s="139">
        <v>1870</v>
      </c>
      <c r="D2096" s="248">
        <v>1779.9754</v>
      </c>
      <c r="E2096" s="248">
        <v>1842.0653</v>
      </c>
      <c r="F2096" s="248">
        <v>1875.2360000000001</v>
      </c>
      <c r="G2096" s="248">
        <v>1902.3545999999999</v>
      </c>
      <c r="H2096" s="248">
        <v>1950.9422</v>
      </c>
      <c r="I2096"/>
      <c r="J2096"/>
      <c r="K2096"/>
      <c r="L2096"/>
      <c r="M2096"/>
    </row>
    <row r="2097" spans="3:13" hidden="1" outlineLevel="1" x14ac:dyDescent="0.2">
      <c r="C2097" s="139">
        <v>1871</v>
      </c>
      <c r="D2097" s="248">
        <v>1780.9844000000001</v>
      </c>
      <c r="E2097" s="248">
        <v>1843.0503000000001</v>
      </c>
      <c r="F2097" s="248">
        <v>1876.2388000000001</v>
      </c>
      <c r="G2097" s="248">
        <v>1903.3719000000001</v>
      </c>
      <c r="H2097" s="248">
        <v>1951.9855</v>
      </c>
      <c r="I2097"/>
      <c r="J2097"/>
      <c r="K2097"/>
      <c r="L2097"/>
      <c r="M2097"/>
    </row>
    <row r="2098" spans="3:13" hidden="1" outlineLevel="1" x14ac:dyDescent="0.2">
      <c r="C2098" s="139">
        <v>1872</v>
      </c>
      <c r="D2098" s="248">
        <v>1781.9363000000001</v>
      </c>
      <c r="E2098" s="248">
        <v>1844.0354</v>
      </c>
      <c r="F2098" s="248">
        <v>1877.3044</v>
      </c>
      <c r="G2098" s="248">
        <v>1904.3892000000001</v>
      </c>
      <c r="H2098" s="248">
        <v>1953.0288</v>
      </c>
      <c r="I2098"/>
      <c r="J2098"/>
      <c r="K2098"/>
      <c r="L2098"/>
      <c r="M2098"/>
    </row>
    <row r="2099" spans="3:13" hidden="1" outlineLevel="1" x14ac:dyDescent="0.2">
      <c r="C2099" s="139">
        <v>1873</v>
      </c>
      <c r="D2099" s="248">
        <v>1782.9453000000001</v>
      </c>
      <c r="E2099" s="248">
        <v>1845.0776000000001</v>
      </c>
      <c r="F2099" s="248">
        <v>1878.3072999999999</v>
      </c>
      <c r="G2099" s="248">
        <v>1905.4065000000001</v>
      </c>
      <c r="H2099" s="248">
        <v>1954.1349</v>
      </c>
      <c r="I2099"/>
      <c r="J2099"/>
      <c r="K2099"/>
      <c r="L2099"/>
      <c r="M2099"/>
    </row>
    <row r="2100" spans="3:13" hidden="1" outlineLevel="1" x14ac:dyDescent="0.2">
      <c r="C2100" s="139">
        <v>1874</v>
      </c>
      <c r="D2100" s="248">
        <v>1783.8972000000001</v>
      </c>
      <c r="E2100" s="248">
        <v>1846.0626999999999</v>
      </c>
      <c r="F2100" s="248">
        <v>1879.3100999999999</v>
      </c>
      <c r="G2100" s="248">
        <v>1906.4866999999999</v>
      </c>
      <c r="H2100" s="248">
        <v>1955.1783</v>
      </c>
      <c r="I2100"/>
      <c r="J2100"/>
      <c r="K2100"/>
      <c r="L2100"/>
      <c r="M2100"/>
    </row>
    <row r="2101" spans="3:13" hidden="1" outlineLevel="1" x14ac:dyDescent="0.2">
      <c r="C2101" s="139">
        <v>1875</v>
      </c>
      <c r="D2101" s="248">
        <v>1784.9064000000001</v>
      </c>
      <c r="E2101" s="248">
        <v>1847.0478000000001</v>
      </c>
      <c r="F2101" s="248">
        <v>1880.3128999999999</v>
      </c>
      <c r="G2101" s="248">
        <v>1907.5041000000001</v>
      </c>
      <c r="H2101" s="248">
        <v>1956.2216000000001</v>
      </c>
      <c r="I2101"/>
      <c r="J2101"/>
      <c r="K2101"/>
      <c r="L2101"/>
      <c r="M2101"/>
    </row>
    <row r="2102" spans="3:13" hidden="1" outlineLevel="1" x14ac:dyDescent="0.2">
      <c r="C2102" s="139">
        <v>1876</v>
      </c>
      <c r="D2102" s="248">
        <v>1785.8583000000001</v>
      </c>
      <c r="E2102" s="248">
        <v>1848.0900999999999</v>
      </c>
      <c r="F2102" s="248">
        <v>1881.3158000000001</v>
      </c>
      <c r="G2102" s="248">
        <v>1908.5214000000001</v>
      </c>
      <c r="H2102" s="248">
        <v>1957.2648999999999</v>
      </c>
      <c r="I2102"/>
      <c r="J2102"/>
      <c r="K2102"/>
      <c r="L2102"/>
      <c r="M2102"/>
    </row>
    <row r="2103" spans="3:13" hidden="1" outlineLevel="1" x14ac:dyDescent="0.2">
      <c r="C2103" s="139">
        <v>1877</v>
      </c>
      <c r="D2103" s="248">
        <v>1786.8676</v>
      </c>
      <c r="E2103" s="248">
        <v>1849.0753</v>
      </c>
      <c r="F2103" s="248">
        <v>1882.3815999999999</v>
      </c>
      <c r="G2103" s="248">
        <v>1909.5388</v>
      </c>
      <c r="H2103" s="248">
        <v>1958.3081999999999</v>
      </c>
      <c r="I2103"/>
      <c r="J2103"/>
      <c r="K2103"/>
      <c r="L2103"/>
      <c r="M2103"/>
    </row>
    <row r="2104" spans="3:13" hidden="1" outlineLevel="1" x14ac:dyDescent="0.2">
      <c r="C2104" s="139">
        <v>1878</v>
      </c>
      <c r="D2104" s="248">
        <v>1787.8195000000001</v>
      </c>
      <c r="E2104" s="248">
        <v>1850.0604000000001</v>
      </c>
      <c r="F2104" s="248">
        <v>1883.3844999999999</v>
      </c>
      <c r="G2104" s="248">
        <v>1910.5561</v>
      </c>
      <c r="H2104" s="248">
        <v>1959.3515</v>
      </c>
      <c r="I2104"/>
      <c r="J2104"/>
      <c r="K2104"/>
      <c r="L2104"/>
      <c r="M2104"/>
    </row>
    <row r="2105" spans="3:13" hidden="1" outlineLevel="1" x14ac:dyDescent="0.2">
      <c r="C2105" s="139">
        <v>1879</v>
      </c>
      <c r="D2105" s="248">
        <v>1788.8289</v>
      </c>
      <c r="E2105" s="248">
        <v>1851.1029000000001</v>
      </c>
      <c r="F2105" s="248">
        <v>1884.3873000000001</v>
      </c>
      <c r="G2105" s="248">
        <v>1911.5734</v>
      </c>
      <c r="H2105" s="248">
        <v>1960.3949</v>
      </c>
      <c r="I2105"/>
      <c r="J2105"/>
      <c r="K2105"/>
      <c r="L2105"/>
      <c r="M2105"/>
    </row>
    <row r="2106" spans="3:13" hidden="1" outlineLevel="1" x14ac:dyDescent="0.2">
      <c r="C2106" s="139">
        <v>1880</v>
      </c>
      <c r="D2106" s="248">
        <v>1789.7809</v>
      </c>
      <c r="E2106" s="248">
        <v>1852.088</v>
      </c>
      <c r="F2106" s="248">
        <v>1885.3902</v>
      </c>
      <c r="G2106" s="248">
        <v>1912.6539</v>
      </c>
      <c r="H2106" s="248">
        <v>1961.4382000000001</v>
      </c>
      <c r="I2106"/>
      <c r="J2106"/>
      <c r="K2106"/>
      <c r="L2106"/>
      <c r="M2106"/>
    </row>
    <row r="2107" spans="3:13" hidden="1" outlineLevel="1" x14ac:dyDescent="0.2">
      <c r="C2107" s="139">
        <v>1881</v>
      </c>
      <c r="D2107" s="248">
        <v>1790.7902999999999</v>
      </c>
      <c r="E2107" s="248">
        <v>1853.0732</v>
      </c>
      <c r="F2107" s="248">
        <v>1886.4562000000001</v>
      </c>
      <c r="G2107" s="248">
        <v>1913.6712</v>
      </c>
      <c r="H2107" s="248">
        <v>1962.5445999999999</v>
      </c>
      <c r="I2107"/>
      <c r="J2107"/>
      <c r="K2107"/>
      <c r="L2107"/>
      <c r="M2107"/>
    </row>
    <row r="2108" spans="3:13" hidden="1" outlineLevel="1" x14ac:dyDescent="0.2">
      <c r="C2108" s="139">
        <v>1882</v>
      </c>
      <c r="D2108" s="248">
        <v>1791.7422999999999</v>
      </c>
      <c r="E2108" s="248">
        <v>1854.0582999999999</v>
      </c>
      <c r="F2108" s="248">
        <v>1887.4591</v>
      </c>
      <c r="G2108" s="248">
        <v>1914.6886</v>
      </c>
      <c r="H2108" s="248">
        <v>1963.588</v>
      </c>
      <c r="I2108"/>
      <c r="J2108"/>
      <c r="K2108"/>
      <c r="L2108"/>
      <c r="M2108"/>
    </row>
    <row r="2109" spans="3:13" hidden="1" outlineLevel="1" x14ac:dyDescent="0.2">
      <c r="C2109" s="139">
        <v>1883</v>
      </c>
      <c r="D2109" s="248">
        <v>1792.7518</v>
      </c>
      <c r="E2109" s="248">
        <v>1855.1008999999999</v>
      </c>
      <c r="F2109" s="248">
        <v>1888.462</v>
      </c>
      <c r="G2109" s="248">
        <v>1915.7059999999999</v>
      </c>
      <c r="H2109" s="248">
        <v>1964.6313</v>
      </c>
      <c r="I2109"/>
      <c r="J2109"/>
      <c r="K2109"/>
      <c r="L2109"/>
      <c r="M2109"/>
    </row>
    <row r="2110" spans="3:13" hidden="1" outlineLevel="1" x14ac:dyDescent="0.2">
      <c r="C2110" s="139">
        <v>1884</v>
      </c>
      <c r="D2110" s="248">
        <v>1793.7039</v>
      </c>
      <c r="E2110" s="248">
        <v>1856.0861</v>
      </c>
      <c r="F2110" s="248">
        <v>1889.4648999999999</v>
      </c>
      <c r="G2110" s="248">
        <v>1916.7233000000001</v>
      </c>
      <c r="H2110" s="248">
        <v>1965.6747</v>
      </c>
      <c r="I2110"/>
      <c r="J2110"/>
      <c r="K2110"/>
      <c r="L2110"/>
      <c r="M2110"/>
    </row>
    <row r="2111" spans="3:13" hidden="1" outlineLevel="1" x14ac:dyDescent="0.2">
      <c r="C2111" s="139">
        <v>1885</v>
      </c>
      <c r="D2111" s="248">
        <v>1794.7135000000001</v>
      </c>
      <c r="E2111" s="248">
        <v>1857.0713000000001</v>
      </c>
      <c r="F2111" s="248">
        <v>1890.4677999999999</v>
      </c>
      <c r="G2111" s="248">
        <v>1917.8040000000001</v>
      </c>
      <c r="H2111" s="248">
        <v>1966.7180000000001</v>
      </c>
      <c r="I2111"/>
      <c r="J2111"/>
      <c r="K2111"/>
      <c r="L2111"/>
      <c r="M2111"/>
    </row>
    <row r="2112" spans="3:13" hidden="1" outlineLevel="1" x14ac:dyDescent="0.2">
      <c r="C2112" s="139">
        <v>1886</v>
      </c>
      <c r="D2112" s="248">
        <v>1795.6656</v>
      </c>
      <c r="E2112" s="248">
        <v>1858.114</v>
      </c>
      <c r="F2112" s="248">
        <v>1891.5340000000001</v>
      </c>
      <c r="G2112" s="248">
        <v>1918.8214</v>
      </c>
      <c r="H2112" s="248">
        <v>1967.7614000000001</v>
      </c>
      <c r="I2112"/>
      <c r="J2112"/>
      <c r="K2112"/>
      <c r="L2112"/>
      <c r="M2112"/>
    </row>
    <row r="2113" spans="3:13" hidden="1" outlineLevel="1" x14ac:dyDescent="0.2">
      <c r="C2113" s="139">
        <v>1887</v>
      </c>
      <c r="D2113" s="248">
        <v>1796.6753000000001</v>
      </c>
      <c r="E2113" s="248">
        <v>1859.0993000000001</v>
      </c>
      <c r="F2113" s="248">
        <v>1892.537</v>
      </c>
      <c r="G2113" s="248">
        <v>1919.8388</v>
      </c>
      <c r="H2113" s="248">
        <v>1968.8046999999999</v>
      </c>
      <c r="I2113"/>
      <c r="J2113"/>
      <c r="K2113"/>
      <c r="L2113"/>
      <c r="M2113"/>
    </row>
    <row r="2114" spans="3:13" hidden="1" outlineLevel="1" x14ac:dyDescent="0.2">
      <c r="C2114" s="139">
        <v>1888</v>
      </c>
      <c r="D2114" s="248">
        <v>1797.6274000000001</v>
      </c>
      <c r="E2114" s="248">
        <v>1860.0844999999999</v>
      </c>
      <c r="F2114" s="248">
        <v>1893.5399</v>
      </c>
      <c r="G2114" s="248">
        <v>1920.8561999999999</v>
      </c>
      <c r="H2114" s="248">
        <v>1969.9114999999999</v>
      </c>
      <c r="I2114"/>
      <c r="J2114"/>
      <c r="K2114"/>
      <c r="L2114"/>
      <c r="M2114"/>
    </row>
    <row r="2115" spans="3:13" hidden="1" outlineLevel="1" x14ac:dyDescent="0.2">
      <c r="C2115" s="139">
        <v>1889</v>
      </c>
      <c r="D2115" s="248">
        <v>1798.6371999999999</v>
      </c>
      <c r="E2115" s="248">
        <v>1861.1273000000001</v>
      </c>
      <c r="F2115" s="248">
        <v>1894.5427999999999</v>
      </c>
      <c r="G2115" s="248">
        <v>1921.8735999999999</v>
      </c>
      <c r="H2115" s="248">
        <v>1970.9549</v>
      </c>
      <c r="I2115"/>
      <c r="J2115"/>
      <c r="K2115"/>
      <c r="L2115"/>
      <c r="M2115"/>
    </row>
    <row r="2116" spans="3:13" hidden="1" outlineLevel="1" x14ac:dyDescent="0.2">
      <c r="C2116" s="139">
        <v>1890</v>
      </c>
      <c r="D2116" s="248">
        <v>1799.5894000000001</v>
      </c>
      <c r="E2116" s="248">
        <v>1862.1125999999999</v>
      </c>
      <c r="F2116" s="248">
        <v>1895.6092000000001</v>
      </c>
      <c r="G2116" s="248">
        <v>1922.8910000000001</v>
      </c>
      <c r="H2116" s="248">
        <v>1971.9982</v>
      </c>
      <c r="I2116"/>
      <c r="J2116"/>
      <c r="K2116"/>
      <c r="L2116"/>
      <c r="M2116"/>
    </row>
    <row r="2117" spans="3:13" hidden="1" outlineLevel="1" x14ac:dyDescent="0.2">
      <c r="C2117" s="139">
        <v>1891</v>
      </c>
      <c r="D2117" s="248">
        <v>1800.5993000000001</v>
      </c>
      <c r="E2117" s="248">
        <v>1863.0978</v>
      </c>
      <c r="F2117" s="248">
        <v>1896.6122</v>
      </c>
      <c r="G2117" s="248">
        <v>1923.9719</v>
      </c>
      <c r="H2117" s="248">
        <v>1973.0416</v>
      </c>
      <c r="I2117"/>
      <c r="J2117"/>
      <c r="K2117"/>
      <c r="L2117"/>
      <c r="M2117"/>
    </row>
    <row r="2118" spans="3:13" hidden="1" outlineLevel="1" x14ac:dyDescent="0.2">
      <c r="C2118" s="139">
        <v>1892</v>
      </c>
      <c r="D2118" s="248">
        <v>1801.5515</v>
      </c>
      <c r="E2118" s="248">
        <v>1864.1407999999999</v>
      </c>
      <c r="F2118" s="248">
        <v>1897.6151</v>
      </c>
      <c r="G2118" s="248">
        <v>1924.9893</v>
      </c>
      <c r="H2118" s="248">
        <v>1974.085</v>
      </c>
      <c r="I2118"/>
      <c r="J2118"/>
      <c r="K2118"/>
      <c r="L2118"/>
      <c r="M2118"/>
    </row>
    <row r="2119" spans="3:13" hidden="1" outlineLevel="1" x14ac:dyDescent="0.2">
      <c r="C2119" s="139">
        <v>1893</v>
      </c>
      <c r="D2119" s="248">
        <v>1802.5614</v>
      </c>
      <c r="E2119" s="248">
        <v>1865.1261</v>
      </c>
      <c r="F2119" s="248">
        <v>1898.6180999999999</v>
      </c>
      <c r="G2119" s="248">
        <v>1926.0068000000001</v>
      </c>
      <c r="H2119" s="248">
        <v>1975.1284000000001</v>
      </c>
      <c r="I2119"/>
      <c r="J2119"/>
      <c r="K2119"/>
      <c r="L2119"/>
      <c r="M2119"/>
    </row>
    <row r="2120" spans="3:13" hidden="1" outlineLevel="1" x14ac:dyDescent="0.2">
      <c r="C2120" s="139">
        <v>1894</v>
      </c>
      <c r="D2120" s="248">
        <v>1803.5136</v>
      </c>
      <c r="E2120" s="248">
        <v>1866.1114</v>
      </c>
      <c r="F2120" s="248">
        <v>1899.6211000000001</v>
      </c>
      <c r="G2120" s="248">
        <v>1927.0242000000001</v>
      </c>
      <c r="H2120" s="248">
        <v>1976.1718000000001</v>
      </c>
      <c r="I2120"/>
      <c r="J2120"/>
      <c r="K2120"/>
      <c r="L2120"/>
      <c r="M2120"/>
    </row>
    <row r="2121" spans="3:13" hidden="1" outlineLevel="1" x14ac:dyDescent="0.2">
      <c r="C2121" s="139">
        <v>1895</v>
      </c>
      <c r="D2121" s="248">
        <v>1804.5237</v>
      </c>
      <c r="E2121" s="248">
        <v>1867.0966000000001</v>
      </c>
      <c r="F2121" s="248">
        <v>1900.6876999999999</v>
      </c>
      <c r="G2121" s="248">
        <v>1928.0416</v>
      </c>
      <c r="H2121" s="248">
        <v>1977.2152000000001</v>
      </c>
      <c r="I2121"/>
      <c r="J2121"/>
      <c r="K2121"/>
      <c r="L2121"/>
      <c r="M2121"/>
    </row>
    <row r="2122" spans="3:13" hidden="1" outlineLevel="1" x14ac:dyDescent="0.2">
      <c r="C2122" s="139">
        <v>1896</v>
      </c>
      <c r="D2122" s="248">
        <v>1805.4760000000001</v>
      </c>
      <c r="E2122" s="248">
        <v>1868.1397999999999</v>
      </c>
      <c r="F2122" s="248">
        <v>1901.6907000000001</v>
      </c>
      <c r="G2122" s="248">
        <v>1929.0590999999999</v>
      </c>
      <c r="H2122" s="248">
        <v>1978.3222000000001</v>
      </c>
      <c r="I2122"/>
      <c r="J2122"/>
      <c r="K2122"/>
      <c r="L2122"/>
      <c r="M2122"/>
    </row>
    <row r="2123" spans="3:13" hidden="1" outlineLevel="1" x14ac:dyDescent="0.2">
      <c r="C2123" s="139">
        <v>1897</v>
      </c>
      <c r="D2123" s="248">
        <v>1806.4861000000001</v>
      </c>
      <c r="E2123" s="248">
        <v>1869.1251</v>
      </c>
      <c r="F2123" s="248">
        <v>1902.6937</v>
      </c>
      <c r="G2123" s="248">
        <v>1930.1402</v>
      </c>
      <c r="H2123" s="248">
        <v>1979.3656000000001</v>
      </c>
      <c r="I2123"/>
      <c r="J2123"/>
      <c r="K2123"/>
      <c r="L2123"/>
      <c r="M2123"/>
    </row>
    <row r="2124" spans="3:13" hidden="1" outlineLevel="1" x14ac:dyDescent="0.2">
      <c r="C2124" s="139">
        <v>1898</v>
      </c>
      <c r="D2124" s="248">
        <v>1807.4384</v>
      </c>
      <c r="E2124" s="248">
        <v>1870.1104</v>
      </c>
      <c r="F2124" s="248">
        <v>1903.6967</v>
      </c>
      <c r="G2124" s="248">
        <v>1931.1577</v>
      </c>
      <c r="H2124" s="248">
        <v>1980.4090000000001</v>
      </c>
      <c r="I2124"/>
      <c r="J2124"/>
      <c r="K2124"/>
      <c r="L2124"/>
      <c r="M2124"/>
    </row>
    <row r="2125" spans="3:13" hidden="1" outlineLevel="1" x14ac:dyDescent="0.2">
      <c r="C2125" s="139">
        <v>1899</v>
      </c>
      <c r="D2125" s="248">
        <v>1808.4485999999999</v>
      </c>
      <c r="E2125" s="248">
        <v>1871.1536000000001</v>
      </c>
      <c r="F2125" s="248">
        <v>1904.7634</v>
      </c>
      <c r="G2125" s="248">
        <v>1932.1750999999999</v>
      </c>
      <c r="H2125" s="248">
        <v>1981.4525000000001</v>
      </c>
      <c r="I2125"/>
      <c r="J2125"/>
      <c r="K2125"/>
      <c r="L2125"/>
      <c r="M2125"/>
    </row>
    <row r="2126" spans="3:13" hidden="1" outlineLevel="1" x14ac:dyDescent="0.2">
      <c r="C2126" s="139">
        <v>1900</v>
      </c>
      <c r="D2126" s="248">
        <v>1809.4009000000001</v>
      </c>
      <c r="E2126" s="248">
        <v>1872.1389999999999</v>
      </c>
      <c r="F2126" s="248">
        <v>1905.7664</v>
      </c>
      <c r="G2126" s="248">
        <v>1933.1926000000001</v>
      </c>
      <c r="H2126" s="248">
        <v>1982.4958999999999</v>
      </c>
      <c r="I2126"/>
      <c r="J2126"/>
      <c r="K2126"/>
      <c r="L2126"/>
      <c r="M2126"/>
    </row>
    <row r="2127" spans="3:13" hidden="1" outlineLevel="1" x14ac:dyDescent="0.2">
      <c r="C2127" s="139">
        <v>1901</v>
      </c>
      <c r="D2127" s="248">
        <v>1810.4113</v>
      </c>
      <c r="E2127" s="248">
        <v>1873.1242999999999</v>
      </c>
      <c r="F2127" s="248">
        <v>1906.7695000000001</v>
      </c>
      <c r="G2127" s="248">
        <v>1934.2101</v>
      </c>
      <c r="H2127" s="248">
        <v>1983.5392999999999</v>
      </c>
      <c r="I2127"/>
      <c r="J2127"/>
      <c r="K2127"/>
      <c r="L2127"/>
      <c r="M2127"/>
    </row>
    <row r="2128" spans="3:13" hidden="1" outlineLevel="1" x14ac:dyDescent="0.2">
      <c r="C2128" s="139">
        <v>1902</v>
      </c>
      <c r="D2128" s="248">
        <v>1811.3635999999999</v>
      </c>
      <c r="E2128" s="248">
        <v>1874.1677</v>
      </c>
      <c r="F2128" s="248">
        <v>1907.7725</v>
      </c>
      <c r="G2128" s="248">
        <v>1935.2914000000001</v>
      </c>
      <c r="H2128" s="248">
        <v>1984.5826999999999</v>
      </c>
      <c r="I2128"/>
      <c r="J2128"/>
      <c r="K2128"/>
      <c r="L2128"/>
      <c r="M2128"/>
    </row>
    <row r="2129" spans="3:13" hidden="1" outlineLevel="1" x14ac:dyDescent="0.2">
      <c r="C2129" s="139">
        <v>1903</v>
      </c>
      <c r="D2129" s="248">
        <v>1812.374</v>
      </c>
      <c r="E2129" s="248">
        <v>1875.1531</v>
      </c>
      <c r="F2129" s="248">
        <v>1908.7755999999999</v>
      </c>
      <c r="G2129" s="248">
        <v>1936.3089</v>
      </c>
      <c r="H2129" s="248">
        <v>1985.69</v>
      </c>
      <c r="I2129"/>
      <c r="J2129"/>
      <c r="K2129"/>
      <c r="L2129"/>
      <c r="M2129"/>
    </row>
    <row r="2130" spans="3:13" hidden="1" outlineLevel="1" x14ac:dyDescent="0.2">
      <c r="C2130" s="139">
        <v>1904</v>
      </c>
      <c r="D2130" s="248">
        <v>1813.3263999999999</v>
      </c>
      <c r="E2130" s="248">
        <v>1876.1384</v>
      </c>
      <c r="F2130" s="248">
        <v>1909.8425</v>
      </c>
      <c r="G2130" s="248">
        <v>1937.3263999999999</v>
      </c>
      <c r="H2130" s="248">
        <v>1986.7335</v>
      </c>
      <c r="I2130"/>
      <c r="J2130"/>
      <c r="K2130"/>
      <c r="L2130"/>
      <c r="M2130"/>
    </row>
    <row r="2131" spans="3:13" hidden="1" outlineLevel="1" x14ac:dyDescent="0.2">
      <c r="C2131" s="139">
        <v>1905</v>
      </c>
      <c r="D2131" s="248">
        <v>1814.3369</v>
      </c>
      <c r="E2131" s="248">
        <v>1877.1819</v>
      </c>
      <c r="F2131" s="248">
        <v>1910.8456000000001</v>
      </c>
      <c r="G2131" s="248">
        <v>1938.3439000000001</v>
      </c>
      <c r="H2131" s="248">
        <v>1987.7769000000001</v>
      </c>
      <c r="I2131"/>
      <c r="J2131"/>
      <c r="K2131"/>
      <c r="L2131"/>
      <c r="M2131"/>
    </row>
    <row r="2132" spans="3:13" hidden="1" outlineLevel="1" x14ac:dyDescent="0.2">
      <c r="C2132" s="139">
        <v>1906</v>
      </c>
      <c r="D2132" s="248">
        <v>1815.2892999999999</v>
      </c>
      <c r="E2132" s="248">
        <v>1878.1673000000001</v>
      </c>
      <c r="F2132" s="248">
        <v>1911.8486</v>
      </c>
      <c r="G2132" s="248">
        <v>1939.3614</v>
      </c>
      <c r="H2132" s="248">
        <v>1988.8204000000001</v>
      </c>
      <c r="I2132"/>
      <c r="J2132"/>
      <c r="K2132"/>
      <c r="L2132"/>
      <c r="M2132"/>
    </row>
    <row r="2133" spans="3:13" hidden="1" outlineLevel="1" x14ac:dyDescent="0.2">
      <c r="C2133" s="139">
        <v>1907</v>
      </c>
      <c r="D2133" s="248">
        <v>1816.2999</v>
      </c>
      <c r="E2133" s="248">
        <v>1879.1527000000001</v>
      </c>
      <c r="F2133" s="248">
        <v>1912.8516999999999</v>
      </c>
      <c r="G2133" s="248">
        <v>1940.3788999999999</v>
      </c>
      <c r="H2133" s="248">
        <v>1989.8638000000001</v>
      </c>
      <c r="I2133"/>
      <c r="J2133"/>
      <c r="K2133"/>
      <c r="L2133"/>
      <c r="M2133"/>
    </row>
    <row r="2134" spans="3:13" hidden="1" outlineLevel="1" x14ac:dyDescent="0.2">
      <c r="C2134" s="139">
        <v>1908</v>
      </c>
      <c r="D2134" s="248">
        <v>1817.2524000000001</v>
      </c>
      <c r="E2134" s="248">
        <v>1880.1380999999999</v>
      </c>
      <c r="F2134" s="248">
        <v>1913.8548000000001</v>
      </c>
      <c r="G2134" s="248">
        <v>1941.4604999999999</v>
      </c>
      <c r="H2134" s="248">
        <v>1990.9073000000001</v>
      </c>
      <c r="I2134"/>
      <c r="J2134"/>
      <c r="K2134"/>
      <c r="L2134"/>
      <c r="M2134"/>
    </row>
    <row r="2135" spans="3:13" hidden="1" outlineLevel="1" x14ac:dyDescent="0.2">
      <c r="C2135" s="139">
        <v>1909</v>
      </c>
      <c r="D2135" s="248">
        <v>1818.2630999999999</v>
      </c>
      <c r="E2135" s="248">
        <v>1881.1818000000001</v>
      </c>
      <c r="F2135" s="248">
        <v>1914.9219000000001</v>
      </c>
      <c r="G2135" s="248">
        <v>1942.4780000000001</v>
      </c>
      <c r="H2135" s="248">
        <v>1991.9507000000001</v>
      </c>
      <c r="I2135"/>
      <c r="J2135"/>
      <c r="K2135"/>
      <c r="L2135"/>
      <c r="M2135"/>
    </row>
    <row r="2136" spans="3:13" hidden="1" outlineLevel="1" x14ac:dyDescent="0.2">
      <c r="C2136" s="139">
        <v>1910</v>
      </c>
      <c r="D2136" s="248">
        <v>1819.2155</v>
      </c>
      <c r="E2136" s="248">
        <v>1882.1672000000001</v>
      </c>
      <c r="F2136" s="248">
        <v>1915.925</v>
      </c>
      <c r="G2136" s="248">
        <v>1943.4955</v>
      </c>
      <c r="H2136" s="248">
        <v>1992.9942000000001</v>
      </c>
      <c r="I2136"/>
      <c r="J2136"/>
      <c r="K2136"/>
      <c r="L2136"/>
      <c r="M2136"/>
    </row>
    <row r="2137" spans="3:13" hidden="1" outlineLevel="1" x14ac:dyDescent="0.2">
      <c r="C2137" s="139">
        <v>1911</v>
      </c>
      <c r="D2137" s="248">
        <v>1820.2263</v>
      </c>
      <c r="E2137" s="248">
        <v>1883.1525999999999</v>
      </c>
      <c r="F2137" s="248">
        <v>1916.9281000000001</v>
      </c>
      <c r="G2137" s="248">
        <v>1944.5130999999999</v>
      </c>
      <c r="H2137" s="248">
        <v>1994.1017999999999</v>
      </c>
      <c r="I2137"/>
      <c r="J2137"/>
      <c r="K2137"/>
      <c r="L2137"/>
      <c r="M2137"/>
    </row>
    <row r="2138" spans="3:13" hidden="1" outlineLevel="1" x14ac:dyDescent="0.2">
      <c r="C2138" s="139">
        <v>1912</v>
      </c>
      <c r="D2138" s="248">
        <v>1821.1787999999999</v>
      </c>
      <c r="E2138" s="248">
        <v>1884.1964</v>
      </c>
      <c r="F2138" s="248">
        <v>1917.9312</v>
      </c>
      <c r="G2138" s="248">
        <v>1945.5306</v>
      </c>
      <c r="H2138" s="248">
        <v>1995.1452999999999</v>
      </c>
      <c r="I2138"/>
      <c r="J2138"/>
      <c r="K2138"/>
      <c r="L2138"/>
      <c r="M2138"/>
    </row>
    <row r="2139" spans="3:13" hidden="1" outlineLevel="1" x14ac:dyDescent="0.2">
      <c r="C2139" s="139">
        <v>1913</v>
      </c>
      <c r="D2139" s="248">
        <v>1822.1896999999999</v>
      </c>
      <c r="E2139" s="248">
        <v>1885.1819</v>
      </c>
      <c r="F2139" s="248">
        <v>1918.9985999999999</v>
      </c>
      <c r="G2139" s="248">
        <v>1946.6124</v>
      </c>
      <c r="H2139" s="248">
        <v>1996.1887999999999</v>
      </c>
      <c r="I2139"/>
      <c r="J2139"/>
      <c r="K2139"/>
      <c r="L2139"/>
      <c r="M2139"/>
    </row>
    <row r="2140" spans="3:13" hidden="1" outlineLevel="1" x14ac:dyDescent="0.2">
      <c r="C2140" s="139">
        <v>1914</v>
      </c>
      <c r="D2140" s="248">
        <v>1823.1422</v>
      </c>
      <c r="E2140" s="248">
        <v>1886.1673000000001</v>
      </c>
      <c r="F2140" s="248">
        <v>1920.0017</v>
      </c>
      <c r="G2140" s="248">
        <v>1947.6298999999999</v>
      </c>
      <c r="H2140" s="248">
        <v>1997.2321999999999</v>
      </c>
      <c r="I2140"/>
      <c r="J2140"/>
      <c r="K2140"/>
      <c r="L2140"/>
      <c r="M2140"/>
    </row>
    <row r="2141" spans="3:13" hidden="1" outlineLevel="1" x14ac:dyDescent="0.2">
      <c r="C2141" s="139">
        <v>1915</v>
      </c>
      <c r="D2141" s="248">
        <v>1824.1532</v>
      </c>
      <c r="E2141" s="248">
        <v>1887.2112</v>
      </c>
      <c r="F2141" s="248">
        <v>1921.0047999999999</v>
      </c>
      <c r="G2141" s="248">
        <v>1948.6475</v>
      </c>
      <c r="H2141" s="248">
        <v>1998.2756999999999</v>
      </c>
      <c r="I2141"/>
      <c r="J2141"/>
      <c r="K2141"/>
      <c r="L2141"/>
      <c r="M2141"/>
    </row>
    <row r="2142" spans="3:13" hidden="1" outlineLevel="1" x14ac:dyDescent="0.2">
      <c r="C2142" s="139">
        <v>1916</v>
      </c>
      <c r="D2142" s="248">
        <v>1825.1058</v>
      </c>
      <c r="E2142" s="248">
        <v>1888.1967</v>
      </c>
      <c r="F2142" s="248">
        <v>1922.008</v>
      </c>
      <c r="G2142" s="248">
        <v>1949.6650999999999</v>
      </c>
      <c r="H2142" s="248">
        <v>1999.3191999999999</v>
      </c>
      <c r="I2142"/>
      <c r="J2142"/>
      <c r="K2142"/>
      <c r="L2142"/>
      <c r="M2142"/>
    </row>
    <row r="2143" spans="3:13" hidden="1" outlineLevel="1" x14ac:dyDescent="0.2">
      <c r="C2143" s="139">
        <v>1917</v>
      </c>
      <c r="D2143" s="248">
        <v>1826.0582999999999</v>
      </c>
      <c r="E2143" s="248">
        <v>1889.1822</v>
      </c>
      <c r="F2143" s="248">
        <v>1923.0110999999999</v>
      </c>
      <c r="G2143" s="248">
        <v>1950.6826000000001</v>
      </c>
      <c r="H2143" s="248">
        <v>2000.3626999999999</v>
      </c>
      <c r="I2143"/>
      <c r="J2143"/>
      <c r="K2143"/>
      <c r="L2143"/>
      <c r="M2143"/>
    </row>
    <row r="2144" spans="3:13" hidden="1" outlineLevel="1" x14ac:dyDescent="0.2">
      <c r="C2144" s="139">
        <v>1918</v>
      </c>
      <c r="D2144" s="248">
        <v>1827.0694000000001</v>
      </c>
      <c r="E2144" s="248">
        <v>1890.2262000000001</v>
      </c>
      <c r="F2144" s="248">
        <v>1924.0786000000001</v>
      </c>
      <c r="G2144" s="248">
        <v>1951.7002</v>
      </c>
      <c r="H2144" s="248">
        <v>2001.4061999999999</v>
      </c>
      <c r="I2144"/>
      <c r="J2144"/>
      <c r="K2144"/>
      <c r="L2144"/>
      <c r="M2144"/>
    </row>
    <row r="2145" spans="3:13" hidden="1" outlineLevel="1" x14ac:dyDescent="0.2">
      <c r="C2145" s="139">
        <v>1919</v>
      </c>
      <c r="D2145" s="248">
        <v>1828.0219999999999</v>
      </c>
      <c r="E2145" s="248">
        <v>1891.2117000000001</v>
      </c>
      <c r="F2145" s="248">
        <v>1925.0817999999999</v>
      </c>
      <c r="G2145" s="248">
        <v>1952.7822000000001</v>
      </c>
      <c r="H2145" s="248">
        <v>2002.5141000000001</v>
      </c>
      <c r="I2145"/>
      <c r="J2145"/>
      <c r="K2145"/>
      <c r="L2145"/>
      <c r="M2145"/>
    </row>
    <row r="2146" spans="3:13" hidden="1" outlineLevel="1" x14ac:dyDescent="0.2">
      <c r="C2146" s="139">
        <v>1920</v>
      </c>
      <c r="D2146" s="248">
        <v>1829.0332000000001</v>
      </c>
      <c r="E2146" s="248">
        <v>1892.1973</v>
      </c>
      <c r="F2146" s="248">
        <v>1926.085</v>
      </c>
      <c r="G2146" s="248">
        <v>1953.7998</v>
      </c>
      <c r="H2146" s="248">
        <v>2003.5576000000001</v>
      </c>
      <c r="I2146"/>
      <c r="J2146"/>
      <c r="K2146"/>
      <c r="L2146"/>
      <c r="M2146"/>
    </row>
    <row r="2147" spans="3:13" hidden="1" outlineLevel="1" x14ac:dyDescent="0.2">
      <c r="C2147" s="139">
        <v>1921</v>
      </c>
      <c r="D2147" s="248">
        <v>1829.9857999999999</v>
      </c>
      <c r="E2147" s="248">
        <v>1893.1828</v>
      </c>
      <c r="F2147" s="248">
        <v>1927.0880999999999</v>
      </c>
      <c r="G2147" s="248">
        <v>1954.8173999999999</v>
      </c>
      <c r="H2147" s="248">
        <v>2004.6011000000001</v>
      </c>
      <c r="I2147"/>
      <c r="J2147"/>
      <c r="K2147"/>
      <c r="L2147"/>
      <c r="M2147"/>
    </row>
    <row r="2148" spans="3:13" hidden="1" outlineLevel="1" x14ac:dyDescent="0.2">
      <c r="C2148" s="139">
        <v>1922</v>
      </c>
      <c r="D2148" s="248">
        <v>1830.9971</v>
      </c>
      <c r="E2148" s="248">
        <v>1894.2270000000001</v>
      </c>
      <c r="F2148" s="248">
        <v>1928.0913</v>
      </c>
      <c r="G2148" s="248">
        <v>1955.835</v>
      </c>
      <c r="H2148" s="248">
        <v>2005.6447000000001</v>
      </c>
      <c r="I2148"/>
      <c r="J2148"/>
      <c r="K2148"/>
      <c r="L2148"/>
      <c r="M2148"/>
    </row>
    <row r="2149" spans="3:13" hidden="1" outlineLevel="1" x14ac:dyDescent="0.2">
      <c r="C2149" s="139">
        <v>1923</v>
      </c>
      <c r="D2149" s="248">
        <v>1831.9498000000001</v>
      </c>
      <c r="E2149" s="248">
        <v>1895.2125000000001</v>
      </c>
      <c r="F2149" s="248">
        <v>1929.1590000000001</v>
      </c>
      <c r="G2149" s="248">
        <v>1956.8525999999999</v>
      </c>
      <c r="H2149" s="248">
        <v>2006.6882000000001</v>
      </c>
      <c r="I2149"/>
      <c r="J2149"/>
      <c r="K2149"/>
      <c r="L2149"/>
      <c r="M2149"/>
    </row>
    <row r="2150" spans="3:13" hidden="1" outlineLevel="1" x14ac:dyDescent="0.2">
      <c r="C2150" s="139">
        <v>1924</v>
      </c>
      <c r="D2150" s="248">
        <v>1832.9611</v>
      </c>
      <c r="E2150" s="248">
        <v>1896.1981000000001</v>
      </c>
      <c r="F2150" s="248">
        <v>1930.1622</v>
      </c>
      <c r="G2150" s="248">
        <v>1957.8702000000001</v>
      </c>
      <c r="H2150" s="248">
        <v>2007.7317</v>
      </c>
      <c r="I2150"/>
      <c r="J2150"/>
      <c r="K2150"/>
      <c r="L2150"/>
      <c r="M2150"/>
    </row>
    <row r="2151" spans="3:13" hidden="1" outlineLevel="1" x14ac:dyDescent="0.2">
      <c r="C2151" s="139">
        <v>1925</v>
      </c>
      <c r="D2151" s="248">
        <v>1833.9138</v>
      </c>
      <c r="E2151" s="248">
        <v>1897.2424000000001</v>
      </c>
      <c r="F2151" s="248">
        <v>1931.1654000000001</v>
      </c>
      <c r="G2151" s="248">
        <v>1958.9523999999999</v>
      </c>
      <c r="H2151" s="248">
        <v>2008.7752</v>
      </c>
      <c r="I2151"/>
      <c r="J2151"/>
      <c r="K2151"/>
      <c r="L2151"/>
      <c r="M2151"/>
    </row>
    <row r="2152" spans="3:13" hidden="1" outlineLevel="1" x14ac:dyDescent="0.2">
      <c r="C2152" s="139">
        <v>1926</v>
      </c>
      <c r="D2152" s="248">
        <v>1834.9253000000001</v>
      </c>
      <c r="E2152" s="248">
        <v>1898.2279000000001</v>
      </c>
      <c r="F2152" s="248">
        <v>1932.1686</v>
      </c>
      <c r="G2152" s="248">
        <v>1959.9701</v>
      </c>
      <c r="H2152" s="248">
        <v>2009.8187</v>
      </c>
      <c r="I2152"/>
      <c r="J2152"/>
      <c r="K2152"/>
      <c r="L2152"/>
      <c r="M2152"/>
    </row>
    <row r="2153" spans="3:13" hidden="1" outlineLevel="1" x14ac:dyDescent="0.2">
      <c r="C2153" s="139">
        <v>1927</v>
      </c>
      <c r="D2153" s="248">
        <v>1835.8779999999999</v>
      </c>
      <c r="E2153" s="248">
        <v>1899.2135000000001</v>
      </c>
      <c r="F2153" s="248">
        <v>1933.1718000000001</v>
      </c>
      <c r="G2153" s="248">
        <v>1960.9876999999999</v>
      </c>
      <c r="H2153" s="248">
        <v>2010.9268999999999</v>
      </c>
      <c r="I2153"/>
      <c r="J2153"/>
      <c r="K2153"/>
      <c r="L2153"/>
      <c r="M2153"/>
    </row>
    <row r="2154" spans="3:13" hidden="1" outlineLevel="1" x14ac:dyDescent="0.2">
      <c r="C2154" s="139">
        <v>1928</v>
      </c>
      <c r="D2154" s="248">
        <v>1836.8895</v>
      </c>
      <c r="E2154" s="248">
        <v>1900.2579000000001</v>
      </c>
      <c r="F2154" s="248">
        <v>1934.2398000000001</v>
      </c>
      <c r="G2154" s="248">
        <v>1962.0054</v>
      </c>
      <c r="H2154" s="248">
        <v>2011.9704999999999</v>
      </c>
      <c r="I2154"/>
      <c r="J2154"/>
      <c r="K2154"/>
      <c r="L2154"/>
      <c r="M2154"/>
    </row>
    <row r="2155" spans="3:13" hidden="1" outlineLevel="1" x14ac:dyDescent="0.2">
      <c r="C2155" s="139">
        <v>1929</v>
      </c>
      <c r="D2155" s="248">
        <v>1837.8423</v>
      </c>
      <c r="E2155" s="248">
        <v>1901.2435</v>
      </c>
      <c r="F2155" s="248">
        <v>1935.2429999999999</v>
      </c>
      <c r="G2155" s="248">
        <v>1963.0229999999999</v>
      </c>
      <c r="H2155" s="248">
        <v>2013.0139999999999</v>
      </c>
      <c r="I2155"/>
      <c r="J2155"/>
      <c r="K2155"/>
      <c r="L2155"/>
      <c r="M2155"/>
    </row>
    <row r="2156" spans="3:13" hidden="1" outlineLevel="1" x14ac:dyDescent="0.2">
      <c r="C2156" s="139">
        <v>1930</v>
      </c>
      <c r="D2156" s="248">
        <v>1838.8539000000001</v>
      </c>
      <c r="E2156" s="248">
        <v>1902.2292</v>
      </c>
      <c r="F2156" s="248">
        <v>1936.2462</v>
      </c>
      <c r="G2156" s="248">
        <v>1964.0406</v>
      </c>
      <c r="H2156" s="248">
        <v>2014.0576000000001</v>
      </c>
      <c r="I2156"/>
      <c r="J2156"/>
      <c r="K2156"/>
      <c r="L2156"/>
      <c r="M2156"/>
    </row>
    <row r="2157" spans="3:13" hidden="1" outlineLevel="1" x14ac:dyDescent="0.2">
      <c r="C2157" s="139">
        <v>1931</v>
      </c>
      <c r="D2157" s="248">
        <v>1839.8067000000001</v>
      </c>
      <c r="E2157" s="248">
        <v>1903.2148</v>
      </c>
      <c r="F2157" s="248">
        <v>1937.2494999999999</v>
      </c>
      <c r="G2157" s="248">
        <v>1965.1231</v>
      </c>
      <c r="H2157" s="248">
        <v>2015.1012000000001</v>
      </c>
      <c r="I2157"/>
      <c r="J2157"/>
      <c r="K2157"/>
      <c r="L2157"/>
      <c r="M2157"/>
    </row>
    <row r="2158" spans="3:13" hidden="1" outlineLevel="1" x14ac:dyDescent="0.2">
      <c r="C2158" s="139">
        <v>1932</v>
      </c>
      <c r="D2158" s="248">
        <v>1840.8184000000001</v>
      </c>
      <c r="E2158" s="248">
        <v>1904.2592999999999</v>
      </c>
      <c r="F2158" s="248">
        <v>1938.3176000000001</v>
      </c>
      <c r="G2158" s="248">
        <v>1966.1407999999999</v>
      </c>
      <c r="H2158" s="248">
        <v>2016.1447000000001</v>
      </c>
      <c r="I2158"/>
      <c r="J2158"/>
      <c r="K2158"/>
      <c r="L2158"/>
      <c r="M2158"/>
    </row>
    <row r="2159" spans="3:13" hidden="1" outlineLevel="1" x14ac:dyDescent="0.2">
      <c r="C2159" s="139">
        <v>1933</v>
      </c>
      <c r="D2159" s="248">
        <v>1841.7711999999999</v>
      </c>
      <c r="E2159" s="248">
        <v>1905.2449999999999</v>
      </c>
      <c r="F2159" s="248">
        <v>1939.3208</v>
      </c>
      <c r="G2159" s="248">
        <v>1967.1584</v>
      </c>
      <c r="H2159" s="248">
        <v>2017.1883</v>
      </c>
      <c r="I2159"/>
      <c r="J2159"/>
      <c r="K2159"/>
      <c r="L2159"/>
      <c r="M2159"/>
    </row>
    <row r="2160" spans="3:13" hidden="1" outlineLevel="1" x14ac:dyDescent="0.2">
      <c r="C2160" s="139">
        <v>1934</v>
      </c>
      <c r="D2160" s="248">
        <v>1842.7831000000001</v>
      </c>
      <c r="E2160" s="248">
        <v>1906.2306000000001</v>
      </c>
      <c r="F2160" s="248">
        <v>1940.3241</v>
      </c>
      <c r="G2160" s="248">
        <v>1968.1760999999999</v>
      </c>
      <c r="H2160" s="248">
        <v>2018.2318</v>
      </c>
      <c r="I2160"/>
      <c r="J2160"/>
      <c r="K2160"/>
      <c r="L2160"/>
      <c r="M2160"/>
    </row>
    <row r="2161" spans="3:13" hidden="1" outlineLevel="1" x14ac:dyDescent="0.2">
      <c r="C2161" s="139">
        <v>1935</v>
      </c>
      <c r="D2161" s="248">
        <v>1843.7358999999999</v>
      </c>
      <c r="E2161" s="248">
        <v>1907.2753</v>
      </c>
      <c r="F2161" s="248">
        <v>1941.3273999999999</v>
      </c>
      <c r="G2161" s="248">
        <v>1969.1938</v>
      </c>
      <c r="H2161" s="248">
        <v>2019.3403000000001</v>
      </c>
      <c r="I2161"/>
      <c r="J2161"/>
      <c r="K2161"/>
      <c r="L2161"/>
      <c r="M2161"/>
    </row>
    <row r="2162" spans="3:13" hidden="1" outlineLevel="1" x14ac:dyDescent="0.2">
      <c r="C2162" s="139">
        <v>1936</v>
      </c>
      <c r="D2162" s="248">
        <v>1844.7478000000001</v>
      </c>
      <c r="E2162" s="248">
        <v>1908.261</v>
      </c>
      <c r="F2162" s="248">
        <v>1942.3306</v>
      </c>
      <c r="G2162" s="248">
        <v>1970.2114999999999</v>
      </c>
      <c r="H2162" s="248">
        <v>2020.3839</v>
      </c>
      <c r="I2162"/>
      <c r="J2162"/>
      <c r="K2162"/>
      <c r="L2162"/>
      <c r="M2162"/>
    </row>
    <row r="2163" spans="3:13" hidden="1" outlineLevel="1" x14ac:dyDescent="0.2">
      <c r="C2163" s="139">
        <v>1937</v>
      </c>
      <c r="D2163" s="248">
        <v>1845.7007000000001</v>
      </c>
      <c r="E2163" s="248">
        <v>1909.2466999999999</v>
      </c>
      <c r="F2163" s="248">
        <v>1943.3988999999999</v>
      </c>
      <c r="G2163" s="248">
        <v>1971.2941000000001</v>
      </c>
      <c r="H2163" s="248">
        <v>2021.4275</v>
      </c>
      <c r="I2163"/>
      <c r="J2163"/>
      <c r="K2163"/>
      <c r="L2163"/>
      <c r="M2163"/>
    </row>
    <row r="2164" spans="3:13" hidden="1" outlineLevel="1" x14ac:dyDescent="0.2">
      <c r="C2164" s="139">
        <v>1938</v>
      </c>
      <c r="D2164" s="248">
        <v>1846.7127</v>
      </c>
      <c r="E2164" s="248">
        <v>1910.2322999999999</v>
      </c>
      <c r="F2164" s="248">
        <v>1944.4022</v>
      </c>
      <c r="G2164" s="248">
        <v>1972.3117999999999</v>
      </c>
      <c r="H2164" s="248">
        <v>2022.4711</v>
      </c>
      <c r="I2164"/>
      <c r="J2164"/>
      <c r="K2164"/>
      <c r="L2164"/>
      <c r="M2164"/>
    </row>
    <row r="2165" spans="3:13" hidden="1" outlineLevel="1" x14ac:dyDescent="0.2">
      <c r="C2165" s="139">
        <v>1939</v>
      </c>
      <c r="D2165" s="248">
        <v>1847.6656</v>
      </c>
      <c r="E2165" s="248">
        <v>1911.2772</v>
      </c>
      <c r="F2165" s="248">
        <v>1945.4055000000001</v>
      </c>
      <c r="G2165" s="248">
        <v>1973.3296</v>
      </c>
      <c r="H2165" s="248">
        <v>2023.5146999999999</v>
      </c>
      <c r="I2165"/>
      <c r="J2165"/>
      <c r="K2165"/>
      <c r="L2165"/>
      <c r="M2165"/>
    </row>
    <row r="2166" spans="3:13" hidden="1" outlineLevel="1" x14ac:dyDescent="0.2">
      <c r="C2166" s="139">
        <v>1940</v>
      </c>
      <c r="D2166" s="248">
        <v>1848.6777</v>
      </c>
      <c r="E2166" s="248">
        <v>1912.2628999999999</v>
      </c>
      <c r="F2166" s="248">
        <v>1946.4087999999999</v>
      </c>
      <c r="G2166" s="248">
        <v>1974.3472999999999</v>
      </c>
      <c r="H2166" s="248">
        <v>2024.5582999999999</v>
      </c>
      <c r="I2166"/>
      <c r="J2166"/>
      <c r="K2166"/>
      <c r="L2166"/>
      <c r="M2166"/>
    </row>
    <row r="2167" spans="3:13" hidden="1" outlineLevel="1" x14ac:dyDescent="0.2">
      <c r="C2167" s="139">
        <v>1941</v>
      </c>
      <c r="D2167" s="248">
        <v>1849.6306</v>
      </c>
      <c r="E2167" s="248">
        <v>1913.2485999999999</v>
      </c>
      <c r="F2167" s="248">
        <v>1947.4121</v>
      </c>
      <c r="G2167" s="248">
        <v>1975.365</v>
      </c>
      <c r="H2167" s="248">
        <v>2025.6017999999999</v>
      </c>
      <c r="I2167"/>
      <c r="J2167"/>
      <c r="K2167"/>
      <c r="L2167"/>
      <c r="M2167"/>
    </row>
    <row r="2168" spans="3:13" hidden="1" outlineLevel="1" x14ac:dyDescent="0.2">
      <c r="C2168" s="139">
        <v>1942</v>
      </c>
      <c r="D2168" s="248">
        <v>1850.6428000000001</v>
      </c>
      <c r="E2168" s="248">
        <v>1914.2935</v>
      </c>
      <c r="F2168" s="248">
        <v>1948.4806000000001</v>
      </c>
      <c r="G2168" s="248">
        <v>1976.4478999999999</v>
      </c>
      <c r="H2168" s="248">
        <v>2026.6454000000001</v>
      </c>
      <c r="I2168"/>
      <c r="J2168"/>
      <c r="K2168"/>
      <c r="L2168"/>
      <c r="M2168"/>
    </row>
    <row r="2169" spans="3:13" hidden="1" outlineLevel="1" x14ac:dyDescent="0.2">
      <c r="C2169" s="139">
        <v>1943</v>
      </c>
      <c r="D2169" s="248">
        <v>1851.5957000000001</v>
      </c>
      <c r="E2169" s="248">
        <v>1915.2792999999999</v>
      </c>
      <c r="F2169" s="248">
        <v>1949.4839999999999</v>
      </c>
      <c r="G2169" s="248">
        <v>1977.4656</v>
      </c>
      <c r="H2169" s="248">
        <v>2027.7542000000001</v>
      </c>
      <c r="I2169"/>
      <c r="J2169"/>
      <c r="K2169"/>
      <c r="L2169"/>
      <c r="M2169"/>
    </row>
    <row r="2170" spans="3:13" hidden="1" outlineLevel="1" x14ac:dyDescent="0.2">
      <c r="C2170" s="139">
        <v>1944</v>
      </c>
      <c r="D2170" s="248">
        <v>1852.5487000000001</v>
      </c>
      <c r="E2170" s="248">
        <v>1916.2650000000001</v>
      </c>
      <c r="F2170" s="248">
        <v>1950.4873</v>
      </c>
      <c r="G2170" s="248">
        <v>1978.4833000000001</v>
      </c>
      <c r="H2170" s="248">
        <v>2028.7979</v>
      </c>
      <c r="I2170"/>
      <c r="J2170"/>
      <c r="K2170"/>
      <c r="L2170"/>
      <c r="M2170"/>
    </row>
    <row r="2171" spans="3:13" hidden="1" outlineLevel="1" x14ac:dyDescent="0.2">
      <c r="C2171" s="139">
        <v>1945</v>
      </c>
      <c r="D2171" s="248">
        <v>1853.5609999999999</v>
      </c>
      <c r="E2171" s="248">
        <v>1917.3100999999999</v>
      </c>
      <c r="F2171" s="248">
        <v>1951.4907000000001</v>
      </c>
      <c r="G2171" s="248">
        <v>1979.5011</v>
      </c>
      <c r="H2171" s="248">
        <v>2029.8415</v>
      </c>
      <c r="I2171"/>
      <c r="J2171"/>
      <c r="K2171"/>
      <c r="L2171"/>
      <c r="M2171"/>
    </row>
    <row r="2172" spans="3:13" hidden="1" outlineLevel="1" x14ac:dyDescent="0.2">
      <c r="C2172" s="139">
        <v>1946</v>
      </c>
      <c r="D2172" s="248">
        <v>1854.5139999999999</v>
      </c>
      <c r="E2172" s="248">
        <v>1918.2959000000001</v>
      </c>
      <c r="F2172" s="248">
        <v>1952.4939999999999</v>
      </c>
      <c r="G2172" s="248">
        <v>1980.5188000000001</v>
      </c>
      <c r="H2172" s="248">
        <v>2030.8851</v>
      </c>
      <c r="I2172"/>
      <c r="J2172"/>
      <c r="K2172"/>
      <c r="L2172"/>
      <c r="M2172"/>
    </row>
    <row r="2173" spans="3:13" hidden="1" outlineLevel="1" x14ac:dyDescent="0.2">
      <c r="C2173" s="139">
        <v>1947</v>
      </c>
      <c r="D2173" s="248">
        <v>1855.5264</v>
      </c>
      <c r="E2173" s="248">
        <v>1919.2816</v>
      </c>
      <c r="F2173" s="248">
        <v>1953.5626999999999</v>
      </c>
      <c r="G2173" s="248">
        <v>1981.5365999999999</v>
      </c>
      <c r="H2173" s="248">
        <v>2031.9286999999999</v>
      </c>
      <c r="I2173"/>
      <c r="J2173"/>
      <c r="K2173"/>
      <c r="L2173"/>
      <c r="M2173"/>
    </row>
    <row r="2174" spans="3:13" hidden="1" outlineLevel="1" x14ac:dyDescent="0.2">
      <c r="C2174" s="139">
        <v>1948</v>
      </c>
      <c r="D2174" s="248">
        <v>1856.4793999999999</v>
      </c>
      <c r="E2174" s="248">
        <v>1920.2674</v>
      </c>
      <c r="F2174" s="248">
        <v>1954.5661</v>
      </c>
      <c r="G2174" s="248">
        <v>1982.6197</v>
      </c>
      <c r="H2174" s="248">
        <v>2032.9722999999999</v>
      </c>
      <c r="I2174"/>
      <c r="J2174"/>
      <c r="K2174"/>
      <c r="L2174"/>
      <c r="M2174"/>
    </row>
    <row r="2175" spans="3:13" hidden="1" outlineLevel="1" x14ac:dyDescent="0.2">
      <c r="C2175" s="139">
        <v>1949</v>
      </c>
      <c r="D2175" s="248">
        <v>1857.4919</v>
      </c>
      <c r="E2175" s="248">
        <v>1921.3126</v>
      </c>
      <c r="F2175" s="248">
        <v>1955.5694000000001</v>
      </c>
      <c r="G2175" s="248">
        <v>1983.6375</v>
      </c>
      <c r="H2175" s="248">
        <v>2034.0160000000001</v>
      </c>
      <c r="I2175"/>
      <c r="J2175"/>
      <c r="K2175"/>
      <c r="L2175"/>
      <c r="M2175"/>
    </row>
    <row r="2176" spans="3:13" hidden="1" outlineLevel="1" x14ac:dyDescent="0.2">
      <c r="C2176" s="139">
        <v>1950</v>
      </c>
      <c r="D2176" s="248">
        <v>1858.4449999999999</v>
      </c>
      <c r="E2176" s="248">
        <v>1922.2983999999999</v>
      </c>
      <c r="F2176" s="248">
        <v>1956.5727999999999</v>
      </c>
      <c r="G2176" s="248">
        <v>1984.6551999999999</v>
      </c>
      <c r="H2176" s="248">
        <v>2035.0596</v>
      </c>
      <c r="I2176"/>
      <c r="J2176"/>
      <c r="K2176"/>
      <c r="L2176"/>
      <c r="M2176"/>
    </row>
    <row r="2177" spans="3:13" hidden="1" outlineLevel="1" x14ac:dyDescent="0.2">
      <c r="C2177" s="139">
        <v>1951</v>
      </c>
      <c r="D2177" s="248">
        <v>1859.4576</v>
      </c>
      <c r="E2177" s="248">
        <v>1923.2842000000001</v>
      </c>
      <c r="F2177" s="248">
        <v>1957.5762</v>
      </c>
      <c r="G2177" s="248">
        <v>1985.673</v>
      </c>
      <c r="H2177" s="248">
        <v>2036.1686999999999</v>
      </c>
      <c r="I2177"/>
      <c r="J2177"/>
      <c r="K2177"/>
      <c r="L2177"/>
      <c r="M2177"/>
    </row>
    <row r="2178" spans="3:13" hidden="1" outlineLevel="1" x14ac:dyDescent="0.2">
      <c r="C2178" s="139">
        <v>1952</v>
      </c>
      <c r="D2178" s="248">
        <v>1860.4105999999999</v>
      </c>
      <c r="E2178" s="248">
        <v>1924.3296</v>
      </c>
      <c r="F2178" s="248">
        <v>1958.6451</v>
      </c>
      <c r="G2178" s="248">
        <v>1986.6908000000001</v>
      </c>
      <c r="H2178" s="248">
        <v>2037.2123999999999</v>
      </c>
      <c r="I2178"/>
      <c r="J2178"/>
      <c r="K2178"/>
      <c r="L2178"/>
      <c r="M2178"/>
    </row>
    <row r="2179" spans="3:13" hidden="1" outlineLevel="1" x14ac:dyDescent="0.2">
      <c r="C2179" s="139">
        <v>1953</v>
      </c>
      <c r="D2179" s="248">
        <v>1861.4232999999999</v>
      </c>
      <c r="E2179" s="248">
        <v>1925.3154</v>
      </c>
      <c r="F2179" s="248">
        <v>1959.6485</v>
      </c>
      <c r="G2179" s="248">
        <v>1987.7085</v>
      </c>
      <c r="H2179" s="248">
        <v>2038.2560000000001</v>
      </c>
      <c r="I2179"/>
      <c r="J2179"/>
      <c r="K2179"/>
      <c r="L2179"/>
      <c r="M2179"/>
    </row>
    <row r="2180" spans="3:13" hidden="1" outlineLevel="1" x14ac:dyDescent="0.2">
      <c r="C2180" s="139">
        <v>1954</v>
      </c>
      <c r="D2180" s="248">
        <v>1862.3764000000001</v>
      </c>
      <c r="E2180" s="248">
        <v>1926.3012000000001</v>
      </c>
      <c r="F2180" s="248">
        <v>1960.6519000000001</v>
      </c>
      <c r="G2180" s="248">
        <v>1988.7918999999999</v>
      </c>
      <c r="H2180" s="248">
        <v>2039.2997</v>
      </c>
      <c r="I2180"/>
      <c r="J2180"/>
      <c r="K2180"/>
      <c r="L2180"/>
      <c r="M2180"/>
    </row>
    <row r="2181" spans="3:13" hidden="1" outlineLevel="1" x14ac:dyDescent="0.2">
      <c r="C2181" s="139">
        <v>1955</v>
      </c>
      <c r="D2181" s="248">
        <v>1863.3892000000001</v>
      </c>
      <c r="E2181" s="248">
        <v>1927.3467000000001</v>
      </c>
      <c r="F2181" s="248">
        <v>1961.6552999999999</v>
      </c>
      <c r="G2181" s="248">
        <v>1989.8097</v>
      </c>
      <c r="H2181" s="248">
        <v>2040.3433</v>
      </c>
      <c r="I2181"/>
      <c r="J2181"/>
      <c r="K2181"/>
      <c r="L2181"/>
      <c r="M2181"/>
    </row>
    <row r="2182" spans="3:13" hidden="1" outlineLevel="1" x14ac:dyDescent="0.2">
      <c r="C2182" s="139">
        <v>1956</v>
      </c>
      <c r="D2182" s="248">
        <v>1864.3423</v>
      </c>
      <c r="E2182" s="248">
        <v>1928.3326</v>
      </c>
      <c r="F2182" s="248">
        <v>1962.7243000000001</v>
      </c>
      <c r="G2182" s="248">
        <v>1990.8275000000001</v>
      </c>
      <c r="H2182" s="248">
        <v>2041.3869999999999</v>
      </c>
      <c r="I2182"/>
      <c r="J2182"/>
      <c r="K2182"/>
      <c r="L2182"/>
      <c r="M2182"/>
    </row>
    <row r="2183" spans="3:13" hidden="1" outlineLevel="1" x14ac:dyDescent="0.2">
      <c r="C2183" s="139">
        <v>1957</v>
      </c>
      <c r="D2183" s="248">
        <v>1865.3552</v>
      </c>
      <c r="E2183" s="248">
        <v>1929.3184000000001</v>
      </c>
      <c r="F2183" s="248">
        <v>1963.7277999999999</v>
      </c>
      <c r="G2183" s="248">
        <v>1991.8453</v>
      </c>
      <c r="H2183" s="248">
        <v>2042.4305999999999</v>
      </c>
      <c r="I2183"/>
      <c r="J2183"/>
      <c r="K2183"/>
      <c r="L2183"/>
      <c r="M2183"/>
    </row>
    <row r="2184" spans="3:13" hidden="1" outlineLevel="1" x14ac:dyDescent="0.2">
      <c r="C2184" s="139">
        <v>1958</v>
      </c>
      <c r="D2184" s="248">
        <v>1866.3083999999999</v>
      </c>
      <c r="E2184" s="248">
        <v>1930.3043</v>
      </c>
      <c r="F2184" s="248">
        <v>1964.7311999999999</v>
      </c>
      <c r="G2184" s="248">
        <v>1992.8631</v>
      </c>
      <c r="H2184" s="248">
        <v>2043.4743000000001</v>
      </c>
      <c r="I2184"/>
      <c r="J2184"/>
      <c r="K2184"/>
      <c r="L2184"/>
      <c r="M2184"/>
    </row>
    <row r="2185" spans="3:13" hidden="1" outlineLevel="1" x14ac:dyDescent="0.2">
      <c r="C2185" s="139">
        <v>1959</v>
      </c>
      <c r="D2185" s="248">
        <v>1867.3213000000001</v>
      </c>
      <c r="E2185" s="248">
        <v>1931.3498999999999</v>
      </c>
      <c r="F2185" s="248">
        <v>1965.7347</v>
      </c>
      <c r="G2185" s="248">
        <v>1993.8809000000001</v>
      </c>
      <c r="H2185" s="248">
        <v>2044.5836999999999</v>
      </c>
      <c r="I2185"/>
      <c r="J2185"/>
      <c r="K2185"/>
      <c r="L2185"/>
      <c r="M2185"/>
    </row>
    <row r="2186" spans="3:13" hidden="1" outlineLevel="1" x14ac:dyDescent="0.2">
      <c r="C2186" s="139">
        <v>1960</v>
      </c>
      <c r="D2186" s="248">
        <v>1868.2745</v>
      </c>
      <c r="E2186" s="248">
        <v>1932.3358000000001</v>
      </c>
      <c r="F2186" s="248">
        <v>1966.7381</v>
      </c>
      <c r="G2186" s="248">
        <v>1994.9645</v>
      </c>
      <c r="H2186" s="248">
        <v>2045.6274000000001</v>
      </c>
      <c r="I2186"/>
      <c r="J2186"/>
      <c r="K2186"/>
      <c r="L2186"/>
      <c r="M2186"/>
    </row>
    <row r="2187" spans="3:13" hidden="1" outlineLevel="1" x14ac:dyDescent="0.2">
      <c r="C2187" s="139">
        <v>1961</v>
      </c>
      <c r="D2187" s="248">
        <v>1869.2876000000001</v>
      </c>
      <c r="E2187" s="248">
        <v>1933.3217</v>
      </c>
      <c r="F2187" s="248">
        <v>1967.8073999999999</v>
      </c>
      <c r="G2187" s="248">
        <v>1995.9824000000001</v>
      </c>
      <c r="H2187" s="248">
        <v>2046.6711</v>
      </c>
      <c r="I2187"/>
      <c r="J2187"/>
      <c r="K2187"/>
      <c r="L2187"/>
      <c r="M2187"/>
    </row>
    <row r="2188" spans="3:13" hidden="1" outlineLevel="1" x14ac:dyDescent="0.2">
      <c r="C2188" s="139">
        <v>1962</v>
      </c>
      <c r="D2188" s="248">
        <v>1870.2408</v>
      </c>
      <c r="E2188" s="248">
        <v>1934.3675000000001</v>
      </c>
      <c r="F2188" s="248">
        <v>1968.8108</v>
      </c>
      <c r="G2188" s="248">
        <v>1997.0001999999999</v>
      </c>
      <c r="H2188" s="248">
        <v>2047.7148</v>
      </c>
      <c r="I2188"/>
      <c r="J2188"/>
      <c r="K2188"/>
      <c r="L2188"/>
      <c r="M2188"/>
    </row>
    <row r="2189" spans="3:13" hidden="1" outlineLevel="1" x14ac:dyDescent="0.2">
      <c r="C2189" s="139">
        <v>1963</v>
      </c>
      <c r="D2189" s="248">
        <v>1871.194</v>
      </c>
      <c r="E2189" s="248">
        <v>1935.3534</v>
      </c>
      <c r="F2189" s="248">
        <v>1969.8143</v>
      </c>
      <c r="G2189" s="248">
        <v>1998.0181</v>
      </c>
      <c r="H2189" s="248">
        <v>2048.7584000000002</v>
      </c>
      <c r="I2189"/>
      <c r="J2189"/>
      <c r="K2189"/>
      <c r="L2189"/>
      <c r="M2189"/>
    </row>
    <row r="2190" spans="3:13" hidden="1" outlineLevel="1" x14ac:dyDescent="0.2">
      <c r="C2190" s="139">
        <v>1964</v>
      </c>
      <c r="D2190" s="248">
        <v>1872.2072000000001</v>
      </c>
      <c r="E2190" s="248">
        <v>1936.3393000000001</v>
      </c>
      <c r="F2190" s="248">
        <v>1970.8178</v>
      </c>
      <c r="G2190" s="248">
        <v>1999.0359000000001</v>
      </c>
      <c r="H2190" s="248">
        <v>2049.8020999999999</v>
      </c>
      <c r="I2190"/>
      <c r="J2190"/>
      <c r="K2190"/>
      <c r="L2190"/>
      <c r="M2190"/>
    </row>
    <row r="2191" spans="3:13" hidden="1" outlineLevel="1" x14ac:dyDescent="0.2">
      <c r="C2191" s="139">
        <v>1965</v>
      </c>
      <c r="D2191" s="248">
        <v>1873.1605</v>
      </c>
      <c r="E2191" s="248">
        <v>1937.3252</v>
      </c>
      <c r="F2191" s="248">
        <v>1971.8213000000001</v>
      </c>
      <c r="G2191" s="248">
        <v>2000.0536999999999</v>
      </c>
      <c r="H2191" s="248">
        <v>2050.8458000000001</v>
      </c>
      <c r="I2191"/>
      <c r="J2191"/>
      <c r="K2191"/>
      <c r="L2191"/>
      <c r="M2191"/>
    </row>
    <row r="2192" spans="3:13" hidden="1" outlineLevel="1" x14ac:dyDescent="0.2">
      <c r="C2192" s="139">
        <v>1966</v>
      </c>
      <c r="D2192" s="248">
        <v>1874.1737000000001</v>
      </c>
      <c r="E2192" s="248">
        <v>1938.3711000000001</v>
      </c>
      <c r="F2192" s="248">
        <v>1972.8906999999999</v>
      </c>
      <c r="G2192" s="248">
        <v>2001.1376</v>
      </c>
      <c r="H2192" s="248">
        <v>2051.8895000000002</v>
      </c>
      <c r="I2192"/>
      <c r="J2192"/>
      <c r="K2192"/>
      <c r="L2192"/>
      <c r="M2192"/>
    </row>
    <row r="2193" spans="3:13" hidden="1" outlineLevel="1" x14ac:dyDescent="0.2">
      <c r="C2193" s="139">
        <v>1967</v>
      </c>
      <c r="D2193" s="248">
        <v>1875.127</v>
      </c>
      <c r="E2193" s="248">
        <v>1939.3570999999999</v>
      </c>
      <c r="F2193" s="248">
        <v>1973.8942</v>
      </c>
      <c r="G2193" s="248">
        <v>2002.1554000000001</v>
      </c>
      <c r="H2193" s="248">
        <v>2052.9992000000002</v>
      </c>
      <c r="I2193"/>
      <c r="J2193"/>
      <c r="K2193"/>
      <c r="L2193"/>
      <c r="M2193"/>
    </row>
    <row r="2194" spans="3:13" hidden="1" outlineLevel="1" x14ac:dyDescent="0.2">
      <c r="C2194" s="139">
        <v>1968</v>
      </c>
      <c r="D2194" s="248">
        <v>1876.1404</v>
      </c>
      <c r="E2194" s="248">
        <v>1940.3430000000001</v>
      </c>
      <c r="F2194" s="248">
        <v>1974.8977</v>
      </c>
      <c r="G2194" s="248">
        <v>2003.1732999999999</v>
      </c>
      <c r="H2194" s="248">
        <v>2054.0428999999999</v>
      </c>
      <c r="I2194"/>
      <c r="J2194"/>
      <c r="K2194"/>
      <c r="L2194"/>
      <c r="M2194"/>
    </row>
    <row r="2195" spans="3:13" hidden="1" outlineLevel="1" x14ac:dyDescent="0.2">
      <c r="C2195" s="139">
        <v>1969</v>
      </c>
      <c r="D2195" s="248">
        <v>1877.0936999999999</v>
      </c>
      <c r="E2195" s="248">
        <v>1941.3891000000001</v>
      </c>
      <c r="F2195" s="248">
        <v>1975.9012</v>
      </c>
      <c r="G2195" s="248">
        <v>2004.1912</v>
      </c>
      <c r="H2195" s="248">
        <v>2055.0866999999998</v>
      </c>
      <c r="I2195"/>
      <c r="J2195"/>
      <c r="K2195"/>
      <c r="L2195"/>
      <c r="M2195"/>
    </row>
    <row r="2196" spans="3:13" hidden="1" outlineLevel="1" x14ac:dyDescent="0.2">
      <c r="C2196" s="139">
        <v>1970</v>
      </c>
      <c r="D2196" s="248">
        <v>1878.1070999999999</v>
      </c>
      <c r="E2196" s="248">
        <v>1942.375</v>
      </c>
      <c r="F2196" s="248">
        <v>1976.9047</v>
      </c>
      <c r="G2196" s="248">
        <v>2005.2091</v>
      </c>
      <c r="H2196" s="248">
        <v>2056.1304</v>
      </c>
      <c r="I2196"/>
      <c r="J2196"/>
      <c r="K2196"/>
      <c r="L2196"/>
      <c r="M2196"/>
    </row>
    <row r="2197" spans="3:13" hidden="1" outlineLevel="1" x14ac:dyDescent="0.2">
      <c r="C2197" s="139">
        <v>1971</v>
      </c>
      <c r="D2197" s="248">
        <v>1879.0605</v>
      </c>
      <c r="E2197" s="248">
        <v>1943.3610000000001</v>
      </c>
      <c r="F2197" s="248">
        <v>1977.9744000000001</v>
      </c>
      <c r="G2197" s="248">
        <v>2006.2268999999999</v>
      </c>
      <c r="H2197" s="248">
        <v>2057.1741000000002</v>
      </c>
      <c r="I2197"/>
      <c r="J2197"/>
      <c r="K2197"/>
      <c r="L2197"/>
      <c r="M2197"/>
    </row>
    <row r="2198" spans="3:13" hidden="1" outlineLevel="1" x14ac:dyDescent="0.2">
      <c r="C2198" s="139">
        <v>1972</v>
      </c>
      <c r="D2198" s="248">
        <v>1880.0740000000001</v>
      </c>
      <c r="E2198" s="248">
        <v>1944.347</v>
      </c>
      <c r="F2198" s="248">
        <v>1978.9779000000001</v>
      </c>
      <c r="G2198" s="248">
        <v>2007.3109999999999</v>
      </c>
      <c r="H2198" s="248">
        <v>2058.2177999999999</v>
      </c>
      <c r="I2198"/>
      <c r="J2198"/>
      <c r="K2198"/>
      <c r="L2198"/>
      <c r="M2198"/>
    </row>
    <row r="2199" spans="3:13" hidden="1" outlineLevel="1" x14ac:dyDescent="0.2">
      <c r="C2199" s="139">
        <v>1973</v>
      </c>
      <c r="D2199" s="248">
        <v>1881.0273999999999</v>
      </c>
      <c r="E2199" s="248">
        <v>1945.3932</v>
      </c>
      <c r="F2199" s="248">
        <v>1979.9815000000001</v>
      </c>
      <c r="G2199" s="248">
        <v>2008.3289</v>
      </c>
      <c r="H2199" s="248">
        <v>2059.2615000000001</v>
      </c>
      <c r="I2199"/>
      <c r="J2199"/>
      <c r="K2199"/>
      <c r="L2199"/>
      <c r="M2199"/>
    </row>
    <row r="2200" spans="3:13" hidden="1" outlineLevel="1" x14ac:dyDescent="0.2">
      <c r="C2200" s="139">
        <v>1974</v>
      </c>
      <c r="D2200" s="248">
        <v>1882.0409999999999</v>
      </c>
      <c r="E2200" s="248">
        <v>1946.3792000000001</v>
      </c>
      <c r="F2200" s="248">
        <v>1980.9849999999999</v>
      </c>
      <c r="G2200" s="248">
        <v>2009.3468</v>
      </c>
      <c r="H2200" s="248">
        <v>2060.3053</v>
      </c>
      <c r="I2200"/>
      <c r="J2200"/>
      <c r="K2200"/>
      <c r="L2200"/>
      <c r="M2200"/>
    </row>
    <row r="2201" spans="3:13" hidden="1" outlineLevel="1" x14ac:dyDescent="0.2">
      <c r="C2201" s="139">
        <v>1975</v>
      </c>
      <c r="D2201" s="248">
        <v>1882.9945</v>
      </c>
      <c r="E2201" s="248">
        <v>1947.3652</v>
      </c>
      <c r="F2201" s="248">
        <v>1981.9885999999999</v>
      </c>
      <c r="G2201" s="248">
        <v>2010.3647000000001</v>
      </c>
      <c r="H2201" s="248">
        <v>2061.4153000000001</v>
      </c>
      <c r="I2201"/>
      <c r="J2201"/>
      <c r="K2201"/>
      <c r="L2201"/>
      <c r="M2201"/>
    </row>
    <row r="2202" spans="3:13" hidden="1" outlineLevel="1" x14ac:dyDescent="0.2">
      <c r="C2202" s="139">
        <v>1976</v>
      </c>
      <c r="D2202" s="248">
        <v>1884.0082</v>
      </c>
      <c r="E2202" s="248">
        <v>1948.4114999999999</v>
      </c>
      <c r="F2202" s="248">
        <v>1983.0583999999999</v>
      </c>
      <c r="G2202" s="248">
        <v>2011.3825999999999</v>
      </c>
      <c r="H2202" s="248">
        <v>2062.4589999999998</v>
      </c>
      <c r="I2202"/>
      <c r="J2202"/>
      <c r="K2202"/>
      <c r="L2202"/>
      <c r="M2202"/>
    </row>
    <row r="2203" spans="3:13" hidden="1" outlineLevel="1" x14ac:dyDescent="0.2">
      <c r="C2203" s="139">
        <v>1977</v>
      </c>
      <c r="D2203" s="248">
        <v>1884.9616000000001</v>
      </c>
      <c r="E2203" s="248">
        <v>1949.3975</v>
      </c>
      <c r="F2203" s="248">
        <v>1984.0619999999999</v>
      </c>
      <c r="G2203" s="248">
        <v>2012.4005</v>
      </c>
      <c r="H2203" s="248">
        <v>2063.5028000000002</v>
      </c>
      <c r="I2203"/>
      <c r="J2203"/>
      <c r="K2203"/>
      <c r="L2203"/>
      <c r="M2203"/>
    </row>
    <row r="2204" spans="3:13" hidden="1" outlineLevel="1" x14ac:dyDescent="0.2">
      <c r="C2204" s="139">
        <v>1978</v>
      </c>
      <c r="D2204" s="248">
        <v>1885.9150999999999</v>
      </c>
      <c r="E2204" s="248">
        <v>1950.3835999999999</v>
      </c>
      <c r="F2204" s="248">
        <v>1985.0655999999999</v>
      </c>
      <c r="G2204" s="248">
        <v>2013.4848</v>
      </c>
      <c r="H2204" s="248">
        <v>2064.5466000000001</v>
      </c>
      <c r="I2204"/>
      <c r="J2204"/>
      <c r="K2204"/>
      <c r="L2204"/>
      <c r="M2204"/>
    </row>
    <row r="2205" spans="3:13" hidden="1" outlineLevel="1" x14ac:dyDescent="0.2">
      <c r="C2205" s="139">
        <v>1979</v>
      </c>
      <c r="D2205" s="248">
        <v>1886.9289000000001</v>
      </c>
      <c r="E2205" s="248">
        <v>1951.3696</v>
      </c>
      <c r="F2205" s="248">
        <v>1986.0691999999999</v>
      </c>
      <c r="G2205" s="248">
        <v>2014.5028</v>
      </c>
      <c r="H2205" s="248">
        <v>2065.5902999999998</v>
      </c>
      <c r="I2205"/>
      <c r="J2205"/>
      <c r="K2205"/>
      <c r="L2205"/>
      <c r="M2205"/>
    </row>
    <row r="2206" spans="3:13" hidden="1" outlineLevel="1" x14ac:dyDescent="0.2">
      <c r="C2206" s="139">
        <v>1980</v>
      </c>
      <c r="D2206" s="248">
        <v>1887.8824</v>
      </c>
      <c r="E2206" s="248">
        <v>1952.4160999999999</v>
      </c>
      <c r="F2206" s="248">
        <v>1987.0726999999999</v>
      </c>
      <c r="G2206" s="248">
        <v>2015.5207</v>
      </c>
      <c r="H2206" s="248">
        <v>2066.6341000000002</v>
      </c>
      <c r="I2206"/>
      <c r="J2206"/>
      <c r="K2206"/>
      <c r="L2206"/>
      <c r="M2206"/>
    </row>
    <row r="2207" spans="3:13" hidden="1" outlineLevel="1" x14ac:dyDescent="0.2">
      <c r="C2207" s="139">
        <v>1981</v>
      </c>
      <c r="D2207" s="248">
        <v>1888.8963000000001</v>
      </c>
      <c r="E2207" s="248">
        <v>1953.4021</v>
      </c>
      <c r="F2207" s="248">
        <v>1988.1428000000001</v>
      </c>
      <c r="G2207" s="248">
        <v>2016.5387000000001</v>
      </c>
      <c r="H2207" s="248">
        <v>2067.6777999999999</v>
      </c>
      <c r="I2207"/>
      <c r="J2207"/>
      <c r="K2207"/>
      <c r="L2207"/>
      <c r="M2207"/>
    </row>
    <row r="2208" spans="3:13" hidden="1" outlineLevel="1" x14ac:dyDescent="0.2">
      <c r="C2208" s="139">
        <v>1982</v>
      </c>
      <c r="D2208" s="248">
        <v>1889.8498</v>
      </c>
      <c r="E2208" s="248">
        <v>1954.3882000000001</v>
      </c>
      <c r="F2208" s="248">
        <v>1989.1464000000001</v>
      </c>
      <c r="G2208" s="248">
        <v>2017.5565999999999</v>
      </c>
      <c r="H2208" s="248">
        <v>2068.7215999999999</v>
      </c>
      <c r="I2208"/>
      <c r="J2208"/>
      <c r="K2208"/>
      <c r="L2208"/>
      <c r="M2208"/>
    </row>
    <row r="2209" spans="3:13" hidden="1" outlineLevel="1" x14ac:dyDescent="0.2">
      <c r="C2209" s="139">
        <v>1983</v>
      </c>
      <c r="D2209" s="248">
        <v>1890.8638000000001</v>
      </c>
      <c r="E2209" s="248">
        <v>1955.4348</v>
      </c>
      <c r="F2209" s="248">
        <v>1990.15</v>
      </c>
      <c r="G2209" s="248">
        <v>2018.5744999999999</v>
      </c>
      <c r="H2209" s="248">
        <v>2069.8319000000001</v>
      </c>
      <c r="I2209"/>
      <c r="J2209"/>
      <c r="K2209"/>
      <c r="L2209"/>
      <c r="M2209"/>
    </row>
    <row r="2210" spans="3:13" hidden="1" outlineLevel="1" x14ac:dyDescent="0.2">
      <c r="C2210" s="139">
        <v>1984</v>
      </c>
      <c r="D2210" s="248">
        <v>1891.8173999999999</v>
      </c>
      <c r="E2210" s="248">
        <v>1956.4209000000001</v>
      </c>
      <c r="F2210" s="248">
        <v>1991.1536000000001</v>
      </c>
      <c r="G2210" s="248">
        <v>2019.6591000000001</v>
      </c>
      <c r="H2210" s="248">
        <v>2070.8757000000001</v>
      </c>
      <c r="I2210"/>
      <c r="J2210"/>
      <c r="K2210"/>
      <c r="L2210"/>
      <c r="M2210"/>
    </row>
    <row r="2211" spans="3:13" hidden="1" outlineLevel="1" x14ac:dyDescent="0.2">
      <c r="C2211" s="139">
        <v>1985</v>
      </c>
      <c r="D2211" s="248">
        <v>1892.8315</v>
      </c>
      <c r="E2211" s="248">
        <v>1957.4069999999999</v>
      </c>
      <c r="F2211" s="248">
        <v>1992.1572000000001</v>
      </c>
      <c r="G2211" s="248">
        <v>2020.6771000000001</v>
      </c>
      <c r="H2211" s="248">
        <v>2071.9195</v>
      </c>
      <c r="I2211"/>
      <c r="J2211"/>
      <c r="K2211"/>
      <c r="L2211"/>
      <c r="M2211"/>
    </row>
    <row r="2212" spans="3:13" hidden="1" outlineLevel="1" x14ac:dyDescent="0.2">
      <c r="C2212" s="139">
        <v>1986</v>
      </c>
      <c r="D2212" s="248">
        <v>1893.7851000000001</v>
      </c>
      <c r="E2212" s="248">
        <v>1958.3931</v>
      </c>
      <c r="F2212" s="248">
        <v>1993.2275</v>
      </c>
      <c r="G2212" s="248">
        <v>2021.6949999999999</v>
      </c>
      <c r="H2212" s="248">
        <v>2072.9632999999999</v>
      </c>
      <c r="I2212"/>
      <c r="J2212"/>
      <c r="K2212"/>
      <c r="L2212"/>
      <c r="M2212"/>
    </row>
    <row r="2213" spans="3:13" hidden="1" outlineLevel="1" x14ac:dyDescent="0.2">
      <c r="C2213" s="139">
        <v>1987</v>
      </c>
      <c r="D2213" s="248">
        <v>1894.7992999999999</v>
      </c>
      <c r="E2213" s="248">
        <v>1959.4398000000001</v>
      </c>
      <c r="F2213" s="248">
        <v>1994.2311</v>
      </c>
      <c r="G2213" s="248">
        <v>2022.713</v>
      </c>
      <c r="H2213" s="248">
        <v>2074.0070000000001</v>
      </c>
      <c r="I2213"/>
      <c r="J2213"/>
      <c r="K2213"/>
      <c r="L2213"/>
      <c r="M2213"/>
    </row>
    <row r="2214" spans="3:13" hidden="1" outlineLevel="1" x14ac:dyDescent="0.2">
      <c r="C2214" s="139">
        <v>1988</v>
      </c>
      <c r="D2214" s="248">
        <v>1895.7529</v>
      </c>
      <c r="E2214" s="248">
        <v>1960.4259999999999</v>
      </c>
      <c r="F2214" s="248">
        <v>1995.2348</v>
      </c>
      <c r="G2214" s="248">
        <v>2023.731</v>
      </c>
      <c r="H2214" s="248">
        <v>2075.0508</v>
      </c>
      <c r="I2214"/>
      <c r="J2214"/>
      <c r="K2214"/>
      <c r="L2214"/>
      <c r="M2214"/>
    </row>
    <row r="2215" spans="3:13" hidden="1" outlineLevel="1" x14ac:dyDescent="0.2">
      <c r="C2215" s="139">
        <v>1989</v>
      </c>
      <c r="D2215" s="248">
        <v>1896.7672</v>
      </c>
      <c r="E2215" s="248">
        <v>1961.4121</v>
      </c>
      <c r="F2215" s="248">
        <v>1996.2384</v>
      </c>
      <c r="G2215" s="248">
        <v>2024.7489</v>
      </c>
      <c r="H2215" s="248">
        <v>2076.0945999999999</v>
      </c>
      <c r="I2215"/>
      <c r="J2215"/>
      <c r="K2215"/>
      <c r="L2215"/>
      <c r="M2215"/>
    </row>
    <row r="2216" spans="3:13" hidden="1" outlineLevel="1" x14ac:dyDescent="0.2">
      <c r="C2216" s="139">
        <v>1990</v>
      </c>
      <c r="D2216" s="248">
        <v>1897.7208000000001</v>
      </c>
      <c r="E2216" s="248">
        <v>1962.4590000000001</v>
      </c>
      <c r="F2216" s="248">
        <v>1997.2420999999999</v>
      </c>
      <c r="G2216" s="248">
        <v>2025.8336999999999</v>
      </c>
      <c r="H2216" s="248">
        <v>2077.1383999999998</v>
      </c>
      <c r="I2216"/>
      <c r="J2216"/>
      <c r="K2216"/>
      <c r="L2216"/>
      <c r="M2216"/>
    </row>
    <row r="2217" spans="3:13" hidden="1" outlineLevel="1" x14ac:dyDescent="0.2">
      <c r="C2217" s="139">
        <v>1991</v>
      </c>
      <c r="D2217" s="248">
        <v>1898.6744000000001</v>
      </c>
      <c r="E2217" s="248">
        <v>1963.4450999999999</v>
      </c>
      <c r="F2217" s="248">
        <v>1998.3125</v>
      </c>
      <c r="G2217" s="248">
        <v>2026.8516999999999</v>
      </c>
      <c r="H2217" s="248">
        <v>2078.1822000000002</v>
      </c>
      <c r="I2217"/>
      <c r="J2217"/>
      <c r="K2217"/>
      <c r="L2217"/>
      <c r="M2217"/>
    </row>
    <row r="2218" spans="3:13" hidden="1" outlineLevel="1" x14ac:dyDescent="0.2">
      <c r="C2218" s="139">
        <v>1992</v>
      </c>
      <c r="D2218" s="248">
        <v>1899.6887999999999</v>
      </c>
      <c r="E2218" s="248">
        <v>1964.4313</v>
      </c>
      <c r="F2218" s="248">
        <v>1999.3162</v>
      </c>
      <c r="G2218" s="248">
        <v>2027.8697</v>
      </c>
      <c r="H2218" s="248">
        <v>2079.2928999999999</v>
      </c>
      <c r="I2218"/>
      <c r="J2218"/>
      <c r="K2218"/>
      <c r="L2218"/>
      <c r="M2218"/>
    </row>
    <row r="2219" spans="3:13" hidden="1" outlineLevel="1" x14ac:dyDescent="0.2">
      <c r="C2219" s="139">
        <v>1993</v>
      </c>
      <c r="D2219" s="248">
        <v>1900.6424999999999</v>
      </c>
      <c r="E2219" s="248">
        <v>1965.4174</v>
      </c>
      <c r="F2219" s="248">
        <v>2000.3199</v>
      </c>
      <c r="G2219" s="248">
        <v>2028.8877</v>
      </c>
      <c r="H2219" s="248">
        <v>2080.3366999999998</v>
      </c>
      <c r="I2219"/>
      <c r="J2219"/>
      <c r="K2219"/>
      <c r="L2219"/>
      <c r="M2219"/>
    </row>
    <row r="2220" spans="3:13" hidden="1" outlineLevel="1" x14ac:dyDescent="0.2">
      <c r="C2220" s="139">
        <v>1994</v>
      </c>
      <c r="D2220" s="248">
        <v>1901.6569999999999</v>
      </c>
      <c r="E2220" s="248">
        <v>1966.4644000000001</v>
      </c>
      <c r="F2220" s="248">
        <v>2001.3235</v>
      </c>
      <c r="G2220" s="248">
        <v>2029.9058</v>
      </c>
      <c r="H2220" s="248">
        <v>2081.3805000000002</v>
      </c>
      <c r="I2220"/>
      <c r="J2220"/>
      <c r="K2220"/>
      <c r="L2220"/>
      <c r="M2220"/>
    </row>
    <row r="2221" spans="3:13" hidden="1" outlineLevel="1" x14ac:dyDescent="0.2">
      <c r="C2221" s="139">
        <v>1995</v>
      </c>
      <c r="D2221" s="248">
        <v>1902.6107</v>
      </c>
      <c r="E2221" s="248">
        <v>1967.4505999999999</v>
      </c>
      <c r="F2221" s="248">
        <v>2002.3271999999999</v>
      </c>
      <c r="G2221" s="248">
        <v>2030.9238</v>
      </c>
      <c r="H2221" s="248">
        <v>2082.4243000000001</v>
      </c>
      <c r="I2221"/>
      <c r="J2221"/>
      <c r="K2221"/>
      <c r="L2221"/>
      <c r="M2221"/>
    </row>
    <row r="2222" spans="3:13" hidden="1" outlineLevel="1" x14ac:dyDescent="0.2">
      <c r="C2222" s="139">
        <v>1996</v>
      </c>
      <c r="D2222" s="248">
        <v>1903.6252999999999</v>
      </c>
      <c r="E2222" s="248">
        <v>1968.4367999999999</v>
      </c>
      <c r="F2222" s="248">
        <v>2003.3978999999999</v>
      </c>
      <c r="G2222" s="248">
        <v>2032.0088000000001</v>
      </c>
      <c r="H2222" s="248">
        <v>2083.4681</v>
      </c>
      <c r="I2222"/>
      <c r="J2222"/>
      <c r="K2222"/>
      <c r="L2222"/>
      <c r="M2222"/>
    </row>
    <row r="2223" spans="3:13" hidden="1" outlineLevel="1" x14ac:dyDescent="0.2">
      <c r="C2223" s="139">
        <v>1997</v>
      </c>
      <c r="D2223" s="248">
        <v>1904.579</v>
      </c>
      <c r="E2223" s="248">
        <v>1969.4839999999999</v>
      </c>
      <c r="F2223" s="248">
        <v>2004.4015999999999</v>
      </c>
      <c r="G2223" s="248">
        <v>2033.0268000000001</v>
      </c>
      <c r="H2223" s="248">
        <v>2084.5120000000002</v>
      </c>
      <c r="I2223"/>
      <c r="J2223"/>
      <c r="K2223"/>
      <c r="L2223"/>
      <c r="M2223"/>
    </row>
    <row r="2224" spans="3:13" hidden="1" outlineLevel="1" x14ac:dyDescent="0.2">
      <c r="C2224" s="139">
        <v>1998</v>
      </c>
      <c r="D2224" s="248">
        <v>1905.5936999999999</v>
      </c>
      <c r="E2224" s="248">
        <v>1970.4702</v>
      </c>
      <c r="F2224" s="248">
        <v>2005.4052999999999</v>
      </c>
      <c r="G2224" s="248">
        <v>2034.0449000000001</v>
      </c>
      <c r="H2224" s="248">
        <v>2085.5558000000001</v>
      </c>
      <c r="I2224"/>
      <c r="J2224"/>
      <c r="K2224"/>
      <c r="L2224"/>
      <c r="M2224"/>
    </row>
    <row r="2225" spans="3:13" hidden="1" outlineLevel="1" x14ac:dyDescent="0.2">
      <c r="C2225" s="139">
        <v>1999</v>
      </c>
      <c r="D2225" s="248">
        <v>1906.6084000000001</v>
      </c>
      <c r="E2225" s="248">
        <v>1971.4564</v>
      </c>
      <c r="F2225" s="248">
        <v>2006.4090000000001</v>
      </c>
      <c r="G2225" s="248">
        <v>2035.0630000000001</v>
      </c>
      <c r="H2225" s="248">
        <v>2086.5996</v>
      </c>
      <c r="I2225"/>
      <c r="J2225"/>
      <c r="K2225"/>
      <c r="L2225"/>
      <c r="M2225"/>
    </row>
    <row r="2226" spans="3:13" hidden="1" outlineLevel="1" x14ac:dyDescent="0.2">
      <c r="C2226" s="139">
        <v>2000</v>
      </c>
      <c r="D2226" s="248">
        <v>1907.6231</v>
      </c>
      <c r="E2226" s="248">
        <v>1972.4426000000001</v>
      </c>
      <c r="F2226" s="248">
        <v>2007.4127000000001</v>
      </c>
      <c r="G2226" s="248">
        <v>2036.0811000000001</v>
      </c>
      <c r="H2226" s="248">
        <v>2087.6433999999999</v>
      </c>
      <c r="I2226"/>
      <c r="J2226"/>
      <c r="K2226"/>
      <c r="L2226"/>
      <c r="M2226"/>
    </row>
    <row r="2227" spans="3:13" hidden="1" outlineLevel="1" x14ac:dyDescent="0.2">
      <c r="C2227" s="139">
        <v>2001</v>
      </c>
      <c r="D2227" s="248">
        <v>1908.6378</v>
      </c>
      <c r="E2227" s="248">
        <v>1973.4287999999999</v>
      </c>
      <c r="F2227" s="248">
        <v>2008.4164000000001</v>
      </c>
      <c r="G2227" s="248">
        <v>2037.0992000000001</v>
      </c>
      <c r="H2227" s="248">
        <v>2088.6871999999998</v>
      </c>
      <c r="I2227"/>
      <c r="J2227"/>
      <c r="K2227"/>
      <c r="L2227"/>
      <c r="M2227"/>
    </row>
    <row r="2228" spans="3:13" hidden="1" outlineLevel="1" x14ac:dyDescent="0.2">
      <c r="C2228" s="139">
        <v>2002</v>
      </c>
      <c r="D2228" s="248">
        <v>1909.6524999999999</v>
      </c>
      <c r="E2228" s="248">
        <v>1974.415</v>
      </c>
      <c r="F2228" s="248">
        <v>2009.4201</v>
      </c>
      <c r="G2228" s="248">
        <v>2038.1172999999999</v>
      </c>
      <c r="H2228" s="248">
        <v>2089.7310000000002</v>
      </c>
      <c r="I2228"/>
      <c r="J2228"/>
      <c r="K2228"/>
      <c r="L2228"/>
      <c r="M2228"/>
    </row>
    <row r="2229" spans="3:13" hidden="1" outlineLevel="1" x14ac:dyDescent="0.2">
      <c r="C2229" s="139">
        <v>2003</v>
      </c>
      <c r="D2229" s="248">
        <v>1910.6672000000001</v>
      </c>
      <c r="E2229" s="248">
        <v>1975.4012</v>
      </c>
      <c r="F2229" s="248">
        <v>2010.4238</v>
      </c>
      <c r="G2229" s="248">
        <v>2039.1353999999999</v>
      </c>
      <c r="H2229" s="248">
        <v>2090.7748000000001</v>
      </c>
      <c r="I2229"/>
      <c r="J2229"/>
      <c r="K2229"/>
      <c r="L2229"/>
      <c r="M2229"/>
    </row>
    <row r="2230" spans="3:13" hidden="1" outlineLevel="1" x14ac:dyDescent="0.2">
      <c r="C2230" s="139">
        <v>2004</v>
      </c>
      <c r="D2230" s="248">
        <v>1911.6819</v>
      </c>
      <c r="E2230" s="248">
        <v>1976.3874000000001</v>
      </c>
      <c r="F2230" s="248">
        <v>2011.4275</v>
      </c>
      <c r="G2230" s="248">
        <v>2040.1534999999999</v>
      </c>
      <c r="H2230" s="248">
        <v>2091.8186000000001</v>
      </c>
      <c r="I2230"/>
      <c r="J2230"/>
      <c r="K2230"/>
      <c r="L2230"/>
      <c r="M2230"/>
    </row>
    <row r="2231" spans="3:13" hidden="1" outlineLevel="1" x14ac:dyDescent="0.2">
      <c r="C2231" s="139">
        <v>2005</v>
      </c>
      <c r="D2231" s="248">
        <v>1912.6966</v>
      </c>
      <c r="E2231" s="248">
        <v>1977.3735999999999</v>
      </c>
      <c r="F2231" s="248">
        <v>2012.4312</v>
      </c>
      <c r="G2231" s="248">
        <v>2041.1715999999999</v>
      </c>
      <c r="H2231" s="248">
        <v>2092.8624</v>
      </c>
      <c r="I2231"/>
      <c r="J2231"/>
      <c r="K2231"/>
      <c r="L2231"/>
      <c r="M2231"/>
    </row>
    <row r="2232" spans="3:13" hidden="1" outlineLevel="1" x14ac:dyDescent="0.2">
      <c r="C2232" s="139">
        <v>2006</v>
      </c>
      <c r="D2232" s="248">
        <v>1913.7112999999999</v>
      </c>
      <c r="E2232" s="248">
        <v>1978.3598</v>
      </c>
      <c r="F2232" s="248">
        <v>2013.4349</v>
      </c>
      <c r="G2232" s="248">
        <v>2042.1896999999999</v>
      </c>
      <c r="H2232" s="248">
        <v>2093.9061999999999</v>
      </c>
      <c r="I2232"/>
      <c r="J2232"/>
      <c r="K2232"/>
      <c r="L2232"/>
      <c r="M2232"/>
    </row>
    <row r="2233" spans="3:13" hidden="1" outlineLevel="1" x14ac:dyDescent="0.2">
      <c r="C2233" s="139">
        <v>2007</v>
      </c>
      <c r="D2233" s="248">
        <v>1914.7260000000001</v>
      </c>
      <c r="E2233" s="248">
        <v>1979.346</v>
      </c>
      <c r="F2233" s="248">
        <v>2014.4386</v>
      </c>
      <c r="G2233" s="248">
        <v>2043.2077999999999</v>
      </c>
      <c r="H2233" s="248">
        <v>2094.9499999999998</v>
      </c>
      <c r="I2233"/>
      <c r="J2233"/>
      <c r="K2233"/>
      <c r="L2233"/>
      <c r="M2233"/>
    </row>
    <row r="2234" spans="3:13" hidden="1" outlineLevel="1" x14ac:dyDescent="0.2">
      <c r="C2234" s="139">
        <v>2008</v>
      </c>
      <c r="D2234" s="248">
        <v>1915.7407000000001</v>
      </c>
      <c r="E2234" s="248">
        <v>1980.3322000000001</v>
      </c>
      <c r="F2234" s="248">
        <v>2015.4422999999999</v>
      </c>
      <c r="G2234" s="248">
        <v>2044.2258999999999</v>
      </c>
      <c r="H2234" s="248">
        <v>2095.9938000000002</v>
      </c>
      <c r="I2234"/>
      <c r="J2234"/>
      <c r="K2234"/>
      <c r="L2234"/>
      <c r="M2234"/>
    </row>
    <row r="2235" spans="3:13" hidden="1" outlineLevel="1" x14ac:dyDescent="0.2">
      <c r="C2235" s="139">
        <v>2009</v>
      </c>
      <c r="D2235" s="248">
        <v>1916.7554</v>
      </c>
      <c r="E2235" s="248">
        <v>1981.3184000000001</v>
      </c>
      <c r="F2235" s="248">
        <v>2016.4459999999999</v>
      </c>
      <c r="G2235" s="248">
        <v>2045.2439999999999</v>
      </c>
      <c r="H2235" s="248">
        <v>2097.0376000000001</v>
      </c>
      <c r="I2235"/>
      <c r="J2235"/>
      <c r="K2235"/>
      <c r="L2235"/>
      <c r="M2235"/>
    </row>
    <row r="2236" spans="3:13" hidden="1" outlineLevel="1" x14ac:dyDescent="0.2">
      <c r="C2236" s="139">
        <v>2010</v>
      </c>
      <c r="D2236" s="248">
        <v>1917.7701</v>
      </c>
      <c r="E2236" s="248">
        <v>1982.3045999999999</v>
      </c>
      <c r="F2236" s="248">
        <v>2017.4496999999999</v>
      </c>
      <c r="G2236" s="248">
        <v>2046.2620999999999</v>
      </c>
      <c r="H2236" s="248">
        <v>2098.0814</v>
      </c>
      <c r="I2236"/>
      <c r="J2236"/>
      <c r="K2236"/>
      <c r="L2236"/>
      <c r="M2236"/>
    </row>
    <row r="2237" spans="3:13" hidden="1" outlineLevel="1" x14ac:dyDescent="0.2">
      <c r="C2237" s="139">
        <v>2011</v>
      </c>
      <c r="D2237" s="248">
        <v>1918.7847999999999</v>
      </c>
      <c r="E2237" s="248">
        <v>1983.2908</v>
      </c>
      <c r="F2237" s="248">
        <v>2018.4534000000001</v>
      </c>
      <c r="G2237" s="248">
        <v>2047.2801999999999</v>
      </c>
      <c r="H2237" s="248">
        <v>2099.1251999999999</v>
      </c>
      <c r="I2237"/>
      <c r="J2237"/>
      <c r="K2237"/>
      <c r="L2237"/>
      <c r="M2237"/>
    </row>
    <row r="2238" spans="3:13" hidden="1" outlineLevel="1" x14ac:dyDescent="0.2">
      <c r="C2238" s="139">
        <v>2012</v>
      </c>
      <c r="D2238" s="248">
        <v>1919.7995000000001</v>
      </c>
      <c r="E2238" s="248">
        <v>1984.277</v>
      </c>
      <c r="F2238" s="248">
        <v>2019.4571000000001</v>
      </c>
      <c r="G2238" s="248">
        <v>2048.2982999999999</v>
      </c>
      <c r="H2238" s="248">
        <v>2100.1689999999999</v>
      </c>
      <c r="I2238"/>
      <c r="J2238"/>
      <c r="K2238"/>
      <c r="L2238"/>
      <c r="M2238"/>
    </row>
    <row r="2239" spans="3:13" hidden="1" outlineLevel="1" x14ac:dyDescent="0.2">
      <c r="C2239" s="139">
        <v>2013</v>
      </c>
      <c r="D2239" s="248">
        <v>1920.8142</v>
      </c>
      <c r="E2239" s="248">
        <v>1985.2632000000001</v>
      </c>
      <c r="F2239" s="248">
        <v>2020.4608000000001</v>
      </c>
      <c r="G2239" s="248">
        <v>2049.3164000000002</v>
      </c>
      <c r="H2239" s="248">
        <v>2101.2127999999998</v>
      </c>
      <c r="I2239"/>
      <c r="J2239"/>
      <c r="K2239"/>
      <c r="L2239"/>
      <c r="M2239"/>
    </row>
    <row r="2240" spans="3:13" hidden="1" outlineLevel="1" x14ac:dyDescent="0.2">
      <c r="C2240" s="139">
        <v>2014</v>
      </c>
      <c r="D2240" s="248">
        <v>1921.8289</v>
      </c>
      <c r="E2240" s="248">
        <v>1986.2493999999999</v>
      </c>
      <c r="F2240" s="248">
        <v>2021.4645</v>
      </c>
      <c r="G2240" s="248">
        <v>2050.3344999999999</v>
      </c>
      <c r="H2240" s="248">
        <v>2102.2566000000002</v>
      </c>
      <c r="I2240"/>
      <c r="J2240"/>
      <c r="K2240"/>
      <c r="L2240"/>
      <c r="M2240"/>
    </row>
    <row r="2241" spans="3:13" hidden="1" outlineLevel="1" x14ac:dyDescent="0.2">
      <c r="C2241" s="139">
        <v>2015</v>
      </c>
      <c r="D2241" s="248">
        <v>1922.8435999999999</v>
      </c>
      <c r="E2241" s="248">
        <v>1987.2356</v>
      </c>
      <c r="F2241" s="248">
        <v>2022.4682</v>
      </c>
      <c r="G2241" s="248">
        <v>2051.3526000000002</v>
      </c>
      <c r="H2241" s="248">
        <v>2103.3004000000001</v>
      </c>
      <c r="I2241"/>
      <c r="J2241"/>
      <c r="K2241"/>
      <c r="L2241"/>
      <c r="M2241"/>
    </row>
    <row r="2242" spans="3:13" hidden="1" outlineLevel="1" x14ac:dyDescent="0.2">
      <c r="C2242" s="139">
        <v>2016</v>
      </c>
      <c r="D2242" s="248">
        <v>1923.8583000000001</v>
      </c>
      <c r="E2242" s="248">
        <v>1988.2218</v>
      </c>
      <c r="F2242" s="248">
        <v>2023.4719</v>
      </c>
      <c r="G2242" s="248">
        <v>2052.3706999999999</v>
      </c>
      <c r="H2242" s="248">
        <v>2104.3442</v>
      </c>
      <c r="I2242"/>
      <c r="J2242"/>
      <c r="K2242"/>
      <c r="L2242"/>
      <c r="M2242"/>
    </row>
    <row r="2243" spans="3:13" hidden="1" outlineLevel="1" x14ac:dyDescent="0.2">
      <c r="C2243" s="139">
        <v>2017</v>
      </c>
      <c r="D2243" s="248">
        <v>1924.873</v>
      </c>
      <c r="E2243" s="248">
        <v>1989.2080000000001</v>
      </c>
      <c r="F2243" s="248">
        <v>2024.4756</v>
      </c>
      <c r="G2243" s="248">
        <v>2053.3888000000002</v>
      </c>
      <c r="H2243" s="248">
        <v>2105.3879999999999</v>
      </c>
      <c r="I2243"/>
      <c r="J2243"/>
      <c r="K2243"/>
      <c r="L2243"/>
      <c r="M2243"/>
    </row>
    <row r="2244" spans="3:13" hidden="1" outlineLevel="1" x14ac:dyDescent="0.2">
      <c r="C2244" s="139">
        <v>2018</v>
      </c>
      <c r="D2244" s="248">
        <v>1925.8877</v>
      </c>
      <c r="E2244" s="248">
        <v>1990.1941999999999</v>
      </c>
      <c r="F2244" s="248">
        <v>2025.4793</v>
      </c>
      <c r="G2244" s="248">
        <v>2054.4069</v>
      </c>
      <c r="H2244" s="248">
        <v>2106.4317999999998</v>
      </c>
      <c r="I2244"/>
      <c r="J2244"/>
      <c r="K2244"/>
      <c r="L2244"/>
      <c r="M2244"/>
    </row>
    <row r="2245" spans="3:13" hidden="1" outlineLevel="1" x14ac:dyDescent="0.2">
      <c r="C2245" s="139">
        <v>2019</v>
      </c>
      <c r="D2245" s="248">
        <v>1926.9023999999999</v>
      </c>
      <c r="E2245" s="248">
        <v>1991.1804</v>
      </c>
      <c r="F2245" s="248">
        <v>2026.4829999999999</v>
      </c>
      <c r="G2245" s="248">
        <v>2055.4250000000002</v>
      </c>
      <c r="H2245" s="248">
        <v>2107.4756000000002</v>
      </c>
      <c r="I2245"/>
      <c r="J2245"/>
      <c r="K2245"/>
      <c r="L2245"/>
      <c r="M2245"/>
    </row>
    <row r="2246" spans="3:13" hidden="1" outlineLevel="1" x14ac:dyDescent="0.2">
      <c r="C2246" s="139">
        <v>2020</v>
      </c>
      <c r="D2246" s="248">
        <v>1927.9170999999999</v>
      </c>
      <c r="E2246" s="248">
        <v>1992.1666</v>
      </c>
      <c r="F2246" s="248">
        <v>2027.4866999999999</v>
      </c>
      <c r="G2246" s="248">
        <v>2056.4431</v>
      </c>
      <c r="H2246" s="248">
        <v>2108.5194000000001</v>
      </c>
      <c r="I2246"/>
      <c r="J2246"/>
      <c r="K2246"/>
      <c r="L2246"/>
      <c r="M2246"/>
    </row>
    <row r="2247" spans="3:13" hidden="1" outlineLevel="1" x14ac:dyDescent="0.2">
      <c r="C2247" s="139">
        <v>2021</v>
      </c>
      <c r="D2247" s="248">
        <v>1928.9318000000001</v>
      </c>
      <c r="E2247" s="248">
        <v>1993.1528000000001</v>
      </c>
      <c r="F2247" s="248">
        <v>2028.4903999999999</v>
      </c>
      <c r="G2247" s="248">
        <v>2057.4612000000002</v>
      </c>
      <c r="H2247" s="248">
        <v>2109.5632000000001</v>
      </c>
      <c r="I2247"/>
      <c r="J2247"/>
      <c r="K2247"/>
      <c r="L2247"/>
      <c r="M2247"/>
    </row>
    <row r="2248" spans="3:13" hidden="1" outlineLevel="1" x14ac:dyDescent="0.2">
      <c r="C2248" s="139">
        <v>2022</v>
      </c>
      <c r="D2248" s="248">
        <v>1929.9465</v>
      </c>
      <c r="E2248" s="248">
        <v>1994.1389999999999</v>
      </c>
      <c r="F2248" s="248">
        <v>2029.4940999999999</v>
      </c>
      <c r="G2248" s="248">
        <v>2058.4793</v>
      </c>
      <c r="H2248" s="248">
        <v>2110.607</v>
      </c>
      <c r="I2248"/>
      <c r="J2248"/>
      <c r="K2248"/>
      <c r="L2248"/>
      <c r="M2248"/>
    </row>
    <row r="2249" spans="3:13" hidden="1" outlineLevel="1" x14ac:dyDescent="0.2">
      <c r="C2249" s="139">
        <v>2023</v>
      </c>
      <c r="D2249" s="248">
        <v>1930.9612</v>
      </c>
      <c r="E2249" s="248">
        <v>1995.1251999999999</v>
      </c>
      <c r="F2249" s="248">
        <v>2030.4978000000001</v>
      </c>
      <c r="G2249" s="248">
        <v>2059.4974000000002</v>
      </c>
      <c r="H2249" s="248">
        <v>2111.6507999999999</v>
      </c>
      <c r="I2249"/>
      <c r="J2249"/>
      <c r="K2249"/>
      <c r="L2249"/>
      <c r="M2249"/>
    </row>
    <row r="2250" spans="3:13" hidden="1" outlineLevel="1" x14ac:dyDescent="0.2">
      <c r="C2250" s="139">
        <v>2024</v>
      </c>
      <c r="D2250" s="248">
        <v>1931.9758999999999</v>
      </c>
      <c r="E2250" s="248">
        <v>1996.1114</v>
      </c>
      <c r="F2250" s="248">
        <v>2031.5015000000001</v>
      </c>
      <c r="G2250" s="248">
        <v>2060.5155</v>
      </c>
      <c r="H2250" s="248">
        <v>2112.6945999999998</v>
      </c>
      <c r="I2250"/>
      <c r="J2250"/>
      <c r="K2250"/>
      <c r="L2250"/>
      <c r="M2250"/>
    </row>
    <row r="2251" spans="3:13" hidden="1" outlineLevel="1" x14ac:dyDescent="0.2">
      <c r="C2251" s="139">
        <v>2025</v>
      </c>
      <c r="D2251" s="248">
        <v>1932.9906000000001</v>
      </c>
      <c r="E2251" s="248">
        <v>1997.0976000000001</v>
      </c>
      <c r="F2251" s="248">
        <v>2032.5052000000001</v>
      </c>
      <c r="G2251" s="248">
        <v>2061.5336000000002</v>
      </c>
      <c r="H2251" s="248">
        <v>2113.7384000000002</v>
      </c>
      <c r="I2251"/>
      <c r="J2251"/>
      <c r="K2251"/>
      <c r="L2251"/>
      <c r="M2251"/>
    </row>
    <row r="2252" spans="3:13" hidden="1" outlineLevel="1" x14ac:dyDescent="0.2">
      <c r="C2252" s="139">
        <v>2026</v>
      </c>
      <c r="D2252" s="248">
        <v>1934.0053</v>
      </c>
      <c r="E2252" s="248">
        <v>1998.0838000000001</v>
      </c>
      <c r="F2252" s="248">
        <v>2033.5089</v>
      </c>
      <c r="G2252" s="248">
        <v>2062.5517</v>
      </c>
      <c r="H2252" s="248">
        <v>2114.7822000000001</v>
      </c>
      <c r="I2252"/>
      <c r="J2252"/>
      <c r="K2252"/>
      <c r="L2252"/>
      <c r="M2252"/>
    </row>
    <row r="2253" spans="3:13" hidden="1" outlineLevel="1" x14ac:dyDescent="0.2">
      <c r="C2253" s="139">
        <v>2027</v>
      </c>
      <c r="D2253" s="248">
        <v>1935.02</v>
      </c>
      <c r="E2253" s="248">
        <v>1999.07</v>
      </c>
      <c r="F2253" s="248">
        <v>2034.5126</v>
      </c>
      <c r="G2253" s="248">
        <v>2063.5698000000002</v>
      </c>
      <c r="H2253" s="248">
        <v>2115.826</v>
      </c>
      <c r="I2253"/>
      <c r="J2253"/>
      <c r="K2253"/>
      <c r="L2253"/>
      <c r="M2253"/>
    </row>
    <row r="2254" spans="3:13" hidden="1" outlineLevel="1" x14ac:dyDescent="0.2">
      <c r="C2254" s="139">
        <v>2028</v>
      </c>
      <c r="D2254" s="248">
        <v>1936.0346999999999</v>
      </c>
      <c r="E2254" s="248">
        <v>2000.0562</v>
      </c>
      <c r="F2254" s="248">
        <v>2035.5163</v>
      </c>
      <c r="G2254" s="248">
        <v>2064.5879</v>
      </c>
      <c r="H2254" s="248">
        <v>2116.8697999999999</v>
      </c>
      <c r="I2254"/>
      <c r="J2254"/>
      <c r="K2254"/>
      <c r="L2254"/>
      <c r="M2254"/>
    </row>
    <row r="2255" spans="3:13" hidden="1" outlineLevel="1" x14ac:dyDescent="0.2">
      <c r="C2255" s="139">
        <v>2029</v>
      </c>
      <c r="D2255" s="248">
        <v>1937.0494000000001</v>
      </c>
      <c r="E2255" s="248">
        <v>2001.0424</v>
      </c>
      <c r="F2255" s="248">
        <v>2036.52</v>
      </c>
      <c r="G2255" s="248">
        <v>2065.6060000000002</v>
      </c>
      <c r="H2255" s="248">
        <v>2117.9135999999999</v>
      </c>
      <c r="I2255"/>
      <c r="J2255"/>
      <c r="K2255"/>
      <c r="L2255"/>
      <c r="M2255"/>
    </row>
    <row r="2256" spans="3:13" hidden="1" outlineLevel="1" x14ac:dyDescent="0.2">
      <c r="C2256" s="139">
        <v>2030</v>
      </c>
      <c r="D2256" s="248">
        <v>1938.0641000000001</v>
      </c>
      <c r="E2256" s="248">
        <v>2002.0286000000001</v>
      </c>
      <c r="F2256" s="248">
        <v>2037.5237</v>
      </c>
      <c r="G2256" s="248">
        <v>2066.6241</v>
      </c>
      <c r="H2256" s="248">
        <v>2118.9573999999998</v>
      </c>
      <c r="I2256"/>
      <c r="J2256"/>
      <c r="K2256"/>
      <c r="L2256"/>
      <c r="M2256"/>
    </row>
    <row r="2257" spans="3:13" hidden="1" outlineLevel="1" x14ac:dyDescent="0.2">
      <c r="C2257" s="139">
        <v>2031</v>
      </c>
      <c r="D2257" s="248">
        <v>1939.0788</v>
      </c>
      <c r="E2257" s="248">
        <v>2003.0147999999999</v>
      </c>
      <c r="F2257" s="248">
        <v>2038.5273999999999</v>
      </c>
      <c r="G2257" s="248">
        <v>2067.6421999999998</v>
      </c>
      <c r="H2257" s="248">
        <v>2120.0012000000002</v>
      </c>
      <c r="I2257"/>
      <c r="J2257"/>
      <c r="K2257"/>
      <c r="L2257"/>
      <c r="M2257"/>
    </row>
    <row r="2258" spans="3:13" hidden="1" outlineLevel="1" x14ac:dyDescent="0.2">
      <c r="C2258" s="139">
        <v>2032</v>
      </c>
      <c r="D2258" s="248">
        <v>1940.0934999999999</v>
      </c>
      <c r="E2258" s="248">
        <v>2004.001</v>
      </c>
      <c r="F2258" s="248">
        <v>2039.5310999999999</v>
      </c>
      <c r="G2258" s="248">
        <v>2068.6603</v>
      </c>
      <c r="H2258" s="248">
        <v>2121.0450000000001</v>
      </c>
      <c r="I2258"/>
      <c r="J2258"/>
      <c r="K2258"/>
      <c r="L2258"/>
      <c r="M2258"/>
    </row>
    <row r="2259" spans="3:13" hidden="1" outlineLevel="1" x14ac:dyDescent="0.2">
      <c r="C2259" s="139">
        <v>2033</v>
      </c>
      <c r="D2259" s="248">
        <v>1941.1081999999999</v>
      </c>
      <c r="E2259" s="248">
        <v>2004.9872</v>
      </c>
      <c r="F2259" s="248">
        <v>2040.5347999999999</v>
      </c>
      <c r="G2259" s="248">
        <v>2069.6783999999998</v>
      </c>
      <c r="H2259" s="248">
        <v>2122.0888</v>
      </c>
      <c r="I2259"/>
      <c r="J2259"/>
      <c r="K2259"/>
      <c r="L2259"/>
      <c r="M2259"/>
    </row>
    <row r="2260" spans="3:13" hidden="1" outlineLevel="1" x14ac:dyDescent="0.2">
      <c r="C2260" s="139">
        <v>2034</v>
      </c>
      <c r="D2260" s="248">
        <v>1942.1229000000001</v>
      </c>
      <c r="E2260" s="248">
        <v>2005.9734000000001</v>
      </c>
      <c r="F2260" s="248">
        <v>2041.5385000000001</v>
      </c>
      <c r="G2260" s="248">
        <v>2070.6965</v>
      </c>
      <c r="H2260" s="248">
        <v>2123.1325999999999</v>
      </c>
      <c r="I2260"/>
      <c r="J2260"/>
      <c r="K2260"/>
      <c r="L2260"/>
      <c r="M2260"/>
    </row>
    <row r="2261" spans="3:13" hidden="1" outlineLevel="1" x14ac:dyDescent="0.2">
      <c r="C2261" s="139">
        <v>2035</v>
      </c>
      <c r="D2261" s="248">
        <v>1943.1376</v>
      </c>
      <c r="E2261" s="248">
        <v>2006.9595999999999</v>
      </c>
      <c r="F2261" s="248">
        <v>2042.5422000000001</v>
      </c>
      <c r="G2261" s="248">
        <v>2071.7145999999998</v>
      </c>
      <c r="H2261" s="248">
        <v>2124.1763999999998</v>
      </c>
      <c r="I2261"/>
      <c r="J2261"/>
      <c r="K2261"/>
      <c r="L2261"/>
      <c r="M2261"/>
    </row>
    <row r="2262" spans="3:13" hidden="1" outlineLevel="1" x14ac:dyDescent="0.2">
      <c r="C2262" s="139">
        <v>2036</v>
      </c>
      <c r="D2262" s="248">
        <v>1944.1523</v>
      </c>
      <c r="E2262" s="248">
        <v>2007.9458</v>
      </c>
      <c r="F2262" s="248">
        <v>2043.5459000000001</v>
      </c>
      <c r="G2262" s="248">
        <v>2072.7327</v>
      </c>
      <c r="H2262" s="248">
        <v>2125.2202000000002</v>
      </c>
      <c r="I2262"/>
      <c r="J2262"/>
      <c r="K2262"/>
      <c r="L2262"/>
      <c r="M2262"/>
    </row>
    <row r="2263" spans="3:13" hidden="1" outlineLevel="1" x14ac:dyDescent="0.2">
      <c r="C2263" s="139">
        <v>2037</v>
      </c>
      <c r="D2263" s="248">
        <v>1945.1669999999999</v>
      </c>
      <c r="E2263" s="248">
        <v>2008.932</v>
      </c>
      <c r="F2263" s="248">
        <v>2044.5496000000001</v>
      </c>
      <c r="G2263" s="248">
        <v>2073.7507999999998</v>
      </c>
      <c r="H2263" s="248">
        <v>2126.2640000000001</v>
      </c>
      <c r="I2263"/>
      <c r="J2263"/>
      <c r="K2263"/>
      <c r="L2263"/>
      <c r="M2263"/>
    </row>
    <row r="2264" spans="3:13" hidden="1" outlineLevel="1" x14ac:dyDescent="0.2">
      <c r="C2264" s="139">
        <v>2038</v>
      </c>
      <c r="D2264" s="248">
        <v>1946.1817000000001</v>
      </c>
      <c r="E2264" s="248">
        <v>2009.9182000000001</v>
      </c>
      <c r="F2264" s="248">
        <v>2045.5533</v>
      </c>
      <c r="G2264" s="248">
        <v>2074.7689</v>
      </c>
      <c r="H2264" s="248">
        <v>2127.3078</v>
      </c>
      <c r="I2264"/>
      <c r="J2264"/>
      <c r="K2264"/>
      <c r="L2264"/>
      <c r="M2264"/>
    </row>
    <row r="2265" spans="3:13" hidden="1" outlineLevel="1" x14ac:dyDescent="0.2">
      <c r="C2265" s="139">
        <v>2039</v>
      </c>
      <c r="D2265" s="248">
        <v>1947.1964</v>
      </c>
      <c r="E2265" s="248">
        <v>2010.9043999999999</v>
      </c>
      <c r="F2265" s="248">
        <v>2046.557</v>
      </c>
      <c r="G2265" s="248">
        <v>2075.7869999999998</v>
      </c>
      <c r="H2265" s="248">
        <v>2128.3516</v>
      </c>
      <c r="I2265"/>
      <c r="J2265"/>
      <c r="K2265"/>
      <c r="L2265"/>
      <c r="M2265"/>
    </row>
    <row r="2266" spans="3:13" hidden="1" outlineLevel="1" x14ac:dyDescent="0.2">
      <c r="C2266" s="139">
        <v>2040</v>
      </c>
      <c r="D2266" s="248">
        <v>1948.2111</v>
      </c>
      <c r="E2266" s="248">
        <v>2011.8905999999999</v>
      </c>
      <c r="F2266" s="248">
        <v>2047.5607</v>
      </c>
      <c r="G2266" s="248">
        <v>2076.8051</v>
      </c>
      <c r="H2266" s="248">
        <v>2129.3953999999999</v>
      </c>
      <c r="I2266"/>
      <c r="J2266"/>
      <c r="K2266"/>
      <c r="L2266"/>
      <c r="M2266"/>
    </row>
    <row r="2267" spans="3:13" hidden="1" outlineLevel="1" x14ac:dyDescent="0.2">
      <c r="C2267" s="139">
        <v>2041</v>
      </c>
      <c r="D2267" s="248">
        <v>1949.2257999999999</v>
      </c>
      <c r="E2267" s="248">
        <v>2012.8768</v>
      </c>
      <c r="F2267" s="248">
        <v>2048.5644000000002</v>
      </c>
      <c r="G2267" s="248">
        <v>2077.8231999999998</v>
      </c>
      <c r="H2267" s="248">
        <v>2130.4391999999998</v>
      </c>
      <c r="I2267"/>
      <c r="J2267"/>
      <c r="K2267"/>
      <c r="L2267"/>
      <c r="M2267"/>
    </row>
    <row r="2268" spans="3:13" hidden="1" outlineLevel="1" x14ac:dyDescent="0.2">
      <c r="C2268" s="139">
        <v>2042</v>
      </c>
      <c r="D2268" s="248">
        <v>1950.2405000000001</v>
      </c>
      <c r="E2268" s="248">
        <v>2013.8630000000001</v>
      </c>
      <c r="F2268" s="248">
        <v>2049.5681</v>
      </c>
      <c r="G2268" s="248">
        <v>2078.8413</v>
      </c>
      <c r="H2268" s="248">
        <v>2131.4830000000002</v>
      </c>
      <c r="I2268"/>
      <c r="J2268"/>
      <c r="K2268"/>
      <c r="L2268"/>
      <c r="M2268"/>
    </row>
    <row r="2269" spans="3:13" hidden="1" outlineLevel="1" x14ac:dyDescent="0.2">
      <c r="C2269" s="139">
        <v>2043</v>
      </c>
      <c r="D2269" s="248">
        <v>1951.2552000000001</v>
      </c>
      <c r="E2269" s="248">
        <v>2014.8492000000001</v>
      </c>
      <c r="F2269" s="248">
        <v>2050.5718000000002</v>
      </c>
      <c r="G2269" s="248">
        <v>2079.8593999999998</v>
      </c>
      <c r="H2269" s="248">
        <v>2132.5268000000001</v>
      </c>
      <c r="I2269"/>
      <c r="J2269"/>
      <c r="K2269"/>
      <c r="L2269"/>
      <c r="M2269"/>
    </row>
    <row r="2270" spans="3:13" hidden="1" outlineLevel="1" x14ac:dyDescent="0.2">
      <c r="C2270" s="139">
        <v>2044</v>
      </c>
      <c r="D2270" s="248">
        <v>1952.2699</v>
      </c>
      <c r="E2270" s="248">
        <v>2015.8353999999999</v>
      </c>
      <c r="F2270" s="248">
        <v>2051.5754999999999</v>
      </c>
      <c r="G2270" s="248">
        <v>2080.8775000000001</v>
      </c>
      <c r="H2270" s="248">
        <v>2133.5706</v>
      </c>
      <c r="I2270"/>
      <c r="J2270"/>
      <c r="K2270"/>
      <c r="L2270"/>
      <c r="M2270"/>
    </row>
    <row r="2271" spans="3:13" hidden="1" outlineLevel="1" x14ac:dyDescent="0.2">
      <c r="C2271" s="139">
        <v>2045</v>
      </c>
      <c r="D2271" s="248">
        <v>1953.2846</v>
      </c>
      <c r="E2271" s="248">
        <v>2016.8216</v>
      </c>
      <c r="F2271" s="248">
        <v>2052.5792000000001</v>
      </c>
      <c r="G2271" s="248">
        <v>2081.8955999999998</v>
      </c>
      <c r="H2271" s="248">
        <v>2134.6143999999999</v>
      </c>
      <c r="I2271"/>
      <c r="J2271"/>
      <c r="K2271"/>
      <c r="L2271"/>
      <c r="M2271"/>
    </row>
    <row r="2272" spans="3:13" hidden="1" outlineLevel="1" x14ac:dyDescent="0.2">
      <c r="C2272" s="139">
        <v>2046</v>
      </c>
      <c r="D2272" s="248">
        <v>1954.2992999999999</v>
      </c>
      <c r="E2272" s="248">
        <v>2017.8078</v>
      </c>
      <c r="F2272" s="248">
        <v>2053.5828999999999</v>
      </c>
      <c r="G2272" s="248">
        <v>2082.9137000000001</v>
      </c>
      <c r="H2272" s="248">
        <v>2135.6581999999999</v>
      </c>
      <c r="I2272"/>
      <c r="J2272"/>
      <c r="K2272"/>
      <c r="L2272"/>
      <c r="M2272"/>
    </row>
    <row r="2273" spans="3:13" hidden="1" outlineLevel="1" x14ac:dyDescent="0.2">
      <c r="C2273" s="139">
        <v>2047</v>
      </c>
      <c r="D2273" s="248">
        <v>1955.3140000000001</v>
      </c>
      <c r="E2273" s="248">
        <v>2018.7940000000001</v>
      </c>
      <c r="F2273" s="248">
        <v>2054.5866000000001</v>
      </c>
      <c r="G2273" s="248">
        <v>2083.9317999999998</v>
      </c>
      <c r="H2273" s="248">
        <v>2136.7020000000002</v>
      </c>
      <c r="I2273"/>
      <c r="J2273"/>
      <c r="K2273"/>
      <c r="L2273"/>
      <c r="M2273"/>
    </row>
    <row r="2274" spans="3:13" hidden="1" outlineLevel="1" x14ac:dyDescent="0.2">
      <c r="C2274" s="139">
        <v>2048</v>
      </c>
      <c r="D2274" s="248">
        <v>1956.3287</v>
      </c>
      <c r="E2274" s="248">
        <v>2019.7801999999999</v>
      </c>
      <c r="F2274" s="248">
        <v>2055.5902999999998</v>
      </c>
      <c r="G2274" s="248">
        <v>2084.9499000000001</v>
      </c>
      <c r="H2274" s="248">
        <v>2137.7458000000001</v>
      </c>
      <c r="I2274"/>
      <c r="J2274"/>
      <c r="K2274"/>
      <c r="L2274"/>
      <c r="M2274"/>
    </row>
    <row r="2275" spans="3:13" hidden="1" outlineLevel="1" x14ac:dyDescent="0.2">
      <c r="C2275" s="139">
        <v>2049</v>
      </c>
      <c r="D2275" s="248">
        <v>1957.3434</v>
      </c>
      <c r="E2275" s="248">
        <v>2020.7664</v>
      </c>
      <c r="F2275" s="248">
        <v>2056.5940000000001</v>
      </c>
      <c r="G2275" s="248">
        <v>2085.9679999999998</v>
      </c>
      <c r="H2275" s="248">
        <v>2138.7896000000001</v>
      </c>
      <c r="I2275"/>
      <c r="J2275"/>
      <c r="K2275"/>
      <c r="L2275"/>
      <c r="M2275"/>
    </row>
    <row r="2276" spans="3:13" hidden="1" outlineLevel="1" x14ac:dyDescent="0.2">
      <c r="C2276" s="139">
        <v>2050</v>
      </c>
      <c r="D2276" s="248">
        <v>1958.3580999999999</v>
      </c>
      <c r="E2276" s="248">
        <v>2021.7526</v>
      </c>
      <c r="F2276" s="248">
        <v>2057.5976999999998</v>
      </c>
      <c r="G2276" s="248">
        <v>2086.9861000000001</v>
      </c>
      <c r="H2276" s="248">
        <v>2139.8334</v>
      </c>
      <c r="I2276"/>
      <c r="J2276"/>
      <c r="K2276"/>
      <c r="L2276"/>
      <c r="M2276"/>
    </row>
    <row r="2277" spans="3:13" hidden="1" outlineLevel="1" x14ac:dyDescent="0.2">
      <c r="C2277" s="139">
        <v>2051</v>
      </c>
      <c r="D2277" s="248">
        <v>1959.3728000000001</v>
      </c>
      <c r="E2277" s="248">
        <v>2022.7388000000001</v>
      </c>
      <c r="F2277" s="248">
        <v>2058.6014</v>
      </c>
      <c r="G2277" s="248">
        <v>2088.0041999999999</v>
      </c>
      <c r="H2277" s="248">
        <v>2140.8771999999999</v>
      </c>
      <c r="I2277"/>
      <c r="J2277"/>
      <c r="K2277"/>
      <c r="L2277"/>
      <c r="M2277"/>
    </row>
    <row r="2278" spans="3:13" hidden="1" outlineLevel="1" x14ac:dyDescent="0.2">
      <c r="C2278" s="139">
        <v>2052</v>
      </c>
      <c r="D2278" s="248">
        <v>1960.3875</v>
      </c>
      <c r="E2278" s="248">
        <v>2023.7249999999999</v>
      </c>
      <c r="F2278" s="248">
        <v>2059.6051000000002</v>
      </c>
      <c r="G2278" s="248">
        <v>2089.0223000000001</v>
      </c>
      <c r="H2278" s="248">
        <v>2141.9209999999998</v>
      </c>
      <c r="I2278"/>
      <c r="J2278"/>
      <c r="K2278"/>
      <c r="L2278"/>
      <c r="M2278"/>
    </row>
    <row r="2279" spans="3:13" hidden="1" outlineLevel="1" x14ac:dyDescent="0.2">
      <c r="C2279" s="139">
        <v>2053</v>
      </c>
      <c r="D2279" s="248">
        <v>1961.4022</v>
      </c>
      <c r="E2279" s="248">
        <v>2024.7112</v>
      </c>
      <c r="F2279" s="248">
        <v>2060.6088</v>
      </c>
      <c r="G2279" s="248">
        <v>2090.0403999999999</v>
      </c>
      <c r="H2279" s="248">
        <v>2142.9648000000002</v>
      </c>
      <c r="I2279"/>
      <c r="J2279"/>
      <c r="K2279"/>
      <c r="L2279"/>
      <c r="M2279"/>
    </row>
    <row r="2280" spans="3:13" hidden="1" outlineLevel="1" x14ac:dyDescent="0.2">
      <c r="C2280" s="139">
        <v>2054</v>
      </c>
      <c r="D2280" s="248">
        <v>1962.4168999999999</v>
      </c>
      <c r="E2280" s="248">
        <v>2025.6974</v>
      </c>
      <c r="F2280" s="248">
        <v>2061.6125000000002</v>
      </c>
      <c r="G2280" s="248">
        <v>2091.0585000000001</v>
      </c>
      <c r="H2280" s="248">
        <v>2144.0086000000001</v>
      </c>
      <c r="I2280"/>
      <c r="J2280"/>
      <c r="K2280"/>
      <c r="L2280"/>
      <c r="M2280"/>
    </row>
    <row r="2281" spans="3:13" hidden="1" outlineLevel="1" x14ac:dyDescent="0.2">
      <c r="C2281" s="139">
        <v>2055</v>
      </c>
      <c r="D2281" s="248">
        <v>1963.4315999999999</v>
      </c>
      <c r="E2281" s="248">
        <v>2026.6836000000001</v>
      </c>
      <c r="F2281" s="248">
        <v>2062.6161999999999</v>
      </c>
      <c r="G2281" s="248">
        <v>2092.0765999999999</v>
      </c>
      <c r="H2281" s="248">
        <v>2145.0524</v>
      </c>
      <c r="I2281"/>
      <c r="J2281"/>
      <c r="K2281"/>
      <c r="L2281"/>
      <c r="M2281"/>
    </row>
    <row r="2282" spans="3:13" hidden="1" outlineLevel="1" x14ac:dyDescent="0.2">
      <c r="C2282" s="139">
        <v>2056</v>
      </c>
      <c r="D2282" s="248">
        <v>1964.4463000000001</v>
      </c>
      <c r="E2282" s="248">
        <v>2027.6697999999999</v>
      </c>
      <c r="F2282" s="248">
        <v>2063.6199000000001</v>
      </c>
      <c r="G2282" s="248">
        <v>2093.0947000000001</v>
      </c>
      <c r="H2282" s="248">
        <v>2146.0962</v>
      </c>
      <c r="I2282"/>
      <c r="J2282"/>
      <c r="K2282"/>
      <c r="L2282"/>
      <c r="M2282"/>
    </row>
    <row r="2283" spans="3:13" hidden="1" outlineLevel="1" x14ac:dyDescent="0.2">
      <c r="C2283" s="139">
        <v>2057</v>
      </c>
      <c r="D2283" s="248">
        <v>1965.461</v>
      </c>
      <c r="E2283" s="248">
        <v>2028.6559999999999</v>
      </c>
      <c r="F2283" s="248">
        <v>2064.6235999999999</v>
      </c>
      <c r="G2283" s="248">
        <v>2094.1127999999999</v>
      </c>
      <c r="H2283" s="248">
        <v>2147.14</v>
      </c>
      <c r="I2283"/>
      <c r="J2283"/>
      <c r="K2283"/>
      <c r="L2283"/>
      <c r="M2283"/>
    </row>
    <row r="2284" spans="3:13" hidden="1" outlineLevel="1" x14ac:dyDescent="0.2">
      <c r="C2284" s="139">
        <v>2058</v>
      </c>
      <c r="D2284" s="248">
        <v>1966.4757</v>
      </c>
      <c r="E2284" s="248">
        <v>2029.6422</v>
      </c>
      <c r="F2284" s="248">
        <v>2065.6273000000001</v>
      </c>
      <c r="G2284" s="248">
        <v>2095.1309000000001</v>
      </c>
      <c r="H2284" s="248">
        <v>2148.1837999999998</v>
      </c>
      <c r="I2284"/>
      <c r="J2284"/>
      <c r="K2284"/>
      <c r="L2284"/>
      <c r="M2284"/>
    </row>
    <row r="2285" spans="3:13" hidden="1" outlineLevel="1" x14ac:dyDescent="0.2">
      <c r="C2285" s="139">
        <v>2059</v>
      </c>
      <c r="D2285" s="248">
        <v>1967.4903999999999</v>
      </c>
      <c r="E2285" s="248">
        <v>2030.6284000000001</v>
      </c>
      <c r="F2285" s="248">
        <v>2066.6309999999999</v>
      </c>
      <c r="G2285" s="248">
        <v>2096.1489999999999</v>
      </c>
      <c r="H2285" s="248">
        <v>2149.2276000000002</v>
      </c>
      <c r="I2285"/>
      <c r="J2285"/>
      <c r="K2285"/>
      <c r="L2285"/>
      <c r="M2285"/>
    </row>
    <row r="2286" spans="3:13" hidden="1" outlineLevel="1" x14ac:dyDescent="0.2">
      <c r="C2286" s="139">
        <v>2060</v>
      </c>
      <c r="D2286" s="248">
        <v>1968.5051000000001</v>
      </c>
      <c r="E2286" s="248">
        <v>2031.6146000000001</v>
      </c>
      <c r="F2286" s="248">
        <v>2067.6347000000001</v>
      </c>
      <c r="G2286" s="248">
        <v>2097.1671000000001</v>
      </c>
      <c r="H2286" s="248">
        <v>2150.2714000000001</v>
      </c>
      <c r="I2286"/>
      <c r="J2286"/>
      <c r="K2286"/>
      <c r="L2286"/>
      <c r="M2286"/>
    </row>
    <row r="2287" spans="3:13" hidden="1" outlineLevel="1" x14ac:dyDescent="0.2">
      <c r="C2287" s="139">
        <v>2061</v>
      </c>
      <c r="D2287" s="248">
        <v>1969.5198</v>
      </c>
      <c r="E2287" s="248">
        <v>2032.6007999999999</v>
      </c>
      <c r="F2287" s="248">
        <v>2068.6383999999998</v>
      </c>
      <c r="G2287" s="248">
        <v>2098.1851999999999</v>
      </c>
      <c r="H2287" s="248">
        <v>2151.3152</v>
      </c>
      <c r="I2287"/>
      <c r="J2287"/>
      <c r="K2287"/>
      <c r="L2287"/>
      <c r="M2287"/>
    </row>
    <row r="2288" spans="3:13" hidden="1" outlineLevel="1" x14ac:dyDescent="0.2">
      <c r="C2288" s="139">
        <v>2062</v>
      </c>
      <c r="D2288" s="248">
        <v>1970.5345</v>
      </c>
      <c r="E2288" s="248">
        <v>2033.587</v>
      </c>
      <c r="F2288" s="248">
        <v>2069.6421</v>
      </c>
      <c r="G2288" s="248">
        <v>2099.2033000000001</v>
      </c>
      <c r="H2288" s="248">
        <v>2152.3589999999899</v>
      </c>
      <c r="I2288"/>
      <c r="J2288"/>
      <c r="K2288"/>
      <c r="L2288"/>
      <c r="M2288"/>
    </row>
    <row r="2289" spans="3:13" hidden="1" outlineLevel="1" x14ac:dyDescent="0.2">
      <c r="C2289" s="139">
        <v>2063</v>
      </c>
      <c r="D2289" s="248">
        <v>1971.5491999999999</v>
      </c>
      <c r="E2289" s="248">
        <v>2034.5732</v>
      </c>
      <c r="F2289" s="248">
        <v>2070.6457999999998</v>
      </c>
      <c r="G2289" s="248">
        <v>2100.2213999999999</v>
      </c>
      <c r="H2289" s="248">
        <v>2153.4027999999898</v>
      </c>
      <c r="I2289"/>
      <c r="J2289"/>
      <c r="K2289"/>
      <c r="L2289"/>
      <c r="M2289"/>
    </row>
    <row r="2290" spans="3:13" hidden="1" outlineLevel="1" x14ac:dyDescent="0.2">
      <c r="C2290" s="139">
        <v>2064</v>
      </c>
      <c r="D2290" s="248">
        <v>1972.5639000000001</v>
      </c>
      <c r="E2290" s="248">
        <v>2035.5594000000001</v>
      </c>
      <c r="F2290" s="248">
        <v>2071.6495</v>
      </c>
      <c r="G2290" s="248">
        <v>2101.2395000000001</v>
      </c>
      <c r="H2290" s="248">
        <v>2154.4465999999902</v>
      </c>
      <c r="I2290"/>
      <c r="J2290"/>
      <c r="K2290"/>
      <c r="L2290"/>
      <c r="M2290"/>
    </row>
    <row r="2291" spans="3:13" hidden="1" outlineLevel="1" x14ac:dyDescent="0.2">
      <c r="C2291" s="139">
        <v>2065</v>
      </c>
      <c r="D2291" s="248">
        <v>1973.5786000000001</v>
      </c>
      <c r="E2291" s="248">
        <v>2036.5455999999999</v>
      </c>
      <c r="F2291" s="248">
        <v>2072.6532000000002</v>
      </c>
      <c r="G2291" s="248">
        <v>2102.2575999999999</v>
      </c>
      <c r="H2291" s="248">
        <v>2155.4903999999901</v>
      </c>
      <c r="I2291"/>
      <c r="J2291"/>
      <c r="K2291"/>
      <c r="L2291"/>
      <c r="M2291"/>
    </row>
    <row r="2292" spans="3:13" hidden="1" outlineLevel="1" x14ac:dyDescent="0.2">
      <c r="C2292" s="139">
        <v>2066</v>
      </c>
      <c r="D2292" s="248">
        <v>1974.5933</v>
      </c>
      <c r="E2292" s="248">
        <v>2037.5318</v>
      </c>
      <c r="F2292" s="248">
        <v>2073.6569</v>
      </c>
      <c r="G2292" s="248">
        <v>2103.2757000000001</v>
      </c>
      <c r="H2292" s="248">
        <v>2156.5341999999901</v>
      </c>
      <c r="I2292"/>
      <c r="J2292"/>
      <c r="K2292"/>
      <c r="L2292"/>
      <c r="M2292"/>
    </row>
    <row r="2293" spans="3:13" hidden="1" outlineLevel="1" x14ac:dyDescent="0.2">
      <c r="C2293" s="139">
        <v>2067</v>
      </c>
      <c r="D2293" s="248">
        <v>1975.6079999999999</v>
      </c>
      <c r="E2293" s="248">
        <v>2038.518</v>
      </c>
      <c r="F2293" s="248">
        <v>2074.6606000000002</v>
      </c>
      <c r="G2293" s="248">
        <v>2104.2937999999999</v>
      </c>
      <c r="H2293" s="248">
        <v>2157.57799999999</v>
      </c>
      <c r="I2293"/>
      <c r="J2293"/>
      <c r="K2293"/>
      <c r="L2293"/>
      <c r="M2293"/>
    </row>
    <row r="2294" spans="3:13" hidden="1" outlineLevel="1" x14ac:dyDescent="0.2">
      <c r="C2294" s="139">
        <v>2068</v>
      </c>
      <c r="D2294" s="248">
        <v>1976.6226999999999</v>
      </c>
      <c r="E2294" s="248">
        <v>2039.5042000000001</v>
      </c>
      <c r="F2294" s="248">
        <v>2075.6642999999999</v>
      </c>
      <c r="G2294" s="248">
        <v>2105.3119000000002</v>
      </c>
      <c r="H2294" s="248">
        <v>2158.6217999999899</v>
      </c>
      <c r="I2294"/>
      <c r="J2294"/>
      <c r="K2294"/>
      <c r="L2294"/>
      <c r="M2294"/>
    </row>
    <row r="2295" spans="3:13" hidden="1" outlineLevel="1" x14ac:dyDescent="0.2">
      <c r="C2295" s="139">
        <v>2069</v>
      </c>
      <c r="D2295" s="248">
        <v>1977.6374000000001</v>
      </c>
      <c r="E2295" s="248">
        <v>2040.4903999999999</v>
      </c>
      <c r="F2295" s="248">
        <v>2076.6680000000001</v>
      </c>
      <c r="G2295" s="248">
        <v>2106.33</v>
      </c>
      <c r="H2295" s="248">
        <v>2159.6655999999898</v>
      </c>
      <c r="I2295"/>
      <c r="J2295"/>
      <c r="K2295"/>
      <c r="L2295"/>
      <c r="M2295"/>
    </row>
    <row r="2296" spans="3:13" hidden="1" outlineLevel="1" x14ac:dyDescent="0.2">
      <c r="C2296" s="139">
        <v>2070</v>
      </c>
      <c r="D2296" s="248">
        <v>1978.6521</v>
      </c>
      <c r="E2296" s="248">
        <v>2041.4766</v>
      </c>
      <c r="F2296" s="248">
        <v>2077.6716999999999</v>
      </c>
      <c r="G2296" s="248">
        <v>2107.3481000000002</v>
      </c>
      <c r="H2296" s="248">
        <v>2160.7093999999902</v>
      </c>
      <c r="I2296"/>
      <c r="J2296"/>
      <c r="K2296"/>
      <c r="L2296"/>
      <c r="M2296"/>
    </row>
    <row r="2297" spans="3:13" hidden="1" outlineLevel="1" x14ac:dyDescent="0.2">
      <c r="C2297" s="139">
        <v>2071</v>
      </c>
      <c r="D2297" s="248">
        <v>1979.6668</v>
      </c>
      <c r="E2297" s="248">
        <v>2042.4628</v>
      </c>
      <c r="F2297" s="248">
        <v>2078.6754000000001</v>
      </c>
      <c r="G2297" s="248">
        <v>2108.3661999999999</v>
      </c>
      <c r="H2297" s="248">
        <v>2161.7531999999901</v>
      </c>
      <c r="I2297"/>
      <c r="J2297"/>
      <c r="K2297"/>
      <c r="L2297"/>
      <c r="M2297"/>
    </row>
    <row r="2298" spans="3:13" hidden="1" outlineLevel="1" x14ac:dyDescent="0.2">
      <c r="C2298" s="139">
        <v>2072</v>
      </c>
      <c r="D2298" s="248">
        <v>1980.6814999999999</v>
      </c>
      <c r="E2298" s="248">
        <v>2043.4490000000001</v>
      </c>
      <c r="F2298" s="248">
        <v>2079.6790999999998</v>
      </c>
      <c r="G2298" s="248">
        <v>2109.3843000000002</v>
      </c>
      <c r="H2298" s="248">
        <v>2162.79699999999</v>
      </c>
      <c r="I2298"/>
      <c r="J2298"/>
      <c r="K2298"/>
      <c r="L2298"/>
      <c r="M2298"/>
    </row>
    <row r="2299" spans="3:13" hidden="1" outlineLevel="1" x14ac:dyDescent="0.2">
      <c r="C2299" s="139">
        <v>2073</v>
      </c>
      <c r="D2299" s="248">
        <v>1981.6962000000001</v>
      </c>
      <c r="E2299" s="248">
        <v>2044.4351999999999</v>
      </c>
      <c r="F2299" s="248">
        <v>2080.6828</v>
      </c>
      <c r="G2299" s="248">
        <v>2110.4023999999999</v>
      </c>
      <c r="H2299" s="248">
        <v>2163.8407999999899</v>
      </c>
      <c r="I2299"/>
      <c r="J2299"/>
      <c r="K2299"/>
      <c r="L2299"/>
      <c r="M2299"/>
    </row>
    <row r="2300" spans="3:13" hidden="1" outlineLevel="1" x14ac:dyDescent="0.2">
      <c r="C2300" s="139">
        <v>2074</v>
      </c>
      <c r="D2300" s="248">
        <v>1982.7109</v>
      </c>
      <c r="E2300" s="248">
        <v>2045.4213999999999</v>
      </c>
      <c r="F2300" s="248">
        <v>2081.6864999999998</v>
      </c>
      <c r="G2300" s="248">
        <v>2111.4205000000002</v>
      </c>
      <c r="H2300" s="248">
        <v>2164.8845999999899</v>
      </c>
      <c r="I2300"/>
      <c r="J2300"/>
      <c r="K2300"/>
      <c r="L2300"/>
      <c r="M2300"/>
    </row>
    <row r="2301" spans="3:13" hidden="1" outlineLevel="1" x14ac:dyDescent="0.2">
      <c r="C2301" s="139">
        <v>2075</v>
      </c>
      <c r="D2301" s="248">
        <v>1983.7256</v>
      </c>
      <c r="E2301" s="248">
        <v>2046.4076</v>
      </c>
      <c r="F2301" s="248">
        <v>2082.6902</v>
      </c>
      <c r="G2301" s="248">
        <v>2112.4386</v>
      </c>
      <c r="H2301" s="248">
        <v>2165.9283999999898</v>
      </c>
      <c r="I2301"/>
      <c r="J2301"/>
      <c r="K2301"/>
      <c r="L2301"/>
      <c r="M2301"/>
    </row>
    <row r="2302" spans="3:13" hidden="1" outlineLevel="1" x14ac:dyDescent="0.2">
      <c r="C2302" s="139">
        <v>2076</v>
      </c>
      <c r="D2302" s="248">
        <v>1984.7402999999999</v>
      </c>
      <c r="E2302" s="248">
        <v>2047.3938000000001</v>
      </c>
      <c r="F2302" s="248">
        <v>2083.6939000000002</v>
      </c>
      <c r="G2302" s="248">
        <v>2113.4567000000002</v>
      </c>
      <c r="H2302" s="248">
        <v>2166.9721999999902</v>
      </c>
      <c r="I2302"/>
      <c r="J2302"/>
      <c r="K2302"/>
      <c r="L2302"/>
      <c r="M2302"/>
    </row>
    <row r="2303" spans="3:13" hidden="1" outlineLevel="1" x14ac:dyDescent="0.2">
      <c r="C2303" s="139">
        <v>2077</v>
      </c>
      <c r="D2303" s="248">
        <v>1985.7550000000001</v>
      </c>
      <c r="E2303" s="248">
        <v>2048.38</v>
      </c>
      <c r="F2303" s="248">
        <v>2084.6976</v>
      </c>
      <c r="G2303" s="248">
        <v>2114.4748</v>
      </c>
      <c r="H2303" s="248">
        <v>2168.0159999999901</v>
      </c>
      <c r="I2303"/>
      <c r="J2303"/>
      <c r="K2303"/>
      <c r="L2303"/>
      <c r="M2303"/>
    </row>
    <row r="2304" spans="3:13" hidden="1" outlineLevel="1" x14ac:dyDescent="0.2">
      <c r="C2304" s="139">
        <v>2078</v>
      </c>
      <c r="D2304" s="248">
        <v>1986.7697000000001</v>
      </c>
      <c r="E2304" s="248">
        <v>2049.3661999999999</v>
      </c>
      <c r="F2304" s="248">
        <v>2085.7013000000002</v>
      </c>
      <c r="G2304" s="248">
        <v>2115.4929000000002</v>
      </c>
      <c r="H2304" s="248">
        <v>2169.05979999999</v>
      </c>
      <c r="I2304"/>
      <c r="J2304"/>
      <c r="K2304"/>
      <c r="L2304"/>
      <c r="M2304"/>
    </row>
    <row r="2305" spans="3:13" hidden="1" outlineLevel="1" x14ac:dyDescent="0.2">
      <c r="C2305" s="139">
        <v>2079</v>
      </c>
      <c r="D2305" s="248">
        <v>1987.7844</v>
      </c>
      <c r="E2305" s="248">
        <v>2050.3524000000002</v>
      </c>
      <c r="F2305" s="248">
        <v>2086.7049999999999</v>
      </c>
      <c r="G2305" s="248">
        <v>2116.511</v>
      </c>
      <c r="H2305" s="248">
        <v>2170.1035999999899</v>
      </c>
      <c r="I2305"/>
      <c r="J2305"/>
      <c r="K2305"/>
      <c r="L2305"/>
      <c r="M2305"/>
    </row>
    <row r="2306" spans="3:13" hidden="1" outlineLevel="1" x14ac:dyDescent="0.2">
      <c r="C2306" s="139">
        <v>2080</v>
      </c>
      <c r="D2306" s="248">
        <v>1988.7991</v>
      </c>
      <c r="E2306" s="248">
        <v>2051.3386</v>
      </c>
      <c r="F2306" s="248">
        <v>2087.7087000000001</v>
      </c>
      <c r="G2306" s="248">
        <v>2117.5291000000002</v>
      </c>
      <c r="H2306" s="248">
        <v>2171.1473999999898</v>
      </c>
      <c r="I2306"/>
      <c r="J2306"/>
      <c r="K2306"/>
      <c r="L2306"/>
      <c r="M2306"/>
    </row>
    <row r="2307" spans="3:13" hidden="1" outlineLevel="1" x14ac:dyDescent="0.2">
      <c r="C2307" s="139">
        <v>2081</v>
      </c>
      <c r="D2307" s="248">
        <v>1989.8137999999999</v>
      </c>
      <c r="E2307" s="248">
        <v>2052.3247999999999</v>
      </c>
      <c r="F2307" s="248">
        <v>2088.7123999999999</v>
      </c>
      <c r="G2307" s="248">
        <v>2118.5472</v>
      </c>
      <c r="H2307" s="248">
        <v>2172.1911999999902</v>
      </c>
      <c r="I2307"/>
      <c r="J2307"/>
      <c r="K2307"/>
      <c r="L2307"/>
      <c r="M2307"/>
    </row>
    <row r="2308" spans="3:13" hidden="1" outlineLevel="1" x14ac:dyDescent="0.2">
      <c r="C2308" s="139">
        <v>2082</v>
      </c>
      <c r="D2308" s="248">
        <v>1990.8285000000001</v>
      </c>
      <c r="E2308" s="248">
        <v>2053.3110000000001</v>
      </c>
      <c r="F2308" s="248">
        <v>2089.7161000000001</v>
      </c>
      <c r="G2308" s="248">
        <v>2119.5653000000002</v>
      </c>
      <c r="H2308" s="248">
        <v>2173.2349999999901</v>
      </c>
      <c r="I2308"/>
      <c r="J2308"/>
      <c r="K2308"/>
      <c r="L2308"/>
      <c r="M2308"/>
    </row>
    <row r="2309" spans="3:13" hidden="1" outlineLevel="1" x14ac:dyDescent="0.2">
      <c r="C2309" s="139">
        <v>2083</v>
      </c>
      <c r="D2309" s="248">
        <v>1991.8432</v>
      </c>
      <c r="E2309" s="248">
        <v>2054.2972</v>
      </c>
      <c r="F2309" s="248">
        <v>2090.7197999999999</v>
      </c>
      <c r="G2309" s="248">
        <v>2120.5834</v>
      </c>
      <c r="H2309" s="248">
        <v>2174.27879999999</v>
      </c>
      <c r="I2309"/>
      <c r="J2309"/>
      <c r="K2309"/>
      <c r="L2309"/>
      <c r="M2309"/>
    </row>
    <row r="2310" spans="3:13" hidden="1" outlineLevel="1" x14ac:dyDescent="0.2">
      <c r="C2310" s="139">
        <v>2084</v>
      </c>
      <c r="D2310" s="248">
        <v>1992.8579</v>
      </c>
      <c r="E2310" s="248">
        <v>2055.2833999999998</v>
      </c>
      <c r="F2310" s="248">
        <v>2091.7235000000001</v>
      </c>
      <c r="G2310" s="248">
        <v>2121.6015000000002</v>
      </c>
      <c r="H2310" s="248">
        <v>2175.32259999999</v>
      </c>
      <c r="I2310"/>
      <c r="J2310"/>
      <c r="K2310"/>
      <c r="L2310"/>
      <c r="M2310"/>
    </row>
    <row r="2311" spans="3:13" hidden="1" outlineLevel="1" x14ac:dyDescent="0.2">
      <c r="C2311" s="139">
        <v>2085</v>
      </c>
      <c r="D2311" s="248">
        <v>1993.8725999999999</v>
      </c>
      <c r="E2311" s="248">
        <v>2056.2696000000001</v>
      </c>
      <c r="F2311" s="248">
        <v>2092.7271999999998</v>
      </c>
      <c r="G2311" s="248">
        <v>2122.6196</v>
      </c>
      <c r="H2311" s="248">
        <v>2176.3663999999899</v>
      </c>
      <c r="I2311"/>
      <c r="J2311"/>
      <c r="K2311"/>
      <c r="L2311"/>
      <c r="M2311"/>
    </row>
    <row r="2312" spans="3:13" hidden="1" outlineLevel="1" x14ac:dyDescent="0.2">
      <c r="C2312" s="139">
        <v>2086</v>
      </c>
      <c r="D2312" s="248">
        <v>1994.8873000000001</v>
      </c>
      <c r="E2312" s="248">
        <v>2057.2557999999999</v>
      </c>
      <c r="F2312" s="248">
        <v>2093.7309</v>
      </c>
      <c r="G2312" s="248">
        <v>2123.6377000000002</v>
      </c>
      <c r="H2312" s="248">
        <v>2177.4101999999898</v>
      </c>
      <c r="I2312"/>
      <c r="J2312"/>
      <c r="K2312"/>
      <c r="L2312"/>
      <c r="M2312"/>
    </row>
    <row r="2313" spans="3:13" hidden="1" outlineLevel="1" x14ac:dyDescent="0.2">
      <c r="C2313" s="139">
        <v>2087</v>
      </c>
      <c r="D2313" s="248">
        <v>1995.902</v>
      </c>
      <c r="E2313" s="248">
        <v>2058.2420000000002</v>
      </c>
      <c r="F2313" s="248">
        <v>2094.7345999999998</v>
      </c>
      <c r="G2313" s="248">
        <v>2124.6558</v>
      </c>
      <c r="H2313" s="248">
        <v>2178.4539999999902</v>
      </c>
      <c r="I2313"/>
      <c r="J2313"/>
      <c r="K2313"/>
      <c r="L2313"/>
      <c r="M2313"/>
    </row>
    <row r="2314" spans="3:13" hidden="1" outlineLevel="1" x14ac:dyDescent="0.2">
      <c r="C2314" s="139">
        <v>2088</v>
      </c>
      <c r="D2314" s="248">
        <v>1996.9167</v>
      </c>
      <c r="E2314" s="248">
        <v>2059.22820000001</v>
      </c>
      <c r="F2314" s="248">
        <v>2095.7383</v>
      </c>
      <c r="G2314" s="248">
        <v>2125.6738999999998</v>
      </c>
      <c r="H2314" s="248">
        <v>2179.4977999999901</v>
      </c>
      <c r="I2314"/>
      <c r="J2314"/>
      <c r="K2314"/>
      <c r="L2314"/>
      <c r="M2314"/>
    </row>
    <row r="2315" spans="3:13" hidden="1" outlineLevel="1" x14ac:dyDescent="0.2">
      <c r="C2315" s="139">
        <v>2089</v>
      </c>
      <c r="D2315" s="248">
        <v>1997.9313999999999</v>
      </c>
      <c r="E2315" s="248">
        <v>2060.2143999999998</v>
      </c>
      <c r="F2315" s="248">
        <v>2096.7420000000002</v>
      </c>
      <c r="G2315" s="248">
        <v>2126.692</v>
      </c>
      <c r="H2315" s="248">
        <v>2180.54159999999</v>
      </c>
      <c r="I2315"/>
      <c r="J2315"/>
      <c r="K2315"/>
      <c r="L2315"/>
      <c r="M2315"/>
    </row>
    <row r="2316" spans="3:13" hidden="1" outlineLevel="1" x14ac:dyDescent="0.2">
      <c r="C2316" s="139">
        <v>2090</v>
      </c>
      <c r="D2316" s="248">
        <v>1998.9460999999999</v>
      </c>
      <c r="E2316" s="248">
        <v>2061.2006000000101</v>
      </c>
      <c r="F2316" s="248">
        <v>2097.7456999999999</v>
      </c>
      <c r="G2316" s="248">
        <v>2127.7100999999998</v>
      </c>
      <c r="H2316" s="248">
        <v>2181.5853999999899</v>
      </c>
      <c r="I2316"/>
      <c r="J2316"/>
      <c r="K2316"/>
      <c r="L2316"/>
      <c r="M2316"/>
    </row>
    <row r="2317" spans="3:13" hidden="1" outlineLevel="1" x14ac:dyDescent="0.2">
      <c r="C2317" s="139">
        <v>2091</v>
      </c>
      <c r="D2317" s="248">
        <v>1999.9608000000001</v>
      </c>
      <c r="E2317" s="248">
        <v>2062.1867999999999</v>
      </c>
      <c r="F2317" s="248">
        <v>2098.7494000000002</v>
      </c>
      <c r="G2317" s="248">
        <v>2128.7282</v>
      </c>
      <c r="H2317" s="248">
        <v>2182.6291999999899</v>
      </c>
      <c r="I2317"/>
      <c r="J2317"/>
      <c r="K2317"/>
      <c r="L2317"/>
      <c r="M2317"/>
    </row>
    <row r="2318" spans="3:13" hidden="1" outlineLevel="1" x14ac:dyDescent="0.2">
      <c r="C2318" s="139">
        <v>2092</v>
      </c>
      <c r="D2318" s="248">
        <v>2000.9755</v>
      </c>
      <c r="E2318" s="248">
        <v>2063.1730000000098</v>
      </c>
      <c r="F2318" s="248">
        <v>2099.7530999999999</v>
      </c>
      <c r="G2318" s="248">
        <v>2129.7462999999998</v>
      </c>
      <c r="H2318" s="248">
        <v>2183.6729999999902</v>
      </c>
      <c r="I2318"/>
      <c r="J2318"/>
      <c r="K2318"/>
      <c r="L2318"/>
      <c r="M2318"/>
    </row>
    <row r="2319" spans="3:13" hidden="1" outlineLevel="1" x14ac:dyDescent="0.2">
      <c r="C2319" s="139">
        <v>2093</v>
      </c>
      <c r="D2319" s="248">
        <v>2001.99019999999</v>
      </c>
      <c r="E2319" s="248">
        <v>2064.1592000000101</v>
      </c>
      <c r="F2319" s="248">
        <v>2100.7568000000001</v>
      </c>
      <c r="G2319" s="248">
        <v>2130.7644</v>
      </c>
      <c r="H2319" s="248">
        <v>2184.7167999999901</v>
      </c>
      <c r="I2319"/>
      <c r="J2319"/>
      <c r="K2319"/>
      <c r="L2319"/>
      <c r="M2319"/>
    </row>
    <row r="2320" spans="3:13" hidden="1" outlineLevel="1" x14ac:dyDescent="0.2">
      <c r="C2320" s="139">
        <v>2094</v>
      </c>
      <c r="D2320" s="248">
        <v>2003.0048999999899</v>
      </c>
      <c r="E2320" s="248">
        <v>2065.1454000000099</v>
      </c>
      <c r="F2320" s="248">
        <v>2101.7604999999999</v>
      </c>
      <c r="G2320" s="248">
        <v>2131.7824999999998</v>
      </c>
      <c r="H2320" s="248">
        <v>2185.7605999999901</v>
      </c>
      <c r="I2320"/>
      <c r="J2320"/>
      <c r="K2320"/>
      <c r="L2320"/>
      <c r="M2320"/>
    </row>
    <row r="2321" spans="3:13" hidden="1" outlineLevel="1" x14ac:dyDescent="0.2">
      <c r="C2321" s="139">
        <v>2095</v>
      </c>
      <c r="D2321" s="248">
        <v>2004.0195999999901</v>
      </c>
      <c r="E2321" s="248">
        <v>2066.1316000000102</v>
      </c>
      <c r="F2321" s="248">
        <v>2102.7642000000001</v>
      </c>
      <c r="G2321" s="248">
        <v>2132.8006</v>
      </c>
      <c r="H2321" s="248">
        <v>2186.80439999999</v>
      </c>
      <c r="I2321"/>
      <c r="J2321"/>
      <c r="K2321"/>
      <c r="L2321"/>
      <c r="M2321"/>
    </row>
    <row r="2322" spans="3:13" hidden="1" outlineLevel="1" x14ac:dyDescent="0.2">
      <c r="C2322" s="139">
        <v>2096</v>
      </c>
      <c r="D2322" s="248">
        <v>2005.0343</v>
      </c>
      <c r="E2322" s="248">
        <v>2067.11780000001</v>
      </c>
      <c r="F2322" s="248">
        <v>2103.7678999999998</v>
      </c>
      <c r="G2322" s="248">
        <v>2133.8186999999998</v>
      </c>
      <c r="H2322" s="248">
        <v>2187.8481999999899</v>
      </c>
      <c r="I2322"/>
      <c r="J2322"/>
      <c r="K2322"/>
      <c r="L2322"/>
      <c r="M2322"/>
    </row>
    <row r="2323" spans="3:13" hidden="1" outlineLevel="1" x14ac:dyDescent="0.2">
      <c r="C2323" s="139">
        <v>2097</v>
      </c>
      <c r="D2323" s="248">
        <v>2006.04899999999</v>
      </c>
      <c r="E2323" s="248">
        <v>2068.1040000000098</v>
      </c>
      <c r="F2323" s="248">
        <v>2104.7716</v>
      </c>
      <c r="G2323" s="248">
        <v>2134.8368</v>
      </c>
      <c r="H2323" s="248">
        <v>2188.8919999999898</v>
      </c>
      <c r="I2323"/>
      <c r="J2323"/>
      <c r="K2323"/>
      <c r="L2323"/>
      <c r="M2323"/>
    </row>
    <row r="2324" spans="3:13" hidden="1" outlineLevel="1" x14ac:dyDescent="0.2">
      <c r="C2324" s="139">
        <v>2098</v>
      </c>
      <c r="D2324" s="248">
        <v>2007.0636999999899</v>
      </c>
      <c r="E2324" s="248">
        <v>2069.0902000000101</v>
      </c>
      <c r="F2324" s="248">
        <v>2105.7752999999998</v>
      </c>
      <c r="G2324" s="248">
        <v>2135.8548999999998</v>
      </c>
      <c r="H2324" s="248">
        <v>2189.9357999999902</v>
      </c>
      <c r="I2324"/>
      <c r="J2324"/>
      <c r="K2324"/>
      <c r="L2324"/>
      <c r="M2324"/>
    </row>
    <row r="2325" spans="3:13" hidden="1" outlineLevel="1" x14ac:dyDescent="0.2">
      <c r="C2325" s="139">
        <v>2099</v>
      </c>
      <c r="D2325" s="248">
        <v>2008.0783999999901</v>
      </c>
      <c r="E2325" s="248">
        <v>2070.0763999999999</v>
      </c>
      <c r="F2325" s="248">
        <v>2106.779</v>
      </c>
      <c r="G2325" s="248">
        <v>2136.873</v>
      </c>
      <c r="H2325" s="248">
        <v>2190.9795999999901</v>
      </c>
      <c r="I2325"/>
      <c r="J2325"/>
      <c r="K2325"/>
      <c r="L2325"/>
      <c r="M2325"/>
    </row>
    <row r="2326" spans="3:13" hidden="1" outlineLevel="1" x14ac:dyDescent="0.2">
      <c r="C2326" s="139">
        <v>2100</v>
      </c>
      <c r="D2326" s="248">
        <v>2009.0931</v>
      </c>
      <c r="E2326" s="248">
        <v>2071.0626000000102</v>
      </c>
      <c r="F2326" s="248">
        <v>2107.7827000000002</v>
      </c>
      <c r="G2326" s="248">
        <v>2137.8910999999998</v>
      </c>
      <c r="H2326" s="248">
        <v>2192.02339999999</v>
      </c>
      <c r="I2326"/>
      <c r="J2326"/>
      <c r="K2326"/>
      <c r="L2326"/>
      <c r="M2326"/>
    </row>
    <row r="2327" spans="3:13" hidden="1" outlineLevel="1" x14ac:dyDescent="0.2">
      <c r="C2327" s="139">
        <v>2101</v>
      </c>
      <c r="D2327" s="248">
        <v>2010.10779999999</v>
      </c>
      <c r="E2327" s="248">
        <v>2072.04880000001</v>
      </c>
      <c r="F2327" s="248">
        <v>2108.7864</v>
      </c>
      <c r="G2327" s="248">
        <v>2138.9092000000001</v>
      </c>
      <c r="H2327" s="248">
        <v>2193.06719999999</v>
      </c>
      <c r="I2327"/>
      <c r="J2327"/>
      <c r="K2327"/>
      <c r="L2327"/>
      <c r="M2327"/>
    </row>
    <row r="2328" spans="3:13" hidden="1" outlineLevel="1" x14ac:dyDescent="0.2">
      <c r="C2328" s="139">
        <v>2102</v>
      </c>
      <c r="D2328" s="248">
        <v>2011.1224999999899</v>
      </c>
      <c r="E2328" s="248">
        <v>2073.0350000000099</v>
      </c>
      <c r="F2328" s="248">
        <v>2109.7901000000002</v>
      </c>
      <c r="G2328" s="248">
        <v>2139.9272999999998</v>
      </c>
      <c r="H2328" s="248">
        <v>2194.1109999999899</v>
      </c>
      <c r="I2328"/>
      <c r="J2328"/>
      <c r="K2328"/>
      <c r="L2328"/>
      <c r="M2328"/>
    </row>
    <row r="2329" spans="3:13" hidden="1" outlineLevel="1" x14ac:dyDescent="0.2">
      <c r="C2329" s="139">
        <v>2103</v>
      </c>
      <c r="D2329" s="248">
        <v>2012.1371999999899</v>
      </c>
      <c r="E2329" s="248">
        <v>2074.0212000000101</v>
      </c>
      <c r="F2329" s="248">
        <v>2110.7937999999999</v>
      </c>
      <c r="G2329" s="248">
        <v>2140.9454000000001</v>
      </c>
      <c r="H2329" s="248">
        <v>2195.1547999999898</v>
      </c>
      <c r="I2329"/>
      <c r="J2329"/>
      <c r="K2329"/>
      <c r="L2329"/>
      <c r="M2329"/>
    </row>
    <row r="2330" spans="3:13" hidden="1" outlineLevel="1" x14ac:dyDescent="0.2">
      <c r="C2330" s="139">
        <v>2104</v>
      </c>
      <c r="D2330" s="248">
        <v>2013.1518999999901</v>
      </c>
      <c r="E2330" s="248">
        <v>2075.00740000001</v>
      </c>
      <c r="F2330" s="248">
        <v>2111.7975000000001</v>
      </c>
      <c r="G2330" s="248">
        <v>2141.9634999999998</v>
      </c>
      <c r="H2330" s="248">
        <v>2196.1985999999902</v>
      </c>
      <c r="I2330"/>
      <c r="J2330"/>
      <c r="K2330"/>
      <c r="L2330"/>
      <c r="M2330"/>
    </row>
    <row r="2331" spans="3:13" hidden="1" outlineLevel="1" x14ac:dyDescent="0.2">
      <c r="C2331" s="139">
        <v>2105</v>
      </c>
      <c r="D2331" s="248">
        <v>2014.16659999999</v>
      </c>
      <c r="E2331" s="248">
        <v>2075.9936000000098</v>
      </c>
      <c r="F2331" s="248">
        <v>2112.8011999999999</v>
      </c>
      <c r="G2331" s="248">
        <v>2142.9816000000001</v>
      </c>
      <c r="H2331" s="248">
        <v>2197.2423999999901</v>
      </c>
      <c r="I2331"/>
      <c r="J2331"/>
      <c r="K2331"/>
      <c r="L2331"/>
      <c r="M2331"/>
    </row>
    <row r="2332" spans="3:13" hidden="1" outlineLevel="1" x14ac:dyDescent="0.2">
      <c r="C2332" s="139">
        <v>2106</v>
      </c>
      <c r="D2332" s="248">
        <v>2015.18129999999</v>
      </c>
      <c r="E2332" s="248">
        <v>2076.9798000000101</v>
      </c>
      <c r="F2332" s="248">
        <v>2113.8049000000001</v>
      </c>
      <c r="G2332" s="248">
        <v>2143.9996999999998</v>
      </c>
      <c r="H2332" s="248">
        <v>2198.28619999999</v>
      </c>
      <c r="I2332"/>
      <c r="J2332"/>
      <c r="K2332"/>
      <c r="L2332"/>
      <c r="M2332"/>
    </row>
    <row r="2333" spans="3:13" hidden="1" outlineLevel="1" x14ac:dyDescent="0.2">
      <c r="C2333" s="139">
        <v>2107</v>
      </c>
      <c r="D2333" s="248">
        <v>2016.1959999999899</v>
      </c>
      <c r="E2333" s="248">
        <v>2077.9660000000099</v>
      </c>
      <c r="F2333" s="248">
        <v>2114.8085999999998</v>
      </c>
      <c r="G2333" s="248">
        <v>2145.0178000000001</v>
      </c>
      <c r="H2333" s="248">
        <v>2199.3299999999899</v>
      </c>
      <c r="I2333"/>
      <c r="J2333"/>
      <c r="K2333"/>
      <c r="L2333"/>
      <c r="M2333"/>
    </row>
    <row r="2334" spans="3:13" hidden="1" outlineLevel="1" x14ac:dyDescent="0.2">
      <c r="C2334" s="139">
        <v>2108</v>
      </c>
      <c r="D2334" s="248">
        <v>2017.2106999999901</v>
      </c>
      <c r="E2334" s="248">
        <v>2078.9522000000102</v>
      </c>
      <c r="F2334" s="248">
        <v>2115.8123000000001</v>
      </c>
      <c r="G2334" s="248">
        <v>2146.0358999999999</v>
      </c>
      <c r="H2334" s="248">
        <v>2200.3737999999898</v>
      </c>
      <c r="I2334"/>
      <c r="J2334"/>
      <c r="K2334"/>
      <c r="L2334"/>
      <c r="M2334"/>
    </row>
    <row r="2335" spans="3:13" hidden="1" outlineLevel="1" x14ac:dyDescent="0.2">
      <c r="C2335" s="139">
        <v>2109</v>
      </c>
      <c r="D2335" s="248">
        <v>2018.22539999999</v>
      </c>
      <c r="E2335" s="248">
        <v>2079.93840000001</v>
      </c>
      <c r="F2335" s="248">
        <v>2116.8159999999998</v>
      </c>
      <c r="G2335" s="248">
        <v>2147.0540000000001</v>
      </c>
      <c r="H2335" s="248">
        <v>2201.4175999999902</v>
      </c>
      <c r="I2335"/>
      <c r="J2335"/>
      <c r="K2335"/>
      <c r="L2335"/>
      <c r="M2335"/>
    </row>
    <row r="2336" spans="3:13" hidden="1" outlineLevel="1" x14ac:dyDescent="0.2">
      <c r="C2336" s="139">
        <v>2110</v>
      </c>
      <c r="D2336" s="248">
        <v>2019.24009999999</v>
      </c>
      <c r="E2336" s="248">
        <v>2080.9246000000098</v>
      </c>
      <c r="F2336" s="248">
        <v>2117.8197</v>
      </c>
      <c r="G2336" s="248">
        <v>2148.0720999999999</v>
      </c>
      <c r="H2336" s="248">
        <v>2202.4613999999901</v>
      </c>
      <c r="I2336"/>
      <c r="J2336"/>
      <c r="K2336"/>
      <c r="L2336"/>
      <c r="M2336"/>
    </row>
    <row r="2337" spans="3:13" hidden="1" outlineLevel="1" x14ac:dyDescent="0.2">
      <c r="C2337" s="139">
        <v>2111</v>
      </c>
      <c r="D2337" s="248">
        <v>2020.2547999999899</v>
      </c>
      <c r="E2337" s="248">
        <v>2081.9108000000101</v>
      </c>
      <c r="F2337" s="248">
        <v>2118.8234000000002</v>
      </c>
      <c r="G2337" s="248">
        <v>2149.0902000000001</v>
      </c>
      <c r="H2337" s="248">
        <v>2203.5051999999901</v>
      </c>
      <c r="I2337"/>
      <c r="J2337"/>
      <c r="K2337"/>
      <c r="L2337"/>
      <c r="M2337"/>
    </row>
    <row r="2338" spans="3:13" hidden="1" outlineLevel="1" x14ac:dyDescent="0.2">
      <c r="C2338" s="139">
        <v>2112</v>
      </c>
      <c r="D2338" s="248">
        <v>2021.2694999999901</v>
      </c>
      <c r="E2338" s="248">
        <v>2082.8970000000099</v>
      </c>
      <c r="F2338" s="248">
        <v>2119.8271</v>
      </c>
      <c r="G2338" s="248">
        <v>2150.1082999999999</v>
      </c>
      <c r="H2338" s="248">
        <v>2204.54899999999</v>
      </c>
      <c r="I2338"/>
      <c r="J2338"/>
      <c r="K2338"/>
      <c r="L2338"/>
      <c r="M2338"/>
    </row>
    <row r="2339" spans="3:13" hidden="1" outlineLevel="1" x14ac:dyDescent="0.2">
      <c r="C2339" s="139">
        <v>2113</v>
      </c>
      <c r="D2339" s="248">
        <v>2022.2841999999901</v>
      </c>
      <c r="E2339" s="248">
        <v>2083.8832000000102</v>
      </c>
      <c r="F2339" s="248">
        <v>2120.8308000000002</v>
      </c>
      <c r="G2339" s="248">
        <v>2151.1264000000001</v>
      </c>
      <c r="H2339" s="248">
        <v>2205.5927999999899</v>
      </c>
      <c r="I2339"/>
      <c r="J2339"/>
      <c r="K2339"/>
      <c r="L2339"/>
      <c r="M2339"/>
    </row>
    <row r="2340" spans="3:13" hidden="1" outlineLevel="1" x14ac:dyDescent="0.2">
      <c r="C2340" s="139">
        <v>2114</v>
      </c>
      <c r="D2340" s="248">
        <v>2023.29889999999</v>
      </c>
      <c r="E2340" s="248">
        <v>2084.86940000001</v>
      </c>
      <c r="F2340" s="248">
        <v>2121.8344999999999</v>
      </c>
      <c r="G2340" s="248">
        <v>2152.1444999999999</v>
      </c>
      <c r="H2340" s="248">
        <v>2206.6365999999898</v>
      </c>
      <c r="I2340"/>
      <c r="J2340"/>
      <c r="K2340"/>
      <c r="L2340"/>
      <c r="M2340"/>
    </row>
    <row r="2341" spans="3:13" hidden="1" outlineLevel="1" x14ac:dyDescent="0.2">
      <c r="C2341" s="139">
        <v>2115</v>
      </c>
      <c r="D2341" s="248">
        <v>2024.3135999999899</v>
      </c>
      <c r="E2341" s="248">
        <v>2085.8556000000099</v>
      </c>
      <c r="F2341" s="248">
        <v>2122.8382000000001</v>
      </c>
      <c r="G2341" s="248">
        <v>2153.1626000000001</v>
      </c>
      <c r="H2341" s="248">
        <v>2207.6803999999902</v>
      </c>
      <c r="I2341"/>
      <c r="J2341"/>
      <c r="K2341"/>
      <c r="L2341"/>
      <c r="M2341"/>
    </row>
    <row r="2342" spans="3:13" hidden="1" outlineLevel="1" x14ac:dyDescent="0.2">
      <c r="C2342" s="139">
        <v>2116</v>
      </c>
      <c r="D2342" s="248">
        <v>2025.3282999999899</v>
      </c>
      <c r="E2342" s="248">
        <v>2086.8418000000102</v>
      </c>
      <c r="F2342" s="248">
        <v>2123.8418999999999</v>
      </c>
      <c r="G2342" s="248">
        <v>2154.1806999999999</v>
      </c>
      <c r="H2342" s="248">
        <v>2208.7241999999901</v>
      </c>
      <c r="I2342"/>
      <c r="J2342"/>
      <c r="K2342"/>
      <c r="L2342"/>
      <c r="M2342"/>
    </row>
    <row r="2343" spans="3:13" hidden="1" outlineLevel="1" x14ac:dyDescent="0.2">
      <c r="C2343" s="139">
        <v>2117</v>
      </c>
      <c r="D2343" s="248">
        <v>2026.3429999999901</v>
      </c>
      <c r="E2343" s="248">
        <v>2087.82800000001</v>
      </c>
      <c r="F2343" s="248">
        <v>2124.8456000000001</v>
      </c>
      <c r="G2343" s="248">
        <v>2155.1988000000001</v>
      </c>
      <c r="H2343" s="248">
        <v>2209.76799999999</v>
      </c>
      <c r="I2343"/>
      <c r="J2343"/>
      <c r="K2343"/>
      <c r="L2343"/>
      <c r="M2343"/>
    </row>
    <row r="2344" spans="3:13" hidden="1" outlineLevel="1" x14ac:dyDescent="0.2">
      <c r="C2344" s="139">
        <v>2118</v>
      </c>
      <c r="D2344" s="248">
        <v>2027.35769999999</v>
      </c>
      <c r="E2344" s="248">
        <v>2088.8142000000098</v>
      </c>
      <c r="F2344" s="248">
        <v>2125.8492999999999</v>
      </c>
      <c r="G2344" s="248">
        <v>2156.2168999999999</v>
      </c>
      <c r="H2344" s="248">
        <v>2210.8117999999899</v>
      </c>
      <c r="I2344"/>
      <c r="J2344"/>
      <c r="K2344"/>
      <c r="L2344"/>
      <c r="M2344"/>
    </row>
    <row r="2345" spans="3:13" hidden="1" outlineLevel="1" x14ac:dyDescent="0.2">
      <c r="C2345" s="139">
        <v>2119</v>
      </c>
      <c r="D2345" s="248">
        <v>2028.37239999999</v>
      </c>
      <c r="E2345" s="248">
        <v>2089.8004000000101</v>
      </c>
      <c r="F2345" s="248">
        <v>2126.8530000000001</v>
      </c>
      <c r="G2345" s="248">
        <v>2157.2350000000001</v>
      </c>
      <c r="H2345" s="248">
        <v>2211.8555999999899</v>
      </c>
      <c r="I2345"/>
      <c r="J2345"/>
      <c r="K2345"/>
      <c r="L2345"/>
      <c r="M2345"/>
    </row>
    <row r="2346" spans="3:13" hidden="1" outlineLevel="1" x14ac:dyDescent="0.2">
      <c r="C2346" s="139">
        <v>2120</v>
      </c>
      <c r="D2346" s="248">
        <v>2029.3870999999899</v>
      </c>
      <c r="E2346" s="248">
        <v>2090.7866000000099</v>
      </c>
      <c r="F2346" s="248">
        <v>2127.8566999999998</v>
      </c>
      <c r="G2346" s="248">
        <v>2158.2530999999999</v>
      </c>
      <c r="H2346" s="248">
        <v>2212.8993999999898</v>
      </c>
      <c r="I2346"/>
      <c r="J2346"/>
      <c r="K2346"/>
      <c r="L2346"/>
      <c r="M2346"/>
    </row>
    <row r="2347" spans="3:13" hidden="1" outlineLevel="1" x14ac:dyDescent="0.2">
      <c r="C2347" s="139">
        <v>2121</v>
      </c>
      <c r="D2347" s="248">
        <v>2030.4017999999901</v>
      </c>
      <c r="E2347" s="248">
        <v>2091.7728000000102</v>
      </c>
      <c r="F2347" s="248">
        <v>2128.8604</v>
      </c>
      <c r="G2347" s="248">
        <v>2159.2712000000001</v>
      </c>
      <c r="H2347" s="248">
        <v>2213.9431999999902</v>
      </c>
      <c r="I2347"/>
      <c r="J2347"/>
      <c r="K2347"/>
      <c r="L2347"/>
      <c r="M2347"/>
    </row>
    <row r="2348" spans="3:13" hidden="1" outlineLevel="1" x14ac:dyDescent="0.2">
      <c r="C2348" s="139">
        <v>2122</v>
      </c>
      <c r="D2348" s="248">
        <v>2031.41649999999</v>
      </c>
      <c r="E2348" s="248">
        <v>2092.75900000001</v>
      </c>
      <c r="F2348" s="248">
        <v>2129.8640999999998</v>
      </c>
      <c r="G2348" s="248">
        <v>2160.2892999999999</v>
      </c>
      <c r="H2348" s="248">
        <v>2214.9869999999901</v>
      </c>
      <c r="I2348"/>
      <c r="J2348"/>
      <c r="K2348"/>
      <c r="L2348"/>
      <c r="M2348"/>
    </row>
    <row r="2349" spans="3:13" hidden="1" outlineLevel="1" x14ac:dyDescent="0.2">
      <c r="C2349" s="139">
        <v>2123</v>
      </c>
      <c r="D2349" s="248">
        <v>2032.43119999999</v>
      </c>
      <c r="E2349" s="248">
        <v>2093.7452000000098</v>
      </c>
      <c r="F2349" s="248">
        <v>2130.8678</v>
      </c>
      <c r="G2349" s="248">
        <v>2161.3074000000001</v>
      </c>
      <c r="H2349" s="248">
        <v>2216.03079999999</v>
      </c>
      <c r="I2349"/>
      <c r="J2349"/>
      <c r="K2349"/>
      <c r="L2349"/>
      <c r="M2349"/>
    </row>
    <row r="2350" spans="3:13" hidden="1" outlineLevel="1" x14ac:dyDescent="0.2">
      <c r="C2350" s="139">
        <v>2124</v>
      </c>
      <c r="D2350" s="248">
        <v>2033.4458999999899</v>
      </c>
      <c r="E2350" s="248">
        <v>2094.7314000000101</v>
      </c>
      <c r="F2350" s="248">
        <v>2131.8715000000002</v>
      </c>
      <c r="G2350" s="248">
        <v>2162.3254999999999</v>
      </c>
      <c r="H2350" s="248">
        <v>2217.0745999999899</v>
      </c>
      <c r="I2350"/>
      <c r="J2350"/>
      <c r="K2350"/>
      <c r="L2350"/>
      <c r="M2350"/>
    </row>
    <row r="2351" spans="3:13" hidden="1" outlineLevel="1" x14ac:dyDescent="0.2">
      <c r="C2351" s="139">
        <v>2125</v>
      </c>
      <c r="D2351" s="248">
        <v>2034.4605999999901</v>
      </c>
      <c r="E2351" s="248">
        <v>2095.71760000001</v>
      </c>
      <c r="F2351" s="248">
        <v>2132.8751999999999</v>
      </c>
      <c r="G2351" s="248">
        <v>2163.3436000000002</v>
      </c>
      <c r="H2351" s="248">
        <v>2218.1183999999898</v>
      </c>
      <c r="I2351"/>
      <c r="J2351"/>
      <c r="K2351"/>
      <c r="L2351"/>
      <c r="M2351"/>
    </row>
    <row r="2352" spans="3:13" hidden="1" outlineLevel="1" x14ac:dyDescent="0.2">
      <c r="C2352" s="139">
        <v>2126</v>
      </c>
      <c r="D2352" s="248">
        <v>2035.4752999999901</v>
      </c>
      <c r="E2352" s="248">
        <v>2096.7038000000098</v>
      </c>
      <c r="F2352" s="248">
        <v>2133.8789000000002</v>
      </c>
      <c r="G2352" s="248">
        <v>2164.3616999999999</v>
      </c>
      <c r="H2352" s="248">
        <v>2219.1621999999902</v>
      </c>
      <c r="I2352"/>
      <c r="J2352"/>
      <c r="K2352"/>
      <c r="L2352"/>
      <c r="M2352"/>
    </row>
    <row r="2353" spans="3:13" hidden="1" outlineLevel="1" x14ac:dyDescent="0.2">
      <c r="C2353" s="139">
        <v>2127</v>
      </c>
      <c r="D2353" s="248">
        <v>2036.48999999999</v>
      </c>
      <c r="E2353" s="248">
        <v>2097.6900000000101</v>
      </c>
      <c r="F2353" s="248">
        <v>2134.8825999999999</v>
      </c>
      <c r="G2353" s="248">
        <v>2165.3798000000002</v>
      </c>
      <c r="H2353" s="248">
        <v>2220.2059999999901</v>
      </c>
      <c r="I2353"/>
      <c r="J2353"/>
      <c r="K2353"/>
      <c r="L2353"/>
      <c r="M2353"/>
    </row>
    <row r="2354" spans="3:13" hidden="1" outlineLevel="1" x14ac:dyDescent="0.2">
      <c r="C2354" s="139">
        <v>2128</v>
      </c>
      <c r="D2354" s="248">
        <v>2037.50469999999</v>
      </c>
      <c r="E2354" s="248">
        <v>2098.6762000000099</v>
      </c>
      <c r="F2354" s="248">
        <v>2135.8863000000001</v>
      </c>
      <c r="G2354" s="248">
        <v>2166.3978999999999</v>
      </c>
      <c r="H2354" s="248">
        <v>2221.24979999999</v>
      </c>
      <c r="I2354"/>
      <c r="J2354"/>
      <c r="K2354"/>
      <c r="L2354"/>
      <c r="M2354"/>
    </row>
    <row r="2355" spans="3:13" hidden="1" outlineLevel="1" x14ac:dyDescent="0.2">
      <c r="C2355" s="139">
        <v>2129</v>
      </c>
      <c r="D2355" s="248">
        <v>2038.5193999999899</v>
      </c>
      <c r="E2355" s="248">
        <v>2099.6624000000102</v>
      </c>
      <c r="F2355" s="248">
        <v>2136.89</v>
      </c>
      <c r="G2355" s="248">
        <v>2167.4160000000002</v>
      </c>
      <c r="H2355" s="248">
        <v>2222.29359999999</v>
      </c>
      <c r="I2355"/>
      <c r="J2355"/>
      <c r="K2355"/>
      <c r="L2355"/>
      <c r="M2355"/>
    </row>
    <row r="2356" spans="3:13" hidden="1" outlineLevel="1" x14ac:dyDescent="0.2">
      <c r="C2356" s="139">
        <v>2130</v>
      </c>
      <c r="D2356" s="248">
        <v>2039.5340999999901</v>
      </c>
      <c r="E2356" s="248">
        <v>2100.64860000001</v>
      </c>
      <c r="F2356" s="248">
        <v>2137.8937000000001</v>
      </c>
      <c r="G2356" s="248">
        <v>2168.4340999999999</v>
      </c>
      <c r="H2356" s="248">
        <v>2223.3373999999899</v>
      </c>
      <c r="I2356"/>
      <c r="J2356"/>
      <c r="K2356"/>
      <c r="L2356"/>
      <c r="M2356"/>
    </row>
    <row r="2357" spans="3:13" hidden="1" outlineLevel="1" x14ac:dyDescent="0.2">
      <c r="C2357" s="139">
        <v>2131</v>
      </c>
      <c r="D2357" s="248">
        <v>2040.54879999999</v>
      </c>
      <c r="E2357" s="248">
        <v>2101.6348000000098</v>
      </c>
      <c r="F2357" s="248">
        <v>2138.8973999999998</v>
      </c>
      <c r="G2357" s="248">
        <v>2169.4522000000002</v>
      </c>
      <c r="H2357" s="248">
        <v>2224.3811999999898</v>
      </c>
      <c r="I2357"/>
      <c r="J2357"/>
      <c r="K2357"/>
      <c r="L2357"/>
      <c r="M2357"/>
    </row>
    <row r="2358" spans="3:13" hidden="1" outlineLevel="1" x14ac:dyDescent="0.2">
      <c r="C2358" s="139">
        <v>2132</v>
      </c>
      <c r="D2358" s="248">
        <v>2041.56349999999</v>
      </c>
      <c r="E2358" s="248">
        <v>2102.6210000000101</v>
      </c>
      <c r="F2358" s="248">
        <v>2139.9011</v>
      </c>
      <c r="G2358" s="248">
        <v>2170.4703</v>
      </c>
      <c r="H2358" s="248">
        <v>2225.4249999999902</v>
      </c>
      <c r="I2358"/>
      <c r="J2358"/>
      <c r="K2358"/>
      <c r="L2358"/>
      <c r="M2358"/>
    </row>
    <row r="2359" spans="3:13" hidden="1" outlineLevel="1" x14ac:dyDescent="0.2">
      <c r="C2359" s="139">
        <v>2133</v>
      </c>
      <c r="D2359" s="248">
        <v>2042.5781999999899</v>
      </c>
      <c r="E2359" s="248">
        <v>2103.6072000000099</v>
      </c>
      <c r="F2359" s="248">
        <v>2140.9047999999998</v>
      </c>
      <c r="G2359" s="248">
        <v>2171.4884000000002</v>
      </c>
      <c r="H2359" s="248">
        <v>2226.4687999999901</v>
      </c>
      <c r="I2359"/>
      <c r="J2359"/>
      <c r="K2359"/>
      <c r="L2359"/>
      <c r="M2359"/>
    </row>
    <row r="2360" spans="3:13" hidden="1" outlineLevel="1" x14ac:dyDescent="0.2">
      <c r="C2360" s="139">
        <v>2134</v>
      </c>
      <c r="D2360" s="248">
        <v>2043.5928999999901</v>
      </c>
      <c r="E2360" s="248">
        <v>2104.5934000000102</v>
      </c>
      <c r="F2360" s="248">
        <v>2141.9085</v>
      </c>
      <c r="G2360" s="248">
        <v>2172.5065</v>
      </c>
      <c r="H2360" s="248">
        <v>2227.51259999999</v>
      </c>
      <c r="I2360"/>
      <c r="J2360"/>
      <c r="K2360"/>
      <c r="L2360"/>
      <c r="M2360"/>
    </row>
    <row r="2361" spans="3:13" hidden="1" outlineLevel="1" x14ac:dyDescent="0.2">
      <c r="C2361" s="139">
        <v>2135</v>
      </c>
      <c r="D2361" s="248">
        <v>2044.60759999999</v>
      </c>
      <c r="E2361" s="248">
        <v>2105.57960000001</v>
      </c>
      <c r="F2361" s="248">
        <v>2142.9122000000002</v>
      </c>
      <c r="G2361" s="248">
        <v>2173.5246000000002</v>
      </c>
      <c r="H2361" s="248">
        <v>2228.5563999999899</v>
      </c>
      <c r="I2361"/>
      <c r="J2361"/>
      <c r="K2361"/>
      <c r="L2361"/>
      <c r="M2361"/>
    </row>
    <row r="2362" spans="3:13" hidden="1" outlineLevel="1" x14ac:dyDescent="0.2">
      <c r="C2362" s="139">
        <v>2136</v>
      </c>
      <c r="D2362" s="248">
        <v>2045.62229999999</v>
      </c>
      <c r="E2362" s="248">
        <v>2106.5658000000099</v>
      </c>
      <c r="F2362" s="248">
        <v>2143.9159</v>
      </c>
      <c r="G2362" s="248">
        <v>2174.5427</v>
      </c>
      <c r="H2362" s="248">
        <v>2229.6001999999899</v>
      </c>
      <c r="I2362"/>
      <c r="J2362"/>
      <c r="K2362"/>
      <c r="L2362"/>
      <c r="M2362"/>
    </row>
    <row r="2363" spans="3:13" hidden="1" outlineLevel="1" x14ac:dyDescent="0.2">
      <c r="C2363" s="139">
        <v>2137</v>
      </c>
      <c r="D2363" s="248">
        <v>2046.6369999999899</v>
      </c>
      <c r="E2363" s="248">
        <v>2107.5520000000101</v>
      </c>
      <c r="F2363" s="248">
        <v>2144.9196000000002</v>
      </c>
      <c r="G2363" s="248">
        <v>2175.5608000000002</v>
      </c>
      <c r="H2363" s="248">
        <v>2230.6439999999898</v>
      </c>
      <c r="I2363"/>
      <c r="J2363"/>
      <c r="K2363"/>
      <c r="L2363"/>
      <c r="M2363"/>
    </row>
    <row r="2364" spans="3:13" hidden="1" outlineLevel="1" x14ac:dyDescent="0.2">
      <c r="C2364" s="139">
        <v>2138</v>
      </c>
      <c r="D2364" s="248">
        <v>2047.6516999999899</v>
      </c>
      <c r="E2364" s="248">
        <v>2108.53820000001</v>
      </c>
      <c r="F2364" s="248">
        <v>2145.9232999999999</v>
      </c>
      <c r="G2364" s="248">
        <v>2176.5789</v>
      </c>
      <c r="H2364" s="248">
        <v>2231.6877999999901</v>
      </c>
      <c r="I2364"/>
      <c r="J2364"/>
      <c r="K2364"/>
      <c r="L2364"/>
      <c r="M2364"/>
    </row>
    <row r="2365" spans="3:13" hidden="1" outlineLevel="1" x14ac:dyDescent="0.2">
      <c r="C2365" s="139">
        <v>2139</v>
      </c>
      <c r="D2365" s="248">
        <v>2048.6663999999901</v>
      </c>
      <c r="E2365" s="248">
        <v>2109.5244000000098</v>
      </c>
      <c r="F2365" s="248">
        <v>2146.9270000000001</v>
      </c>
      <c r="G2365" s="248">
        <v>2177.5970000000002</v>
      </c>
      <c r="H2365" s="248">
        <v>2232.7315999999901</v>
      </c>
      <c r="I2365"/>
      <c r="J2365"/>
      <c r="K2365"/>
      <c r="L2365"/>
      <c r="M2365"/>
    </row>
    <row r="2366" spans="3:13" hidden="1" outlineLevel="1" x14ac:dyDescent="0.2">
      <c r="C2366" s="139">
        <v>2140</v>
      </c>
      <c r="D2366" s="248">
        <v>2049.6810999999898</v>
      </c>
      <c r="E2366" s="248">
        <v>2110.5106000000101</v>
      </c>
      <c r="F2366" s="248">
        <v>2147.9306999999999</v>
      </c>
      <c r="G2366" s="248">
        <v>2178.6151</v>
      </c>
      <c r="H2366" s="248">
        <v>2233.77539999999</v>
      </c>
      <c r="I2366"/>
      <c r="J2366"/>
      <c r="K2366"/>
      <c r="L2366"/>
      <c r="M2366"/>
    </row>
    <row r="2367" spans="3:13" hidden="1" outlineLevel="1" x14ac:dyDescent="0.2">
      <c r="C2367" s="139">
        <v>2141</v>
      </c>
      <c r="D2367" s="248">
        <v>2050.69579999999</v>
      </c>
      <c r="E2367" s="248">
        <v>2111.4968000000099</v>
      </c>
      <c r="F2367" s="248">
        <v>2148.9344000000001</v>
      </c>
      <c r="G2367" s="248">
        <v>2179.6332000000002</v>
      </c>
      <c r="H2367" s="248">
        <v>2234.8191999999899</v>
      </c>
      <c r="I2367"/>
      <c r="J2367"/>
      <c r="K2367"/>
      <c r="L2367"/>
      <c r="M2367"/>
    </row>
    <row r="2368" spans="3:13" hidden="1" outlineLevel="1" x14ac:dyDescent="0.2">
      <c r="C2368" s="139">
        <v>2142</v>
      </c>
      <c r="D2368" s="248">
        <v>2051.7104999999901</v>
      </c>
      <c r="E2368" s="248">
        <v>2112.4830000000102</v>
      </c>
      <c r="F2368" s="248">
        <v>2149.9380999999998</v>
      </c>
      <c r="G2368" s="248">
        <v>2180.6513</v>
      </c>
      <c r="H2368" s="248">
        <v>2235.8629999999898</v>
      </c>
      <c r="I2368"/>
      <c r="J2368"/>
      <c r="K2368"/>
      <c r="L2368"/>
      <c r="M2368"/>
    </row>
    <row r="2369" spans="3:13" hidden="1" outlineLevel="1" x14ac:dyDescent="0.2">
      <c r="C2369" s="139">
        <v>2143</v>
      </c>
      <c r="D2369" s="248">
        <v>2052.7251999999899</v>
      </c>
      <c r="E2369" s="248">
        <v>2113.46920000001</v>
      </c>
      <c r="F2369" s="248">
        <v>2150.9418000000001</v>
      </c>
      <c r="G2369" s="248">
        <v>2181.6694000000002</v>
      </c>
      <c r="H2369" s="248">
        <v>2236.9067999999902</v>
      </c>
      <c r="I2369"/>
      <c r="J2369"/>
      <c r="K2369"/>
      <c r="L2369"/>
      <c r="M2369"/>
    </row>
    <row r="2370" spans="3:13" hidden="1" outlineLevel="1" x14ac:dyDescent="0.2">
      <c r="C2370" s="139">
        <v>2144</v>
      </c>
      <c r="D2370" s="248">
        <v>2053.73989999999</v>
      </c>
      <c r="E2370" s="248">
        <v>2114.4554000000098</v>
      </c>
      <c r="F2370" s="248">
        <v>2151.9454999999998</v>
      </c>
      <c r="G2370" s="248">
        <v>2182.6875</v>
      </c>
      <c r="H2370" s="248">
        <v>2237.9505999999901</v>
      </c>
      <c r="I2370"/>
      <c r="J2370"/>
      <c r="K2370"/>
      <c r="L2370"/>
      <c r="M2370"/>
    </row>
    <row r="2371" spans="3:13" hidden="1" outlineLevel="1" x14ac:dyDescent="0.2">
      <c r="C2371" s="139">
        <v>2145</v>
      </c>
      <c r="D2371" s="248">
        <v>2054.7545999999902</v>
      </c>
      <c r="E2371" s="248">
        <v>2115.4416000000101</v>
      </c>
      <c r="F2371" s="248">
        <v>2152.9492</v>
      </c>
      <c r="G2371" s="248">
        <v>2183.7055999999998</v>
      </c>
      <c r="H2371" s="248">
        <v>2238.99439999999</v>
      </c>
      <c r="I2371"/>
      <c r="J2371"/>
      <c r="K2371"/>
      <c r="L2371"/>
      <c r="M2371"/>
    </row>
    <row r="2372" spans="3:13" hidden="1" outlineLevel="1" x14ac:dyDescent="0.2">
      <c r="C2372" s="139">
        <v>2146</v>
      </c>
      <c r="D2372" s="248">
        <v>2055.7692999999899</v>
      </c>
      <c r="E2372" s="248">
        <v>2116.4278000000099</v>
      </c>
      <c r="F2372" s="248">
        <v>2153.9529000000002</v>
      </c>
      <c r="G2372" s="248">
        <v>2184.7237</v>
      </c>
      <c r="H2372" s="248">
        <v>2240.03819999999</v>
      </c>
      <c r="I2372"/>
      <c r="J2372"/>
      <c r="K2372"/>
      <c r="L2372"/>
      <c r="M2372"/>
    </row>
    <row r="2373" spans="3:13" hidden="1" outlineLevel="1" x14ac:dyDescent="0.2">
      <c r="C2373" s="139">
        <v>2147</v>
      </c>
      <c r="D2373" s="248">
        <v>2056.7839999999901</v>
      </c>
      <c r="E2373" s="248">
        <v>2117.4140000000102</v>
      </c>
      <c r="F2373" s="248">
        <v>2154.9566</v>
      </c>
      <c r="G2373" s="248">
        <v>2185.7417999999998</v>
      </c>
      <c r="H2373" s="248">
        <v>2241.0819999999899</v>
      </c>
      <c r="I2373"/>
      <c r="J2373"/>
      <c r="K2373"/>
      <c r="L2373"/>
      <c r="M2373"/>
    </row>
    <row r="2374" spans="3:13" hidden="1" outlineLevel="1" x14ac:dyDescent="0.2">
      <c r="C2374" s="139">
        <v>2148</v>
      </c>
      <c r="D2374" s="248">
        <v>2057.7986999999898</v>
      </c>
      <c r="E2374" s="248">
        <v>2118.40020000001</v>
      </c>
      <c r="F2374" s="248">
        <v>2155.9603000000002</v>
      </c>
      <c r="G2374" s="248">
        <v>2186.7599</v>
      </c>
      <c r="H2374" s="248">
        <v>2242.1257999999898</v>
      </c>
      <c r="I2374"/>
      <c r="J2374"/>
      <c r="K2374"/>
      <c r="L2374"/>
      <c r="M2374"/>
    </row>
    <row r="2375" spans="3:13" hidden="1" outlineLevel="1" x14ac:dyDescent="0.2">
      <c r="C2375" s="139">
        <v>2149</v>
      </c>
      <c r="D2375" s="248">
        <v>2058.81339999999</v>
      </c>
      <c r="E2375" s="248">
        <v>2119.3864000000099</v>
      </c>
      <c r="F2375" s="248">
        <v>2156.9639999999999</v>
      </c>
      <c r="G2375" s="248">
        <v>2187.7779999999998</v>
      </c>
      <c r="H2375" s="248">
        <v>2243.1695999999902</v>
      </c>
      <c r="I2375"/>
      <c r="J2375"/>
      <c r="K2375"/>
      <c r="L2375"/>
      <c r="M2375"/>
    </row>
    <row r="2376" spans="3:13" hidden="1" outlineLevel="1" x14ac:dyDescent="0.2">
      <c r="C2376" s="139">
        <v>2150</v>
      </c>
      <c r="D2376" s="248">
        <v>2059.8280999999902</v>
      </c>
      <c r="E2376" s="248">
        <v>2120.3726000000102</v>
      </c>
      <c r="F2376" s="248">
        <v>2157.9677000000001</v>
      </c>
      <c r="G2376" s="248">
        <v>2188.7961</v>
      </c>
      <c r="H2376" s="248">
        <v>2244.2133999999901</v>
      </c>
      <c r="I2376"/>
      <c r="J2376"/>
      <c r="K2376"/>
      <c r="L2376"/>
      <c r="M2376"/>
    </row>
    <row r="2377" spans="3:13" hidden="1" outlineLevel="1" x14ac:dyDescent="0.2">
      <c r="C2377" s="139">
        <v>2151</v>
      </c>
      <c r="D2377" s="248">
        <v>2060.8427999999899</v>
      </c>
      <c r="E2377" s="248">
        <v>2121.35880000001</v>
      </c>
      <c r="F2377" s="248">
        <v>2158.9713999999999</v>
      </c>
      <c r="G2377" s="248">
        <v>2189.8141999999998</v>
      </c>
      <c r="H2377" s="248">
        <v>2245.25719999999</v>
      </c>
      <c r="I2377"/>
      <c r="J2377"/>
      <c r="K2377"/>
      <c r="L2377"/>
      <c r="M2377"/>
    </row>
    <row r="2378" spans="3:13" hidden="1" outlineLevel="1" x14ac:dyDescent="0.2">
      <c r="C2378" s="139">
        <v>2152</v>
      </c>
      <c r="D2378" s="248">
        <v>2061.8574999999901</v>
      </c>
      <c r="E2378" s="248">
        <v>2122.3450000000098</v>
      </c>
      <c r="F2378" s="248">
        <v>2159.9751000000001</v>
      </c>
      <c r="G2378" s="248">
        <v>2190.8323</v>
      </c>
      <c r="H2378" s="248">
        <v>2246.3009999999899</v>
      </c>
      <c r="I2378"/>
      <c r="J2378"/>
      <c r="K2378"/>
      <c r="L2378"/>
      <c r="M2378"/>
    </row>
    <row r="2379" spans="3:13" hidden="1" outlineLevel="1" x14ac:dyDescent="0.2">
      <c r="C2379" s="139">
        <v>2153</v>
      </c>
      <c r="D2379" s="248">
        <v>2062.8721999999898</v>
      </c>
      <c r="E2379" s="248">
        <v>2123.3312000000101</v>
      </c>
      <c r="F2379" s="248">
        <v>2160.9787999999999</v>
      </c>
      <c r="G2379" s="248">
        <v>2191.8503999999998</v>
      </c>
      <c r="H2379" s="248">
        <v>2247.3447999999898</v>
      </c>
      <c r="I2379"/>
      <c r="J2379"/>
      <c r="K2379"/>
      <c r="L2379"/>
      <c r="M2379"/>
    </row>
    <row r="2380" spans="3:13" hidden="1" outlineLevel="1" x14ac:dyDescent="0.2">
      <c r="C2380" s="139">
        <v>2154</v>
      </c>
      <c r="D2380" s="248">
        <v>2063.88689999999</v>
      </c>
      <c r="E2380" s="248">
        <v>2124.3174000000099</v>
      </c>
      <c r="F2380" s="248">
        <v>2161.9825000000001</v>
      </c>
      <c r="G2380" s="248">
        <v>2192.8685</v>
      </c>
      <c r="H2380" s="248">
        <v>2248.3885999999902</v>
      </c>
      <c r="I2380"/>
      <c r="J2380"/>
      <c r="K2380"/>
      <c r="L2380"/>
      <c r="M2380"/>
    </row>
    <row r="2381" spans="3:13" hidden="1" outlineLevel="1" x14ac:dyDescent="0.2">
      <c r="C2381" s="139">
        <v>2155</v>
      </c>
      <c r="D2381" s="248">
        <v>2064.9015999999901</v>
      </c>
      <c r="E2381" s="248">
        <v>2125.3036000000102</v>
      </c>
      <c r="F2381" s="248">
        <v>2162.9861999999998</v>
      </c>
      <c r="G2381" s="248">
        <v>2193.8865999999998</v>
      </c>
      <c r="H2381" s="248">
        <v>2249.4323999999901</v>
      </c>
      <c r="I2381"/>
      <c r="J2381"/>
      <c r="K2381"/>
      <c r="L2381"/>
      <c r="M2381"/>
    </row>
    <row r="2382" spans="3:13" hidden="1" outlineLevel="1" x14ac:dyDescent="0.2">
      <c r="C2382" s="139">
        <v>2156</v>
      </c>
      <c r="D2382" s="248">
        <v>2065.9162999999899</v>
      </c>
      <c r="E2382" s="248">
        <v>2126.28980000001</v>
      </c>
      <c r="F2382" s="248">
        <v>2163.9899</v>
      </c>
      <c r="G2382" s="248">
        <v>2194.9047</v>
      </c>
      <c r="H2382" s="248">
        <v>2250.4761999999901</v>
      </c>
      <c r="I2382"/>
      <c r="J2382"/>
      <c r="K2382"/>
      <c r="L2382"/>
      <c r="M2382"/>
    </row>
    <row r="2383" spans="3:13" hidden="1" outlineLevel="1" x14ac:dyDescent="0.2">
      <c r="C2383" s="139">
        <v>2157</v>
      </c>
      <c r="D2383" s="248">
        <v>2066.93099999999</v>
      </c>
      <c r="E2383" s="248">
        <v>2127.2760000000098</v>
      </c>
      <c r="F2383" s="248">
        <v>2164.9935999999998</v>
      </c>
      <c r="G2383" s="248">
        <v>2195.9227999999998</v>
      </c>
      <c r="H2383" s="248">
        <v>2251.51999999999</v>
      </c>
      <c r="I2383"/>
      <c r="J2383"/>
      <c r="K2383"/>
      <c r="L2383"/>
      <c r="M2383"/>
    </row>
    <row r="2384" spans="3:13" hidden="1" outlineLevel="1" x14ac:dyDescent="0.2">
      <c r="C2384" s="139">
        <v>2158</v>
      </c>
      <c r="D2384" s="248">
        <v>2067.9456999999902</v>
      </c>
      <c r="E2384" s="248">
        <v>2128.2622000000101</v>
      </c>
      <c r="F2384" s="248">
        <v>2165.9973</v>
      </c>
      <c r="G2384" s="248">
        <v>2196.9409000000001</v>
      </c>
      <c r="H2384" s="248">
        <v>2252.5637999999899</v>
      </c>
      <c r="I2384"/>
      <c r="J2384"/>
      <c r="K2384"/>
      <c r="L2384"/>
      <c r="M2384"/>
    </row>
    <row r="2385" spans="3:13" hidden="1" outlineLevel="1" x14ac:dyDescent="0.2">
      <c r="C2385" s="139">
        <v>2159</v>
      </c>
      <c r="D2385" s="248">
        <v>2068.9603999999899</v>
      </c>
      <c r="E2385" s="248">
        <v>2129.24840000001</v>
      </c>
      <c r="F2385" s="248">
        <v>2167.0010000000002</v>
      </c>
      <c r="G2385" s="248">
        <v>2197.9589999999998</v>
      </c>
      <c r="H2385" s="248">
        <v>2253.6075999999898</v>
      </c>
      <c r="I2385"/>
      <c r="J2385"/>
      <c r="K2385"/>
      <c r="L2385"/>
      <c r="M2385"/>
    </row>
    <row r="2386" spans="3:13" hidden="1" outlineLevel="1" x14ac:dyDescent="0.2">
      <c r="C2386" s="139">
        <v>2160</v>
      </c>
      <c r="D2386" s="248">
        <v>2069.9750999999901</v>
      </c>
      <c r="E2386" s="248">
        <v>2130.2346000000098</v>
      </c>
      <c r="F2386" s="248">
        <v>2168.0047</v>
      </c>
      <c r="G2386" s="248">
        <v>2198.9771000000001</v>
      </c>
      <c r="H2386" s="248">
        <v>2254.6513999999902</v>
      </c>
      <c r="I2386"/>
      <c r="J2386"/>
      <c r="K2386"/>
      <c r="L2386"/>
      <c r="M2386"/>
    </row>
    <row r="2387" spans="3:13" hidden="1" outlineLevel="1" x14ac:dyDescent="0.2">
      <c r="C2387" s="139">
        <v>2161</v>
      </c>
      <c r="D2387" s="248">
        <v>2070.9897999999898</v>
      </c>
      <c r="E2387" s="248">
        <v>2131.2208000000101</v>
      </c>
      <c r="F2387" s="248">
        <v>2169.0084000000002</v>
      </c>
      <c r="G2387" s="248">
        <v>2199.9951999999998</v>
      </c>
      <c r="H2387" s="248">
        <v>2255.6951999999901</v>
      </c>
      <c r="I2387"/>
      <c r="J2387"/>
      <c r="K2387"/>
      <c r="L2387"/>
      <c r="M2387"/>
    </row>
    <row r="2388" spans="3:13" hidden="1" outlineLevel="1" x14ac:dyDescent="0.2">
      <c r="C2388" s="139">
        <v>2162</v>
      </c>
      <c r="D2388" s="248">
        <v>2072.00449999999</v>
      </c>
      <c r="E2388" s="248">
        <v>2132.2070000000099</v>
      </c>
      <c r="F2388" s="248">
        <v>2170.0120999999999</v>
      </c>
      <c r="G2388" s="248">
        <v>2201.0133000000001</v>
      </c>
      <c r="H2388" s="248">
        <v>2256.73899999999</v>
      </c>
      <c r="I2388"/>
      <c r="J2388"/>
      <c r="K2388"/>
      <c r="L2388"/>
      <c r="M2388"/>
    </row>
    <row r="2389" spans="3:13" hidden="1" outlineLevel="1" x14ac:dyDescent="0.2">
      <c r="C2389" s="139">
        <v>2163</v>
      </c>
      <c r="D2389" s="248">
        <v>2073.0191999999902</v>
      </c>
      <c r="E2389" s="248">
        <v>2133.1932000000102</v>
      </c>
      <c r="F2389" s="248">
        <v>2171.0158000000001</v>
      </c>
      <c r="G2389" s="248">
        <v>2202.0313999999998</v>
      </c>
      <c r="H2389" s="248">
        <v>2257.7827999999899</v>
      </c>
      <c r="I2389"/>
      <c r="J2389"/>
      <c r="K2389"/>
      <c r="L2389"/>
      <c r="M2389"/>
    </row>
    <row r="2390" spans="3:13" hidden="1" outlineLevel="1" x14ac:dyDescent="0.2">
      <c r="C2390" s="139">
        <v>2164</v>
      </c>
      <c r="D2390" s="248">
        <v>2074.0338999999899</v>
      </c>
      <c r="E2390" s="248">
        <v>2134.17940000001</v>
      </c>
      <c r="F2390" s="248">
        <v>2172.0194999999999</v>
      </c>
      <c r="G2390" s="248">
        <v>2203.0495000000001</v>
      </c>
      <c r="H2390" s="248">
        <v>2258.8265999999899</v>
      </c>
      <c r="I2390"/>
      <c r="J2390"/>
      <c r="K2390"/>
      <c r="L2390"/>
      <c r="M2390"/>
    </row>
    <row r="2391" spans="3:13" hidden="1" outlineLevel="1" x14ac:dyDescent="0.2">
      <c r="C2391" s="139">
        <v>2165</v>
      </c>
      <c r="D2391" s="248">
        <v>2075.0485999999901</v>
      </c>
      <c r="E2391" s="248">
        <v>2135.1656000000098</v>
      </c>
      <c r="F2391" s="248">
        <v>2173.0232000000001</v>
      </c>
      <c r="G2391" s="248">
        <v>2204.0675999999999</v>
      </c>
      <c r="H2391" s="248">
        <v>2259.8703999999898</v>
      </c>
      <c r="I2391"/>
      <c r="J2391"/>
      <c r="K2391"/>
      <c r="L2391"/>
      <c r="M2391"/>
    </row>
    <row r="2392" spans="3:13" hidden="1" outlineLevel="1" x14ac:dyDescent="0.2">
      <c r="C2392" s="139">
        <v>2166</v>
      </c>
      <c r="D2392" s="248">
        <v>2076.0632999999898</v>
      </c>
      <c r="E2392" s="248">
        <v>2136.1518000000101</v>
      </c>
      <c r="F2392" s="248">
        <v>2174.0268999999998</v>
      </c>
      <c r="G2392" s="248">
        <v>2205.0857000000001</v>
      </c>
      <c r="H2392" s="248">
        <v>2260.9141999999902</v>
      </c>
      <c r="I2392"/>
      <c r="J2392"/>
      <c r="K2392"/>
      <c r="L2392"/>
      <c r="M2392"/>
    </row>
    <row r="2393" spans="3:13" hidden="1" outlineLevel="1" x14ac:dyDescent="0.2">
      <c r="C2393" s="139">
        <v>2167</v>
      </c>
      <c r="D2393" s="248">
        <v>2077.07799999999</v>
      </c>
      <c r="E2393" s="248">
        <v>2137.1380000000099</v>
      </c>
      <c r="F2393" s="248">
        <v>2175.0306</v>
      </c>
      <c r="G2393" s="248">
        <v>2206.1037999999999</v>
      </c>
      <c r="H2393" s="248">
        <v>2261.9579999999901</v>
      </c>
      <c r="I2393"/>
      <c r="J2393"/>
      <c r="K2393"/>
      <c r="L2393"/>
      <c r="M2393"/>
    </row>
    <row r="2394" spans="3:13" hidden="1" outlineLevel="1" x14ac:dyDescent="0.2">
      <c r="C2394" s="139">
        <v>2168</v>
      </c>
      <c r="D2394" s="248">
        <v>2078.0926999999901</v>
      </c>
      <c r="E2394" s="248">
        <v>2138.1242000000102</v>
      </c>
      <c r="F2394" s="248">
        <v>2176.0342999999998</v>
      </c>
      <c r="G2394" s="248">
        <v>2207.1219000000001</v>
      </c>
      <c r="H2394" s="248">
        <v>2263.00179999999</v>
      </c>
      <c r="I2394"/>
      <c r="J2394"/>
      <c r="K2394"/>
      <c r="L2394"/>
      <c r="M2394"/>
    </row>
    <row r="2395" spans="3:13" hidden="1" outlineLevel="1" x14ac:dyDescent="0.2">
      <c r="C2395" s="139">
        <v>2169</v>
      </c>
      <c r="D2395" s="248">
        <v>2079.1073999999899</v>
      </c>
      <c r="E2395" s="248">
        <v>2139.11040000001</v>
      </c>
      <c r="F2395" s="248">
        <v>2177.038</v>
      </c>
      <c r="G2395" s="248">
        <v>2208.14</v>
      </c>
      <c r="H2395" s="248">
        <v>2264.0455999999899</v>
      </c>
      <c r="I2395"/>
      <c r="J2395"/>
      <c r="K2395"/>
      <c r="L2395"/>
      <c r="M2395"/>
    </row>
    <row r="2396" spans="3:13" hidden="1" outlineLevel="1" x14ac:dyDescent="0.2">
      <c r="C2396" s="139">
        <v>2170</v>
      </c>
      <c r="D2396" s="248">
        <v>2080.12209999999</v>
      </c>
      <c r="E2396" s="248">
        <v>2140.0966000000099</v>
      </c>
      <c r="F2396" s="248">
        <v>2178.0417000000002</v>
      </c>
      <c r="G2396" s="248">
        <v>2209.1581000000001</v>
      </c>
      <c r="H2396" s="248">
        <v>2265.0893999999898</v>
      </c>
      <c r="I2396"/>
      <c r="J2396"/>
      <c r="K2396"/>
      <c r="L2396"/>
      <c r="M2396"/>
    </row>
    <row r="2397" spans="3:13" hidden="1" outlineLevel="1" x14ac:dyDescent="0.2">
      <c r="C2397" s="139">
        <v>2171</v>
      </c>
      <c r="D2397" s="248">
        <v>2081.1367999999902</v>
      </c>
      <c r="E2397" s="248">
        <v>2141.0828000000101</v>
      </c>
      <c r="F2397" s="248">
        <v>2179.0454</v>
      </c>
      <c r="G2397" s="248">
        <v>2210.1761999999999</v>
      </c>
      <c r="H2397" s="248">
        <v>2266.1331999999902</v>
      </c>
      <c r="I2397"/>
      <c r="J2397"/>
      <c r="K2397"/>
      <c r="L2397"/>
      <c r="M2397"/>
    </row>
    <row r="2398" spans="3:13" hidden="1" outlineLevel="1" x14ac:dyDescent="0.2">
      <c r="C2398" s="139">
        <v>2172</v>
      </c>
      <c r="D2398" s="248">
        <v>2082.1514999999899</v>
      </c>
      <c r="E2398" s="248">
        <v>2142.06900000001</v>
      </c>
      <c r="F2398" s="248">
        <v>2180.0491000000002</v>
      </c>
      <c r="G2398" s="248">
        <v>2211.1943000000001</v>
      </c>
      <c r="H2398" s="248">
        <v>2267.1769999999901</v>
      </c>
      <c r="I2398"/>
      <c r="J2398"/>
      <c r="K2398"/>
      <c r="L2398"/>
      <c r="M2398"/>
    </row>
    <row r="2399" spans="3:13" hidden="1" outlineLevel="1" x14ac:dyDescent="0.2">
      <c r="C2399" s="139">
        <v>2173</v>
      </c>
      <c r="D2399" s="248">
        <v>2083.1661999999901</v>
      </c>
      <c r="E2399" s="248">
        <v>2143.0552000000098</v>
      </c>
      <c r="F2399" s="248">
        <v>2181.0527999999999</v>
      </c>
      <c r="G2399" s="248">
        <v>2212.2123999999999</v>
      </c>
      <c r="H2399" s="248">
        <v>2268.22079999999</v>
      </c>
      <c r="I2399"/>
      <c r="J2399"/>
      <c r="K2399"/>
      <c r="L2399"/>
      <c r="M2399"/>
    </row>
    <row r="2400" spans="3:13" hidden="1" outlineLevel="1" x14ac:dyDescent="0.2">
      <c r="C2400" s="139">
        <v>2174</v>
      </c>
      <c r="D2400" s="248">
        <v>2084.1808999999898</v>
      </c>
      <c r="E2400" s="248">
        <v>2144.0414000000101</v>
      </c>
      <c r="F2400" s="248">
        <v>2182.0565000000001</v>
      </c>
      <c r="G2400" s="248">
        <v>2213.2305000000001</v>
      </c>
      <c r="H2400" s="248">
        <v>2269.26459999999</v>
      </c>
      <c r="I2400"/>
      <c r="J2400"/>
      <c r="K2400"/>
      <c r="L2400"/>
      <c r="M2400"/>
    </row>
    <row r="2401" spans="3:13" hidden="1" outlineLevel="1" x14ac:dyDescent="0.2">
      <c r="C2401" s="139">
        <v>2175</v>
      </c>
      <c r="D2401" s="248">
        <v>2085.19559999999</v>
      </c>
      <c r="E2401" s="248">
        <v>2145.0276000000099</v>
      </c>
      <c r="F2401" s="248">
        <v>2183.0601999999999</v>
      </c>
      <c r="G2401" s="248">
        <v>2214.2485999999999</v>
      </c>
      <c r="H2401" s="248">
        <v>2270.3083999999899</v>
      </c>
      <c r="I2401"/>
      <c r="J2401"/>
      <c r="K2401"/>
      <c r="L2401"/>
      <c r="M2401"/>
    </row>
    <row r="2402" spans="3:13" hidden="1" outlineLevel="1" x14ac:dyDescent="0.2">
      <c r="C2402" s="139">
        <v>2176</v>
      </c>
      <c r="D2402" s="248">
        <v>2086.2102999999902</v>
      </c>
      <c r="E2402" s="248">
        <v>2146.0138000000102</v>
      </c>
      <c r="F2402" s="248">
        <v>2184.0639000000001</v>
      </c>
      <c r="G2402" s="248">
        <v>2215.2667000000001</v>
      </c>
      <c r="H2402" s="248">
        <v>2271.3521999999898</v>
      </c>
      <c r="I2402"/>
      <c r="J2402"/>
      <c r="K2402"/>
      <c r="L2402"/>
      <c r="M2402"/>
    </row>
    <row r="2403" spans="3:13" hidden="1" outlineLevel="1" x14ac:dyDescent="0.2">
      <c r="C2403" s="139">
        <v>2177</v>
      </c>
      <c r="D2403" s="248">
        <v>2087.2249999999899</v>
      </c>
      <c r="E2403" s="248">
        <v>2147.00000000001</v>
      </c>
      <c r="F2403" s="248">
        <v>2185.0675999999999</v>
      </c>
      <c r="G2403" s="248">
        <v>2216.2847999999999</v>
      </c>
      <c r="H2403" s="248">
        <v>2272.3959999999902</v>
      </c>
      <c r="I2403"/>
      <c r="J2403"/>
      <c r="K2403"/>
      <c r="L2403"/>
      <c r="M2403"/>
    </row>
    <row r="2404" spans="3:13" hidden="1" outlineLevel="1" x14ac:dyDescent="0.2">
      <c r="C2404" s="139">
        <v>2178</v>
      </c>
      <c r="D2404" s="248">
        <v>2088.2396999999901</v>
      </c>
      <c r="E2404" s="248">
        <v>2147.9862000000098</v>
      </c>
      <c r="F2404" s="248">
        <v>2186.0713000000001</v>
      </c>
      <c r="G2404" s="248">
        <v>2217.3029000000001</v>
      </c>
      <c r="H2404" s="248">
        <v>2273.4397999999901</v>
      </c>
      <c r="I2404"/>
      <c r="J2404"/>
      <c r="K2404"/>
      <c r="L2404"/>
      <c r="M2404"/>
    </row>
    <row r="2405" spans="3:13" hidden="1" outlineLevel="1" x14ac:dyDescent="0.2">
      <c r="C2405" s="139">
        <v>2179</v>
      </c>
      <c r="D2405" s="248">
        <v>2089.2543999999898</v>
      </c>
      <c r="E2405" s="248">
        <v>2148.9724000000101</v>
      </c>
      <c r="F2405" s="248">
        <v>2187.0749999999998</v>
      </c>
      <c r="G2405" s="248">
        <v>2218.3209999999999</v>
      </c>
      <c r="H2405" s="248">
        <v>2274.48359999999</v>
      </c>
      <c r="I2405"/>
      <c r="J2405"/>
      <c r="K2405"/>
      <c r="L2405"/>
      <c r="M2405"/>
    </row>
    <row r="2406" spans="3:13" hidden="1" outlineLevel="1" x14ac:dyDescent="0.2">
      <c r="C2406" s="139">
        <v>2180</v>
      </c>
      <c r="D2406" s="248">
        <v>2090.26909999999</v>
      </c>
      <c r="E2406" s="248">
        <v>2149.9586000000099</v>
      </c>
      <c r="F2406" s="248">
        <v>2188.0787</v>
      </c>
      <c r="G2406" s="248">
        <v>2219.3391000000001</v>
      </c>
      <c r="H2406" s="248">
        <v>2275.5273999999899</v>
      </c>
      <c r="I2406"/>
      <c r="J2406"/>
      <c r="K2406"/>
      <c r="L2406"/>
      <c r="M2406"/>
    </row>
    <row r="2407" spans="3:13" hidden="1" outlineLevel="1" x14ac:dyDescent="0.2">
      <c r="C2407" s="139">
        <v>2181</v>
      </c>
      <c r="D2407" s="248">
        <v>2091.2837999999902</v>
      </c>
      <c r="E2407" s="248">
        <v>2150.9448000000102</v>
      </c>
      <c r="F2407" s="248">
        <v>2189.0823999999998</v>
      </c>
      <c r="G2407" s="248">
        <v>2220.3571999999999</v>
      </c>
      <c r="H2407" s="248">
        <v>2276.5711999999899</v>
      </c>
      <c r="I2407"/>
      <c r="J2407"/>
      <c r="K2407"/>
      <c r="L2407"/>
      <c r="M2407"/>
    </row>
    <row r="2408" spans="3:13" hidden="1" outlineLevel="1" x14ac:dyDescent="0.2">
      <c r="C2408" s="139">
        <v>2182</v>
      </c>
      <c r="D2408" s="248">
        <v>2092.2984999999899</v>
      </c>
      <c r="E2408" s="248">
        <v>2151.93100000001</v>
      </c>
      <c r="F2408" s="248">
        <v>2190.0861</v>
      </c>
      <c r="G2408" s="248">
        <v>2221.3753000000002</v>
      </c>
      <c r="H2408" s="248">
        <v>2277.6149999999898</v>
      </c>
      <c r="I2408"/>
      <c r="J2408"/>
      <c r="K2408"/>
      <c r="L2408"/>
      <c r="M2408"/>
    </row>
    <row r="2409" spans="3:13" hidden="1" outlineLevel="1" x14ac:dyDescent="0.2">
      <c r="C2409" s="139">
        <v>2183</v>
      </c>
      <c r="D2409" s="248">
        <v>2093.31319999999</v>
      </c>
      <c r="E2409" s="248">
        <v>2152.9172000000099</v>
      </c>
      <c r="F2409" s="248">
        <v>2191.0898000000002</v>
      </c>
      <c r="G2409" s="248">
        <v>2222.3933999999999</v>
      </c>
      <c r="H2409" s="248">
        <v>2278.6587999999902</v>
      </c>
      <c r="I2409"/>
      <c r="J2409"/>
      <c r="K2409"/>
      <c r="L2409"/>
      <c r="M2409"/>
    </row>
    <row r="2410" spans="3:13" hidden="1" outlineLevel="1" x14ac:dyDescent="0.2">
      <c r="C2410" s="139">
        <v>2184</v>
      </c>
      <c r="D2410" s="248">
        <v>2094.3278999999902</v>
      </c>
      <c r="E2410" s="248">
        <v>2153.9034000000102</v>
      </c>
      <c r="F2410" s="248">
        <v>2192.0934999999999</v>
      </c>
      <c r="G2410" s="248">
        <v>2223.4115000000002</v>
      </c>
      <c r="H2410" s="248">
        <v>2279.7025999999901</v>
      </c>
      <c r="I2410"/>
      <c r="J2410"/>
      <c r="K2410"/>
      <c r="L2410"/>
      <c r="M2410"/>
    </row>
    <row r="2411" spans="3:13" hidden="1" outlineLevel="1" x14ac:dyDescent="0.2">
      <c r="C2411" s="139">
        <v>2185</v>
      </c>
      <c r="D2411" s="248">
        <v>2095.3425999999899</v>
      </c>
      <c r="E2411" s="248">
        <v>2154.88960000001</v>
      </c>
      <c r="F2411" s="248">
        <v>2193.0972000000002</v>
      </c>
      <c r="G2411" s="248">
        <v>2224.4295999999999</v>
      </c>
      <c r="H2411" s="248">
        <v>2280.74639999998</v>
      </c>
      <c r="I2411"/>
      <c r="J2411"/>
      <c r="K2411"/>
      <c r="L2411"/>
      <c r="M2411"/>
    </row>
    <row r="2412" spans="3:13" hidden="1" outlineLevel="1" x14ac:dyDescent="0.2">
      <c r="C2412" s="139">
        <v>2186</v>
      </c>
      <c r="D2412" s="248">
        <v>2096.3572999999901</v>
      </c>
      <c r="E2412" s="248">
        <v>2155.8758000000098</v>
      </c>
      <c r="F2412" s="248">
        <v>2194.1008999999999</v>
      </c>
      <c r="G2412" s="248">
        <v>2225.4477000000002</v>
      </c>
      <c r="H2412" s="248">
        <v>2281.7901999999899</v>
      </c>
      <c r="I2412"/>
      <c r="J2412"/>
      <c r="K2412"/>
      <c r="L2412"/>
      <c r="M2412"/>
    </row>
    <row r="2413" spans="3:13" hidden="1" outlineLevel="1" x14ac:dyDescent="0.2">
      <c r="C2413" s="139">
        <v>2187</v>
      </c>
      <c r="D2413" s="248">
        <v>2097.3719999999898</v>
      </c>
      <c r="E2413" s="248">
        <v>2156.8620000000101</v>
      </c>
      <c r="F2413" s="248">
        <v>2195.1046000000001</v>
      </c>
      <c r="G2413" s="248">
        <v>2226.4657999999999</v>
      </c>
      <c r="H2413" s="248">
        <v>2282.8339999999898</v>
      </c>
      <c r="I2413"/>
      <c r="J2413"/>
      <c r="K2413"/>
      <c r="L2413"/>
      <c r="M2413"/>
    </row>
    <row r="2414" spans="3:13" hidden="1" outlineLevel="1" x14ac:dyDescent="0.2">
      <c r="C2414" s="139">
        <v>2188</v>
      </c>
      <c r="D2414" s="248">
        <v>2098.38669999999</v>
      </c>
      <c r="E2414" s="248">
        <v>2157.8482000000099</v>
      </c>
      <c r="F2414" s="248">
        <v>2196.1082999999999</v>
      </c>
      <c r="G2414" s="248">
        <v>2227.4839000000002</v>
      </c>
      <c r="H2414" s="248">
        <v>2283.8777999999902</v>
      </c>
      <c r="I2414"/>
      <c r="J2414"/>
      <c r="K2414"/>
      <c r="L2414"/>
      <c r="M2414"/>
    </row>
    <row r="2415" spans="3:13" hidden="1" outlineLevel="1" x14ac:dyDescent="0.2">
      <c r="C2415" s="139">
        <v>2189</v>
      </c>
      <c r="D2415" s="248">
        <v>2099.4013999999902</v>
      </c>
      <c r="E2415" s="248">
        <v>2158.8344000000102</v>
      </c>
      <c r="F2415" s="248">
        <v>2197.1120000000001</v>
      </c>
      <c r="G2415" s="248">
        <v>2228.502</v>
      </c>
      <c r="H2415" s="248">
        <v>2284.9215999999801</v>
      </c>
      <c r="I2415"/>
      <c r="J2415"/>
      <c r="K2415"/>
      <c r="L2415"/>
      <c r="M2415"/>
    </row>
    <row r="2416" spans="3:13" hidden="1" outlineLevel="1" x14ac:dyDescent="0.2">
      <c r="C2416" s="139">
        <v>2190</v>
      </c>
      <c r="D2416" s="248">
        <v>2100.4160999999899</v>
      </c>
      <c r="E2416" s="248">
        <v>2159.82060000001</v>
      </c>
      <c r="F2416" s="248">
        <v>2198.1156999999998</v>
      </c>
      <c r="G2416" s="248">
        <v>2229.5201000000002</v>
      </c>
      <c r="H2416" s="248">
        <v>2285.96539999998</v>
      </c>
      <c r="I2416"/>
      <c r="J2416"/>
      <c r="K2416"/>
      <c r="L2416"/>
      <c r="M2416"/>
    </row>
    <row r="2417" spans="3:13" hidden="1" outlineLevel="1" x14ac:dyDescent="0.2">
      <c r="C2417" s="139">
        <v>2191</v>
      </c>
      <c r="D2417" s="248">
        <v>2101.4307999999901</v>
      </c>
      <c r="E2417" s="248">
        <v>2160.8068000000098</v>
      </c>
      <c r="F2417" s="248">
        <v>2199.1194</v>
      </c>
      <c r="G2417" s="248">
        <v>2230.5382</v>
      </c>
      <c r="H2417" s="248">
        <v>2287.00919999998</v>
      </c>
      <c r="I2417"/>
      <c r="J2417"/>
      <c r="K2417"/>
      <c r="L2417"/>
      <c r="M2417"/>
    </row>
    <row r="2418" spans="3:13" hidden="1" outlineLevel="1" x14ac:dyDescent="0.2">
      <c r="C2418" s="139">
        <v>2192</v>
      </c>
      <c r="D2418" s="248">
        <v>2102.4454999999898</v>
      </c>
      <c r="E2418" s="248">
        <v>2161.7930000000101</v>
      </c>
      <c r="F2418" s="248">
        <v>2200.1230999999998</v>
      </c>
      <c r="G2418" s="248">
        <v>2231.5563000000002</v>
      </c>
      <c r="H2418" s="248">
        <v>2288.0529999999799</v>
      </c>
      <c r="I2418"/>
      <c r="J2418"/>
      <c r="K2418"/>
      <c r="L2418"/>
      <c r="M2418"/>
    </row>
    <row r="2419" spans="3:13" hidden="1" outlineLevel="1" x14ac:dyDescent="0.2">
      <c r="C2419" s="139">
        <v>2193</v>
      </c>
      <c r="D2419" s="248">
        <v>2103.46019999999</v>
      </c>
      <c r="E2419" s="248">
        <v>2162.77920000001</v>
      </c>
      <c r="F2419" s="248">
        <v>2201.1268</v>
      </c>
      <c r="G2419" s="248">
        <v>2232.5744</v>
      </c>
      <c r="H2419" s="248">
        <v>2289.0967999999798</v>
      </c>
      <c r="I2419"/>
      <c r="J2419"/>
      <c r="K2419"/>
      <c r="L2419"/>
      <c r="M2419"/>
    </row>
    <row r="2420" spans="3:13" hidden="1" outlineLevel="1" x14ac:dyDescent="0.2">
      <c r="C2420" s="139">
        <v>2194</v>
      </c>
      <c r="D2420" s="248">
        <v>2104.4748999999902</v>
      </c>
      <c r="E2420" s="248">
        <v>2163.7654000000098</v>
      </c>
      <c r="F2420" s="248">
        <v>2202.1305000000002</v>
      </c>
      <c r="G2420" s="248">
        <v>2233.5925000000002</v>
      </c>
      <c r="H2420" s="248">
        <v>2290.1405999999802</v>
      </c>
      <c r="I2420"/>
      <c r="J2420"/>
      <c r="K2420"/>
      <c r="L2420"/>
      <c r="M2420"/>
    </row>
    <row r="2421" spans="3:13" hidden="1" outlineLevel="1" x14ac:dyDescent="0.2">
      <c r="C2421" s="139">
        <v>2195</v>
      </c>
      <c r="D2421" s="248">
        <v>2105.4895999999899</v>
      </c>
      <c r="E2421" s="248">
        <v>2164.7516000000101</v>
      </c>
      <c r="F2421" s="248">
        <v>2203.1342</v>
      </c>
      <c r="G2421" s="248">
        <v>2234.6106</v>
      </c>
      <c r="H2421" s="248">
        <v>2291.1843999999801</v>
      </c>
      <c r="I2421"/>
      <c r="J2421"/>
      <c r="K2421"/>
      <c r="L2421"/>
      <c r="M2421"/>
    </row>
    <row r="2422" spans="3:13" hidden="1" outlineLevel="1" x14ac:dyDescent="0.2">
      <c r="C2422" s="139">
        <v>2196</v>
      </c>
      <c r="D2422" s="248">
        <v>2106.5042999999901</v>
      </c>
      <c r="E2422" s="248">
        <v>2165.7378000000099</v>
      </c>
      <c r="F2422" s="248">
        <v>2204.1379000000002</v>
      </c>
      <c r="G2422" s="248">
        <v>2235.6287000000002</v>
      </c>
      <c r="H2422" s="248">
        <v>2292.22819999998</v>
      </c>
      <c r="I2422"/>
      <c r="J2422"/>
      <c r="K2422"/>
      <c r="L2422"/>
      <c r="M2422"/>
    </row>
    <row r="2423" spans="3:13" hidden="1" outlineLevel="1" x14ac:dyDescent="0.2">
      <c r="C2423" s="139">
        <v>2197</v>
      </c>
      <c r="D2423" s="248">
        <v>2107.5189999999898</v>
      </c>
      <c r="E2423" s="248">
        <v>2166.7240000000102</v>
      </c>
      <c r="F2423" s="248">
        <v>2205.1415999999999</v>
      </c>
      <c r="G2423" s="248">
        <v>2236.6468</v>
      </c>
      <c r="H2423" s="248">
        <v>2293.2719999999799</v>
      </c>
      <c r="I2423"/>
      <c r="J2423"/>
      <c r="K2423"/>
      <c r="L2423"/>
      <c r="M2423"/>
    </row>
    <row r="2424" spans="3:13" hidden="1" outlineLevel="1" x14ac:dyDescent="0.2">
      <c r="C2424" s="139">
        <v>2198</v>
      </c>
      <c r="D2424" s="248">
        <v>2108.5336999999899</v>
      </c>
      <c r="E2424" s="248">
        <v>2167.71020000001</v>
      </c>
      <c r="F2424" s="248">
        <v>2206.1453000000001</v>
      </c>
      <c r="G2424" s="248">
        <v>2237.6649000000002</v>
      </c>
      <c r="H2424" s="248">
        <v>2294.3157999999798</v>
      </c>
      <c r="I2424"/>
      <c r="J2424"/>
      <c r="K2424"/>
      <c r="L2424"/>
      <c r="M2424"/>
    </row>
    <row r="2425" spans="3:13" hidden="1" outlineLevel="1" x14ac:dyDescent="0.2">
      <c r="C2425" s="139">
        <v>2199</v>
      </c>
      <c r="D2425" s="248">
        <v>2109.5483999999901</v>
      </c>
      <c r="E2425" s="248">
        <v>2168.6964000000098</v>
      </c>
      <c r="F2425" s="248">
        <v>2207.1489999999999</v>
      </c>
      <c r="G2425" s="248">
        <v>2238.683</v>
      </c>
      <c r="H2425" s="248">
        <v>2295.3595999999802</v>
      </c>
      <c r="I2425"/>
      <c r="J2425"/>
      <c r="K2425"/>
      <c r="L2425"/>
      <c r="M2425"/>
    </row>
    <row r="2426" spans="3:13" hidden="1" outlineLevel="1" x14ac:dyDescent="0.2">
      <c r="C2426" s="139">
        <v>2200</v>
      </c>
      <c r="D2426" s="248">
        <v>2110.5630999999898</v>
      </c>
      <c r="E2426" s="248">
        <v>2169.6826000000101</v>
      </c>
      <c r="F2426" s="248">
        <v>2208.1527000000001</v>
      </c>
      <c r="G2426" s="248">
        <v>2239.7011000000002</v>
      </c>
      <c r="H2426" s="248">
        <v>2296.4033999999801</v>
      </c>
      <c r="I2426"/>
      <c r="J2426"/>
      <c r="K2426"/>
      <c r="L2426"/>
      <c r="M2426"/>
    </row>
    <row r="2427" spans="3:13" hidden="1" outlineLevel="1" x14ac:dyDescent="0.2">
      <c r="C2427" s="139">
        <v>2201</v>
      </c>
      <c r="D2427" s="248">
        <v>2111.57779999999</v>
      </c>
      <c r="E2427" s="248">
        <v>2170.6688000000099</v>
      </c>
      <c r="F2427" s="248">
        <v>2209.1563999999998</v>
      </c>
      <c r="G2427" s="248">
        <v>2240.7192</v>
      </c>
      <c r="H2427" s="248">
        <v>2297.4471999999801</v>
      </c>
      <c r="I2427"/>
      <c r="J2427"/>
      <c r="K2427"/>
      <c r="L2427"/>
      <c r="M2427"/>
    </row>
    <row r="2428" spans="3:13" hidden="1" outlineLevel="1" x14ac:dyDescent="0.2">
      <c r="C2428" s="139">
        <v>2202</v>
      </c>
      <c r="D2428" s="248">
        <v>2112.5924999999902</v>
      </c>
      <c r="E2428" s="248">
        <v>2171.6550000000102</v>
      </c>
      <c r="F2428" s="248">
        <v>2210.1601000000001</v>
      </c>
      <c r="G2428" s="248">
        <v>2241.7372999999998</v>
      </c>
      <c r="H2428" s="248">
        <v>2298.49099999998</v>
      </c>
      <c r="I2428"/>
      <c r="J2428"/>
      <c r="K2428"/>
      <c r="L2428"/>
      <c r="M2428"/>
    </row>
    <row r="2429" spans="3:13" hidden="1" outlineLevel="1" x14ac:dyDescent="0.2">
      <c r="C2429" s="139">
        <v>2203</v>
      </c>
      <c r="D2429" s="248">
        <v>2113.6071999999899</v>
      </c>
      <c r="E2429" s="248">
        <v>2172.64120000001</v>
      </c>
      <c r="F2429" s="248">
        <v>2211.1637999999998</v>
      </c>
      <c r="G2429" s="248">
        <v>2242.7554</v>
      </c>
      <c r="H2429" s="248">
        <v>2299.5347999999799</v>
      </c>
      <c r="I2429"/>
      <c r="J2429"/>
      <c r="K2429"/>
      <c r="L2429"/>
      <c r="M2429"/>
    </row>
    <row r="2430" spans="3:13" hidden="1" outlineLevel="1" x14ac:dyDescent="0.2">
      <c r="C2430" s="139">
        <v>2204</v>
      </c>
      <c r="D2430" s="248">
        <v>2114.6218999999901</v>
      </c>
      <c r="E2430" s="248">
        <v>2173.6274000000099</v>
      </c>
      <c r="F2430" s="248">
        <v>2212.1675</v>
      </c>
      <c r="G2430" s="248">
        <v>2243.7734999999998</v>
      </c>
      <c r="H2430" s="248">
        <v>2300.5785999999798</v>
      </c>
      <c r="I2430"/>
      <c r="J2430"/>
      <c r="K2430"/>
      <c r="L2430"/>
      <c r="M2430"/>
    </row>
    <row r="2431" spans="3:13" hidden="1" outlineLevel="1" x14ac:dyDescent="0.2">
      <c r="C2431" s="139">
        <v>2205</v>
      </c>
      <c r="D2431" s="248">
        <v>2115.6365999999898</v>
      </c>
      <c r="E2431" s="248">
        <v>2174.6136000000101</v>
      </c>
      <c r="F2431" s="248">
        <v>2213.1712000000002</v>
      </c>
      <c r="G2431" s="248">
        <v>2244.7916</v>
      </c>
      <c r="H2431" s="248">
        <v>2301.6223999999802</v>
      </c>
      <c r="I2431"/>
      <c r="J2431"/>
      <c r="K2431"/>
      <c r="L2431"/>
      <c r="M2431"/>
    </row>
    <row r="2432" spans="3:13" hidden="1" outlineLevel="1" x14ac:dyDescent="0.2">
      <c r="C2432" s="139">
        <v>2206</v>
      </c>
      <c r="D2432" s="248">
        <v>2116.65129999999</v>
      </c>
      <c r="E2432" s="248">
        <v>2175.59980000001</v>
      </c>
      <c r="F2432" s="248">
        <v>2214.1749</v>
      </c>
      <c r="G2432" s="248">
        <v>2245.8096999999998</v>
      </c>
      <c r="H2432" s="248">
        <v>2302.6661999999801</v>
      </c>
      <c r="I2432"/>
      <c r="J2432"/>
      <c r="K2432"/>
      <c r="L2432"/>
      <c r="M2432"/>
    </row>
    <row r="2433" spans="3:13" hidden="1" outlineLevel="1" x14ac:dyDescent="0.2">
      <c r="C2433" s="139">
        <v>2207</v>
      </c>
      <c r="D2433" s="248">
        <v>2117.6659999999902</v>
      </c>
      <c r="E2433" s="248">
        <v>2176.5860000000098</v>
      </c>
      <c r="F2433" s="248">
        <v>2215.1786000000002</v>
      </c>
      <c r="G2433" s="248">
        <v>2246.8278</v>
      </c>
      <c r="H2433" s="248">
        <v>2303.70999999998</v>
      </c>
      <c r="I2433"/>
      <c r="J2433"/>
      <c r="K2433"/>
      <c r="L2433"/>
      <c r="M2433"/>
    </row>
    <row r="2434" spans="3:13" hidden="1" outlineLevel="1" x14ac:dyDescent="0.2">
      <c r="C2434" s="139">
        <v>2208</v>
      </c>
      <c r="D2434" s="248">
        <v>2118.6806999999899</v>
      </c>
      <c r="E2434" s="248">
        <v>2177.5722000000101</v>
      </c>
      <c r="F2434" s="248">
        <v>2216.1822999999999</v>
      </c>
      <c r="G2434" s="248">
        <v>2247.8458999999998</v>
      </c>
      <c r="H2434" s="248">
        <v>2304.7537999999799</v>
      </c>
      <c r="I2434"/>
      <c r="J2434"/>
      <c r="K2434"/>
      <c r="L2434"/>
      <c r="M2434"/>
    </row>
    <row r="2435" spans="3:13" hidden="1" outlineLevel="1" x14ac:dyDescent="0.2">
      <c r="C2435" s="139">
        <v>2209</v>
      </c>
      <c r="D2435" s="248">
        <v>2119.6953999999901</v>
      </c>
      <c r="E2435" s="248">
        <v>2178.5584000000099</v>
      </c>
      <c r="F2435" s="248">
        <v>2217.1860000000001</v>
      </c>
      <c r="G2435" s="248">
        <v>2248.864</v>
      </c>
      <c r="H2435" s="248">
        <v>2305.7975999999799</v>
      </c>
      <c r="I2435"/>
      <c r="J2435"/>
      <c r="K2435"/>
      <c r="L2435"/>
      <c r="M2435"/>
    </row>
    <row r="2436" spans="3:13" hidden="1" outlineLevel="1" x14ac:dyDescent="0.2">
      <c r="C2436" s="139">
        <v>2210</v>
      </c>
      <c r="D2436" s="248">
        <v>2120.7100999999898</v>
      </c>
      <c r="E2436" s="248">
        <v>2179.5446000000102</v>
      </c>
      <c r="F2436" s="248">
        <v>2218.1896999999999</v>
      </c>
      <c r="G2436" s="248">
        <v>2249.8820999999998</v>
      </c>
      <c r="H2436" s="248">
        <v>2306.8413999999798</v>
      </c>
      <c r="I2436"/>
      <c r="J2436"/>
      <c r="K2436"/>
      <c r="L2436"/>
      <c r="M2436"/>
    </row>
    <row r="2437" spans="3:13" hidden="1" outlineLevel="1" x14ac:dyDescent="0.2">
      <c r="C2437" s="139">
        <v>2211</v>
      </c>
      <c r="D2437" s="248">
        <v>2121.72479999999</v>
      </c>
      <c r="E2437" s="248">
        <v>2180.53080000001</v>
      </c>
      <c r="F2437" s="248">
        <v>2219.1934000000001</v>
      </c>
      <c r="G2437" s="248">
        <v>2250.9002</v>
      </c>
      <c r="H2437" s="248">
        <v>2307.8851999999802</v>
      </c>
      <c r="I2437"/>
      <c r="J2437"/>
      <c r="K2437"/>
      <c r="L2437"/>
      <c r="M2437"/>
    </row>
    <row r="2438" spans="3:13" hidden="1" outlineLevel="1" x14ac:dyDescent="0.2">
      <c r="C2438" s="139">
        <v>2212</v>
      </c>
      <c r="D2438" s="248">
        <v>2122.7394999999901</v>
      </c>
      <c r="E2438" s="248">
        <v>2181.5170000000098</v>
      </c>
      <c r="F2438" s="248">
        <v>2220.1970999999999</v>
      </c>
      <c r="G2438" s="248">
        <v>2251.9182999999998</v>
      </c>
      <c r="H2438" s="248">
        <v>2308.9289999999801</v>
      </c>
      <c r="I2438"/>
      <c r="J2438"/>
      <c r="K2438"/>
      <c r="L2438"/>
      <c r="M2438"/>
    </row>
    <row r="2439" spans="3:13" hidden="1" outlineLevel="1" x14ac:dyDescent="0.2">
      <c r="C2439" s="139">
        <v>2213</v>
      </c>
      <c r="D2439" s="248">
        <v>2123.7541999999899</v>
      </c>
      <c r="E2439" s="248">
        <v>2182.5032000000101</v>
      </c>
      <c r="F2439" s="248">
        <v>2221.2008000000001</v>
      </c>
      <c r="G2439" s="248">
        <v>2252.9364</v>
      </c>
      <c r="H2439" s="248">
        <v>2309.97279999998</v>
      </c>
      <c r="I2439"/>
      <c r="J2439"/>
      <c r="K2439"/>
      <c r="L2439"/>
      <c r="M2439"/>
    </row>
    <row r="2440" spans="3:13" hidden="1" outlineLevel="1" x14ac:dyDescent="0.2">
      <c r="C2440" s="139">
        <v>2214</v>
      </c>
      <c r="D2440" s="248">
        <v>2124.76889999999</v>
      </c>
      <c r="E2440" s="248">
        <v>2183.4894000000099</v>
      </c>
      <c r="F2440" s="248">
        <v>2222.2044999999998</v>
      </c>
      <c r="G2440" s="248">
        <v>2253.9544999999998</v>
      </c>
      <c r="H2440" s="248">
        <v>2311.0165999999799</v>
      </c>
      <c r="I2440"/>
      <c r="J2440"/>
      <c r="K2440"/>
      <c r="L2440"/>
      <c r="M2440"/>
    </row>
    <row r="2441" spans="3:13" hidden="1" outlineLevel="1" x14ac:dyDescent="0.2">
      <c r="C2441" s="139">
        <v>2215</v>
      </c>
      <c r="D2441" s="248">
        <v>2125.7835999999902</v>
      </c>
      <c r="E2441" s="248">
        <v>2184.4756000000102</v>
      </c>
      <c r="F2441" s="248">
        <v>2223.2082</v>
      </c>
      <c r="G2441" s="248">
        <v>2254.9726000000001</v>
      </c>
      <c r="H2441" s="248">
        <v>2312.0603999999798</v>
      </c>
      <c r="I2441"/>
      <c r="J2441"/>
      <c r="K2441"/>
      <c r="L2441"/>
      <c r="M2441"/>
    </row>
    <row r="2442" spans="3:13" hidden="1" outlineLevel="1" x14ac:dyDescent="0.2">
      <c r="C2442" s="139">
        <v>2216</v>
      </c>
      <c r="D2442" s="248">
        <v>2126.7982999999899</v>
      </c>
      <c r="E2442" s="248">
        <v>2185.46180000001</v>
      </c>
      <c r="F2442" s="248">
        <v>2224.2118999999998</v>
      </c>
      <c r="G2442" s="248">
        <v>2255.9906999999998</v>
      </c>
      <c r="H2442" s="248">
        <v>2313.1041999999802</v>
      </c>
      <c r="I2442"/>
      <c r="J2442"/>
      <c r="K2442"/>
      <c r="L2442"/>
      <c r="M2442"/>
    </row>
    <row r="2443" spans="3:13" hidden="1" outlineLevel="1" x14ac:dyDescent="0.2">
      <c r="C2443" s="139">
        <v>2217</v>
      </c>
      <c r="D2443" s="248">
        <v>2127.8129999999901</v>
      </c>
      <c r="E2443" s="248">
        <v>2186.4480000000099</v>
      </c>
      <c r="F2443" s="248">
        <v>2225.2156</v>
      </c>
      <c r="G2443" s="248">
        <v>2257.0088000000001</v>
      </c>
      <c r="H2443" s="248">
        <v>2314.1479999999801</v>
      </c>
      <c r="I2443"/>
      <c r="J2443"/>
      <c r="K2443"/>
      <c r="L2443"/>
      <c r="M2443"/>
    </row>
    <row r="2444" spans="3:13" hidden="1" outlineLevel="1" x14ac:dyDescent="0.2">
      <c r="C2444" s="139">
        <v>2218</v>
      </c>
      <c r="D2444" s="248">
        <v>2128.8276999999898</v>
      </c>
      <c r="E2444" s="248">
        <v>2187.4342000000102</v>
      </c>
      <c r="F2444" s="248">
        <v>2226.2193000000002</v>
      </c>
      <c r="G2444" s="248">
        <v>2258.0268999999998</v>
      </c>
      <c r="H2444" s="248">
        <v>2315.19179999998</v>
      </c>
      <c r="I2444"/>
      <c r="J2444"/>
      <c r="K2444"/>
      <c r="L2444"/>
      <c r="M2444"/>
    </row>
    <row r="2445" spans="3:13" hidden="1" outlineLevel="1" x14ac:dyDescent="0.2">
      <c r="C2445" s="139">
        <v>2219</v>
      </c>
      <c r="D2445" s="248">
        <v>2129.84239999999</v>
      </c>
      <c r="E2445" s="248">
        <v>2188.42040000001</v>
      </c>
      <c r="F2445" s="248">
        <v>2227.223</v>
      </c>
      <c r="G2445" s="248">
        <v>2259.0450000000001</v>
      </c>
      <c r="H2445" s="248">
        <v>2316.23559999998</v>
      </c>
      <c r="I2445"/>
      <c r="J2445"/>
      <c r="K2445"/>
      <c r="L2445"/>
      <c r="M2445"/>
    </row>
    <row r="2446" spans="3:13" hidden="1" outlineLevel="1" x14ac:dyDescent="0.2">
      <c r="C2446" s="139">
        <v>2220</v>
      </c>
      <c r="D2446" s="248">
        <v>2130.8570999999902</v>
      </c>
      <c r="E2446" s="248">
        <v>2189.4066000000098</v>
      </c>
      <c r="F2446" s="248">
        <v>2228.2267000000002</v>
      </c>
      <c r="G2446" s="248">
        <v>2260.0630999999998</v>
      </c>
      <c r="H2446" s="248">
        <v>2317.2793999999799</v>
      </c>
      <c r="I2446"/>
      <c r="J2446"/>
      <c r="K2446"/>
      <c r="L2446"/>
      <c r="M2446"/>
    </row>
    <row r="2447" spans="3:13" hidden="1" outlineLevel="1" x14ac:dyDescent="0.2">
      <c r="C2447" s="139">
        <v>2221</v>
      </c>
      <c r="D2447" s="248">
        <v>2131.8717999999899</v>
      </c>
      <c r="E2447" s="248">
        <v>2190.3928000000101</v>
      </c>
      <c r="F2447" s="248">
        <v>2229.2303999999999</v>
      </c>
      <c r="G2447" s="248">
        <v>2261.0812000000001</v>
      </c>
      <c r="H2447" s="248">
        <v>2318.3231999999798</v>
      </c>
      <c r="I2447"/>
      <c r="J2447"/>
      <c r="K2447"/>
      <c r="L2447"/>
      <c r="M2447"/>
    </row>
    <row r="2448" spans="3:13" hidden="1" outlineLevel="1" x14ac:dyDescent="0.2">
      <c r="C2448" s="139">
        <v>2222</v>
      </c>
      <c r="D2448" s="248">
        <v>2132.8864999999901</v>
      </c>
      <c r="E2448" s="248">
        <v>2191.3790000000099</v>
      </c>
      <c r="F2448" s="248">
        <v>2230.2341000000001</v>
      </c>
      <c r="G2448" s="248">
        <v>2262.0992999999999</v>
      </c>
      <c r="H2448" s="248">
        <v>2319.3669999999802</v>
      </c>
      <c r="I2448"/>
      <c r="J2448"/>
      <c r="K2448"/>
      <c r="L2448"/>
      <c r="M2448"/>
    </row>
    <row r="2449" spans="3:13" hidden="1" outlineLevel="1" x14ac:dyDescent="0.2">
      <c r="C2449" s="139">
        <v>2223</v>
      </c>
      <c r="D2449" s="248">
        <v>2133.9011999999898</v>
      </c>
      <c r="E2449" s="248">
        <v>2192.3652000000102</v>
      </c>
      <c r="F2449" s="248">
        <v>2231.2377999999999</v>
      </c>
      <c r="G2449" s="248">
        <v>2263.1174000000001</v>
      </c>
      <c r="H2449" s="248">
        <v>2320.4107999999801</v>
      </c>
      <c r="I2449"/>
      <c r="J2449"/>
      <c r="K2449"/>
      <c r="L2449"/>
      <c r="M2449"/>
    </row>
    <row r="2450" spans="3:13" hidden="1" outlineLevel="1" x14ac:dyDescent="0.2">
      <c r="C2450" s="139">
        <v>2224</v>
      </c>
      <c r="D2450" s="248">
        <v>2134.91589999999</v>
      </c>
      <c r="E2450" s="248">
        <v>2193.35140000001</v>
      </c>
      <c r="F2450" s="248">
        <v>2232.2415000000001</v>
      </c>
      <c r="G2450" s="248">
        <v>2264.1354999999999</v>
      </c>
      <c r="H2450" s="248">
        <v>2321.45459999998</v>
      </c>
      <c r="I2450"/>
      <c r="J2450"/>
      <c r="K2450"/>
      <c r="L2450"/>
      <c r="M2450"/>
    </row>
    <row r="2451" spans="3:13" hidden="1" outlineLevel="1" x14ac:dyDescent="0.2">
      <c r="C2451" s="139">
        <v>2225</v>
      </c>
      <c r="D2451" s="248">
        <v>2135.9305999999901</v>
      </c>
      <c r="E2451" s="248">
        <v>2194.3376000000098</v>
      </c>
      <c r="F2451" s="248">
        <v>2233.2451999999998</v>
      </c>
      <c r="G2451" s="248">
        <v>2265.1536000000001</v>
      </c>
      <c r="H2451" s="248">
        <v>2322.4983999999799</v>
      </c>
      <c r="I2451"/>
      <c r="J2451"/>
      <c r="K2451"/>
      <c r="L2451"/>
      <c r="M2451"/>
    </row>
    <row r="2452" spans="3:13" hidden="1" outlineLevel="1" x14ac:dyDescent="0.2">
      <c r="C2452" s="139">
        <v>2226</v>
      </c>
      <c r="D2452" s="248">
        <v>2136.9452999999899</v>
      </c>
      <c r="E2452" s="248">
        <v>2195.3238000000101</v>
      </c>
      <c r="F2452" s="248">
        <v>2234.2489</v>
      </c>
      <c r="G2452" s="248">
        <v>2266.1716999999999</v>
      </c>
      <c r="H2452" s="248">
        <v>2323.5421999999799</v>
      </c>
      <c r="I2452"/>
      <c r="J2452"/>
      <c r="K2452"/>
      <c r="L2452"/>
      <c r="M2452"/>
    </row>
    <row r="2453" spans="3:13" hidden="1" outlineLevel="1" x14ac:dyDescent="0.2">
      <c r="C2453" s="139">
        <v>2227</v>
      </c>
      <c r="D2453" s="248">
        <v>2137.95999999999</v>
      </c>
      <c r="E2453" s="248">
        <v>2196.3100000000099</v>
      </c>
      <c r="F2453" s="248">
        <v>2235.2525999999998</v>
      </c>
      <c r="G2453" s="248">
        <v>2267.1898000000001</v>
      </c>
      <c r="H2453" s="248">
        <v>2324.5859999999798</v>
      </c>
      <c r="I2453"/>
      <c r="J2453"/>
      <c r="K2453"/>
      <c r="L2453"/>
      <c r="M2453"/>
    </row>
    <row r="2454" spans="3:13" hidden="1" outlineLevel="1" x14ac:dyDescent="0.2">
      <c r="C2454" s="139">
        <v>2228</v>
      </c>
      <c r="D2454" s="248">
        <v>2138.9746999999902</v>
      </c>
      <c r="E2454" s="248">
        <v>2197.2962000000098</v>
      </c>
      <c r="F2454" s="248">
        <v>2236.2563</v>
      </c>
      <c r="G2454" s="248">
        <v>2268.2078999999999</v>
      </c>
      <c r="H2454" s="248">
        <v>2325.6297999999802</v>
      </c>
      <c r="I2454"/>
      <c r="J2454"/>
      <c r="K2454"/>
      <c r="L2454"/>
      <c r="M2454"/>
    </row>
    <row r="2455" spans="3:13" hidden="1" outlineLevel="1" x14ac:dyDescent="0.2">
      <c r="C2455" s="139">
        <v>2229</v>
      </c>
      <c r="D2455" s="248">
        <v>2139.9893999999899</v>
      </c>
      <c r="E2455" s="248">
        <v>2198.2824000000101</v>
      </c>
      <c r="F2455" s="248">
        <v>2237.2600000000002</v>
      </c>
      <c r="G2455" s="248">
        <v>2269.2260000000001</v>
      </c>
      <c r="H2455" s="248">
        <v>2326.6735999999801</v>
      </c>
      <c r="I2455"/>
      <c r="J2455"/>
      <c r="K2455"/>
      <c r="L2455"/>
      <c r="M2455"/>
    </row>
    <row r="2456" spans="3:13" hidden="1" outlineLevel="1" x14ac:dyDescent="0.2">
      <c r="C2456" s="139">
        <v>2230</v>
      </c>
      <c r="D2456" s="248">
        <v>2141.0040999999901</v>
      </c>
      <c r="E2456" s="248">
        <v>2199.2686000000099</v>
      </c>
      <c r="F2456" s="248">
        <v>2238.2637</v>
      </c>
      <c r="G2456" s="248">
        <v>2270.2440999999999</v>
      </c>
      <c r="H2456" s="248">
        <v>2327.71739999998</v>
      </c>
      <c r="I2456"/>
      <c r="J2456"/>
      <c r="K2456"/>
      <c r="L2456"/>
      <c r="M2456"/>
    </row>
    <row r="2457" spans="3:13" hidden="1" outlineLevel="1" x14ac:dyDescent="0.2">
      <c r="C2457" s="139">
        <v>2231</v>
      </c>
      <c r="D2457" s="248">
        <v>2142.0187999999898</v>
      </c>
      <c r="E2457" s="248">
        <v>2200.2548000000102</v>
      </c>
      <c r="F2457" s="248">
        <v>2239.2673999999902</v>
      </c>
      <c r="G2457" s="248">
        <v>2271.2622000000001</v>
      </c>
      <c r="H2457" s="248">
        <v>2328.7611999999799</v>
      </c>
      <c r="I2457"/>
      <c r="J2457"/>
      <c r="K2457"/>
      <c r="L2457"/>
      <c r="M2457"/>
    </row>
    <row r="2458" spans="3:13" hidden="1" outlineLevel="1" x14ac:dyDescent="0.2">
      <c r="C2458" s="139">
        <v>2232</v>
      </c>
      <c r="D2458" s="248">
        <v>2143.03349999999</v>
      </c>
      <c r="E2458" s="248">
        <v>2201.24100000001</v>
      </c>
      <c r="F2458" s="248">
        <v>2240.2710999999899</v>
      </c>
      <c r="G2458" s="248">
        <v>2272.2802999999999</v>
      </c>
      <c r="H2458" s="248">
        <v>2329.8049999999798</v>
      </c>
      <c r="I2458"/>
      <c r="J2458"/>
      <c r="K2458"/>
      <c r="L2458"/>
      <c r="M2458"/>
    </row>
    <row r="2459" spans="3:13" hidden="1" outlineLevel="1" x14ac:dyDescent="0.2">
      <c r="C2459" s="139">
        <v>2233</v>
      </c>
      <c r="D2459" s="248">
        <v>2144.0481999999902</v>
      </c>
      <c r="E2459" s="248">
        <v>2202.2272000000098</v>
      </c>
      <c r="F2459" s="248">
        <v>2241.2747999999901</v>
      </c>
      <c r="G2459" s="248">
        <v>2273.2984000000001</v>
      </c>
      <c r="H2459" s="248">
        <v>2330.8487999999802</v>
      </c>
      <c r="I2459"/>
      <c r="J2459"/>
      <c r="K2459"/>
      <c r="L2459"/>
      <c r="M2459"/>
    </row>
    <row r="2460" spans="3:13" hidden="1" outlineLevel="1" x14ac:dyDescent="0.2">
      <c r="C2460" s="139">
        <v>2234</v>
      </c>
      <c r="D2460" s="248">
        <v>2145.0628999999899</v>
      </c>
      <c r="E2460" s="248">
        <v>2203.2134000000101</v>
      </c>
      <c r="F2460" s="248">
        <v>2242.2784999999899</v>
      </c>
      <c r="G2460" s="248">
        <v>2274.3164999999999</v>
      </c>
      <c r="H2460" s="248">
        <v>2331.8925999999801</v>
      </c>
      <c r="I2460"/>
      <c r="J2460"/>
      <c r="K2460"/>
      <c r="L2460"/>
      <c r="M2460"/>
    </row>
    <row r="2461" spans="3:13" hidden="1" outlineLevel="1" x14ac:dyDescent="0.2">
      <c r="C2461" s="139">
        <v>2235</v>
      </c>
      <c r="D2461" s="248">
        <v>2146.0775999999901</v>
      </c>
      <c r="E2461" s="248">
        <v>2204.1996000000099</v>
      </c>
      <c r="F2461" s="248">
        <v>2243.2822000000001</v>
      </c>
      <c r="G2461" s="248">
        <v>2275.3346000000001</v>
      </c>
      <c r="H2461" s="248">
        <v>2332.93639999998</v>
      </c>
      <c r="I2461"/>
      <c r="J2461"/>
      <c r="K2461"/>
      <c r="L2461"/>
      <c r="M2461"/>
    </row>
    <row r="2462" spans="3:13" hidden="1" outlineLevel="1" x14ac:dyDescent="0.2">
      <c r="C2462" s="139">
        <v>2236</v>
      </c>
      <c r="D2462" s="248">
        <v>2147.0922999999898</v>
      </c>
      <c r="E2462" s="248">
        <v>2205.1858000000102</v>
      </c>
      <c r="F2462" s="248">
        <v>2244.2858999999899</v>
      </c>
      <c r="G2462" s="248">
        <v>2276.3526999999999</v>
      </c>
      <c r="H2462" s="248">
        <v>2333.98019999998</v>
      </c>
      <c r="I2462"/>
      <c r="J2462"/>
      <c r="K2462"/>
      <c r="L2462"/>
      <c r="M2462"/>
    </row>
    <row r="2463" spans="3:13" hidden="1" outlineLevel="1" x14ac:dyDescent="0.2">
      <c r="C2463" s="139">
        <v>2237</v>
      </c>
      <c r="D2463" s="248">
        <v>2148.10699999999</v>
      </c>
      <c r="E2463" s="248">
        <v>2206.17200000001</v>
      </c>
      <c r="F2463" s="248">
        <v>2245.2896000000001</v>
      </c>
      <c r="G2463" s="248">
        <v>2277.3708000000001</v>
      </c>
      <c r="H2463" s="248">
        <v>2335.0239999999799</v>
      </c>
      <c r="I2463"/>
      <c r="J2463"/>
      <c r="K2463"/>
      <c r="L2463"/>
      <c r="M2463"/>
    </row>
    <row r="2464" spans="3:13" hidden="1" outlineLevel="1" x14ac:dyDescent="0.2">
      <c r="C2464" s="139">
        <v>2238</v>
      </c>
      <c r="D2464" s="248">
        <v>2149.1216999999901</v>
      </c>
      <c r="E2464" s="248">
        <v>2207.1582000000099</v>
      </c>
      <c r="F2464" s="248">
        <v>2246.2932999999898</v>
      </c>
      <c r="G2464" s="248">
        <v>2278.3888999999999</v>
      </c>
      <c r="H2464" s="248">
        <v>2336.0677999999798</v>
      </c>
      <c r="I2464"/>
      <c r="J2464"/>
      <c r="K2464"/>
      <c r="L2464"/>
      <c r="M2464"/>
    </row>
    <row r="2465" spans="3:13" hidden="1" outlineLevel="1" x14ac:dyDescent="0.2">
      <c r="C2465" s="139">
        <v>2239</v>
      </c>
      <c r="D2465" s="248">
        <v>2150.1363999999899</v>
      </c>
      <c r="E2465" s="248">
        <v>2208.1444000000101</v>
      </c>
      <c r="F2465" s="248">
        <v>2247.297</v>
      </c>
      <c r="G2465" s="248">
        <v>2279.4070000000002</v>
      </c>
      <c r="H2465" s="248">
        <v>2337.1115999999802</v>
      </c>
      <c r="I2465"/>
      <c r="J2465"/>
      <c r="K2465"/>
      <c r="L2465"/>
      <c r="M2465"/>
    </row>
    <row r="2466" spans="3:13" hidden="1" outlineLevel="1" x14ac:dyDescent="0.2">
      <c r="C2466" s="139">
        <v>2240</v>
      </c>
      <c r="D2466" s="248">
        <v>2151.15109999999</v>
      </c>
      <c r="E2466" s="248">
        <v>2209.13060000001</v>
      </c>
      <c r="F2466" s="248">
        <v>2248.3006999999898</v>
      </c>
      <c r="G2466" s="248">
        <v>2280.4250999999999</v>
      </c>
      <c r="H2466" s="248">
        <v>2338.1553999999801</v>
      </c>
      <c r="I2466"/>
      <c r="J2466"/>
      <c r="K2466"/>
      <c r="L2466"/>
      <c r="M2466"/>
    </row>
    <row r="2467" spans="3:13" hidden="1" outlineLevel="1" x14ac:dyDescent="0.2">
      <c r="C2467" s="139">
        <v>2241</v>
      </c>
      <c r="D2467" s="248">
        <v>2152.1657999999902</v>
      </c>
      <c r="E2467" s="248">
        <v>2210.1168000000098</v>
      </c>
      <c r="F2467" s="248">
        <v>2249.30439999999</v>
      </c>
      <c r="G2467" s="248">
        <v>2281.4432000000002</v>
      </c>
      <c r="H2467" s="248">
        <v>2339.19919999998</v>
      </c>
      <c r="I2467"/>
      <c r="J2467"/>
      <c r="K2467"/>
      <c r="L2467"/>
      <c r="M2467"/>
    </row>
    <row r="2468" spans="3:13" hidden="1" outlineLevel="1" x14ac:dyDescent="0.2">
      <c r="C2468" s="139">
        <v>2242</v>
      </c>
      <c r="D2468" s="248">
        <v>2153.1804999999899</v>
      </c>
      <c r="E2468" s="248">
        <v>2211.1030000000101</v>
      </c>
      <c r="F2468" s="248">
        <v>2250.3080999999902</v>
      </c>
      <c r="G2468" s="248">
        <v>2282.4612999999999</v>
      </c>
      <c r="H2468" s="248">
        <v>2340.2429999999799</v>
      </c>
      <c r="I2468"/>
      <c r="J2468"/>
      <c r="K2468"/>
      <c r="L2468"/>
      <c r="M2468"/>
    </row>
    <row r="2469" spans="3:13" hidden="1" outlineLevel="1" x14ac:dyDescent="0.2">
      <c r="C2469" s="139">
        <v>2243</v>
      </c>
      <c r="D2469" s="248">
        <v>2154.1951999999901</v>
      </c>
      <c r="E2469" s="248">
        <v>2212.0892000000099</v>
      </c>
      <c r="F2469" s="248">
        <v>2251.3117999999899</v>
      </c>
      <c r="G2469" s="248">
        <v>2283.4794000000002</v>
      </c>
      <c r="H2469" s="248">
        <v>2341.2867999999798</v>
      </c>
      <c r="I2469"/>
      <c r="J2469"/>
      <c r="K2469"/>
      <c r="L2469"/>
      <c r="M2469"/>
    </row>
    <row r="2470" spans="3:13" hidden="1" outlineLevel="1" x14ac:dyDescent="0.2">
      <c r="C2470" s="139">
        <v>2244</v>
      </c>
      <c r="D2470" s="248">
        <v>2155.2098999999898</v>
      </c>
      <c r="E2470" s="248">
        <v>2213.0754000000102</v>
      </c>
      <c r="F2470" s="248">
        <v>2252.3155000000002</v>
      </c>
      <c r="G2470" s="248">
        <v>2284.4974999999999</v>
      </c>
      <c r="H2470" s="248">
        <v>2342.3305999999802</v>
      </c>
      <c r="I2470"/>
      <c r="J2470"/>
      <c r="K2470"/>
      <c r="L2470"/>
      <c r="M2470"/>
    </row>
    <row r="2471" spans="3:13" hidden="1" outlineLevel="1" x14ac:dyDescent="0.2">
      <c r="C2471" s="139">
        <v>2245</v>
      </c>
      <c r="D2471" s="248">
        <v>2156.22459999999</v>
      </c>
      <c r="E2471" s="248">
        <v>2214.06160000001</v>
      </c>
      <c r="F2471" s="248">
        <v>2253.3191999999899</v>
      </c>
      <c r="G2471" s="248">
        <v>2285.5156000000002</v>
      </c>
      <c r="H2471" s="248">
        <v>2343.3743999999801</v>
      </c>
      <c r="I2471"/>
      <c r="J2471"/>
      <c r="K2471"/>
      <c r="L2471"/>
      <c r="M2471"/>
    </row>
    <row r="2472" spans="3:13" hidden="1" outlineLevel="1" x14ac:dyDescent="0.2">
      <c r="C2472" s="139">
        <v>2246</v>
      </c>
      <c r="D2472" s="248">
        <v>2157.2392999999902</v>
      </c>
      <c r="E2472" s="248">
        <v>2215.0478000000098</v>
      </c>
      <c r="F2472" s="248">
        <v>2254.3229000000001</v>
      </c>
      <c r="G2472" s="248">
        <v>2286.5337</v>
      </c>
      <c r="H2472" s="248">
        <v>2344.4181999999801</v>
      </c>
      <c r="I2472"/>
      <c r="J2472"/>
      <c r="K2472"/>
      <c r="L2472"/>
      <c r="M2472"/>
    </row>
    <row r="2473" spans="3:13" hidden="1" outlineLevel="1" x14ac:dyDescent="0.2">
      <c r="C2473" s="139">
        <v>2247</v>
      </c>
      <c r="D2473" s="248">
        <v>2158.2539999999899</v>
      </c>
      <c r="E2473" s="248">
        <v>2216.0340000000101</v>
      </c>
      <c r="F2473" s="248">
        <v>2255.3265999999899</v>
      </c>
      <c r="G2473" s="248">
        <v>2287.5518000000002</v>
      </c>
      <c r="H2473" s="248">
        <v>2345.46199999998</v>
      </c>
      <c r="I2473"/>
      <c r="J2473"/>
      <c r="K2473"/>
      <c r="L2473"/>
      <c r="M2473"/>
    </row>
    <row r="2474" spans="3:13" hidden="1" outlineLevel="1" x14ac:dyDescent="0.2">
      <c r="C2474" s="139">
        <v>2248</v>
      </c>
      <c r="D2474" s="248">
        <v>2159.2686999999901</v>
      </c>
      <c r="E2474" s="248">
        <v>2217.0202000000099</v>
      </c>
      <c r="F2474" s="248">
        <v>2256.3303000000001</v>
      </c>
      <c r="G2474" s="248">
        <v>2288.5699</v>
      </c>
      <c r="H2474" s="248">
        <v>2346.5057999999799</v>
      </c>
      <c r="I2474"/>
      <c r="J2474"/>
      <c r="K2474"/>
      <c r="L2474"/>
      <c r="M2474"/>
    </row>
    <row r="2475" spans="3:13" hidden="1" outlineLevel="1" x14ac:dyDescent="0.2">
      <c r="C2475" s="139">
        <v>2249</v>
      </c>
      <c r="D2475" s="248">
        <v>2160.2833999999898</v>
      </c>
      <c r="E2475" s="248">
        <v>2218.0064000000102</v>
      </c>
      <c r="F2475" s="248">
        <v>2257.3339999999898</v>
      </c>
      <c r="G2475" s="248">
        <v>2289.5880000000002</v>
      </c>
      <c r="H2475" s="248">
        <v>2347.5495999999798</v>
      </c>
      <c r="I2475"/>
      <c r="J2475"/>
      <c r="K2475"/>
      <c r="L2475"/>
      <c r="M2475"/>
    </row>
    <row r="2476" spans="3:13" hidden="1" outlineLevel="1" x14ac:dyDescent="0.2">
      <c r="C2476" s="139">
        <v>2250</v>
      </c>
      <c r="D2476" s="248">
        <v>2161.29809999999</v>
      </c>
      <c r="E2476" s="248">
        <v>2218.99260000001</v>
      </c>
      <c r="F2476" s="248">
        <v>2258.3377</v>
      </c>
      <c r="G2476" s="248">
        <v>2290.6061</v>
      </c>
      <c r="H2476" s="248">
        <v>2348.5933999999802</v>
      </c>
      <c r="I2476"/>
      <c r="J2476"/>
      <c r="K2476"/>
      <c r="L2476"/>
      <c r="M2476"/>
    </row>
    <row r="2477" spans="3:13" hidden="1" outlineLevel="1" x14ac:dyDescent="0.2">
      <c r="C2477" s="139">
        <v>2251</v>
      </c>
      <c r="D2477" s="248">
        <v>2162.3127999999901</v>
      </c>
      <c r="E2477" s="248">
        <v>2219.9788000000099</v>
      </c>
      <c r="F2477" s="248">
        <v>2259.3413999999898</v>
      </c>
      <c r="G2477" s="248">
        <v>2291.6242000000002</v>
      </c>
      <c r="H2477" s="248">
        <v>2349.6371999999801</v>
      </c>
      <c r="I2477"/>
      <c r="J2477"/>
      <c r="K2477"/>
      <c r="L2477"/>
      <c r="M2477"/>
    </row>
    <row r="2478" spans="3:13" hidden="1" outlineLevel="1" x14ac:dyDescent="0.2">
      <c r="C2478" s="139">
        <v>2252</v>
      </c>
      <c r="D2478" s="248">
        <v>2163.3274999999899</v>
      </c>
      <c r="E2478" s="248">
        <v>2220.9650000000101</v>
      </c>
      <c r="F2478" s="248">
        <v>2260.3451</v>
      </c>
      <c r="G2478" s="248">
        <v>2292.6423</v>
      </c>
      <c r="H2478" s="248">
        <v>2350.68099999998</v>
      </c>
      <c r="I2478"/>
      <c r="J2478"/>
      <c r="K2478"/>
      <c r="L2478"/>
      <c r="M2478"/>
    </row>
    <row r="2479" spans="3:13" hidden="1" outlineLevel="1" x14ac:dyDescent="0.2">
      <c r="C2479" s="139">
        <v>2253</v>
      </c>
      <c r="D2479" s="248">
        <v>2164.34219999999</v>
      </c>
      <c r="E2479" s="248">
        <v>2221.95120000001</v>
      </c>
      <c r="F2479" s="248">
        <v>2261.3487999999902</v>
      </c>
      <c r="G2479" s="248">
        <v>2293.6604000000002</v>
      </c>
      <c r="H2479" s="248">
        <v>2351.72479999998</v>
      </c>
      <c r="I2479"/>
      <c r="J2479"/>
      <c r="K2479"/>
      <c r="L2479"/>
      <c r="M2479"/>
    </row>
    <row r="2480" spans="3:13" hidden="1" outlineLevel="1" x14ac:dyDescent="0.2">
      <c r="C2480" s="139">
        <v>2254</v>
      </c>
      <c r="D2480" s="248">
        <v>2165.3568999999902</v>
      </c>
      <c r="E2480" s="248">
        <v>2222.9374000000098</v>
      </c>
      <c r="F2480" s="248">
        <v>2262.35249999999</v>
      </c>
      <c r="G2480" s="248">
        <v>2294.6785</v>
      </c>
      <c r="H2480" s="248">
        <v>2352.7685999999799</v>
      </c>
      <c r="I2480"/>
      <c r="J2480"/>
      <c r="K2480"/>
      <c r="L2480"/>
      <c r="M2480"/>
    </row>
    <row r="2481" spans="3:13" hidden="1" outlineLevel="1" x14ac:dyDescent="0.2">
      <c r="C2481" s="139">
        <v>2255</v>
      </c>
      <c r="D2481" s="248">
        <v>2166.3715999999899</v>
      </c>
      <c r="E2481" s="248">
        <v>2223.9236000000101</v>
      </c>
      <c r="F2481" s="248">
        <v>2263.3561999999902</v>
      </c>
      <c r="G2481" s="248">
        <v>2295.6966000000002</v>
      </c>
      <c r="H2481" s="248">
        <v>2353.8123999999798</v>
      </c>
      <c r="I2481"/>
      <c r="J2481"/>
      <c r="K2481"/>
      <c r="L2481"/>
      <c r="M2481"/>
    </row>
    <row r="2482" spans="3:13" hidden="1" outlineLevel="1" x14ac:dyDescent="0.2">
      <c r="C2482" s="139">
        <v>2256</v>
      </c>
      <c r="D2482" s="248">
        <v>2167.3862999999901</v>
      </c>
      <c r="E2482" s="248">
        <v>2224.9098000000099</v>
      </c>
      <c r="F2482" s="248">
        <v>2264.3598999999899</v>
      </c>
      <c r="G2482" s="248">
        <v>2296.7147</v>
      </c>
      <c r="H2482" s="248">
        <v>2354.8561999999802</v>
      </c>
      <c r="I2482"/>
      <c r="J2482"/>
      <c r="K2482"/>
      <c r="L2482"/>
      <c r="M2482"/>
    </row>
    <row r="2483" spans="3:13" hidden="1" outlineLevel="1" x14ac:dyDescent="0.2">
      <c r="C2483" s="139">
        <v>2257</v>
      </c>
      <c r="D2483" s="248">
        <v>2168.4009999999898</v>
      </c>
      <c r="E2483" s="248">
        <v>2225.8960000000102</v>
      </c>
      <c r="F2483" s="248">
        <v>2265.3636000000001</v>
      </c>
      <c r="G2483" s="248">
        <v>2297.7328000000002</v>
      </c>
      <c r="H2483" s="248">
        <v>2355.8999999999801</v>
      </c>
      <c r="I2483"/>
      <c r="J2483"/>
      <c r="K2483"/>
      <c r="L2483"/>
      <c r="M2483"/>
    </row>
    <row r="2484" spans="3:13" hidden="1" outlineLevel="1" x14ac:dyDescent="0.2">
      <c r="C2484" s="139">
        <v>2258</v>
      </c>
      <c r="D2484" s="248">
        <v>2169.41569999999</v>
      </c>
      <c r="E2484" s="248">
        <v>2226.88220000001</v>
      </c>
      <c r="F2484" s="248">
        <v>2266.3672999999899</v>
      </c>
      <c r="G2484" s="248">
        <v>2298.7509</v>
      </c>
      <c r="H2484" s="248">
        <v>2356.94379999998</v>
      </c>
      <c r="I2484"/>
      <c r="J2484"/>
      <c r="K2484"/>
      <c r="L2484"/>
      <c r="M2484"/>
    </row>
    <row r="2485" spans="3:13" hidden="1" outlineLevel="1" x14ac:dyDescent="0.2">
      <c r="C2485" s="139">
        <v>2259</v>
      </c>
      <c r="D2485" s="248">
        <v>2170.4303999999902</v>
      </c>
      <c r="E2485" s="248">
        <v>2227.8684000000098</v>
      </c>
      <c r="F2485" s="248">
        <v>2267.3710000000001</v>
      </c>
      <c r="G2485" s="248">
        <v>2299.7689999999998</v>
      </c>
      <c r="H2485" s="248">
        <v>2357.9875999999799</v>
      </c>
      <c r="I2485"/>
      <c r="J2485"/>
      <c r="K2485"/>
      <c r="L2485"/>
      <c r="M2485"/>
    </row>
    <row r="2486" spans="3:13" hidden="1" outlineLevel="1" x14ac:dyDescent="0.2">
      <c r="C2486" s="139">
        <v>2260</v>
      </c>
      <c r="D2486" s="248">
        <v>2171.4450999999899</v>
      </c>
      <c r="E2486" s="248">
        <v>2228.8546000000101</v>
      </c>
      <c r="F2486" s="248">
        <v>2268.3746999999898</v>
      </c>
      <c r="G2486" s="248">
        <v>2300.7871</v>
      </c>
      <c r="H2486" s="248">
        <v>2359.0313999999798</v>
      </c>
      <c r="I2486"/>
      <c r="J2486"/>
      <c r="K2486"/>
      <c r="L2486"/>
      <c r="M2486"/>
    </row>
    <row r="2487" spans="3:13" hidden="1" outlineLevel="1" x14ac:dyDescent="0.2">
      <c r="C2487" s="139">
        <v>2261</v>
      </c>
      <c r="D2487" s="248">
        <v>2172.4597999999901</v>
      </c>
      <c r="E2487" s="248">
        <v>2229.8408000000099</v>
      </c>
      <c r="F2487" s="248">
        <v>2269.3784000000001</v>
      </c>
      <c r="G2487" s="248">
        <v>2301.8051999999998</v>
      </c>
      <c r="H2487" s="248">
        <v>2360.0751999999802</v>
      </c>
      <c r="I2487"/>
      <c r="J2487"/>
      <c r="K2487"/>
      <c r="L2487"/>
      <c r="M2487"/>
    </row>
    <row r="2488" spans="3:13" hidden="1" outlineLevel="1" x14ac:dyDescent="0.2">
      <c r="C2488" s="139">
        <v>2262</v>
      </c>
      <c r="D2488" s="248">
        <v>2173.4744999999898</v>
      </c>
      <c r="E2488" s="248">
        <v>2230.8270000000098</v>
      </c>
      <c r="F2488" s="248">
        <v>2270.3820999999898</v>
      </c>
      <c r="G2488" s="248">
        <v>2302.8233</v>
      </c>
      <c r="H2488" s="248">
        <v>2361.1189999999801</v>
      </c>
      <c r="I2488"/>
      <c r="J2488"/>
      <c r="K2488"/>
      <c r="L2488"/>
      <c r="M2488"/>
    </row>
    <row r="2489" spans="3:13" hidden="1" outlineLevel="1" x14ac:dyDescent="0.2">
      <c r="C2489" s="139">
        <v>2263</v>
      </c>
      <c r="D2489" s="248">
        <v>2174.48919999999</v>
      </c>
      <c r="E2489" s="248">
        <v>2231.8132000000101</v>
      </c>
      <c r="F2489" s="248">
        <v>2271.3858</v>
      </c>
      <c r="G2489" s="248">
        <v>2303.8413999999998</v>
      </c>
      <c r="H2489" s="248">
        <v>2362.1627999999801</v>
      </c>
      <c r="I2489"/>
      <c r="J2489"/>
      <c r="K2489"/>
      <c r="L2489"/>
      <c r="M2489"/>
    </row>
    <row r="2490" spans="3:13" hidden="1" outlineLevel="1" x14ac:dyDescent="0.2">
      <c r="C2490" s="139">
        <v>2264</v>
      </c>
      <c r="D2490" s="248">
        <v>2175.5038999999902</v>
      </c>
      <c r="E2490" s="248">
        <v>2232.7994000000099</v>
      </c>
      <c r="F2490" s="248">
        <v>2272.3894999999902</v>
      </c>
      <c r="G2490" s="248">
        <v>2304.8595</v>
      </c>
      <c r="H2490" s="248">
        <v>2363.20659999998</v>
      </c>
      <c r="I2490"/>
      <c r="J2490"/>
      <c r="K2490"/>
      <c r="L2490"/>
      <c r="M2490"/>
    </row>
    <row r="2491" spans="3:13" hidden="1" outlineLevel="1" x14ac:dyDescent="0.2">
      <c r="C2491" s="139">
        <v>2265</v>
      </c>
      <c r="D2491" s="248">
        <v>2176.5185999999899</v>
      </c>
      <c r="E2491" s="248">
        <v>2233.7856000000102</v>
      </c>
      <c r="F2491" s="248">
        <v>2273.39319999999</v>
      </c>
      <c r="G2491" s="248">
        <v>2305.8775999999998</v>
      </c>
      <c r="H2491" s="248">
        <v>2364.2503999999799</v>
      </c>
      <c r="I2491"/>
      <c r="J2491"/>
      <c r="K2491"/>
      <c r="L2491"/>
      <c r="M2491"/>
    </row>
    <row r="2492" spans="3:13" hidden="1" outlineLevel="1" x14ac:dyDescent="0.2">
      <c r="C2492" s="139">
        <v>2266</v>
      </c>
      <c r="D2492" s="248">
        <v>2177.53329999999</v>
      </c>
      <c r="E2492" s="248">
        <v>2234.77180000001</v>
      </c>
      <c r="F2492" s="248">
        <v>2274.3968999999902</v>
      </c>
      <c r="G2492" s="248">
        <v>2306.8957</v>
      </c>
      <c r="H2492" s="248">
        <v>2365.2941999999798</v>
      </c>
      <c r="I2492"/>
      <c r="J2492"/>
      <c r="K2492"/>
      <c r="L2492"/>
      <c r="M2492"/>
    </row>
    <row r="2493" spans="3:13" hidden="1" outlineLevel="1" x14ac:dyDescent="0.2">
      <c r="C2493" s="139">
        <v>2267</v>
      </c>
      <c r="D2493" s="248">
        <v>2178.5479999999902</v>
      </c>
      <c r="E2493" s="248">
        <v>2235.7580000000098</v>
      </c>
      <c r="F2493" s="248">
        <v>2275.4005999999899</v>
      </c>
      <c r="G2493" s="248">
        <v>2307.9137999999998</v>
      </c>
      <c r="H2493" s="248">
        <v>2366.3379999999802</v>
      </c>
      <c r="I2493"/>
      <c r="J2493"/>
      <c r="K2493"/>
      <c r="L2493"/>
      <c r="M2493"/>
    </row>
    <row r="2494" spans="3:13" hidden="1" outlineLevel="1" x14ac:dyDescent="0.2">
      <c r="C2494" s="139">
        <v>2268</v>
      </c>
      <c r="D2494" s="248">
        <v>2179.5626999999899</v>
      </c>
      <c r="E2494" s="248">
        <v>2236.7442000000101</v>
      </c>
      <c r="F2494" s="248">
        <v>2276.4042999999901</v>
      </c>
      <c r="G2494" s="248">
        <v>2308.9319</v>
      </c>
      <c r="H2494" s="248">
        <v>2367.3817999999801</v>
      </c>
      <c r="I2494"/>
      <c r="J2494"/>
      <c r="K2494"/>
      <c r="L2494"/>
      <c r="M2494"/>
    </row>
    <row r="2495" spans="3:13" hidden="1" outlineLevel="1" x14ac:dyDescent="0.2">
      <c r="C2495" s="139">
        <v>2269</v>
      </c>
      <c r="D2495" s="248">
        <v>2180.5773999999901</v>
      </c>
      <c r="E2495" s="248">
        <v>2237.7304000000099</v>
      </c>
      <c r="F2495" s="248">
        <v>2277.4079999999899</v>
      </c>
      <c r="G2495" s="248">
        <v>2309.9499999999998</v>
      </c>
      <c r="H2495" s="248">
        <v>2368.42559999998</v>
      </c>
      <c r="I2495"/>
      <c r="J2495"/>
      <c r="K2495"/>
      <c r="L2495"/>
      <c r="M2495"/>
    </row>
    <row r="2496" spans="3:13" hidden="1" outlineLevel="1" x14ac:dyDescent="0.2">
      <c r="C2496" s="139">
        <v>2270</v>
      </c>
      <c r="D2496" s="248">
        <v>2181.5920999999898</v>
      </c>
      <c r="E2496" s="248">
        <v>2238.7166000000102</v>
      </c>
      <c r="F2496" s="248">
        <v>2278.4117000000001</v>
      </c>
      <c r="G2496" s="248">
        <v>2310.9681</v>
      </c>
      <c r="H2496" s="248">
        <v>2369.4693999999799</v>
      </c>
      <c r="I2496"/>
      <c r="J2496"/>
      <c r="K2496"/>
      <c r="L2496"/>
      <c r="M2496"/>
    </row>
    <row r="2497" spans="3:13" hidden="1" outlineLevel="1" x14ac:dyDescent="0.2">
      <c r="C2497" s="139">
        <v>2271</v>
      </c>
      <c r="D2497" s="248">
        <v>2182.60679999999</v>
      </c>
      <c r="E2497" s="248">
        <v>2239.70280000002</v>
      </c>
      <c r="F2497" s="248">
        <v>2279.4153999999899</v>
      </c>
      <c r="G2497" s="248">
        <v>2311.9861999999998</v>
      </c>
      <c r="H2497" s="248">
        <v>2370.5131999999799</v>
      </c>
      <c r="I2497"/>
      <c r="J2497"/>
      <c r="K2497"/>
      <c r="L2497"/>
      <c r="M2497"/>
    </row>
    <row r="2498" spans="3:13" hidden="1" outlineLevel="1" x14ac:dyDescent="0.2">
      <c r="C2498" s="139">
        <v>2272</v>
      </c>
      <c r="D2498" s="248">
        <v>2183.6214999999902</v>
      </c>
      <c r="E2498" s="248">
        <v>2240.6890000000099</v>
      </c>
      <c r="F2498" s="248">
        <v>2280.4191000000001</v>
      </c>
      <c r="G2498" s="248">
        <v>2313.0043000000001</v>
      </c>
      <c r="H2498" s="248">
        <v>2371.5569999999798</v>
      </c>
      <c r="I2498"/>
      <c r="J2498"/>
      <c r="K2498"/>
      <c r="L2498"/>
      <c r="M2498"/>
    </row>
    <row r="2499" spans="3:13" hidden="1" outlineLevel="1" x14ac:dyDescent="0.2">
      <c r="C2499" s="139">
        <v>2273</v>
      </c>
      <c r="D2499" s="248">
        <v>2184.6361999999899</v>
      </c>
      <c r="E2499" s="248">
        <v>2241.6752000000201</v>
      </c>
      <c r="F2499" s="248">
        <v>2281.4227999999898</v>
      </c>
      <c r="G2499" s="248">
        <v>2314.0223999999998</v>
      </c>
      <c r="H2499" s="248">
        <v>2372.6007999999802</v>
      </c>
      <c r="I2499"/>
      <c r="J2499"/>
      <c r="K2499"/>
      <c r="L2499"/>
      <c r="M2499"/>
    </row>
    <row r="2500" spans="3:13" hidden="1" outlineLevel="1" x14ac:dyDescent="0.2">
      <c r="C2500" s="139">
        <v>2274</v>
      </c>
      <c r="D2500" s="248">
        <v>2185.6508999999901</v>
      </c>
      <c r="E2500" s="248">
        <v>2242.66140000001</v>
      </c>
      <c r="F2500" s="248">
        <v>2282.4265</v>
      </c>
      <c r="G2500" s="248">
        <v>2315.0405000000001</v>
      </c>
      <c r="H2500" s="248">
        <v>2373.6445999999801</v>
      </c>
      <c r="I2500"/>
      <c r="J2500"/>
      <c r="K2500"/>
      <c r="L2500"/>
      <c r="M2500"/>
    </row>
    <row r="2501" spans="3:13" hidden="1" outlineLevel="1" x14ac:dyDescent="0.2">
      <c r="C2501" s="139">
        <v>2275</v>
      </c>
      <c r="D2501" s="248">
        <v>2186.6655999999898</v>
      </c>
      <c r="E2501" s="248">
        <v>2243.6476000000098</v>
      </c>
      <c r="F2501" s="248">
        <v>2283.4301999999898</v>
      </c>
      <c r="G2501" s="248">
        <v>2316.0585999999998</v>
      </c>
      <c r="H2501" s="248">
        <v>2374.68839999998</v>
      </c>
      <c r="I2501"/>
      <c r="J2501"/>
      <c r="K2501"/>
      <c r="L2501"/>
      <c r="M2501"/>
    </row>
    <row r="2502" spans="3:13" hidden="1" outlineLevel="1" x14ac:dyDescent="0.2">
      <c r="C2502" s="139">
        <v>2276</v>
      </c>
      <c r="D2502" s="248">
        <v>2187.68029999998</v>
      </c>
      <c r="E2502" s="248">
        <v>2244.6338000000201</v>
      </c>
      <c r="F2502" s="248">
        <v>2284.43389999999</v>
      </c>
      <c r="G2502" s="248">
        <v>2317.0767000000001</v>
      </c>
      <c r="H2502" s="248">
        <v>2375.7321999999799</v>
      </c>
      <c r="I2502"/>
      <c r="J2502"/>
      <c r="K2502"/>
      <c r="L2502"/>
      <c r="M2502"/>
    </row>
    <row r="2503" spans="3:13" hidden="1" outlineLevel="1" x14ac:dyDescent="0.2">
      <c r="C2503" s="139">
        <v>2277</v>
      </c>
      <c r="D2503" s="248">
        <v>2188.6949999999902</v>
      </c>
      <c r="E2503" s="248">
        <v>2245.6200000000099</v>
      </c>
      <c r="F2503" s="248">
        <v>2285.4375999999902</v>
      </c>
      <c r="G2503" s="248">
        <v>2318.0947999999999</v>
      </c>
      <c r="H2503" s="248">
        <v>2376.7759999999798</v>
      </c>
      <c r="I2503"/>
      <c r="J2503"/>
      <c r="K2503"/>
      <c r="L2503"/>
      <c r="M2503"/>
    </row>
    <row r="2504" spans="3:13" hidden="1" outlineLevel="1" x14ac:dyDescent="0.2">
      <c r="C2504" s="139">
        <v>2278</v>
      </c>
      <c r="D2504" s="248">
        <v>2189.7096999999799</v>
      </c>
      <c r="E2504" s="248">
        <v>2246.6062000000102</v>
      </c>
      <c r="F2504" s="248">
        <v>2286.44129999999</v>
      </c>
      <c r="G2504" s="248">
        <v>2319.1129000000001</v>
      </c>
      <c r="H2504" s="248">
        <v>2377.8197999999802</v>
      </c>
      <c r="I2504"/>
      <c r="J2504"/>
      <c r="K2504"/>
      <c r="L2504"/>
      <c r="M2504"/>
    </row>
    <row r="2505" spans="3:13" hidden="1" outlineLevel="1" x14ac:dyDescent="0.2">
      <c r="C2505" s="139">
        <v>2279</v>
      </c>
      <c r="D2505" s="248">
        <v>2190.7243999999901</v>
      </c>
      <c r="E2505" s="248">
        <v>2247.59240000002</v>
      </c>
      <c r="F2505" s="248">
        <v>2287.4450000000002</v>
      </c>
      <c r="G2505" s="248">
        <v>2320.1309999999999</v>
      </c>
      <c r="H2505" s="248">
        <v>2378.8635999999801</v>
      </c>
      <c r="I2505"/>
      <c r="J2505"/>
      <c r="K2505"/>
      <c r="L2505"/>
      <c r="M2505"/>
    </row>
    <row r="2506" spans="3:13" hidden="1" outlineLevel="1" x14ac:dyDescent="0.2">
      <c r="C2506" s="139">
        <v>2280</v>
      </c>
      <c r="D2506" s="248">
        <v>2191.7390999999802</v>
      </c>
      <c r="E2506" s="248">
        <v>2248.5786000000098</v>
      </c>
      <c r="F2506" s="248">
        <v>2288.4486999999899</v>
      </c>
      <c r="G2506" s="248">
        <v>2321.1491000000001</v>
      </c>
      <c r="H2506" s="248">
        <v>2379.90739999998</v>
      </c>
      <c r="I2506"/>
      <c r="J2506"/>
      <c r="K2506"/>
      <c r="L2506"/>
      <c r="M2506"/>
    </row>
    <row r="2507" spans="3:13" hidden="1" outlineLevel="1" x14ac:dyDescent="0.2">
      <c r="C2507" s="139">
        <v>2281</v>
      </c>
      <c r="D2507" s="248">
        <v>2192.7537999999799</v>
      </c>
      <c r="E2507" s="248">
        <v>2249.5648000000201</v>
      </c>
      <c r="F2507" s="248">
        <v>2289.4523999999901</v>
      </c>
      <c r="G2507" s="248">
        <v>2322.1671999999999</v>
      </c>
      <c r="H2507" s="248">
        <v>2380.95119999998</v>
      </c>
      <c r="I2507"/>
      <c r="J2507"/>
      <c r="K2507"/>
      <c r="L2507"/>
      <c r="M2507"/>
    </row>
    <row r="2508" spans="3:13" hidden="1" outlineLevel="1" x14ac:dyDescent="0.2">
      <c r="C2508" s="139">
        <v>2282</v>
      </c>
      <c r="D2508" s="248">
        <v>2193.7684999999901</v>
      </c>
      <c r="E2508" s="248">
        <v>2250.5510000000099</v>
      </c>
      <c r="F2508" s="248">
        <v>2290.4560999999899</v>
      </c>
      <c r="G2508" s="248">
        <v>2323.1853000000001</v>
      </c>
      <c r="H2508" s="248">
        <v>2381.9949999999799</v>
      </c>
      <c r="I2508"/>
      <c r="J2508"/>
      <c r="K2508"/>
      <c r="L2508"/>
      <c r="M2508"/>
    </row>
    <row r="2509" spans="3:13" hidden="1" outlineLevel="1" x14ac:dyDescent="0.2">
      <c r="C2509" s="139">
        <v>2283</v>
      </c>
      <c r="D2509" s="248">
        <v>2194.7831999999798</v>
      </c>
      <c r="E2509" s="248">
        <v>2251.5372000000102</v>
      </c>
      <c r="F2509" s="248">
        <v>2291.4597999999901</v>
      </c>
      <c r="G2509" s="248">
        <v>2324.2033999999999</v>
      </c>
      <c r="H2509" s="248">
        <v>2383.0387999999798</v>
      </c>
      <c r="I2509"/>
      <c r="J2509"/>
      <c r="K2509"/>
      <c r="L2509"/>
      <c r="M2509"/>
    </row>
    <row r="2510" spans="3:13" hidden="1" outlineLevel="1" x14ac:dyDescent="0.2">
      <c r="C2510" s="139">
        <v>2284</v>
      </c>
      <c r="D2510" s="248">
        <v>2195.79789999999</v>
      </c>
      <c r="E2510" s="248">
        <v>2252.52340000002</v>
      </c>
      <c r="F2510" s="248">
        <v>2292.4634999999898</v>
      </c>
      <c r="G2510" s="248">
        <v>2325.2215000000001</v>
      </c>
      <c r="H2510" s="248">
        <v>2384.0825999999802</v>
      </c>
      <c r="I2510"/>
      <c r="J2510"/>
      <c r="K2510"/>
      <c r="L2510"/>
      <c r="M2510"/>
    </row>
    <row r="2511" spans="3:13" hidden="1" outlineLevel="1" x14ac:dyDescent="0.2">
      <c r="C2511" s="139">
        <v>2285</v>
      </c>
      <c r="D2511" s="248">
        <v>2196.8125999999802</v>
      </c>
      <c r="E2511" s="248">
        <v>2253.5096000000099</v>
      </c>
      <c r="F2511" s="248">
        <v>2293.46719999999</v>
      </c>
      <c r="G2511" s="248">
        <v>2326.2395999999999</v>
      </c>
      <c r="H2511" s="248">
        <v>2385.1263999999801</v>
      </c>
      <c r="I2511"/>
      <c r="J2511"/>
      <c r="K2511"/>
      <c r="L2511"/>
      <c r="M2511"/>
    </row>
    <row r="2512" spans="3:13" hidden="1" outlineLevel="1" x14ac:dyDescent="0.2">
      <c r="C2512" s="139">
        <v>2286</v>
      </c>
      <c r="D2512" s="248">
        <v>2197.8272999999799</v>
      </c>
      <c r="E2512" s="248">
        <v>2254.4958000000202</v>
      </c>
      <c r="F2512" s="248">
        <v>2294.4708999999898</v>
      </c>
      <c r="G2512" s="248">
        <v>2327.2577000000001</v>
      </c>
      <c r="H2512" s="248">
        <v>2386.17019999998</v>
      </c>
      <c r="I2512"/>
      <c r="J2512"/>
      <c r="K2512"/>
      <c r="L2512"/>
      <c r="M2512"/>
    </row>
    <row r="2513" spans="3:13" hidden="1" outlineLevel="1" x14ac:dyDescent="0.2">
      <c r="C2513" s="139">
        <v>2287</v>
      </c>
      <c r="D2513" s="248">
        <v>2198.8419999999901</v>
      </c>
      <c r="E2513" s="248">
        <v>2255.48200000002</v>
      </c>
      <c r="F2513" s="248">
        <v>2295.47459999999</v>
      </c>
      <c r="G2513" s="248">
        <v>2328.2757999999999</v>
      </c>
      <c r="H2513" s="248">
        <v>2387.2139999999799</v>
      </c>
      <c r="I2513"/>
      <c r="J2513"/>
      <c r="K2513"/>
      <c r="L2513"/>
      <c r="M2513"/>
    </row>
    <row r="2514" spans="3:13" hidden="1" outlineLevel="1" x14ac:dyDescent="0.2">
      <c r="C2514" s="139">
        <v>2288</v>
      </c>
      <c r="D2514" s="248">
        <v>2199.8566999999798</v>
      </c>
      <c r="E2514" s="248">
        <v>2256.4682000000198</v>
      </c>
      <c r="F2514" s="248">
        <v>2296.4782999999902</v>
      </c>
      <c r="G2514" s="248">
        <v>2329.2939000000001</v>
      </c>
      <c r="H2514" s="248">
        <v>2388.2577999999799</v>
      </c>
      <c r="I2514"/>
      <c r="J2514"/>
      <c r="K2514"/>
      <c r="L2514"/>
      <c r="M2514"/>
    </row>
    <row r="2515" spans="3:13" hidden="1" outlineLevel="1" x14ac:dyDescent="0.2">
      <c r="C2515" s="139">
        <v>2289</v>
      </c>
      <c r="D2515" s="248">
        <v>2200.87139999998</v>
      </c>
      <c r="E2515" s="248">
        <v>2257.4544000000201</v>
      </c>
      <c r="F2515" s="248">
        <v>2297.48199999999</v>
      </c>
      <c r="G2515" s="248">
        <v>2330.3119999999999</v>
      </c>
      <c r="H2515" s="248">
        <v>2389.3015999999802</v>
      </c>
      <c r="I2515"/>
      <c r="J2515"/>
      <c r="K2515"/>
      <c r="L2515"/>
      <c r="M2515"/>
    </row>
    <row r="2516" spans="3:13" hidden="1" outlineLevel="1" x14ac:dyDescent="0.2">
      <c r="C2516" s="139">
        <v>2290</v>
      </c>
      <c r="D2516" s="248">
        <v>2201.8860999999902</v>
      </c>
      <c r="E2516" s="248">
        <v>2258.4406000000199</v>
      </c>
      <c r="F2516" s="248">
        <v>2298.4856999999902</v>
      </c>
      <c r="G2516" s="248">
        <v>2331.3301000000001</v>
      </c>
      <c r="H2516" s="248">
        <v>2390.3453999999801</v>
      </c>
      <c r="I2516"/>
      <c r="J2516"/>
      <c r="K2516"/>
      <c r="L2516"/>
      <c r="M2516"/>
    </row>
    <row r="2517" spans="3:13" hidden="1" outlineLevel="1" x14ac:dyDescent="0.2">
      <c r="C2517" s="139">
        <v>2291</v>
      </c>
      <c r="D2517" s="248">
        <v>2202.9007999999799</v>
      </c>
      <c r="E2517" s="248">
        <v>2259.4268000000202</v>
      </c>
      <c r="F2517" s="248">
        <v>2299.4893999999899</v>
      </c>
      <c r="G2517" s="248">
        <v>2332.3481999999999</v>
      </c>
      <c r="H2517" s="248">
        <v>2391.3891999999801</v>
      </c>
      <c r="I2517"/>
      <c r="J2517"/>
      <c r="K2517"/>
      <c r="L2517"/>
      <c r="M2517"/>
    </row>
    <row r="2518" spans="3:13" hidden="1" outlineLevel="1" x14ac:dyDescent="0.2">
      <c r="C2518" s="139">
        <v>2292</v>
      </c>
      <c r="D2518" s="248">
        <v>2203.9154999999901</v>
      </c>
      <c r="E2518" s="248">
        <v>2260.41300000002</v>
      </c>
      <c r="F2518" s="248">
        <v>2300.4930999999901</v>
      </c>
      <c r="G2518" s="248">
        <v>2333.3663000000001</v>
      </c>
      <c r="H2518" s="248">
        <v>2392.43299999998</v>
      </c>
      <c r="I2518"/>
      <c r="J2518"/>
      <c r="K2518"/>
      <c r="L2518"/>
      <c r="M2518"/>
    </row>
    <row r="2519" spans="3:13" hidden="1" outlineLevel="1" x14ac:dyDescent="0.2">
      <c r="C2519" s="139">
        <v>2293</v>
      </c>
      <c r="D2519" s="248">
        <v>2204.9301999999798</v>
      </c>
      <c r="E2519" s="248">
        <v>2261.3992000000198</v>
      </c>
      <c r="F2519" s="248">
        <v>2301.4967999999899</v>
      </c>
      <c r="G2519" s="248">
        <v>2334.3843999999999</v>
      </c>
      <c r="H2519" s="248">
        <v>2393.4767999999799</v>
      </c>
      <c r="I2519"/>
      <c r="J2519"/>
      <c r="K2519"/>
      <c r="L2519"/>
      <c r="M2519"/>
    </row>
    <row r="2520" spans="3:13" hidden="1" outlineLevel="1" x14ac:dyDescent="0.2">
      <c r="C2520" s="139">
        <v>2294</v>
      </c>
      <c r="D2520" s="248">
        <v>2205.94489999998</v>
      </c>
      <c r="E2520" s="248">
        <v>2262.3854000000201</v>
      </c>
      <c r="F2520" s="248">
        <v>2302.5004999999901</v>
      </c>
      <c r="G2520" s="248">
        <v>2335.4025000000001</v>
      </c>
      <c r="H2520" s="248">
        <v>2394.5205999999798</v>
      </c>
      <c r="I2520"/>
      <c r="J2520"/>
      <c r="K2520"/>
      <c r="L2520"/>
      <c r="M2520"/>
    </row>
    <row r="2521" spans="3:13" hidden="1" outlineLevel="1" x14ac:dyDescent="0.2">
      <c r="C2521" s="139">
        <v>2295</v>
      </c>
      <c r="D2521" s="248">
        <v>2206.9595999999801</v>
      </c>
      <c r="E2521" s="248">
        <v>2263.37160000002</v>
      </c>
      <c r="F2521" s="248">
        <v>2303.5041999999899</v>
      </c>
      <c r="G2521" s="248">
        <v>2336.4205999999999</v>
      </c>
      <c r="H2521" s="248">
        <v>2395.5643999999802</v>
      </c>
      <c r="I2521"/>
      <c r="J2521"/>
      <c r="K2521"/>
      <c r="L2521"/>
      <c r="M2521"/>
    </row>
    <row r="2522" spans="3:13" hidden="1" outlineLevel="1" x14ac:dyDescent="0.2">
      <c r="C2522" s="139">
        <v>2296</v>
      </c>
      <c r="D2522" s="248">
        <v>2207.9742999999798</v>
      </c>
      <c r="E2522" s="248">
        <v>2264.3578000000198</v>
      </c>
      <c r="F2522" s="248">
        <v>2304.5078999999901</v>
      </c>
      <c r="G2522" s="248">
        <v>2337.4387000000002</v>
      </c>
      <c r="H2522" s="248">
        <v>2396.6081999999801</v>
      </c>
      <c r="I2522"/>
      <c r="J2522"/>
      <c r="K2522"/>
      <c r="L2522"/>
      <c r="M2522"/>
    </row>
    <row r="2523" spans="3:13" hidden="1" outlineLevel="1" x14ac:dyDescent="0.2">
      <c r="C2523" s="139">
        <v>2297</v>
      </c>
      <c r="D2523" s="248">
        <v>2208.98899999998</v>
      </c>
      <c r="E2523" s="248">
        <v>2265.3440000000201</v>
      </c>
      <c r="F2523" s="248">
        <v>2305.5115999999898</v>
      </c>
      <c r="G2523" s="248">
        <v>2338.4567999999999</v>
      </c>
      <c r="H2523" s="248">
        <v>2397.65199999998</v>
      </c>
      <c r="I2523"/>
      <c r="J2523"/>
      <c r="K2523"/>
      <c r="L2523"/>
      <c r="M2523"/>
    </row>
    <row r="2524" spans="3:13" hidden="1" outlineLevel="1" x14ac:dyDescent="0.2">
      <c r="C2524" s="139">
        <v>2298</v>
      </c>
      <c r="D2524" s="248">
        <v>2210.0036999999802</v>
      </c>
      <c r="E2524" s="248">
        <v>2266.3302000000199</v>
      </c>
      <c r="F2524" s="248">
        <v>2306.51529999999</v>
      </c>
      <c r="G2524" s="248">
        <v>2339.4749000000002</v>
      </c>
      <c r="H2524" s="248">
        <v>2398.69579999998</v>
      </c>
      <c r="I2524"/>
      <c r="J2524"/>
      <c r="K2524"/>
      <c r="L2524"/>
      <c r="M2524"/>
    </row>
    <row r="2525" spans="3:13" hidden="1" outlineLevel="1" x14ac:dyDescent="0.2">
      <c r="C2525" s="139">
        <v>2299</v>
      </c>
      <c r="D2525" s="248">
        <v>2211.0183999999799</v>
      </c>
      <c r="E2525" s="248">
        <v>2267.3164000000202</v>
      </c>
      <c r="F2525" s="248">
        <v>2307.5189999999898</v>
      </c>
      <c r="G2525" s="248">
        <v>2340.4929999999999</v>
      </c>
      <c r="H2525" s="248">
        <v>2399.7395999999799</v>
      </c>
      <c r="I2525"/>
      <c r="J2525"/>
      <c r="K2525"/>
      <c r="L2525"/>
      <c r="M2525"/>
    </row>
    <row r="2526" spans="3:13" hidden="1" outlineLevel="1" x14ac:dyDescent="0.2">
      <c r="C2526" s="139">
        <v>2300</v>
      </c>
      <c r="D2526" s="248">
        <v>2212.0330999999801</v>
      </c>
      <c r="E2526" s="248">
        <v>2268.30260000002</v>
      </c>
      <c r="F2526" s="248">
        <v>2308.52269999999</v>
      </c>
      <c r="G2526" s="248">
        <v>2341.5111000000002</v>
      </c>
      <c r="H2526" s="248">
        <v>2400.7833999999798</v>
      </c>
      <c r="I2526"/>
      <c r="J2526"/>
      <c r="K2526"/>
      <c r="L2526"/>
      <c r="M2526"/>
    </row>
    <row r="2527" spans="3:13" hidden="1" outlineLevel="1" x14ac:dyDescent="0.2">
      <c r="C2527" s="139">
        <v>2301</v>
      </c>
      <c r="D2527" s="248">
        <v>2213.0477999999798</v>
      </c>
      <c r="E2527" s="248">
        <v>2269.2888000000198</v>
      </c>
      <c r="F2527" s="248">
        <v>2309.5263999999902</v>
      </c>
      <c r="G2527" s="248">
        <v>2342.5291999999999</v>
      </c>
      <c r="H2527" s="248">
        <v>2401.8271999999802</v>
      </c>
      <c r="I2527"/>
      <c r="J2527"/>
      <c r="K2527"/>
      <c r="L2527"/>
      <c r="M2527"/>
    </row>
    <row r="2528" spans="3:13" hidden="1" outlineLevel="1" x14ac:dyDescent="0.2">
      <c r="C2528" s="139">
        <v>2302</v>
      </c>
      <c r="D2528" s="248">
        <v>2214.06249999998</v>
      </c>
      <c r="E2528" s="248">
        <v>2270.2750000000201</v>
      </c>
      <c r="F2528" s="248">
        <v>2310.5300999999899</v>
      </c>
      <c r="G2528" s="248">
        <v>2343.5473000000002</v>
      </c>
      <c r="H2528" s="248">
        <v>2402.8709999999801</v>
      </c>
      <c r="I2528"/>
      <c r="J2528"/>
      <c r="K2528"/>
      <c r="L2528"/>
      <c r="M2528"/>
    </row>
    <row r="2529" spans="3:13" hidden="1" outlineLevel="1" x14ac:dyDescent="0.2">
      <c r="C2529" s="139">
        <v>2303</v>
      </c>
      <c r="D2529" s="248">
        <v>2215.0771999999802</v>
      </c>
      <c r="E2529" s="248">
        <v>2271.2612000000199</v>
      </c>
      <c r="F2529" s="248">
        <v>2311.5337999999902</v>
      </c>
      <c r="G2529" s="248">
        <v>2344.5654</v>
      </c>
      <c r="H2529" s="248">
        <v>2403.91479999998</v>
      </c>
      <c r="I2529"/>
      <c r="J2529"/>
      <c r="K2529"/>
      <c r="L2529"/>
      <c r="M2529"/>
    </row>
    <row r="2530" spans="3:13" hidden="1" outlineLevel="1" x14ac:dyDescent="0.2">
      <c r="C2530" s="139">
        <v>2304</v>
      </c>
      <c r="D2530" s="248">
        <v>2216.0918999999799</v>
      </c>
      <c r="E2530" s="248">
        <v>2272.2474000000202</v>
      </c>
      <c r="F2530" s="248">
        <v>2312.5374999999899</v>
      </c>
      <c r="G2530" s="248">
        <v>2345.5835000000002</v>
      </c>
      <c r="H2530" s="248">
        <v>2404.9585999999799</v>
      </c>
      <c r="I2530"/>
      <c r="J2530"/>
      <c r="K2530"/>
      <c r="L2530"/>
      <c r="M2530"/>
    </row>
    <row r="2531" spans="3:13" hidden="1" outlineLevel="1" x14ac:dyDescent="0.2">
      <c r="C2531" s="139">
        <v>2305</v>
      </c>
      <c r="D2531" s="248">
        <v>2217.1065999999801</v>
      </c>
      <c r="E2531" s="248">
        <v>2273.23360000002</v>
      </c>
      <c r="F2531" s="248">
        <v>2313.5411999999901</v>
      </c>
      <c r="G2531" s="248">
        <v>2346.6016</v>
      </c>
      <c r="H2531" s="248">
        <v>2406.0023999999798</v>
      </c>
      <c r="I2531"/>
      <c r="J2531"/>
      <c r="K2531"/>
      <c r="L2531"/>
      <c r="M2531"/>
    </row>
    <row r="2532" spans="3:13" hidden="1" outlineLevel="1" x14ac:dyDescent="0.2">
      <c r="C2532" s="139">
        <v>2306</v>
      </c>
      <c r="D2532" s="248">
        <v>2218.1212999999798</v>
      </c>
      <c r="E2532" s="248">
        <v>2274.2198000000199</v>
      </c>
      <c r="F2532" s="248">
        <v>2314.5448999999899</v>
      </c>
      <c r="G2532" s="248">
        <v>2347.6197000000002</v>
      </c>
      <c r="H2532" s="248">
        <v>2407.0461999999802</v>
      </c>
      <c r="I2532"/>
      <c r="J2532"/>
      <c r="K2532"/>
      <c r="L2532"/>
      <c r="M2532"/>
    </row>
    <row r="2533" spans="3:13" hidden="1" outlineLevel="1" x14ac:dyDescent="0.2">
      <c r="C2533" s="139">
        <v>2307</v>
      </c>
      <c r="D2533" s="248">
        <v>2219.13599999998</v>
      </c>
      <c r="E2533" s="248">
        <v>2275.2060000000201</v>
      </c>
      <c r="F2533" s="248">
        <v>2315.5485999999901</v>
      </c>
      <c r="G2533" s="248">
        <v>2348.6378</v>
      </c>
      <c r="H2533" s="248">
        <v>2408.0899999999801</v>
      </c>
      <c r="I2533"/>
      <c r="J2533"/>
      <c r="K2533"/>
      <c r="L2533"/>
      <c r="M2533"/>
    </row>
    <row r="2534" spans="3:13" hidden="1" outlineLevel="1" x14ac:dyDescent="0.2">
      <c r="C2534" s="139">
        <v>2308</v>
      </c>
      <c r="D2534" s="248">
        <v>2220.1506999999801</v>
      </c>
      <c r="E2534" s="248">
        <v>2276.19220000002</v>
      </c>
      <c r="F2534" s="248">
        <v>2316.5522999999898</v>
      </c>
      <c r="G2534" s="248">
        <v>2349.6559000000002</v>
      </c>
      <c r="H2534" s="248">
        <v>2409.1337999999801</v>
      </c>
      <c r="I2534"/>
      <c r="J2534"/>
      <c r="K2534"/>
      <c r="L2534"/>
      <c r="M2534"/>
    </row>
    <row r="2535" spans="3:13" hidden="1" outlineLevel="1" x14ac:dyDescent="0.2">
      <c r="C2535" s="139">
        <v>2309</v>
      </c>
      <c r="D2535" s="248">
        <v>2221.1653999999799</v>
      </c>
      <c r="E2535" s="248">
        <v>2277.1784000000198</v>
      </c>
      <c r="F2535" s="248">
        <v>2317.55599999999</v>
      </c>
      <c r="G2535" s="248">
        <v>2350.674</v>
      </c>
      <c r="H2535" s="248">
        <v>2410.17759999997</v>
      </c>
      <c r="I2535"/>
      <c r="J2535"/>
      <c r="K2535"/>
      <c r="L2535"/>
      <c r="M2535"/>
    </row>
    <row r="2536" spans="3:13" hidden="1" outlineLevel="1" x14ac:dyDescent="0.2">
      <c r="C2536" s="139">
        <v>2310</v>
      </c>
      <c r="D2536" s="248">
        <v>2222.18009999998</v>
      </c>
      <c r="E2536" s="248">
        <v>2278.1646000000201</v>
      </c>
      <c r="F2536" s="248">
        <v>2318.5596999999898</v>
      </c>
      <c r="G2536" s="248">
        <v>2351.6921000000002</v>
      </c>
      <c r="H2536" s="248">
        <v>2411.2213999999799</v>
      </c>
      <c r="I2536"/>
      <c r="J2536"/>
      <c r="K2536"/>
      <c r="L2536"/>
      <c r="M2536"/>
    </row>
    <row r="2537" spans="3:13" hidden="1" outlineLevel="1" x14ac:dyDescent="0.2">
      <c r="C2537" s="139">
        <v>2311</v>
      </c>
      <c r="D2537" s="248">
        <v>2223.1947999999802</v>
      </c>
      <c r="E2537" s="248">
        <v>2279.1508000000199</v>
      </c>
      <c r="F2537" s="248">
        <v>2319.56339999999</v>
      </c>
      <c r="G2537" s="248">
        <v>2352.7102</v>
      </c>
      <c r="H2537" s="248">
        <v>2412.2651999999798</v>
      </c>
      <c r="I2537"/>
      <c r="J2537"/>
      <c r="K2537"/>
      <c r="L2537"/>
      <c r="M2537"/>
    </row>
    <row r="2538" spans="3:13" hidden="1" outlineLevel="1" x14ac:dyDescent="0.2">
      <c r="C2538" s="139">
        <v>2312</v>
      </c>
      <c r="D2538" s="248">
        <v>2224.2094999999799</v>
      </c>
      <c r="E2538" s="248">
        <v>2280.1370000000202</v>
      </c>
      <c r="F2538" s="248">
        <v>2320.5670999999902</v>
      </c>
      <c r="G2538" s="248">
        <v>2353.7283000000002</v>
      </c>
      <c r="H2538" s="248">
        <v>2413.3089999999802</v>
      </c>
      <c r="I2538"/>
      <c r="J2538"/>
      <c r="K2538"/>
      <c r="L2538"/>
      <c r="M2538"/>
    </row>
    <row r="2539" spans="3:13" hidden="1" outlineLevel="1" x14ac:dyDescent="0.2">
      <c r="C2539" s="139">
        <v>2313</v>
      </c>
      <c r="D2539" s="248">
        <v>2225.2241999999801</v>
      </c>
      <c r="E2539" s="248">
        <v>2281.12320000002</v>
      </c>
      <c r="F2539" s="248">
        <v>2321.57079999999</v>
      </c>
      <c r="G2539" s="248">
        <v>2354.7464</v>
      </c>
      <c r="H2539" s="248">
        <v>2414.3527999999701</v>
      </c>
      <c r="I2539"/>
      <c r="J2539"/>
      <c r="K2539"/>
      <c r="L2539"/>
      <c r="M2539"/>
    </row>
    <row r="2540" spans="3:13" hidden="1" outlineLevel="1" x14ac:dyDescent="0.2">
      <c r="C2540" s="139">
        <v>2314</v>
      </c>
      <c r="D2540" s="248">
        <v>2226.2388999999798</v>
      </c>
      <c r="E2540" s="248">
        <v>2282.1094000000198</v>
      </c>
      <c r="F2540" s="248">
        <v>2322.5744999999902</v>
      </c>
      <c r="G2540" s="248">
        <v>2355.7645000000002</v>
      </c>
      <c r="H2540" s="248">
        <v>2415.39659999997</v>
      </c>
      <c r="I2540"/>
      <c r="J2540"/>
      <c r="K2540"/>
      <c r="L2540"/>
      <c r="M2540"/>
    </row>
    <row r="2541" spans="3:13" hidden="1" outlineLevel="1" x14ac:dyDescent="0.2">
      <c r="C2541" s="139">
        <v>2315</v>
      </c>
      <c r="D2541" s="248">
        <v>2227.25359999998</v>
      </c>
      <c r="E2541" s="248">
        <v>2283.0956000000201</v>
      </c>
      <c r="F2541" s="248">
        <v>2323.5781999999899</v>
      </c>
      <c r="G2541" s="248">
        <v>2356.7826</v>
      </c>
      <c r="H2541" s="248">
        <v>2416.4403999999699</v>
      </c>
      <c r="I2541"/>
      <c r="J2541"/>
      <c r="K2541"/>
      <c r="L2541"/>
      <c r="M2541"/>
    </row>
    <row r="2542" spans="3:13" hidden="1" outlineLevel="1" x14ac:dyDescent="0.2">
      <c r="C2542" s="139">
        <v>2316</v>
      </c>
      <c r="D2542" s="248">
        <v>2228.2682999999802</v>
      </c>
      <c r="E2542" s="248">
        <v>2284.0818000000199</v>
      </c>
      <c r="F2542" s="248">
        <v>2324.5818999999901</v>
      </c>
      <c r="G2542" s="248">
        <v>2357.8006999999998</v>
      </c>
      <c r="H2542" s="248">
        <v>2417.4841999999699</v>
      </c>
      <c r="I2542"/>
      <c r="J2542"/>
      <c r="K2542"/>
      <c r="L2542"/>
      <c r="M2542"/>
    </row>
    <row r="2543" spans="3:13" hidden="1" outlineLevel="1" x14ac:dyDescent="0.2">
      <c r="C2543" s="139">
        <v>2317</v>
      </c>
      <c r="D2543" s="248">
        <v>2229.2829999999799</v>
      </c>
      <c r="E2543" s="248">
        <v>2285.0680000000202</v>
      </c>
      <c r="F2543" s="248">
        <v>2325.5855999999899</v>
      </c>
      <c r="G2543" s="248">
        <v>2358.8188</v>
      </c>
      <c r="H2543" s="248">
        <v>2418.5279999999698</v>
      </c>
      <c r="I2543"/>
      <c r="J2543"/>
      <c r="K2543"/>
      <c r="L2543"/>
      <c r="M2543"/>
    </row>
    <row r="2544" spans="3:13" hidden="1" outlineLevel="1" x14ac:dyDescent="0.2">
      <c r="C2544" s="139">
        <v>2318</v>
      </c>
      <c r="D2544" s="248">
        <v>2230.2976999999801</v>
      </c>
      <c r="E2544" s="248">
        <v>2286.05420000002</v>
      </c>
      <c r="F2544" s="248">
        <v>2326.5892999999901</v>
      </c>
      <c r="G2544" s="248">
        <v>2359.8368999999998</v>
      </c>
      <c r="H2544" s="248">
        <v>2419.5717999999702</v>
      </c>
      <c r="I2544"/>
      <c r="J2544"/>
      <c r="K2544"/>
      <c r="L2544"/>
      <c r="M2544"/>
    </row>
    <row r="2545" spans="3:13" hidden="1" outlineLevel="1" x14ac:dyDescent="0.2">
      <c r="C2545" s="139">
        <v>2319</v>
      </c>
      <c r="D2545" s="248">
        <v>2231.3123999999798</v>
      </c>
      <c r="E2545" s="248">
        <v>2287.0404000000199</v>
      </c>
      <c r="F2545" s="248">
        <v>2327.5929999999898</v>
      </c>
      <c r="G2545" s="248">
        <v>2360.855</v>
      </c>
      <c r="H2545" s="248">
        <v>2420.6155999999701</v>
      </c>
      <c r="I2545"/>
      <c r="J2545"/>
      <c r="K2545"/>
      <c r="L2545"/>
      <c r="M2545"/>
    </row>
    <row r="2546" spans="3:13" hidden="1" outlineLevel="1" x14ac:dyDescent="0.2">
      <c r="C2546" s="139">
        <v>2320</v>
      </c>
      <c r="D2546" s="248">
        <v>2232.32709999998</v>
      </c>
      <c r="E2546" s="248">
        <v>2288.0266000000202</v>
      </c>
      <c r="F2546" s="248">
        <v>2328.5966999999901</v>
      </c>
      <c r="G2546" s="248">
        <v>2361.8730999999998</v>
      </c>
      <c r="H2546" s="248">
        <v>2421.65939999997</v>
      </c>
      <c r="I2546"/>
      <c r="J2546"/>
      <c r="K2546"/>
      <c r="L2546"/>
      <c r="M2546"/>
    </row>
    <row r="2547" spans="3:13" hidden="1" outlineLevel="1" x14ac:dyDescent="0.2">
      <c r="C2547" s="139">
        <v>2321</v>
      </c>
      <c r="D2547" s="248">
        <v>2233.3417999999801</v>
      </c>
      <c r="E2547" s="248">
        <v>2289.01280000002</v>
      </c>
      <c r="F2547" s="248">
        <v>2329.6003999999898</v>
      </c>
      <c r="G2547" s="248">
        <v>2362.8912</v>
      </c>
      <c r="H2547" s="248">
        <v>2422.7031999999699</v>
      </c>
      <c r="I2547"/>
      <c r="J2547"/>
      <c r="K2547"/>
      <c r="L2547"/>
      <c r="M2547"/>
    </row>
    <row r="2548" spans="3:13" hidden="1" outlineLevel="1" x14ac:dyDescent="0.2">
      <c r="C2548" s="139">
        <v>2322</v>
      </c>
      <c r="D2548" s="248">
        <v>2234.3564999999799</v>
      </c>
      <c r="E2548" s="248">
        <v>2289.9990000000198</v>
      </c>
      <c r="F2548" s="248">
        <v>2330.60409999999</v>
      </c>
      <c r="G2548" s="248">
        <v>2363.9092999999998</v>
      </c>
      <c r="H2548" s="248">
        <v>2423.7469999999698</v>
      </c>
      <c r="I2548"/>
      <c r="J2548"/>
      <c r="K2548"/>
      <c r="L2548"/>
      <c r="M2548"/>
    </row>
    <row r="2549" spans="3:13" hidden="1" outlineLevel="1" x14ac:dyDescent="0.2">
      <c r="C2549" s="139">
        <v>2323</v>
      </c>
      <c r="D2549" s="248">
        <v>2235.37119999998</v>
      </c>
      <c r="E2549" s="248">
        <v>2290.9852000000201</v>
      </c>
      <c r="F2549" s="248">
        <v>2331.6077999999902</v>
      </c>
      <c r="G2549" s="248">
        <v>2364.9274</v>
      </c>
      <c r="H2549" s="248">
        <v>2424.7907999999702</v>
      </c>
      <c r="I2549"/>
      <c r="J2549"/>
      <c r="K2549"/>
      <c r="L2549"/>
      <c r="M2549"/>
    </row>
    <row r="2550" spans="3:13" hidden="1" outlineLevel="1" x14ac:dyDescent="0.2">
      <c r="C2550" s="139">
        <v>2324</v>
      </c>
      <c r="D2550" s="248">
        <v>2236.3858999999802</v>
      </c>
      <c r="E2550" s="248">
        <v>2291.9714000000199</v>
      </c>
      <c r="F2550" s="248">
        <v>2332.61149999999</v>
      </c>
      <c r="G2550" s="248">
        <v>2365.9454999999998</v>
      </c>
      <c r="H2550" s="248">
        <v>2425.8345999999701</v>
      </c>
      <c r="I2550"/>
      <c r="J2550"/>
      <c r="K2550"/>
      <c r="L2550"/>
      <c r="M2550"/>
    </row>
    <row r="2551" spans="3:13" hidden="1" outlineLevel="1" x14ac:dyDescent="0.2">
      <c r="C2551" s="139">
        <v>2325</v>
      </c>
      <c r="D2551" s="248">
        <v>2237.4005999999799</v>
      </c>
      <c r="E2551" s="248">
        <v>2292.9576000000202</v>
      </c>
      <c r="F2551" s="248">
        <v>2333.6151999999902</v>
      </c>
      <c r="G2551" s="248">
        <v>2366.9636</v>
      </c>
      <c r="H2551" s="248">
        <v>2426.87839999997</v>
      </c>
      <c r="I2551"/>
      <c r="J2551"/>
      <c r="K2551"/>
      <c r="L2551"/>
      <c r="M2551"/>
    </row>
    <row r="2552" spans="3:13" hidden="1" outlineLevel="1" x14ac:dyDescent="0.2">
      <c r="C2552" s="139">
        <v>2326</v>
      </c>
      <c r="D2552" s="248">
        <v>2238.4152999999801</v>
      </c>
      <c r="E2552" s="248">
        <v>2293.94380000002</v>
      </c>
      <c r="F2552" s="248">
        <v>2334.6188999999899</v>
      </c>
      <c r="G2552" s="248">
        <v>2367.9816999999998</v>
      </c>
      <c r="H2552" s="248">
        <v>2427.92219999997</v>
      </c>
      <c r="I2552"/>
      <c r="J2552"/>
      <c r="K2552"/>
      <c r="L2552"/>
      <c r="M2552"/>
    </row>
    <row r="2553" spans="3:13" hidden="1" outlineLevel="1" x14ac:dyDescent="0.2">
      <c r="C2553" s="139">
        <v>2327</v>
      </c>
      <c r="D2553" s="248">
        <v>2239.4299999999798</v>
      </c>
      <c r="E2553" s="248">
        <v>2294.9300000000198</v>
      </c>
      <c r="F2553" s="248">
        <v>2335.6225999999901</v>
      </c>
      <c r="G2553" s="248">
        <v>2368.9998000000001</v>
      </c>
      <c r="H2553" s="248">
        <v>2428.9659999999699</v>
      </c>
      <c r="I2553"/>
      <c r="J2553"/>
      <c r="K2553"/>
      <c r="L2553"/>
      <c r="M2553"/>
    </row>
    <row r="2554" spans="3:13" hidden="1" outlineLevel="1" x14ac:dyDescent="0.2">
      <c r="C2554" s="139">
        <v>2328</v>
      </c>
      <c r="D2554" s="248">
        <v>2240.44469999998</v>
      </c>
      <c r="E2554" s="248">
        <v>2295.9162000000201</v>
      </c>
      <c r="F2554" s="248">
        <v>2336.6262999999899</v>
      </c>
      <c r="G2554" s="248">
        <v>2370.0178999999998</v>
      </c>
      <c r="H2554" s="248">
        <v>2430.0097999999698</v>
      </c>
      <c r="I2554"/>
      <c r="J2554"/>
      <c r="K2554"/>
      <c r="L2554"/>
      <c r="M2554"/>
    </row>
    <row r="2555" spans="3:13" hidden="1" outlineLevel="1" x14ac:dyDescent="0.2">
      <c r="C2555" s="139">
        <v>2329</v>
      </c>
      <c r="D2555" s="248">
        <v>2241.4593999999802</v>
      </c>
      <c r="E2555" s="248">
        <v>2296.90240000002</v>
      </c>
      <c r="F2555" s="248">
        <v>2337.6299999999901</v>
      </c>
      <c r="G2555" s="248">
        <v>2371.0360000000001</v>
      </c>
      <c r="H2555" s="248">
        <v>2431.0535999999702</v>
      </c>
      <c r="I2555"/>
      <c r="J2555"/>
      <c r="K2555"/>
      <c r="L2555"/>
      <c r="M2555"/>
    </row>
    <row r="2556" spans="3:13" hidden="1" outlineLevel="1" x14ac:dyDescent="0.2">
      <c r="C2556" s="139">
        <v>2330</v>
      </c>
      <c r="D2556" s="248">
        <v>2242.4740999999799</v>
      </c>
      <c r="E2556" s="248">
        <v>2297.8886000000198</v>
      </c>
      <c r="F2556" s="248">
        <v>2338.6336999999899</v>
      </c>
      <c r="G2556" s="248">
        <v>2372.0540999999998</v>
      </c>
      <c r="H2556" s="248">
        <v>2432.0973999999701</v>
      </c>
      <c r="I2556"/>
      <c r="J2556"/>
      <c r="K2556"/>
      <c r="L2556"/>
      <c r="M2556"/>
    </row>
    <row r="2557" spans="3:13" hidden="1" outlineLevel="1" x14ac:dyDescent="0.2">
      <c r="C2557" s="139">
        <v>2331</v>
      </c>
      <c r="D2557" s="248">
        <v>2243.4887999999801</v>
      </c>
      <c r="E2557" s="248">
        <v>2298.8748000000201</v>
      </c>
      <c r="F2557" s="248">
        <v>2339.6373999999901</v>
      </c>
      <c r="G2557" s="248">
        <v>2373.0722000000001</v>
      </c>
      <c r="H2557" s="248">
        <v>2433.14119999997</v>
      </c>
      <c r="I2557"/>
      <c r="J2557"/>
      <c r="K2557"/>
      <c r="L2557"/>
      <c r="M2557"/>
    </row>
    <row r="2558" spans="3:13" hidden="1" outlineLevel="1" x14ac:dyDescent="0.2">
      <c r="C2558" s="139">
        <v>2332</v>
      </c>
      <c r="D2558" s="248">
        <v>2244.5034999999798</v>
      </c>
      <c r="E2558" s="248">
        <v>2299.8610000000199</v>
      </c>
      <c r="F2558" s="248">
        <v>2340.6410999999898</v>
      </c>
      <c r="G2558" s="248">
        <v>2374.0902999999998</v>
      </c>
      <c r="H2558" s="248">
        <v>2434.1849999999699</v>
      </c>
      <c r="I2558"/>
      <c r="J2558"/>
      <c r="K2558"/>
      <c r="L2558"/>
      <c r="M2558"/>
    </row>
    <row r="2559" spans="3:13" hidden="1" outlineLevel="1" x14ac:dyDescent="0.2">
      <c r="C2559" s="139">
        <v>2333</v>
      </c>
      <c r="D2559" s="248">
        <v>2245.51819999998</v>
      </c>
      <c r="E2559" s="248">
        <v>2300.8472000000202</v>
      </c>
      <c r="F2559" s="248">
        <v>2341.64479999999</v>
      </c>
      <c r="G2559" s="248">
        <v>2375.1084000000001</v>
      </c>
      <c r="H2559" s="248">
        <v>2435.2287999999699</v>
      </c>
      <c r="I2559"/>
      <c r="J2559"/>
      <c r="K2559"/>
      <c r="L2559"/>
      <c r="M2559"/>
    </row>
    <row r="2560" spans="3:13" hidden="1" outlineLevel="1" x14ac:dyDescent="0.2">
      <c r="C2560" s="139">
        <v>2334</v>
      </c>
      <c r="D2560" s="248">
        <v>2246.5328999999801</v>
      </c>
      <c r="E2560" s="248">
        <v>2301.83340000002</v>
      </c>
      <c r="F2560" s="248">
        <v>2342.6484999999898</v>
      </c>
      <c r="G2560" s="248">
        <v>2376.1264999999999</v>
      </c>
      <c r="H2560" s="248">
        <v>2436.2725999999702</v>
      </c>
      <c r="I2560"/>
      <c r="J2560"/>
      <c r="K2560"/>
      <c r="L2560"/>
      <c r="M2560"/>
    </row>
    <row r="2561" spans="3:13" hidden="1" outlineLevel="1" x14ac:dyDescent="0.2">
      <c r="C2561" s="139">
        <v>2335</v>
      </c>
      <c r="D2561" s="248">
        <v>2247.5475999999799</v>
      </c>
      <c r="E2561" s="248">
        <v>2302.8196000000198</v>
      </c>
      <c r="F2561" s="248">
        <v>2343.65219999999</v>
      </c>
      <c r="G2561" s="248">
        <v>2377.1446000000001</v>
      </c>
      <c r="H2561" s="248">
        <v>2437.3163999999701</v>
      </c>
      <c r="I2561"/>
      <c r="J2561"/>
      <c r="K2561"/>
      <c r="L2561"/>
      <c r="M2561"/>
    </row>
    <row r="2562" spans="3:13" hidden="1" outlineLevel="1" x14ac:dyDescent="0.2">
      <c r="C2562" s="139">
        <v>2336</v>
      </c>
      <c r="D2562" s="248">
        <v>2248.56229999998</v>
      </c>
      <c r="E2562" s="248">
        <v>2303.8058000000201</v>
      </c>
      <c r="F2562" s="248">
        <v>2344.6558999999902</v>
      </c>
      <c r="G2562" s="248">
        <v>2378.1626999999999</v>
      </c>
      <c r="H2562" s="248">
        <v>2438.3601999999701</v>
      </c>
      <c r="I2562"/>
      <c r="J2562"/>
      <c r="K2562"/>
      <c r="L2562"/>
      <c r="M2562"/>
    </row>
    <row r="2563" spans="3:13" hidden="1" outlineLevel="1" x14ac:dyDescent="0.2">
      <c r="C2563" s="139">
        <v>2337</v>
      </c>
      <c r="D2563" s="248">
        <v>2249.5769999999802</v>
      </c>
      <c r="E2563" s="248">
        <v>2304.7920000000199</v>
      </c>
      <c r="F2563" s="248">
        <v>2345.65959999999</v>
      </c>
      <c r="G2563" s="248">
        <v>2379.1808000000001</v>
      </c>
      <c r="H2563" s="248">
        <v>2439.40399999997</v>
      </c>
      <c r="I2563"/>
      <c r="J2563"/>
      <c r="K2563"/>
      <c r="L2563"/>
      <c r="M2563"/>
    </row>
    <row r="2564" spans="3:13" hidden="1" outlineLevel="1" x14ac:dyDescent="0.2">
      <c r="C2564" s="139">
        <v>2338</v>
      </c>
      <c r="D2564" s="248">
        <v>2250.5916999999799</v>
      </c>
      <c r="E2564" s="248">
        <v>2305.7782000000202</v>
      </c>
      <c r="F2564" s="248">
        <v>2346.6632999999902</v>
      </c>
      <c r="G2564" s="248">
        <v>2380.1988999999999</v>
      </c>
      <c r="H2564" s="248">
        <v>2440.4477999999699</v>
      </c>
      <c r="I2564"/>
      <c r="J2564"/>
      <c r="K2564"/>
      <c r="L2564"/>
      <c r="M2564"/>
    </row>
    <row r="2565" spans="3:13" hidden="1" outlineLevel="1" x14ac:dyDescent="0.2">
      <c r="C2565" s="139">
        <v>2339</v>
      </c>
      <c r="D2565" s="248">
        <v>2251.6063999999801</v>
      </c>
      <c r="E2565" s="248">
        <v>2306.76440000002</v>
      </c>
      <c r="F2565" s="248">
        <v>2347.6669999999899</v>
      </c>
      <c r="G2565" s="248">
        <v>2381.2170000000001</v>
      </c>
      <c r="H2565" s="248">
        <v>2441.4915999999698</v>
      </c>
      <c r="I2565"/>
      <c r="J2565"/>
      <c r="K2565"/>
      <c r="L2565"/>
      <c r="M2565"/>
    </row>
    <row r="2566" spans="3:13" hidden="1" outlineLevel="1" x14ac:dyDescent="0.2">
      <c r="C2566" s="139">
        <v>2340</v>
      </c>
      <c r="D2566" s="248">
        <v>2252.6210999999798</v>
      </c>
      <c r="E2566" s="248">
        <v>2307.7506000000199</v>
      </c>
      <c r="F2566" s="248">
        <v>2348.6706999999901</v>
      </c>
      <c r="G2566" s="248">
        <v>2382.2350999999999</v>
      </c>
      <c r="H2566" s="248">
        <v>2442.5353999999702</v>
      </c>
      <c r="I2566"/>
      <c r="J2566"/>
      <c r="K2566"/>
      <c r="L2566"/>
      <c r="M2566"/>
    </row>
    <row r="2567" spans="3:13" hidden="1" outlineLevel="1" x14ac:dyDescent="0.2">
      <c r="C2567" s="139">
        <v>2341</v>
      </c>
      <c r="D2567" s="248">
        <v>2253.63579999998</v>
      </c>
      <c r="E2567" s="248">
        <v>2308.7368000000201</v>
      </c>
      <c r="F2567" s="248">
        <v>2349.6743999999899</v>
      </c>
      <c r="G2567" s="248">
        <v>2383.2532000000001</v>
      </c>
      <c r="H2567" s="248">
        <v>2443.5791999999701</v>
      </c>
      <c r="I2567"/>
      <c r="J2567"/>
      <c r="K2567"/>
      <c r="L2567"/>
      <c r="M2567"/>
    </row>
    <row r="2568" spans="3:13" hidden="1" outlineLevel="1" x14ac:dyDescent="0.2">
      <c r="C2568" s="139">
        <v>2342</v>
      </c>
      <c r="D2568" s="248">
        <v>2254.6504999999802</v>
      </c>
      <c r="E2568" s="248">
        <v>2309.72300000002</v>
      </c>
      <c r="F2568" s="248">
        <v>2350.6780999999901</v>
      </c>
      <c r="G2568" s="248">
        <v>2384.2712999999999</v>
      </c>
      <c r="H2568" s="248">
        <v>2444.62299999997</v>
      </c>
      <c r="I2568"/>
      <c r="J2568"/>
      <c r="K2568"/>
      <c r="L2568"/>
      <c r="M2568"/>
    </row>
    <row r="2569" spans="3:13" hidden="1" outlineLevel="1" x14ac:dyDescent="0.2">
      <c r="C2569" s="139">
        <v>2343</v>
      </c>
      <c r="D2569" s="248">
        <v>2255.6651999999799</v>
      </c>
      <c r="E2569" s="248">
        <v>2310.7092000000198</v>
      </c>
      <c r="F2569" s="248">
        <v>2351.6817999999898</v>
      </c>
      <c r="G2569" s="248">
        <v>2385.2894000000001</v>
      </c>
      <c r="H2569" s="248">
        <v>2445.66679999997</v>
      </c>
      <c r="I2569"/>
      <c r="J2569"/>
      <c r="K2569"/>
      <c r="L2569"/>
      <c r="M2569"/>
    </row>
    <row r="2570" spans="3:13" hidden="1" outlineLevel="1" x14ac:dyDescent="0.2">
      <c r="C2570" s="139">
        <v>2344</v>
      </c>
      <c r="D2570" s="248">
        <v>2256.6798999999801</v>
      </c>
      <c r="E2570" s="248">
        <v>2311.6954000000201</v>
      </c>
      <c r="F2570" s="248">
        <v>2352.68549999999</v>
      </c>
      <c r="G2570" s="248">
        <v>2386.3074999999999</v>
      </c>
      <c r="H2570" s="248">
        <v>2446.7105999999699</v>
      </c>
      <c r="I2570"/>
      <c r="J2570"/>
      <c r="K2570"/>
      <c r="L2570"/>
      <c r="M2570"/>
    </row>
    <row r="2571" spans="3:13" hidden="1" outlineLevel="1" x14ac:dyDescent="0.2">
      <c r="C2571" s="139">
        <v>2345</v>
      </c>
      <c r="D2571" s="248">
        <v>2257.6945999999798</v>
      </c>
      <c r="E2571" s="248">
        <v>2312.6816000000199</v>
      </c>
      <c r="F2571" s="248">
        <v>2353.6891999999898</v>
      </c>
      <c r="G2571" s="248">
        <v>2387.3256000000001</v>
      </c>
      <c r="H2571" s="248">
        <v>2447.7543999999698</v>
      </c>
      <c r="I2571"/>
      <c r="J2571"/>
      <c r="K2571"/>
      <c r="L2571"/>
      <c r="M2571"/>
    </row>
    <row r="2572" spans="3:13" hidden="1" outlineLevel="1" x14ac:dyDescent="0.2">
      <c r="C2572" s="139">
        <v>2346</v>
      </c>
      <c r="D2572" s="248">
        <v>2258.70929999998</v>
      </c>
      <c r="E2572" s="248">
        <v>2313.6678000000202</v>
      </c>
      <c r="F2572" s="248">
        <v>2354.69289999999</v>
      </c>
      <c r="G2572" s="248">
        <v>2388.3436999999999</v>
      </c>
      <c r="H2572" s="248">
        <v>2448.7981999999702</v>
      </c>
      <c r="I2572"/>
      <c r="J2572"/>
      <c r="K2572"/>
      <c r="L2572"/>
      <c r="M2572"/>
    </row>
    <row r="2573" spans="3:13" hidden="1" outlineLevel="1" x14ac:dyDescent="0.2">
      <c r="C2573" s="139">
        <v>2347</v>
      </c>
      <c r="D2573" s="248">
        <v>2259.7239999999802</v>
      </c>
      <c r="E2573" s="248">
        <v>2314.65400000002</v>
      </c>
      <c r="F2573" s="248">
        <v>2355.6965999999902</v>
      </c>
      <c r="G2573" s="248">
        <v>2389.3618000000001</v>
      </c>
      <c r="H2573" s="248">
        <v>2449.8419999999701</v>
      </c>
      <c r="I2573"/>
      <c r="J2573"/>
      <c r="K2573"/>
      <c r="L2573"/>
      <c r="M2573"/>
    </row>
    <row r="2574" spans="3:13" hidden="1" outlineLevel="1" x14ac:dyDescent="0.2">
      <c r="C2574" s="139">
        <v>2348</v>
      </c>
      <c r="D2574" s="248">
        <v>2260.7386999999799</v>
      </c>
      <c r="E2574" s="248">
        <v>2315.6402000000198</v>
      </c>
      <c r="F2574" s="248">
        <v>2356.70029999999</v>
      </c>
      <c r="G2574" s="248">
        <v>2390.3798999999999</v>
      </c>
      <c r="H2574" s="248">
        <v>2450.88579999997</v>
      </c>
      <c r="I2574"/>
      <c r="J2574"/>
      <c r="K2574"/>
      <c r="L2574"/>
      <c r="M2574"/>
    </row>
    <row r="2575" spans="3:13" hidden="1" outlineLevel="1" x14ac:dyDescent="0.2">
      <c r="C2575" s="139">
        <v>2349</v>
      </c>
      <c r="D2575" s="248">
        <v>2261.75339999998</v>
      </c>
      <c r="E2575" s="248">
        <v>2316.6264000000201</v>
      </c>
      <c r="F2575" s="248">
        <v>2357.7039999999902</v>
      </c>
      <c r="G2575" s="248">
        <v>2391.3980000000001</v>
      </c>
      <c r="H2575" s="248">
        <v>2451.9295999999699</v>
      </c>
      <c r="I2575"/>
      <c r="J2575"/>
      <c r="K2575"/>
      <c r="L2575"/>
      <c r="M2575"/>
    </row>
    <row r="2576" spans="3:13" hidden="1" outlineLevel="1" x14ac:dyDescent="0.2">
      <c r="C2576" s="139">
        <v>2350</v>
      </c>
      <c r="D2576" s="248">
        <v>2262.7680999999802</v>
      </c>
      <c r="E2576" s="248">
        <v>2317.6126000000199</v>
      </c>
      <c r="F2576" s="248">
        <v>2358.7076999999899</v>
      </c>
      <c r="G2576" s="248">
        <v>2392.4160999999999</v>
      </c>
      <c r="H2576" s="248">
        <v>2452.9733999999698</v>
      </c>
      <c r="I2576"/>
      <c r="J2576"/>
      <c r="K2576"/>
      <c r="L2576"/>
      <c r="M2576"/>
    </row>
    <row r="2577" spans="3:13" hidden="1" outlineLevel="1" x14ac:dyDescent="0.2">
      <c r="C2577" s="139">
        <v>2351</v>
      </c>
      <c r="D2577" s="248">
        <v>2263.7827999999799</v>
      </c>
      <c r="E2577" s="248">
        <v>2318.5988000000202</v>
      </c>
      <c r="F2577" s="248">
        <v>2359.7113999999901</v>
      </c>
      <c r="G2577" s="248">
        <v>2393.4342000000001</v>
      </c>
      <c r="H2577" s="248">
        <v>2454.0171999999702</v>
      </c>
      <c r="I2577"/>
      <c r="J2577"/>
      <c r="K2577"/>
      <c r="L2577"/>
      <c r="M2577"/>
    </row>
    <row r="2578" spans="3:13" hidden="1" outlineLevel="1" x14ac:dyDescent="0.2">
      <c r="C2578" s="139">
        <v>2352</v>
      </c>
      <c r="D2578" s="248">
        <v>2264.7974999999801</v>
      </c>
      <c r="E2578" s="248">
        <v>2319.58500000002</v>
      </c>
      <c r="F2578" s="248">
        <v>2360.7150999999899</v>
      </c>
      <c r="G2578" s="248">
        <v>2394.4522999999999</v>
      </c>
      <c r="H2578" s="248">
        <v>2455.0609999999701</v>
      </c>
      <c r="I2578"/>
      <c r="J2578"/>
      <c r="K2578"/>
      <c r="L2578"/>
      <c r="M2578"/>
    </row>
    <row r="2579" spans="3:13" hidden="1" outlineLevel="1" x14ac:dyDescent="0.2">
      <c r="C2579" s="139">
        <v>2353</v>
      </c>
      <c r="D2579" s="248">
        <v>2265.8121999999798</v>
      </c>
      <c r="E2579" s="248">
        <v>2320.5712000000199</v>
      </c>
      <c r="F2579" s="248">
        <v>2361.7187999999901</v>
      </c>
      <c r="G2579" s="248">
        <v>2395.4704000000002</v>
      </c>
      <c r="H2579" s="248">
        <v>2456.1047999999701</v>
      </c>
      <c r="I2579"/>
      <c r="J2579"/>
      <c r="K2579"/>
      <c r="L2579"/>
      <c r="M2579"/>
    </row>
    <row r="2580" spans="3:13" hidden="1" outlineLevel="1" x14ac:dyDescent="0.2">
      <c r="C2580" s="139">
        <v>2354</v>
      </c>
      <c r="D2580" s="248">
        <v>2266.82689999998</v>
      </c>
      <c r="E2580" s="248">
        <v>2321.5574000000202</v>
      </c>
      <c r="F2580" s="248">
        <v>2362.7224999999899</v>
      </c>
      <c r="G2580" s="248">
        <v>2396.4884999999999</v>
      </c>
      <c r="H2580" s="248">
        <v>2457.14859999997</v>
      </c>
      <c r="I2580"/>
      <c r="J2580"/>
      <c r="K2580"/>
      <c r="L2580"/>
      <c r="M2580"/>
    </row>
    <row r="2581" spans="3:13" hidden="1" outlineLevel="1" x14ac:dyDescent="0.2">
      <c r="C2581" s="139">
        <v>2355</v>
      </c>
      <c r="D2581" s="248">
        <v>2267.8415999999802</v>
      </c>
      <c r="E2581" s="248">
        <v>2322.54360000002</v>
      </c>
      <c r="F2581" s="248">
        <v>2363.7261999999901</v>
      </c>
      <c r="G2581" s="248">
        <v>2397.5066000000002</v>
      </c>
      <c r="H2581" s="248">
        <v>2458.1923999999699</v>
      </c>
      <c r="I2581"/>
      <c r="J2581"/>
      <c r="K2581"/>
      <c r="L2581"/>
      <c r="M2581"/>
    </row>
    <row r="2582" spans="3:13" hidden="1" outlineLevel="1" x14ac:dyDescent="0.2">
      <c r="C2582" s="139">
        <v>2356</v>
      </c>
      <c r="D2582" s="248">
        <v>2268.8562999999799</v>
      </c>
      <c r="E2582" s="248">
        <v>2323.5298000000198</v>
      </c>
      <c r="F2582" s="248">
        <v>2364.7298999999898</v>
      </c>
      <c r="G2582" s="248">
        <v>2398.5246999999999</v>
      </c>
      <c r="H2582" s="248">
        <v>2459.2361999999698</v>
      </c>
      <c r="I2582"/>
      <c r="J2582"/>
      <c r="K2582"/>
      <c r="L2582"/>
      <c r="M2582"/>
    </row>
    <row r="2583" spans="3:13" hidden="1" outlineLevel="1" x14ac:dyDescent="0.2">
      <c r="C2583" s="139">
        <v>2357</v>
      </c>
      <c r="D2583" s="248">
        <v>2269.8709999999801</v>
      </c>
      <c r="E2583" s="248">
        <v>2324.5160000000201</v>
      </c>
      <c r="F2583" s="248">
        <v>2365.73359999999</v>
      </c>
      <c r="G2583" s="248">
        <v>2399.5428000000002</v>
      </c>
      <c r="H2583" s="248">
        <v>2460.2799999999702</v>
      </c>
      <c r="I2583"/>
      <c r="J2583"/>
      <c r="K2583"/>
      <c r="L2583"/>
      <c r="M2583"/>
    </row>
    <row r="2584" spans="3:13" hidden="1" outlineLevel="1" x14ac:dyDescent="0.2">
      <c r="C2584" s="139">
        <v>2358</v>
      </c>
      <c r="D2584" s="248">
        <v>2270.8856999999798</v>
      </c>
      <c r="E2584" s="248">
        <v>2325.5022000000199</v>
      </c>
      <c r="F2584" s="248">
        <v>2366.7372999999898</v>
      </c>
      <c r="G2584" s="248">
        <v>2400.5608999999999</v>
      </c>
      <c r="H2584" s="248">
        <v>2461.3237999999701</v>
      </c>
      <c r="I2584"/>
      <c r="J2584"/>
      <c r="K2584"/>
      <c r="L2584"/>
      <c r="M2584"/>
    </row>
    <row r="2585" spans="3:13" hidden="1" outlineLevel="1" x14ac:dyDescent="0.2">
      <c r="C2585" s="139">
        <v>2359</v>
      </c>
      <c r="D2585" s="248">
        <v>2271.90039999998</v>
      </c>
      <c r="E2585" s="248">
        <v>2326.4884000000202</v>
      </c>
      <c r="F2585" s="248">
        <v>2367.74099999999</v>
      </c>
      <c r="G2585" s="248">
        <v>2401.5790000000002</v>
      </c>
      <c r="H2585" s="248">
        <v>2462.36759999997</v>
      </c>
      <c r="I2585"/>
      <c r="J2585"/>
      <c r="K2585"/>
      <c r="L2585"/>
      <c r="M2585"/>
    </row>
    <row r="2586" spans="3:13" hidden="1" outlineLevel="1" x14ac:dyDescent="0.2">
      <c r="C2586" s="139">
        <v>2360</v>
      </c>
      <c r="D2586" s="248">
        <v>2272.9150999999802</v>
      </c>
      <c r="E2586" s="248">
        <v>2327.47460000002</v>
      </c>
      <c r="F2586" s="248">
        <v>2368.7446999999902</v>
      </c>
      <c r="G2586" s="248">
        <v>2402.5971</v>
      </c>
      <c r="H2586" s="248">
        <v>2463.4113999999699</v>
      </c>
      <c r="I2586"/>
      <c r="J2586"/>
      <c r="K2586"/>
      <c r="L2586"/>
      <c r="M2586"/>
    </row>
    <row r="2587" spans="3:13" hidden="1" outlineLevel="1" x14ac:dyDescent="0.2">
      <c r="C2587" s="139">
        <v>2361</v>
      </c>
      <c r="D2587" s="248">
        <v>2273.9297999999799</v>
      </c>
      <c r="E2587" s="248">
        <v>2328.4608000000198</v>
      </c>
      <c r="F2587" s="248">
        <v>2369.7483999999899</v>
      </c>
      <c r="G2587" s="248">
        <v>2403.6152000000002</v>
      </c>
      <c r="H2587" s="248">
        <v>2464.4551999999699</v>
      </c>
      <c r="I2587"/>
      <c r="J2587"/>
      <c r="K2587"/>
      <c r="L2587"/>
      <c r="M2587"/>
    </row>
    <row r="2588" spans="3:13" hidden="1" outlineLevel="1" x14ac:dyDescent="0.2">
      <c r="C2588" s="139">
        <v>2362</v>
      </c>
      <c r="D2588" s="248">
        <v>2274.9444999999801</v>
      </c>
      <c r="E2588" s="248">
        <v>2329.4470000000201</v>
      </c>
      <c r="F2588" s="248">
        <v>2370.7520999999902</v>
      </c>
      <c r="G2588" s="248">
        <v>2404.6333</v>
      </c>
      <c r="H2588" s="248">
        <v>2465.4989999999698</v>
      </c>
      <c r="I2588"/>
      <c r="J2588"/>
      <c r="K2588"/>
      <c r="L2588"/>
      <c r="M2588"/>
    </row>
    <row r="2589" spans="3:13" hidden="1" outlineLevel="1" x14ac:dyDescent="0.2">
      <c r="C2589" s="139">
        <v>2363</v>
      </c>
      <c r="D2589" s="248">
        <v>2275.9591999999798</v>
      </c>
      <c r="E2589" s="248">
        <v>2330.43320000002</v>
      </c>
      <c r="F2589" s="248">
        <v>2371.7557999999899</v>
      </c>
      <c r="G2589" s="248">
        <v>2405.6514000000002</v>
      </c>
      <c r="H2589" s="248">
        <v>2466.5427999999702</v>
      </c>
      <c r="I2589"/>
      <c r="J2589"/>
      <c r="K2589"/>
      <c r="L2589"/>
      <c r="M2589"/>
    </row>
    <row r="2590" spans="3:13" hidden="1" outlineLevel="1" x14ac:dyDescent="0.2">
      <c r="C2590" s="139">
        <v>2364</v>
      </c>
      <c r="D2590" s="248">
        <v>2276.9738999999799</v>
      </c>
      <c r="E2590" s="248">
        <v>2331.4194000000198</v>
      </c>
      <c r="F2590" s="248">
        <v>2372.7594999999901</v>
      </c>
      <c r="G2590" s="248">
        <v>2406.6695</v>
      </c>
      <c r="H2590" s="248">
        <v>2467.5865999999701</v>
      </c>
      <c r="I2590"/>
      <c r="J2590"/>
      <c r="K2590"/>
      <c r="L2590"/>
      <c r="M2590"/>
    </row>
    <row r="2591" spans="3:13" hidden="1" outlineLevel="1" x14ac:dyDescent="0.2">
      <c r="C2591" s="139">
        <v>2365</v>
      </c>
      <c r="D2591" s="248">
        <v>2277.9885999999801</v>
      </c>
      <c r="E2591" s="248">
        <v>2332.4056000000201</v>
      </c>
      <c r="F2591" s="248">
        <v>2373.7631999999899</v>
      </c>
      <c r="G2591" s="248">
        <v>2407.6876000000002</v>
      </c>
      <c r="H2591" s="248">
        <v>2468.63039999997</v>
      </c>
      <c r="I2591"/>
      <c r="J2591"/>
      <c r="K2591"/>
      <c r="L2591"/>
      <c r="M2591"/>
    </row>
    <row r="2592" spans="3:13" hidden="1" outlineLevel="1" x14ac:dyDescent="0.2">
      <c r="C2592" s="139">
        <v>2366</v>
      </c>
      <c r="D2592" s="248">
        <v>2279.0032999999798</v>
      </c>
      <c r="E2592" s="248">
        <v>2333.3918000000199</v>
      </c>
      <c r="F2592" s="248">
        <v>2374.7668999999901</v>
      </c>
      <c r="G2592" s="248">
        <v>2408.7057</v>
      </c>
      <c r="H2592" s="248">
        <v>2469.6741999999699</v>
      </c>
      <c r="I2592"/>
      <c r="J2592"/>
      <c r="K2592"/>
      <c r="L2592"/>
      <c r="M2592"/>
    </row>
    <row r="2593" spans="3:13" hidden="1" outlineLevel="1" x14ac:dyDescent="0.2">
      <c r="C2593" s="139">
        <v>2367</v>
      </c>
      <c r="D2593" s="248">
        <v>2280.01799999998</v>
      </c>
      <c r="E2593" s="248">
        <v>2334.3780000000202</v>
      </c>
      <c r="F2593" s="248">
        <v>2375.7705999999898</v>
      </c>
      <c r="G2593" s="248">
        <v>2409.7238000000002</v>
      </c>
      <c r="H2593" s="248">
        <v>2470.7179999999698</v>
      </c>
      <c r="I2593"/>
      <c r="J2593"/>
      <c r="K2593"/>
      <c r="L2593"/>
      <c r="M2593"/>
    </row>
    <row r="2594" spans="3:13" hidden="1" outlineLevel="1" x14ac:dyDescent="0.2">
      <c r="C2594" s="139">
        <v>2368</v>
      </c>
      <c r="D2594" s="248">
        <v>2281.0326999999802</v>
      </c>
      <c r="E2594" s="248">
        <v>2335.36420000002</v>
      </c>
      <c r="F2594" s="248">
        <v>2376.77429999999</v>
      </c>
      <c r="G2594" s="248">
        <v>2410.7419</v>
      </c>
      <c r="H2594" s="248">
        <v>2471.7617999999702</v>
      </c>
      <c r="I2594"/>
      <c r="J2594"/>
      <c r="K2594"/>
      <c r="L2594"/>
      <c r="M2594"/>
    </row>
    <row r="2595" spans="3:13" hidden="1" outlineLevel="1" x14ac:dyDescent="0.2">
      <c r="C2595" s="139">
        <v>2369</v>
      </c>
      <c r="D2595" s="248">
        <v>2282.0473999999799</v>
      </c>
      <c r="E2595" s="248">
        <v>2336.3504000000198</v>
      </c>
      <c r="F2595" s="248">
        <v>2377.7779999999898</v>
      </c>
      <c r="G2595" s="248">
        <v>2411.7600000000002</v>
      </c>
      <c r="H2595" s="248">
        <v>2472.8055999999701</v>
      </c>
      <c r="I2595"/>
      <c r="J2595"/>
      <c r="K2595"/>
      <c r="L2595"/>
      <c r="M2595"/>
    </row>
    <row r="2596" spans="3:13" hidden="1" outlineLevel="1" x14ac:dyDescent="0.2">
      <c r="C2596" s="139">
        <v>2370</v>
      </c>
      <c r="D2596" s="248">
        <v>2283.0620999999801</v>
      </c>
      <c r="E2596" s="248">
        <v>2337.3366000000201</v>
      </c>
      <c r="F2596" s="248">
        <v>2378.78169999999</v>
      </c>
      <c r="G2596" s="248">
        <v>2412.7781</v>
      </c>
      <c r="H2596" s="248">
        <v>2473.84939999997</v>
      </c>
      <c r="I2596"/>
      <c r="J2596"/>
      <c r="K2596"/>
      <c r="L2596"/>
      <c r="M2596"/>
    </row>
    <row r="2597" spans="3:13" hidden="1" outlineLevel="1" x14ac:dyDescent="0.2">
      <c r="C2597" s="139">
        <v>2371</v>
      </c>
      <c r="D2597" s="248">
        <v>2284.0767999999798</v>
      </c>
      <c r="E2597" s="248">
        <v>2338.3228000000199</v>
      </c>
      <c r="F2597" s="248">
        <v>2379.7853999999902</v>
      </c>
      <c r="G2597" s="248">
        <v>2413.7962000000002</v>
      </c>
      <c r="H2597" s="248">
        <v>2474.89319999997</v>
      </c>
      <c r="I2597"/>
      <c r="J2597"/>
      <c r="K2597"/>
      <c r="L2597"/>
      <c r="M2597"/>
    </row>
    <row r="2598" spans="3:13" hidden="1" outlineLevel="1" x14ac:dyDescent="0.2">
      <c r="C2598" s="139">
        <v>2372</v>
      </c>
      <c r="D2598" s="248">
        <v>2285.09149999998</v>
      </c>
      <c r="E2598" s="248">
        <v>2339.3090000000202</v>
      </c>
      <c r="F2598" s="248">
        <v>2380.78909999999</v>
      </c>
      <c r="G2598" s="248">
        <v>2414.8143</v>
      </c>
      <c r="H2598" s="248">
        <v>2475.9369999999699</v>
      </c>
      <c r="I2598"/>
      <c r="J2598"/>
      <c r="K2598"/>
      <c r="L2598"/>
      <c r="M2598"/>
    </row>
    <row r="2599" spans="3:13" hidden="1" outlineLevel="1" x14ac:dyDescent="0.2">
      <c r="C2599" s="139">
        <v>2373</v>
      </c>
      <c r="D2599" s="248">
        <v>2286.1061999999802</v>
      </c>
      <c r="E2599" s="248">
        <v>2340.29520000002</v>
      </c>
      <c r="F2599" s="248">
        <v>2381.7927999999902</v>
      </c>
      <c r="G2599" s="248">
        <v>2415.8323999999998</v>
      </c>
      <c r="H2599" s="248">
        <v>2476.9807999999698</v>
      </c>
      <c r="I2599"/>
      <c r="J2599"/>
      <c r="K2599"/>
      <c r="L2599"/>
      <c r="M2599"/>
    </row>
    <row r="2600" spans="3:13" hidden="1" outlineLevel="1" x14ac:dyDescent="0.2">
      <c r="C2600" s="139">
        <v>2374</v>
      </c>
      <c r="D2600" s="248">
        <v>2287.1208999999799</v>
      </c>
      <c r="E2600" s="248">
        <v>2341.2814000000199</v>
      </c>
      <c r="F2600" s="248">
        <v>2382.7964999999899</v>
      </c>
      <c r="G2600" s="248">
        <v>2416.8505</v>
      </c>
      <c r="H2600" s="248">
        <v>2478.0245999999702</v>
      </c>
      <c r="I2600"/>
      <c r="J2600"/>
      <c r="K2600"/>
      <c r="L2600"/>
      <c r="M2600"/>
    </row>
    <row r="2601" spans="3:13" hidden="1" outlineLevel="1" x14ac:dyDescent="0.2">
      <c r="C2601" s="139">
        <v>2375</v>
      </c>
      <c r="D2601" s="248">
        <v>2288.1355999999801</v>
      </c>
      <c r="E2601" s="248">
        <v>2342.2676000000201</v>
      </c>
      <c r="F2601" s="248">
        <v>2383.8001999999901</v>
      </c>
      <c r="G2601" s="248">
        <v>2417.8685999999998</v>
      </c>
      <c r="H2601" s="248">
        <v>2479.0683999999701</v>
      </c>
      <c r="I2601"/>
      <c r="J2601"/>
      <c r="K2601"/>
      <c r="L2601"/>
      <c r="M2601"/>
    </row>
    <row r="2602" spans="3:13" hidden="1" outlineLevel="1" x14ac:dyDescent="0.2">
      <c r="C2602" s="139">
        <v>2376</v>
      </c>
      <c r="D2602" s="248">
        <v>2289.1502999999798</v>
      </c>
      <c r="E2602" s="248">
        <v>2343.25380000002</v>
      </c>
      <c r="F2602" s="248">
        <v>2384.8038999999899</v>
      </c>
      <c r="G2602" s="248">
        <v>2418.8867</v>
      </c>
      <c r="H2602" s="248">
        <v>2480.11219999997</v>
      </c>
      <c r="I2602"/>
      <c r="J2602"/>
      <c r="K2602"/>
      <c r="L2602"/>
      <c r="M2602"/>
    </row>
    <row r="2603" spans="3:13" hidden="1" outlineLevel="1" x14ac:dyDescent="0.2">
      <c r="C2603" s="139">
        <v>2377</v>
      </c>
      <c r="D2603" s="248">
        <v>2290.16499999998</v>
      </c>
      <c r="E2603" s="248">
        <v>2344.2400000000198</v>
      </c>
      <c r="F2603" s="248">
        <v>2385.8075999999901</v>
      </c>
      <c r="G2603" s="248">
        <v>2419.9047999999998</v>
      </c>
      <c r="H2603" s="248">
        <v>2481.1559999999699</v>
      </c>
      <c r="I2603"/>
      <c r="J2603"/>
      <c r="K2603"/>
      <c r="L2603"/>
      <c r="M2603"/>
    </row>
    <row r="2604" spans="3:13" hidden="1" outlineLevel="1" x14ac:dyDescent="0.2">
      <c r="C2604" s="139">
        <v>2378</v>
      </c>
      <c r="D2604" s="248">
        <v>2291.1796999999801</v>
      </c>
      <c r="E2604" s="248">
        <v>2345.2262000000201</v>
      </c>
      <c r="F2604" s="248">
        <v>2386.8112999999898</v>
      </c>
      <c r="G2604" s="248">
        <v>2420.9229</v>
      </c>
      <c r="H2604" s="248">
        <v>2482.1997999999699</v>
      </c>
      <c r="I2604"/>
      <c r="J2604"/>
      <c r="K2604"/>
      <c r="L2604"/>
      <c r="M2604"/>
    </row>
    <row r="2605" spans="3:13" hidden="1" outlineLevel="1" x14ac:dyDescent="0.2">
      <c r="C2605" s="139">
        <v>2379</v>
      </c>
      <c r="D2605" s="248">
        <v>2292.1943999999799</v>
      </c>
      <c r="E2605" s="248">
        <v>2346.2124000000199</v>
      </c>
      <c r="F2605" s="248">
        <v>2387.8149999999901</v>
      </c>
      <c r="G2605" s="248">
        <v>2421.9409999999998</v>
      </c>
      <c r="H2605" s="248">
        <v>2483.2435999999698</v>
      </c>
      <c r="I2605"/>
      <c r="J2605"/>
      <c r="K2605"/>
      <c r="L2605"/>
      <c r="M2605"/>
    </row>
    <row r="2606" spans="3:13" hidden="1" outlineLevel="1" x14ac:dyDescent="0.2">
      <c r="C2606" s="139">
        <v>2380</v>
      </c>
      <c r="D2606" s="248">
        <v>2293.20909999998</v>
      </c>
      <c r="E2606" s="248">
        <v>2347.1986000000202</v>
      </c>
      <c r="F2606" s="248">
        <v>2388.8186999999898</v>
      </c>
      <c r="G2606" s="248">
        <v>2422.9591</v>
      </c>
      <c r="H2606" s="248">
        <v>2484.2873999999701</v>
      </c>
      <c r="I2606"/>
      <c r="J2606"/>
      <c r="K2606"/>
      <c r="L2606"/>
      <c r="M2606"/>
    </row>
    <row r="2607" spans="3:13" hidden="1" outlineLevel="1" x14ac:dyDescent="0.2">
      <c r="C2607" s="139">
        <v>2381</v>
      </c>
      <c r="D2607" s="248">
        <v>2294.2237999999802</v>
      </c>
      <c r="E2607" s="248">
        <v>2348.18480000002</v>
      </c>
      <c r="F2607" s="248">
        <v>2389.82239999999</v>
      </c>
      <c r="G2607" s="248">
        <v>2423.9771999999998</v>
      </c>
      <c r="H2607" s="248">
        <v>2485.3311999999701</v>
      </c>
      <c r="I2607"/>
      <c r="J2607"/>
      <c r="K2607"/>
      <c r="L2607"/>
      <c r="M2607"/>
    </row>
    <row r="2608" spans="3:13" hidden="1" outlineLevel="1" x14ac:dyDescent="0.2">
      <c r="C2608" s="139">
        <v>2382</v>
      </c>
      <c r="D2608" s="248">
        <v>2295.2384999999799</v>
      </c>
      <c r="E2608" s="248">
        <v>2349.1710000000198</v>
      </c>
      <c r="F2608" s="248">
        <v>2390.8260999999902</v>
      </c>
      <c r="G2608" s="248">
        <v>2424.9953</v>
      </c>
      <c r="H2608" s="248">
        <v>2486.37499999997</v>
      </c>
      <c r="I2608"/>
      <c r="J2608"/>
      <c r="K2608"/>
      <c r="L2608"/>
      <c r="M2608"/>
    </row>
    <row r="2609" spans="3:13" hidden="1" outlineLevel="1" x14ac:dyDescent="0.2">
      <c r="C2609" s="139">
        <v>2383</v>
      </c>
      <c r="D2609" s="248">
        <v>2296.2531999999801</v>
      </c>
      <c r="E2609" s="248">
        <v>2350.1572000000201</v>
      </c>
      <c r="F2609" s="248">
        <v>2391.82979999999</v>
      </c>
      <c r="G2609" s="248">
        <v>2426.0133999999998</v>
      </c>
      <c r="H2609" s="248">
        <v>2487.4187999999699</v>
      </c>
      <c r="I2609"/>
      <c r="J2609"/>
      <c r="K2609"/>
      <c r="L2609"/>
      <c r="M2609"/>
    </row>
    <row r="2610" spans="3:13" hidden="1" outlineLevel="1" x14ac:dyDescent="0.2">
      <c r="C2610" s="139">
        <v>2384</v>
      </c>
      <c r="D2610" s="248">
        <v>2297.2678999999798</v>
      </c>
      <c r="E2610" s="248">
        <v>2351.1434000000199</v>
      </c>
      <c r="F2610" s="248">
        <v>2392.8334999999902</v>
      </c>
      <c r="G2610" s="248">
        <v>2427.0315000000001</v>
      </c>
      <c r="H2610" s="248">
        <v>2488.4625999999698</v>
      </c>
      <c r="I2610"/>
      <c r="J2610"/>
      <c r="K2610"/>
      <c r="L2610"/>
      <c r="M2610"/>
    </row>
    <row r="2611" spans="3:13" hidden="1" outlineLevel="1" x14ac:dyDescent="0.2">
      <c r="C2611" s="139">
        <v>2385</v>
      </c>
      <c r="D2611" s="248">
        <v>2298.28259999998</v>
      </c>
      <c r="E2611" s="248">
        <v>2352.1296000000202</v>
      </c>
      <c r="F2611" s="248">
        <v>2393.8371999999899</v>
      </c>
      <c r="G2611" s="248">
        <v>2428.0495999999998</v>
      </c>
      <c r="H2611" s="248">
        <v>2489.5063999999702</v>
      </c>
      <c r="I2611"/>
      <c r="J2611"/>
      <c r="K2611"/>
      <c r="L2611"/>
      <c r="M2611"/>
    </row>
    <row r="2612" spans="3:13" hidden="1" outlineLevel="1" x14ac:dyDescent="0.2">
      <c r="C2612" s="139">
        <v>2386</v>
      </c>
      <c r="D2612" s="248">
        <v>2299.2972999999802</v>
      </c>
      <c r="E2612" s="248">
        <v>2353.11580000002</v>
      </c>
      <c r="F2612" s="248">
        <v>2394.8408999999901</v>
      </c>
      <c r="G2612" s="248">
        <v>2429.0677000000001</v>
      </c>
      <c r="H2612" s="248">
        <v>2490.5501999999701</v>
      </c>
      <c r="I2612"/>
      <c r="J2612"/>
      <c r="K2612"/>
      <c r="L2612"/>
      <c r="M2612"/>
    </row>
    <row r="2613" spans="3:13" hidden="1" outlineLevel="1" x14ac:dyDescent="0.2">
      <c r="C2613" s="139">
        <v>2387</v>
      </c>
      <c r="D2613" s="248">
        <v>2300.3119999999799</v>
      </c>
      <c r="E2613" s="248">
        <v>2354.1020000000199</v>
      </c>
      <c r="F2613" s="248">
        <v>2395.8445999999899</v>
      </c>
      <c r="G2613" s="248">
        <v>2430.0857999999998</v>
      </c>
      <c r="H2613" s="248">
        <v>2491.59399999997</v>
      </c>
      <c r="I2613"/>
      <c r="J2613"/>
      <c r="K2613"/>
      <c r="L2613"/>
      <c r="M2613"/>
    </row>
    <row r="2614" spans="3:13" hidden="1" outlineLevel="1" x14ac:dyDescent="0.2">
      <c r="C2614" s="139">
        <v>2388</v>
      </c>
      <c r="D2614" s="248">
        <v>2301.3266999999801</v>
      </c>
      <c r="E2614" s="248">
        <v>2355.0882000000202</v>
      </c>
      <c r="F2614" s="248">
        <v>2396.8482999999901</v>
      </c>
      <c r="G2614" s="248">
        <v>2431.1039000000001</v>
      </c>
      <c r="H2614" s="248">
        <v>2492.63779999997</v>
      </c>
      <c r="I2614"/>
      <c r="J2614"/>
      <c r="K2614"/>
      <c r="L2614"/>
      <c r="M2614"/>
    </row>
    <row r="2615" spans="3:13" hidden="1" outlineLevel="1" x14ac:dyDescent="0.2">
      <c r="C2615" s="139">
        <v>2389</v>
      </c>
      <c r="D2615" s="248">
        <v>2302.3413999999798</v>
      </c>
      <c r="E2615" s="248">
        <v>2356.07440000002</v>
      </c>
      <c r="F2615" s="248">
        <v>2397.8519999999899</v>
      </c>
      <c r="G2615" s="248">
        <v>2432.1219999999998</v>
      </c>
      <c r="H2615" s="248">
        <v>2493.6815999999699</v>
      </c>
      <c r="I2615"/>
      <c r="J2615"/>
      <c r="K2615"/>
      <c r="L2615"/>
      <c r="M2615"/>
    </row>
    <row r="2616" spans="3:13" hidden="1" outlineLevel="1" x14ac:dyDescent="0.2">
      <c r="C2616" s="139">
        <v>2390</v>
      </c>
      <c r="D2616" s="248">
        <v>2303.35609999998</v>
      </c>
      <c r="E2616" s="248">
        <v>2357.0606000000198</v>
      </c>
      <c r="F2616" s="248">
        <v>2398.8556999999901</v>
      </c>
      <c r="G2616" s="248">
        <v>2433.1401000000001</v>
      </c>
      <c r="H2616" s="248">
        <v>2494.7253999999698</v>
      </c>
      <c r="I2616"/>
      <c r="J2616"/>
      <c r="K2616"/>
      <c r="L2616"/>
      <c r="M2616"/>
    </row>
    <row r="2617" spans="3:13" hidden="1" outlineLevel="1" x14ac:dyDescent="0.2">
      <c r="C2617" s="139">
        <v>2391</v>
      </c>
      <c r="D2617" s="248">
        <v>2304.3707999999801</v>
      </c>
      <c r="E2617" s="248">
        <v>2358.0468000000201</v>
      </c>
      <c r="F2617" s="248">
        <v>2399.8593999999898</v>
      </c>
      <c r="G2617" s="248">
        <v>2434.1581999999999</v>
      </c>
      <c r="H2617" s="248">
        <v>2495.7691999999702</v>
      </c>
      <c r="I2617"/>
      <c r="J2617"/>
      <c r="K2617"/>
      <c r="L2617"/>
      <c r="M2617"/>
    </row>
    <row r="2618" spans="3:13" hidden="1" outlineLevel="1" x14ac:dyDescent="0.2">
      <c r="C2618" s="139">
        <v>2392</v>
      </c>
      <c r="D2618" s="248">
        <v>2305.3854999999799</v>
      </c>
      <c r="E2618" s="248">
        <v>2359.0330000000199</v>
      </c>
      <c r="F2618" s="248">
        <v>2400.86309999999</v>
      </c>
      <c r="G2618" s="248">
        <v>2435.1763000000001</v>
      </c>
      <c r="H2618" s="248">
        <v>2496.8129999999701</v>
      </c>
      <c r="I2618"/>
      <c r="J2618"/>
      <c r="K2618"/>
      <c r="L2618"/>
      <c r="M2618"/>
    </row>
    <row r="2619" spans="3:13" hidden="1" outlineLevel="1" x14ac:dyDescent="0.2">
      <c r="C2619" s="139">
        <v>2393</v>
      </c>
      <c r="D2619" s="248">
        <v>2306.40019999998</v>
      </c>
      <c r="E2619" s="248">
        <v>2360.0192000000202</v>
      </c>
      <c r="F2619" s="248">
        <v>2401.8667999999898</v>
      </c>
      <c r="G2619" s="248">
        <v>2436.1943999999999</v>
      </c>
      <c r="H2619" s="248">
        <v>2497.85679999997</v>
      </c>
      <c r="I2619"/>
      <c r="J2619"/>
      <c r="K2619"/>
      <c r="L2619"/>
      <c r="M2619"/>
    </row>
    <row r="2620" spans="3:13" hidden="1" outlineLevel="1" x14ac:dyDescent="0.2">
      <c r="C2620" s="139">
        <v>2394</v>
      </c>
      <c r="D2620" s="248">
        <v>2307.4148999999802</v>
      </c>
      <c r="E2620" s="248">
        <v>2361.00540000002</v>
      </c>
      <c r="F2620" s="248">
        <v>2402.87049999999</v>
      </c>
      <c r="G2620" s="248">
        <v>2437.2125000000001</v>
      </c>
      <c r="H2620" s="248">
        <v>2498.9005999999699</v>
      </c>
      <c r="I2620"/>
      <c r="J2620"/>
      <c r="K2620"/>
      <c r="L2620"/>
      <c r="M2620"/>
    </row>
    <row r="2621" spans="3:13" hidden="1" outlineLevel="1" x14ac:dyDescent="0.2">
      <c r="C2621" s="139">
        <v>2395</v>
      </c>
      <c r="D2621" s="248">
        <v>2308.4295999999799</v>
      </c>
      <c r="E2621" s="248">
        <v>2361.9916000000198</v>
      </c>
      <c r="F2621" s="248">
        <v>2403.8741999999902</v>
      </c>
      <c r="G2621" s="248">
        <v>2438.2305999999999</v>
      </c>
      <c r="H2621" s="248">
        <v>2499.9443999999698</v>
      </c>
      <c r="I2621"/>
      <c r="J2621"/>
      <c r="K2621"/>
      <c r="L2621"/>
      <c r="M2621"/>
    </row>
    <row r="2622" spans="3:13" hidden="1" outlineLevel="1" x14ac:dyDescent="0.2">
      <c r="C2622" s="139">
        <v>2396</v>
      </c>
      <c r="D2622" s="248">
        <v>2309.4442999999801</v>
      </c>
      <c r="E2622" s="248">
        <v>2362.9778000000201</v>
      </c>
      <c r="F2622" s="248">
        <v>2404.8778999999899</v>
      </c>
      <c r="G2622" s="248">
        <v>2439.2487000000001</v>
      </c>
      <c r="H2622" s="248">
        <v>2500.9881999999702</v>
      </c>
      <c r="I2622"/>
      <c r="J2622"/>
      <c r="K2622"/>
      <c r="L2622"/>
      <c r="M2622"/>
    </row>
    <row r="2623" spans="3:13" hidden="1" outlineLevel="1" x14ac:dyDescent="0.2">
      <c r="C2623" s="139">
        <v>2397</v>
      </c>
      <c r="D2623" s="248">
        <v>2310.4589999999798</v>
      </c>
      <c r="E2623" s="248">
        <v>2363.96400000002</v>
      </c>
      <c r="F2623" s="248">
        <v>2405.8815999999902</v>
      </c>
      <c r="G2623" s="248">
        <v>2440.2667999999999</v>
      </c>
      <c r="H2623" s="248">
        <v>2502.0319999999701</v>
      </c>
      <c r="I2623"/>
      <c r="J2623"/>
      <c r="K2623"/>
      <c r="L2623"/>
      <c r="M2623"/>
    </row>
    <row r="2624" spans="3:13" hidden="1" outlineLevel="1" x14ac:dyDescent="0.2">
      <c r="C2624" s="139">
        <v>2398</v>
      </c>
      <c r="D2624" s="248">
        <v>2311.47369999998</v>
      </c>
      <c r="E2624" s="248">
        <v>2364.9502000000198</v>
      </c>
      <c r="F2624" s="248">
        <v>2406.8852999999899</v>
      </c>
      <c r="G2624" s="248">
        <v>2441.2849000000001</v>
      </c>
      <c r="H2624" s="248">
        <v>2503.0757999999701</v>
      </c>
      <c r="I2624"/>
      <c r="J2624"/>
      <c r="K2624"/>
      <c r="L2624"/>
      <c r="M2624"/>
    </row>
    <row r="2625" spans="3:13" hidden="1" outlineLevel="1" x14ac:dyDescent="0.2">
      <c r="C2625" s="139">
        <v>2399</v>
      </c>
      <c r="D2625" s="248">
        <v>2312.4883999999802</v>
      </c>
      <c r="E2625" s="248">
        <v>2365.9364000000201</v>
      </c>
      <c r="F2625" s="248">
        <v>2407.8889999999901</v>
      </c>
      <c r="G2625" s="248">
        <v>2442.3029999999999</v>
      </c>
      <c r="H2625" s="248">
        <v>2504.11959999997</v>
      </c>
      <c r="I2625"/>
      <c r="J2625"/>
      <c r="K2625"/>
      <c r="L2625"/>
      <c r="M2625"/>
    </row>
    <row r="2626" spans="3:13" hidden="1" outlineLevel="1" x14ac:dyDescent="0.2">
      <c r="C2626" s="139">
        <v>2400</v>
      </c>
      <c r="D2626" s="248">
        <v>2313.5030999999799</v>
      </c>
      <c r="E2626" s="248">
        <v>2366.9226000000199</v>
      </c>
      <c r="F2626" s="248">
        <v>2408.8926999999899</v>
      </c>
      <c r="G2626" s="248">
        <v>2443.3211000000001</v>
      </c>
      <c r="H2626" s="248">
        <v>2505.1633999999699</v>
      </c>
      <c r="I2626"/>
      <c r="J2626"/>
      <c r="K2626"/>
      <c r="L2626"/>
      <c r="M2626"/>
    </row>
    <row r="2627" spans="3:13" hidden="1" outlineLevel="1" x14ac:dyDescent="0.2">
      <c r="C2627" s="139">
        <v>2401</v>
      </c>
      <c r="D2627" s="248">
        <v>2314.5177999999801</v>
      </c>
      <c r="E2627" s="248">
        <v>2367.9088000000202</v>
      </c>
      <c r="F2627" s="248">
        <v>2409.8963999999901</v>
      </c>
      <c r="G2627" s="248">
        <v>2444.3391999999999</v>
      </c>
      <c r="H2627" s="248">
        <v>2506.2071999999698</v>
      </c>
      <c r="I2627"/>
      <c r="J2627"/>
      <c r="K2627"/>
      <c r="L2627"/>
      <c r="M2627"/>
    </row>
    <row r="2628" spans="3:13" hidden="1" outlineLevel="1" x14ac:dyDescent="0.2">
      <c r="C2628" s="139">
        <v>2402</v>
      </c>
      <c r="D2628" s="248">
        <v>2315.5324999999798</v>
      </c>
      <c r="E2628" s="248">
        <v>2368.89500000002</v>
      </c>
      <c r="F2628" s="248">
        <v>2410.9000999999898</v>
      </c>
      <c r="G2628" s="248">
        <v>2445.3573000000001</v>
      </c>
      <c r="H2628" s="248">
        <v>2507.2509999999702</v>
      </c>
      <c r="I2628"/>
      <c r="J2628"/>
      <c r="K2628"/>
      <c r="L2628"/>
      <c r="M2628"/>
    </row>
    <row r="2629" spans="3:13" hidden="1" outlineLevel="1" x14ac:dyDescent="0.2">
      <c r="C2629" s="139">
        <v>2403</v>
      </c>
      <c r="D2629" s="248">
        <v>2316.54719999998</v>
      </c>
      <c r="E2629" s="248">
        <v>2369.8812000000198</v>
      </c>
      <c r="F2629" s="248">
        <v>2411.90379999999</v>
      </c>
      <c r="G2629" s="248">
        <v>2446.3753999999999</v>
      </c>
      <c r="H2629" s="248">
        <v>2508.2947999999701</v>
      </c>
      <c r="I2629"/>
      <c r="J2629"/>
      <c r="K2629"/>
      <c r="L2629"/>
      <c r="M2629"/>
    </row>
    <row r="2630" spans="3:13" hidden="1" outlineLevel="1" x14ac:dyDescent="0.2">
      <c r="C2630" s="139">
        <v>2404</v>
      </c>
      <c r="D2630" s="248">
        <v>2317.5618999999801</v>
      </c>
      <c r="E2630" s="248">
        <v>2370.8674000000201</v>
      </c>
      <c r="F2630" s="248">
        <v>2412.9074999999898</v>
      </c>
      <c r="G2630" s="248">
        <v>2447.3935000000001</v>
      </c>
      <c r="H2630" s="248">
        <v>2509.33859999997</v>
      </c>
      <c r="I2630"/>
      <c r="J2630"/>
      <c r="K2630"/>
      <c r="L2630"/>
      <c r="M2630"/>
    </row>
    <row r="2631" spans="3:13" hidden="1" outlineLevel="1" x14ac:dyDescent="0.2">
      <c r="C2631" s="139">
        <v>2405</v>
      </c>
      <c r="D2631" s="248">
        <v>2318.5765999999799</v>
      </c>
      <c r="E2631" s="248">
        <v>2371.8536000000199</v>
      </c>
      <c r="F2631" s="248">
        <v>2413.91119999999</v>
      </c>
      <c r="G2631" s="248">
        <v>2448.4115999999999</v>
      </c>
      <c r="H2631" s="248">
        <v>2510.3823999999699</v>
      </c>
      <c r="I2631"/>
      <c r="J2631"/>
      <c r="K2631"/>
      <c r="L2631"/>
      <c r="M2631"/>
    </row>
    <row r="2632" spans="3:13" hidden="1" outlineLevel="1" x14ac:dyDescent="0.2">
      <c r="C2632" s="139">
        <v>2406</v>
      </c>
      <c r="D2632" s="248">
        <v>2319.59129999998</v>
      </c>
      <c r="E2632" s="248">
        <v>2372.8398000000202</v>
      </c>
      <c r="F2632" s="248">
        <v>2414.9148999999902</v>
      </c>
      <c r="G2632" s="248">
        <v>2449.4297000000001</v>
      </c>
      <c r="H2632" s="248">
        <v>2511.4261999999699</v>
      </c>
      <c r="I2632"/>
      <c r="J2632"/>
      <c r="K2632"/>
      <c r="L2632"/>
      <c r="M2632"/>
    </row>
    <row r="2633" spans="3:13" hidden="1" outlineLevel="1" x14ac:dyDescent="0.2">
      <c r="C2633" s="139">
        <v>2407</v>
      </c>
      <c r="D2633" s="248">
        <v>2320.6059999999802</v>
      </c>
      <c r="E2633" s="248">
        <v>2373.82600000002</v>
      </c>
      <c r="F2633" s="248">
        <v>2415.91859999999</v>
      </c>
      <c r="G2633" s="248">
        <v>2450.4477999999999</v>
      </c>
      <c r="H2633" s="248">
        <v>2512.4699999999698</v>
      </c>
      <c r="I2633"/>
      <c r="J2633"/>
      <c r="K2633"/>
      <c r="L2633"/>
      <c r="M2633"/>
    </row>
    <row r="2634" spans="3:13" hidden="1" outlineLevel="1" x14ac:dyDescent="0.2">
      <c r="C2634" s="139">
        <v>2408</v>
      </c>
      <c r="D2634" s="248">
        <v>2321.6206999999799</v>
      </c>
      <c r="E2634" s="248">
        <v>2374.8122000000199</v>
      </c>
      <c r="F2634" s="248">
        <v>2416.9222999999902</v>
      </c>
      <c r="G2634" s="248">
        <v>2451.4659000000001</v>
      </c>
      <c r="H2634" s="248">
        <v>2513.5137999999702</v>
      </c>
      <c r="I2634"/>
      <c r="J2634"/>
      <c r="K2634"/>
      <c r="L2634"/>
      <c r="M2634"/>
    </row>
    <row r="2635" spans="3:13" hidden="1" outlineLevel="1" x14ac:dyDescent="0.2">
      <c r="C2635" s="139">
        <v>2409</v>
      </c>
      <c r="D2635" s="248">
        <v>2322.6353999999801</v>
      </c>
      <c r="E2635" s="248">
        <v>2375.7984000000201</v>
      </c>
      <c r="F2635" s="248">
        <v>2417.9259999999899</v>
      </c>
      <c r="G2635" s="248">
        <v>2452.4839999999999</v>
      </c>
      <c r="H2635" s="248">
        <v>2514.5575999999701</v>
      </c>
      <c r="I2635"/>
      <c r="J2635"/>
      <c r="K2635"/>
      <c r="L2635"/>
      <c r="M2635"/>
    </row>
    <row r="2636" spans="3:13" hidden="1" outlineLevel="1" x14ac:dyDescent="0.2">
      <c r="C2636" s="139">
        <v>2410</v>
      </c>
      <c r="D2636" s="248">
        <v>2323.6500999999798</v>
      </c>
      <c r="E2636" s="248">
        <v>2376.78460000002</v>
      </c>
      <c r="F2636" s="248">
        <v>2418.9296999999901</v>
      </c>
      <c r="G2636" s="248">
        <v>2453.5021000000002</v>
      </c>
      <c r="H2636" s="248">
        <v>2515.60139999997</v>
      </c>
      <c r="I2636"/>
      <c r="J2636"/>
      <c r="K2636"/>
      <c r="L2636"/>
      <c r="M2636"/>
    </row>
    <row r="2637" spans="3:13" hidden="1" outlineLevel="1" x14ac:dyDescent="0.2">
      <c r="C2637" s="139">
        <v>2411</v>
      </c>
      <c r="D2637" s="248">
        <v>2324.66479999998</v>
      </c>
      <c r="E2637" s="248">
        <v>2377.7708000000198</v>
      </c>
      <c r="F2637" s="248">
        <v>2419.9333999999899</v>
      </c>
      <c r="G2637" s="248">
        <v>2454.5201999999999</v>
      </c>
      <c r="H2637" s="248">
        <v>2516.6451999999699</v>
      </c>
      <c r="I2637"/>
      <c r="J2637"/>
      <c r="K2637"/>
      <c r="L2637"/>
      <c r="M2637"/>
    </row>
    <row r="2638" spans="3:13" hidden="1" outlineLevel="1" x14ac:dyDescent="0.2">
      <c r="C2638" s="139">
        <v>2412</v>
      </c>
      <c r="D2638" s="248">
        <v>2325.6794999999802</v>
      </c>
      <c r="E2638" s="248">
        <v>2378.7570000000201</v>
      </c>
      <c r="F2638" s="248">
        <v>2420.9370999999901</v>
      </c>
      <c r="G2638" s="248">
        <v>2455.5383000000002</v>
      </c>
      <c r="H2638" s="248">
        <v>2517.6889999999698</v>
      </c>
      <c r="I2638"/>
      <c r="J2638"/>
      <c r="K2638"/>
      <c r="L2638"/>
      <c r="M2638"/>
    </row>
    <row r="2639" spans="3:13" hidden="1" outlineLevel="1" x14ac:dyDescent="0.2">
      <c r="C2639" s="139">
        <v>2413</v>
      </c>
      <c r="D2639" s="248">
        <v>2326.6941999999799</v>
      </c>
      <c r="E2639" s="248">
        <v>2379.7432000000199</v>
      </c>
      <c r="F2639" s="248">
        <v>2421.9407999999898</v>
      </c>
      <c r="G2639" s="248">
        <v>2456.5563999999999</v>
      </c>
      <c r="H2639" s="248">
        <v>2518.7327999999702</v>
      </c>
      <c r="I2639"/>
      <c r="J2639"/>
      <c r="K2639"/>
      <c r="L2639"/>
      <c r="M2639"/>
    </row>
    <row r="2640" spans="3:13" hidden="1" outlineLevel="1" x14ac:dyDescent="0.2">
      <c r="C2640" s="139">
        <v>2414</v>
      </c>
      <c r="D2640" s="248">
        <v>2327.7088999999801</v>
      </c>
      <c r="E2640" s="248">
        <v>2380.7294000000202</v>
      </c>
      <c r="F2640" s="248">
        <v>2422.9444999999901</v>
      </c>
      <c r="G2640" s="248">
        <v>2457.5745000000002</v>
      </c>
      <c r="H2640" s="248">
        <v>2519.7765999999701</v>
      </c>
      <c r="I2640"/>
      <c r="J2640"/>
      <c r="K2640"/>
      <c r="L2640"/>
      <c r="M2640"/>
    </row>
    <row r="2641" spans="3:13" hidden="1" outlineLevel="1" x14ac:dyDescent="0.2">
      <c r="C2641" s="139">
        <v>2415</v>
      </c>
      <c r="D2641" s="248">
        <v>2328.7235999999798</v>
      </c>
      <c r="E2641" s="248">
        <v>2381.71560000002</v>
      </c>
      <c r="F2641" s="248">
        <v>2423.9481999999898</v>
      </c>
      <c r="G2641" s="248">
        <v>2458.5925999999999</v>
      </c>
      <c r="H2641" s="248">
        <v>2520.82039999997</v>
      </c>
      <c r="I2641"/>
      <c r="J2641"/>
      <c r="K2641"/>
      <c r="L2641"/>
      <c r="M2641"/>
    </row>
    <row r="2642" spans="3:13" hidden="1" outlineLevel="1" x14ac:dyDescent="0.2">
      <c r="C2642" s="139">
        <v>2416</v>
      </c>
      <c r="D2642" s="248">
        <v>2329.73829999998</v>
      </c>
      <c r="E2642" s="248">
        <v>2382.7018000000198</v>
      </c>
      <c r="F2642" s="248">
        <v>2424.95189999999</v>
      </c>
      <c r="G2642" s="248">
        <v>2459.6107000000002</v>
      </c>
      <c r="H2642" s="248">
        <v>2521.86419999997</v>
      </c>
      <c r="I2642"/>
      <c r="J2642"/>
      <c r="K2642"/>
      <c r="L2642"/>
      <c r="M2642"/>
    </row>
    <row r="2643" spans="3:13" hidden="1" outlineLevel="1" x14ac:dyDescent="0.2">
      <c r="C2643" s="139">
        <v>2417</v>
      </c>
      <c r="D2643" s="248">
        <v>2330.7529999999801</v>
      </c>
      <c r="E2643" s="248">
        <v>2383.6880000000201</v>
      </c>
      <c r="F2643" s="248">
        <v>2425.9555999999902</v>
      </c>
      <c r="G2643" s="248">
        <v>2460.6288</v>
      </c>
      <c r="H2643" s="248">
        <v>2522.9079999999699</v>
      </c>
      <c r="I2643"/>
      <c r="J2643"/>
      <c r="K2643"/>
      <c r="L2643"/>
      <c r="M2643"/>
    </row>
    <row r="2644" spans="3:13" hidden="1" outlineLevel="1" x14ac:dyDescent="0.2">
      <c r="C2644" s="139">
        <v>2418</v>
      </c>
      <c r="D2644" s="248">
        <v>2331.7676999999799</v>
      </c>
      <c r="E2644" s="248">
        <v>2384.6742000000199</v>
      </c>
      <c r="F2644" s="248">
        <v>2426.95929999999</v>
      </c>
      <c r="G2644" s="248">
        <v>2461.6469000000002</v>
      </c>
      <c r="H2644" s="248">
        <v>2523.9517999999698</v>
      </c>
      <c r="I2644"/>
      <c r="J2644"/>
      <c r="K2644"/>
      <c r="L2644"/>
      <c r="M2644"/>
    </row>
    <row r="2645" spans="3:13" hidden="1" outlineLevel="1" x14ac:dyDescent="0.2">
      <c r="C2645" s="139">
        <v>2419</v>
      </c>
      <c r="D2645" s="248">
        <v>2332.78239999998</v>
      </c>
      <c r="E2645" s="248">
        <v>2385.6604000000202</v>
      </c>
      <c r="F2645" s="248">
        <v>2427.9629999999902</v>
      </c>
      <c r="G2645" s="248">
        <v>2462.665</v>
      </c>
      <c r="H2645" s="248">
        <v>2524.9955999999702</v>
      </c>
      <c r="I2645"/>
      <c r="J2645"/>
      <c r="K2645"/>
      <c r="L2645"/>
      <c r="M2645"/>
    </row>
    <row r="2646" spans="3:13" hidden="1" outlineLevel="1" x14ac:dyDescent="0.2">
      <c r="C2646" s="139">
        <v>2420</v>
      </c>
      <c r="D2646" s="248">
        <v>2333.7970999999802</v>
      </c>
      <c r="E2646" s="248">
        <v>2386.64660000002</v>
      </c>
      <c r="F2646" s="248">
        <v>2428.9666999999899</v>
      </c>
      <c r="G2646" s="248">
        <v>2463.6831000000002</v>
      </c>
      <c r="H2646" s="248">
        <v>2526.0393999999701</v>
      </c>
      <c r="I2646"/>
      <c r="J2646"/>
      <c r="K2646"/>
      <c r="L2646"/>
      <c r="M2646"/>
    </row>
    <row r="2647" spans="3:13" hidden="1" outlineLevel="1" x14ac:dyDescent="0.2">
      <c r="C2647" s="139">
        <v>2421</v>
      </c>
      <c r="D2647" s="248">
        <v>2334.8117999999799</v>
      </c>
      <c r="E2647" s="248">
        <v>2387.6328000000199</v>
      </c>
      <c r="F2647" s="248">
        <v>2429.9703999999901</v>
      </c>
      <c r="G2647" s="248">
        <v>2464.7012</v>
      </c>
      <c r="H2647" s="248">
        <v>2527.08319999997</v>
      </c>
      <c r="I2647"/>
      <c r="J2647"/>
      <c r="K2647"/>
      <c r="L2647"/>
      <c r="M2647"/>
    </row>
    <row r="2648" spans="3:13" hidden="1" outlineLevel="1" x14ac:dyDescent="0.2">
      <c r="C2648" s="139">
        <v>2422</v>
      </c>
      <c r="D2648" s="248">
        <v>2335.8264999999801</v>
      </c>
      <c r="E2648" s="248">
        <v>2388.6190000000202</v>
      </c>
      <c r="F2648" s="248">
        <v>2430.9740999999899</v>
      </c>
      <c r="G2648" s="248">
        <v>2465.7193000000002</v>
      </c>
      <c r="H2648" s="248">
        <v>2528.1269999999699</v>
      </c>
      <c r="I2648"/>
      <c r="J2648"/>
      <c r="K2648"/>
      <c r="L2648"/>
      <c r="M2648"/>
    </row>
    <row r="2649" spans="3:13" hidden="1" outlineLevel="1" x14ac:dyDescent="0.2">
      <c r="C2649" s="139">
        <v>2423</v>
      </c>
      <c r="D2649" s="248">
        <v>2336.8411999999798</v>
      </c>
      <c r="E2649" s="248">
        <v>2389.60520000002</v>
      </c>
      <c r="F2649" s="248">
        <v>2431.9777999999901</v>
      </c>
      <c r="G2649" s="248">
        <v>2466.7374</v>
      </c>
      <c r="H2649" s="248">
        <v>2529.1707999999699</v>
      </c>
      <c r="I2649"/>
      <c r="J2649"/>
      <c r="K2649"/>
      <c r="L2649"/>
      <c r="M2649"/>
    </row>
    <row r="2650" spans="3:13" hidden="1" outlineLevel="1" x14ac:dyDescent="0.2">
      <c r="C2650" s="139">
        <v>2424</v>
      </c>
      <c r="D2650" s="248">
        <v>2337.85589999998</v>
      </c>
      <c r="E2650" s="248">
        <v>2390.5914000000198</v>
      </c>
      <c r="F2650" s="248">
        <v>2432.9814999999899</v>
      </c>
      <c r="G2650" s="248">
        <v>2467.7555000000002</v>
      </c>
      <c r="H2650" s="248">
        <v>2530.2145999999698</v>
      </c>
      <c r="I2650"/>
      <c r="J2650"/>
      <c r="K2650"/>
      <c r="L2650"/>
      <c r="M2650"/>
    </row>
    <row r="2651" spans="3:13" hidden="1" outlineLevel="1" x14ac:dyDescent="0.2">
      <c r="C2651" s="139">
        <v>2425</v>
      </c>
      <c r="D2651" s="248">
        <v>2338.8705999999802</v>
      </c>
      <c r="E2651" s="248">
        <v>2391.5776000000201</v>
      </c>
      <c r="F2651" s="248">
        <v>2433.9851999999901</v>
      </c>
      <c r="G2651" s="248">
        <v>2468.7736</v>
      </c>
      <c r="H2651" s="248">
        <v>2531.2583999999702</v>
      </c>
      <c r="I2651"/>
      <c r="J2651"/>
      <c r="K2651"/>
      <c r="L2651"/>
      <c r="M2651"/>
    </row>
    <row r="2652" spans="3:13" hidden="1" outlineLevel="1" x14ac:dyDescent="0.2">
      <c r="C2652" s="139">
        <v>2426</v>
      </c>
      <c r="D2652" s="248">
        <v>2339.8852999999799</v>
      </c>
      <c r="E2652" s="248">
        <v>2392.5638000000199</v>
      </c>
      <c r="F2652" s="248">
        <v>2434.9888999999898</v>
      </c>
      <c r="G2652" s="248">
        <v>2469.7917000000002</v>
      </c>
      <c r="H2652" s="248">
        <v>2532.3021999999701</v>
      </c>
      <c r="I2652"/>
      <c r="J2652"/>
      <c r="K2652"/>
      <c r="L2652"/>
      <c r="M2652"/>
    </row>
    <row r="2653" spans="3:13" hidden="1" outlineLevel="1" x14ac:dyDescent="0.2">
      <c r="C2653" s="139">
        <v>2427</v>
      </c>
      <c r="D2653" s="248">
        <v>2340.8999999999801</v>
      </c>
      <c r="E2653" s="248">
        <v>2393.5500000000202</v>
      </c>
      <c r="F2653" s="248">
        <v>2435.99259999999</v>
      </c>
      <c r="G2653" s="248">
        <v>2470.8098</v>
      </c>
      <c r="H2653" s="248">
        <v>2533.34599999996</v>
      </c>
      <c r="I2653"/>
      <c r="J2653"/>
      <c r="K2653"/>
      <c r="L2653"/>
      <c r="M2653"/>
    </row>
    <row r="2654" spans="3:13" hidden="1" outlineLevel="1" x14ac:dyDescent="0.2">
      <c r="C2654" s="139">
        <v>2428</v>
      </c>
      <c r="D2654" s="248">
        <v>2341.9146999999798</v>
      </c>
      <c r="E2654" s="248">
        <v>2394.53620000002</v>
      </c>
      <c r="F2654" s="248">
        <v>2436.9962999999898</v>
      </c>
      <c r="G2654" s="248">
        <v>2471.8279000000002</v>
      </c>
      <c r="H2654" s="248">
        <v>2534.3897999999699</v>
      </c>
      <c r="I2654"/>
      <c r="J2654"/>
      <c r="K2654"/>
      <c r="L2654"/>
      <c r="M2654"/>
    </row>
    <row r="2655" spans="3:13" hidden="1" outlineLevel="1" x14ac:dyDescent="0.2">
      <c r="C2655" s="139">
        <v>2429</v>
      </c>
      <c r="D2655" s="248">
        <v>2342.92939999998</v>
      </c>
      <c r="E2655" s="248">
        <v>2395.5224000000198</v>
      </c>
      <c r="F2655" s="248">
        <v>2437.99999999999</v>
      </c>
      <c r="G2655" s="248">
        <v>2472.846</v>
      </c>
      <c r="H2655" s="248">
        <v>2535.4335999999698</v>
      </c>
      <c r="I2655"/>
      <c r="J2655"/>
      <c r="K2655"/>
      <c r="L2655"/>
      <c r="M2655"/>
    </row>
    <row r="2656" spans="3:13" hidden="1" outlineLevel="1" x14ac:dyDescent="0.2">
      <c r="C2656" s="139">
        <v>2430</v>
      </c>
      <c r="D2656" s="248">
        <v>2343.9440999999802</v>
      </c>
      <c r="E2656" s="248">
        <v>2396.5086000000201</v>
      </c>
      <c r="F2656" s="248">
        <v>2439.0036999999902</v>
      </c>
      <c r="G2656" s="248">
        <v>2473.8640999999998</v>
      </c>
      <c r="H2656" s="248">
        <v>2536.4773999999702</v>
      </c>
      <c r="I2656"/>
      <c r="J2656"/>
      <c r="K2656"/>
      <c r="L2656"/>
      <c r="M2656"/>
    </row>
    <row r="2657" spans="3:13" hidden="1" outlineLevel="1" x14ac:dyDescent="0.2">
      <c r="C2657" s="139">
        <v>2431</v>
      </c>
      <c r="D2657" s="248">
        <v>2344.9587999999799</v>
      </c>
      <c r="E2657" s="248">
        <v>2397.4948000000199</v>
      </c>
      <c r="F2657" s="248">
        <v>2440.00739999999</v>
      </c>
      <c r="G2657" s="248">
        <v>2474.8822</v>
      </c>
      <c r="H2657" s="248">
        <v>2537.5211999999701</v>
      </c>
      <c r="I2657"/>
      <c r="J2657"/>
      <c r="K2657"/>
      <c r="L2657"/>
      <c r="M2657"/>
    </row>
    <row r="2658" spans="3:13" hidden="1" outlineLevel="1" x14ac:dyDescent="0.2">
      <c r="C2658" s="139">
        <v>2432</v>
      </c>
      <c r="D2658" s="248">
        <v>2345.97349999998</v>
      </c>
      <c r="E2658" s="248">
        <v>2398.4810000000198</v>
      </c>
      <c r="F2658" s="248">
        <v>2441.0110999999902</v>
      </c>
      <c r="G2658" s="248">
        <v>2475.9002999999998</v>
      </c>
      <c r="H2658" s="248">
        <v>2538.56499999997</v>
      </c>
      <c r="I2658"/>
      <c r="J2658"/>
      <c r="K2658"/>
      <c r="L2658"/>
      <c r="M2658"/>
    </row>
    <row r="2659" spans="3:13" hidden="1" outlineLevel="1" x14ac:dyDescent="0.2">
      <c r="C2659" s="139">
        <v>2433</v>
      </c>
      <c r="D2659" s="248">
        <v>2346.9881999999802</v>
      </c>
      <c r="E2659" s="248">
        <v>2399.4672000000201</v>
      </c>
      <c r="F2659" s="248">
        <v>2442.0147999999899</v>
      </c>
      <c r="G2659" s="248">
        <v>2476.9184</v>
      </c>
      <c r="H2659" s="248">
        <v>2539.60879999997</v>
      </c>
      <c r="I2659"/>
      <c r="J2659"/>
      <c r="K2659"/>
      <c r="L2659"/>
      <c r="M2659"/>
    </row>
    <row r="2660" spans="3:13" hidden="1" outlineLevel="1" x14ac:dyDescent="0.2">
      <c r="C2660" s="139">
        <v>2434</v>
      </c>
      <c r="D2660" s="248">
        <v>2348.0028999999799</v>
      </c>
      <c r="E2660" s="248">
        <v>2400.4534000000199</v>
      </c>
      <c r="F2660" s="248">
        <v>2443.0184999999901</v>
      </c>
      <c r="G2660" s="248">
        <v>2477.9364999999998</v>
      </c>
      <c r="H2660" s="248">
        <v>2540.6525999999699</v>
      </c>
      <c r="I2660"/>
      <c r="J2660"/>
      <c r="K2660"/>
      <c r="L2660"/>
      <c r="M2660"/>
    </row>
    <row r="2661" spans="3:13" hidden="1" outlineLevel="1" x14ac:dyDescent="0.2">
      <c r="C2661" s="139">
        <v>2435</v>
      </c>
      <c r="D2661" s="248">
        <v>2349.0175999999801</v>
      </c>
      <c r="E2661" s="248">
        <v>2401.4396000000202</v>
      </c>
      <c r="F2661" s="248">
        <v>2444.0221999999899</v>
      </c>
      <c r="G2661" s="248">
        <v>2478.9546</v>
      </c>
      <c r="H2661" s="248">
        <v>2541.6963999999698</v>
      </c>
      <c r="I2661"/>
      <c r="J2661"/>
      <c r="K2661"/>
      <c r="L2661"/>
      <c r="M2661"/>
    </row>
    <row r="2662" spans="3:13" hidden="1" outlineLevel="1" x14ac:dyDescent="0.2">
      <c r="C2662" s="139">
        <v>2436</v>
      </c>
      <c r="D2662" s="248">
        <v>2350.0322999999798</v>
      </c>
      <c r="E2662" s="248">
        <v>2402.42580000002</v>
      </c>
      <c r="F2662" s="248">
        <v>2445.0258999999901</v>
      </c>
      <c r="G2662" s="248">
        <v>2479.9726999999998</v>
      </c>
      <c r="H2662" s="248">
        <v>2542.7401999999702</v>
      </c>
      <c r="I2662"/>
      <c r="J2662"/>
      <c r="K2662"/>
      <c r="L2662"/>
      <c r="M2662"/>
    </row>
    <row r="2663" spans="3:13" hidden="1" outlineLevel="1" x14ac:dyDescent="0.2">
      <c r="C2663" s="139">
        <v>2437</v>
      </c>
      <c r="D2663" s="248">
        <v>2351.04699999998</v>
      </c>
      <c r="E2663" s="248">
        <v>2403.4120000000198</v>
      </c>
      <c r="F2663" s="248">
        <v>2446.0295999999898</v>
      </c>
      <c r="G2663" s="248">
        <v>2480.9908</v>
      </c>
      <c r="H2663" s="248">
        <v>2543.7839999999601</v>
      </c>
      <c r="I2663"/>
      <c r="J2663"/>
      <c r="K2663"/>
      <c r="L2663"/>
      <c r="M2663"/>
    </row>
    <row r="2664" spans="3:13" hidden="1" outlineLevel="1" x14ac:dyDescent="0.2">
      <c r="C2664" s="139">
        <v>2438</v>
      </c>
      <c r="D2664" s="248">
        <v>2352.0616999999802</v>
      </c>
      <c r="E2664" s="248">
        <v>2404.3982000000201</v>
      </c>
      <c r="F2664" s="248">
        <v>2447.03329999999</v>
      </c>
      <c r="G2664" s="248">
        <v>2482.0088999999998</v>
      </c>
      <c r="H2664" s="248">
        <v>2544.82779999996</v>
      </c>
      <c r="I2664"/>
      <c r="J2664"/>
      <c r="K2664"/>
      <c r="L2664"/>
      <c r="M2664"/>
    </row>
    <row r="2665" spans="3:13" hidden="1" outlineLevel="1" x14ac:dyDescent="0.2">
      <c r="C2665" s="139">
        <v>2439</v>
      </c>
      <c r="D2665" s="248">
        <v>2353.0763999999799</v>
      </c>
      <c r="E2665" s="248">
        <v>2405.3844000000199</v>
      </c>
      <c r="F2665" s="248">
        <v>2448.0369999999898</v>
      </c>
      <c r="G2665" s="248">
        <v>2483.027</v>
      </c>
      <c r="H2665" s="248">
        <v>2545.8715999999599</v>
      </c>
      <c r="I2665"/>
      <c r="J2665"/>
      <c r="K2665"/>
      <c r="L2665"/>
      <c r="M2665"/>
    </row>
    <row r="2666" spans="3:13" hidden="1" outlineLevel="1" x14ac:dyDescent="0.2">
      <c r="C2666" s="139">
        <v>2440</v>
      </c>
      <c r="D2666" s="248">
        <v>2354.0910999999801</v>
      </c>
      <c r="E2666" s="248">
        <v>2406.3706000000202</v>
      </c>
      <c r="F2666" s="248">
        <v>2449.04069999999</v>
      </c>
      <c r="G2666" s="248">
        <v>2484.0450999999998</v>
      </c>
      <c r="H2666" s="248">
        <v>2546.9153999999598</v>
      </c>
      <c r="I2666"/>
      <c r="J2666"/>
      <c r="K2666"/>
      <c r="L2666"/>
      <c r="M2666"/>
    </row>
    <row r="2667" spans="3:13" hidden="1" outlineLevel="1" x14ac:dyDescent="0.2">
      <c r="C2667" s="139">
        <v>2441</v>
      </c>
      <c r="D2667" s="248">
        <v>2355.1057999999798</v>
      </c>
      <c r="E2667" s="248">
        <v>2407.35680000002</v>
      </c>
      <c r="F2667" s="248">
        <v>2450.0443999999902</v>
      </c>
      <c r="G2667" s="248">
        <v>2485.0632000000001</v>
      </c>
      <c r="H2667" s="248">
        <v>2547.9591999999602</v>
      </c>
      <c r="I2667"/>
      <c r="J2667"/>
      <c r="K2667"/>
      <c r="L2667"/>
      <c r="M2667"/>
    </row>
    <row r="2668" spans="3:13" hidden="1" outlineLevel="1" x14ac:dyDescent="0.2">
      <c r="C2668" s="139">
        <v>2442</v>
      </c>
      <c r="D2668" s="248">
        <v>2356.12049999998</v>
      </c>
      <c r="E2668" s="248">
        <v>2408.3430000000199</v>
      </c>
      <c r="F2668" s="248">
        <v>2451.04809999999</v>
      </c>
      <c r="G2668" s="248">
        <v>2486.0812999999998</v>
      </c>
      <c r="H2668" s="248">
        <v>2549.0029999999601</v>
      </c>
      <c r="I2668"/>
      <c r="J2668"/>
      <c r="K2668"/>
      <c r="L2668"/>
      <c r="M2668"/>
    </row>
    <row r="2669" spans="3:13" hidden="1" outlineLevel="1" x14ac:dyDescent="0.2">
      <c r="C2669" s="139">
        <v>2443</v>
      </c>
      <c r="D2669" s="248">
        <v>2357.1351999999802</v>
      </c>
      <c r="E2669" s="248">
        <v>2409.3292000000201</v>
      </c>
      <c r="F2669" s="248">
        <v>2452.0517999999902</v>
      </c>
      <c r="G2669" s="248">
        <v>2487.0994000000001</v>
      </c>
      <c r="H2669" s="248">
        <v>2550.0467999999601</v>
      </c>
      <c r="I2669"/>
      <c r="J2669"/>
      <c r="K2669"/>
      <c r="L2669"/>
      <c r="M2669"/>
    </row>
    <row r="2670" spans="3:13" hidden="1" outlineLevel="1" x14ac:dyDescent="0.2">
      <c r="C2670" s="139">
        <v>2444</v>
      </c>
      <c r="D2670" s="248">
        <v>2358.1498999999799</v>
      </c>
      <c r="E2670" s="248">
        <v>2410.31540000002</v>
      </c>
      <c r="F2670" s="248">
        <v>2453.0554999999899</v>
      </c>
      <c r="G2670" s="248">
        <v>2488.1174999999998</v>
      </c>
      <c r="H2670" s="248">
        <v>2551.09059999996</v>
      </c>
      <c r="I2670"/>
      <c r="J2670"/>
      <c r="K2670"/>
      <c r="L2670"/>
      <c r="M2670"/>
    </row>
    <row r="2671" spans="3:13" hidden="1" outlineLevel="1" x14ac:dyDescent="0.2">
      <c r="C2671" s="139">
        <v>2445</v>
      </c>
      <c r="D2671" s="248">
        <v>2359.1645999999801</v>
      </c>
      <c r="E2671" s="248">
        <v>2411.3016000000198</v>
      </c>
      <c r="F2671" s="248">
        <v>2454.0591999999901</v>
      </c>
      <c r="G2671" s="248">
        <v>2489.1356000000001</v>
      </c>
      <c r="H2671" s="248">
        <v>2552.1343999999599</v>
      </c>
      <c r="I2671"/>
      <c r="J2671"/>
      <c r="K2671"/>
      <c r="L2671"/>
      <c r="M2671"/>
    </row>
    <row r="2672" spans="3:13" hidden="1" outlineLevel="1" x14ac:dyDescent="0.2">
      <c r="C2672" s="139">
        <v>2446</v>
      </c>
      <c r="D2672" s="248">
        <v>2360.1792999999798</v>
      </c>
      <c r="E2672" s="248">
        <v>2412.2878000000201</v>
      </c>
      <c r="F2672" s="248">
        <v>2455.0628999999899</v>
      </c>
      <c r="G2672" s="248">
        <v>2490.1536999999998</v>
      </c>
      <c r="H2672" s="248">
        <v>2553.1781999999598</v>
      </c>
      <c r="I2672"/>
      <c r="J2672"/>
      <c r="K2672"/>
      <c r="L2672"/>
      <c r="M2672"/>
    </row>
    <row r="2673" spans="3:13" hidden="1" outlineLevel="1" x14ac:dyDescent="0.2">
      <c r="C2673" s="139">
        <v>2447</v>
      </c>
      <c r="D2673" s="248">
        <v>2361.19399999998</v>
      </c>
      <c r="E2673" s="248">
        <v>2413.2740000000199</v>
      </c>
      <c r="F2673" s="248">
        <v>2456.0665999999901</v>
      </c>
      <c r="G2673" s="248">
        <v>2491.1718000000001</v>
      </c>
      <c r="H2673" s="248">
        <v>2554.2219999999602</v>
      </c>
      <c r="I2673"/>
      <c r="J2673"/>
      <c r="K2673"/>
      <c r="L2673"/>
      <c r="M2673"/>
    </row>
    <row r="2674" spans="3:13" hidden="1" outlineLevel="1" x14ac:dyDescent="0.2">
      <c r="C2674" s="139">
        <v>2448</v>
      </c>
      <c r="D2674" s="248">
        <v>2362.2086999999801</v>
      </c>
      <c r="E2674" s="248">
        <v>2414.2602000000202</v>
      </c>
      <c r="F2674" s="248">
        <v>2457.0702999999899</v>
      </c>
      <c r="G2674" s="248">
        <v>2492.1898999999999</v>
      </c>
      <c r="H2674" s="248">
        <v>2555.2657999999601</v>
      </c>
      <c r="I2674"/>
      <c r="J2674"/>
      <c r="K2674"/>
      <c r="L2674"/>
      <c r="M2674"/>
    </row>
    <row r="2675" spans="3:13" hidden="1" outlineLevel="1" x14ac:dyDescent="0.2">
      <c r="C2675" s="139">
        <v>2449</v>
      </c>
      <c r="D2675" s="248">
        <v>2363.2233999999798</v>
      </c>
      <c r="E2675" s="248">
        <v>2415.24640000002</v>
      </c>
      <c r="F2675" s="248">
        <v>2458.0739999999901</v>
      </c>
      <c r="G2675" s="248">
        <v>2493.2080000000001</v>
      </c>
      <c r="H2675" s="248">
        <v>2556.30959999996</v>
      </c>
      <c r="I2675"/>
      <c r="J2675"/>
      <c r="K2675"/>
      <c r="L2675"/>
      <c r="M2675"/>
    </row>
    <row r="2676" spans="3:13" hidden="1" outlineLevel="1" x14ac:dyDescent="0.2">
      <c r="C2676" s="139">
        <v>2450</v>
      </c>
      <c r="D2676" s="248">
        <v>2364.23809999998</v>
      </c>
      <c r="E2676" s="248">
        <v>2416.2326000000198</v>
      </c>
      <c r="F2676" s="248">
        <v>2459.0776999999898</v>
      </c>
      <c r="G2676" s="248">
        <v>2494.2260999999999</v>
      </c>
      <c r="H2676" s="248">
        <v>2557.3533999999599</v>
      </c>
      <c r="I2676"/>
      <c r="J2676"/>
      <c r="K2676"/>
      <c r="L2676"/>
      <c r="M2676"/>
    </row>
    <row r="2677" spans="3:13" hidden="1" outlineLevel="1" x14ac:dyDescent="0.2">
      <c r="C2677" s="139">
        <v>2451</v>
      </c>
      <c r="D2677" s="248">
        <v>2365.2527999999802</v>
      </c>
      <c r="E2677" s="248">
        <v>2417.2188000000201</v>
      </c>
      <c r="F2677" s="248">
        <v>2460.08139999999</v>
      </c>
      <c r="G2677" s="248">
        <v>2495.2442000000001</v>
      </c>
      <c r="H2677" s="248">
        <v>2558.3971999999599</v>
      </c>
      <c r="I2677"/>
      <c r="J2677"/>
      <c r="K2677"/>
      <c r="L2677"/>
      <c r="M2677"/>
    </row>
    <row r="2678" spans="3:13" hidden="1" outlineLevel="1" x14ac:dyDescent="0.2">
      <c r="C2678" s="139">
        <v>2452</v>
      </c>
      <c r="D2678" s="248">
        <v>2366.2674999999799</v>
      </c>
      <c r="E2678" s="248">
        <v>2418.2050000000199</v>
      </c>
      <c r="F2678" s="248">
        <v>2461.0850999999898</v>
      </c>
      <c r="G2678" s="248">
        <v>2496.2622999999999</v>
      </c>
      <c r="H2678" s="248">
        <v>2559.4409999999598</v>
      </c>
      <c r="I2678"/>
      <c r="J2678"/>
      <c r="K2678"/>
      <c r="L2678"/>
      <c r="M2678"/>
    </row>
    <row r="2679" spans="3:13" hidden="1" outlineLevel="1" x14ac:dyDescent="0.2">
      <c r="C2679" s="139">
        <v>2453</v>
      </c>
      <c r="D2679" s="248">
        <v>2367.2821999999801</v>
      </c>
      <c r="E2679" s="248">
        <v>2419.1912000000202</v>
      </c>
      <c r="F2679" s="248">
        <v>2462.08879999999</v>
      </c>
      <c r="G2679" s="248">
        <v>2497.2804000000001</v>
      </c>
      <c r="H2679" s="248">
        <v>2560.4847999999602</v>
      </c>
      <c r="I2679"/>
      <c r="J2679"/>
      <c r="K2679"/>
      <c r="L2679"/>
      <c r="M2679"/>
    </row>
    <row r="2680" spans="3:13" hidden="1" outlineLevel="1" x14ac:dyDescent="0.2">
      <c r="C2680" s="139">
        <v>2454</v>
      </c>
      <c r="D2680" s="248">
        <v>2368.2968999999798</v>
      </c>
      <c r="E2680" s="248">
        <v>2420.17740000002</v>
      </c>
      <c r="F2680" s="248">
        <v>2463.0924999999902</v>
      </c>
      <c r="G2680" s="248">
        <v>2498.2984999999999</v>
      </c>
      <c r="H2680" s="248">
        <v>2561.5285999999601</v>
      </c>
      <c r="I2680"/>
      <c r="J2680"/>
      <c r="K2680"/>
      <c r="L2680"/>
      <c r="M2680"/>
    </row>
    <row r="2681" spans="3:13" hidden="1" outlineLevel="1" x14ac:dyDescent="0.2">
      <c r="C2681" s="139">
        <v>2455</v>
      </c>
      <c r="D2681" s="248">
        <v>2369.31159999998</v>
      </c>
      <c r="E2681" s="248">
        <v>2421.1636000000199</v>
      </c>
      <c r="F2681" s="248">
        <v>2464.0961999999899</v>
      </c>
      <c r="G2681" s="248">
        <v>2499.3166000000001</v>
      </c>
      <c r="H2681" s="248">
        <v>2562.57239999996</v>
      </c>
      <c r="I2681"/>
      <c r="J2681"/>
      <c r="K2681"/>
      <c r="L2681"/>
      <c r="M2681"/>
    </row>
    <row r="2682" spans="3:13" hidden="1" outlineLevel="1" x14ac:dyDescent="0.2">
      <c r="C2682" s="139">
        <v>2456</v>
      </c>
      <c r="D2682" s="248">
        <v>2370.3262999999802</v>
      </c>
      <c r="E2682" s="248">
        <v>2422.1498000000202</v>
      </c>
      <c r="F2682" s="248">
        <v>2465.0998999999902</v>
      </c>
      <c r="G2682" s="248">
        <v>2500.3346999999999</v>
      </c>
      <c r="H2682" s="248">
        <v>2563.6161999999599</v>
      </c>
      <c r="I2682"/>
      <c r="J2682"/>
      <c r="K2682"/>
      <c r="L2682"/>
      <c r="M2682"/>
    </row>
    <row r="2683" spans="3:13" hidden="1" outlineLevel="1" x14ac:dyDescent="0.2">
      <c r="C2683" s="139">
        <v>2457</v>
      </c>
      <c r="D2683" s="248">
        <v>2371.3409999999799</v>
      </c>
      <c r="E2683" s="248">
        <v>2423.13600000002</v>
      </c>
      <c r="F2683" s="248">
        <v>2466.1035999999899</v>
      </c>
      <c r="G2683" s="248">
        <v>2501.3528000000001</v>
      </c>
      <c r="H2683" s="248">
        <v>2564.6599999999598</v>
      </c>
      <c r="I2683"/>
      <c r="J2683"/>
      <c r="K2683"/>
      <c r="L2683"/>
      <c r="M2683"/>
    </row>
    <row r="2684" spans="3:13" hidden="1" outlineLevel="1" x14ac:dyDescent="0.2">
      <c r="C2684" s="139">
        <v>2458</v>
      </c>
      <c r="D2684" s="248">
        <v>2372.3556999999801</v>
      </c>
      <c r="E2684" s="248">
        <v>2424.1222000000198</v>
      </c>
      <c r="F2684" s="248">
        <v>2467.1072999999901</v>
      </c>
      <c r="G2684" s="248">
        <v>2502.3708999999999</v>
      </c>
      <c r="H2684" s="248">
        <v>2565.7037999999602</v>
      </c>
      <c r="I2684"/>
      <c r="J2684"/>
      <c r="K2684"/>
      <c r="L2684"/>
      <c r="M2684"/>
    </row>
    <row r="2685" spans="3:13" hidden="1" outlineLevel="1" x14ac:dyDescent="0.2">
      <c r="C2685" s="139">
        <v>2459</v>
      </c>
      <c r="D2685" s="248">
        <v>2373.3703999999798</v>
      </c>
      <c r="E2685" s="248">
        <v>2425.1084000000301</v>
      </c>
      <c r="F2685" s="248">
        <v>2468.1109999999899</v>
      </c>
      <c r="G2685" s="248">
        <v>2503.3890000000001</v>
      </c>
      <c r="H2685" s="248">
        <v>2566.7475999999601</v>
      </c>
      <c r="I2685"/>
      <c r="J2685"/>
      <c r="K2685"/>
      <c r="L2685"/>
      <c r="M2685"/>
    </row>
    <row r="2686" spans="3:13" hidden="1" outlineLevel="1" x14ac:dyDescent="0.2">
      <c r="C2686" s="139">
        <v>2460</v>
      </c>
      <c r="D2686" s="248">
        <v>2374.38509999998</v>
      </c>
      <c r="E2686" s="248">
        <v>2426.0946000000199</v>
      </c>
      <c r="F2686" s="248">
        <v>2469.1146999999901</v>
      </c>
      <c r="G2686" s="248">
        <v>2504.4070999999999</v>
      </c>
      <c r="H2686" s="248">
        <v>2567.79139999996</v>
      </c>
      <c r="I2686"/>
      <c r="J2686"/>
      <c r="K2686"/>
      <c r="L2686"/>
      <c r="M2686"/>
    </row>
    <row r="2687" spans="3:13" hidden="1" outlineLevel="1" x14ac:dyDescent="0.2">
      <c r="C2687" s="139">
        <v>2461</v>
      </c>
      <c r="D2687" s="248">
        <v>2375.3997999999801</v>
      </c>
      <c r="E2687" s="248">
        <v>2427.0808000000202</v>
      </c>
      <c r="F2687" s="248">
        <v>2470.1183999999898</v>
      </c>
      <c r="G2687" s="248">
        <v>2505.4252000000001</v>
      </c>
      <c r="H2687" s="248">
        <v>2568.83519999996</v>
      </c>
      <c r="I2687"/>
      <c r="J2687"/>
      <c r="K2687"/>
      <c r="L2687"/>
      <c r="M2687"/>
    </row>
    <row r="2688" spans="3:13" hidden="1" outlineLevel="1" x14ac:dyDescent="0.2">
      <c r="C2688" s="139">
        <v>2462</v>
      </c>
      <c r="D2688" s="248">
        <v>2376.4144999999799</v>
      </c>
      <c r="E2688" s="248">
        <v>2428.06700000003</v>
      </c>
      <c r="F2688" s="248">
        <v>2471.12209999999</v>
      </c>
      <c r="G2688" s="248">
        <v>2506.4432999999999</v>
      </c>
      <c r="H2688" s="248">
        <v>2569.8789999999599</v>
      </c>
      <c r="I2688"/>
      <c r="J2688"/>
      <c r="K2688"/>
      <c r="L2688"/>
      <c r="M2688"/>
    </row>
    <row r="2689" spans="3:13" hidden="1" outlineLevel="1" x14ac:dyDescent="0.2">
      <c r="C2689" s="139">
        <v>2463</v>
      </c>
      <c r="D2689" s="248">
        <v>2377.42919999998</v>
      </c>
      <c r="E2689" s="248">
        <v>2429.0532000000198</v>
      </c>
      <c r="F2689" s="248">
        <v>2472.1257999999898</v>
      </c>
      <c r="G2689" s="248">
        <v>2507.4614000000001</v>
      </c>
      <c r="H2689" s="248">
        <v>2570.9227999999598</v>
      </c>
      <c r="I2689"/>
      <c r="J2689"/>
      <c r="K2689"/>
      <c r="L2689"/>
      <c r="M2689"/>
    </row>
    <row r="2690" spans="3:13" hidden="1" outlineLevel="1" x14ac:dyDescent="0.2">
      <c r="C2690" s="139">
        <v>2464</v>
      </c>
      <c r="D2690" s="248">
        <v>2378.4438999999802</v>
      </c>
      <c r="E2690" s="248">
        <v>2430.0394000000301</v>
      </c>
      <c r="F2690" s="248">
        <v>2473.12949999999</v>
      </c>
      <c r="G2690" s="248">
        <v>2508.4794999999999</v>
      </c>
      <c r="H2690" s="248">
        <v>2571.9665999999602</v>
      </c>
      <c r="I2690"/>
      <c r="J2690"/>
      <c r="K2690"/>
      <c r="L2690"/>
      <c r="M2690"/>
    </row>
    <row r="2691" spans="3:13" hidden="1" outlineLevel="1" x14ac:dyDescent="0.2">
      <c r="C2691" s="139">
        <v>2465</v>
      </c>
      <c r="D2691" s="248">
        <v>2379.4585999999799</v>
      </c>
      <c r="E2691" s="248">
        <v>2431.0256000000199</v>
      </c>
      <c r="F2691" s="248">
        <v>2474.1331999999902</v>
      </c>
      <c r="G2691" s="248">
        <v>2509.4976000000001</v>
      </c>
      <c r="H2691" s="248">
        <v>2573.0103999999601</v>
      </c>
      <c r="I2691"/>
      <c r="J2691"/>
      <c r="K2691"/>
      <c r="L2691"/>
      <c r="M2691"/>
    </row>
    <row r="2692" spans="3:13" hidden="1" outlineLevel="1" x14ac:dyDescent="0.2">
      <c r="C2692" s="139">
        <v>2466</v>
      </c>
      <c r="D2692" s="248">
        <v>2380.4732999999801</v>
      </c>
      <c r="E2692" s="248">
        <v>2432.0118000000198</v>
      </c>
      <c r="F2692" s="248">
        <v>2475.13689999999</v>
      </c>
      <c r="G2692" s="248">
        <v>2510.5156999999999</v>
      </c>
      <c r="H2692" s="248">
        <v>2574.05419999996</v>
      </c>
      <c r="I2692"/>
      <c r="J2692"/>
      <c r="K2692"/>
      <c r="L2692"/>
      <c r="M2692"/>
    </row>
    <row r="2693" spans="3:13" hidden="1" outlineLevel="1" x14ac:dyDescent="0.2">
      <c r="C2693" s="139">
        <v>2467</v>
      </c>
      <c r="D2693" s="248">
        <v>2381.4879999999798</v>
      </c>
      <c r="E2693" s="248">
        <v>2432.9980000000301</v>
      </c>
      <c r="F2693" s="248">
        <v>2476.1405999999902</v>
      </c>
      <c r="G2693" s="248">
        <v>2511.5338000000002</v>
      </c>
      <c r="H2693" s="248">
        <v>2575.0979999999599</v>
      </c>
      <c r="I2693"/>
      <c r="J2693"/>
      <c r="K2693"/>
      <c r="L2693"/>
      <c r="M2693"/>
    </row>
    <row r="2694" spans="3:13" hidden="1" outlineLevel="1" x14ac:dyDescent="0.2">
      <c r="C2694" s="139">
        <v>2468</v>
      </c>
      <c r="D2694" s="248">
        <v>2382.50269999997</v>
      </c>
      <c r="E2694" s="248">
        <v>2433.9842000000199</v>
      </c>
      <c r="F2694" s="248">
        <v>2477.1442999999899</v>
      </c>
      <c r="G2694" s="248">
        <v>2512.5518999999999</v>
      </c>
      <c r="H2694" s="248">
        <v>2576.1417999999599</v>
      </c>
      <c r="I2694"/>
      <c r="J2694"/>
      <c r="K2694"/>
      <c r="L2694"/>
      <c r="M2694"/>
    </row>
    <row r="2695" spans="3:13" hidden="1" outlineLevel="1" x14ac:dyDescent="0.2">
      <c r="C2695" s="139">
        <v>2469</v>
      </c>
      <c r="D2695" s="248">
        <v>2383.5173999999802</v>
      </c>
      <c r="E2695" s="248">
        <v>2434.9704000000202</v>
      </c>
      <c r="F2695" s="248">
        <v>2478.1479999999901</v>
      </c>
      <c r="G2695" s="248">
        <v>2513.5700000000002</v>
      </c>
      <c r="H2695" s="248">
        <v>2577.1855999999598</v>
      </c>
      <c r="I2695"/>
      <c r="J2695"/>
      <c r="K2695"/>
      <c r="L2695"/>
      <c r="M2695"/>
    </row>
    <row r="2696" spans="3:13" hidden="1" outlineLevel="1" x14ac:dyDescent="0.2">
      <c r="C2696" s="139">
        <v>2470</v>
      </c>
      <c r="D2696" s="248">
        <v>2384.5320999999699</v>
      </c>
      <c r="E2696" s="248">
        <v>2435.95660000002</v>
      </c>
      <c r="F2696" s="248">
        <v>2479.1516999999899</v>
      </c>
      <c r="G2696" s="248">
        <v>2514.5880999999999</v>
      </c>
      <c r="H2696" s="248">
        <v>2578.2293999999602</v>
      </c>
      <c r="I2696"/>
      <c r="J2696"/>
      <c r="K2696"/>
      <c r="L2696"/>
      <c r="M2696"/>
    </row>
    <row r="2697" spans="3:13" hidden="1" outlineLevel="1" x14ac:dyDescent="0.2">
      <c r="C2697" s="139">
        <v>2471</v>
      </c>
      <c r="D2697" s="248">
        <v>2385.5467999999801</v>
      </c>
      <c r="E2697" s="248">
        <v>2436.9428000000198</v>
      </c>
      <c r="F2697" s="248">
        <v>2480.1553999999901</v>
      </c>
      <c r="G2697" s="248">
        <v>2515.6062000000002</v>
      </c>
      <c r="H2697" s="248">
        <v>2579.2731999999601</v>
      </c>
      <c r="I2697"/>
      <c r="J2697"/>
      <c r="K2697"/>
      <c r="L2697"/>
      <c r="M2697"/>
    </row>
    <row r="2698" spans="3:13" hidden="1" outlineLevel="1" x14ac:dyDescent="0.2">
      <c r="C2698" s="139">
        <v>2472</v>
      </c>
      <c r="D2698" s="248">
        <v>2386.5614999999698</v>
      </c>
      <c r="E2698" s="248">
        <v>2437.9290000000301</v>
      </c>
      <c r="F2698" s="248">
        <v>2481.1590999999898</v>
      </c>
      <c r="G2698" s="248">
        <v>2516.6242999999999</v>
      </c>
      <c r="H2698" s="248">
        <v>2580.31699999996</v>
      </c>
      <c r="I2698"/>
      <c r="J2698"/>
      <c r="K2698"/>
      <c r="L2698"/>
      <c r="M2698"/>
    </row>
    <row r="2699" spans="3:13" hidden="1" outlineLevel="1" x14ac:dyDescent="0.2">
      <c r="C2699" s="139">
        <v>2473</v>
      </c>
      <c r="D2699" s="248">
        <v>2387.57619999997</v>
      </c>
      <c r="E2699" s="248">
        <v>2438.9152000000199</v>
      </c>
      <c r="F2699" s="248">
        <v>2482.1627999999901</v>
      </c>
      <c r="G2699" s="248">
        <v>2517.6424000000002</v>
      </c>
      <c r="H2699" s="248">
        <v>2581.3607999999599</v>
      </c>
      <c r="I2699"/>
      <c r="J2699"/>
      <c r="K2699"/>
      <c r="L2699"/>
      <c r="M2699"/>
    </row>
    <row r="2700" spans="3:13" hidden="1" outlineLevel="1" x14ac:dyDescent="0.2">
      <c r="C2700" s="139">
        <v>2474</v>
      </c>
      <c r="D2700" s="248">
        <v>2388.5908999999801</v>
      </c>
      <c r="E2700" s="248">
        <v>2439.9014000000302</v>
      </c>
      <c r="F2700" s="248">
        <v>2483.1664999999898</v>
      </c>
      <c r="G2700" s="248">
        <v>2518.6605</v>
      </c>
      <c r="H2700" s="248">
        <v>2582.4045999999598</v>
      </c>
      <c r="I2700"/>
      <c r="J2700"/>
      <c r="K2700"/>
      <c r="L2700"/>
      <c r="M2700"/>
    </row>
    <row r="2701" spans="3:13" hidden="1" outlineLevel="1" x14ac:dyDescent="0.2">
      <c r="C2701" s="139">
        <v>2475</v>
      </c>
      <c r="D2701" s="248">
        <v>2389.6055999999699</v>
      </c>
      <c r="E2701" s="248">
        <v>2440.88760000003</v>
      </c>
      <c r="F2701" s="248">
        <v>2484.17019999999</v>
      </c>
      <c r="G2701" s="248">
        <v>2519.6786000000002</v>
      </c>
      <c r="H2701" s="248">
        <v>2583.4483999999602</v>
      </c>
      <c r="I2701"/>
      <c r="J2701"/>
      <c r="K2701"/>
      <c r="L2701"/>
      <c r="M2701"/>
    </row>
    <row r="2702" spans="3:13" hidden="1" outlineLevel="1" x14ac:dyDescent="0.2">
      <c r="C2702" s="139">
        <v>2476</v>
      </c>
      <c r="D2702" s="248">
        <v>2390.62029999998</v>
      </c>
      <c r="E2702" s="248">
        <v>2441.8738000000299</v>
      </c>
      <c r="F2702" s="248">
        <v>2485.1738999999902</v>
      </c>
      <c r="G2702" s="248">
        <v>2520.6967</v>
      </c>
      <c r="H2702" s="248">
        <v>2584.4921999999601</v>
      </c>
      <c r="I2702"/>
      <c r="J2702"/>
      <c r="K2702"/>
      <c r="L2702"/>
      <c r="M2702"/>
    </row>
    <row r="2703" spans="3:13" hidden="1" outlineLevel="1" x14ac:dyDescent="0.2">
      <c r="C2703" s="139">
        <v>2477</v>
      </c>
      <c r="D2703" s="248">
        <v>2391.6349999999702</v>
      </c>
      <c r="E2703" s="248">
        <v>2442.8600000000301</v>
      </c>
      <c r="F2703" s="248">
        <v>2486.17759999999</v>
      </c>
      <c r="G2703" s="248">
        <v>2521.7148000000002</v>
      </c>
      <c r="H2703" s="248">
        <v>2585.53599999996</v>
      </c>
      <c r="I2703"/>
      <c r="J2703"/>
      <c r="K2703"/>
      <c r="L2703"/>
      <c r="M2703"/>
    </row>
    <row r="2704" spans="3:13" hidden="1" outlineLevel="1" x14ac:dyDescent="0.2">
      <c r="C2704" s="139">
        <v>2478</v>
      </c>
      <c r="D2704" s="248">
        <v>2392.6496999999699</v>
      </c>
      <c r="E2704" s="248">
        <v>2443.84620000003</v>
      </c>
      <c r="F2704" s="248">
        <v>2487.1812999999902</v>
      </c>
      <c r="G2704" s="248">
        <v>2522.7329</v>
      </c>
      <c r="H2704" s="248">
        <v>2586.57979999996</v>
      </c>
      <c r="I2704"/>
      <c r="J2704"/>
      <c r="K2704"/>
      <c r="L2704"/>
      <c r="M2704"/>
    </row>
    <row r="2705" spans="3:13" hidden="1" outlineLevel="1" x14ac:dyDescent="0.2">
      <c r="C2705" s="139">
        <v>2479</v>
      </c>
      <c r="D2705" s="248">
        <v>2393.6643999999801</v>
      </c>
      <c r="E2705" s="248">
        <v>2444.8324000000298</v>
      </c>
      <c r="F2705" s="248">
        <v>2488.1849999999899</v>
      </c>
      <c r="G2705" s="248">
        <v>2523.7510000000002</v>
      </c>
      <c r="H2705" s="248">
        <v>2587.6235999999599</v>
      </c>
      <c r="I2705"/>
      <c r="J2705"/>
      <c r="K2705"/>
      <c r="L2705"/>
      <c r="M2705"/>
    </row>
    <row r="2706" spans="3:13" hidden="1" outlineLevel="1" x14ac:dyDescent="0.2">
      <c r="C2706" s="139">
        <v>2480</v>
      </c>
      <c r="D2706" s="248">
        <v>2394.6790999999698</v>
      </c>
      <c r="E2706" s="248">
        <v>2445.8186000000301</v>
      </c>
      <c r="F2706" s="248">
        <v>2489.1886999999901</v>
      </c>
      <c r="G2706" s="248">
        <v>2524.7691</v>
      </c>
      <c r="H2706" s="248">
        <v>2588.6673999999598</v>
      </c>
      <c r="I2706"/>
      <c r="J2706"/>
      <c r="K2706"/>
      <c r="L2706"/>
      <c r="M2706"/>
    </row>
    <row r="2707" spans="3:13" hidden="1" outlineLevel="1" x14ac:dyDescent="0.2">
      <c r="C2707" s="139">
        <v>2481</v>
      </c>
      <c r="D2707" s="248">
        <v>2395.69379999997</v>
      </c>
      <c r="E2707" s="248">
        <v>2446.8048000000299</v>
      </c>
      <c r="F2707" s="248">
        <v>2490.1923999999899</v>
      </c>
      <c r="G2707" s="248">
        <v>2525.7872000000002</v>
      </c>
      <c r="H2707" s="248">
        <v>2589.7111999999602</v>
      </c>
      <c r="I2707"/>
      <c r="J2707"/>
      <c r="K2707"/>
      <c r="L2707"/>
      <c r="M2707"/>
    </row>
    <row r="2708" spans="3:13" hidden="1" outlineLevel="1" x14ac:dyDescent="0.2">
      <c r="C2708" s="139">
        <v>2482</v>
      </c>
      <c r="D2708" s="248">
        <v>2396.7084999999802</v>
      </c>
      <c r="E2708" s="248">
        <v>2447.7910000000302</v>
      </c>
      <c r="F2708" s="248">
        <v>2491.1960999999901</v>
      </c>
      <c r="G2708" s="248">
        <v>2526.8053</v>
      </c>
      <c r="H2708" s="248">
        <v>2590.7549999999601</v>
      </c>
      <c r="I2708"/>
      <c r="J2708"/>
      <c r="K2708"/>
      <c r="L2708"/>
      <c r="M2708"/>
    </row>
    <row r="2709" spans="3:13" hidden="1" outlineLevel="1" x14ac:dyDescent="0.2">
      <c r="C2709" s="139">
        <v>2483</v>
      </c>
      <c r="D2709" s="248">
        <v>2397.7231999999699</v>
      </c>
      <c r="E2709" s="248">
        <v>2448.77720000003</v>
      </c>
      <c r="F2709" s="248">
        <v>2492.1997999999899</v>
      </c>
      <c r="G2709" s="248">
        <v>2527.8234000000002</v>
      </c>
      <c r="H2709" s="248">
        <v>2591.79879999996</v>
      </c>
      <c r="I2709"/>
      <c r="J2709"/>
      <c r="K2709"/>
      <c r="L2709"/>
      <c r="M2709"/>
    </row>
    <row r="2710" spans="3:13" hidden="1" outlineLevel="1" x14ac:dyDescent="0.2">
      <c r="C2710" s="139">
        <v>2484</v>
      </c>
      <c r="D2710" s="248">
        <v>2398.7378999999801</v>
      </c>
      <c r="E2710" s="248">
        <v>2449.7634000000298</v>
      </c>
      <c r="F2710" s="248">
        <v>2493.2034999999901</v>
      </c>
      <c r="G2710" s="248">
        <v>2528.8415</v>
      </c>
      <c r="H2710" s="248">
        <v>2592.8425999999599</v>
      </c>
      <c r="I2710"/>
      <c r="J2710"/>
      <c r="K2710"/>
      <c r="L2710"/>
      <c r="M2710"/>
    </row>
    <row r="2711" spans="3:13" hidden="1" outlineLevel="1" x14ac:dyDescent="0.2">
      <c r="C2711" s="139">
        <v>2485</v>
      </c>
      <c r="D2711" s="248">
        <v>2399.7525999999698</v>
      </c>
      <c r="E2711" s="248">
        <v>2450.7496000000301</v>
      </c>
      <c r="F2711" s="248">
        <v>2494.2071999999898</v>
      </c>
      <c r="G2711" s="248">
        <v>2529.8595999999998</v>
      </c>
      <c r="H2711" s="248">
        <v>2593.8863999999598</v>
      </c>
      <c r="I2711"/>
      <c r="J2711"/>
      <c r="K2711"/>
      <c r="L2711"/>
      <c r="M2711"/>
    </row>
    <row r="2712" spans="3:13" hidden="1" outlineLevel="1" x14ac:dyDescent="0.2">
      <c r="C2712" s="139">
        <v>2486</v>
      </c>
      <c r="D2712" s="248">
        <v>2400.76729999997</v>
      </c>
      <c r="E2712" s="248">
        <v>2451.7358000000299</v>
      </c>
      <c r="F2712" s="248">
        <v>2495.21089999999</v>
      </c>
      <c r="G2712" s="248">
        <v>2530.8777</v>
      </c>
      <c r="H2712" s="248">
        <v>2594.9301999999602</v>
      </c>
      <c r="I2712"/>
      <c r="J2712"/>
      <c r="K2712"/>
      <c r="L2712"/>
      <c r="M2712"/>
    </row>
    <row r="2713" spans="3:13" hidden="1" outlineLevel="1" x14ac:dyDescent="0.2">
      <c r="C2713" s="139">
        <v>2487</v>
      </c>
      <c r="D2713" s="248">
        <v>2401.7819999999801</v>
      </c>
      <c r="E2713" s="248">
        <v>2452.7220000000302</v>
      </c>
      <c r="F2713" s="248">
        <v>2496.2145999999898</v>
      </c>
      <c r="G2713" s="248">
        <v>2531.8957999999998</v>
      </c>
      <c r="H2713" s="248">
        <v>2595.9739999999601</v>
      </c>
      <c r="I2713"/>
      <c r="J2713"/>
      <c r="K2713"/>
      <c r="L2713"/>
      <c r="M2713"/>
    </row>
    <row r="2714" spans="3:13" hidden="1" outlineLevel="1" x14ac:dyDescent="0.2">
      <c r="C2714" s="139">
        <v>2488</v>
      </c>
      <c r="D2714" s="248">
        <v>2402.7966999999699</v>
      </c>
      <c r="E2714" s="248">
        <v>2453.70820000003</v>
      </c>
      <c r="F2714" s="248">
        <v>2497.21829999999</v>
      </c>
      <c r="G2714" s="248">
        <v>2532.9139</v>
      </c>
      <c r="H2714" s="248">
        <v>2597.0177999999601</v>
      </c>
      <c r="I2714"/>
      <c r="J2714"/>
      <c r="K2714"/>
      <c r="L2714"/>
      <c r="M2714"/>
    </row>
    <row r="2715" spans="3:13" hidden="1" outlineLevel="1" x14ac:dyDescent="0.2">
      <c r="C2715" s="139">
        <v>2489</v>
      </c>
      <c r="D2715" s="248">
        <v>2403.81139999997</v>
      </c>
      <c r="E2715" s="248">
        <v>2454.6944000000299</v>
      </c>
      <c r="F2715" s="248">
        <v>2498.2219999999902</v>
      </c>
      <c r="G2715" s="248">
        <v>2533.9319999999998</v>
      </c>
      <c r="H2715" s="248">
        <v>2598.06159999996</v>
      </c>
      <c r="I2715"/>
      <c r="J2715"/>
      <c r="K2715"/>
      <c r="L2715"/>
      <c r="M2715"/>
    </row>
    <row r="2716" spans="3:13" hidden="1" outlineLevel="1" x14ac:dyDescent="0.2">
      <c r="C2716" s="139">
        <v>2490</v>
      </c>
      <c r="D2716" s="248">
        <v>2404.8260999999702</v>
      </c>
      <c r="E2716" s="248">
        <v>2455.6806000000302</v>
      </c>
      <c r="F2716" s="248">
        <v>2499.22569999999</v>
      </c>
      <c r="G2716" s="248">
        <v>2534.9501</v>
      </c>
      <c r="H2716" s="248">
        <v>2599.1053999999599</v>
      </c>
      <c r="I2716"/>
      <c r="J2716"/>
      <c r="K2716"/>
      <c r="L2716"/>
      <c r="M2716"/>
    </row>
    <row r="2717" spans="3:13" hidden="1" outlineLevel="1" x14ac:dyDescent="0.2">
      <c r="C2717" s="139">
        <v>2491</v>
      </c>
      <c r="D2717" s="248">
        <v>2405.8407999999699</v>
      </c>
      <c r="E2717" s="248">
        <v>2456.66680000003</v>
      </c>
      <c r="F2717" s="248">
        <v>2500.2293999999902</v>
      </c>
      <c r="G2717" s="248">
        <v>2535.9681999999998</v>
      </c>
      <c r="H2717" s="248">
        <v>2600.1491999999598</v>
      </c>
      <c r="I2717"/>
      <c r="J2717"/>
      <c r="K2717"/>
      <c r="L2717"/>
      <c r="M2717"/>
    </row>
    <row r="2718" spans="3:13" hidden="1" outlineLevel="1" x14ac:dyDescent="0.2">
      <c r="C2718" s="139">
        <v>2492</v>
      </c>
      <c r="D2718" s="248">
        <v>2406.8554999999701</v>
      </c>
      <c r="E2718" s="248">
        <v>2457.6530000000298</v>
      </c>
      <c r="F2718" s="248">
        <v>2501.2330999999899</v>
      </c>
      <c r="G2718" s="248">
        <v>2536.9863</v>
      </c>
      <c r="H2718" s="248">
        <v>2601.1929999999602</v>
      </c>
      <c r="I2718"/>
      <c r="J2718"/>
      <c r="K2718"/>
      <c r="L2718"/>
      <c r="M2718"/>
    </row>
    <row r="2719" spans="3:13" hidden="1" outlineLevel="1" x14ac:dyDescent="0.2">
      <c r="C2719" s="139">
        <v>2493</v>
      </c>
      <c r="D2719" s="248">
        <v>2407.8701999999698</v>
      </c>
      <c r="E2719" s="248">
        <v>2458.6392000000301</v>
      </c>
      <c r="F2719" s="248">
        <v>2502.2367999999901</v>
      </c>
      <c r="G2719" s="248">
        <v>2538.0043999999998</v>
      </c>
      <c r="H2719" s="248">
        <v>2602.2367999999601</v>
      </c>
      <c r="I2719"/>
      <c r="J2719"/>
      <c r="K2719"/>
      <c r="L2719"/>
      <c r="M2719"/>
    </row>
    <row r="2720" spans="3:13" hidden="1" outlineLevel="1" x14ac:dyDescent="0.2">
      <c r="C2720" s="139">
        <v>2494</v>
      </c>
      <c r="D2720" s="248">
        <v>2408.88489999997</v>
      </c>
      <c r="E2720" s="248">
        <v>2459.6254000000299</v>
      </c>
      <c r="F2720" s="248">
        <v>2503.2404999999899</v>
      </c>
      <c r="G2720" s="248">
        <v>2539.0225</v>
      </c>
      <c r="H2720" s="248">
        <v>2603.28059999996</v>
      </c>
      <c r="I2720"/>
      <c r="J2720"/>
      <c r="K2720"/>
      <c r="L2720"/>
      <c r="M2720"/>
    </row>
    <row r="2721" spans="3:13" hidden="1" outlineLevel="1" x14ac:dyDescent="0.2">
      <c r="C2721" s="139">
        <v>2495</v>
      </c>
      <c r="D2721" s="248">
        <v>2409.8995999999702</v>
      </c>
      <c r="E2721" s="248">
        <v>2460.6116000000302</v>
      </c>
      <c r="F2721" s="248">
        <v>2504.2441999999901</v>
      </c>
      <c r="G2721" s="248">
        <v>2540.0405999999998</v>
      </c>
      <c r="H2721" s="248">
        <v>2604.32439999996</v>
      </c>
      <c r="I2721"/>
      <c r="J2721"/>
      <c r="K2721"/>
      <c r="L2721"/>
      <c r="M2721"/>
    </row>
    <row r="2722" spans="3:13" hidden="1" outlineLevel="1" x14ac:dyDescent="0.2">
      <c r="C2722" s="139">
        <v>2496</v>
      </c>
      <c r="D2722" s="248">
        <v>2410.9142999999699</v>
      </c>
      <c r="E2722" s="248">
        <v>2461.59780000003</v>
      </c>
      <c r="F2722" s="248">
        <v>2505.2478999999898</v>
      </c>
      <c r="G2722" s="248">
        <v>2541.0587</v>
      </c>
      <c r="H2722" s="248">
        <v>2605.3681999999599</v>
      </c>
      <c r="I2722"/>
      <c r="J2722"/>
      <c r="K2722"/>
      <c r="L2722"/>
      <c r="M2722"/>
    </row>
    <row r="2723" spans="3:13" hidden="1" outlineLevel="1" x14ac:dyDescent="0.2">
      <c r="C2723" s="139">
        <v>2497</v>
      </c>
      <c r="D2723" s="248">
        <v>2411.9289999999701</v>
      </c>
      <c r="E2723" s="248">
        <v>2462.5840000000298</v>
      </c>
      <c r="F2723" s="248">
        <v>2506.25159999999</v>
      </c>
      <c r="G2723" s="248">
        <v>2542.0767999999998</v>
      </c>
      <c r="H2723" s="248">
        <v>2606.4119999999598</v>
      </c>
      <c r="I2723"/>
      <c r="J2723"/>
      <c r="K2723"/>
      <c r="L2723"/>
      <c r="M2723"/>
    </row>
    <row r="2724" spans="3:13" hidden="1" outlineLevel="1" x14ac:dyDescent="0.2">
      <c r="C2724" s="139">
        <v>2498</v>
      </c>
      <c r="D2724" s="248">
        <v>2412.9436999999698</v>
      </c>
      <c r="E2724" s="248">
        <v>2463.5702000000301</v>
      </c>
      <c r="F2724" s="248">
        <v>2507.2552999999898</v>
      </c>
      <c r="G2724" s="248">
        <v>2543.0949000000001</v>
      </c>
      <c r="H2724" s="248">
        <v>2607.4557999999602</v>
      </c>
      <c r="I2724"/>
      <c r="J2724"/>
      <c r="K2724"/>
      <c r="L2724"/>
      <c r="M2724"/>
    </row>
    <row r="2725" spans="3:13" hidden="1" outlineLevel="1" x14ac:dyDescent="0.2">
      <c r="C2725" s="139">
        <v>2499</v>
      </c>
      <c r="D2725" s="248">
        <v>2413.95839999997</v>
      </c>
      <c r="E2725" s="248">
        <v>2464.55640000003</v>
      </c>
      <c r="F2725" s="248">
        <v>2508.25899999999</v>
      </c>
      <c r="G2725" s="248">
        <v>2544.1129999999998</v>
      </c>
      <c r="H2725" s="248">
        <v>2608.4995999999601</v>
      </c>
      <c r="I2725"/>
      <c r="J2725"/>
      <c r="K2725"/>
      <c r="L2725"/>
      <c r="M2725"/>
    </row>
    <row r="2726" spans="3:13" hidden="1" outlineLevel="1" x14ac:dyDescent="0.2">
      <c r="C2726" s="139">
        <v>2500</v>
      </c>
      <c r="D2726" s="248">
        <v>2414.9730999999701</v>
      </c>
      <c r="E2726" s="248">
        <v>2465.5426000000298</v>
      </c>
      <c r="F2726" s="248">
        <v>2509.2626999999902</v>
      </c>
      <c r="G2726" s="248">
        <v>2545.1311000000001</v>
      </c>
      <c r="H2726" s="248">
        <v>2609.54339999996</v>
      </c>
      <c r="I2726"/>
      <c r="J2726"/>
      <c r="K2726"/>
      <c r="L2726"/>
      <c r="M2726"/>
    </row>
    <row r="2727" spans="3:13" hidden="1" outlineLevel="1" x14ac:dyDescent="0.2">
      <c r="C2727" s="139">
        <v>2501</v>
      </c>
      <c r="D2727" s="248">
        <v>2415.9877999999699</v>
      </c>
      <c r="E2727" s="248">
        <v>2466.5288000000301</v>
      </c>
      <c r="F2727" s="248">
        <v>2510.26639999999</v>
      </c>
      <c r="G2727" s="248">
        <v>2546.1491999999998</v>
      </c>
      <c r="H2727" s="248">
        <v>2610.5871999999599</v>
      </c>
      <c r="I2727"/>
      <c r="J2727"/>
      <c r="K2727"/>
      <c r="L2727"/>
      <c r="M2727"/>
    </row>
    <row r="2728" spans="3:13" hidden="1" outlineLevel="1" x14ac:dyDescent="0.2">
      <c r="C2728" s="139">
        <v>2502</v>
      </c>
      <c r="D2728" s="248">
        <v>2417.00249999997</v>
      </c>
      <c r="E2728" s="248">
        <v>2467.5150000000299</v>
      </c>
      <c r="F2728" s="248">
        <v>2511.2700999999902</v>
      </c>
      <c r="G2728" s="248">
        <v>2547.1673000000001</v>
      </c>
      <c r="H2728" s="248">
        <v>2611.6309999999598</v>
      </c>
      <c r="I2728"/>
      <c r="J2728"/>
      <c r="K2728"/>
      <c r="L2728"/>
      <c r="M2728"/>
    </row>
    <row r="2729" spans="3:13" hidden="1" outlineLevel="1" x14ac:dyDescent="0.2">
      <c r="C2729" s="139">
        <v>2503</v>
      </c>
      <c r="D2729" s="248">
        <v>2418.0171999999702</v>
      </c>
      <c r="E2729" s="248">
        <v>2468.5012000000302</v>
      </c>
      <c r="F2729" s="248">
        <v>2512.2737999999899</v>
      </c>
      <c r="G2729" s="248">
        <v>2548.1853999999998</v>
      </c>
      <c r="H2729" s="248">
        <v>2612.6747999999602</v>
      </c>
      <c r="I2729"/>
      <c r="J2729"/>
      <c r="K2729"/>
      <c r="L2729"/>
      <c r="M2729"/>
    </row>
    <row r="2730" spans="3:13" hidden="1" outlineLevel="1" x14ac:dyDescent="0.2">
      <c r="C2730" s="139">
        <v>2504</v>
      </c>
      <c r="D2730" s="248">
        <v>2419.0318999999699</v>
      </c>
      <c r="E2730" s="248">
        <v>2469.48740000003</v>
      </c>
      <c r="F2730" s="248">
        <v>2513.2774999999901</v>
      </c>
      <c r="G2730" s="248">
        <v>2549.2035000000001</v>
      </c>
      <c r="H2730" s="248">
        <v>2613.7185999999601</v>
      </c>
      <c r="I2730"/>
      <c r="J2730"/>
      <c r="K2730"/>
      <c r="L2730"/>
      <c r="M2730"/>
    </row>
    <row r="2731" spans="3:13" hidden="1" outlineLevel="1" x14ac:dyDescent="0.2">
      <c r="C2731" s="139">
        <v>2505</v>
      </c>
      <c r="D2731" s="248">
        <v>2420.0465999999701</v>
      </c>
      <c r="E2731" s="248">
        <v>2470.4736000000298</v>
      </c>
      <c r="F2731" s="248">
        <v>2514.2811999999899</v>
      </c>
      <c r="G2731" s="248">
        <v>2550.2215999999999</v>
      </c>
      <c r="H2731" s="248">
        <v>2614.7623999999601</v>
      </c>
      <c r="I2731"/>
      <c r="J2731"/>
      <c r="K2731"/>
      <c r="L2731"/>
      <c r="M2731"/>
    </row>
    <row r="2732" spans="3:13" hidden="1" outlineLevel="1" x14ac:dyDescent="0.2">
      <c r="C2732" s="139">
        <v>2506</v>
      </c>
      <c r="D2732" s="248">
        <v>2421.0612999999698</v>
      </c>
      <c r="E2732" s="248">
        <v>2471.4598000000301</v>
      </c>
      <c r="F2732" s="248">
        <v>2515.2848999999901</v>
      </c>
      <c r="G2732" s="248">
        <v>2551.2397000000001</v>
      </c>
      <c r="H2732" s="248">
        <v>2615.80619999996</v>
      </c>
      <c r="I2732"/>
      <c r="J2732"/>
      <c r="K2732"/>
      <c r="L2732"/>
      <c r="M2732"/>
    </row>
    <row r="2733" spans="3:13" hidden="1" outlineLevel="1" x14ac:dyDescent="0.2">
      <c r="C2733" s="139">
        <v>2507</v>
      </c>
      <c r="D2733" s="248">
        <v>2422.07599999997</v>
      </c>
      <c r="E2733" s="248">
        <v>2472.4460000000299</v>
      </c>
      <c r="F2733" s="248">
        <v>2516.2885999999899</v>
      </c>
      <c r="G2733" s="248">
        <v>2552.2577999999999</v>
      </c>
      <c r="H2733" s="248">
        <v>2616.8499999999599</v>
      </c>
      <c r="I2733"/>
      <c r="J2733"/>
      <c r="K2733"/>
      <c r="L2733"/>
      <c r="M2733"/>
    </row>
    <row r="2734" spans="3:13" hidden="1" outlineLevel="1" x14ac:dyDescent="0.2">
      <c r="C2734" s="139">
        <v>2508</v>
      </c>
      <c r="D2734" s="248">
        <v>2423.0906999999702</v>
      </c>
      <c r="E2734" s="248">
        <v>2473.4322000000302</v>
      </c>
      <c r="F2734" s="248">
        <v>2517.2922999999901</v>
      </c>
      <c r="G2734" s="248">
        <v>2553.2759000000001</v>
      </c>
      <c r="H2734" s="248">
        <v>2617.8937999999598</v>
      </c>
      <c r="I2734"/>
      <c r="J2734"/>
      <c r="K2734"/>
      <c r="L2734"/>
      <c r="M2734"/>
    </row>
    <row r="2735" spans="3:13" hidden="1" outlineLevel="1" x14ac:dyDescent="0.2">
      <c r="C2735" s="139">
        <v>2509</v>
      </c>
      <c r="D2735" s="248">
        <v>2424.1053999999699</v>
      </c>
      <c r="E2735" s="248">
        <v>2474.41840000003</v>
      </c>
      <c r="F2735" s="248">
        <v>2518.2959999999898</v>
      </c>
      <c r="G2735" s="248">
        <v>2554.2939999999999</v>
      </c>
      <c r="H2735" s="248">
        <v>2618.9375999999602</v>
      </c>
      <c r="I2735"/>
      <c r="J2735"/>
      <c r="K2735"/>
      <c r="L2735"/>
      <c r="M2735"/>
    </row>
    <row r="2736" spans="3:13" hidden="1" outlineLevel="1" x14ac:dyDescent="0.2">
      <c r="C2736" s="139">
        <v>2510</v>
      </c>
      <c r="D2736" s="248">
        <v>2425.1200999999701</v>
      </c>
      <c r="E2736" s="248">
        <v>2475.4046000000299</v>
      </c>
      <c r="F2736" s="248">
        <v>2519.29969999999</v>
      </c>
      <c r="G2736" s="248">
        <v>2555.3121000000001</v>
      </c>
      <c r="H2736" s="248">
        <v>2619.9813999999601</v>
      </c>
      <c r="I2736"/>
      <c r="J2736"/>
      <c r="K2736"/>
      <c r="L2736"/>
      <c r="M2736"/>
    </row>
    <row r="2737" spans="3:13" hidden="1" outlineLevel="1" x14ac:dyDescent="0.2">
      <c r="C2737" s="139">
        <v>2511</v>
      </c>
      <c r="D2737" s="248">
        <v>2426.1347999999698</v>
      </c>
      <c r="E2737" s="248">
        <v>2476.3908000000301</v>
      </c>
      <c r="F2737" s="248">
        <v>2520.3033999999898</v>
      </c>
      <c r="G2737" s="248">
        <v>2556.3301999999999</v>
      </c>
      <c r="H2737" s="248">
        <v>2621.02519999996</v>
      </c>
      <c r="I2737"/>
      <c r="J2737"/>
      <c r="K2737"/>
      <c r="L2737"/>
      <c r="M2737"/>
    </row>
    <row r="2738" spans="3:13" hidden="1" outlineLevel="1" x14ac:dyDescent="0.2">
      <c r="C2738" s="139">
        <v>2512</v>
      </c>
      <c r="D2738" s="248">
        <v>2427.14949999997</v>
      </c>
      <c r="E2738" s="248">
        <v>2477.37700000003</v>
      </c>
      <c r="F2738" s="248">
        <v>2521.30709999999</v>
      </c>
      <c r="G2738" s="248">
        <v>2557.3483000000001</v>
      </c>
      <c r="H2738" s="248">
        <v>2622.0689999999599</v>
      </c>
      <c r="I2738"/>
      <c r="J2738"/>
      <c r="K2738"/>
      <c r="L2738"/>
      <c r="M2738"/>
    </row>
    <row r="2739" spans="3:13" hidden="1" outlineLevel="1" x14ac:dyDescent="0.2">
      <c r="C2739" s="139">
        <v>2513</v>
      </c>
      <c r="D2739" s="248">
        <v>2428.1641999999702</v>
      </c>
      <c r="E2739" s="248">
        <v>2478.3632000000298</v>
      </c>
      <c r="F2739" s="248">
        <v>2522.3107999999902</v>
      </c>
      <c r="G2739" s="248">
        <v>2558.3663999999999</v>
      </c>
      <c r="H2739" s="248">
        <v>2623.1127999999599</v>
      </c>
      <c r="I2739"/>
      <c r="J2739"/>
      <c r="K2739"/>
      <c r="L2739"/>
      <c r="M2739"/>
    </row>
    <row r="2740" spans="3:13" hidden="1" outlineLevel="1" x14ac:dyDescent="0.2">
      <c r="C2740" s="139">
        <v>2514</v>
      </c>
      <c r="D2740" s="248">
        <v>2429.1788999999699</v>
      </c>
      <c r="E2740" s="248">
        <v>2479.3494000000301</v>
      </c>
      <c r="F2740" s="248">
        <v>2523.3144999999899</v>
      </c>
      <c r="G2740" s="248">
        <v>2559.3845000000001</v>
      </c>
      <c r="H2740" s="248">
        <v>2624.1565999999598</v>
      </c>
      <c r="I2740"/>
      <c r="J2740"/>
      <c r="K2740"/>
      <c r="L2740"/>
      <c r="M2740"/>
    </row>
    <row r="2741" spans="3:13" hidden="1" outlineLevel="1" x14ac:dyDescent="0.2">
      <c r="C2741" s="139">
        <v>2515</v>
      </c>
      <c r="D2741" s="248">
        <v>2430.19359999997</v>
      </c>
      <c r="E2741" s="248">
        <v>2480.3356000000299</v>
      </c>
      <c r="F2741" s="248">
        <v>2524.3181999999902</v>
      </c>
      <c r="G2741" s="248">
        <v>2560.4025999999999</v>
      </c>
      <c r="H2741" s="248">
        <v>2625.2003999999602</v>
      </c>
      <c r="I2741"/>
      <c r="J2741"/>
      <c r="K2741"/>
      <c r="L2741"/>
      <c r="M2741"/>
    </row>
    <row r="2742" spans="3:13" hidden="1" outlineLevel="1" x14ac:dyDescent="0.2">
      <c r="C2742" s="139">
        <v>2516</v>
      </c>
      <c r="D2742" s="248">
        <v>2431.2082999999702</v>
      </c>
      <c r="E2742" s="248">
        <v>2481.3218000000302</v>
      </c>
      <c r="F2742" s="248">
        <v>2525.3218999999899</v>
      </c>
      <c r="G2742" s="248">
        <v>2561.4207000000001</v>
      </c>
      <c r="H2742" s="248">
        <v>2626.2441999999601</v>
      </c>
      <c r="I2742"/>
      <c r="J2742"/>
      <c r="K2742"/>
      <c r="L2742"/>
      <c r="M2742"/>
    </row>
    <row r="2743" spans="3:13" hidden="1" outlineLevel="1" x14ac:dyDescent="0.2">
      <c r="C2743" s="139">
        <v>2517</v>
      </c>
      <c r="D2743" s="248">
        <v>2432.2229999999699</v>
      </c>
      <c r="E2743" s="248">
        <v>2482.30800000003</v>
      </c>
      <c r="F2743" s="248">
        <v>2526.3255999999901</v>
      </c>
      <c r="G2743" s="248">
        <v>2562.4387999999999</v>
      </c>
      <c r="H2743" s="248">
        <v>2627.28799999996</v>
      </c>
      <c r="I2743"/>
      <c r="J2743"/>
      <c r="K2743"/>
      <c r="L2743"/>
      <c r="M2743"/>
    </row>
    <row r="2744" spans="3:13" hidden="1" outlineLevel="1" x14ac:dyDescent="0.2">
      <c r="C2744" s="139">
        <v>2518</v>
      </c>
      <c r="D2744" s="248">
        <v>2433.2376999999701</v>
      </c>
      <c r="E2744" s="248">
        <v>2483.2942000000298</v>
      </c>
      <c r="F2744" s="248">
        <v>2527.3292999999899</v>
      </c>
      <c r="G2744" s="248">
        <v>2563.4569000000001</v>
      </c>
      <c r="H2744" s="248">
        <v>2628.3317999999599</v>
      </c>
      <c r="I2744"/>
      <c r="J2744"/>
      <c r="K2744"/>
      <c r="L2744"/>
      <c r="M2744"/>
    </row>
    <row r="2745" spans="3:13" hidden="1" outlineLevel="1" x14ac:dyDescent="0.2">
      <c r="C2745" s="139">
        <v>2519</v>
      </c>
      <c r="D2745" s="248">
        <v>2434.2523999999698</v>
      </c>
      <c r="E2745" s="248">
        <v>2484.2804000000301</v>
      </c>
      <c r="F2745" s="248">
        <v>2528.3329999999901</v>
      </c>
      <c r="G2745" s="248">
        <v>2564.4749999999999</v>
      </c>
      <c r="H2745" s="248">
        <v>2629.3755999999598</v>
      </c>
      <c r="I2745"/>
      <c r="J2745"/>
      <c r="K2745"/>
      <c r="L2745"/>
      <c r="M2745"/>
    </row>
    <row r="2746" spans="3:13" hidden="1" outlineLevel="1" x14ac:dyDescent="0.2">
      <c r="C2746" s="139">
        <v>2520</v>
      </c>
      <c r="D2746" s="248">
        <v>2435.26709999997</v>
      </c>
      <c r="E2746" s="248">
        <v>2485.2666000000299</v>
      </c>
      <c r="F2746" s="248">
        <v>2529.3366999999898</v>
      </c>
      <c r="G2746" s="248">
        <v>2565.4931000000001</v>
      </c>
      <c r="H2746" s="248">
        <v>2630.4193999999602</v>
      </c>
      <c r="I2746"/>
      <c r="J2746"/>
      <c r="K2746"/>
      <c r="L2746"/>
      <c r="M2746"/>
    </row>
    <row r="2747" spans="3:13" hidden="1" outlineLevel="1" x14ac:dyDescent="0.2">
      <c r="C2747" s="139">
        <v>2521</v>
      </c>
      <c r="D2747" s="248">
        <v>2436.2817999999702</v>
      </c>
      <c r="E2747" s="248">
        <v>2486.2528000000302</v>
      </c>
      <c r="F2747" s="248">
        <v>2530.34039999999</v>
      </c>
      <c r="G2747" s="248">
        <v>2566.5111999999999</v>
      </c>
      <c r="H2747" s="248">
        <v>2631.4631999999601</v>
      </c>
      <c r="I2747"/>
      <c r="J2747"/>
      <c r="K2747"/>
      <c r="L2747"/>
      <c r="M2747"/>
    </row>
    <row r="2748" spans="3:13" hidden="1" outlineLevel="1" x14ac:dyDescent="0.2">
      <c r="C2748" s="139">
        <v>2522</v>
      </c>
      <c r="D2748" s="248">
        <v>2437.2964999999699</v>
      </c>
      <c r="E2748" s="248">
        <v>2487.23900000003</v>
      </c>
      <c r="F2748" s="248">
        <v>2531.3440999999898</v>
      </c>
      <c r="G2748" s="248">
        <v>2567.5293000000001</v>
      </c>
      <c r="H2748" s="248">
        <v>2632.50699999996</v>
      </c>
      <c r="I2748"/>
      <c r="J2748"/>
      <c r="K2748"/>
      <c r="L2748"/>
      <c r="M2748"/>
    </row>
    <row r="2749" spans="3:13" hidden="1" outlineLevel="1" x14ac:dyDescent="0.2">
      <c r="C2749" s="139">
        <v>2523</v>
      </c>
      <c r="D2749" s="248">
        <v>2438.3111999999701</v>
      </c>
      <c r="E2749" s="248">
        <v>2488.2252000000299</v>
      </c>
      <c r="F2749" s="248">
        <v>2532.34779999999</v>
      </c>
      <c r="G2749" s="248">
        <v>2568.5473999999999</v>
      </c>
      <c r="H2749" s="248">
        <v>2633.55079999996</v>
      </c>
      <c r="I2749"/>
      <c r="J2749"/>
      <c r="K2749"/>
      <c r="L2749"/>
      <c r="M2749"/>
    </row>
    <row r="2750" spans="3:13" hidden="1" outlineLevel="1" x14ac:dyDescent="0.2">
      <c r="C2750" s="139">
        <v>2524</v>
      </c>
      <c r="D2750" s="248">
        <v>2439.3258999999698</v>
      </c>
      <c r="E2750" s="248">
        <v>2489.2114000000302</v>
      </c>
      <c r="F2750" s="248">
        <v>2533.3514999999902</v>
      </c>
      <c r="G2750" s="248">
        <v>2569.5655000000002</v>
      </c>
      <c r="H2750" s="248">
        <v>2634.5945999999599</v>
      </c>
      <c r="I2750"/>
      <c r="J2750"/>
      <c r="K2750"/>
      <c r="L2750"/>
      <c r="M2750"/>
    </row>
    <row r="2751" spans="3:13" hidden="1" outlineLevel="1" x14ac:dyDescent="0.2">
      <c r="C2751" s="139">
        <v>2525</v>
      </c>
      <c r="D2751" s="248">
        <v>2440.34059999997</v>
      </c>
      <c r="E2751" s="248">
        <v>2490.19760000003</v>
      </c>
      <c r="F2751" s="248">
        <v>2534.35519999999</v>
      </c>
      <c r="G2751" s="248">
        <v>2570.5835999999999</v>
      </c>
      <c r="H2751" s="248">
        <v>2635.6383999999598</v>
      </c>
      <c r="I2751"/>
      <c r="J2751"/>
      <c r="K2751"/>
      <c r="L2751"/>
      <c r="M2751"/>
    </row>
    <row r="2752" spans="3:13" hidden="1" outlineLevel="1" x14ac:dyDescent="0.2">
      <c r="C2752" s="139">
        <v>2526</v>
      </c>
      <c r="D2752" s="248">
        <v>2441.3552999999702</v>
      </c>
      <c r="E2752" s="248">
        <v>2491.1838000000298</v>
      </c>
      <c r="F2752" s="248">
        <v>2535.3588999999902</v>
      </c>
      <c r="G2752" s="248">
        <v>2571.6017000000002</v>
      </c>
      <c r="H2752" s="248">
        <v>2636.6821999999602</v>
      </c>
      <c r="I2752"/>
      <c r="J2752"/>
      <c r="K2752"/>
      <c r="L2752"/>
      <c r="M2752"/>
    </row>
    <row r="2753" spans="3:13" hidden="1" outlineLevel="1" x14ac:dyDescent="0.2">
      <c r="C2753" s="139">
        <v>2527</v>
      </c>
      <c r="D2753" s="248">
        <v>2442.3699999999699</v>
      </c>
      <c r="E2753" s="248">
        <v>2492.1700000000301</v>
      </c>
      <c r="F2753" s="248">
        <v>2536.3625999999899</v>
      </c>
      <c r="G2753" s="248">
        <v>2572.6197999999999</v>
      </c>
      <c r="H2753" s="248">
        <v>2637.7259999999601</v>
      </c>
      <c r="I2753"/>
      <c r="J2753"/>
      <c r="K2753"/>
      <c r="L2753"/>
      <c r="M2753"/>
    </row>
    <row r="2754" spans="3:13" hidden="1" outlineLevel="1" x14ac:dyDescent="0.2">
      <c r="C2754" s="139">
        <v>2528</v>
      </c>
      <c r="D2754" s="248">
        <v>2443.3846999999701</v>
      </c>
      <c r="E2754" s="248">
        <v>2493.1562000000299</v>
      </c>
      <c r="F2754" s="248">
        <v>2537.3662999999901</v>
      </c>
      <c r="G2754" s="248">
        <v>2573.6379000000002</v>
      </c>
      <c r="H2754" s="248">
        <v>2638.76979999996</v>
      </c>
      <c r="I2754"/>
      <c r="J2754"/>
      <c r="K2754"/>
      <c r="L2754"/>
      <c r="M2754"/>
    </row>
    <row r="2755" spans="3:13" hidden="1" outlineLevel="1" x14ac:dyDescent="0.2">
      <c r="C2755" s="139">
        <v>2529</v>
      </c>
      <c r="D2755" s="248">
        <v>2444.3993999999698</v>
      </c>
      <c r="E2755" s="248">
        <v>2494.1424000000302</v>
      </c>
      <c r="F2755" s="248">
        <v>2538.3699999999899</v>
      </c>
      <c r="G2755" s="248">
        <v>2574.6559999999999</v>
      </c>
      <c r="H2755" s="248">
        <v>2639.8135999999599</v>
      </c>
      <c r="I2755"/>
      <c r="J2755"/>
      <c r="K2755"/>
      <c r="L2755"/>
      <c r="M2755"/>
    </row>
    <row r="2756" spans="3:13" hidden="1" outlineLevel="1" x14ac:dyDescent="0.2">
      <c r="C2756" s="139">
        <v>2530</v>
      </c>
      <c r="D2756" s="248">
        <v>2445.4140999999699</v>
      </c>
      <c r="E2756" s="248">
        <v>2495.12860000003</v>
      </c>
      <c r="F2756" s="248">
        <v>2539.3736999999901</v>
      </c>
      <c r="G2756" s="248">
        <v>2575.6741000000002</v>
      </c>
      <c r="H2756" s="248">
        <v>2640.8573999999599</v>
      </c>
      <c r="I2756"/>
      <c r="J2756"/>
      <c r="K2756"/>
      <c r="L2756"/>
      <c r="M2756"/>
    </row>
    <row r="2757" spans="3:13" hidden="1" outlineLevel="1" x14ac:dyDescent="0.2">
      <c r="C2757" s="139">
        <v>2531</v>
      </c>
      <c r="D2757" s="248">
        <v>2446.4287999999701</v>
      </c>
      <c r="E2757" s="248">
        <v>2496.1148000000298</v>
      </c>
      <c r="F2757" s="248">
        <v>2540.3773999999898</v>
      </c>
      <c r="G2757" s="248">
        <v>2576.6922</v>
      </c>
      <c r="H2757" s="248">
        <v>2641.9011999999602</v>
      </c>
      <c r="I2757"/>
      <c r="J2757"/>
      <c r="K2757"/>
      <c r="L2757"/>
      <c r="M2757"/>
    </row>
    <row r="2758" spans="3:13" hidden="1" outlineLevel="1" x14ac:dyDescent="0.2">
      <c r="C2758" s="139">
        <v>2532</v>
      </c>
      <c r="D2758" s="248">
        <v>2447.4434999999698</v>
      </c>
      <c r="E2758" s="248">
        <v>2497.1010000000301</v>
      </c>
      <c r="F2758" s="248">
        <v>2541.3810999999901</v>
      </c>
      <c r="G2758" s="248">
        <v>2577.7103000000002</v>
      </c>
      <c r="H2758" s="248">
        <v>2642.9449999999601</v>
      </c>
      <c r="I2758"/>
      <c r="J2758"/>
      <c r="K2758"/>
      <c r="L2758"/>
      <c r="M2758"/>
    </row>
    <row r="2759" spans="3:13" hidden="1" outlineLevel="1" x14ac:dyDescent="0.2">
      <c r="C2759" s="139">
        <v>2533</v>
      </c>
      <c r="D2759" s="248">
        <v>2448.45819999997</v>
      </c>
      <c r="E2759" s="248">
        <v>2498.08720000003</v>
      </c>
      <c r="F2759" s="248">
        <v>2542.3847999999898</v>
      </c>
      <c r="G2759" s="248">
        <v>2578.7284</v>
      </c>
      <c r="H2759" s="248">
        <v>2643.9887999999601</v>
      </c>
      <c r="I2759"/>
      <c r="J2759"/>
      <c r="K2759"/>
      <c r="L2759"/>
      <c r="M2759"/>
    </row>
    <row r="2760" spans="3:13" hidden="1" outlineLevel="1" x14ac:dyDescent="0.2">
      <c r="C2760" s="139">
        <v>2534</v>
      </c>
      <c r="D2760" s="248">
        <v>2449.4728999999702</v>
      </c>
      <c r="E2760" s="248">
        <v>2499.0734000000298</v>
      </c>
      <c r="F2760" s="248">
        <v>2543.38849999999</v>
      </c>
      <c r="G2760" s="248">
        <v>2579.7465000000002</v>
      </c>
      <c r="H2760" s="248">
        <v>2645.03259999996</v>
      </c>
      <c r="I2760"/>
      <c r="J2760"/>
      <c r="K2760"/>
      <c r="L2760"/>
      <c r="M2760"/>
    </row>
    <row r="2761" spans="3:13" hidden="1" outlineLevel="1" x14ac:dyDescent="0.2">
      <c r="C2761" s="139">
        <v>2535</v>
      </c>
      <c r="D2761" s="248">
        <v>2450.4875999999699</v>
      </c>
      <c r="E2761" s="248">
        <v>2500.0596000000301</v>
      </c>
      <c r="F2761" s="248">
        <v>2544.3921999999902</v>
      </c>
      <c r="G2761" s="248">
        <v>2580.7646</v>
      </c>
      <c r="H2761" s="248">
        <v>2646.0763999999599</v>
      </c>
      <c r="I2761"/>
      <c r="J2761"/>
      <c r="K2761"/>
      <c r="L2761"/>
      <c r="M2761"/>
    </row>
    <row r="2762" spans="3:13" hidden="1" outlineLevel="1" x14ac:dyDescent="0.2">
      <c r="C2762" s="139">
        <v>2536</v>
      </c>
      <c r="D2762" s="248">
        <v>2451.5022999999701</v>
      </c>
      <c r="E2762" s="248">
        <v>2501.0458000000299</v>
      </c>
      <c r="F2762" s="248">
        <v>2545.39589999999</v>
      </c>
      <c r="G2762" s="248">
        <v>2581.7827000000002</v>
      </c>
      <c r="H2762" s="248">
        <v>2647.1201999999598</v>
      </c>
      <c r="I2762"/>
      <c r="J2762"/>
      <c r="K2762"/>
      <c r="L2762"/>
      <c r="M2762"/>
    </row>
    <row r="2763" spans="3:13" hidden="1" outlineLevel="1" x14ac:dyDescent="0.2">
      <c r="C2763" s="139">
        <v>2537</v>
      </c>
      <c r="D2763" s="248">
        <v>2452.5169999999698</v>
      </c>
      <c r="E2763" s="248">
        <v>2502.0320000000302</v>
      </c>
      <c r="F2763" s="248">
        <v>2546.3995999999902</v>
      </c>
      <c r="G2763" s="248">
        <v>2582.8008</v>
      </c>
      <c r="H2763" s="248">
        <v>2648.1639999999602</v>
      </c>
      <c r="I2763"/>
      <c r="J2763"/>
      <c r="K2763"/>
      <c r="L2763"/>
      <c r="M2763"/>
    </row>
    <row r="2764" spans="3:13" hidden="1" outlineLevel="1" x14ac:dyDescent="0.2">
      <c r="C2764" s="139">
        <v>2538</v>
      </c>
      <c r="D2764" s="248">
        <v>2453.53169999997</v>
      </c>
      <c r="E2764" s="248">
        <v>2503.01820000003</v>
      </c>
      <c r="F2764" s="248">
        <v>2547.4032999999899</v>
      </c>
      <c r="G2764" s="248">
        <v>2583.8189000000002</v>
      </c>
      <c r="H2764" s="248">
        <v>2649.2077999999601</v>
      </c>
      <c r="I2764"/>
      <c r="J2764"/>
      <c r="K2764"/>
      <c r="L2764"/>
      <c r="M2764"/>
    </row>
    <row r="2765" spans="3:13" hidden="1" outlineLevel="1" x14ac:dyDescent="0.2">
      <c r="C2765" s="139">
        <v>2539</v>
      </c>
      <c r="D2765" s="248">
        <v>2454.5463999999702</v>
      </c>
      <c r="E2765" s="248">
        <v>2504.0044000000298</v>
      </c>
      <c r="F2765" s="248">
        <v>2548.4069999999901</v>
      </c>
      <c r="G2765" s="248">
        <v>2584.837</v>
      </c>
      <c r="H2765" s="248">
        <v>2650.25159999996</v>
      </c>
      <c r="I2765"/>
      <c r="J2765"/>
      <c r="K2765"/>
      <c r="L2765"/>
      <c r="M2765"/>
    </row>
    <row r="2766" spans="3:13" hidden="1" outlineLevel="1" x14ac:dyDescent="0.2">
      <c r="C2766" s="139">
        <v>2540</v>
      </c>
      <c r="D2766" s="248">
        <v>2455.5610999999699</v>
      </c>
      <c r="E2766" s="248">
        <v>2504.9906000000301</v>
      </c>
      <c r="F2766" s="248">
        <v>2549.4106999999899</v>
      </c>
      <c r="G2766" s="248">
        <v>2585.8551000000002</v>
      </c>
      <c r="H2766" s="248">
        <v>2651.29539999996</v>
      </c>
      <c r="I2766"/>
      <c r="J2766"/>
      <c r="K2766"/>
      <c r="L2766"/>
      <c r="M2766"/>
    </row>
    <row r="2767" spans="3:13" hidden="1" outlineLevel="1" x14ac:dyDescent="0.2">
      <c r="C2767" s="139">
        <v>2541</v>
      </c>
      <c r="D2767" s="248">
        <v>2456.5757999999701</v>
      </c>
      <c r="E2767" s="248">
        <v>2505.9768000000299</v>
      </c>
      <c r="F2767" s="248">
        <v>2550.4143999999901</v>
      </c>
      <c r="G2767" s="248">
        <v>2586.8732</v>
      </c>
      <c r="H2767" s="248">
        <v>2652.3391999999599</v>
      </c>
      <c r="I2767"/>
      <c r="J2767"/>
      <c r="K2767"/>
      <c r="L2767"/>
      <c r="M2767"/>
    </row>
    <row r="2768" spans="3:13" hidden="1" outlineLevel="1" x14ac:dyDescent="0.2">
      <c r="C2768" s="139">
        <v>2542</v>
      </c>
      <c r="D2768" s="248">
        <v>2457.5904999999698</v>
      </c>
      <c r="E2768" s="248">
        <v>2506.9630000000302</v>
      </c>
      <c r="F2768" s="248">
        <v>2551.4180999999899</v>
      </c>
      <c r="G2768" s="248">
        <v>2587.8912999999998</v>
      </c>
      <c r="H2768" s="248">
        <v>2653.3829999999598</v>
      </c>
      <c r="I2768"/>
      <c r="J2768"/>
      <c r="K2768"/>
      <c r="L2768"/>
      <c r="M2768"/>
    </row>
    <row r="2769" spans="3:13" hidden="1" outlineLevel="1" x14ac:dyDescent="0.2">
      <c r="C2769" s="139">
        <v>2543</v>
      </c>
      <c r="D2769" s="248">
        <v>2458.60519999997</v>
      </c>
      <c r="E2769" s="248">
        <v>2507.94920000003</v>
      </c>
      <c r="F2769" s="248">
        <v>2552.4217999999901</v>
      </c>
      <c r="G2769" s="248">
        <v>2588.9094</v>
      </c>
      <c r="H2769" s="248">
        <v>2654.4267999999602</v>
      </c>
      <c r="I2769"/>
      <c r="J2769"/>
      <c r="K2769"/>
      <c r="L2769"/>
      <c r="M2769"/>
    </row>
    <row r="2770" spans="3:13" hidden="1" outlineLevel="1" x14ac:dyDescent="0.2">
      <c r="C2770" s="139">
        <v>2544</v>
      </c>
      <c r="D2770" s="248">
        <v>2459.6198999999701</v>
      </c>
      <c r="E2770" s="248">
        <v>2508.9354000000299</v>
      </c>
      <c r="F2770" s="248">
        <v>2553.4254999999898</v>
      </c>
      <c r="G2770" s="248">
        <v>2589.9274999999998</v>
      </c>
      <c r="H2770" s="248">
        <v>2655.4705999999601</v>
      </c>
      <c r="I2770"/>
      <c r="J2770"/>
      <c r="K2770"/>
      <c r="L2770"/>
      <c r="M2770"/>
    </row>
    <row r="2771" spans="3:13" hidden="1" outlineLevel="1" x14ac:dyDescent="0.2">
      <c r="C2771" s="139">
        <v>2545</v>
      </c>
      <c r="D2771" s="248">
        <v>2460.6345999999699</v>
      </c>
      <c r="E2771" s="248">
        <v>2509.9216000000301</v>
      </c>
      <c r="F2771" s="248">
        <v>2554.42919999999</v>
      </c>
      <c r="G2771" s="248">
        <v>2590.9456</v>
      </c>
      <c r="H2771" s="248">
        <v>2656.51439999996</v>
      </c>
      <c r="I2771"/>
      <c r="J2771"/>
      <c r="K2771"/>
      <c r="L2771"/>
      <c r="M2771"/>
    </row>
    <row r="2772" spans="3:13" hidden="1" outlineLevel="1" x14ac:dyDescent="0.2">
      <c r="C2772" s="139">
        <v>2546</v>
      </c>
      <c r="D2772" s="248">
        <v>2461.64929999997</v>
      </c>
      <c r="E2772" s="248">
        <v>2510.90780000003</v>
      </c>
      <c r="F2772" s="248">
        <v>2555.4328999999898</v>
      </c>
      <c r="G2772" s="248">
        <v>2591.9636999999998</v>
      </c>
      <c r="H2772" s="248">
        <v>2657.5581999999599</v>
      </c>
      <c r="I2772"/>
      <c r="J2772"/>
      <c r="K2772"/>
      <c r="L2772"/>
      <c r="M2772"/>
    </row>
    <row r="2773" spans="3:13" hidden="1" outlineLevel="1" x14ac:dyDescent="0.2">
      <c r="C2773" s="139">
        <v>2547</v>
      </c>
      <c r="D2773" s="248">
        <v>2462.6639999999702</v>
      </c>
      <c r="E2773" s="248">
        <v>2511.8940000000298</v>
      </c>
      <c r="F2773" s="248">
        <v>2556.43659999999</v>
      </c>
      <c r="G2773" s="248">
        <v>2592.9818</v>
      </c>
      <c r="H2773" s="248">
        <v>2658.6019999999598</v>
      </c>
      <c r="I2773"/>
      <c r="J2773"/>
      <c r="K2773"/>
      <c r="L2773"/>
      <c r="M2773"/>
    </row>
    <row r="2774" spans="3:13" hidden="1" outlineLevel="1" x14ac:dyDescent="0.2">
      <c r="C2774" s="139">
        <v>2548</v>
      </c>
      <c r="D2774" s="248">
        <v>2463.6786999999699</v>
      </c>
      <c r="E2774" s="248">
        <v>2512.8802000000301</v>
      </c>
      <c r="F2774" s="248">
        <v>2557.4402999999902</v>
      </c>
      <c r="G2774" s="248">
        <v>2593.9998999999998</v>
      </c>
      <c r="H2774" s="248">
        <v>2659.6457999999602</v>
      </c>
      <c r="I2774"/>
      <c r="J2774"/>
      <c r="K2774"/>
      <c r="L2774"/>
      <c r="M2774"/>
    </row>
    <row r="2775" spans="3:13" hidden="1" outlineLevel="1" x14ac:dyDescent="0.2">
      <c r="C2775" s="139">
        <v>2549</v>
      </c>
      <c r="D2775" s="248">
        <v>2464.6933999999701</v>
      </c>
      <c r="E2775" s="248">
        <v>2513.8664000000299</v>
      </c>
      <c r="F2775" s="248">
        <v>2558.44399999999</v>
      </c>
      <c r="G2775" s="248">
        <v>2595.018</v>
      </c>
      <c r="H2775" s="248">
        <v>2660.6895999999601</v>
      </c>
      <c r="I2775"/>
      <c r="J2775"/>
      <c r="K2775"/>
      <c r="L2775"/>
      <c r="M2775"/>
    </row>
    <row r="2776" spans="3:13" hidden="1" outlineLevel="1" x14ac:dyDescent="0.2">
      <c r="C2776" s="139">
        <v>2550</v>
      </c>
      <c r="D2776" s="248">
        <v>2465.7080999999698</v>
      </c>
      <c r="E2776" s="248">
        <v>2514.8526000000302</v>
      </c>
      <c r="F2776" s="248">
        <v>2559.4476999999902</v>
      </c>
      <c r="G2776" s="248">
        <v>2596.0360999999998</v>
      </c>
      <c r="H2776" s="248">
        <v>2661.7333999999601</v>
      </c>
      <c r="I2776"/>
      <c r="J2776"/>
      <c r="K2776"/>
      <c r="L2776"/>
      <c r="M2776"/>
    </row>
    <row r="2777" spans="3:13" hidden="1" outlineLevel="1" x14ac:dyDescent="0.2">
      <c r="C2777" s="139">
        <v>2551</v>
      </c>
      <c r="D2777" s="248">
        <v>2466.72279999997</v>
      </c>
      <c r="E2777" s="248">
        <v>2515.83880000003</v>
      </c>
      <c r="F2777" s="248">
        <v>2560.4513999999899</v>
      </c>
      <c r="G2777" s="248">
        <v>2597.0542</v>
      </c>
      <c r="H2777" s="248">
        <v>2662.77719999996</v>
      </c>
      <c r="I2777"/>
      <c r="J2777"/>
      <c r="K2777"/>
      <c r="L2777"/>
      <c r="M2777"/>
    </row>
    <row r="2778" spans="3:13" hidden="1" outlineLevel="1" x14ac:dyDescent="0.2">
      <c r="C2778" s="139">
        <v>2552</v>
      </c>
      <c r="D2778" s="248">
        <v>2467.7374999999702</v>
      </c>
      <c r="E2778" s="248">
        <v>2516.8250000000298</v>
      </c>
      <c r="F2778" s="248">
        <v>2561.4550999999901</v>
      </c>
      <c r="G2778" s="248">
        <v>2598.0722999999998</v>
      </c>
      <c r="H2778" s="248">
        <v>2663.8209999999599</v>
      </c>
      <c r="I2778"/>
      <c r="J2778"/>
      <c r="K2778"/>
      <c r="L2778"/>
      <c r="M2778"/>
    </row>
    <row r="2779" spans="3:13" hidden="1" outlineLevel="1" x14ac:dyDescent="0.2">
      <c r="C2779" s="139">
        <v>2553</v>
      </c>
      <c r="D2779" s="248">
        <v>2468.7521999999599</v>
      </c>
      <c r="E2779" s="248">
        <v>2517.8112000000401</v>
      </c>
      <c r="F2779" s="248">
        <v>2562.4587999999899</v>
      </c>
      <c r="G2779" s="248">
        <v>2599.0904</v>
      </c>
      <c r="H2779" s="248">
        <v>2664.8647999999598</v>
      </c>
      <c r="I2779"/>
      <c r="J2779"/>
      <c r="K2779"/>
      <c r="L2779"/>
      <c r="M2779"/>
    </row>
    <row r="2780" spans="3:13" hidden="1" outlineLevel="1" x14ac:dyDescent="0.2">
      <c r="C2780" s="139">
        <v>2554</v>
      </c>
      <c r="D2780" s="248">
        <v>2469.7668999999601</v>
      </c>
      <c r="E2780" s="248">
        <v>2518.7974000000399</v>
      </c>
      <c r="F2780" s="248">
        <v>2563.4624999999901</v>
      </c>
      <c r="G2780" s="248">
        <v>2600.1084999999998</v>
      </c>
      <c r="H2780" s="248">
        <v>2665.9085999999602</v>
      </c>
      <c r="I2780"/>
      <c r="J2780"/>
      <c r="K2780"/>
      <c r="L2780"/>
      <c r="M2780"/>
    </row>
    <row r="2781" spans="3:13" hidden="1" outlineLevel="1" x14ac:dyDescent="0.2">
      <c r="C2781" s="139">
        <v>2555</v>
      </c>
      <c r="D2781" s="248">
        <v>2470.7815999999598</v>
      </c>
      <c r="E2781" s="248">
        <v>2519.7836000000402</v>
      </c>
      <c r="F2781" s="248">
        <v>2564.4661999999898</v>
      </c>
      <c r="G2781" s="248">
        <v>2601.1266000000001</v>
      </c>
      <c r="H2781" s="248">
        <v>2666.9523999999601</v>
      </c>
      <c r="I2781"/>
      <c r="J2781"/>
      <c r="K2781"/>
      <c r="L2781"/>
      <c r="M2781"/>
    </row>
    <row r="2782" spans="3:13" hidden="1" outlineLevel="1" x14ac:dyDescent="0.2">
      <c r="C2782" s="139">
        <v>2556</v>
      </c>
      <c r="D2782" s="248">
        <v>2471.79629999996</v>
      </c>
      <c r="E2782" s="248">
        <v>2520.76980000004</v>
      </c>
      <c r="F2782" s="248">
        <v>2565.46989999999</v>
      </c>
      <c r="G2782" s="248">
        <v>2602.1446999999998</v>
      </c>
      <c r="H2782" s="248">
        <v>2667.99619999996</v>
      </c>
      <c r="I2782"/>
      <c r="J2782"/>
      <c r="K2782"/>
      <c r="L2782"/>
      <c r="M2782"/>
    </row>
    <row r="2783" spans="3:13" hidden="1" outlineLevel="1" x14ac:dyDescent="0.2">
      <c r="C2783" s="139">
        <v>2557</v>
      </c>
      <c r="D2783" s="248">
        <v>2472.8109999999601</v>
      </c>
      <c r="E2783" s="248">
        <v>2521.7560000000399</v>
      </c>
      <c r="F2783" s="248">
        <v>2566.4735999999898</v>
      </c>
      <c r="G2783" s="248">
        <v>2603.1628000000001</v>
      </c>
      <c r="H2783" s="248">
        <v>2669.0399999999599</v>
      </c>
      <c r="I2783"/>
      <c r="J2783"/>
      <c r="K2783"/>
      <c r="L2783"/>
      <c r="M2783"/>
    </row>
    <row r="2784" spans="3:13" hidden="1" outlineLevel="1" x14ac:dyDescent="0.2">
      <c r="C2784" s="139">
        <v>2558</v>
      </c>
      <c r="D2784" s="248">
        <v>2473.8256999999599</v>
      </c>
      <c r="E2784" s="248">
        <v>2522.7422000000402</v>
      </c>
      <c r="F2784" s="248">
        <v>2567.4773</v>
      </c>
      <c r="G2784" s="248">
        <v>2604.1808999999898</v>
      </c>
      <c r="H2784" s="248">
        <v>2670.0837999999599</v>
      </c>
      <c r="I2784"/>
      <c r="J2784"/>
      <c r="K2784"/>
      <c r="L2784"/>
      <c r="M2784"/>
    </row>
    <row r="2785" spans="3:13" hidden="1" outlineLevel="1" x14ac:dyDescent="0.2">
      <c r="C2785" s="139">
        <v>2559</v>
      </c>
      <c r="D2785" s="248">
        <v>2474.84039999996</v>
      </c>
      <c r="E2785" s="248">
        <v>2523.72840000004</v>
      </c>
      <c r="F2785" s="248">
        <v>2568.4810000000002</v>
      </c>
      <c r="G2785" s="248">
        <v>2605.1989999999901</v>
      </c>
      <c r="H2785" s="248">
        <v>2671.1275999999598</v>
      </c>
      <c r="I2785"/>
      <c r="J2785"/>
      <c r="K2785"/>
      <c r="L2785"/>
      <c r="M2785"/>
    </row>
    <row r="2786" spans="3:13" hidden="1" outlineLevel="1" x14ac:dyDescent="0.2">
      <c r="C2786" s="139">
        <v>2560</v>
      </c>
      <c r="D2786" s="248">
        <v>2475.8550999999602</v>
      </c>
      <c r="E2786" s="248">
        <v>2524.7146000000398</v>
      </c>
      <c r="F2786" s="248">
        <v>2569.4847</v>
      </c>
      <c r="G2786" s="248">
        <v>2606.2170999999898</v>
      </c>
      <c r="H2786" s="248">
        <v>2672.1713999999602</v>
      </c>
      <c r="I2786"/>
      <c r="J2786"/>
      <c r="K2786"/>
      <c r="L2786"/>
      <c r="M2786"/>
    </row>
    <row r="2787" spans="3:13" hidden="1" outlineLevel="1" x14ac:dyDescent="0.2">
      <c r="C2787" s="139">
        <v>2561</v>
      </c>
      <c r="D2787" s="248">
        <v>2476.8697999999599</v>
      </c>
      <c r="E2787" s="248">
        <v>2525.7008000000401</v>
      </c>
      <c r="F2787" s="248">
        <v>2570.4884000000002</v>
      </c>
      <c r="G2787" s="248">
        <v>2607.2351999999901</v>
      </c>
      <c r="H2787" s="248">
        <v>2673.2151999999601</v>
      </c>
      <c r="I2787"/>
      <c r="J2787"/>
      <c r="K2787"/>
      <c r="L2787"/>
      <c r="M2787"/>
    </row>
    <row r="2788" spans="3:13" hidden="1" outlineLevel="1" x14ac:dyDescent="0.2">
      <c r="C2788" s="139">
        <v>2562</v>
      </c>
      <c r="D2788" s="248">
        <v>2477.8844999999601</v>
      </c>
      <c r="E2788" s="248">
        <v>2526.6870000000399</v>
      </c>
      <c r="F2788" s="248">
        <v>2571.4920999999999</v>
      </c>
      <c r="G2788" s="248">
        <v>2608.2532999999898</v>
      </c>
      <c r="H2788" s="248">
        <v>2674.25899999996</v>
      </c>
      <c r="I2788"/>
      <c r="J2788"/>
      <c r="K2788"/>
      <c r="L2788"/>
      <c r="M2788"/>
    </row>
    <row r="2789" spans="3:13" hidden="1" outlineLevel="1" x14ac:dyDescent="0.2">
      <c r="C2789" s="139">
        <v>2563</v>
      </c>
      <c r="D2789" s="248">
        <v>2478.8991999999598</v>
      </c>
      <c r="E2789" s="248">
        <v>2527.6732000000402</v>
      </c>
      <c r="F2789" s="248">
        <v>2572.4958000000001</v>
      </c>
      <c r="G2789" s="248">
        <v>2609.2713999999901</v>
      </c>
      <c r="H2789" s="248">
        <v>2675.3027999999599</v>
      </c>
      <c r="I2789"/>
      <c r="J2789"/>
      <c r="K2789"/>
      <c r="L2789"/>
      <c r="M2789"/>
    </row>
    <row r="2790" spans="3:13" hidden="1" outlineLevel="1" x14ac:dyDescent="0.2">
      <c r="C2790" s="139">
        <v>2564</v>
      </c>
      <c r="D2790" s="248">
        <v>2479.91389999996</v>
      </c>
      <c r="E2790" s="248">
        <v>2528.65940000004</v>
      </c>
      <c r="F2790" s="248">
        <v>2573.4994999999999</v>
      </c>
      <c r="G2790" s="248">
        <v>2610.2894999999899</v>
      </c>
      <c r="H2790" s="248">
        <v>2676.3465999999598</v>
      </c>
      <c r="I2790"/>
      <c r="J2790"/>
      <c r="K2790"/>
      <c r="L2790"/>
      <c r="M2790"/>
    </row>
    <row r="2791" spans="3:13" hidden="1" outlineLevel="1" x14ac:dyDescent="0.2">
      <c r="C2791" s="139">
        <v>2565</v>
      </c>
      <c r="D2791" s="248">
        <v>2480.9285999999602</v>
      </c>
      <c r="E2791" s="248">
        <v>2529.6456000000398</v>
      </c>
      <c r="F2791" s="248">
        <v>2574.5032000000001</v>
      </c>
      <c r="G2791" s="248">
        <v>2611.3075999999901</v>
      </c>
      <c r="H2791" s="248">
        <v>2677.3903999999602</v>
      </c>
      <c r="I2791"/>
      <c r="J2791"/>
      <c r="K2791"/>
      <c r="L2791"/>
      <c r="M2791"/>
    </row>
    <row r="2792" spans="3:13" hidden="1" outlineLevel="1" x14ac:dyDescent="0.2">
      <c r="C2792" s="139">
        <v>2566</v>
      </c>
      <c r="D2792" s="248">
        <v>2481.9432999999599</v>
      </c>
      <c r="E2792" s="248">
        <v>2530.6318000000401</v>
      </c>
      <c r="F2792" s="248">
        <v>2575.5068999999999</v>
      </c>
      <c r="G2792" s="248">
        <v>2612.3256999999899</v>
      </c>
      <c r="H2792" s="248">
        <v>2678.4341999999601</v>
      </c>
      <c r="I2792"/>
      <c r="J2792"/>
      <c r="K2792"/>
      <c r="L2792"/>
      <c r="M2792"/>
    </row>
    <row r="2793" spans="3:13" hidden="1" outlineLevel="1" x14ac:dyDescent="0.2">
      <c r="C2793" s="139">
        <v>2567</v>
      </c>
      <c r="D2793" s="248">
        <v>2482.9579999999601</v>
      </c>
      <c r="E2793" s="248">
        <v>2531.61800000004</v>
      </c>
      <c r="F2793" s="248">
        <v>2576.5106000000001</v>
      </c>
      <c r="G2793" s="248">
        <v>2613.3437999999901</v>
      </c>
      <c r="H2793" s="248">
        <v>2679.47799999996</v>
      </c>
      <c r="I2793"/>
      <c r="J2793"/>
      <c r="K2793"/>
      <c r="L2793"/>
      <c r="M2793"/>
    </row>
    <row r="2794" spans="3:13" hidden="1" outlineLevel="1" x14ac:dyDescent="0.2">
      <c r="C2794" s="139">
        <v>2568</v>
      </c>
      <c r="D2794" s="248">
        <v>2483.9726999999598</v>
      </c>
      <c r="E2794" s="248">
        <v>2532.6042000000398</v>
      </c>
      <c r="F2794" s="248">
        <v>2577.5142999999998</v>
      </c>
      <c r="G2794" s="248">
        <v>2614.3618999999899</v>
      </c>
      <c r="H2794" s="248">
        <v>2680.52179999996</v>
      </c>
      <c r="I2794"/>
      <c r="J2794"/>
      <c r="K2794"/>
      <c r="L2794"/>
      <c r="M2794"/>
    </row>
    <row r="2795" spans="3:13" hidden="1" outlineLevel="1" x14ac:dyDescent="0.2">
      <c r="C2795" s="139">
        <v>2569</v>
      </c>
      <c r="D2795" s="248">
        <v>2484.98739999996</v>
      </c>
      <c r="E2795" s="248">
        <v>2533.5904000000401</v>
      </c>
      <c r="F2795" s="248">
        <v>2578.518</v>
      </c>
      <c r="G2795" s="248">
        <v>2615.3799999999901</v>
      </c>
      <c r="H2795" s="248">
        <v>2681.5655999999599</v>
      </c>
      <c r="I2795"/>
      <c r="J2795"/>
      <c r="K2795"/>
      <c r="L2795"/>
      <c r="M2795"/>
    </row>
    <row r="2796" spans="3:13" hidden="1" outlineLevel="1" x14ac:dyDescent="0.2">
      <c r="C2796" s="139">
        <v>2570</v>
      </c>
      <c r="D2796" s="248">
        <v>2486.0020999999601</v>
      </c>
      <c r="E2796" s="248">
        <v>2534.5766000000399</v>
      </c>
      <c r="F2796" s="248">
        <v>2579.5216999999998</v>
      </c>
      <c r="G2796" s="248">
        <v>2616.3980999999899</v>
      </c>
      <c r="H2796" s="248">
        <v>2682.6093999999598</v>
      </c>
      <c r="I2796"/>
      <c r="J2796"/>
      <c r="K2796"/>
      <c r="L2796"/>
      <c r="M2796"/>
    </row>
    <row r="2797" spans="3:13" hidden="1" outlineLevel="1" x14ac:dyDescent="0.2">
      <c r="C2797" s="139">
        <v>2571</v>
      </c>
      <c r="D2797" s="248">
        <v>2487.0167999999599</v>
      </c>
      <c r="E2797" s="248">
        <v>2535.5628000000402</v>
      </c>
      <c r="F2797" s="248">
        <v>2580.5254</v>
      </c>
      <c r="G2797" s="248">
        <v>2617.4161999999901</v>
      </c>
      <c r="H2797" s="248">
        <v>2683.6531999999602</v>
      </c>
      <c r="I2797"/>
      <c r="J2797"/>
      <c r="K2797"/>
      <c r="L2797"/>
      <c r="M2797"/>
    </row>
    <row r="2798" spans="3:13" hidden="1" outlineLevel="1" x14ac:dyDescent="0.2">
      <c r="C2798" s="139">
        <v>2572</v>
      </c>
      <c r="D2798" s="248">
        <v>2488.03149999996</v>
      </c>
      <c r="E2798" s="248">
        <v>2536.54900000004</v>
      </c>
      <c r="F2798" s="248">
        <v>2581.5291000000002</v>
      </c>
      <c r="G2798" s="248">
        <v>2618.4342999999899</v>
      </c>
      <c r="H2798" s="248">
        <v>2684.6969999999601</v>
      </c>
      <c r="I2798"/>
      <c r="J2798"/>
      <c r="K2798"/>
      <c r="L2798"/>
      <c r="M2798"/>
    </row>
    <row r="2799" spans="3:13" hidden="1" outlineLevel="1" x14ac:dyDescent="0.2">
      <c r="C2799" s="139">
        <v>2573</v>
      </c>
      <c r="D2799" s="248">
        <v>2489.0461999999602</v>
      </c>
      <c r="E2799" s="248">
        <v>2537.5352000000398</v>
      </c>
      <c r="F2799" s="248">
        <v>2582.5328</v>
      </c>
      <c r="G2799" s="248">
        <v>2619.4523999999901</v>
      </c>
      <c r="H2799" s="248">
        <v>2685.74079999996</v>
      </c>
      <c r="I2799"/>
      <c r="J2799"/>
      <c r="K2799"/>
      <c r="L2799"/>
      <c r="M2799"/>
    </row>
    <row r="2800" spans="3:13" hidden="1" outlineLevel="1" x14ac:dyDescent="0.2">
      <c r="C2800" s="139">
        <v>2574</v>
      </c>
      <c r="D2800" s="248">
        <v>2490.0608999999599</v>
      </c>
      <c r="E2800" s="248">
        <v>2538.5214000000401</v>
      </c>
      <c r="F2800" s="248">
        <v>2583.5365000000002</v>
      </c>
      <c r="G2800" s="248">
        <v>2620.4704999999899</v>
      </c>
      <c r="H2800" s="248">
        <v>2686.7845999999599</v>
      </c>
      <c r="I2800"/>
      <c r="J2800"/>
      <c r="K2800"/>
      <c r="L2800"/>
      <c r="M2800"/>
    </row>
    <row r="2801" spans="3:13" hidden="1" outlineLevel="1" x14ac:dyDescent="0.2">
      <c r="C2801" s="139">
        <v>2575</v>
      </c>
      <c r="D2801" s="248">
        <v>2491.0755999999601</v>
      </c>
      <c r="E2801" s="248">
        <v>2539.5076000000399</v>
      </c>
      <c r="F2801" s="248">
        <v>2584.5401999999999</v>
      </c>
      <c r="G2801" s="248">
        <v>2621.4885999999901</v>
      </c>
      <c r="H2801" s="248">
        <v>2687.8283999999599</v>
      </c>
      <c r="I2801"/>
      <c r="J2801"/>
      <c r="K2801"/>
      <c r="L2801"/>
      <c r="M2801"/>
    </row>
    <row r="2802" spans="3:13" hidden="1" outlineLevel="1" x14ac:dyDescent="0.2">
      <c r="C2802" s="139">
        <v>2576</v>
      </c>
      <c r="D2802" s="248">
        <v>2492.0902999999598</v>
      </c>
      <c r="E2802" s="248">
        <v>2540.4938000000402</v>
      </c>
      <c r="F2802" s="248">
        <v>2585.5439000000001</v>
      </c>
      <c r="G2802" s="248">
        <v>2622.5066999999899</v>
      </c>
      <c r="H2802" s="248">
        <v>2688.8721999999598</v>
      </c>
      <c r="I2802"/>
      <c r="J2802"/>
      <c r="K2802"/>
      <c r="L2802"/>
      <c r="M2802"/>
    </row>
    <row r="2803" spans="3:13" hidden="1" outlineLevel="1" x14ac:dyDescent="0.2">
      <c r="C2803" s="139">
        <v>2577</v>
      </c>
      <c r="D2803" s="248">
        <v>2493.10499999996</v>
      </c>
      <c r="E2803" s="248">
        <v>2541.48000000004</v>
      </c>
      <c r="F2803" s="248">
        <v>2586.5475999999999</v>
      </c>
      <c r="G2803" s="248">
        <v>2623.5247999999901</v>
      </c>
      <c r="H2803" s="248">
        <v>2689.9159999999601</v>
      </c>
      <c r="I2803"/>
      <c r="J2803"/>
      <c r="K2803"/>
      <c r="L2803"/>
      <c r="M2803"/>
    </row>
    <row r="2804" spans="3:13" hidden="1" outlineLevel="1" x14ac:dyDescent="0.2">
      <c r="C2804" s="139">
        <v>2578</v>
      </c>
      <c r="D2804" s="248">
        <v>2494.1196999999602</v>
      </c>
      <c r="E2804" s="248">
        <v>2542.4662000000399</v>
      </c>
      <c r="F2804" s="248">
        <v>2587.5513000000001</v>
      </c>
      <c r="G2804" s="248">
        <v>2624.5428999999899</v>
      </c>
      <c r="H2804" s="248">
        <v>2690.9597999999601</v>
      </c>
      <c r="I2804"/>
      <c r="J2804"/>
      <c r="K2804"/>
      <c r="L2804"/>
      <c r="M2804"/>
    </row>
    <row r="2805" spans="3:13" hidden="1" outlineLevel="1" x14ac:dyDescent="0.2">
      <c r="C2805" s="139">
        <v>2579</v>
      </c>
      <c r="D2805" s="248">
        <v>2495.1343999999599</v>
      </c>
      <c r="E2805" s="248">
        <v>2543.4524000000401</v>
      </c>
      <c r="F2805" s="248">
        <v>2588.5549999999998</v>
      </c>
      <c r="G2805" s="248">
        <v>2625.5609999999901</v>
      </c>
      <c r="H2805" s="248">
        <v>2692.00359999996</v>
      </c>
      <c r="I2805"/>
      <c r="J2805"/>
      <c r="K2805"/>
      <c r="L2805"/>
      <c r="M2805"/>
    </row>
    <row r="2806" spans="3:13" hidden="1" outlineLevel="1" x14ac:dyDescent="0.2">
      <c r="C2806" s="139">
        <v>2580</v>
      </c>
      <c r="D2806" s="248">
        <v>2496.1490999999601</v>
      </c>
      <c r="E2806" s="248">
        <v>2544.43860000004</v>
      </c>
      <c r="F2806" s="248">
        <v>2589.5587</v>
      </c>
      <c r="G2806" s="248">
        <v>2626.5790999999899</v>
      </c>
      <c r="H2806" s="248">
        <v>2693.0473999999599</v>
      </c>
      <c r="I2806"/>
      <c r="J2806"/>
      <c r="K2806"/>
      <c r="L2806"/>
      <c r="M2806"/>
    </row>
    <row r="2807" spans="3:13" hidden="1" outlineLevel="1" x14ac:dyDescent="0.2">
      <c r="C2807" s="139">
        <v>2581</v>
      </c>
      <c r="D2807" s="248">
        <v>2497.1637999999598</v>
      </c>
      <c r="E2807" s="248">
        <v>2545.4248000000398</v>
      </c>
      <c r="F2807" s="248">
        <v>2590.5623999999998</v>
      </c>
      <c r="G2807" s="248">
        <v>2627.5971999999902</v>
      </c>
      <c r="H2807" s="248">
        <v>2694.0911999999598</v>
      </c>
      <c r="I2807"/>
      <c r="J2807"/>
      <c r="K2807"/>
      <c r="L2807"/>
      <c r="M2807"/>
    </row>
    <row r="2808" spans="3:13" hidden="1" outlineLevel="1" x14ac:dyDescent="0.2">
      <c r="C2808" s="139">
        <v>2582</v>
      </c>
      <c r="D2808" s="248">
        <v>2498.17849999996</v>
      </c>
      <c r="E2808" s="248">
        <v>2546.4110000000401</v>
      </c>
      <c r="F2808" s="248">
        <v>2591.5661</v>
      </c>
      <c r="G2808" s="248">
        <v>2628.6152999999899</v>
      </c>
      <c r="H2808" s="248">
        <v>2695.1349999999602</v>
      </c>
      <c r="I2808"/>
      <c r="J2808"/>
      <c r="K2808"/>
      <c r="L2808"/>
      <c r="M2808"/>
    </row>
    <row r="2809" spans="3:13" hidden="1" outlineLevel="1" x14ac:dyDescent="0.2">
      <c r="C2809" s="139">
        <v>2583</v>
      </c>
      <c r="D2809" s="248">
        <v>2499.1931999999601</v>
      </c>
      <c r="E2809" s="248">
        <v>2547.3972000000399</v>
      </c>
      <c r="F2809" s="248">
        <v>2592.5698000000002</v>
      </c>
      <c r="G2809" s="248">
        <v>2629.6333999999902</v>
      </c>
      <c r="H2809" s="248">
        <v>2696.1787999999601</v>
      </c>
      <c r="I2809"/>
      <c r="J2809"/>
      <c r="K2809"/>
      <c r="L2809"/>
      <c r="M2809"/>
    </row>
    <row r="2810" spans="3:13" hidden="1" outlineLevel="1" x14ac:dyDescent="0.2">
      <c r="C2810" s="139">
        <v>2584</v>
      </c>
      <c r="D2810" s="248">
        <v>2500.2078999999599</v>
      </c>
      <c r="E2810" s="248">
        <v>2548.3834000000402</v>
      </c>
      <c r="F2810" s="248">
        <v>2593.5735</v>
      </c>
      <c r="G2810" s="248">
        <v>2630.6514999999899</v>
      </c>
      <c r="H2810" s="248">
        <v>2697.22259999996</v>
      </c>
      <c r="I2810"/>
      <c r="J2810"/>
      <c r="K2810"/>
      <c r="L2810"/>
      <c r="M2810"/>
    </row>
    <row r="2811" spans="3:13" hidden="1" outlineLevel="1" x14ac:dyDescent="0.2">
      <c r="C2811" s="139">
        <v>2585</v>
      </c>
      <c r="D2811" s="248">
        <v>2501.22259999996</v>
      </c>
      <c r="E2811" s="248">
        <v>2549.36960000004</v>
      </c>
      <c r="F2811" s="248">
        <v>2594.5772000000002</v>
      </c>
      <c r="G2811" s="248">
        <v>2631.6695999999902</v>
      </c>
      <c r="H2811" s="248">
        <v>2698.26639999996</v>
      </c>
      <c r="I2811"/>
      <c r="J2811"/>
      <c r="K2811"/>
      <c r="L2811"/>
      <c r="M2811"/>
    </row>
    <row r="2812" spans="3:13" hidden="1" outlineLevel="1" x14ac:dyDescent="0.2">
      <c r="C2812" s="139">
        <v>2586</v>
      </c>
      <c r="D2812" s="248">
        <v>2502.2372999999602</v>
      </c>
      <c r="E2812" s="248">
        <v>2550.3558000000398</v>
      </c>
      <c r="F2812" s="248">
        <v>2595.5808999999999</v>
      </c>
      <c r="G2812" s="248">
        <v>2632.6876999999899</v>
      </c>
      <c r="H2812" s="248">
        <v>2699.3101999999599</v>
      </c>
      <c r="I2812"/>
      <c r="J2812"/>
      <c r="K2812"/>
      <c r="L2812"/>
      <c r="M2812"/>
    </row>
    <row r="2813" spans="3:13" hidden="1" outlineLevel="1" x14ac:dyDescent="0.2">
      <c r="C2813" s="139">
        <v>2587</v>
      </c>
      <c r="D2813" s="248">
        <v>2503.2519999999599</v>
      </c>
      <c r="E2813" s="248">
        <v>2551.3420000000401</v>
      </c>
      <c r="F2813" s="248">
        <v>2596.5846000000001</v>
      </c>
      <c r="G2813" s="248">
        <v>2633.7057999999902</v>
      </c>
      <c r="H2813" s="248">
        <v>2700.3539999999598</v>
      </c>
      <c r="I2813"/>
      <c r="J2813"/>
      <c r="K2813"/>
      <c r="L2813"/>
      <c r="M2813"/>
    </row>
    <row r="2814" spans="3:13" hidden="1" outlineLevel="1" x14ac:dyDescent="0.2">
      <c r="C2814" s="139">
        <v>2588</v>
      </c>
      <c r="D2814" s="248">
        <v>2504.2666999999601</v>
      </c>
      <c r="E2814" s="248">
        <v>2552.3282000000399</v>
      </c>
      <c r="F2814" s="248">
        <v>2597.5882999999999</v>
      </c>
      <c r="G2814" s="248">
        <v>2634.72389999999</v>
      </c>
      <c r="H2814" s="248">
        <v>2701.3977999999602</v>
      </c>
      <c r="I2814"/>
      <c r="J2814"/>
      <c r="K2814"/>
      <c r="L2814"/>
      <c r="M2814"/>
    </row>
    <row r="2815" spans="3:13" hidden="1" outlineLevel="1" x14ac:dyDescent="0.2">
      <c r="C2815" s="139">
        <v>2589</v>
      </c>
      <c r="D2815" s="248">
        <v>2505.2813999999498</v>
      </c>
      <c r="E2815" s="248">
        <v>2553.3144000000502</v>
      </c>
      <c r="F2815" s="248">
        <v>2598.5920000000001</v>
      </c>
      <c r="G2815" s="248">
        <v>2635.7419999999902</v>
      </c>
      <c r="H2815" s="248">
        <v>2702.4415999999601</v>
      </c>
      <c r="I2815"/>
      <c r="J2815"/>
      <c r="K2815"/>
      <c r="L2815"/>
      <c r="M2815"/>
    </row>
    <row r="2816" spans="3:13" hidden="1" outlineLevel="1" x14ac:dyDescent="0.2">
      <c r="C2816" s="139">
        <v>2590</v>
      </c>
      <c r="D2816" s="248">
        <v>2506.29609999995</v>
      </c>
      <c r="E2816" s="248">
        <v>2554.3006000000501</v>
      </c>
      <c r="F2816" s="248">
        <v>2599.5956999999999</v>
      </c>
      <c r="G2816" s="248">
        <v>2636.76009999999</v>
      </c>
      <c r="H2816" s="248">
        <v>2703.48539999996</v>
      </c>
      <c r="I2816"/>
      <c r="J2816"/>
      <c r="K2816"/>
      <c r="L2816"/>
      <c r="M2816"/>
    </row>
    <row r="2817" spans="3:13" hidden="1" outlineLevel="1" x14ac:dyDescent="0.2">
      <c r="C2817" s="139">
        <v>2591</v>
      </c>
      <c r="D2817" s="248">
        <v>2507.3107999999502</v>
      </c>
      <c r="E2817" s="248">
        <v>2555.2868000000499</v>
      </c>
      <c r="F2817" s="248">
        <v>2600.5994000000001</v>
      </c>
      <c r="G2817" s="248">
        <v>2637.7781999999902</v>
      </c>
      <c r="H2817" s="248">
        <v>2704.5291999999599</v>
      </c>
      <c r="I2817"/>
      <c r="J2817"/>
      <c r="K2817"/>
      <c r="L2817"/>
      <c r="M2817"/>
    </row>
    <row r="2818" spans="3:13" hidden="1" outlineLevel="1" x14ac:dyDescent="0.2">
      <c r="C2818" s="139">
        <v>2592</v>
      </c>
      <c r="D2818" s="248">
        <v>2508.3254999999499</v>
      </c>
      <c r="E2818" s="248">
        <v>2556.2730000000502</v>
      </c>
      <c r="F2818" s="248">
        <v>2601.6030999999998</v>
      </c>
      <c r="G2818" s="248">
        <v>2638.79629999999</v>
      </c>
      <c r="H2818" s="248">
        <v>2705.5729999999598</v>
      </c>
      <c r="I2818"/>
      <c r="J2818"/>
      <c r="K2818"/>
      <c r="L2818"/>
      <c r="M2818"/>
    </row>
    <row r="2819" spans="3:13" hidden="1" outlineLevel="1" x14ac:dyDescent="0.2">
      <c r="C2819" s="139">
        <v>2593</v>
      </c>
      <c r="D2819" s="248">
        <v>2509.3401999999501</v>
      </c>
      <c r="E2819" s="248">
        <v>2557.25920000005</v>
      </c>
      <c r="F2819" s="248">
        <v>2602.6068</v>
      </c>
      <c r="G2819" s="248">
        <v>2639.8143999999902</v>
      </c>
      <c r="H2819" s="248">
        <v>2706.6167999999602</v>
      </c>
      <c r="I2819"/>
      <c r="J2819"/>
      <c r="K2819"/>
      <c r="L2819"/>
      <c r="M2819"/>
    </row>
    <row r="2820" spans="3:13" hidden="1" outlineLevel="1" x14ac:dyDescent="0.2">
      <c r="C2820" s="139">
        <v>2594</v>
      </c>
      <c r="D2820" s="248">
        <v>2510.3548999999498</v>
      </c>
      <c r="E2820" s="248">
        <v>2558.2454000000498</v>
      </c>
      <c r="F2820" s="248">
        <v>2603.6104999999998</v>
      </c>
      <c r="G2820" s="248">
        <v>2640.83249999999</v>
      </c>
      <c r="H2820" s="248">
        <v>2707.6605999999601</v>
      </c>
      <c r="I2820"/>
      <c r="J2820"/>
      <c r="K2820"/>
      <c r="L2820"/>
      <c r="M2820"/>
    </row>
    <row r="2821" spans="3:13" hidden="1" outlineLevel="1" x14ac:dyDescent="0.2">
      <c r="C2821" s="139">
        <v>2595</v>
      </c>
      <c r="D2821" s="248">
        <v>2511.36959999995</v>
      </c>
      <c r="E2821" s="248">
        <v>2559.2316000000501</v>
      </c>
      <c r="F2821" s="248">
        <v>2604.6142</v>
      </c>
      <c r="G2821" s="248">
        <v>2641.8505999999902</v>
      </c>
      <c r="H2821" s="248">
        <v>2708.7043999999601</v>
      </c>
      <c r="I2821"/>
      <c r="J2821"/>
      <c r="K2821"/>
      <c r="L2821"/>
      <c r="M2821"/>
    </row>
    <row r="2822" spans="3:13" hidden="1" outlineLevel="1" x14ac:dyDescent="0.2">
      <c r="C2822" s="139">
        <v>2596</v>
      </c>
      <c r="D2822" s="248">
        <v>2512.3842999999501</v>
      </c>
      <c r="E2822" s="248">
        <v>2560.2178000000499</v>
      </c>
      <c r="F2822" s="248">
        <v>2605.6179000000002</v>
      </c>
      <c r="G2822" s="248">
        <v>2642.86869999999</v>
      </c>
      <c r="H2822" s="248">
        <v>2709.74819999995</v>
      </c>
      <c r="I2822"/>
      <c r="J2822"/>
      <c r="K2822"/>
      <c r="L2822"/>
      <c r="M2822"/>
    </row>
    <row r="2823" spans="3:13" hidden="1" outlineLevel="1" x14ac:dyDescent="0.2">
      <c r="C2823" s="139">
        <v>2597</v>
      </c>
      <c r="D2823" s="248">
        <v>2513.3989999999499</v>
      </c>
      <c r="E2823" s="248">
        <v>2561.2040000000502</v>
      </c>
      <c r="F2823" s="248">
        <v>2606.6215999999999</v>
      </c>
      <c r="G2823" s="248">
        <v>2643.8867999999902</v>
      </c>
      <c r="H2823" s="248">
        <v>2710.7919999999499</v>
      </c>
      <c r="I2823"/>
      <c r="J2823"/>
      <c r="K2823"/>
      <c r="L2823"/>
      <c r="M2823"/>
    </row>
    <row r="2824" spans="3:13" hidden="1" outlineLevel="1" x14ac:dyDescent="0.2">
      <c r="C2824" s="139">
        <v>2598</v>
      </c>
      <c r="D2824" s="248">
        <v>2514.41369999995</v>
      </c>
      <c r="E2824" s="248">
        <v>2562.19020000005</v>
      </c>
      <c r="F2824" s="248">
        <v>2607.6253000000002</v>
      </c>
      <c r="G2824" s="248">
        <v>2644.90489999999</v>
      </c>
      <c r="H2824" s="248">
        <v>2711.8357999999498</v>
      </c>
      <c r="I2824"/>
      <c r="J2824"/>
      <c r="K2824"/>
      <c r="L2824"/>
      <c r="M2824"/>
    </row>
    <row r="2825" spans="3:13" hidden="1" outlineLevel="1" x14ac:dyDescent="0.2">
      <c r="C2825" s="139">
        <v>2599</v>
      </c>
      <c r="D2825" s="248">
        <v>2515.4283999999502</v>
      </c>
      <c r="E2825" s="248">
        <v>2563.1764000000499</v>
      </c>
      <c r="F2825" s="248">
        <v>2608.6289999999999</v>
      </c>
      <c r="G2825" s="248">
        <v>2645.9229999999902</v>
      </c>
      <c r="H2825" s="248">
        <v>2712.8795999999502</v>
      </c>
      <c r="I2825"/>
      <c r="J2825"/>
      <c r="K2825"/>
      <c r="L2825"/>
      <c r="M2825"/>
    </row>
    <row r="2826" spans="3:13" hidden="1" outlineLevel="1" x14ac:dyDescent="0.2">
      <c r="C2826" s="139">
        <v>2600</v>
      </c>
      <c r="D2826" s="248">
        <v>2516.4430999999499</v>
      </c>
      <c r="E2826" s="248">
        <v>2564.1626000000501</v>
      </c>
      <c r="F2826" s="248">
        <v>2609.6327000000001</v>
      </c>
      <c r="G2826" s="248">
        <v>2646.94109999999</v>
      </c>
      <c r="H2826" s="248">
        <v>2713.9233999999501</v>
      </c>
      <c r="I2826"/>
      <c r="J2826"/>
      <c r="K2826"/>
      <c r="L2826"/>
      <c r="M2826"/>
    </row>
    <row r="2827" spans="3:13" hidden="1" outlineLevel="1" x14ac:dyDescent="0.2">
      <c r="C2827" s="139">
        <v>2601</v>
      </c>
      <c r="D2827" s="248">
        <v>2517.4577999999501</v>
      </c>
      <c r="E2827" s="248">
        <v>2565.14880000005</v>
      </c>
      <c r="F2827" s="248">
        <v>2610.6363999999999</v>
      </c>
      <c r="G2827" s="248">
        <v>2647.9591999999898</v>
      </c>
      <c r="H2827" s="248">
        <v>2714.96719999995</v>
      </c>
      <c r="I2827"/>
      <c r="J2827"/>
      <c r="K2827"/>
      <c r="L2827"/>
      <c r="M2827"/>
    </row>
    <row r="2828" spans="3:13" hidden="1" outlineLevel="1" x14ac:dyDescent="0.2">
      <c r="C2828" s="139">
        <v>2602</v>
      </c>
      <c r="D2828" s="248">
        <v>2518.4724999999498</v>
      </c>
      <c r="E2828" s="248">
        <v>2566.1350000000498</v>
      </c>
      <c r="F2828" s="248">
        <v>2611.6401000000001</v>
      </c>
      <c r="G2828" s="248">
        <v>2648.97729999999</v>
      </c>
      <c r="H2828" s="248">
        <v>2716.0109999999499</v>
      </c>
      <c r="I2828"/>
      <c r="J2828"/>
      <c r="K2828"/>
      <c r="L2828"/>
      <c r="M2828"/>
    </row>
    <row r="2829" spans="3:13" hidden="1" outlineLevel="1" x14ac:dyDescent="0.2">
      <c r="C2829" s="139">
        <v>2603</v>
      </c>
      <c r="D2829" s="248">
        <v>2519.48719999995</v>
      </c>
      <c r="E2829" s="248">
        <v>2567.1212000000501</v>
      </c>
      <c r="F2829" s="248">
        <v>2612.6437999999998</v>
      </c>
      <c r="G2829" s="248">
        <v>2649.9953999999798</v>
      </c>
      <c r="H2829" s="248">
        <v>2717.0547999999499</v>
      </c>
      <c r="I2829"/>
      <c r="J2829"/>
      <c r="K2829"/>
      <c r="L2829"/>
      <c r="M2829"/>
    </row>
    <row r="2830" spans="3:13" hidden="1" outlineLevel="1" x14ac:dyDescent="0.2">
      <c r="C2830" s="139">
        <v>2604</v>
      </c>
      <c r="D2830" s="248">
        <v>2520.5018999999502</v>
      </c>
      <c r="E2830" s="248">
        <v>2568.1074000000499</v>
      </c>
      <c r="F2830" s="248">
        <v>2613.6475</v>
      </c>
      <c r="G2830" s="248">
        <v>2651.01349999998</v>
      </c>
      <c r="H2830" s="248">
        <v>2718.0985999999498</v>
      </c>
      <c r="I2830"/>
      <c r="J2830"/>
      <c r="K2830"/>
      <c r="L2830"/>
      <c r="M2830"/>
    </row>
    <row r="2831" spans="3:13" hidden="1" outlineLevel="1" x14ac:dyDescent="0.2">
      <c r="C2831" s="139">
        <v>2605</v>
      </c>
      <c r="D2831" s="248">
        <v>2521.5165999999499</v>
      </c>
      <c r="E2831" s="248">
        <v>2569.0936000000502</v>
      </c>
      <c r="F2831" s="248">
        <v>2614.6511999999998</v>
      </c>
      <c r="G2831" s="248">
        <v>2652.0315999999798</v>
      </c>
      <c r="H2831" s="248">
        <v>2719.1423999999502</v>
      </c>
      <c r="I2831"/>
      <c r="J2831"/>
      <c r="K2831"/>
      <c r="L2831"/>
      <c r="M2831"/>
    </row>
    <row r="2832" spans="3:13" hidden="1" outlineLevel="1" x14ac:dyDescent="0.2">
      <c r="C2832" s="139">
        <v>2606</v>
      </c>
      <c r="D2832" s="248">
        <v>2522.5312999999501</v>
      </c>
      <c r="E2832" s="248">
        <v>2570.07980000005</v>
      </c>
      <c r="F2832" s="248">
        <v>2615.65490000001</v>
      </c>
      <c r="G2832" s="248">
        <v>2653.04969999998</v>
      </c>
      <c r="H2832" s="248">
        <v>2720.1861999999501</v>
      </c>
      <c r="I2832"/>
      <c r="J2832"/>
      <c r="K2832"/>
      <c r="L2832"/>
      <c r="M2832"/>
    </row>
    <row r="2833" spans="3:13" hidden="1" outlineLevel="1" x14ac:dyDescent="0.2">
      <c r="C2833" s="139">
        <v>2607</v>
      </c>
      <c r="D2833" s="248">
        <v>2523.5459999999498</v>
      </c>
      <c r="E2833" s="248">
        <v>2571.0660000000498</v>
      </c>
      <c r="F2833" s="248">
        <v>2616.6586000000102</v>
      </c>
      <c r="G2833" s="248">
        <v>2654.0677999999798</v>
      </c>
      <c r="H2833" s="248">
        <v>2721.22999999995</v>
      </c>
      <c r="I2833"/>
      <c r="J2833"/>
      <c r="K2833"/>
      <c r="L2833"/>
      <c r="M2833"/>
    </row>
    <row r="2834" spans="3:13" hidden="1" outlineLevel="1" x14ac:dyDescent="0.2">
      <c r="C2834" s="139">
        <v>2608</v>
      </c>
      <c r="D2834" s="248">
        <v>2524.56069999995</v>
      </c>
      <c r="E2834" s="248">
        <v>2572.0522000000501</v>
      </c>
      <c r="F2834" s="248">
        <v>2617.66230000001</v>
      </c>
      <c r="G2834" s="248">
        <v>2655.08589999998</v>
      </c>
      <c r="H2834" s="248">
        <v>2722.2737999999499</v>
      </c>
      <c r="I2834"/>
      <c r="J2834"/>
      <c r="K2834"/>
      <c r="L2834"/>
      <c r="M2834"/>
    </row>
    <row r="2835" spans="3:13" hidden="1" outlineLevel="1" x14ac:dyDescent="0.2">
      <c r="C2835" s="139">
        <v>2609</v>
      </c>
      <c r="D2835" s="248">
        <v>2525.5753999999502</v>
      </c>
      <c r="E2835" s="248">
        <v>2573.0384000000499</v>
      </c>
      <c r="F2835" s="248">
        <v>2618.6660000000102</v>
      </c>
      <c r="G2835" s="248">
        <v>2656.1039999999798</v>
      </c>
      <c r="H2835" s="248">
        <v>2723.3175999999498</v>
      </c>
      <c r="I2835"/>
      <c r="J2835"/>
      <c r="K2835"/>
      <c r="L2835"/>
      <c r="M2835"/>
    </row>
    <row r="2836" spans="3:13" hidden="1" outlineLevel="1" x14ac:dyDescent="0.2">
      <c r="C2836" s="139">
        <v>2610</v>
      </c>
      <c r="D2836" s="248">
        <v>2526.5900999999499</v>
      </c>
      <c r="E2836" s="248">
        <v>2574.0246000000502</v>
      </c>
      <c r="F2836" s="248">
        <v>2619.6697000000099</v>
      </c>
      <c r="G2836" s="248">
        <v>2657.12209999998</v>
      </c>
      <c r="H2836" s="248">
        <v>2724.3613999999502</v>
      </c>
      <c r="I2836"/>
      <c r="J2836"/>
      <c r="K2836"/>
      <c r="L2836"/>
      <c r="M2836"/>
    </row>
    <row r="2837" spans="3:13" hidden="1" outlineLevel="1" x14ac:dyDescent="0.2">
      <c r="C2837" s="139">
        <v>2611</v>
      </c>
      <c r="D2837" s="248">
        <v>2527.60479999995</v>
      </c>
      <c r="E2837" s="248">
        <v>2575.01080000005</v>
      </c>
      <c r="F2837" s="248">
        <v>2620.6734000000101</v>
      </c>
      <c r="G2837" s="248">
        <v>2658.1401999999798</v>
      </c>
      <c r="H2837" s="248">
        <v>2725.4051999999501</v>
      </c>
      <c r="I2837"/>
      <c r="J2837"/>
      <c r="K2837"/>
      <c r="L2837"/>
      <c r="M2837"/>
    </row>
    <row r="2838" spans="3:13" hidden="1" outlineLevel="1" x14ac:dyDescent="0.2">
      <c r="C2838" s="139">
        <v>2612</v>
      </c>
      <c r="D2838" s="248">
        <v>2528.6194999999502</v>
      </c>
      <c r="E2838" s="248">
        <v>2575.9970000000499</v>
      </c>
      <c r="F2838" s="248">
        <v>2621.6771000000099</v>
      </c>
      <c r="G2838" s="248">
        <v>2659.15829999998</v>
      </c>
      <c r="H2838" s="248">
        <v>2726.44899999995</v>
      </c>
      <c r="I2838"/>
      <c r="J2838"/>
      <c r="K2838"/>
      <c r="L2838"/>
      <c r="M2838"/>
    </row>
    <row r="2839" spans="3:13" hidden="1" outlineLevel="1" x14ac:dyDescent="0.2">
      <c r="C2839" s="139">
        <v>2613</v>
      </c>
      <c r="D2839" s="248">
        <v>2529.6341999999499</v>
      </c>
      <c r="E2839" s="248">
        <v>2576.9832000000501</v>
      </c>
      <c r="F2839" s="248">
        <v>2622.6808000000101</v>
      </c>
      <c r="G2839" s="248">
        <v>2660.1763999999798</v>
      </c>
      <c r="H2839" s="248">
        <v>2727.49279999995</v>
      </c>
      <c r="I2839"/>
      <c r="J2839"/>
      <c r="K2839"/>
      <c r="L2839"/>
      <c r="M2839"/>
    </row>
    <row r="2840" spans="3:13" hidden="1" outlineLevel="1" x14ac:dyDescent="0.2">
      <c r="C2840" s="139">
        <v>2614</v>
      </c>
      <c r="D2840" s="248">
        <v>2530.6488999999501</v>
      </c>
      <c r="E2840" s="248">
        <v>2577.96940000005</v>
      </c>
      <c r="F2840" s="248">
        <v>2623.6845000000098</v>
      </c>
      <c r="G2840" s="248">
        <v>2661.1944999999801</v>
      </c>
      <c r="H2840" s="248">
        <v>2728.5365999999499</v>
      </c>
      <c r="I2840"/>
      <c r="J2840"/>
      <c r="K2840"/>
      <c r="L2840"/>
      <c r="M2840"/>
    </row>
    <row r="2841" spans="3:13" hidden="1" outlineLevel="1" x14ac:dyDescent="0.2">
      <c r="C2841" s="139">
        <v>2615</v>
      </c>
      <c r="D2841" s="248">
        <v>2531.6635999999498</v>
      </c>
      <c r="E2841" s="248">
        <v>2578.9556000000498</v>
      </c>
      <c r="F2841" s="248">
        <v>2624.6882000000101</v>
      </c>
      <c r="G2841" s="248">
        <v>2662.2125999999798</v>
      </c>
      <c r="H2841" s="248">
        <v>2729.5803999999498</v>
      </c>
      <c r="I2841"/>
      <c r="J2841"/>
      <c r="K2841"/>
      <c r="L2841"/>
      <c r="M2841"/>
    </row>
    <row r="2842" spans="3:13" hidden="1" outlineLevel="1" x14ac:dyDescent="0.2">
      <c r="C2842" s="139">
        <v>2616</v>
      </c>
      <c r="D2842" s="248">
        <v>2532.67829999995</v>
      </c>
      <c r="E2842" s="248">
        <v>2579.9418000000501</v>
      </c>
      <c r="F2842" s="248">
        <v>2625.6919000000098</v>
      </c>
      <c r="G2842" s="248">
        <v>2663.2306999999801</v>
      </c>
      <c r="H2842" s="248">
        <v>2730.6241999999502</v>
      </c>
      <c r="I2842"/>
      <c r="J2842"/>
      <c r="K2842"/>
      <c r="L2842"/>
      <c r="M2842"/>
    </row>
    <row r="2843" spans="3:13" hidden="1" outlineLevel="1" x14ac:dyDescent="0.2">
      <c r="C2843" s="139">
        <v>2617</v>
      </c>
      <c r="D2843" s="248">
        <v>2533.6929999999502</v>
      </c>
      <c r="E2843" s="248">
        <v>2580.9280000000499</v>
      </c>
      <c r="F2843" s="248">
        <v>2626.69560000001</v>
      </c>
      <c r="G2843" s="248">
        <v>2664.2487999999798</v>
      </c>
      <c r="H2843" s="248">
        <v>2731.6679999999501</v>
      </c>
      <c r="I2843"/>
      <c r="J2843"/>
      <c r="K2843"/>
      <c r="L2843"/>
      <c r="M2843"/>
    </row>
    <row r="2844" spans="3:13" hidden="1" outlineLevel="1" x14ac:dyDescent="0.2">
      <c r="C2844" s="139">
        <v>2618</v>
      </c>
      <c r="D2844" s="248">
        <v>2534.7076999999499</v>
      </c>
      <c r="E2844" s="248">
        <v>2581.9142000000502</v>
      </c>
      <c r="F2844" s="248">
        <v>2627.6993000000102</v>
      </c>
      <c r="G2844" s="248">
        <v>2665.2668999999801</v>
      </c>
      <c r="H2844" s="248">
        <v>2732.71179999995</v>
      </c>
      <c r="I2844"/>
      <c r="J2844"/>
      <c r="K2844"/>
      <c r="L2844"/>
      <c r="M2844"/>
    </row>
    <row r="2845" spans="3:13" hidden="1" outlineLevel="1" x14ac:dyDescent="0.2">
      <c r="C2845" s="139">
        <v>2619</v>
      </c>
      <c r="D2845" s="248">
        <v>2535.7223999999501</v>
      </c>
      <c r="E2845" s="248">
        <v>2582.90040000005</v>
      </c>
      <c r="F2845" s="248">
        <v>2628.70300000001</v>
      </c>
      <c r="G2845" s="248">
        <v>2666.2849999999798</v>
      </c>
      <c r="H2845" s="248">
        <v>2733.7555999999499</v>
      </c>
      <c r="I2845"/>
      <c r="J2845"/>
      <c r="K2845"/>
      <c r="L2845"/>
      <c r="M2845"/>
    </row>
    <row r="2846" spans="3:13" hidden="1" outlineLevel="1" x14ac:dyDescent="0.2">
      <c r="C2846" s="139">
        <v>2620</v>
      </c>
      <c r="D2846" s="248">
        <v>2536.7370999999498</v>
      </c>
      <c r="E2846" s="248">
        <v>2583.8866000000498</v>
      </c>
      <c r="F2846" s="248">
        <v>2629.7067000000102</v>
      </c>
      <c r="G2846" s="248">
        <v>2667.3030999999801</v>
      </c>
      <c r="H2846" s="248">
        <v>2734.7993999999499</v>
      </c>
      <c r="I2846"/>
      <c r="J2846"/>
      <c r="K2846"/>
      <c r="L2846"/>
      <c r="M2846"/>
    </row>
    <row r="2847" spans="3:13" hidden="1" outlineLevel="1" x14ac:dyDescent="0.2">
      <c r="C2847" s="139">
        <v>2621</v>
      </c>
      <c r="D2847" s="248">
        <v>2537.75179999995</v>
      </c>
      <c r="E2847" s="248">
        <v>2584.8728000000501</v>
      </c>
      <c r="F2847" s="248">
        <v>2630.7104000000099</v>
      </c>
      <c r="G2847" s="248">
        <v>2668.3211999999799</v>
      </c>
      <c r="H2847" s="248">
        <v>2735.8431999999498</v>
      </c>
      <c r="I2847"/>
      <c r="J2847"/>
      <c r="K2847"/>
      <c r="L2847"/>
      <c r="M2847"/>
    </row>
    <row r="2848" spans="3:13" hidden="1" outlineLevel="1" x14ac:dyDescent="0.2">
      <c r="C2848" s="139">
        <v>2622</v>
      </c>
      <c r="D2848" s="248">
        <v>2538.7664999999502</v>
      </c>
      <c r="E2848" s="248">
        <v>2585.8590000000499</v>
      </c>
      <c r="F2848" s="248">
        <v>2631.7141000000101</v>
      </c>
      <c r="G2848" s="248">
        <v>2669.3392999999801</v>
      </c>
      <c r="H2848" s="248">
        <v>2736.8869999999501</v>
      </c>
      <c r="I2848"/>
      <c r="J2848"/>
      <c r="K2848"/>
      <c r="L2848"/>
      <c r="M2848"/>
    </row>
    <row r="2849" spans="3:13" hidden="1" outlineLevel="1" x14ac:dyDescent="0.2">
      <c r="C2849" s="139">
        <v>2623</v>
      </c>
      <c r="D2849" s="248">
        <v>2539.7811999999499</v>
      </c>
      <c r="E2849" s="248">
        <v>2586.8452000000502</v>
      </c>
      <c r="F2849" s="248">
        <v>2632.7178000000099</v>
      </c>
      <c r="G2849" s="248">
        <v>2670.3573999999799</v>
      </c>
      <c r="H2849" s="248">
        <v>2737.9307999999501</v>
      </c>
      <c r="I2849"/>
      <c r="J2849"/>
      <c r="K2849"/>
      <c r="L2849"/>
      <c r="M2849"/>
    </row>
    <row r="2850" spans="3:13" hidden="1" outlineLevel="1" x14ac:dyDescent="0.2">
      <c r="C2850" s="139">
        <v>2624</v>
      </c>
      <c r="D2850" s="248">
        <v>2540.7958999999501</v>
      </c>
      <c r="E2850" s="248">
        <v>2587.8314000000601</v>
      </c>
      <c r="F2850" s="248">
        <v>2633.7215000000101</v>
      </c>
      <c r="G2850" s="248">
        <v>2671.3754999999801</v>
      </c>
      <c r="H2850" s="248">
        <v>2738.97459999995</v>
      </c>
      <c r="I2850"/>
      <c r="J2850"/>
      <c r="K2850"/>
      <c r="L2850"/>
      <c r="M2850"/>
    </row>
    <row r="2851" spans="3:13" hidden="1" outlineLevel="1" x14ac:dyDescent="0.2">
      <c r="C2851" s="139">
        <v>2625</v>
      </c>
      <c r="D2851" s="248">
        <v>2541.8105999999402</v>
      </c>
      <c r="E2851" s="248">
        <v>2588.8176000000599</v>
      </c>
      <c r="F2851" s="248">
        <v>2634.7252000000099</v>
      </c>
      <c r="G2851" s="248">
        <v>2672.3935999999799</v>
      </c>
      <c r="H2851" s="248">
        <v>2740.0183999999499</v>
      </c>
      <c r="I2851"/>
      <c r="J2851"/>
      <c r="K2851"/>
      <c r="L2851"/>
      <c r="M2851"/>
    </row>
    <row r="2852" spans="3:13" hidden="1" outlineLevel="1" x14ac:dyDescent="0.2">
      <c r="C2852" s="139">
        <v>2626</v>
      </c>
      <c r="D2852" s="248">
        <v>2542.8252999999399</v>
      </c>
      <c r="E2852" s="248">
        <v>2589.8038000000602</v>
      </c>
      <c r="F2852" s="248">
        <v>2635.7289000000101</v>
      </c>
      <c r="G2852" s="248">
        <v>2673.4116999999801</v>
      </c>
      <c r="H2852" s="248">
        <v>2741.0621999999498</v>
      </c>
      <c r="I2852"/>
      <c r="J2852"/>
      <c r="K2852"/>
      <c r="L2852"/>
      <c r="M2852"/>
    </row>
    <row r="2853" spans="3:13" hidden="1" outlineLevel="1" x14ac:dyDescent="0.2">
      <c r="C2853" s="139">
        <v>2627</v>
      </c>
      <c r="D2853" s="248">
        <v>2543.8399999999401</v>
      </c>
      <c r="E2853" s="248">
        <v>2590.79000000006</v>
      </c>
      <c r="F2853" s="248">
        <v>2636.7326000000098</v>
      </c>
      <c r="G2853" s="248">
        <v>2674.4297999999799</v>
      </c>
      <c r="H2853" s="248">
        <v>2742.1059999999502</v>
      </c>
      <c r="I2853"/>
      <c r="J2853"/>
      <c r="K2853"/>
      <c r="L2853"/>
      <c r="M2853"/>
    </row>
    <row r="2854" spans="3:13" hidden="1" outlineLevel="1" x14ac:dyDescent="0.2">
      <c r="C2854" s="139">
        <v>2628</v>
      </c>
      <c r="D2854" s="248">
        <v>2544.8546999999398</v>
      </c>
      <c r="E2854" s="248">
        <v>2591.7762000000598</v>
      </c>
      <c r="F2854" s="248">
        <v>2637.73630000001</v>
      </c>
      <c r="G2854" s="248">
        <v>2675.4478999999801</v>
      </c>
      <c r="H2854" s="248">
        <v>2743.1497999999501</v>
      </c>
      <c r="I2854"/>
      <c r="J2854"/>
      <c r="K2854"/>
      <c r="L2854"/>
      <c r="M2854"/>
    </row>
    <row r="2855" spans="3:13" hidden="1" outlineLevel="1" x14ac:dyDescent="0.2">
      <c r="C2855" s="139">
        <v>2629</v>
      </c>
      <c r="D2855" s="248">
        <v>2545.86939999994</v>
      </c>
      <c r="E2855" s="248">
        <v>2592.7624000000601</v>
      </c>
      <c r="F2855" s="248">
        <v>2638.7400000000098</v>
      </c>
      <c r="G2855" s="248">
        <v>2676.4659999999799</v>
      </c>
      <c r="H2855" s="248">
        <v>2744.19359999995</v>
      </c>
      <c r="I2855"/>
      <c r="J2855"/>
      <c r="K2855"/>
      <c r="L2855"/>
      <c r="M2855"/>
    </row>
    <row r="2856" spans="3:13" hidden="1" outlineLevel="1" x14ac:dyDescent="0.2">
      <c r="C2856" s="139">
        <v>2630</v>
      </c>
      <c r="D2856" s="248">
        <v>2546.8840999999402</v>
      </c>
      <c r="E2856" s="248">
        <v>2593.7486000000599</v>
      </c>
      <c r="F2856" s="248">
        <v>2639.74370000001</v>
      </c>
      <c r="G2856" s="248">
        <v>2677.4840999999801</v>
      </c>
      <c r="H2856" s="248">
        <v>2745.23739999995</v>
      </c>
      <c r="I2856"/>
      <c r="J2856"/>
      <c r="K2856"/>
      <c r="L2856"/>
      <c r="M2856"/>
    </row>
    <row r="2857" spans="3:13" hidden="1" outlineLevel="1" x14ac:dyDescent="0.2">
      <c r="C2857" s="139">
        <v>2631</v>
      </c>
      <c r="D2857" s="248">
        <v>2547.8987999999399</v>
      </c>
      <c r="E2857" s="248">
        <v>2594.7348000000602</v>
      </c>
      <c r="F2857" s="248">
        <v>2640.7474000000102</v>
      </c>
      <c r="G2857" s="248">
        <v>2678.5021999999799</v>
      </c>
      <c r="H2857" s="248">
        <v>2746.2811999999499</v>
      </c>
      <c r="I2857"/>
      <c r="J2857"/>
      <c r="K2857"/>
      <c r="L2857"/>
      <c r="M2857"/>
    </row>
    <row r="2858" spans="3:13" hidden="1" outlineLevel="1" x14ac:dyDescent="0.2">
      <c r="C2858" s="139">
        <v>2632</v>
      </c>
      <c r="D2858" s="248">
        <v>2548.9134999999401</v>
      </c>
      <c r="E2858" s="248">
        <v>2595.72100000006</v>
      </c>
      <c r="F2858" s="248">
        <v>2641.75110000001</v>
      </c>
      <c r="G2858" s="248">
        <v>2679.5202999999801</v>
      </c>
      <c r="H2858" s="248">
        <v>2747.3249999999498</v>
      </c>
      <c r="I2858"/>
      <c r="J2858"/>
      <c r="K2858"/>
      <c r="L2858"/>
      <c r="M2858"/>
    </row>
    <row r="2859" spans="3:13" hidden="1" outlineLevel="1" x14ac:dyDescent="0.2">
      <c r="C2859" s="139">
        <v>2633</v>
      </c>
      <c r="D2859" s="248">
        <v>2549.9281999999398</v>
      </c>
      <c r="E2859" s="248">
        <v>2596.7072000000599</v>
      </c>
      <c r="F2859" s="248">
        <v>2642.7548000000102</v>
      </c>
      <c r="G2859" s="248">
        <v>2680.5383999999799</v>
      </c>
      <c r="H2859" s="248">
        <v>2748.3687999999502</v>
      </c>
      <c r="I2859"/>
      <c r="J2859"/>
      <c r="K2859"/>
      <c r="L2859"/>
      <c r="M2859"/>
    </row>
    <row r="2860" spans="3:13" hidden="1" outlineLevel="1" x14ac:dyDescent="0.2">
      <c r="C2860" s="139">
        <v>2634</v>
      </c>
      <c r="D2860" s="248">
        <v>2550.94289999994</v>
      </c>
      <c r="E2860" s="248">
        <v>2597.6934000000601</v>
      </c>
      <c r="F2860" s="248">
        <v>2643.7585000000099</v>
      </c>
      <c r="G2860" s="248">
        <v>2681.5564999999801</v>
      </c>
      <c r="H2860" s="248">
        <v>2749.4125999999501</v>
      </c>
      <c r="I2860"/>
      <c r="J2860"/>
      <c r="K2860"/>
      <c r="L2860"/>
      <c r="M2860"/>
    </row>
    <row r="2861" spans="3:13" hidden="1" outlineLevel="1" x14ac:dyDescent="0.2">
      <c r="C2861" s="139">
        <v>2635</v>
      </c>
      <c r="D2861" s="248">
        <v>2551.9575999999402</v>
      </c>
      <c r="E2861" s="248">
        <v>2598.67960000006</v>
      </c>
      <c r="F2861" s="248">
        <v>2644.7622000000101</v>
      </c>
      <c r="G2861" s="248">
        <v>2682.5745999999799</v>
      </c>
      <c r="H2861" s="248">
        <v>2750.45639999995</v>
      </c>
      <c r="I2861"/>
      <c r="J2861"/>
      <c r="K2861"/>
      <c r="L2861"/>
      <c r="M2861"/>
    </row>
    <row r="2862" spans="3:13" hidden="1" outlineLevel="1" x14ac:dyDescent="0.2">
      <c r="C2862" s="139">
        <v>2636</v>
      </c>
      <c r="D2862" s="248">
        <v>2552.9722999999399</v>
      </c>
      <c r="E2862" s="248">
        <v>2599.6658000000598</v>
      </c>
      <c r="F2862" s="248">
        <v>2645.7659000000099</v>
      </c>
      <c r="G2862" s="248">
        <v>2683.5926999999801</v>
      </c>
      <c r="H2862" s="248">
        <v>2751.5001999999499</v>
      </c>
      <c r="I2862"/>
      <c r="J2862"/>
      <c r="K2862"/>
      <c r="L2862"/>
      <c r="M2862"/>
    </row>
    <row r="2863" spans="3:13" hidden="1" outlineLevel="1" x14ac:dyDescent="0.2">
      <c r="C2863" s="139">
        <v>2637</v>
      </c>
      <c r="D2863" s="248">
        <v>2553.9869999999401</v>
      </c>
      <c r="E2863" s="248">
        <v>2600.6520000000601</v>
      </c>
      <c r="F2863" s="248">
        <v>2646.7696000000101</v>
      </c>
      <c r="G2863" s="248">
        <v>2684.6107999999799</v>
      </c>
      <c r="H2863" s="248">
        <v>2752.5439999999498</v>
      </c>
      <c r="I2863"/>
      <c r="J2863"/>
      <c r="K2863"/>
      <c r="L2863"/>
      <c r="M2863"/>
    </row>
    <row r="2864" spans="3:13" hidden="1" outlineLevel="1" x14ac:dyDescent="0.2">
      <c r="C2864" s="139">
        <v>2638</v>
      </c>
      <c r="D2864" s="248">
        <v>2555.0016999999398</v>
      </c>
      <c r="E2864" s="248">
        <v>2601.6382000000599</v>
      </c>
      <c r="F2864" s="248">
        <v>2647.7733000000098</v>
      </c>
      <c r="G2864" s="248">
        <v>2685.6288999999801</v>
      </c>
      <c r="H2864" s="248">
        <v>2753.5877999999502</v>
      </c>
      <c r="I2864"/>
      <c r="J2864"/>
      <c r="K2864"/>
      <c r="L2864"/>
      <c r="M2864"/>
    </row>
    <row r="2865" spans="3:13" hidden="1" outlineLevel="1" x14ac:dyDescent="0.2">
      <c r="C2865" s="139">
        <v>2639</v>
      </c>
      <c r="D2865" s="248">
        <v>2556.0163999999399</v>
      </c>
      <c r="E2865" s="248">
        <v>2602.6244000000602</v>
      </c>
      <c r="F2865" s="248">
        <v>2648.77700000001</v>
      </c>
      <c r="G2865" s="248">
        <v>2686.6469999999799</v>
      </c>
      <c r="H2865" s="248">
        <v>2754.6315999999501</v>
      </c>
      <c r="I2865"/>
      <c r="J2865"/>
      <c r="K2865"/>
      <c r="L2865"/>
      <c r="M2865"/>
    </row>
    <row r="2866" spans="3:13" hidden="1" outlineLevel="1" x14ac:dyDescent="0.2">
      <c r="C2866" s="139">
        <v>2640</v>
      </c>
      <c r="D2866" s="248">
        <v>2557.0310999999401</v>
      </c>
      <c r="E2866" s="248">
        <v>2603.61060000006</v>
      </c>
      <c r="F2866" s="248">
        <v>2649.7807000000098</v>
      </c>
      <c r="G2866" s="248">
        <v>2687.6650999999802</v>
      </c>
      <c r="H2866" s="248">
        <v>2755.6753999999501</v>
      </c>
      <c r="I2866"/>
      <c r="J2866"/>
      <c r="K2866"/>
      <c r="L2866"/>
      <c r="M2866"/>
    </row>
    <row r="2867" spans="3:13" hidden="1" outlineLevel="1" x14ac:dyDescent="0.2">
      <c r="C2867" s="139">
        <v>2641</v>
      </c>
      <c r="D2867" s="248">
        <v>2558.0457999999398</v>
      </c>
      <c r="E2867" s="248">
        <v>2604.5968000000598</v>
      </c>
      <c r="F2867" s="248">
        <v>2650.78440000001</v>
      </c>
      <c r="G2867" s="248">
        <v>2688.6831999999799</v>
      </c>
      <c r="H2867" s="248">
        <v>2756.71919999995</v>
      </c>
      <c r="I2867"/>
      <c r="J2867"/>
      <c r="K2867"/>
      <c r="L2867"/>
      <c r="M2867"/>
    </row>
    <row r="2868" spans="3:13" hidden="1" outlineLevel="1" x14ac:dyDescent="0.2">
      <c r="C2868" s="139">
        <v>2642</v>
      </c>
      <c r="D2868" s="248">
        <v>2559.06049999994</v>
      </c>
      <c r="E2868" s="248">
        <v>2605.5830000000601</v>
      </c>
      <c r="F2868" s="248">
        <v>2651.7881000000102</v>
      </c>
      <c r="G2868" s="248">
        <v>2689.7012999999802</v>
      </c>
      <c r="H2868" s="248">
        <v>2757.7629999999499</v>
      </c>
      <c r="I2868"/>
      <c r="J2868"/>
      <c r="K2868"/>
      <c r="L2868"/>
      <c r="M2868"/>
    </row>
    <row r="2869" spans="3:13" hidden="1" outlineLevel="1" x14ac:dyDescent="0.2">
      <c r="C2869" s="139">
        <v>2643</v>
      </c>
      <c r="D2869" s="248">
        <v>2560.0751999999402</v>
      </c>
      <c r="E2869" s="248">
        <v>2606.5692000000599</v>
      </c>
      <c r="F2869" s="248">
        <v>2652.79180000001</v>
      </c>
      <c r="G2869" s="248">
        <v>2690.7193999999799</v>
      </c>
      <c r="H2869" s="248">
        <v>2758.8067999999498</v>
      </c>
      <c r="I2869"/>
      <c r="J2869"/>
      <c r="K2869"/>
      <c r="L2869"/>
      <c r="M2869"/>
    </row>
    <row r="2870" spans="3:13" hidden="1" outlineLevel="1" x14ac:dyDescent="0.2">
      <c r="C2870" s="139">
        <v>2644</v>
      </c>
      <c r="D2870" s="248">
        <v>2561.0898999999399</v>
      </c>
      <c r="E2870" s="248">
        <v>2607.5554000000602</v>
      </c>
      <c r="F2870" s="248">
        <v>2653.7955000000102</v>
      </c>
      <c r="G2870" s="248">
        <v>2691.7374999999802</v>
      </c>
      <c r="H2870" s="248">
        <v>2759.8505999999502</v>
      </c>
      <c r="I2870"/>
      <c r="J2870"/>
      <c r="K2870"/>
      <c r="L2870"/>
      <c r="M2870"/>
    </row>
    <row r="2871" spans="3:13" hidden="1" outlineLevel="1" x14ac:dyDescent="0.2">
      <c r="C2871" s="139">
        <v>2645</v>
      </c>
      <c r="D2871" s="248">
        <v>2562.1045999999401</v>
      </c>
      <c r="E2871" s="248">
        <v>2608.54160000006</v>
      </c>
      <c r="F2871" s="248">
        <v>2654.7992000000099</v>
      </c>
      <c r="G2871" s="248">
        <v>2692.7555999999799</v>
      </c>
      <c r="H2871" s="248">
        <v>2760.8943999999501</v>
      </c>
      <c r="I2871"/>
      <c r="J2871"/>
      <c r="K2871"/>
      <c r="L2871"/>
      <c r="M2871"/>
    </row>
    <row r="2872" spans="3:13" hidden="1" outlineLevel="1" x14ac:dyDescent="0.2">
      <c r="C2872" s="139">
        <v>2646</v>
      </c>
      <c r="D2872" s="248">
        <v>2563.1192999999398</v>
      </c>
      <c r="E2872" s="248">
        <v>2609.5278000000599</v>
      </c>
      <c r="F2872" s="248">
        <v>2655.8029000000101</v>
      </c>
      <c r="G2872" s="248">
        <v>2693.7736999999802</v>
      </c>
      <c r="H2872" s="248">
        <v>2761.93819999995</v>
      </c>
      <c r="I2872"/>
      <c r="J2872"/>
      <c r="K2872"/>
      <c r="L2872"/>
      <c r="M2872"/>
    </row>
    <row r="2873" spans="3:13" hidden="1" outlineLevel="1" x14ac:dyDescent="0.2">
      <c r="C2873" s="139">
        <v>2647</v>
      </c>
      <c r="D2873" s="248">
        <v>2564.13399999994</v>
      </c>
      <c r="E2873" s="248">
        <v>2610.5140000000602</v>
      </c>
      <c r="F2873" s="248">
        <v>2656.8066000000099</v>
      </c>
      <c r="G2873" s="248">
        <v>2694.79179999998</v>
      </c>
      <c r="H2873" s="248">
        <v>2762.9819999999499</v>
      </c>
      <c r="I2873"/>
      <c r="J2873"/>
      <c r="K2873"/>
      <c r="L2873"/>
      <c r="M2873"/>
    </row>
    <row r="2874" spans="3:13" hidden="1" outlineLevel="1" x14ac:dyDescent="0.2">
      <c r="C2874" s="139">
        <v>2648</v>
      </c>
      <c r="D2874" s="248">
        <v>2565.1486999999402</v>
      </c>
      <c r="E2874" s="248">
        <v>2611.50020000006</v>
      </c>
      <c r="F2874" s="248">
        <v>2657.8103000000101</v>
      </c>
      <c r="G2874" s="248">
        <v>2695.8098999999802</v>
      </c>
      <c r="H2874" s="248">
        <v>2764.0257999999499</v>
      </c>
      <c r="I2874"/>
      <c r="J2874"/>
      <c r="K2874"/>
      <c r="L2874"/>
      <c r="M2874"/>
    </row>
    <row r="2875" spans="3:13" hidden="1" outlineLevel="1" x14ac:dyDescent="0.2">
      <c r="C2875" s="139">
        <v>2649</v>
      </c>
      <c r="D2875" s="248">
        <v>2566.1633999999399</v>
      </c>
      <c r="E2875" s="248">
        <v>2612.4864000000598</v>
      </c>
      <c r="F2875" s="248">
        <v>2658.8140000000099</v>
      </c>
      <c r="G2875" s="248">
        <v>2696.82799999997</v>
      </c>
      <c r="H2875" s="248">
        <v>2765.0695999999498</v>
      </c>
      <c r="I2875"/>
      <c r="J2875"/>
      <c r="K2875"/>
      <c r="L2875"/>
      <c r="M2875"/>
    </row>
    <row r="2876" spans="3:13" hidden="1" outlineLevel="1" x14ac:dyDescent="0.2">
      <c r="C2876" s="139">
        <v>2650</v>
      </c>
      <c r="D2876" s="248">
        <v>2567.1780999999401</v>
      </c>
      <c r="E2876" s="248">
        <v>2613.4726000000601</v>
      </c>
      <c r="F2876" s="248">
        <v>2659.8177000000101</v>
      </c>
      <c r="G2876" s="248">
        <v>2697.8460999999702</v>
      </c>
      <c r="H2876" s="248">
        <v>2766.1133999999502</v>
      </c>
      <c r="I2876"/>
      <c r="J2876"/>
      <c r="K2876"/>
      <c r="L2876"/>
      <c r="M2876"/>
    </row>
    <row r="2877" spans="3:13" hidden="1" outlineLevel="1" x14ac:dyDescent="0.2">
      <c r="C2877" s="139">
        <v>2651</v>
      </c>
      <c r="D2877" s="248">
        <v>2568.1927999999398</v>
      </c>
      <c r="E2877" s="248">
        <v>2614.4588000000599</v>
      </c>
      <c r="F2877" s="248">
        <v>2660.8214000000098</v>
      </c>
      <c r="G2877" s="248">
        <v>2698.86419999997</v>
      </c>
      <c r="H2877" s="248">
        <v>2767.1571999999501</v>
      </c>
      <c r="I2877"/>
      <c r="J2877"/>
      <c r="K2877"/>
      <c r="L2877"/>
      <c r="M2877"/>
    </row>
    <row r="2878" spans="3:13" hidden="1" outlineLevel="1" x14ac:dyDescent="0.2">
      <c r="C2878" s="139">
        <v>2652</v>
      </c>
      <c r="D2878" s="248">
        <v>2569.20749999994</v>
      </c>
      <c r="E2878" s="248">
        <v>2615.4450000000602</v>
      </c>
      <c r="F2878" s="248">
        <v>2661.82510000002</v>
      </c>
      <c r="G2878" s="248">
        <v>2699.8822999999702</v>
      </c>
      <c r="H2878" s="248">
        <v>2768.20099999995</v>
      </c>
      <c r="I2878"/>
      <c r="J2878"/>
      <c r="K2878"/>
      <c r="L2878"/>
      <c r="M2878"/>
    </row>
    <row r="2879" spans="3:13" hidden="1" outlineLevel="1" x14ac:dyDescent="0.2">
      <c r="C2879" s="139">
        <v>2653</v>
      </c>
      <c r="D2879" s="248">
        <v>2570.2221999999401</v>
      </c>
      <c r="E2879" s="248">
        <v>2616.43120000006</v>
      </c>
      <c r="F2879" s="248">
        <v>2662.8288000000198</v>
      </c>
      <c r="G2879" s="248">
        <v>2700.90039999997</v>
      </c>
      <c r="H2879" s="248">
        <v>2769.2447999999499</v>
      </c>
      <c r="I2879"/>
      <c r="J2879"/>
      <c r="K2879"/>
      <c r="L2879"/>
      <c r="M2879"/>
    </row>
    <row r="2880" spans="3:13" hidden="1" outlineLevel="1" x14ac:dyDescent="0.2">
      <c r="C2880" s="139">
        <v>2654</v>
      </c>
      <c r="D2880" s="248">
        <v>2571.2368999999399</v>
      </c>
      <c r="E2880" s="248">
        <v>2617.4174000000598</v>
      </c>
      <c r="F2880" s="248">
        <v>2663.83250000001</v>
      </c>
      <c r="G2880" s="248">
        <v>2701.9184999999702</v>
      </c>
      <c r="H2880" s="248">
        <v>2770.2885999999498</v>
      </c>
      <c r="I2880"/>
      <c r="J2880"/>
      <c r="K2880"/>
      <c r="L2880"/>
      <c r="M2880"/>
    </row>
    <row r="2881" spans="3:13" hidden="1" outlineLevel="1" x14ac:dyDescent="0.2">
      <c r="C2881" s="139">
        <v>2655</v>
      </c>
      <c r="D2881" s="248">
        <v>2572.25159999994</v>
      </c>
      <c r="E2881" s="248">
        <v>2618.4036000000601</v>
      </c>
      <c r="F2881" s="248">
        <v>2664.8362000000202</v>
      </c>
      <c r="G2881" s="248">
        <v>2702.93659999997</v>
      </c>
      <c r="H2881" s="248">
        <v>2771.3323999999502</v>
      </c>
      <c r="I2881"/>
      <c r="J2881"/>
      <c r="K2881"/>
      <c r="L2881"/>
      <c r="M2881"/>
    </row>
    <row r="2882" spans="3:13" hidden="1" outlineLevel="1" x14ac:dyDescent="0.2">
      <c r="C2882" s="139">
        <v>2656</v>
      </c>
      <c r="D2882" s="248">
        <v>2573.2662999999402</v>
      </c>
      <c r="E2882" s="248">
        <v>2619.3898000000599</v>
      </c>
      <c r="F2882" s="248">
        <v>2665.8399000000099</v>
      </c>
      <c r="G2882" s="248">
        <v>2703.9546999999702</v>
      </c>
      <c r="H2882" s="248">
        <v>2772.3761999999501</v>
      </c>
      <c r="I2882"/>
      <c r="J2882"/>
      <c r="K2882"/>
      <c r="L2882"/>
      <c r="M2882"/>
    </row>
    <row r="2883" spans="3:13" hidden="1" outlineLevel="1" x14ac:dyDescent="0.2">
      <c r="C2883" s="139">
        <v>2657</v>
      </c>
      <c r="D2883" s="248">
        <v>2574.2809999999399</v>
      </c>
      <c r="E2883" s="248">
        <v>2620.3760000000598</v>
      </c>
      <c r="F2883" s="248">
        <v>2666.8436000000202</v>
      </c>
      <c r="G2883" s="248">
        <v>2704.97279999997</v>
      </c>
      <c r="H2883" s="248">
        <v>2773.4199999999501</v>
      </c>
      <c r="I2883"/>
      <c r="J2883"/>
      <c r="K2883"/>
      <c r="L2883"/>
      <c r="M2883"/>
    </row>
    <row r="2884" spans="3:13" hidden="1" outlineLevel="1" x14ac:dyDescent="0.2">
      <c r="C2884" s="139">
        <v>2658</v>
      </c>
      <c r="D2884" s="248">
        <v>2575.2956999999401</v>
      </c>
      <c r="E2884" s="248">
        <v>2621.3622000000601</v>
      </c>
      <c r="F2884" s="248">
        <v>2667.8473000000199</v>
      </c>
      <c r="G2884" s="248">
        <v>2705.9908999999702</v>
      </c>
      <c r="H2884" s="248">
        <v>2774.46379999995</v>
      </c>
      <c r="I2884"/>
      <c r="J2884"/>
      <c r="K2884"/>
      <c r="L2884"/>
      <c r="M2884"/>
    </row>
    <row r="2885" spans="3:13" hidden="1" outlineLevel="1" x14ac:dyDescent="0.2">
      <c r="C2885" s="139">
        <v>2659</v>
      </c>
      <c r="D2885" s="248">
        <v>2576.3103999999398</v>
      </c>
      <c r="E2885" s="248">
        <v>2622.3484000000599</v>
      </c>
      <c r="F2885" s="248">
        <v>2668.8510000000201</v>
      </c>
      <c r="G2885" s="248">
        <v>2707.00899999997</v>
      </c>
      <c r="H2885" s="248">
        <v>2775.5075999999499</v>
      </c>
      <c r="I2885"/>
      <c r="J2885"/>
      <c r="K2885"/>
      <c r="L2885"/>
      <c r="M2885"/>
    </row>
    <row r="2886" spans="3:13" hidden="1" outlineLevel="1" x14ac:dyDescent="0.2">
      <c r="C2886" s="139">
        <v>2660</v>
      </c>
      <c r="D2886" s="248">
        <v>2577.32509999993</v>
      </c>
      <c r="E2886" s="248">
        <v>2623.3346000000602</v>
      </c>
      <c r="F2886" s="248">
        <v>2669.8547000000199</v>
      </c>
      <c r="G2886" s="248">
        <v>2708.0270999999698</v>
      </c>
      <c r="H2886" s="248">
        <v>2776.5513999999498</v>
      </c>
      <c r="I2886"/>
      <c r="J2886"/>
      <c r="K2886"/>
      <c r="L2886"/>
      <c r="M2886"/>
    </row>
    <row r="2887" spans="3:13" hidden="1" outlineLevel="1" x14ac:dyDescent="0.2">
      <c r="C2887" s="139">
        <v>2661</v>
      </c>
      <c r="D2887" s="248">
        <v>2578.3397999999402</v>
      </c>
      <c r="E2887" s="248">
        <v>2624.32080000007</v>
      </c>
      <c r="F2887" s="248">
        <v>2670.8584000000201</v>
      </c>
      <c r="G2887" s="248">
        <v>2709.04519999997</v>
      </c>
      <c r="H2887" s="248">
        <v>2777.5951999999502</v>
      </c>
      <c r="I2887"/>
      <c r="J2887"/>
      <c r="K2887"/>
      <c r="L2887"/>
      <c r="M2887"/>
    </row>
    <row r="2888" spans="3:13" hidden="1" outlineLevel="1" x14ac:dyDescent="0.2">
      <c r="C2888" s="139">
        <v>2662</v>
      </c>
      <c r="D2888" s="248">
        <v>2579.3544999999299</v>
      </c>
      <c r="E2888" s="248">
        <v>2625.3070000000698</v>
      </c>
      <c r="F2888" s="248">
        <v>2671.8621000000198</v>
      </c>
      <c r="G2888" s="248">
        <v>2710.0632999999698</v>
      </c>
      <c r="H2888" s="248">
        <v>2778.6389999999501</v>
      </c>
      <c r="I2888"/>
      <c r="J2888"/>
      <c r="K2888"/>
      <c r="L2888"/>
      <c r="M2888"/>
    </row>
    <row r="2889" spans="3:13" hidden="1" outlineLevel="1" x14ac:dyDescent="0.2">
      <c r="C2889" s="139">
        <v>2663</v>
      </c>
      <c r="D2889" s="248">
        <v>2580.3691999999301</v>
      </c>
      <c r="E2889" s="248">
        <v>2626.2932000000701</v>
      </c>
      <c r="F2889" s="248">
        <v>2672.86580000002</v>
      </c>
      <c r="G2889" s="248">
        <v>2711.08139999997</v>
      </c>
      <c r="H2889" s="248">
        <v>2779.68279999995</v>
      </c>
      <c r="I2889"/>
      <c r="J2889"/>
      <c r="K2889"/>
      <c r="L2889"/>
      <c r="M2889"/>
    </row>
    <row r="2890" spans="3:13" hidden="1" outlineLevel="1" x14ac:dyDescent="0.2">
      <c r="C2890" s="139">
        <v>2664</v>
      </c>
      <c r="D2890" s="248">
        <v>2581.3838999999298</v>
      </c>
      <c r="E2890" s="248">
        <v>2627.2794000000699</v>
      </c>
      <c r="F2890" s="248">
        <v>2673.8695000000198</v>
      </c>
      <c r="G2890" s="248">
        <v>2712.0994999999698</v>
      </c>
      <c r="H2890" s="248">
        <v>2780.7265999999499</v>
      </c>
      <c r="I2890"/>
      <c r="J2890"/>
      <c r="K2890"/>
      <c r="L2890"/>
      <c r="M2890"/>
    </row>
    <row r="2891" spans="3:13" hidden="1" outlineLevel="1" x14ac:dyDescent="0.2">
      <c r="C2891" s="139">
        <v>2665</v>
      </c>
      <c r="D2891" s="248">
        <v>2582.39859999993</v>
      </c>
      <c r="E2891" s="248">
        <v>2628.2656000000702</v>
      </c>
      <c r="F2891" s="248">
        <v>2674.87320000002</v>
      </c>
      <c r="G2891" s="248">
        <v>2713.11759999997</v>
      </c>
      <c r="H2891" s="248">
        <v>2781.7703999999499</v>
      </c>
      <c r="I2891"/>
      <c r="J2891"/>
      <c r="K2891"/>
      <c r="L2891"/>
      <c r="M2891"/>
    </row>
    <row r="2892" spans="3:13" hidden="1" outlineLevel="1" x14ac:dyDescent="0.2">
      <c r="C2892" s="139">
        <v>2666</v>
      </c>
      <c r="D2892" s="248">
        <v>2583.4132999999301</v>
      </c>
      <c r="E2892" s="248">
        <v>2629.25180000007</v>
      </c>
      <c r="F2892" s="248">
        <v>2675.8769000000202</v>
      </c>
      <c r="G2892" s="248">
        <v>2714.1356999999698</v>
      </c>
      <c r="H2892" s="248">
        <v>2782.8141999999498</v>
      </c>
      <c r="I2892"/>
      <c r="J2892"/>
      <c r="K2892"/>
      <c r="L2892"/>
      <c r="M2892"/>
    </row>
    <row r="2893" spans="3:13" hidden="1" outlineLevel="1" x14ac:dyDescent="0.2">
      <c r="C2893" s="139">
        <v>2667</v>
      </c>
      <c r="D2893" s="248">
        <v>2584.4279999999299</v>
      </c>
      <c r="E2893" s="248">
        <v>2630.2380000000699</v>
      </c>
      <c r="F2893" s="248">
        <v>2676.88060000002</v>
      </c>
      <c r="G2893" s="248">
        <v>2715.15379999997</v>
      </c>
      <c r="H2893" s="248">
        <v>2783.8579999999502</v>
      </c>
      <c r="I2893"/>
      <c r="J2893"/>
      <c r="K2893"/>
      <c r="L2893"/>
      <c r="M2893"/>
    </row>
    <row r="2894" spans="3:13" hidden="1" outlineLevel="1" x14ac:dyDescent="0.2">
      <c r="C2894" s="139">
        <v>2668</v>
      </c>
      <c r="D2894" s="248">
        <v>2585.44269999993</v>
      </c>
      <c r="E2894" s="248">
        <v>2631.2242000000701</v>
      </c>
      <c r="F2894" s="248">
        <v>2677.8843000000202</v>
      </c>
      <c r="G2894" s="248">
        <v>2716.1718999999698</v>
      </c>
      <c r="H2894" s="248">
        <v>2784.9017999999501</v>
      </c>
      <c r="I2894"/>
      <c r="J2894"/>
      <c r="K2894"/>
      <c r="L2894"/>
      <c r="M2894"/>
    </row>
    <row r="2895" spans="3:13" hidden="1" outlineLevel="1" x14ac:dyDescent="0.2">
      <c r="C2895" s="139">
        <v>2669</v>
      </c>
      <c r="D2895" s="248">
        <v>2586.4573999999302</v>
      </c>
      <c r="E2895" s="248">
        <v>2632.21040000007</v>
      </c>
      <c r="F2895" s="248">
        <v>2678.8880000000199</v>
      </c>
      <c r="G2895" s="248">
        <v>2717.18999999997</v>
      </c>
      <c r="H2895" s="248">
        <v>2785.94559999995</v>
      </c>
      <c r="I2895"/>
      <c r="J2895"/>
      <c r="K2895"/>
      <c r="L2895"/>
      <c r="M2895"/>
    </row>
    <row r="2896" spans="3:13" hidden="1" outlineLevel="1" x14ac:dyDescent="0.2">
      <c r="C2896" s="139">
        <v>2670</v>
      </c>
      <c r="D2896" s="248">
        <v>2587.4720999999299</v>
      </c>
      <c r="E2896" s="248">
        <v>2633.1966000000698</v>
      </c>
      <c r="F2896" s="248">
        <v>2679.8917000000201</v>
      </c>
      <c r="G2896" s="248">
        <v>2718.2080999999698</v>
      </c>
      <c r="H2896" s="248">
        <v>2786.9893999999499</v>
      </c>
      <c r="I2896"/>
      <c r="J2896"/>
      <c r="K2896"/>
      <c r="L2896"/>
      <c r="M2896"/>
    </row>
    <row r="2897" spans="3:13" hidden="1" outlineLevel="1" x14ac:dyDescent="0.2">
      <c r="C2897" s="139">
        <v>2671</v>
      </c>
      <c r="D2897" s="248">
        <v>2588.4867999999301</v>
      </c>
      <c r="E2897" s="248">
        <v>2634.1828000000701</v>
      </c>
      <c r="F2897" s="248">
        <v>2680.8954000000199</v>
      </c>
      <c r="G2897" s="248">
        <v>2719.22619999997</v>
      </c>
      <c r="H2897" s="248">
        <v>2788.0331999999498</v>
      </c>
      <c r="I2897"/>
      <c r="J2897"/>
      <c r="K2897"/>
      <c r="L2897"/>
      <c r="M2897"/>
    </row>
    <row r="2898" spans="3:13" hidden="1" outlineLevel="1" x14ac:dyDescent="0.2">
      <c r="C2898" s="139">
        <v>2672</v>
      </c>
      <c r="D2898" s="248">
        <v>2589.5014999999298</v>
      </c>
      <c r="E2898" s="248">
        <v>2635.1690000000699</v>
      </c>
      <c r="F2898" s="248">
        <v>2681.8991000000201</v>
      </c>
      <c r="G2898" s="248">
        <v>2720.2442999999698</v>
      </c>
      <c r="H2898" s="248">
        <v>2789.0769999999502</v>
      </c>
      <c r="I2898"/>
      <c r="J2898"/>
      <c r="K2898"/>
      <c r="L2898"/>
      <c r="M2898"/>
    </row>
    <row r="2899" spans="3:13" hidden="1" outlineLevel="1" x14ac:dyDescent="0.2">
      <c r="C2899" s="139">
        <v>2673</v>
      </c>
      <c r="D2899" s="248">
        <v>2590.51619999993</v>
      </c>
      <c r="E2899" s="248">
        <v>2636.1552000000702</v>
      </c>
      <c r="F2899" s="248">
        <v>2682.9028000000199</v>
      </c>
      <c r="G2899" s="248">
        <v>2721.2623999999701</v>
      </c>
      <c r="H2899" s="248">
        <v>2790.1207999999501</v>
      </c>
      <c r="I2899"/>
      <c r="J2899"/>
      <c r="K2899"/>
      <c r="L2899"/>
      <c r="M2899"/>
    </row>
    <row r="2900" spans="3:13" hidden="1" outlineLevel="1" x14ac:dyDescent="0.2">
      <c r="C2900" s="139">
        <v>2674</v>
      </c>
      <c r="D2900" s="248">
        <v>2591.5308999999302</v>
      </c>
      <c r="E2900" s="248">
        <v>2637.14140000007</v>
      </c>
      <c r="F2900" s="248">
        <v>2683.9065000000201</v>
      </c>
      <c r="G2900" s="248">
        <v>2722.2804999999698</v>
      </c>
      <c r="H2900" s="248">
        <v>2791.16459999995</v>
      </c>
      <c r="I2900"/>
      <c r="J2900"/>
      <c r="K2900"/>
      <c r="L2900"/>
      <c r="M2900"/>
    </row>
    <row r="2901" spans="3:13" hidden="1" outlineLevel="1" x14ac:dyDescent="0.2">
      <c r="C2901" s="139">
        <v>2675</v>
      </c>
      <c r="D2901" s="248">
        <v>2592.5455999999299</v>
      </c>
      <c r="E2901" s="248">
        <v>2638.1276000000698</v>
      </c>
      <c r="F2901" s="248">
        <v>2684.9102000000198</v>
      </c>
      <c r="G2901" s="248">
        <v>2723.2985999999701</v>
      </c>
      <c r="H2901" s="248">
        <v>2792.20839999995</v>
      </c>
      <c r="I2901"/>
      <c r="J2901"/>
      <c r="K2901"/>
      <c r="L2901"/>
      <c r="M2901"/>
    </row>
    <row r="2902" spans="3:13" hidden="1" outlineLevel="1" x14ac:dyDescent="0.2">
      <c r="C2902" s="139">
        <v>2676</v>
      </c>
      <c r="D2902" s="248">
        <v>2593.5602999999301</v>
      </c>
      <c r="E2902" s="248">
        <v>2639.1138000000701</v>
      </c>
      <c r="F2902" s="248">
        <v>2685.91390000002</v>
      </c>
      <c r="G2902" s="248">
        <v>2724.3166999999698</v>
      </c>
      <c r="H2902" s="248">
        <v>2793.2521999999499</v>
      </c>
      <c r="I2902"/>
      <c r="J2902"/>
      <c r="K2902"/>
      <c r="L2902"/>
      <c r="M2902"/>
    </row>
    <row r="2903" spans="3:13" hidden="1" outlineLevel="1" x14ac:dyDescent="0.2">
      <c r="C2903" s="139">
        <v>2677</v>
      </c>
      <c r="D2903" s="248">
        <v>2594.5749999999298</v>
      </c>
      <c r="E2903" s="248">
        <v>2640.1000000000699</v>
      </c>
      <c r="F2903" s="248">
        <v>2686.9176000000198</v>
      </c>
      <c r="G2903" s="248">
        <v>2725.3347999999701</v>
      </c>
      <c r="H2903" s="248">
        <v>2794.2959999999498</v>
      </c>
      <c r="I2903"/>
      <c r="J2903"/>
      <c r="K2903"/>
      <c r="L2903"/>
      <c r="M2903"/>
    </row>
    <row r="2904" spans="3:13" hidden="1" outlineLevel="1" x14ac:dyDescent="0.2">
      <c r="C2904" s="139">
        <v>2678</v>
      </c>
      <c r="D2904" s="248">
        <v>2595.58969999993</v>
      </c>
      <c r="E2904" s="248">
        <v>2641.0862000000702</v>
      </c>
      <c r="F2904" s="248">
        <v>2687.92130000002</v>
      </c>
      <c r="G2904" s="248">
        <v>2726.3528999999698</v>
      </c>
      <c r="H2904" s="248">
        <v>2795.3397999999502</v>
      </c>
      <c r="I2904"/>
      <c r="J2904"/>
      <c r="K2904"/>
      <c r="L2904"/>
      <c r="M2904"/>
    </row>
    <row r="2905" spans="3:13" hidden="1" outlineLevel="1" x14ac:dyDescent="0.2">
      <c r="C2905" s="139">
        <v>2679</v>
      </c>
      <c r="D2905" s="248">
        <v>2596.6043999999301</v>
      </c>
      <c r="E2905" s="248">
        <v>2642.07240000007</v>
      </c>
      <c r="F2905" s="248">
        <v>2688.9250000000202</v>
      </c>
      <c r="G2905" s="248">
        <v>2727.3709999999701</v>
      </c>
      <c r="H2905" s="248">
        <v>2796.3835999999501</v>
      </c>
      <c r="I2905"/>
      <c r="J2905"/>
      <c r="K2905"/>
      <c r="L2905"/>
      <c r="M2905"/>
    </row>
    <row r="2906" spans="3:13" hidden="1" outlineLevel="1" x14ac:dyDescent="0.2">
      <c r="C2906" s="139">
        <v>2680</v>
      </c>
      <c r="D2906" s="248">
        <v>2597.6190999999299</v>
      </c>
      <c r="E2906" s="248">
        <v>2643.0586000000699</v>
      </c>
      <c r="F2906" s="248">
        <v>2689.9287000000199</v>
      </c>
      <c r="G2906" s="248">
        <v>2728.3890999999699</v>
      </c>
      <c r="H2906" s="248">
        <v>2797.42739999995</v>
      </c>
      <c r="I2906"/>
      <c r="J2906"/>
      <c r="K2906"/>
      <c r="L2906"/>
      <c r="M2906"/>
    </row>
    <row r="2907" spans="3:13" hidden="1" outlineLevel="1" x14ac:dyDescent="0.2">
      <c r="C2907" s="139">
        <v>2681</v>
      </c>
      <c r="D2907" s="248">
        <v>2598.63379999993</v>
      </c>
      <c r="E2907" s="248">
        <v>2644.0448000000702</v>
      </c>
      <c r="F2907" s="248">
        <v>2690.9324000000202</v>
      </c>
      <c r="G2907" s="248">
        <v>2729.4071999999701</v>
      </c>
      <c r="H2907" s="248">
        <v>2798.4711999999499</v>
      </c>
      <c r="I2907"/>
      <c r="J2907"/>
      <c r="K2907"/>
      <c r="L2907"/>
      <c r="M2907"/>
    </row>
    <row r="2908" spans="3:13" hidden="1" outlineLevel="1" x14ac:dyDescent="0.2">
      <c r="C2908" s="139">
        <v>2682</v>
      </c>
      <c r="D2908" s="248">
        <v>2599.6484999999302</v>
      </c>
      <c r="E2908" s="248">
        <v>2645.03100000007</v>
      </c>
      <c r="F2908" s="248">
        <v>2691.9361000000199</v>
      </c>
      <c r="G2908" s="248">
        <v>2730.4252999999699</v>
      </c>
      <c r="H2908" s="248">
        <v>2799.5149999999499</v>
      </c>
      <c r="I2908"/>
      <c r="J2908"/>
      <c r="K2908"/>
      <c r="L2908"/>
      <c r="M2908"/>
    </row>
    <row r="2909" spans="3:13" hidden="1" outlineLevel="1" x14ac:dyDescent="0.2">
      <c r="C2909" s="139">
        <v>2683</v>
      </c>
      <c r="D2909" s="248">
        <v>2600.6631999999299</v>
      </c>
      <c r="E2909" s="248">
        <v>2646.0172000000698</v>
      </c>
      <c r="F2909" s="248">
        <v>2692.9398000000201</v>
      </c>
      <c r="G2909" s="248">
        <v>2731.4433999999701</v>
      </c>
      <c r="H2909" s="248">
        <v>2800.5587999999502</v>
      </c>
      <c r="I2909"/>
      <c r="J2909"/>
      <c r="K2909"/>
      <c r="L2909"/>
      <c r="M2909"/>
    </row>
    <row r="2910" spans="3:13" hidden="1" outlineLevel="1" x14ac:dyDescent="0.2">
      <c r="C2910" s="139">
        <v>2684</v>
      </c>
      <c r="D2910" s="248">
        <v>2601.6778999999301</v>
      </c>
      <c r="E2910" s="248">
        <v>2647.0034000000701</v>
      </c>
      <c r="F2910" s="248">
        <v>2693.9435000000199</v>
      </c>
      <c r="G2910" s="248">
        <v>2732.4614999999699</v>
      </c>
      <c r="H2910" s="248">
        <v>2801.6025999999501</v>
      </c>
      <c r="I2910"/>
      <c r="J2910"/>
      <c r="K2910"/>
      <c r="L2910"/>
      <c r="M2910"/>
    </row>
    <row r="2911" spans="3:13" hidden="1" outlineLevel="1" x14ac:dyDescent="0.2">
      <c r="C2911" s="139">
        <v>2685</v>
      </c>
      <c r="D2911" s="248">
        <v>2602.6925999999298</v>
      </c>
      <c r="E2911" s="248">
        <v>2647.9896000000699</v>
      </c>
      <c r="F2911" s="248">
        <v>2694.9472000000201</v>
      </c>
      <c r="G2911" s="248">
        <v>2733.4795999999701</v>
      </c>
      <c r="H2911" s="248">
        <v>2802.6463999999501</v>
      </c>
      <c r="I2911"/>
      <c r="J2911"/>
      <c r="K2911"/>
      <c r="L2911"/>
      <c r="M2911"/>
    </row>
    <row r="2912" spans="3:13" hidden="1" outlineLevel="1" x14ac:dyDescent="0.2">
      <c r="C2912" s="139">
        <v>2686</v>
      </c>
      <c r="D2912" s="248">
        <v>2603.70729999993</v>
      </c>
      <c r="E2912" s="248">
        <v>2648.9758000000702</v>
      </c>
      <c r="F2912" s="248">
        <v>2695.9509000000198</v>
      </c>
      <c r="G2912" s="248">
        <v>2734.4976999999699</v>
      </c>
      <c r="H2912" s="248">
        <v>2803.69019999995</v>
      </c>
      <c r="I2912"/>
      <c r="J2912"/>
      <c r="K2912"/>
      <c r="L2912"/>
      <c r="M2912"/>
    </row>
    <row r="2913" spans="3:13" hidden="1" outlineLevel="1" x14ac:dyDescent="0.2">
      <c r="C2913" s="139">
        <v>2687</v>
      </c>
      <c r="D2913" s="248">
        <v>2604.7219999999302</v>
      </c>
      <c r="E2913" s="248">
        <v>2649.96200000007</v>
      </c>
      <c r="F2913" s="248">
        <v>2696.95460000002</v>
      </c>
      <c r="G2913" s="248">
        <v>2735.5157999999701</v>
      </c>
      <c r="H2913" s="248">
        <v>2804.7339999999499</v>
      </c>
      <c r="I2913"/>
      <c r="J2913"/>
      <c r="K2913"/>
      <c r="L2913"/>
      <c r="M2913"/>
    </row>
    <row r="2914" spans="3:13" hidden="1" outlineLevel="1" x14ac:dyDescent="0.2">
      <c r="C2914" s="139">
        <v>2688</v>
      </c>
      <c r="D2914" s="248">
        <v>2605.7366999999299</v>
      </c>
      <c r="E2914" s="248">
        <v>2650.9482000000698</v>
      </c>
      <c r="F2914" s="248">
        <v>2697.9583000000198</v>
      </c>
      <c r="G2914" s="248">
        <v>2736.5338999999699</v>
      </c>
      <c r="H2914" s="248">
        <v>2805.7777999999498</v>
      </c>
      <c r="I2914"/>
      <c r="J2914"/>
      <c r="K2914"/>
      <c r="L2914"/>
      <c r="M2914"/>
    </row>
    <row r="2915" spans="3:13" hidden="1" outlineLevel="1" x14ac:dyDescent="0.2">
      <c r="C2915" s="139">
        <v>2689</v>
      </c>
      <c r="D2915" s="248">
        <v>2606.7513999999301</v>
      </c>
      <c r="E2915" s="248">
        <v>2651.9344000000701</v>
      </c>
      <c r="F2915" s="248">
        <v>2698.96200000002</v>
      </c>
      <c r="G2915" s="248">
        <v>2737.5519999999701</v>
      </c>
      <c r="H2915" s="248">
        <v>2806.8215999999502</v>
      </c>
      <c r="I2915"/>
      <c r="J2915"/>
      <c r="K2915"/>
      <c r="L2915"/>
      <c r="M2915"/>
    </row>
    <row r="2916" spans="3:13" hidden="1" outlineLevel="1" x14ac:dyDescent="0.2">
      <c r="C2916" s="139">
        <v>2690</v>
      </c>
      <c r="D2916" s="248">
        <v>2607.7660999999298</v>
      </c>
      <c r="E2916" s="248">
        <v>2652.92060000007</v>
      </c>
      <c r="F2916" s="248">
        <v>2699.9657000000202</v>
      </c>
      <c r="G2916" s="248">
        <v>2738.5700999999699</v>
      </c>
      <c r="H2916" s="248">
        <v>2807.8653999999501</v>
      </c>
      <c r="I2916"/>
      <c r="J2916"/>
      <c r="K2916"/>
      <c r="L2916"/>
      <c r="M2916"/>
    </row>
    <row r="2917" spans="3:13" hidden="1" outlineLevel="1" x14ac:dyDescent="0.2">
      <c r="C2917" s="139">
        <v>2691</v>
      </c>
      <c r="D2917" s="248">
        <v>2608.78079999993</v>
      </c>
      <c r="E2917" s="248">
        <v>2653.9068000000698</v>
      </c>
      <c r="F2917" s="248">
        <v>2700.96940000002</v>
      </c>
      <c r="G2917" s="248">
        <v>2739.5881999999701</v>
      </c>
      <c r="H2917" s="248">
        <v>2808.90919999995</v>
      </c>
      <c r="I2917"/>
      <c r="J2917"/>
      <c r="K2917"/>
      <c r="L2917"/>
      <c r="M2917"/>
    </row>
    <row r="2918" spans="3:13" hidden="1" outlineLevel="1" x14ac:dyDescent="0.2">
      <c r="C2918" s="139">
        <v>2692</v>
      </c>
      <c r="D2918" s="248">
        <v>2609.7954999999301</v>
      </c>
      <c r="E2918" s="248">
        <v>2654.8930000000701</v>
      </c>
      <c r="F2918" s="248">
        <v>2701.9731000000202</v>
      </c>
      <c r="G2918" s="248">
        <v>2740.6062999999699</v>
      </c>
      <c r="H2918" s="248">
        <v>2809.95299999995</v>
      </c>
      <c r="I2918"/>
      <c r="J2918"/>
      <c r="K2918"/>
      <c r="L2918"/>
      <c r="M2918"/>
    </row>
    <row r="2919" spans="3:13" hidden="1" outlineLevel="1" x14ac:dyDescent="0.2">
      <c r="C2919" s="139">
        <v>2693</v>
      </c>
      <c r="D2919" s="248">
        <v>2610.8101999999299</v>
      </c>
      <c r="E2919" s="248">
        <v>2655.8792000000699</v>
      </c>
      <c r="F2919" s="248">
        <v>2702.9768000000199</v>
      </c>
      <c r="G2919" s="248">
        <v>2741.6243999999601</v>
      </c>
      <c r="H2919" s="248">
        <v>2810.9967999999499</v>
      </c>
      <c r="I2919"/>
      <c r="J2919"/>
      <c r="K2919"/>
      <c r="L2919"/>
      <c r="M2919"/>
    </row>
    <row r="2920" spans="3:13" hidden="1" outlineLevel="1" x14ac:dyDescent="0.2">
      <c r="C2920" s="139">
        <v>2694</v>
      </c>
      <c r="D2920" s="248">
        <v>2611.82489999993</v>
      </c>
      <c r="E2920" s="248">
        <v>2656.8654000000702</v>
      </c>
      <c r="F2920" s="248">
        <v>2703.9805000000201</v>
      </c>
      <c r="G2920" s="248">
        <v>2742.6424999999599</v>
      </c>
      <c r="H2920" s="248">
        <v>2812.0405999999498</v>
      </c>
      <c r="I2920"/>
      <c r="J2920"/>
      <c r="K2920"/>
      <c r="L2920"/>
      <c r="M2920"/>
    </row>
    <row r="2921" spans="3:13" hidden="1" outlineLevel="1" x14ac:dyDescent="0.2">
      <c r="C2921" s="139">
        <v>2695</v>
      </c>
      <c r="D2921" s="248">
        <v>2612.8395999999302</v>
      </c>
      <c r="E2921" s="248">
        <v>2657.85160000007</v>
      </c>
      <c r="F2921" s="248">
        <v>2704.9842000000199</v>
      </c>
      <c r="G2921" s="248">
        <v>2743.6605999999601</v>
      </c>
      <c r="H2921" s="248">
        <v>2813.0843999999502</v>
      </c>
      <c r="I2921"/>
      <c r="J2921"/>
      <c r="K2921"/>
      <c r="L2921"/>
      <c r="M2921"/>
    </row>
    <row r="2922" spans="3:13" hidden="1" outlineLevel="1" x14ac:dyDescent="0.2">
      <c r="C2922" s="139">
        <v>2696</v>
      </c>
      <c r="D2922" s="248">
        <v>2613.8542999999299</v>
      </c>
      <c r="E2922" s="248">
        <v>2658.8378000000698</v>
      </c>
      <c r="F2922" s="248">
        <v>2705.9879000000201</v>
      </c>
      <c r="G2922" s="248">
        <v>2744.6786999999599</v>
      </c>
      <c r="H2922" s="248">
        <v>2814.1281999999501</v>
      </c>
      <c r="I2922"/>
      <c r="J2922"/>
      <c r="K2922"/>
      <c r="L2922"/>
      <c r="M2922"/>
    </row>
    <row r="2923" spans="3:13" hidden="1" outlineLevel="1" x14ac:dyDescent="0.2">
      <c r="C2923" s="139">
        <v>2697</v>
      </c>
      <c r="D2923" s="248">
        <v>2614.8689999999201</v>
      </c>
      <c r="E2923" s="248">
        <v>2659.8240000000801</v>
      </c>
      <c r="F2923" s="248">
        <v>2706.9916000000198</v>
      </c>
      <c r="G2923" s="248">
        <v>2745.6967999999601</v>
      </c>
      <c r="H2923" s="248">
        <v>2815.17199999995</v>
      </c>
      <c r="I2923"/>
      <c r="J2923"/>
      <c r="K2923"/>
      <c r="L2923"/>
      <c r="M2923"/>
    </row>
    <row r="2924" spans="3:13" hidden="1" outlineLevel="1" x14ac:dyDescent="0.2">
      <c r="C2924" s="139">
        <v>2698</v>
      </c>
      <c r="D2924" s="248">
        <v>2615.8836999999198</v>
      </c>
      <c r="E2924" s="248">
        <v>2660.8102000000799</v>
      </c>
      <c r="F2924" s="248">
        <v>2707.9953000000201</v>
      </c>
      <c r="G2924" s="248">
        <v>2746.7148999999599</v>
      </c>
      <c r="H2924" s="248">
        <v>2816.2157999999499</v>
      </c>
      <c r="I2924"/>
      <c r="J2924"/>
      <c r="K2924"/>
      <c r="L2924"/>
      <c r="M2924"/>
    </row>
    <row r="2925" spans="3:13" hidden="1" outlineLevel="1" x14ac:dyDescent="0.2">
      <c r="C2925" s="139">
        <v>2699</v>
      </c>
      <c r="D2925" s="248">
        <v>2616.89839999992</v>
      </c>
      <c r="E2925" s="248">
        <v>2661.7964000000802</v>
      </c>
      <c r="F2925" s="248">
        <v>2708.9990000000198</v>
      </c>
      <c r="G2925" s="248">
        <v>2747.7329999999602</v>
      </c>
      <c r="H2925" s="248">
        <v>2817.2595999999498</v>
      </c>
      <c r="I2925"/>
      <c r="J2925"/>
      <c r="K2925"/>
      <c r="L2925"/>
      <c r="M2925"/>
    </row>
    <row r="2926" spans="3:13" hidden="1" outlineLevel="1" x14ac:dyDescent="0.2">
      <c r="C2926" s="139">
        <v>2700</v>
      </c>
      <c r="D2926" s="248">
        <v>2617.9130999999202</v>
      </c>
      <c r="E2926" s="248">
        <v>2662.78260000008</v>
      </c>
      <c r="F2926" s="248">
        <v>2710.00270000003</v>
      </c>
      <c r="G2926" s="248">
        <v>2748.7510999999599</v>
      </c>
      <c r="H2926" s="248">
        <v>2818.3033999999502</v>
      </c>
      <c r="I2926"/>
      <c r="J2926"/>
      <c r="K2926"/>
      <c r="L2926"/>
      <c r="M2926"/>
    </row>
    <row r="2927" spans="3:13" hidden="1" outlineLevel="1" x14ac:dyDescent="0.2">
      <c r="C2927" s="139">
        <v>2701</v>
      </c>
      <c r="D2927" s="248">
        <v>2618.9277999999199</v>
      </c>
      <c r="E2927" s="248">
        <v>2663.7688000000799</v>
      </c>
      <c r="F2927" s="248">
        <v>2711.0064000000302</v>
      </c>
      <c r="G2927" s="248">
        <v>2749.7691999999602</v>
      </c>
      <c r="H2927" s="248">
        <v>2819.3471999999501</v>
      </c>
      <c r="I2927"/>
      <c r="J2927"/>
      <c r="K2927"/>
      <c r="L2927"/>
      <c r="M2927"/>
    </row>
    <row r="2928" spans="3:13" hidden="1" outlineLevel="1" x14ac:dyDescent="0.2">
      <c r="C2928" s="139">
        <v>2702</v>
      </c>
      <c r="D2928" s="248">
        <v>2619.9424999999201</v>
      </c>
      <c r="E2928" s="248">
        <v>2664.7550000000801</v>
      </c>
      <c r="F2928" s="248">
        <v>2712.01010000002</v>
      </c>
      <c r="G2928" s="248">
        <v>2750.7872999999599</v>
      </c>
      <c r="H2928" s="248">
        <v>2820.3909999999501</v>
      </c>
      <c r="I2928"/>
      <c r="J2928"/>
      <c r="K2928"/>
      <c r="L2928"/>
      <c r="M2928"/>
    </row>
    <row r="2929" spans="3:13" hidden="1" outlineLevel="1" x14ac:dyDescent="0.2">
      <c r="C2929" s="139">
        <v>2703</v>
      </c>
      <c r="D2929" s="248">
        <v>2620.9571999999198</v>
      </c>
      <c r="E2929" s="248">
        <v>2665.74120000008</v>
      </c>
      <c r="F2929" s="248">
        <v>2713.0138000000302</v>
      </c>
      <c r="G2929" s="248">
        <v>2751.8053999999602</v>
      </c>
      <c r="H2929" s="248">
        <v>2821.43479999995</v>
      </c>
      <c r="I2929"/>
      <c r="J2929"/>
      <c r="K2929"/>
      <c r="L2929"/>
      <c r="M2929"/>
    </row>
    <row r="2930" spans="3:13" hidden="1" outlineLevel="1" x14ac:dyDescent="0.2">
      <c r="C2930" s="139">
        <v>2704</v>
      </c>
      <c r="D2930" s="248">
        <v>2621.97189999992</v>
      </c>
      <c r="E2930" s="248">
        <v>2666.7274000000798</v>
      </c>
      <c r="F2930" s="248">
        <v>2714.0175000000199</v>
      </c>
      <c r="G2930" s="248">
        <v>2752.8234999999599</v>
      </c>
      <c r="H2930" s="248">
        <v>2822.4785999999499</v>
      </c>
      <c r="I2930"/>
      <c r="J2930"/>
      <c r="K2930"/>
      <c r="L2930"/>
      <c r="M2930"/>
    </row>
    <row r="2931" spans="3:13" hidden="1" outlineLevel="1" x14ac:dyDescent="0.2">
      <c r="C2931" s="139">
        <v>2705</v>
      </c>
      <c r="D2931" s="248">
        <v>2622.9865999999201</v>
      </c>
      <c r="E2931" s="248">
        <v>2667.7136000000801</v>
      </c>
      <c r="F2931" s="248">
        <v>2715.0212000000301</v>
      </c>
      <c r="G2931" s="248">
        <v>2753.8415999999602</v>
      </c>
      <c r="H2931" s="248">
        <v>2823.5223999999498</v>
      </c>
      <c r="I2931"/>
      <c r="J2931"/>
      <c r="K2931"/>
      <c r="L2931"/>
      <c r="M2931"/>
    </row>
    <row r="2932" spans="3:13" hidden="1" outlineLevel="1" x14ac:dyDescent="0.2">
      <c r="C2932" s="139">
        <v>2706</v>
      </c>
      <c r="D2932" s="248">
        <v>2624.0012999999199</v>
      </c>
      <c r="E2932" s="248">
        <v>2668.6998000000799</v>
      </c>
      <c r="F2932" s="248">
        <v>2716.0249000000299</v>
      </c>
      <c r="G2932" s="248">
        <v>2754.85969999996</v>
      </c>
      <c r="H2932" s="248">
        <v>2824.5661999999502</v>
      </c>
      <c r="I2932"/>
      <c r="J2932"/>
      <c r="K2932"/>
      <c r="L2932"/>
      <c r="M2932"/>
    </row>
    <row r="2933" spans="3:13" hidden="1" outlineLevel="1" x14ac:dyDescent="0.2">
      <c r="C2933" s="139">
        <v>2707</v>
      </c>
      <c r="D2933" s="248">
        <v>2625.01599999992</v>
      </c>
      <c r="E2933" s="248">
        <v>2669.6860000000802</v>
      </c>
      <c r="F2933" s="248">
        <v>2717.0286000000301</v>
      </c>
      <c r="G2933" s="248">
        <v>2755.8777999999602</v>
      </c>
      <c r="H2933" s="248">
        <v>2825.6099999999501</v>
      </c>
      <c r="I2933"/>
      <c r="J2933"/>
      <c r="K2933"/>
      <c r="L2933"/>
      <c r="M2933"/>
    </row>
    <row r="2934" spans="3:13" hidden="1" outlineLevel="1" x14ac:dyDescent="0.2">
      <c r="C2934" s="139">
        <v>2708</v>
      </c>
      <c r="D2934" s="248">
        <v>2626.0306999999202</v>
      </c>
      <c r="E2934" s="248">
        <v>2670.67220000008</v>
      </c>
      <c r="F2934" s="248">
        <v>2718.0323000000299</v>
      </c>
      <c r="G2934" s="248">
        <v>2756.89589999996</v>
      </c>
      <c r="H2934" s="248">
        <v>2826.65379999995</v>
      </c>
      <c r="I2934"/>
      <c r="J2934"/>
      <c r="K2934"/>
      <c r="L2934"/>
      <c r="M2934"/>
    </row>
    <row r="2935" spans="3:13" hidden="1" outlineLevel="1" x14ac:dyDescent="0.2">
      <c r="C2935" s="139">
        <v>2709</v>
      </c>
      <c r="D2935" s="248">
        <v>2627.0453999999199</v>
      </c>
      <c r="E2935" s="248">
        <v>2671.6584000000798</v>
      </c>
      <c r="F2935" s="248">
        <v>2719.0360000000301</v>
      </c>
      <c r="G2935" s="248">
        <v>2757.9139999999602</v>
      </c>
      <c r="H2935" s="248">
        <v>2827.6975999999499</v>
      </c>
      <c r="I2935"/>
      <c r="J2935"/>
      <c r="K2935"/>
      <c r="L2935"/>
      <c r="M2935"/>
    </row>
    <row r="2936" spans="3:13" hidden="1" outlineLevel="1" x14ac:dyDescent="0.2">
      <c r="C2936" s="139">
        <v>2710</v>
      </c>
      <c r="D2936" s="248">
        <v>2628.0600999999201</v>
      </c>
      <c r="E2936" s="248">
        <v>2672.6446000000801</v>
      </c>
      <c r="F2936" s="248">
        <v>2720.0397000000298</v>
      </c>
      <c r="G2936" s="248">
        <v>2758.93209999996</v>
      </c>
      <c r="H2936" s="248">
        <v>2828.7413999999499</v>
      </c>
      <c r="I2936"/>
      <c r="J2936"/>
      <c r="K2936"/>
      <c r="L2936"/>
      <c r="M2936"/>
    </row>
    <row r="2937" spans="3:13" hidden="1" outlineLevel="1" x14ac:dyDescent="0.2">
      <c r="C2937" s="139">
        <v>2711</v>
      </c>
      <c r="D2937" s="248">
        <v>2629.0747999999198</v>
      </c>
      <c r="E2937" s="248">
        <v>2673.6308000000799</v>
      </c>
      <c r="F2937" s="248">
        <v>2721.04340000003</v>
      </c>
      <c r="G2937" s="248">
        <v>2759.9501999999602</v>
      </c>
      <c r="H2937" s="248">
        <v>2829.7851999999498</v>
      </c>
      <c r="I2937"/>
      <c r="J2937"/>
      <c r="K2937"/>
      <c r="L2937"/>
      <c r="M2937"/>
    </row>
    <row r="2938" spans="3:13" hidden="1" outlineLevel="1" x14ac:dyDescent="0.2">
      <c r="C2938" s="139">
        <v>2712</v>
      </c>
      <c r="D2938" s="248">
        <v>2630.08949999992</v>
      </c>
      <c r="E2938" s="248">
        <v>2674.6170000000802</v>
      </c>
      <c r="F2938" s="248">
        <v>2722.0471000000298</v>
      </c>
      <c r="G2938" s="248">
        <v>2760.96829999996</v>
      </c>
      <c r="H2938" s="248">
        <v>2830.8289999999502</v>
      </c>
      <c r="I2938"/>
      <c r="J2938"/>
      <c r="K2938"/>
      <c r="L2938"/>
      <c r="M2938"/>
    </row>
    <row r="2939" spans="3:13" hidden="1" outlineLevel="1" x14ac:dyDescent="0.2">
      <c r="C2939" s="139">
        <v>2713</v>
      </c>
      <c r="D2939" s="248">
        <v>2631.1041999999202</v>
      </c>
      <c r="E2939" s="248">
        <v>2675.6032000000801</v>
      </c>
      <c r="F2939" s="248">
        <v>2723.05080000003</v>
      </c>
      <c r="G2939" s="248">
        <v>2761.9863999999602</v>
      </c>
      <c r="H2939" s="248">
        <v>2831.8727999999501</v>
      </c>
      <c r="I2939"/>
      <c r="J2939"/>
      <c r="K2939"/>
      <c r="L2939"/>
      <c r="M2939"/>
    </row>
    <row r="2940" spans="3:13" hidden="1" outlineLevel="1" x14ac:dyDescent="0.2">
      <c r="C2940" s="139">
        <v>2714</v>
      </c>
      <c r="D2940" s="248">
        <v>2632.1188999999199</v>
      </c>
      <c r="E2940" s="248">
        <v>2676.5894000000799</v>
      </c>
      <c r="F2940" s="248">
        <v>2724.0545000000302</v>
      </c>
      <c r="G2940" s="248">
        <v>2763.00449999996</v>
      </c>
      <c r="H2940" s="248">
        <v>2832.91659999994</v>
      </c>
      <c r="I2940"/>
      <c r="J2940"/>
      <c r="K2940"/>
      <c r="L2940"/>
      <c r="M2940"/>
    </row>
    <row r="2941" spans="3:13" hidden="1" outlineLevel="1" x14ac:dyDescent="0.2">
      <c r="C2941" s="139">
        <v>2715</v>
      </c>
      <c r="D2941" s="248">
        <v>2633.1335999999201</v>
      </c>
      <c r="E2941" s="248">
        <v>2677.5756000000802</v>
      </c>
      <c r="F2941" s="248">
        <v>2725.05820000003</v>
      </c>
      <c r="G2941" s="248">
        <v>2764.0225999999602</v>
      </c>
      <c r="H2941" s="248">
        <v>2833.9603999999399</v>
      </c>
      <c r="I2941"/>
      <c r="J2941"/>
      <c r="K2941"/>
      <c r="L2941"/>
      <c r="M2941"/>
    </row>
    <row r="2942" spans="3:13" hidden="1" outlineLevel="1" x14ac:dyDescent="0.2">
      <c r="C2942" s="139">
        <v>2716</v>
      </c>
      <c r="D2942" s="248">
        <v>2634.1482999999198</v>
      </c>
      <c r="E2942" s="248">
        <v>2678.56180000008</v>
      </c>
      <c r="F2942" s="248">
        <v>2726.0619000000302</v>
      </c>
      <c r="G2942" s="248">
        <v>2765.04069999996</v>
      </c>
      <c r="H2942" s="248">
        <v>2835.0041999999398</v>
      </c>
      <c r="I2942"/>
      <c r="J2942"/>
      <c r="K2942"/>
      <c r="L2942"/>
      <c r="M2942"/>
    </row>
    <row r="2943" spans="3:13" hidden="1" outlineLevel="1" x14ac:dyDescent="0.2">
      <c r="C2943" s="139">
        <v>2717</v>
      </c>
      <c r="D2943" s="248">
        <v>2635.16299999992</v>
      </c>
      <c r="E2943" s="248">
        <v>2679.5480000000798</v>
      </c>
      <c r="F2943" s="248">
        <v>2727.0656000000299</v>
      </c>
      <c r="G2943" s="248">
        <v>2766.0587999999598</v>
      </c>
      <c r="H2943" s="248">
        <v>2836.0479999999502</v>
      </c>
      <c r="I2943"/>
      <c r="J2943"/>
      <c r="K2943"/>
      <c r="L2943"/>
      <c r="M2943"/>
    </row>
    <row r="2944" spans="3:13" hidden="1" outlineLevel="1" x14ac:dyDescent="0.2">
      <c r="C2944" s="139">
        <v>2718</v>
      </c>
      <c r="D2944" s="248">
        <v>2636.1776999999202</v>
      </c>
      <c r="E2944" s="248">
        <v>2680.5342000000801</v>
      </c>
      <c r="F2944" s="248">
        <v>2728.0693000000301</v>
      </c>
      <c r="G2944" s="248">
        <v>2767.07689999996</v>
      </c>
      <c r="H2944" s="248">
        <v>2837.0917999999501</v>
      </c>
      <c r="I2944"/>
      <c r="J2944"/>
      <c r="K2944"/>
      <c r="L2944"/>
      <c r="M2944"/>
    </row>
    <row r="2945" spans="3:13" hidden="1" outlineLevel="1" x14ac:dyDescent="0.2">
      <c r="C2945" s="139">
        <v>2719</v>
      </c>
      <c r="D2945" s="248">
        <v>2637.1923999999199</v>
      </c>
      <c r="E2945" s="248">
        <v>2681.5204000000799</v>
      </c>
      <c r="F2945" s="248">
        <v>2729.0730000000299</v>
      </c>
      <c r="G2945" s="248">
        <v>2768.0949999999598</v>
      </c>
      <c r="H2945" s="248">
        <v>2838.13559999995</v>
      </c>
      <c r="I2945"/>
      <c r="J2945"/>
      <c r="K2945"/>
      <c r="L2945"/>
      <c r="M2945"/>
    </row>
    <row r="2946" spans="3:13" hidden="1" outlineLevel="1" x14ac:dyDescent="0.2">
      <c r="C2946" s="139">
        <v>2720</v>
      </c>
      <c r="D2946" s="248">
        <v>2638.20709999992</v>
      </c>
      <c r="E2946" s="248">
        <v>2682.5066000000802</v>
      </c>
      <c r="F2946" s="248">
        <v>2730.0767000000301</v>
      </c>
      <c r="G2946" s="248">
        <v>2769.11309999996</v>
      </c>
      <c r="H2946" s="248">
        <v>2839.17939999994</v>
      </c>
      <c r="I2946"/>
      <c r="J2946"/>
      <c r="K2946"/>
      <c r="L2946"/>
      <c r="M2946"/>
    </row>
    <row r="2947" spans="3:13" hidden="1" outlineLevel="1" x14ac:dyDescent="0.2">
      <c r="C2947" s="139">
        <v>2721</v>
      </c>
      <c r="D2947" s="248">
        <v>2639.2217999999202</v>
      </c>
      <c r="E2947" s="248">
        <v>2683.49280000008</v>
      </c>
      <c r="F2947" s="248">
        <v>2731.0804000000298</v>
      </c>
      <c r="G2947" s="248">
        <v>2770.1311999999598</v>
      </c>
      <c r="H2947" s="248">
        <v>2840.2231999999399</v>
      </c>
      <c r="I2947"/>
      <c r="J2947"/>
      <c r="K2947"/>
      <c r="L2947"/>
      <c r="M2947"/>
    </row>
    <row r="2948" spans="3:13" hidden="1" outlineLevel="1" x14ac:dyDescent="0.2">
      <c r="C2948" s="139">
        <v>2722</v>
      </c>
      <c r="D2948" s="248">
        <v>2640.2364999999199</v>
      </c>
      <c r="E2948" s="248">
        <v>2684.4790000000798</v>
      </c>
      <c r="F2948" s="248">
        <v>2732.08410000003</v>
      </c>
      <c r="G2948" s="248">
        <v>2771.14929999996</v>
      </c>
      <c r="H2948" s="248">
        <v>2841.2669999999398</v>
      </c>
      <c r="I2948"/>
      <c r="J2948"/>
      <c r="K2948"/>
      <c r="L2948"/>
      <c r="M2948"/>
    </row>
    <row r="2949" spans="3:13" hidden="1" outlineLevel="1" x14ac:dyDescent="0.2">
      <c r="C2949" s="139">
        <v>2723</v>
      </c>
      <c r="D2949" s="248">
        <v>2641.2511999999201</v>
      </c>
      <c r="E2949" s="248">
        <v>2685.4652000000801</v>
      </c>
      <c r="F2949" s="248">
        <v>2733.0878000000298</v>
      </c>
      <c r="G2949" s="248">
        <v>2772.1673999999598</v>
      </c>
      <c r="H2949" s="248">
        <v>2842.3107999999502</v>
      </c>
      <c r="I2949"/>
      <c r="J2949"/>
      <c r="K2949"/>
      <c r="L2949"/>
      <c r="M2949"/>
    </row>
    <row r="2950" spans="3:13" hidden="1" outlineLevel="1" x14ac:dyDescent="0.2">
      <c r="C2950" s="139">
        <v>2724</v>
      </c>
      <c r="D2950" s="248">
        <v>2642.2658999999198</v>
      </c>
      <c r="E2950" s="248">
        <v>2686.45140000008</v>
      </c>
      <c r="F2950" s="248">
        <v>2734.09150000003</v>
      </c>
      <c r="G2950" s="248">
        <v>2773.18549999996</v>
      </c>
      <c r="H2950" s="248">
        <v>2843.3545999999501</v>
      </c>
      <c r="I2950"/>
      <c r="J2950"/>
      <c r="K2950"/>
      <c r="L2950"/>
      <c r="M2950"/>
    </row>
    <row r="2951" spans="3:13" hidden="1" outlineLevel="1" x14ac:dyDescent="0.2">
      <c r="C2951" s="139">
        <v>2725</v>
      </c>
      <c r="D2951" s="248">
        <v>2643.28059999992</v>
      </c>
      <c r="E2951" s="248">
        <v>2687.4376000000798</v>
      </c>
      <c r="F2951" s="248">
        <v>2735.0952000000302</v>
      </c>
      <c r="G2951" s="248">
        <v>2774.2035999999598</v>
      </c>
      <c r="H2951" s="248">
        <v>2844.39839999995</v>
      </c>
      <c r="I2951"/>
      <c r="J2951"/>
      <c r="K2951"/>
      <c r="L2951"/>
      <c r="M2951"/>
    </row>
    <row r="2952" spans="3:13" hidden="1" outlineLevel="1" x14ac:dyDescent="0.2">
      <c r="C2952" s="139">
        <v>2726</v>
      </c>
      <c r="D2952" s="248">
        <v>2644.2952999999202</v>
      </c>
      <c r="E2952" s="248">
        <v>2688.4238000000801</v>
      </c>
      <c r="F2952" s="248">
        <v>2736.09890000003</v>
      </c>
      <c r="G2952" s="248">
        <v>2775.22169999996</v>
      </c>
      <c r="H2952" s="248">
        <v>2845.4421999999399</v>
      </c>
      <c r="I2952"/>
      <c r="J2952"/>
      <c r="K2952"/>
      <c r="L2952"/>
      <c r="M2952"/>
    </row>
    <row r="2953" spans="3:13" hidden="1" outlineLevel="1" x14ac:dyDescent="0.2">
      <c r="C2953" s="139">
        <v>2727</v>
      </c>
      <c r="D2953" s="248">
        <v>2645.3099999999199</v>
      </c>
      <c r="E2953" s="248">
        <v>2689.4100000000799</v>
      </c>
      <c r="F2953" s="248">
        <v>2737.1026000000302</v>
      </c>
      <c r="G2953" s="248">
        <v>2776.2397999999598</v>
      </c>
      <c r="H2953" s="248">
        <v>2846.4859999999398</v>
      </c>
      <c r="I2953"/>
      <c r="J2953"/>
      <c r="K2953"/>
      <c r="L2953"/>
      <c r="M2953"/>
    </row>
    <row r="2954" spans="3:13" hidden="1" outlineLevel="1" x14ac:dyDescent="0.2">
      <c r="C2954" s="139">
        <v>2728</v>
      </c>
      <c r="D2954" s="248">
        <v>2646.3246999999201</v>
      </c>
      <c r="E2954" s="248">
        <v>2690.3962000000802</v>
      </c>
      <c r="F2954" s="248">
        <v>2738.1063000000299</v>
      </c>
      <c r="G2954" s="248">
        <v>2777.25789999996</v>
      </c>
      <c r="H2954" s="248">
        <v>2847.5297999999402</v>
      </c>
      <c r="I2954"/>
      <c r="J2954"/>
      <c r="K2954"/>
      <c r="L2954"/>
      <c r="M2954"/>
    </row>
    <row r="2955" spans="3:13" hidden="1" outlineLevel="1" x14ac:dyDescent="0.2">
      <c r="C2955" s="139">
        <v>2729</v>
      </c>
      <c r="D2955" s="248">
        <v>2647.3393999999198</v>
      </c>
      <c r="E2955" s="248">
        <v>2691.38240000008</v>
      </c>
      <c r="F2955" s="248">
        <v>2739.1100000000301</v>
      </c>
      <c r="G2955" s="248">
        <v>2778.2759999999598</v>
      </c>
      <c r="H2955" s="248">
        <v>2848.5735999999401</v>
      </c>
      <c r="I2955"/>
      <c r="J2955"/>
      <c r="K2955"/>
      <c r="L2955"/>
      <c r="M2955"/>
    </row>
    <row r="2956" spans="3:13" hidden="1" outlineLevel="1" x14ac:dyDescent="0.2">
      <c r="C2956" s="139">
        <v>2730</v>
      </c>
      <c r="D2956" s="248">
        <v>2648.35409999991</v>
      </c>
      <c r="E2956" s="248">
        <v>2692.3686000000798</v>
      </c>
      <c r="F2956" s="248">
        <v>2740.1137000000299</v>
      </c>
      <c r="G2956" s="248">
        <v>2779.2940999999601</v>
      </c>
      <c r="H2956" s="248">
        <v>2849.6173999999401</v>
      </c>
      <c r="I2956"/>
      <c r="J2956"/>
      <c r="K2956"/>
      <c r="L2956"/>
      <c r="M2956"/>
    </row>
    <row r="2957" spans="3:13" hidden="1" outlineLevel="1" x14ac:dyDescent="0.2">
      <c r="C2957" s="139">
        <v>2731</v>
      </c>
      <c r="D2957" s="248">
        <v>2649.3687999999202</v>
      </c>
      <c r="E2957" s="248">
        <v>2693.3548000000801</v>
      </c>
      <c r="F2957" s="248">
        <v>2741.1174000000301</v>
      </c>
      <c r="G2957" s="248">
        <v>2780.3121999999598</v>
      </c>
      <c r="H2957" s="248">
        <v>2850.66119999994</v>
      </c>
      <c r="I2957"/>
      <c r="J2957"/>
      <c r="K2957"/>
      <c r="L2957"/>
      <c r="M2957"/>
    </row>
    <row r="2958" spans="3:13" hidden="1" outlineLevel="1" x14ac:dyDescent="0.2">
      <c r="C2958" s="139">
        <v>2732</v>
      </c>
      <c r="D2958" s="248">
        <v>2650.3834999999199</v>
      </c>
      <c r="E2958" s="248">
        <v>2694.3410000000899</v>
      </c>
      <c r="F2958" s="248">
        <v>2742.1211000000299</v>
      </c>
      <c r="G2958" s="248">
        <v>2781.3302999999601</v>
      </c>
      <c r="H2958" s="248">
        <v>2851.7049999999399</v>
      </c>
      <c r="I2958"/>
      <c r="J2958"/>
      <c r="K2958"/>
      <c r="L2958"/>
      <c r="M2958"/>
    </row>
    <row r="2959" spans="3:13" hidden="1" outlineLevel="1" x14ac:dyDescent="0.2">
      <c r="C2959" s="139">
        <v>2733</v>
      </c>
      <c r="D2959" s="248">
        <v>2651.39819999991</v>
      </c>
      <c r="E2959" s="248">
        <v>2695.3272000000902</v>
      </c>
      <c r="F2959" s="248">
        <v>2743.1248000000301</v>
      </c>
      <c r="G2959" s="248">
        <v>2782.3483999999598</v>
      </c>
      <c r="H2959" s="248">
        <v>2852.7487999999398</v>
      </c>
      <c r="I2959"/>
      <c r="J2959"/>
      <c r="K2959"/>
      <c r="L2959"/>
      <c r="M2959"/>
    </row>
    <row r="2960" spans="3:13" hidden="1" outlineLevel="1" x14ac:dyDescent="0.2">
      <c r="C2960" s="139">
        <v>2734</v>
      </c>
      <c r="D2960" s="248">
        <v>2652.4128999999102</v>
      </c>
      <c r="E2960" s="248">
        <v>2696.31340000009</v>
      </c>
      <c r="F2960" s="248">
        <v>2744.1285000000298</v>
      </c>
      <c r="G2960" s="248">
        <v>2783.3664999999601</v>
      </c>
      <c r="H2960" s="248">
        <v>2853.7925999999402</v>
      </c>
      <c r="I2960"/>
      <c r="J2960"/>
      <c r="K2960"/>
      <c r="L2960"/>
      <c r="M2960"/>
    </row>
    <row r="2961" spans="3:13" hidden="1" outlineLevel="1" x14ac:dyDescent="0.2">
      <c r="C2961" s="139">
        <v>2735</v>
      </c>
      <c r="D2961" s="248">
        <v>2653.4275999999099</v>
      </c>
      <c r="E2961" s="248">
        <v>2697.2996000000899</v>
      </c>
      <c r="F2961" s="248">
        <v>2745.13220000003</v>
      </c>
      <c r="G2961" s="248">
        <v>2784.3845999999598</v>
      </c>
      <c r="H2961" s="248">
        <v>2854.8363999999401</v>
      </c>
      <c r="I2961"/>
      <c r="J2961"/>
      <c r="K2961"/>
      <c r="L2961"/>
      <c r="M2961"/>
    </row>
    <row r="2962" spans="3:13" hidden="1" outlineLevel="1" x14ac:dyDescent="0.2">
      <c r="C2962" s="139">
        <v>2736</v>
      </c>
      <c r="D2962" s="248">
        <v>2654.4422999999101</v>
      </c>
      <c r="E2962" s="248">
        <v>2698.2858000000901</v>
      </c>
      <c r="F2962" s="248">
        <v>2746.1359000000298</v>
      </c>
      <c r="G2962" s="248">
        <v>2785.4026999999601</v>
      </c>
      <c r="H2962" s="248">
        <v>2855.88019999994</v>
      </c>
      <c r="I2962"/>
      <c r="J2962"/>
      <c r="K2962"/>
      <c r="L2962"/>
      <c r="M2962"/>
    </row>
    <row r="2963" spans="3:13" hidden="1" outlineLevel="1" x14ac:dyDescent="0.2">
      <c r="C2963" s="139">
        <v>2737</v>
      </c>
      <c r="D2963" s="248">
        <v>2655.4569999999098</v>
      </c>
      <c r="E2963" s="248">
        <v>2699.27200000009</v>
      </c>
      <c r="F2963" s="248">
        <v>2747.13960000003</v>
      </c>
      <c r="G2963" s="248">
        <v>2786.4207999999599</v>
      </c>
      <c r="H2963" s="248">
        <v>2856.92399999994</v>
      </c>
      <c r="I2963"/>
      <c r="J2963"/>
      <c r="K2963"/>
      <c r="L2963"/>
      <c r="M2963"/>
    </row>
    <row r="2964" spans="3:13" hidden="1" outlineLevel="1" x14ac:dyDescent="0.2">
      <c r="C2964" s="139">
        <v>2738</v>
      </c>
      <c r="D2964" s="248">
        <v>2656.47169999991</v>
      </c>
      <c r="E2964" s="248">
        <v>2700.2582000000898</v>
      </c>
      <c r="F2964" s="248">
        <v>2748.1433000000302</v>
      </c>
      <c r="G2964" s="248">
        <v>2787.4388999999501</v>
      </c>
      <c r="H2964" s="248">
        <v>2857.9677999999399</v>
      </c>
      <c r="I2964"/>
      <c r="J2964"/>
      <c r="K2964"/>
      <c r="L2964"/>
      <c r="M2964"/>
    </row>
    <row r="2965" spans="3:13" hidden="1" outlineLevel="1" x14ac:dyDescent="0.2">
      <c r="C2965" s="139">
        <v>2739</v>
      </c>
      <c r="D2965" s="248">
        <v>2657.4863999999102</v>
      </c>
      <c r="E2965" s="248">
        <v>2701.2444000000901</v>
      </c>
      <c r="F2965" s="248">
        <v>2749.1470000000299</v>
      </c>
      <c r="G2965" s="248">
        <v>2788.4569999999499</v>
      </c>
      <c r="H2965" s="248">
        <v>2859.0115999999398</v>
      </c>
      <c r="I2965"/>
      <c r="J2965"/>
      <c r="K2965"/>
      <c r="L2965"/>
      <c r="M2965"/>
    </row>
    <row r="2966" spans="3:13" hidden="1" outlineLevel="1" x14ac:dyDescent="0.2">
      <c r="C2966" s="139">
        <v>2740</v>
      </c>
      <c r="D2966" s="248">
        <v>2658.5010999999099</v>
      </c>
      <c r="E2966" s="248">
        <v>2702.2306000000899</v>
      </c>
      <c r="F2966" s="248">
        <v>2750.1507000000302</v>
      </c>
      <c r="G2966" s="248">
        <v>2789.4750999999501</v>
      </c>
      <c r="H2966" s="248">
        <v>2860.0553999999402</v>
      </c>
      <c r="I2966"/>
      <c r="J2966"/>
      <c r="K2966"/>
      <c r="L2966"/>
      <c r="M2966"/>
    </row>
    <row r="2967" spans="3:13" hidden="1" outlineLevel="1" x14ac:dyDescent="0.2">
      <c r="C2967" s="139">
        <v>2741</v>
      </c>
      <c r="D2967" s="248">
        <v>2659.5157999999101</v>
      </c>
      <c r="E2967" s="248">
        <v>2703.2168000000902</v>
      </c>
      <c r="F2967" s="248">
        <v>2751.1544000000299</v>
      </c>
      <c r="G2967" s="248">
        <v>2790.4931999999499</v>
      </c>
      <c r="H2967" s="248">
        <v>2861.0991999999401</v>
      </c>
      <c r="I2967"/>
      <c r="J2967"/>
      <c r="K2967"/>
      <c r="L2967"/>
      <c r="M2967"/>
    </row>
    <row r="2968" spans="3:13" hidden="1" outlineLevel="1" x14ac:dyDescent="0.2">
      <c r="C2968" s="139">
        <v>2742</v>
      </c>
      <c r="D2968" s="248">
        <v>2660.5304999999098</v>
      </c>
      <c r="E2968" s="248">
        <v>2704.20300000009</v>
      </c>
      <c r="F2968" s="248">
        <v>2752.1581000000301</v>
      </c>
      <c r="G2968" s="248">
        <v>2791.5112999999501</v>
      </c>
      <c r="H2968" s="248">
        <v>2862.14299999994</v>
      </c>
      <c r="I2968"/>
      <c r="J2968"/>
      <c r="K2968"/>
      <c r="L2968"/>
      <c r="M2968"/>
    </row>
    <row r="2969" spans="3:13" hidden="1" outlineLevel="1" x14ac:dyDescent="0.2">
      <c r="C2969" s="139">
        <v>2743</v>
      </c>
      <c r="D2969" s="248">
        <v>2661.54519999991</v>
      </c>
      <c r="E2969" s="248">
        <v>2705.1892000000898</v>
      </c>
      <c r="F2969" s="248">
        <v>2753.1618000000299</v>
      </c>
      <c r="G2969" s="248">
        <v>2792.5293999999499</v>
      </c>
      <c r="H2969" s="248">
        <v>2863.1867999999399</v>
      </c>
      <c r="I2969"/>
      <c r="J2969"/>
      <c r="K2969"/>
      <c r="L2969"/>
      <c r="M2969"/>
    </row>
    <row r="2970" spans="3:13" hidden="1" outlineLevel="1" x14ac:dyDescent="0.2">
      <c r="C2970" s="139">
        <v>2744</v>
      </c>
      <c r="D2970" s="248">
        <v>2662.5598999999102</v>
      </c>
      <c r="E2970" s="248">
        <v>2706.1754000000901</v>
      </c>
      <c r="F2970" s="248">
        <v>2754.1655000000301</v>
      </c>
      <c r="G2970" s="248">
        <v>2793.5474999999501</v>
      </c>
      <c r="H2970" s="248">
        <v>2864.2305999999398</v>
      </c>
      <c r="I2970"/>
      <c r="J2970"/>
      <c r="K2970"/>
      <c r="L2970"/>
      <c r="M2970"/>
    </row>
    <row r="2971" spans="3:13" hidden="1" outlineLevel="1" x14ac:dyDescent="0.2">
      <c r="C2971" s="139">
        <v>2745</v>
      </c>
      <c r="D2971" s="248">
        <v>2663.5745999999099</v>
      </c>
      <c r="E2971" s="248">
        <v>2707.1616000000899</v>
      </c>
      <c r="F2971" s="248">
        <v>2755.1692000000298</v>
      </c>
      <c r="G2971" s="248">
        <v>2794.5655999999499</v>
      </c>
      <c r="H2971" s="248">
        <v>2865.2743999999402</v>
      </c>
      <c r="I2971"/>
      <c r="J2971"/>
      <c r="K2971"/>
      <c r="L2971"/>
      <c r="M2971"/>
    </row>
    <row r="2972" spans="3:13" hidden="1" outlineLevel="1" x14ac:dyDescent="0.2">
      <c r="C2972" s="139">
        <v>2746</v>
      </c>
      <c r="D2972" s="248">
        <v>2664.5892999999101</v>
      </c>
      <c r="E2972" s="248">
        <v>2708.1478000000898</v>
      </c>
      <c r="F2972" s="248">
        <v>2756.17290000003</v>
      </c>
      <c r="G2972" s="248">
        <v>2795.5836999999501</v>
      </c>
      <c r="H2972" s="248">
        <v>2866.3181999999401</v>
      </c>
      <c r="I2972"/>
      <c r="J2972"/>
      <c r="K2972"/>
      <c r="L2972"/>
      <c r="M2972"/>
    </row>
    <row r="2973" spans="3:13" hidden="1" outlineLevel="1" x14ac:dyDescent="0.2">
      <c r="C2973" s="139">
        <v>2747</v>
      </c>
      <c r="D2973" s="248">
        <v>2665.6039999999098</v>
      </c>
      <c r="E2973" s="248">
        <v>2709.1340000000901</v>
      </c>
      <c r="F2973" s="248">
        <v>2757.1766000000298</v>
      </c>
      <c r="G2973" s="248">
        <v>2796.6017999999499</v>
      </c>
      <c r="H2973" s="248">
        <v>2867.3619999999401</v>
      </c>
      <c r="I2973"/>
      <c r="J2973"/>
      <c r="K2973"/>
      <c r="L2973"/>
      <c r="M2973"/>
    </row>
    <row r="2974" spans="3:13" hidden="1" outlineLevel="1" x14ac:dyDescent="0.2">
      <c r="C2974" s="139">
        <v>2748</v>
      </c>
      <c r="D2974" s="248">
        <v>2666.6186999999099</v>
      </c>
      <c r="E2974" s="248">
        <v>2710.1202000000899</v>
      </c>
      <c r="F2974" s="248">
        <v>2758.18030000004</v>
      </c>
      <c r="G2974" s="248">
        <v>2797.6198999999501</v>
      </c>
      <c r="H2974" s="248">
        <v>2868.40579999994</v>
      </c>
      <c r="I2974"/>
      <c r="J2974"/>
      <c r="K2974"/>
      <c r="L2974"/>
      <c r="M2974"/>
    </row>
    <row r="2975" spans="3:13" hidden="1" outlineLevel="1" x14ac:dyDescent="0.2">
      <c r="C2975" s="139">
        <v>2749</v>
      </c>
      <c r="D2975" s="248">
        <v>2667.6333999999101</v>
      </c>
      <c r="E2975" s="248">
        <v>2711.1064000000902</v>
      </c>
      <c r="F2975" s="248">
        <v>2759.1840000000402</v>
      </c>
      <c r="G2975" s="248">
        <v>2798.6379999999499</v>
      </c>
      <c r="H2975" s="248">
        <v>2869.4495999999399</v>
      </c>
      <c r="I2975"/>
      <c r="J2975"/>
      <c r="K2975"/>
      <c r="L2975"/>
      <c r="M2975"/>
    </row>
    <row r="2976" spans="3:13" hidden="1" outlineLevel="1" x14ac:dyDescent="0.2">
      <c r="C2976" s="139">
        <v>2750</v>
      </c>
      <c r="D2976" s="248">
        <v>2668.6480999999098</v>
      </c>
      <c r="E2976" s="248">
        <v>2712.09260000009</v>
      </c>
      <c r="F2976" s="248">
        <v>2760.18770000003</v>
      </c>
      <c r="G2976" s="248">
        <v>2799.6560999999501</v>
      </c>
      <c r="H2976" s="248">
        <v>2870.4933999999398</v>
      </c>
      <c r="I2976"/>
      <c r="J2976"/>
      <c r="K2976"/>
      <c r="L2976"/>
      <c r="M2976"/>
    </row>
    <row r="2977" spans="3:13" hidden="1" outlineLevel="1" x14ac:dyDescent="0.2">
      <c r="C2977" s="139">
        <v>2751</v>
      </c>
      <c r="D2977" s="248">
        <v>2669.66279999991</v>
      </c>
      <c r="E2977" s="248">
        <v>2713.0788000000898</v>
      </c>
      <c r="F2977" s="248">
        <v>2761.1914000000402</v>
      </c>
      <c r="G2977" s="248">
        <v>2800.6741999999499</v>
      </c>
      <c r="H2977" s="248">
        <v>2871.5371999999402</v>
      </c>
      <c r="I2977"/>
      <c r="J2977"/>
      <c r="K2977"/>
      <c r="L2977"/>
      <c r="M2977"/>
    </row>
    <row r="2978" spans="3:13" hidden="1" outlineLevel="1" x14ac:dyDescent="0.2">
      <c r="C2978" s="139">
        <v>2752</v>
      </c>
      <c r="D2978" s="248">
        <v>2670.6774999999102</v>
      </c>
      <c r="E2978" s="248">
        <v>2714.0650000000901</v>
      </c>
      <c r="F2978" s="248">
        <v>2762.1951000000299</v>
      </c>
      <c r="G2978" s="248">
        <v>2801.6922999999501</v>
      </c>
      <c r="H2978" s="248">
        <v>2872.5809999999401</v>
      </c>
      <c r="I2978"/>
      <c r="J2978"/>
      <c r="K2978"/>
      <c r="L2978"/>
      <c r="M2978"/>
    </row>
    <row r="2979" spans="3:13" hidden="1" outlineLevel="1" x14ac:dyDescent="0.2">
      <c r="C2979" s="139">
        <v>2753</v>
      </c>
      <c r="D2979" s="248">
        <v>2671.6921999999099</v>
      </c>
      <c r="E2979" s="248">
        <v>2715.0512000000899</v>
      </c>
      <c r="F2979" s="248">
        <v>2763.1988000000401</v>
      </c>
      <c r="G2979" s="248">
        <v>2802.7103999999499</v>
      </c>
      <c r="H2979" s="248">
        <v>2873.62479999994</v>
      </c>
      <c r="I2979"/>
      <c r="J2979"/>
      <c r="K2979"/>
      <c r="L2979"/>
      <c r="M2979"/>
    </row>
    <row r="2980" spans="3:13" hidden="1" outlineLevel="1" x14ac:dyDescent="0.2">
      <c r="C2980" s="139">
        <v>2754</v>
      </c>
      <c r="D2980" s="248">
        <v>2672.7068999999101</v>
      </c>
      <c r="E2980" s="248">
        <v>2716.0374000000902</v>
      </c>
      <c r="F2980" s="248">
        <v>2764.2025000000399</v>
      </c>
      <c r="G2980" s="248">
        <v>2803.7284999999501</v>
      </c>
      <c r="H2980" s="248">
        <v>2874.6685999999399</v>
      </c>
      <c r="I2980"/>
      <c r="J2980"/>
      <c r="K2980"/>
      <c r="L2980"/>
      <c r="M2980"/>
    </row>
    <row r="2981" spans="3:13" hidden="1" outlineLevel="1" x14ac:dyDescent="0.2">
      <c r="C2981" s="139">
        <v>2755</v>
      </c>
      <c r="D2981" s="248">
        <v>2673.7215999999098</v>
      </c>
      <c r="E2981" s="248">
        <v>2717.02360000009</v>
      </c>
      <c r="F2981" s="248">
        <v>2765.2062000000401</v>
      </c>
      <c r="G2981" s="248">
        <v>2804.7465999999499</v>
      </c>
      <c r="H2981" s="248">
        <v>2875.7123999999399</v>
      </c>
      <c r="I2981"/>
      <c r="J2981"/>
      <c r="K2981"/>
      <c r="L2981"/>
      <c r="M2981"/>
    </row>
    <row r="2982" spans="3:13" hidden="1" outlineLevel="1" x14ac:dyDescent="0.2">
      <c r="C2982" s="139">
        <v>2756</v>
      </c>
      <c r="D2982" s="248">
        <v>2674.73629999991</v>
      </c>
      <c r="E2982" s="248">
        <v>2718.0098000000899</v>
      </c>
      <c r="F2982" s="248">
        <v>2766.2099000000399</v>
      </c>
      <c r="G2982" s="248">
        <v>2805.7646999999502</v>
      </c>
      <c r="H2982" s="248">
        <v>2876.7561999999398</v>
      </c>
      <c r="I2982"/>
      <c r="J2982"/>
      <c r="K2982"/>
      <c r="L2982"/>
      <c r="M2982"/>
    </row>
    <row r="2983" spans="3:13" hidden="1" outlineLevel="1" x14ac:dyDescent="0.2">
      <c r="C2983" s="139">
        <v>2757</v>
      </c>
      <c r="D2983" s="248">
        <v>2675.7509999999102</v>
      </c>
      <c r="E2983" s="248">
        <v>2718.9960000000901</v>
      </c>
      <c r="F2983" s="248">
        <v>2767.2136000000401</v>
      </c>
      <c r="G2983" s="248">
        <v>2806.7827999999499</v>
      </c>
      <c r="H2983" s="248">
        <v>2877.7999999999402</v>
      </c>
      <c r="I2983"/>
      <c r="J2983"/>
      <c r="K2983"/>
      <c r="L2983"/>
      <c r="M2983"/>
    </row>
    <row r="2984" spans="3:13" hidden="1" outlineLevel="1" x14ac:dyDescent="0.2">
      <c r="C2984" s="139">
        <v>2758</v>
      </c>
      <c r="D2984" s="248">
        <v>2676.7656999999099</v>
      </c>
      <c r="E2984" s="248">
        <v>2719.98220000009</v>
      </c>
      <c r="F2984" s="248">
        <v>2768.2173000000398</v>
      </c>
      <c r="G2984" s="248">
        <v>2807.8008999999502</v>
      </c>
      <c r="H2984" s="248">
        <v>2878.8437999999401</v>
      </c>
      <c r="I2984"/>
      <c r="J2984"/>
      <c r="K2984"/>
      <c r="L2984"/>
      <c r="M2984"/>
    </row>
    <row r="2985" spans="3:13" hidden="1" outlineLevel="1" x14ac:dyDescent="0.2">
      <c r="C2985" s="139">
        <v>2759</v>
      </c>
      <c r="D2985" s="248">
        <v>2677.7803999999101</v>
      </c>
      <c r="E2985" s="248">
        <v>2720.9684000000898</v>
      </c>
      <c r="F2985" s="248">
        <v>2769.22100000004</v>
      </c>
      <c r="G2985" s="248">
        <v>2808.8189999999499</v>
      </c>
      <c r="H2985" s="248">
        <v>2879.88759999994</v>
      </c>
      <c r="I2985"/>
      <c r="J2985"/>
      <c r="K2985"/>
      <c r="L2985"/>
      <c r="M2985"/>
    </row>
    <row r="2986" spans="3:13" hidden="1" outlineLevel="1" x14ac:dyDescent="0.2">
      <c r="C2986" s="139">
        <v>2760</v>
      </c>
      <c r="D2986" s="248">
        <v>2678.7950999999098</v>
      </c>
      <c r="E2986" s="248">
        <v>2721.9546000000901</v>
      </c>
      <c r="F2986" s="248">
        <v>2770.2247000000398</v>
      </c>
      <c r="G2986" s="248">
        <v>2809.8370999999502</v>
      </c>
      <c r="H2986" s="248">
        <v>2880.9313999999399</v>
      </c>
      <c r="I2986"/>
      <c r="J2986"/>
      <c r="K2986"/>
      <c r="L2986"/>
      <c r="M2986"/>
    </row>
    <row r="2987" spans="3:13" hidden="1" outlineLevel="1" x14ac:dyDescent="0.2">
      <c r="C2987" s="139">
        <v>2761</v>
      </c>
      <c r="D2987" s="248">
        <v>2679.80979999991</v>
      </c>
      <c r="E2987" s="248">
        <v>2722.9408000000899</v>
      </c>
      <c r="F2987" s="248">
        <v>2771.22840000004</v>
      </c>
      <c r="G2987" s="248">
        <v>2810.8551999999499</v>
      </c>
      <c r="H2987" s="248">
        <v>2881.9751999999398</v>
      </c>
      <c r="I2987"/>
      <c r="J2987"/>
      <c r="K2987"/>
      <c r="L2987"/>
      <c r="M2987"/>
    </row>
    <row r="2988" spans="3:13" hidden="1" outlineLevel="1" x14ac:dyDescent="0.2">
      <c r="C2988" s="139">
        <v>2762</v>
      </c>
      <c r="D2988" s="248">
        <v>2680.8244999999101</v>
      </c>
      <c r="E2988" s="248">
        <v>2723.9270000000902</v>
      </c>
      <c r="F2988" s="248">
        <v>2772.2321000000402</v>
      </c>
      <c r="G2988" s="248">
        <v>2811.8732999999502</v>
      </c>
      <c r="H2988" s="248">
        <v>2883.0189999999402</v>
      </c>
      <c r="I2988"/>
      <c r="J2988"/>
      <c r="K2988"/>
      <c r="L2988"/>
      <c r="M2988"/>
    </row>
    <row r="2989" spans="3:13" hidden="1" outlineLevel="1" x14ac:dyDescent="0.2">
      <c r="C2989" s="139">
        <v>2763</v>
      </c>
      <c r="D2989" s="248">
        <v>2681.8391999999099</v>
      </c>
      <c r="E2989" s="248">
        <v>2724.91320000009</v>
      </c>
      <c r="F2989" s="248">
        <v>2773.2358000000399</v>
      </c>
      <c r="G2989" s="248">
        <v>2812.89139999995</v>
      </c>
      <c r="H2989" s="248">
        <v>2884.0627999999401</v>
      </c>
      <c r="I2989"/>
      <c r="J2989"/>
      <c r="K2989"/>
      <c r="L2989"/>
      <c r="M2989"/>
    </row>
    <row r="2990" spans="3:13" hidden="1" outlineLevel="1" x14ac:dyDescent="0.2">
      <c r="C2990" s="139">
        <v>2764</v>
      </c>
      <c r="D2990" s="248">
        <v>2682.85389999991</v>
      </c>
      <c r="E2990" s="248">
        <v>2725.8994000000898</v>
      </c>
      <c r="F2990" s="248">
        <v>2774.2395000000402</v>
      </c>
      <c r="G2990" s="248">
        <v>2813.9094999999502</v>
      </c>
      <c r="H2990" s="248">
        <v>2885.10659999994</v>
      </c>
      <c r="I2990"/>
      <c r="J2990"/>
      <c r="K2990"/>
      <c r="L2990"/>
      <c r="M2990"/>
    </row>
    <row r="2991" spans="3:13" hidden="1" outlineLevel="1" x14ac:dyDescent="0.2">
      <c r="C2991" s="139">
        <v>2765</v>
      </c>
      <c r="D2991" s="248">
        <v>2683.8685999999102</v>
      </c>
      <c r="E2991" s="248">
        <v>2726.8856000000901</v>
      </c>
      <c r="F2991" s="248">
        <v>2775.2432000000399</v>
      </c>
      <c r="G2991" s="248">
        <v>2814.92759999995</v>
      </c>
      <c r="H2991" s="248">
        <v>2886.15039999994</v>
      </c>
      <c r="I2991"/>
      <c r="J2991"/>
      <c r="K2991"/>
      <c r="L2991"/>
      <c r="M2991"/>
    </row>
    <row r="2992" spans="3:13" hidden="1" outlineLevel="1" x14ac:dyDescent="0.2">
      <c r="C2992" s="139">
        <v>2766</v>
      </c>
      <c r="D2992" s="248">
        <v>2684.8832999999099</v>
      </c>
      <c r="E2992" s="248">
        <v>2727.8718000000899</v>
      </c>
      <c r="F2992" s="248">
        <v>2776.2469000000401</v>
      </c>
      <c r="G2992" s="248">
        <v>2815.9456999999502</v>
      </c>
      <c r="H2992" s="248">
        <v>2887.1941999999399</v>
      </c>
      <c r="I2992"/>
      <c r="J2992"/>
      <c r="K2992"/>
      <c r="L2992"/>
      <c r="M2992"/>
    </row>
    <row r="2993" spans="3:13" hidden="1" outlineLevel="1" x14ac:dyDescent="0.2">
      <c r="C2993" s="139">
        <v>2767</v>
      </c>
      <c r="D2993" s="248">
        <v>2685.8979999999101</v>
      </c>
      <c r="E2993" s="248">
        <v>2728.8580000000902</v>
      </c>
      <c r="F2993" s="248">
        <v>2777.2506000000399</v>
      </c>
      <c r="G2993" s="248">
        <v>2816.96379999995</v>
      </c>
      <c r="H2993" s="248">
        <v>2888.2379999999398</v>
      </c>
      <c r="I2993"/>
      <c r="J2993"/>
      <c r="K2993"/>
      <c r="L2993"/>
      <c r="M2993"/>
    </row>
    <row r="2994" spans="3:13" hidden="1" outlineLevel="1" x14ac:dyDescent="0.2">
      <c r="C2994" s="139">
        <v>2768</v>
      </c>
      <c r="D2994" s="248">
        <v>2686.9126999999098</v>
      </c>
      <c r="E2994" s="248">
        <v>2729.8442000001</v>
      </c>
      <c r="F2994" s="248">
        <v>2778.2543000000401</v>
      </c>
      <c r="G2994" s="248">
        <v>2817.9818999999502</v>
      </c>
      <c r="H2994" s="248">
        <v>2889.2817999999402</v>
      </c>
      <c r="I2994"/>
      <c r="J2994"/>
      <c r="K2994"/>
      <c r="L2994"/>
      <c r="M2994"/>
    </row>
    <row r="2995" spans="3:13" hidden="1" outlineLevel="1" x14ac:dyDescent="0.2">
      <c r="C2995" s="139">
        <v>2769</v>
      </c>
      <c r="D2995" s="248">
        <v>2687.9273999999</v>
      </c>
      <c r="E2995" s="248">
        <v>2730.8304000000999</v>
      </c>
      <c r="F2995" s="248">
        <v>2779.2580000000398</v>
      </c>
      <c r="G2995" s="248">
        <v>2818.99999999995</v>
      </c>
      <c r="H2995" s="248">
        <v>2890.3255999999401</v>
      </c>
      <c r="I2995"/>
      <c r="J2995"/>
      <c r="K2995"/>
      <c r="L2995"/>
      <c r="M2995"/>
    </row>
    <row r="2996" spans="3:13" hidden="1" outlineLevel="1" x14ac:dyDescent="0.2">
      <c r="C2996" s="139">
        <v>2770</v>
      </c>
      <c r="D2996" s="248">
        <v>2688.9420999999002</v>
      </c>
      <c r="E2996" s="248">
        <v>2731.8166000001002</v>
      </c>
      <c r="F2996" s="248">
        <v>2780.26170000004</v>
      </c>
      <c r="G2996" s="248">
        <v>2820.0180999999502</v>
      </c>
      <c r="H2996" s="248">
        <v>2891.36939999994</v>
      </c>
      <c r="I2996"/>
      <c r="J2996"/>
      <c r="K2996"/>
      <c r="L2996"/>
      <c r="M2996"/>
    </row>
    <row r="2997" spans="3:13" hidden="1" outlineLevel="1" x14ac:dyDescent="0.2">
      <c r="C2997" s="139">
        <v>2771</v>
      </c>
      <c r="D2997" s="248">
        <v>2689.9567999998999</v>
      </c>
      <c r="E2997" s="248">
        <v>2732.8028000001</v>
      </c>
      <c r="F2997" s="248">
        <v>2781.2654000000398</v>
      </c>
      <c r="G2997" s="248">
        <v>2821.03619999995</v>
      </c>
      <c r="H2997" s="248">
        <v>2892.4131999999399</v>
      </c>
      <c r="I2997"/>
      <c r="J2997"/>
      <c r="K2997"/>
      <c r="L2997"/>
      <c r="M2997"/>
    </row>
    <row r="2998" spans="3:13" hidden="1" outlineLevel="1" x14ac:dyDescent="0.2">
      <c r="C2998" s="139">
        <v>2772</v>
      </c>
      <c r="D2998" s="248">
        <v>2690.9714999999001</v>
      </c>
      <c r="E2998" s="248">
        <v>2733.7890000000998</v>
      </c>
      <c r="F2998" s="248">
        <v>2782.26910000004</v>
      </c>
      <c r="G2998" s="248">
        <v>2822.0542999999502</v>
      </c>
      <c r="H2998" s="248">
        <v>2893.4569999999399</v>
      </c>
      <c r="I2998"/>
      <c r="J2998"/>
      <c r="K2998"/>
      <c r="L2998"/>
      <c r="M2998"/>
    </row>
    <row r="2999" spans="3:13" hidden="1" outlineLevel="1" x14ac:dyDescent="0.2">
      <c r="C2999" s="139">
        <v>2773</v>
      </c>
      <c r="D2999" s="248">
        <v>2691.9861999998998</v>
      </c>
      <c r="E2999" s="248">
        <v>2734.7752000001001</v>
      </c>
      <c r="F2999" s="248">
        <v>2783.2728000000402</v>
      </c>
      <c r="G2999" s="248">
        <v>2823.07239999995</v>
      </c>
      <c r="H2999" s="248">
        <v>2894.5007999999398</v>
      </c>
      <c r="I2999"/>
      <c r="J2999"/>
      <c r="K2999"/>
      <c r="L2999"/>
      <c r="M2999"/>
    </row>
    <row r="3000" spans="3:13" hidden="1" outlineLevel="1" x14ac:dyDescent="0.2">
      <c r="C3000" s="139">
        <v>2774</v>
      </c>
      <c r="D3000" s="248">
        <v>2693.0008999999</v>
      </c>
      <c r="E3000" s="248">
        <v>2735.7614000000999</v>
      </c>
      <c r="F3000" s="248">
        <v>2784.27650000004</v>
      </c>
      <c r="G3000" s="248">
        <v>2824.0904999999502</v>
      </c>
      <c r="H3000" s="248">
        <v>2895.5445999999401</v>
      </c>
      <c r="I3000"/>
      <c r="J3000"/>
      <c r="K3000"/>
      <c r="L3000"/>
      <c r="M3000"/>
    </row>
    <row r="3001" spans="3:13" hidden="1" outlineLevel="1" x14ac:dyDescent="0.2">
      <c r="C3001" s="139">
        <v>2775</v>
      </c>
      <c r="D3001" s="248">
        <v>2694.0155999999001</v>
      </c>
      <c r="E3001" s="248">
        <v>2736.7476000001002</v>
      </c>
      <c r="F3001" s="248">
        <v>2785.2802000000402</v>
      </c>
      <c r="G3001" s="248">
        <v>2825.10859999995</v>
      </c>
      <c r="H3001" s="248">
        <v>2896.5883999999401</v>
      </c>
      <c r="I3001"/>
      <c r="J3001"/>
      <c r="K3001"/>
      <c r="L3001"/>
      <c r="M3001"/>
    </row>
    <row r="3002" spans="3:13" hidden="1" outlineLevel="1" x14ac:dyDescent="0.2">
      <c r="C3002" s="139">
        <v>2776</v>
      </c>
      <c r="D3002" s="248">
        <v>2695.0302999998999</v>
      </c>
      <c r="E3002" s="248">
        <v>2737.7338000001</v>
      </c>
      <c r="F3002" s="248">
        <v>2786.2839000000399</v>
      </c>
      <c r="G3002" s="248">
        <v>2826.1266999999498</v>
      </c>
      <c r="H3002" s="248">
        <v>2897.63219999994</v>
      </c>
      <c r="I3002"/>
      <c r="J3002"/>
      <c r="K3002"/>
      <c r="L3002"/>
      <c r="M3002"/>
    </row>
    <row r="3003" spans="3:13" hidden="1" outlineLevel="1" x14ac:dyDescent="0.2">
      <c r="C3003" s="139">
        <v>2777</v>
      </c>
      <c r="D3003" s="248">
        <v>2696.0449999999</v>
      </c>
      <c r="E3003" s="248">
        <v>2738.7200000000998</v>
      </c>
      <c r="F3003" s="248">
        <v>2787.2876000000401</v>
      </c>
      <c r="G3003" s="248">
        <v>2827.14479999995</v>
      </c>
      <c r="H3003" s="248">
        <v>2898.6759999999399</v>
      </c>
      <c r="I3003"/>
      <c r="J3003"/>
      <c r="K3003"/>
      <c r="L3003"/>
      <c r="M3003"/>
    </row>
    <row r="3004" spans="3:13" hidden="1" outlineLevel="1" x14ac:dyDescent="0.2">
      <c r="C3004" s="139">
        <v>2778</v>
      </c>
      <c r="D3004" s="248">
        <v>2697.0596999999002</v>
      </c>
      <c r="E3004" s="248">
        <v>2739.7062000001001</v>
      </c>
      <c r="F3004" s="248">
        <v>2788.2913000000399</v>
      </c>
      <c r="G3004" s="248">
        <v>2828.1628999999498</v>
      </c>
      <c r="H3004" s="248">
        <v>2899.7197999999398</v>
      </c>
      <c r="I3004"/>
      <c r="J3004"/>
      <c r="K3004"/>
      <c r="L3004"/>
      <c r="M3004"/>
    </row>
    <row r="3005" spans="3:13" hidden="1" outlineLevel="1" x14ac:dyDescent="0.2">
      <c r="C3005" s="139">
        <v>2779</v>
      </c>
      <c r="D3005" s="248">
        <v>2698.0743999998999</v>
      </c>
      <c r="E3005" s="248">
        <v>2740.6924000001</v>
      </c>
      <c r="F3005" s="248">
        <v>2789.2950000000401</v>
      </c>
      <c r="G3005" s="248">
        <v>2829.18099999995</v>
      </c>
      <c r="H3005" s="248">
        <v>2900.7635999999402</v>
      </c>
      <c r="I3005"/>
      <c r="J3005"/>
      <c r="K3005"/>
      <c r="L3005"/>
      <c r="M3005"/>
    </row>
    <row r="3006" spans="3:13" hidden="1" outlineLevel="1" x14ac:dyDescent="0.2">
      <c r="C3006" s="139">
        <v>2780</v>
      </c>
      <c r="D3006" s="248">
        <v>2699.0890999999001</v>
      </c>
      <c r="E3006" s="248">
        <v>2741.6786000000998</v>
      </c>
      <c r="F3006" s="248">
        <v>2790.2987000000398</v>
      </c>
      <c r="G3006" s="248">
        <v>2830.1990999999498</v>
      </c>
      <c r="H3006" s="248">
        <v>2901.8073999999401</v>
      </c>
      <c r="I3006"/>
      <c r="J3006"/>
      <c r="K3006"/>
      <c r="L3006"/>
      <c r="M3006"/>
    </row>
    <row r="3007" spans="3:13" hidden="1" outlineLevel="1" x14ac:dyDescent="0.2">
      <c r="C3007" s="139">
        <v>2781</v>
      </c>
      <c r="D3007" s="248">
        <v>2700.1037999998998</v>
      </c>
      <c r="E3007" s="248">
        <v>2742.6648000001001</v>
      </c>
      <c r="F3007" s="248">
        <v>2791.3024000000401</v>
      </c>
      <c r="G3007" s="248">
        <v>2831.21719999995</v>
      </c>
      <c r="H3007" s="248">
        <v>2902.85119999994</v>
      </c>
      <c r="I3007"/>
      <c r="J3007"/>
      <c r="K3007"/>
      <c r="L3007"/>
      <c r="M3007"/>
    </row>
    <row r="3008" spans="3:13" hidden="1" outlineLevel="1" x14ac:dyDescent="0.2">
      <c r="C3008" s="139">
        <v>2782</v>
      </c>
      <c r="D3008" s="248">
        <v>2701.1184999999</v>
      </c>
      <c r="E3008" s="248">
        <v>2743.6510000000999</v>
      </c>
      <c r="F3008" s="248">
        <v>2792.3061000000398</v>
      </c>
      <c r="G3008" s="248">
        <v>2832.2352999999498</v>
      </c>
      <c r="H3008" s="248">
        <v>2903.89499999994</v>
      </c>
      <c r="I3008"/>
      <c r="J3008"/>
      <c r="K3008"/>
      <c r="L3008"/>
      <c r="M3008"/>
    </row>
    <row r="3009" spans="3:13" hidden="1" outlineLevel="1" x14ac:dyDescent="0.2">
      <c r="C3009" s="139">
        <v>2783</v>
      </c>
      <c r="D3009" s="248">
        <v>2702.1331999999002</v>
      </c>
      <c r="E3009" s="248">
        <v>2744.6372000001002</v>
      </c>
      <c r="F3009" s="248">
        <v>2793.30980000004</v>
      </c>
      <c r="G3009" s="248">
        <v>2833.25339999994</v>
      </c>
      <c r="H3009" s="248">
        <v>2904.9387999999399</v>
      </c>
      <c r="I3009"/>
      <c r="J3009"/>
      <c r="K3009"/>
      <c r="L3009"/>
      <c r="M3009"/>
    </row>
    <row r="3010" spans="3:13" hidden="1" outlineLevel="1" x14ac:dyDescent="0.2">
      <c r="C3010" s="139">
        <v>2784</v>
      </c>
      <c r="D3010" s="248">
        <v>2703.1478999998999</v>
      </c>
      <c r="E3010" s="248">
        <v>2745.6234000001</v>
      </c>
      <c r="F3010" s="248">
        <v>2794.3135000000402</v>
      </c>
      <c r="G3010" s="248">
        <v>2834.2714999999398</v>
      </c>
      <c r="H3010" s="248">
        <v>2905.9825999999398</v>
      </c>
      <c r="I3010"/>
      <c r="J3010"/>
      <c r="K3010"/>
      <c r="L3010"/>
      <c r="M3010"/>
    </row>
    <row r="3011" spans="3:13" hidden="1" outlineLevel="1" x14ac:dyDescent="0.2">
      <c r="C3011" s="139">
        <v>2785</v>
      </c>
      <c r="D3011" s="248">
        <v>2704.1625999999001</v>
      </c>
      <c r="E3011" s="248">
        <v>2746.6096000000998</v>
      </c>
      <c r="F3011" s="248">
        <v>2795.31720000004</v>
      </c>
      <c r="G3011" s="248">
        <v>2835.28959999994</v>
      </c>
      <c r="H3011" s="248">
        <v>2907.0263999999402</v>
      </c>
      <c r="I3011"/>
      <c r="J3011"/>
      <c r="K3011"/>
      <c r="L3011"/>
      <c r="M3011"/>
    </row>
    <row r="3012" spans="3:13" hidden="1" outlineLevel="1" x14ac:dyDescent="0.2">
      <c r="C3012" s="139">
        <v>2786</v>
      </c>
      <c r="D3012" s="248">
        <v>2705.1772999998998</v>
      </c>
      <c r="E3012" s="248">
        <v>2747.5958000001001</v>
      </c>
      <c r="F3012" s="248">
        <v>2796.3209000000402</v>
      </c>
      <c r="G3012" s="248">
        <v>2836.3076999999398</v>
      </c>
      <c r="H3012" s="248">
        <v>2908.0701999999401</v>
      </c>
      <c r="I3012"/>
      <c r="J3012"/>
      <c r="K3012"/>
      <c r="L3012"/>
      <c r="M3012"/>
    </row>
    <row r="3013" spans="3:13" hidden="1" outlineLevel="1" x14ac:dyDescent="0.2">
      <c r="C3013" s="139">
        <v>2787</v>
      </c>
      <c r="D3013" s="248">
        <v>2706.1919999999</v>
      </c>
      <c r="E3013" s="248">
        <v>2748.5820000000999</v>
      </c>
      <c r="F3013" s="248">
        <v>2797.3246000000399</v>
      </c>
      <c r="G3013" s="248">
        <v>2837.32579999994</v>
      </c>
      <c r="H3013" s="248">
        <v>2909.11399999994</v>
      </c>
      <c r="I3013"/>
      <c r="J3013"/>
      <c r="K3013"/>
      <c r="L3013"/>
      <c r="M3013"/>
    </row>
    <row r="3014" spans="3:13" hidden="1" outlineLevel="1" x14ac:dyDescent="0.2">
      <c r="C3014" s="139">
        <v>2788</v>
      </c>
      <c r="D3014" s="248">
        <v>2707.2066999999001</v>
      </c>
      <c r="E3014" s="248">
        <v>2749.5682000001002</v>
      </c>
      <c r="F3014" s="248">
        <v>2798.3283000000401</v>
      </c>
      <c r="G3014" s="248">
        <v>2838.3438999999398</v>
      </c>
      <c r="H3014" s="248">
        <v>2910.1577999999399</v>
      </c>
      <c r="I3014"/>
      <c r="J3014"/>
      <c r="K3014"/>
      <c r="L3014"/>
      <c r="M3014"/>
    </row>
    <row r="3015" spans="3:13" hidden="1" outlineLevel="1" x14ac:dyDescent="0.2">
      <c r="C3015" s="139">
        <v>2789</v>
      </c>
      <c r="D3015" s="248">
        <v>2708.2213999998999</v>
      </c>
      <c r="E3015" s="248">
        <v>2750.5544000001</v>
      </c>
      <c r="F3015" s="248">
        <v>2799.3320000000399</v>
      </c>
      <c r="G3015" s="248">
        <v>2839.3619999999401</v>
      </c>
      <c r="H3015" s="248">
        <v>2911.2015999999398</v>
      </c>
      <c r="I3015"/>
      <c r="J3015"/>
      <c r="K3015"/>
      <c r="L3015"/>
      <c r="M3015"/>
    </row>
    <row r="3016" spans="3:13" hidden="1" outlineLevel="1" x14ac:dyDescent="0.2">
      <c r="C3016" s="139">
        <v>2790</v>
      </c>
      <c r="D3016" s="248">
        <v>2709.2360999999</v>
      </c>
      <c r="E3016" s="248">
        <v>2751.5406000000999</v>
      </c>
      <c r="F3016" s="248">
        <v>2800.3357000000401</v>
      </c>
      <c r="G3016" s="248">
        <v>2840.3800999999398</v>
      </c>
      <c r="H3016" s="248">
        <v>2912.2453999999402</v>
      </c>
      <c r="I3016"/>
      <c r="J3016"/>
      <c r="K3016"/>
      <c r="L3016"/>
      <c r="M3016"/>
    </row>
    <row r="3017" spans="3:13" hidden="1" outlineLevel="1" x14ac:dyDescent="0.2">
      <c r="C3017" s="139">
        <v>2791</v>
      </c>
      <c r="D3017" s="248">
        <v>2710.2507999999002</v>
      </c>
      <c r="E3017" s="248">
        <v>2752.5268000001001</v>
      </c>
      <c r="F3017" s="248">
        <v>2801.3394000000399</v>
      </c>
      <c r="G3017" s="248">
        <v>2841.3981999999401</v>
      </c>
      <c r="H3017" s="248">
        <v>2913.2891999999401</v>
      </c>
      <c r="I3017"/>
      <c r="J3017"/>
      <c r="K3017"/>
      <c r="L3017"/>
      <c r="M3017"/>
    </row>
    <row r="3018" spans="3:13" hidden="1" outlineLevel="1" x14ac:dyDescent="0.2">
      <c r="C3018" s="139">
        <v>2792</v>
      </c>
      <c r="D3018" s="248">
        <v>2711.2654999998999</v>
      </c>
      <c r="E3018" s="248">
        <v>2753.5130000001</v>
      </c>
      <c r="F3018" s="248">
        <v>2802.3431000000401</v>
      </c>
      <c r="G3018" s="248">
        <v>2842.4162999999398</v>
      </c>
      <c r="H3018" s="248">
        <v>2914.3329999999401</v>
      </c>
      <c r="I3018"/>
      <c r="J3018"/>
      <c r="K3018"/>
      <c r="L3018"/>
      <c r="M3018"/>
    </row>
    <row r="3019" spans="3:13" hidden="1" outlineLevel="1" x14ac:dyDescent="0.2">
      <c r="C3019" s="139">
        <v>2793</v>
      </c>
      <c r="D3019" s="248">
        <v>2712.2801999999001</v>
      </c>
      <c r="E3019" s="248">
        <v>2754.4992000000998</v>
      </c>
      <c r="F3019" s="248">
        <v>2803.3468000000398</v>
      </c>
      <c r="G3019" s="248">
        <v>2843.4343999999401</v>
      </c>
      <c r="H3019" s="248">
        <v>2915.37679999994</v>
      </c>
      <c r="I3019"/>
      <c r="J3019"/>
      <c r="K3019"/>
      <c r="L3019"/>
      <c r="M3019"/>
    </row>
    <row r="3020" spans="3:13" hidden="1" outlineLevel="1" x14ac:dyDescent="0.2">
      <c r="C3020" s="139">
        <v>2794</v>
      </c>
      <c r="D3020" s="248">
        <v>2713.2948999998998</v>
      </c>
      <c r="E3020" s="248">
        <v>2755.4854000001001</v>
      </c>
      <c r="F3020" s="248">
        <v>2804.35050000004</v>
      </c>
      <c r="G3020" s="248">
        <v>2844.4524999999398</v>
      </c>
      <c r="H3020" s="248">
        <v>2916.4205999999399</v>
      </c>
      <c r="I3020"/>
      <c r="J3020"/>
      <c r="K3020"/>
      <c r="L3020"/>
      <c r="M3020"/>
    </row>
    <row r="3021" spans="3:13" hidden="1" outlineLevel="1" x14ac:dyDescent="0.2">
      <c r="C3021" s="139">
        <v>2795</v>
      </c>
      <c r="D3021" s="248">
        <v>2714.3095999999</v>
      </c>
      <c r="E3021" s="248">
        <v>2756.4716000000999</v>
      </c>
      <c r="F3021" s="248">
        <v>2805.3542000000398</v>
      </c>
      <c r="G3021" s="248">
        <v>2845.4705999999401</v>
      </c>
      <c r="H3021" s="248">
        <v>2917.4643999999398</v>
      </c>
      <c r="I3021"/>
      <c r="J3021"/>
      <c r="K3021"/>
      <c r="L3021"/>
      <c r="M3021"/>
    </row>
    <row r="3022" spans="3:13" hidden="1" outlineLevel="1" x14ac:dyDescent="0.2">
      <c r="C3022" s="139">
        <v>2796</v>
      </c>
      <c r="D3022" s="248">
        <v>2715.3242999999002</v>
      </c>
      <c r="E3022" s="248">
        <v>2757.4578000001002</v>
      </c>
      <c r="F3022" s="248">
        <v>2806.35790000004</v>
      </c>
      <c r="G3022" s="248">
        <v>2846.4886999999399</v>
      </c>
      <c r="H3022" s="248">
        <v>2918.5081999999402</v>
      </c>
      <c r="I3022"/>
      <c r="J3022"/>
      <c r="K3022"/>
      <c r="L3022"/>
      <c r="M3022"/>
    </row>
    <row r="3023" spans="3:13" hidden="1" outlineLevel="1" x14ac:dyDescent="0.2">
      <c r="C3023" s="139">
        <v>2797</v>
      </c>
      <c r="D3023" s="248">
        <v>2716.3389999998999</v>
      </c>
      <c r="E3023" s="248">
        <v>2758.4440000001</v>
      </c>
      <c r="F3023" s="248">
        <v>2807.3616000000502</v>
      </c>
      <c r="G3023" s="248">
        <v>2847.5067999999401</v>
      </c>
      <c r="H3023" s="248">
        <v>2919.5519999999401</v>
      </c>
      <c r="I3023"/>
      <c r="J3023"/>
      <c r="K3023"/>
      <c r="L3023"/>
      <c r="M3023"/>
    </row>
    <row r="3024" spans="3:13" hidden="1" outlineLevel="1" x14ac:dyDescent="0.2">
      <c r="C3024" s="139">
        <v>2798</v>
      </c>
      <c r="D3024" s="248">
        <v>2717.3536999999001</v>
      </c>
      <c r="E3024" s="248">
        <v>2759.4302000000998</v>
      </c>
      <c r="F3024" s="248">
        <v>2808.36530000004</v>
      </c>
      <c r="G3024" s="248">
        <v>2848.5248999999399</v>
      </c>
      <c r="H3024" s="248">
        <v>2920.59579999994</v>
      </c>
      <c r="I3024"/>
      <c r="J3024"/>
      <c r="K3024"/>
      <c r="L3024"/>
      <c r="M3024"/>
    </row>
    <row r="3025" spans="3:13" hidden="1" outlineLevel="1" x14ac:dyDescent="0.2">
      <c r="C3025" s="139">
        <v>2799</v>
      </c>
      <c r="D3025" s="248">
        <v>2718.3683999998998</v>
      </c>
      <c r="E3025" s="248">
        <v>2760.4164000001001</v>
      </c>
      <c r="F3025" s="248">
        <v>2809.3690000000502</v>
      </c>
      <c r="G3025" s="248">
        <v>2849.5429999999401</v>
      </c>
      <c r="H3025" s="248">
        <v>2921.6395999999399</v>
      </c>
      <c r="I3025"/>
      <c r="J3025"/>
      <c r="K3025"/>
      <c r="L3025"/>
      <c r="M3025"/>
    </row>
    <row r="3026" spans="3:13" hidden="1" outlineLevel="1" x14ac:dyDescent="0.2">
      <c r="C3026" s="139">
        <v>2800</v>
      </c>
      <c r="D3026" s="248">
        <v>2719.3830999999</v>
      </c>
      <c r="E3026" s="248">
        <v>2761.4026000000999</v>
      </c>
      <c r="F3026" s="248">
        <v>2810.3727000000399</v>
      </c>
      <c r="G3026" s="248">
        <v>2850.5610999999399</v>
      </c>
      <c r="H3026" s="248">
        <v>2922.6833999999399</v>
      </c>
      <c r="I3026"/>
      <c r="J3026"/>
      <c r="K3026"/>
      <c r="L3026"/>
      <c r="M3026"/>
    </row>
    <row r="3027" spans="3:13" hidden="1" outlineLevel="1" x14ac:dyDescent="0.2">
      <c r="C3027" s="139">
        <v>2801</v>
      </c>
      <c r="D3027" s="248">
        <v>2720.3977999999001</v>
      </c>
      <c r="E3027" s="248">
        <v>2762.3888000001002</v>
      </c>
      <c r="F3027" s="248">
        <v>2811.3764000000501</v>
      </c>
      <c r="G3027" s="248">
        <v>2851.5791999999401</v>
      </c>
      <c r="H3027" s="248">
        <v>2923.7271999999398</v>
      </c>
      <c r="I3027"/>
      <c r="J3027"/>
      <c r="K3027"/>
      <c r="L3027"/>
      <c r="M3027"/>
    </row>
    <row r="3028" spans="3:13" hidden="1" outlineLevel="1" x14ac:dyDescent="0.2">
      <c r="C3028" s="139">
        <v>2802</v>
      </c>
      <c r="D3028" s="248">
        <v>2721.4124999998999</v>
      </c>
      <c r="E3028" s="248">
        <v>2763.3750000001</v>
      </c>
      <c r="F3028" s="248">
        <v>2812.3801000000499</v>
      </c>
      <c r="G3028" s="248">
        <v>2852.5972999999399</v>
      </c>
      <c r="H3028" s="248">
        <v>2924.7709999999402</v>
      </c>
      <c r="I3028"/>
      <c r="J3028"/>
      <c r="K3028"/>
      <c r="L3028"/>
      <c r="M3028"/>
    </row>
    <row r="3029" spans="3:13" hidden="1" outlineLevel="1" x14ac:dyDescent="0.2">
      <c r="C3029" s="139">
        <v>2803</v>
      </c>
      <c r="D3029" s="248">
        <v>2722.4271999999</v>
      </c>
      <c r="E3029" s="248">
        <v>2764.3612000001099</v>
      </c>
      <c r="F3029" s="248">
        <v>2813.3838000000501</v>
      </c>
      <c r="G3029" s="248">
        <v>2853.6153999999401</v>
      </c>
      <c r="H3029" s="248">
        <v>2925.8147999999401</v>
      </c>
      <c r="I3029"/>
      <c r="J3029"/>
      <c r="K3029"/>
      <c r="L3029"/>
      <c r="M3029"/>
    </row>
    <row r="3030" spans="3:13" hidden="1" outlineLevel="1" x14ac:dyDescent="0.2">
      <c r="C3030" s="139">
        <v>2804</v>
      </c>
      <c r="D3030" s="248">
        <v>2723.4418999999002</v>
      </c>
      <c r="E3030" s="248">
        <v>2765.3474000001102</v>
      </c>
      <c r="F3030" s="248">
        <v>2814.3875000000498</v>
      </c>
      <c r="G3030" s="248">
        <v>2854.6334999999399</v>
      </c>
      <c r="H3030" s="248">
        <v>2926.85859999994</v>
      </c>
      <c r="I3030"/>
      <c r="J3030"/>
      <c r="K3030"/>
      <c r="L3030"/>
      <c r="M3030"/>
    </row>
    <row r="3031" spans="3:13" hidden="1" outlineLevel="1" x14ac:dyDescent="0.2">
      <c r="C3031" s="139">
        <v>2805</v>
      </c>
      <c r="D3031" s="248">
        <v>2724.4565999998899</v>
      </c>
      <c r="E3031" s="248">
        <v>2766.33360000011</v>
      </c>
      <c r="F3031" s="248">
        <v>2815.39120000005</v>
      </c>
      <c r="G3031" s="248">
        <v>2855.6515999999401</v>
      </c>
      <c r="H3031" s="248">
        <v>2927.9023999999399</v>
      </c>
      <c r="I3031"/>
      <c r="J3031"/>
      <c r="K3031"/>
      <c r="L3031"/>
      <c r="M3031"/>
    </row>
    <row r="3032" spans="3:13" hidden="1" outlineLevel="1" x14ac:dyDescent="0.2">
      <c r="C3032" s="139">
        <v>2806</v>
      </c>
      <c r="D3032" s="248">
        <v>2725.4712999998901</v>
      </c>
      <c r="E3032" s="248">
        <v>2767.3198000001098</v>
      </c>
      <c r="F3032" s="248">
        <v>2816.3949000000498</v>
      </c>
      <c r="G3032" s="248">
        <v>2856.6696999999399</v>
      </c>
      <c r="H3032" s="248">
        <v>2928.9461999999398</v>
      </c>
      <c r="I3032"/>
      <c r="J3032"/>
      <c r="K3032"/>
      <c r="L3032"/>
      <c r="M3032"/>
    </row>
    <row r="3033" spans="3:13" hidden="1" outlineLevel="1" x14ac:dyDescent="0.2">
      <c r="C3033" s="139">
        <v>2807</v>
      </c>
      <c r="D3033" s="248">
        <v>2726.4859999998898</v>
      </c>
      <c r="E3033" s="248">
        <v>2768.3060000001101</v>
      </c>
      <c r="F3033" s="248">
        <v>2817.39860000005</v>
      </c>
      <c r="G3033" s="248">
        <v>2857.6877999999401</v>
      </c>
      <c r="H3033" s="248">
        <v>2929.9899999999402</v>
      </c>
      <c r="I3033"/>
      <c r="J3033"/>
      <c r="K3033"/>
      <c r="L3033"/>
      <c r="M3033"/>
    </row>
    <row r="3034" spans="3:13" hidden="1" outlineLevel="1" x14ac:dyDescent="0.2">
      <c r="C3034" s="139">
        <v>2808</v>
      </c>
      <c r="D3034" s="248">
        <v>2727.50069999989</v>
      </c>
      <c r="E3034" s="248">
        <v>2769.2922000001099</v>
      </c>
      <c r="F3034" s="248">
        <v>2818.4023000000502</v>
      </c>
      <c r="G3034" s="248">
        <v>2858.7058999999399</v>
      </c>
      <c r="H3034" s="248">
        <v>2931.0337999999401</v>
      </c>
      <c r="I3034"/>
      <c r="J3034"/>
      <c r="K3034"/>
      <c r="L3034"/>
      <c r="M3034"/>
    </row>
    <row r="3035" spans="3:13" hidden="1" outlineLevel="1" x14ac:dyDescent="0.2">
      <c r="C3035" s="139">
        <v>2809</v>
      </c>
      <c r="D3035" s="248">
        <v>2728.5153999998902</v>
      </c>
      <c r="E3035" s="248">
        <v>2770.2784000001102</v>
      </c>
      <c r="F3035" s="248">
        <v>2819.40600000005</v>
      </c>
      <c r="G3035" s="248">
        <v>2859.7239999999401</v>
      </c>
      <c r="H3035" s="248">
        <v>2932.07759999994</v>
      </c>
      <c r="I3035"/>
      <c r="J3035"/>
      <c r="K3035"/>
      <c r="L3035"/>
      <c r="M3035"/>
    </row>
    <row r="3036" spans="3:13" hidden="1" outlineLevel="1" x14ac:dyDescent="0.2">
      <c r="C3036" s="139">
        <v>2810</v>
      </c>
      <c r="D3036" s="248">
        <v>2729.5300999998899</v>
      </c>
      <c r="E3036" s="248">
        <v>2771.26460000011</v>
      </c>
      <c r="F3036" s="248">
        <v>2820.4097000000502</v>
      </c>
      <c r="G3036" s="248">
        <v>2860.7420999999399</v>
      </c>
      <c r="H3036" s="248">
        <v>2933.12139999994</v>
      </c>
      <c r="I3036"/>
      <c r="J3036"/>
      <c r="K3036"/>
      <c r="L3036"/>
      <c r="M3036"/>
    </row>
    <row r="3037" spans="3:13" hidden="1" outlineLevel="1" x14ac:dyDescent="0.2">
      <c r="C3037" s="139">
        <v>2811</v>
      </c>
      <c r="D3037" s="248">
        <v>2730.5447999998901</v>
      </c>
      <c r="E3037" s="248">
        <v>2772.2508000001098</v>
      </c>
      <c r="F3037" s="248">
        <v>2821.4134000000499</v>
      </c>
      <c r="G3037" s="248">
        <v>2861.7601999999401</v>
      </c>
      <c r="H3037" s="248">
        <v>2934.1651999999399</v>
      </c>
      <c r="I3037"/>
      <c r="J3037"/>
      <c r="K3037"/>
      <c r="L3037"/>
      <c r="M3037"/>
    </row>
    <row r="3038" spans="3:13" hidden="1" outlineLevel="1" x14ac:dyDescent="0.2">
      <c r="C3038" s="139">
        <v>2812</v>
      </c>
      <c r="D3038" s="248">
        <v>2731.5594999998898</v>
      </c>
      <c r="E3038" s="248">
        <v>2773.2370000001101</v>
      </c>
      <c r="F3038" s="248">
        <v>2822.4171000000501</v>
      </c>
      <c r="G3038" s="248">
        <v>2862.7782999999399</v>
      </c>
      <c r="H3038" s="248">
        <v>2935.2089999999398</v>
      </c>
      <c r="I3038"/>
      <c r="J3038"/>
      <c r="K3038"/>
      <c r="L3038"/>
      <c r="M3038"/>
    </row>
    <row r="3039" spans="3:13" hidden="1" outlineLevel="1" x14ac:dyDescent="0.2">
      <c r="C3039" s="139">
        <v>2813</v>
      </c>
      <c r="D3039" s="248">
        <v>2732.57419999989</v>
      </c>
      <c r="E3039" s="248">
        <v>2774.22320000011</v>
      </c>
      <c r="F3039" s="248">
        <v>2823.4208000000499</v>
      </c>
      <c r="G3039" s="248">
        <v>2863.7963999999401</v>
      </c>
      <c r="H3039" s="248">
        <v>2936.2527999999402</v>
      </c>
      <c r="I3039"/>
      <c r="J3039"/>
      <c r="K3039"/>
      <c r="L3039"/>
      <c r="M3039"/>
    </row>
    <row r="3040" spans="3:13" hidden="1" outlineLevel="1" x14ac:dyDescent="0.2">
      <c r="C3040" s="139">
        <v>2814</v>
      </c>
      <c r="D3040" s="248">
        <v>2733.5888999998901</v>
      </c>
      <c r="E3040" s="248">
        <v>2775.2094000001098</v>
      </c>
      <c r="F3040" s="248">
        <v>2824.4245000000501</v>
      </c>
      <c r="G3040" s="248">
        <v>2864.8144999999399</v>
      </c>
      <c r="H3040" s="248">
        <v>2937.2965999999401</v>
      </c>
      <c r="I3040"/>
      <c r="J3040"/>
      <c r="K3040"/>
      <c r="L3040"/>
      <c r="M3040"/>
    </row>
    <row r="3041" spans="3:13" hidden="1" outlineLevel="1" x14ac:dyDescent="0.2">
      <c r="C3041" s="139">
        <v>2815</v>
      </c>
      <c r="D3041" s="248">
        <v>2734.6035999998899</v>
      </c>
      <c r="E3041" s="248">
        <v>2776.1956000001101</v>
      </c>
      <c r="F3041" s="248">
        <v>2825.4282000000499</v>
      </c>
      <c r="G3041" s="248">
        <v>2865.8325999999402</v>
      </c>
      <c r="H3041" s="248">
        <v>2938.34039999994</v>
      </c>
      <c r="I3041"/>
      <c r="J3041"/>
      <c r="K3041"/>
      <c r="L3041"/>
      <c r="M3041"/>
    </row>
    <row r="3042" spans="3:13" hidden="1" outlineLevel="1" x14ac:dyDescent="0.2">
      <c r="C3042" s="139">
        <v>2816</v>
      </c>
      <c r="D3042" s="248">
        <v>2735.61829999989</v>
      </c>
      <c r="E3042" s="248">
        <v>2777.1818000001099</v>
      </c>
      <c r="F3042" s="248">
        <v>2826.4319000000501</v>
      </c>
      <c r="G3042" s="248">
        <v>2866.8506999999399</v>
      </c>
      <c r="H3042" s="248">
        <v>2939.3841999999399</v>
      </c>
      <c r="I3042"/>
      <c r="J3042"/>
      <c r="K3042"/>
      <c r="L3042"/>
      <c r="M3042"/>
    </row>
    <row r="3043" spans="3:13" hidden="1" outlineLevel="1" x14ac:dyDescent="0.2">
      <c r="C3043" s="139">
        <v>2817</v>
      </c>
      <c r="D3043" s="248">
        <v>2736.6329999998902</v>
      </c>
      <c r="E3043" s="248">
        <v>2778.1680000001102</v>
      </c>
      <c r="F3043" s="248">
        <v>2827.4356000000498</v>
      </c>
      <c r="G3043" s="248">
        <v>2867.8687999999402</v>
      </c>
      <c r="H3043" s="248">
        <v>2940.4279999999399</v>
      </c>
      <c r="I3043"/>
      <c r="J3043"/>
      <c r="K3043"/>
      <c r="L3043"/>
      <c r="M3043"/>
    </row>
    <row r="3044" spans="3:13" hidden="1" outlineLevel="1" x14ac:dyDescent="0.2">
      <c r="C3044" s="139">
        <v>2818</v>
      </c>
      <c r="D3044" s="248">
        <v>2737.6476999998899</v>
      </c>
      <c r="E3044" s="248">
        <v>2779.15420000011</v>
      </c>
      <c r="F3044" s="248">
        <v>2828.43930000005</v>
      </c>
      <c r="G3044" s="248">
        <v>2868.8868999999399</v>
      </c>
      <c r="H3044" s="248">
        <v>2941.4717999999398</v>
      </c>
      <c r="I3044"/>
      <c r="J3044"/>
      <c r="K3044"/>
      <c r="L3044"/>
      <c r="M3044"/>
    </row>
    <row r="3045" spans="3:13" hidden="1" outlineLevel="1" x14ac:dyDescent="0.2">
      <c r="C3045" s="139">
        <v>2819</v>
      </c>
      <c r="D3045" s="248">
        <v>2738.6623999998901</v>
      </c>
      <c r="E3045" s="248">
        <v>2780.1404000001098</v>
      </c>
      <c r="F3045" s="248">
        <v>2829.4430000000498</v>
      </c>
      <c r="G3045" s="248">
        <v>2869.9049999999402</v>
      </c>
      <c r="H3045" s="248">
        <v>2942.5155999999402</v>
      </c>
      <c r="I3045"/>
      <c r="J3045"/>
      <c r="K3045"/>
      <c r="L3045"/>
      <c r="M3045"/>
    </row>
    <row r="3046" spans="3:13" hidden="1" outlineLevel="1" x14ac:dyDescent="0.2">
      <c r="C3046" s="139">
        <v>2820</v>
      </c>
      <c r="D3046" s="248">
        <v>2739.6770999998898</v>
      </c>
      <c r="E3046" s="248">
        <v>2781.1266000001101</v>
      </c>
      <c r="F3046" s="248">
        <v>2830.44670000005</v>
      </c>
      <c r="G3046" s="248">
        <v>2870.92309999994</v>
      </c>
      <c r="H3046" s="248">
        <v>2943.5593999999401</v>
      </c>
      <c r="I3046"/>
      <c r="J3046"/>
      <c r="K3046"/>
      <c r="L3046"/>
      <c r="M3046"/>
    </row>
    <row r="3047" spans="3:13" hidden="1" outlineLevel="1" x14ac:dyDescent="0.2">
      <c r="C3047" s="139">
        <v>2821</v>
      </c>
      <c r="D3047" s="248">
        <v>2740.69179999989</v>
      </c>
      <c r="E3047" s="248">
        <v>2782.1128000001099</v>
      </c>
      <c r="F3047" s="248">
        <v>2831.4504000000502</v>
      </c>
      <c r="G3047" s="248">
        <v>2871.9411999999402</v>
      </c>
      <c r="H3047" s="248">
        <v>2944.60319999994</v>
      </c>
      <c r="I3047"/>
      <c r="J3047"/>
      <c r="K3047"/>
      <c r="L3047"/>
      <c r="M3047"/>
    </row>
    <row r="3048" spans="3:13" hidden="1" outlineLevel="1" x14ac:dyDescent="0.2">
      <c r="C3048" s="139">
        <v>2822</v>
      </c>
      <c r="D3048" s="248">
        <v>2741.7064999998902</v>
      </c>
      <c r="E3048" s="248">
        <v>2783.0990000001102</v>
      </c>
      <c r="F3048" s="248">
        <v>2832.4541000000499</v>
      </c>
      <c r="G3048" s="248">
        <v>2872.95929999994</v>
      </c>
      <c r="H3048" s="248">
        <v>2945.6469999999399</v>
      </c>
      <c r="I3048"/>
      <c r="J3048"/>
      <c r="K3048"/>
      <c r="L3048"/>
      <c r="M3048"/>
    </row>
    <row r="3049" spans="3:13" hidden="1" outlineLevel="1" x14ac:dyDescent="0.2">
      <c r="C3049" s="139">
        <v>2823</v>
      </c>
      <c r="D3049" s="248">
        <v>2742.7211999998899</v>
      </c>
      <c r="E3049" s="248">
        <v>2784.08520000011</v>
      </c>
      <c r="F3049" s="248">
        <v>2833.4578000000502</v>
      </c>
      <c r="G3049" s="248">
        <v>2873.9773999999402</v>
      </c>
      <c r="H3049" s="248">
        <v>2946.6907999999398</v>
      </c>
      <c r="I3049"/>
      <c r="J3049"/>
      <c r="K3049"/>
      <c r="L3049"/>
      <c r="M3049"/>
    </row>
    <row r="3050" spans="3:13" hidden="1" outlineLevel="1" x14ac:dyDescent="0.2">
      <c r="C3050" s="139">
        <v>2824</v>
      </c>
      <c r="D3050" s="248">
        <v>2743.7358999998901</v>
      </c>
      <c r="E3050" s="248">
        <v>2785.0714000001099</v>
      </c>
      <c r="F3050" s="248">
        <v>2834.4615000000499</v>
      </c>
      <c r="G3050" s="248">
        <v>2874.99549999994</v>
      </c>
      <c r="H3050" s="248">
        <v>2947.7345999999402</v>
      </c>
      <c r="I3050"/>
      <c r="J3050"/>
      <c r="K3050"/>
      <c r="L3050"/>
      <c r="M3050"/>
    </row>
    <row r="3051" spans="3:13" hidden="1" outlineLevel="1" x14ac:dyDescent="0.2">
      <c r="C3051" s="139">
        <v>2825</v>
      </c>
      <c r="D3051" s="248">
        <v>2744.7505999998898</v>
      </c>
      <c r="E3051" s="248">
        <v>2786.0576000001101</v>
      </c>
      <c r="F3051" s="248">
        <v>2835.4652000000501</v>
      </c>
      <c r="G3051" s="248">
        <v>2876.0135999999402</v>
      </c>
      <c r="H3051" s="248">
        <v>2948.7783999999401</v>
      </c>
      <c r="I3051"/>
      <c r="J3051"/>
      <c r="K3051"/>
      <c r="L3051"/>
      <c r="M3051"/>
    </row>
    <row r="3052" spans="3:13" hidden="1" outlineLevel="1" x14ac:dyDescent="0.2">
      <c r="C3052" s="139">
        <v>2826</v>
      </c>
      <c r="D3052" s="248">
        <v>2745.76529999989</v>
      </c>
      <c r="E3052" s="248">
        <v>2787.04380000011</v>
      </c>
      <c r="F3052" s="248">
        <v>2836.4689000000499</v>
      </c>
      <c r="G3052" s="248">
        <v>2877.03169999993</v>
      </c>
      <c r="H3052" s="248">
        <v>2949.82219999994</v>
      </c>
      <c r="I3052"/>
      <c r="J3052"/>
      <c r="K3052"/>
      <c r="L3052"/>
      <c r="M3052"/>
    </row>
    <row r="3053" spans="3:13" hidden="1" outlineLevel="1" x14ac:dyDescent="0.2">
      <c r="C3053" s="139">
        <v>2827</v>
      </c>
      <c r="D3053" s="248">
        <v>2746.7799999998902</v>
      </c>
      <c r="E3053" s="248">
        <v>2788.0300000001098</v>
      </c>
      <c r="F3053" s="248">
        <v>2837.4726000000501</v>
      </c>
      <c r="G3053" s="248">
        <v>2878.0497999999402</v>
      </c>
      <c r="H3053" s="248">
        <v>2950.86599999994</v>
      </c>
      <c r="I3053"/>
      <c r="J3053"/>
      <c r="K3053"/>
      <c r="L3053"/>
      <c r="M3053"/>
    </row>
    <row r="3054" spans="3:13" hidden="1" outlineLevel="1" x14ac:dyDescent="0.2">
      <c r="C3054" s="139">
        <v>2828</v>
      </c>
      <c r="D3054" s="248">
        <v>2747.7946999998899</v>
      </c>
      <c r="E3054" s="248">
        <v>2789.0162000001101</v>
      </c>
      <c r="F3054" s="248">
        <v>2838.4763000000498</v>
      </c>
      <c r="G3054" s="248">
        <v>2879.06789999993</v>
      </c>
      <c r="H3054" s="248">
        <v>2951.9097999999399</v>
      </c>
      <c r="I3054"/>
      <c r="J3054"/>
      <c r="K3054"/>
      <c r="L3054"/>
      <c r="M3054"/>
    </row>
    <row r="3055" spans="3:13" hidden="1" outlineLevel="1" x14ac:dyDescent="0.2">
      <c r="C3055" s="139">
        <v>2829</v>
      </c>
      <c r="D3055" s="248">
        <v>2748.80939999989</v>
      </c>
      <c r="E3055" s="248">
        <v>2790.0024000001099</v>
      </c>
      <c r="F3055" s="248">
        <v>2839.48000000005</v>
      </c>
      <c r="G3055" s="248">
        <v>2880.0859999999302</v>
      </c>
      <c r="H3055" s="248">
        <v>2952.9535999999398</v>
      </c>
      <c r="I3055"/>
      <c r="J3055"/>
      <c r="K3055"/>
      <c r="L3055"/>
      <c r="M3055"/>
    </row>
    <row r="3056" spans="3:13" hidden="1" outlineLevel="1" x14ac:dyDescent="0.2">
      <c r="C3056" s="139">
        <v>2830</v>
      </c>
      <c r="D3056" s="248">
        <v>2749.8240999998902</v>
      </c>
      <c r="E3056" s="248">
        <v>2790.9886000001102</v>
      </c>
      <c r="F3056" s="248">
        <v>2840.4837000000498</v>
      </c>
      <c r="G3056" s="248">
        <v>2881.10409999993</v>
      </c>
      <c r="H3056" s="248">
        <v>2953.9973999999402</v>
      </c>
      <c r="I3056"/>
      <c r="J3056"/>
      <c r="K3056"/>
      <c r="L3056"/>
      <c r="M3056"/>
    </row>
    <row r="3057" spans="3:13" hidden="1" outlineLevel="1" x14ac:dyDescent="0.2">
      <c r="C3057" s="139">
        <v>2831</v>
      </c>
      <c r="D3057" s="248">
        <v>2750.8387999998899</v>
      </c>
      <c r="E3057" s="248">
        <v>2791.97480000011</v>
      </c>
      <c r="F3057" s="248">
        <v>2841.48740000005</v>
      </c>
      <c r="G3057" s="248">
        <v>2882.1221999999302</v>
      </c>
      <c r="H3057" s="248">
        <v>2955.0411999999401</v>
      </c>
      <c r="I3057"/>
      <c r="J3057"/>
      <c r="K3057"/>
      <c r="L3057"/>
      <c r="M3057"/>
    </row>
    <row r="3058" spans="3:13" hidden="1" outlineLevel="1" x14ac:dyDescent="0.2">
      <c r="C3058" s="139">
        <v>2832</v>
      </c>
      <c r="D3058" s="248">
        <v>2751.8534999998901</v>
      </c>
      <c r="E3058" s="248">
        <v>2792.9610000001098</v>
      </c>
      <c r="F3058" s="248">
        <v>2842.4911000000502</v>
      </c>
      <c r="G3058" s="248">
        <v>2883.14029999993</v>
      </c>
      <c r="H3058" s="248">
        <v>2956.08499999994</v>
      </c>
      <c r="I3058"/>
      <c r="J3058"/>
      <c r="K3058"/>
      <c r="L3058"/>
      <c r="M3058"/>
    </row>
    <row r="3059" spans="3:13" hidden="1" outlineLevel="1" x14ac:dyDescent="0.2">
      <c r="C3059" s="139">
        <v>2833</v>
      </c>
      <c r="D3059" s="248">
        <v>2752.8681999998898</v>
      </c>
      <c r="E3059" s="248">
        <v>2793.9472000001101</v>
      </c>
      <c r="F3059" s="248">
        <v>2843.49480000005</v>
      </c>
      <c r="G3059" s="248">
        <v>2884.1583999999302</v>
      </c>
      <c r="H3059" s="248">
        <v>2957.1287999999399</v>
      </c>
      <c r="I3059"/>
      <c r="J3059"/>
      <c r="K3059"/>
      <c r="L3059"/>
      <c r="M3059"/>
    </row>
    <row r="3060" spans="3:13" hidden="1" outlineLevel="1" x14ac:dyDescent="0.2">
      <c r="C3060" s="139">
        <v>2834</v>
      </c>
      <c r="D3060" s="248">
        <v>2753.88289999989</v>
      </c>
      <c r="E3060" s="248">
        <v>2794.9334000001099</v>
      </c>
      <c r="F3060" s="248">
        <v>2844.4985000000502</v>
      </c>
      <c r="G3060" s="248">
        <v>2885.17649999993</v>
      </c>
      <c r="H3060" s="248">
        <v>2958.1725999999398</v>
      </c>
      <c r="I3060"/>
      <c r="J3060"/>
      <c r="K3060"/>
      <c r="L3060"/>
      <c r="M3060"/>
    </row>
    <row r="3061" spans="3:13" hidden="1" outlineLevel="1" x14ac:dyDescent="0.2">
      <c r="C3061" s="139">
        <v>2835</v>
      </c>
      <c r="D3061" s="248">
        <v>2754.8975999998902</v>
      </c>
      <c r="E3061" s="248">
        <v>2795.9196000001102</v>
      </c>
      <c r="F3061" s="248">
        <v>2845.5022000000499</v>
      </c>
      <c r="G3061" s="248">
        <v>2886.1945999999298</v>
      </c>
      <c r="H3061" s="248">
        <v>2959.2163999999402</v>
      </c>
      <c r="I3061"/>
      <c r="J3061"/>
      <c r="K3061"/>
      <c r="L3061"/>
      <c r="M3061"/>
    </row>
    <row r="3062" spans="3:13" hidden="1" outlineLevel="1" x14ac:dyDescent="0.2">
      <c r="C3062" s="139">
        <v>2836</v>
      </c>
      <c r="D3062" s="248">
        <v>2755.9122999998899</v>
      </c>
      <c r="E3062" s="248">
        <v>2796.90580000011</v>
      </c>
      <c r="F3062" s="248">
        <v>2846.5059000000501</v>
      </c>
      <c r="G3062" s="248">
        <v>2887.21269999993</v>
      </c>
      <c r="H3062" s="248">
        <v>2960.2601999999401</v>
      </c>
      <c r="I3062"/>
      <c r="J3062"/>
      <c r="K3062"/>
      <c r="L3062"/>
      <c r="M3062"/>
    </row>
    <row r="3063" spans="3:13" hidden="1" outlineLevel="1" x14ac:dyDescent="0.2">
      <c r="C3063" s="139">
        <v>2837</v>
      </c>
      <c r="D3063" s="248">
        <v>2756.9269999998901</v>
      </c>
      <c r="E3063" s="248">
        <v>2797.8920000001099</v>
      </c>
      <c r="F3063" s="248">
        <v>2847.5096000000499</v>
      </c>
      <c r="G3063" s="248">
        <v>2888.2307999999298</v>
      </c>
      <c r="H3063" s="248">
        <v>2961.3039999999401</v>
      </c>
      <c r="I3063"/>
      <c r="J3063"/>
      <c r="K3063"/>
      <c r="L3063"/>
      <c r="M3063"/>
    </row>
    <row r="3064" spans="3:13" hidden="1" outlineLevel="1" x14ac:dyDescent="0.2">
      <c r="C3064" s="139">
        <v>2838</v>
      </c>
      <c r="D3064" s="248">
        <v>2757.9416999998898</v>
      </c>
      <c r="E3064" s="248">
        <v>2798.8782000001102</v>
      </c>
      <c r="F3064" s="248">
        <v>2848.5133000000501</v>
      </c>
      <c r="G3064" s="248">
        <v>2889.24889999993</v>
      </c>
      <c r="H3064" s="248">
        <v>2962.34779999993</v>
      </c>
      <c r="I3064"/>
      <c r="J3064"/>
      <c r="K3064"/>
      <c r="L3064"/>
      <c r="M3064"/>
    </row>
    <row r="3065" spans="3:13" hidden="1" outlineLevel="1" x14ac:dyDescent="0.2">
      <c r="C3065" s="139">
        <v>2839</v>
      </c>
      <c r="D3065" s="248">
        <v>2758.95639999989</v>
      </c>
      <c r="E3065" s="248">
        <v>2799.86440000012</v>
      </c>
      <c r="F3065" s="248">
        <v>2849.5170000000498</v>
      </c>
      <c r="G3065" s="248">
        <v>2890.2669999999298</v>
      </c>
      <c r="H3065" s="248">
        <v>2963.3915999999299</v>
      </c>
      <c r="I3065"/>
      <c r="J3065"/>
      <c r="K3065"/>
      <c r="L3065"/>
      <c r="M3065"/>
    </row>
    <row r="3066" spans="3:13" hidden="1" outlineLevel="1" x14ac:dyDescent="0.2">
      <c r="C3066" s="139">
        <v>2840</v>
      </c>
      <c r="D3066" s="248">
        <v>2759.9710999998902</v>
      </c>
      <c r="E3066" s="248">
        <v>2800.8506000001198</v>
      </c>
      <c r="F3066" s="248">
        <v>2850.5207000000501</v>
      </c>
      <c r="G3066" s="248">
        <v>2891.28509999993</v>
      </c>
      <c r="H3066" s="248">
        <v>2964.4353999999298</v>
      </c>
      <c r="I3066"/>
      <c r="J3066"/>
      <c r="K3066"/>
      <c r="L3066"/>
      <c r="M3066"/>
    </row>
    <row r="3067" spans="3:13" hidden="1" outlineLevel="1" x14ac:dyDescent="0.2">
      <c r="C3067" s="139">
        <v>2841</v>
      </c>
      <c r="D3067" s="248">
        <v>2760.9857999998799</v>
      </c>
      <c r="E3067" s="248">
        <v>2801.8368000001201</v>
      </c>
      <c r="F3067" s="248">
        <v>2851.5244000000498</v>
      </c>
      <c r="G3067" s="248">
        <v>2892.3031999999298</v>
      </c>
      <c r="H3067" s="248">
        <v>2965.4791999999402</v>
      </c>
      <c r="I3067"/>
      <c r="J3067"/>
      <c r="K3067"/>
      <c r="L3067"/>
      <c r="M3067"/>
    </row>
    <row r="3068" spans="3:13" hidden="1" outlineLevel="1" x14ac:dyDescent="0.2">
      <c r="C3068" s="139">
        <v>2842</v>
      </c>
      <c r="D3068" s="248">
        <v>2762.00049999988</v>
      </c>
      <c r="E3068" s="248">
        <v>2802.8230000001199</v>
      </c>
      <c r="F3068" s="248">
        <v>2852.52810000005</v>
      </c>
      <c r="G3068" s="248">
        <v>2893.32129999993</v>
      </c>
      <c r="H3068" s="248">
        <v>2966.5229999999401</v>
      </c>
      <c r="I3068"/>
      <c r="J3068"/>
      <c r="K3068"/>
      <c r="L3068"/>
      <c r="M3068"/>
    </row>
    <row r="3069" spans="3:13" hidden="1" outlineLevel="1" x14ac:dyDescent="0.2">
      <c r="C3069" s="139">
        <v>2843</v>
      </c>
      <c r="D3069" s="248">
        <v>2763.0151999998802</v>
      </c>
      <c r="E3069" s="248">
        <v>2803.8092000001202</v>
      </c>
      <c r="F3069" s="248">
        <v>2853.5318000000502</v>
      </c>
      <c r="G3069" s="248">
        <v>2894.3393999999298</v>
      </c>
      <c r="H3069" s="248">
        <v>2967.56679999994</v>
      </c>
      <c r="I3069"/>
      <c r="J3069"/>
      <c r="K3069"/>
      <c r="L3069"/>
      <c r="M3069"/>
    </row>
    <row r="3070" spans="3:13" hidden="1" outlineLevel="1" x14ac:dyDescent="0.2">
      <c r="C3070" s="139">
        <v>2844</v>
      </c>
      <c r="D3070" s="248">
        <v>2764.0298999998799</v>
      </c>
      <c r="E3070" s="248">
        <v>2804.79540000012</v>
      </c>
      <c r="F3070" s="248">
        <v>2854.53550000005</v>
      </c>
      <c r="G3070" s="248">
        <v>2895.35749999993</v>
      </c>
      <c r="H3070" s="248">
        <v>2968.6105999999299</v>
      </c>
      <c r="I3070"/>
      <c r="J3070"/>
      <c r="K3070"/>
      <c r="L3070"/>
      <c r="M3070"/>
    </row>
    <row r="3071" spans="3:13" hidden="1" outlineLevel="1" x14ac:dyDescent="0.2">
      <c r="C3071" s="139">
        <v>2845</v>
      </c>
      <c r="D3071" s="248">
        <v>2765.0445999998801</v>
      </c>
      <c r="E3071" s="248">
        <v>2805.7816000001199</v>
      </c>
      <c r="F3071" s="248">
        <v>2855.5392000000602</v>
      </c>
      <c r="G3071" s="248">
        <v>2896.3755999999298</v>
      </c>
      <c r="H3071" s="248">
        <v>2969.6543999999299</v>
      </c>
      <c r="I3071"/>
      <c r="J3071"/>
      <c r="K3071"/>
      <c r="L3071"/>
      <c r="M3071"/>
    </row>
    <row r="3072" spans="3:13" hidden="1" outlineLevel="1" x14ac:dyDescent="0.2">
      <c r="C3072" s="139">
        <v>2846</v>
      </c>
      <c r="D3072" s="248">
        <v>2766.0592999998798</v>
      </c>
      <c r="E3072" s="248">
        <v>2806.7678000001201</v>
      </c>
      <c r="F3072" s="248">
        <v>2856.5429000000499</v>
      </c>
      <c r="G3072" s="248">
        <v>2897.39369999993</v>
      </c>
      <c r="H3072" s="248">
        <v>2970.6981999999298</v>
      </c>
      <c r="I3072"/>
      <c r="J3072"/>
      <c r="K3072"/>
      <c r="L3072"/>
      <c r="M3072"/>
    </row>
    <row r="3073" spans="3:13" hidden="1" outlineLevel="1" x14ac:dyDescent="0.2">
      <c r="C3073" s="139">
        <v>2847</v>
      </c>
      <c r="D3073" s="248">
        <v>2767.07399999988</v>
      </c>
      <c r="E3073" s="248">
        <v>2807.75400000012</v>
      </c>
      <c r="F3073" s="248">
        <v>2857.5466000000602</v>
      </c>
      <c r="G3073" s="248">
        <v>2898.4117999999298</v>
      </c>
      <c r="H3073" s="248">
        <v>2971.7419999999402</v>
      </c>
      <c r="I3073"/>
      <c r="J3073"/>
      <c r="K3073"/>
      <c r="L3073"/>
      <c r="M3073"/>
    </row>
    <row r="3074" spans="3:13" hidden="1" outlineLevel="1" x14ac:dyDescent="0.2">
      <c r="C3074" s="139">
        <v>2848</v>
      </c>
      <c r="D3074" s="248">
        <v>2768.0886999998802</v>
      </c>
      <c r="E3074" s="248">
        <v>2808.7402000001198</v>
      </c>
      <c r="F3074" s="248">
        <v>2858.5503000000499</v>
      </c>
      <c r="G3074" s="248">
        <v>2899.4298999999301</v>
      </c>
      <c r="H3074" s="248">
        <v>2972.7857999999401</v>
      </c>
      <c r="I3074"/>
      <c r="J3074"/>
      <c r="K3074"/>
      <c r="L3074"/>
      <c r="M3074"/>
    </row>
    <row r="3075" spans="3:13" hidden="1" outlineLevel="1" x14ac:dyDescent="0.2">
      <c r="C3075" s="139">
        <v>2849</v>
      </c>
      <c r="D3075" s="248">
        <v>2769.1033999998799</v>
      </c>
      <c r="E3075" s="248">
        <v>2809.7264000001201</v>
      </c>
      <c r="F3075" s="248">
        <v>2859.5540000000601</v>
      </c>
      <c r="G3075" s="248">
        <v>2900.4479999999298</v>
      </c>
      <c r="H3075" s="248">
        <v>2973.82959999993</v>
      </c>
      <c r="I3075"/>
      <c r="J3075"/>
      <c r="K3075"/>
      <c r="L3075"/>
      <c r="M3075"/>
    </row>
    <row r="3076" spans="3:13" hidden="1" outlineLevel="1" x14ac:dyDescent="0.2">
      <c r="C3076" s="139">
        <v>2850</v>
      </c>
      <c r="D3076" s="248">
        <v>2770.1180999998801</v>
      </c>
      <c r="E3076" s="248">
        <v>2810.7126000001199</v>
      </c>
      <c r="F3076" s="248">
        <v>2860.5577000000599</v>
      </c>
      <c r="G3076" s="248">
        <v>2901.4660999999301</v>
      </c>
      <c r="H3076" s="248">
        <v>2974.8733999999299</v>
      </c>
      <c r="I3076"/>
      <c r="J3076"/>
      <c r="K3076"/>
      <c r="L3076"/>
      <c r="M3076"/>
    </row>
    <row r="3077" spans="3:13" hidden="1" outlineLevel="1" x14ac:dyDescent="0.2">
      <c r="C3077" s="139">
        <v>2851</v>
      </c>
      <c r="D3077" s="248">
        <v>2771.1327999998798</v>
      </c>
      <c r="E3077" s="248">
        <v>2811.6988000001202</v>
      </c>
      <c r="F3077" s="248">
        <v>2861.5614000000601</v>
      </c>
      <c r="G3077" s="248">
        <v>2902.4841999999298</v>
      </c>
      <c r="H3077" s="248">
        <v>2975.9171999999298</v>
      </c>
      <c r="I3077"/>
      <c r="J3077"/>
      <c r="K3077"/>
      <c r="L3077"/>
      <c r="M3077"/>
    </row>
    <row r="3078" spans="3:13" hidden="1" outlineLevel="1" x14ac:dyDescent="0.2">
      <c r="C3078" s="139">
        <v>2852</v>
      </c>
      <c r="D3078" s="248">
        <v>2772.14749999988</v>
      </c>
      <c r="E3078" s="248">
        <v>2812.68500000012</v>
      </c>
      <c r="F3078" s="248">
        <v>2862.5651000000598</v>
      </c>
      <c r="G3078" s="248">
        <v>2903.5022999999301</v>
      </c>
      <c r="H3078" s="248">
        <v>2976.9609999999302</v>
      </c>
      <c r="I3078"/>
      <c r="J3078"/>
      <c r="K3078"/>
      <c r="L3078"/>
      <c r="M3078"/>
    </row>
    <row r="3079" spans="3:13" hidden="1" outlineLevel="1" x14ac:dyDescent="0.2">
      <c r="C3079" s="139">
        <v>2853</v>
      </c>
      <c r="D3079" s="248">
        <v>2773.1621999998802</v>
      </c>
      <c r="E3079" s="248">
        <v>2813.6712000001198</v>
      </c>
      <c r="F3079" s="248">
        <v>2863.56880000006</v>
      </c>
      <c r="G3079" s="248">
        <v>2904.5203999999299</v>
      </c>
      <c r="H3079" s="248">
        <v>2978.0047999999301</v>
      </c>
      <c r="I3079"/>
      <c r="J3079"/>
      <c r="K3079"/>
      <c r="L3079"/>
      <c r="M3079"/>
    </row>
    <row r="3080" spans="3:13" hidden="1" outlineLevel="1" x14ac:dyDescent="0.2">
      <c r="C3080" s="139">
        <v>2854</v>
      </c>
      <c r="D3080" s="248">
        <v>2774.1768999998799</v>
      </c>
      <c r="E3080" s="248">
        <v>2814.6574000001201</v>
      </c>
      <c r="F3080" s="248">
        <v>2864.5725000000598</v>
      </c>
      <c r="G3080" s="248">
        <v>2905.5384999999301</v>
      </c>
      <c r="H3080" s="248">
        <v>2979.04859999993</v>
      </c>
      <c r="I3080"/>
      <c r="J3080"/>
      <c r="K3080"/>
      <c r="L3080"/>
      <c r="M3080"/>
    </row>
    <row r="3081" spans="3:13" hidden="1" outlineLevel="1" x14ac:dyDescent="0.2">
      <c r="C3081" s="139">
        <v>2855</v>
      </c>
      <c r="D3081" s="248">
        <v>2775.1915999998801</v>
      </c>
      <c r="E3081" s="248">
        <v>2815.6436000001199</v>
      </c>
      <c r="F3081" s="248">
        <v>2865.57620000006</v>
      </c>
      <c r="G3081" s="248">
        <v>2906.5565999999299</v>
      </c>
      <c r="H3081" s="248">
        <v>2980.09239999993</v>
      </c>
      <c r="I3081"/>
      <c r="J3081"/>
      <c r="K3081"/>
      <c r="L3081"/>
      <c r="M3081"/>
    </row>
    <row r="3082" spans="3:13" hidden="1" outlineLevel="1" x14ac:dyDescent="0.2">
      <c r="C3082" s="139">
        <v>2856</v>
      </c>
      <c r="D3082" s="248">
        <v>2776.2062999998798</v>
      </c>
      <c r="E3082" s="248">
        <v>2816.6298000001202</v>
      </c>
      <c r="F3082" s="248">
        <v>2866.5799000000602</v>
      </c>
      <c r="G3082" s="248">
        <v>2907.5746999999301</v>
      </c>
      <c r="H3082" s="248">
        <v>2981.1361999999299</v>
      </c>
      <c r="I3082"/>
      <c r="J3082"/>
      <c r="K3082"/>
      <c r="L3082"/>
      <c r="M3082"/>
    </row>
    <row r="3083" spans="3:13" hidden="1" outlineLevel="1" x14ac:dyDescent="0.2">
      <c r="C3083" s="139">
        <v>2857</v>
      </c>
      <c r="D3083" s="248">
        <v>2777.22099999988</v>
      </c>
      <c r="E3083" s="248">
        <v>2817.61600000012</v>
      </c>
      <c r="F3083" s="248">
        <v>2867.58360000006</v>
      </c>
      <c r="G3083" s="248">
        <v>2908.5927999999299</v>
      </c>
      <c r="H3083" s="248">
        <v>2982.1799999999298</v>
      </c>
      <c r="I3083"/>
      <c r="J3083"/>
      <c r="K3083"/>
      <c r="L3083"/>
      <c r="M3083"/>
    </row>
    <row r="3084" spans="3:13" hidden="1" outlineLevel="1" x14ac:dyDescent="0.2">
      <c r="C3084" s="139">
        <v>2858</v>
      </c>
      <c r="D3084" s="248">
        <v>2778.2356999998801</v>
      </c>
      <c r="E3084" s="248">
        <v>2818.6022000001199</v>
      </c>
      <c r="F3084" s="248">
        <v>2868.5873000000602</v>
      </c>
      <c r="G3084" s="248">
        <v>2909.6108999999301</v>
      </c>
      <c r="H3084" s="248">
        <v>2983.2237999999302</v>
      </c>
      <c r="I3084"/>
      <c r="J3084"/>
      <c r="K3084"/>
      <c r="L3084"/>
      <c r="M3084"/>
    </row>
    <row r="3085" spans="3:13" hidden="1" outlineLevel="1" x14ac:dyDescent="0.2">
      <c r="C3085" s="139">
        <v>2859</v>
      </c>
      <c r="D3085" s="248">
        <v>2779.2503999998798</v>
      </c>
      <c r="E3085" s="248">
        <v>2819.5884000001201</v>
      </c>
      <c r="F3085" s="248">
        <v>2869.5910000000599</v>
      </c>
      <c r="G3085" s="248">
        <v>2910.6289999999299</v>
      </c>
      <c r="H3085" s="248">
        <v>2984.2675999999301</v>
      </c>
      <c r="I3085"/>
      <c r="J3085"/>
      <c r="K3085"/>
      <c r="L3085"/>
      <c r="M3085"/>
    </row>
    <row r="3086" spans="3:13" hidden="1" outlineLevel="1" x14ac:dyDescent="0.2">
      <c r="C3086" s="139">
        <v>2860</v>
      </c>
      <c r="D3086" s="248">
        <v>2780.26509999988</v>
      </c>
      <c r="E3086" s="248">
        <v>2820.57460000012</v>
      </c>
      <c r="F3086" s="248">
        <v>2870.5947000000601</v>
      </c>
      <c r="G3086" s="248">
        <v>2911.6470999999301</v>
      </c>
      <c r="H3086" s="248">
        <v>2985.31139999993</v>
      </c>
      <c r="I3086"/>
      <c r="J3086"/>
      <c r="K3086"/>
      <c r="L3086"/>
      <c r="M3086"/>
    </row>
    <row r="3087" spans="3:13" hidden="1" outlineLevel="1" x14ac:dyDescent="0.2">
      <c r="C3087" s="139">
        <v>2861</v>
      </c>
      <c r="D3087" s="248">
        <v>2781.2797999998802</v>
      </c>
      <c r="E3087" s="248">
        <v>2821.5608000001198</v>
      </c>
      <c r="F3087" s="248">
        <v>2871.5984000000599</v>
      </c>
      <c r="G3087" s="248">
        <v>2912.6651999999299</v>
      </c>
      <c r="H3087" s="248">
        <v>2986.3551999999299</v>
      </c>
      <c r="I3087"/>
      <c r="J3087"/>
      <c r="K3087"/>
      <c r="L3087"/>
      <c r="M3087"/>
    </row>
    <row r="3088" spans="3:13" hidden="1" outlineLevel="1" x14ac:dyDescent="0.2">
      <c r="C3088" s="139">
        <v>2862</v>
      </c>
      <c r="D3088" s="248">
        <v>2782.2944999998799</v>
      </c>
      <c r="E3088" s="248">
        <v>2822.5470000001201</v>
      </c>
      <c r="F3088" s="248">
        <v>2872.6021000000601</v>
      </c>
      <c r="G3088" s="248">
        <v>2913.6832999999301</v>
      </c>
      <c r="H3088" s="248">
        <v>2987.3989999999299</v>
      </c>
      <c r="I3088"/>
      <c r="J3088"/>
      <c r="K3088"/>
      <c r="L3088"/>
      <c r="M3088"/>
    </row>
    <row r="3089" spans="3:13" hidden="1" outlineLevel="1" x14ac:dyDescent="0.2">
      <c r="C3089" s="139">
        <v>2863</v>
      </c>
      <c r="D3089" s="248">
        <v>2783.3091999998801</v>
      </c>
      <c r="E3089" s="248">
        <v>2823.5332000001199</v>
      </c>
      <c r="F3089" s="248">
        <v>2873.6058000000598</v>
      </c>
      <c r="G3089" s="248">
        <v>2914.7013999999299</v>
      </c>
      <c r="H3089" s="248">
        <v>2988.4427999999298</v>
      </c>
      <c r="I3089"/>
      <c r="J3089"/>
      <c r="K3089"/>
      <c r="L3089"/>
      <c r="M3089"/>
    </row>
    <row r="3090" spans="3:13" hidden="1" outlineLevel="1" x14ac:dyDescent="0.2">
      <c r="C3090" s="139">
        <v>2864</v>
      </c>
      <c r="D3090" s="248">
        <v>2784.3238999998798</v>
      </c>
      <c r="E3090" s="248">
        <v>2824.5194000001202</v>
      </c>
      <c r="F3090" s="248">
        <v>2874.6095000000601</v>
      </c>
      <c r="G3090" s="248">
        <v>2915.7194999999301</v>
      </c>
      <c r="H3090" s="248">
        <v>2989.4865999999301</v>
      </c>
      <c r="I3090"/>
      <c r="J3090"/>
      <c r="K3090"/>
      <c r="L3090"/>
      <c r="M3090"/>
    </row>
    <row r="3091" spans="3:13" hidden="1" outlineLevel="1" x14ac:dyDescent="0.2">
      <c r="C3091" s="139">
        <v>2865</v>
      </c>
      <c r="D3091" s="248">
        <v>2785.33859999988</v>
      </c>
      <c r="E3091" s="248">
        <v>2825.50560000012</v>
      </c>
      <c r="F3091" s="248">
        <v>2875.6132000000598</v>
      </c>
      <c r="G3091" s="248">
        <v>2916.7375999999299</v>
      </c>
      <c r="H3091" s="248">
        <v>2990.5303999999301</v>
      </c>
      <c r="I3091"/>
      <c r="J3091"/>
      <c r="K3091"/>
      <c r="L3091"/>
      <c r="M3091"/>
    </row>
    <row r="3092" spans="3:13" hidden="1" outlineLevel="1" x14ac:dyDescent="0.2">
      <c r="C3092" s="139">
        <v>2866</v>
      </c>
      <c r="D3092" s="248">
        <v>2786.3532999998802</v>
      </c>
      <c r="E3092" s="248">
        <v>2826.4918000001198</v>
      </c>
      <c r="F3092" s="248">
        <v>2876.61690000006</v>
      </c>
      <c r="G3092" s="248">
        <v>2917.7556999999301</v>
      </c>
      <c r="H3092" s="248">
        <v>2991.57419999993</v>
      </c>
      <c r="I3092"/>
      <c r="J3092"/>
      <c r="K3092"/>
      <c r="L3092"/>
      <c r="M3092"/>
    </row>
    <row r="3093" spans="3:13" hidden="1" outlineLevel="1" x14ac:dyDescent="0.2">
      <c r="C3093" s="139">
        <v>2867</v>
      </c>
      <c r="D3093" s="248">
        <v>2787.3679999998799</v>
      </c>
      <c r="E3093" s="248">
        <v>2827.4780000001201</v>
      </c>
      <c r="F3093" s="248">
        <v>2877.6206000000602</v>
      </c>
      <c r="G3093" s="248">
        <v>2918.7737999999299</v>
      </c>
      <c r="H3093" s="248">
        <v>2992.6179999999299</v>
      </c>
      <c r="I3093"/>
      <c r="J3093"/>
      <c r="K3093"/>
      <c r="L3093"/>
      <c r="M3093"/>
    </row>
    <row r="3094" spans="3:13" hidden="1" outlineLevel="1" x14ac:dyDescent="0.2">
      <c r="C3094" s="139">
        <v>2868</v>
      </c>
      <c r="D3094" s="248">
        <v>2788.3826999998801</v>
      </c>
      <c r="E3094" s="248">
        <v>2828.4642000001199</v>
      </c>
      <c r="F3094" s="248">
        <v>2878.62430000006</v>
      </c>
      <c r="G3094" s="248">
        <v>2919.7918999999301</v>
      </c>
      <c r="H3094" s="248">
        <v>2993.6617999999298</v>
      </c>
      <c r="I3094"/>
      <c r="J3094"/>
      <c r="K3094"/>
      <c r="L3094"/>
      <c r="M3094"/>
    </row>
    <row r="3095" spans="3:13" hidden="1" outlineLevel="1" x14ac:dyDescent="0.2">
      <c r="C3095" s="139">
        <v>2869</v>
      </c>
      <c r="D3095" s="248">
        <v>2789.3973999998798</v>
      </c>
      <c r="E3095" s="248">
        <v>2829.4504000001202</v>
      </c>
      <c r="F3095" s="248">
        <v>2879.6280000000602</v>
      </c>
      <c r="G3095" s="248">
        <v>2920.8099999999299</v>
      </c>
      <c r="H3095" s="248">
        <v>2994.7055999999302</v>
      </c>
      <c r="I3095"/>
      <c r="J3095"/>
      <c r="K3095"/>
      <c r="L3095"/>
      <c r="M3095"/>
    </row>
    <row r="3096" spans="3:13" hidden="1" outlineLevel="1" x14ac:dyDescent="0.2">
      <c r="C3096" s="139">
        <v>2870</v>
      </c>
      <c r="D3096" s="248">
        <v>2790.41209999988</v>
      </c>
      <c r="E3096" s="248">
        <v>2830.4366000001201</v>
      </c>
      <c r="F3096" s="248">
        <v>2880.6317000000599</v>
      </c>
      <c r="G3096" s="248">
        <v>2921.8280999999301</v>
      </c>
      <c r="H3096" s="248">
        <v>2995.7493999999301</v>
      </c>
      <c r="I3096"/>
      <c r="J3096"/>
      <c r="K3096"/>
      <c r="L3096"/>
      <c r="M3096"/>
    </row>
    <row r="3097" spans="3:13" hidden="1" outlineLevel="1" x14ac:dyDescent="0.2">
      <c r="C3097" s="139">
        <v>2871</v>
      </c>
      <c r="D3097" s="248">
        <v>2791.4267999998801</v>
      </c>
      <c r="E3097" s="248">
        <v>2831.4228000001199</v>
      </c>
      <c r="F3097" s="248">
        <v>2881.6354000000601</v>
      </c>
      <c r="G3097" s="248">
        <v>2922.8461999999299</v>
      </c>
      <c r="H3097" s="248">
        <v>2996.79319999993</v>
      </c>
      <c r="I3097"/>
      <c r="J3097"/>
      <c r="K3097"/>
      <c r="L3097"/>
      <c r="M3097"/>
    </row>
    <row r="3098" spans="3:13" hidden="1" outlineLevel="1" x14ac:dyDescent="0.2">
      <c r="C3098" s="139">
        <v>2872</v>
      </c>
      <c r="D3098" s="248">
        <v>2792.4414999998799</v>
      </c>
      <c r="E3098" s="248">
        <v>2832.4090000001202</v>
      </c>
      <c r="F3098" s="248">
        <v>2882.6391000000599</v>
      </c>
      <c r="G3098" s="248">
        <v>2923.8642999999302</v>
      </c>
      <c r="H3098" s="248">
        <v>2997.83699999993</v>
      </c>
      <c r="I3098"/>
      <c r="J3098"/>
      <c r="K3098"/>
      <c r="L3098"/>
      <c r="M3098"/>
    </row>
    <row r="3099" spans="3:13" hidden="1" outlineLevel="1" x14ac:dyDescent="0.2">
      <c r="C3099" s="139">
        <v>2873</v>
      </c>
      <c r="D3099" s="248">
        <v>2793.45619999988</v>
      </c>
      <c r="E3099" s="248">
        <v>2833.39520000012</v>
      </c>
      <c r="F3099" s="248">
        <v>2883.6428000000601</v>
      </c>
      <c r="G3099" s="248">
        <v>2924.8823999999199</v>
      </c>
      <c r="H3099" s="248">
        <v>2998.8807999999299</v>
      </c>
      <c r="I3099"/>
      <c r="J3099"/>
      <c r="K3099"/>
      <c r="L3099"/>
      <c r="M3099"/>
    </row>
    <row r="3100" spans="3:13" hidden="1" outlineLevel="1" x14ac:dyDescent="0.2">
      <c r="C3100" s="139">
        <v>2874</v>
      </c>
      <c r="D3100" s="248">
        <v>2794.4708999998802</v>
      </c>
      <c r="E3100" s="248">
        <v>2834.3814000001198</v>
      </c>
      <c r="F3100" s="248">
        <v>2884.6465000000599</v>
      </c>
      <c r="G3100" s="248">
        <v>2925.9004999999202</v>
      </c>
      <c r="H3100" s="248">
        <v>2999.9245999999298</v>
      </c>
      <c r="I3100"/>
      <c r="J3100"/>
      <c r="K3100"/>
      <c r="L3100"/>
      <c r="M3100"/>
    </row>
    <row r="3101" spans="3:13" hidden="1" outlineLevel="1" x14ac:dyDescent="0.2">
      <c r="C3101" s="139">
        <v>2875</v>
      </c>
      <c r="D3101" s="248">
        <v>2795.4855999998799</v>
      </c>
      <c r="E3101" s="248">
        <v>2835.3676000001301</v>
      </c>
      <c r="F3101" s="248">
        <v>2885.6502000000601</v>
      </c>
      <c r="G3101" s="248">
        <v>2926.9185999999199</v>
      </c>
      <c r="H3101" s="248">
        <v>3000.9683999999302</v>
      </c>
      <c r="I3101"/>
      <c r="J3101"/>
      <c r="K3101"/>
      <c r="L3101"/>
      <c r="M3101"/>
    </row>
    <row r="3102" spans="3:13" hidden="1" outlineLevel="1" x14ac:dyDescent="0.2">
      <c r="C3102" s="139">
        <v>2876</v>
      </c>
      <c r="D3102" s="248">
        <v>2796.5002999998701</v>
      </c>
      <c r="E3102" s="248">
        <v>2836.3538000001299</v>
      </c>
      <c r="F3102" s="248">
        <v>2886.6539000000598</v>
      </c>
      <c r="G3102" s="248">
        <v>2927.9366999999202</v>
      </c>
      <c r="H3102" s="248">
        <v>3002.0121999999301</v>
      </c>
      <c r="I3102"/>
      <c r="J3102"/>
      <c r="K3102"/>
      <c r="L3102"/>
      <c r="M3102"/>
    </row>
    <row r="3103" spans="3:13" hidden="1" outlineLevel="1" x14ac:dyDescent="0.2">
      <c r="C3103" s="139">
        <v>2877</v>
      </c>
      <c r="D3103" s="248">
        <v>2797.5149999998698</v>
      </c>
      <c r="E3103" s="248">
        <v>2837.3400000001302</v>
      </c>
      <c r="F3103" s="248">
        <v>2887.65760000006</v>
      </c>
      <c r="G3103" s="248">
        <v>2928.9547999999199</v>
      </c>
      <c r="H3103" s="248">
        <v>3003.05599999993</v>
      </c>
      <c r="I3103"/>
      <c r="J3103"/>
      <c r="K3103"/>
      <c r="L3103"/>
      <c r="M3103"/>
    </row>
    <row r="3104" spans="3:13" hidden="1" outlineLevel="1" x14ac:dyDescent="0.2">
      <c r="C3104" s="139">
        <v>2878</v>
      </c>
      <c r="D3104" s="248">
        <v>2798.52969999987</v>
      </c>
      <c r="E3104" s="248">
        <v>2838.32620000013</v>
      </c>
      <c r="F3104" s="248">
        <v>2888.6613000000598</v>
      </c>
      <c r="G3104" s="248">
        <v>2929.9728999999202</v>
      </c>
      <c r="H3104" s="248">
        <v>3004.0997999999299</v>
      </c>
      <c r="I3104"/>
      <c r="J3104"/>
      <c r="K3104"/>
      <c r="L3104"/>
      <c r="M3104"/>
    </row>
    <row r="3105" spans="3:13" hidden="1" outlineLevel="1" x14ac:dyDescent="0.2">
      <c r="C3105" s="139">
        <v>2879</v>
      </c>
      <c r="D3105" s="248">
        <v>2799.5443999998702</v>
      </c>
      <c r="E3105" s="248">
        <v>2839.3124000001299</v>
      </c>
      <c r="F3105" s="248">
        <v>2889.66500000006</v>
      </c>
      <c r="G3105" s="248">
        <v>2930.9909999999199</v>
      </c>
      <c r="H3105" s="248">
        <v>3005.1435999999298</v>
      </c>
      <c r="I3105"/>
      <c r="J3105"/>
      <c r="K3105"/>
      <c r="L3105"/>
      <c r="M3105"/>
    </row>
    <row r="3106" spans="3:13" hidden="1" outlineLevel="1" x14ac:dyDescent="0.2">
      <c r="C3106" s="139">
        <v>2880</v>
      </c>
      <c r="D3106" s="248">
        <v>2800.5590999998699</v>
      </c>
      <c r="E3106" s="248">
        <v>2840.2986000001301</v>
      </c>
      <c r="F3106" s="248">
        <v>2890.6687000000602</v>
      </c>
      <c r="G3106" s="248">
        <v>2932.0090999999202</v>
      </c>
      <c r="H3106" s="248">
        <v>3006.1873999999302</v>
      </c>
      <c r="I3106"/>
      <c r="J3106"/>
      <c r="K3106"/>
      <c r="L3106"/>
      <c r="M3106"/>
    </row>
    <row r="3107" spans="3:13" hidden="1" outlineLevel="1" x14ac:dyDescent="0.2">
      <c r="C3107" s="139">
        <v>2881</v>
      </c>
      <c r="D3107" s="248">
        <v>2801.5737999998701</v>
      </c>
      <c r="E3107" s="248">
        <v>2841.28480000013</v>
      </c>
      <c r="F3107" s="248">
        <v>2891.67240000006</v>
      </c>
      <c r="G3107" s="248">
        <v>2933.02719999992</v>
      </c>
      <c r="H3107" s="248">
        <v>3007.2311999999301</v>
      </c>
      <c r="I3107"/>
      <c r="J3107"/>
      <c r="K3107"/>
      <c r="L3107"/>
      <c r="M3107"/>
    </row>
    <row r="3108" spans="3:13" hidden="1" outlineLevel="1" x14ac:dyDescent="0.2">
      <c r="C3108" s="139">
        <v>2882</v>
      </c>
      <c r="D3108" s="248">
        <v>2802.5884999998698</v>
      </c>
      <c r="E3108" s="248">
        <v>2842.2710000001298</v>
      </c>
      <c r="F3108" s="248">
        <v>2892.6761000000602</v>
      </c>
      <c r="G3108" s="248">
        <v>2934.0452999999202</v>
      </c>
      <c r="H3108" s="248">
        <v>3008.2749999999301</v>
      </c>
      <c r="I3108"/>
      <c r="J3108"/>
      <c r="K3108"/>
      <c r="L3108"/>
      <c r="M3108"/>
    </row>
    <row r="3109" spans="3:13" hidden="1" outlineLevel="1" x14ac:dyDescent="0.2">
      <c r="C3109" s="139">
        <v>2883</v>
      </c>
      <c r="D3109" s="248">
        <v>2803.60319999987</v>
      </c>
      <c r="E3109" s="248">
        <v>2843.2572000001301</v>
      </c>
      <c r="F3109" s="248">
        <v>2893.6798000000599</v>
      </c>
      <c r="G3109" s="248">
        <v>2935.06339999992</v>
      </c>
      <c r="H3109" s="248">
        <v>3009.31879999993</v>
      </c>
      <c r="I3109"/>
      <c r="J3109"/>
      <c r="K3109"/>
      <c r="L3109"/>
      <c r="M3109"/>
    </row>
    <row r="3110" spans="3:13" hidden="1" outlineLevel="1" x14ac:dyDescent="0.2">
      <c r="C3110" s="139">
        <v>2884</v>
      </c>
      <c r="D3110" s="248">
        <v>2804.6178999998701</v>
      </c>
      <c r="E3110" s="248">
        <v>2844.2434000001299</v>
      </c>
      <c r="F3110" s="248">
        <v>2894.6835000000601</v>
      </c>
      <c r="G3110" s="248">
        <v>2936.0814999999202</v>
      </c>
      <c r="H3110" s="248">
        <v>3010.3625999999299</v>
      </c>
      <c r="I3110"/>
      <c r="J3110"/>
      <c r="K3110"/>
      <c r="L3110"/>
      <c r="M3110"/>
    </row>
    <row r="3111" spans="3:13" hidden="1" outlineLevel="1" x14ac:dyDescent="0.2">
      <c r="C3111" s="139">
        <v>2885</v>
      </c>
      <c r="D3111" s="248">
        <v>2805.6325999998699</v>
      </c>
      <c r="E3111" s="248">
        <v>2845.2296000001302</v>
      </c>
      <c r="F3111" s="248">
        <v>2895.6872000000599</v>
      </c>
      <c r="G3111" s="248">
        <v>2937.09959999992</v>
      </c>
      <c r="H3111" s="248">
        <v>3011.4063999999298</v>
      </c>
      <c r="I3111"/>
      <c r="J3111"/>
      <c r="K3111"/>
      <c r="L3111"/>
      <c r="M3111"/>
    </row>
    <row r="3112" spans="3:13" hidden="1" outlineLevel="1" x14ac:dyDescent="0.2">
      <c r="C3112" s="139">
        <v>2886</v>
      </c>
      <c r="D3112" s="248">
        <v>2806.64729999987</v>
      </c>
      <c r="E3112" s="248">
        <v>2846.21580000013</v>
      </c>
      <c r="F3112" s="248">
        <v>2896.6909000000601</v>
      </c>
      <c r="G3112" s="248">
        <v>2938.1176999999202</v>
      </c>
      <c r="H3112" s="248">
        <v>3012.4501999999302</v>
      </c>
      <c r="I3112"/>
      <c r="J3112"/>
      <c r="K3112"/>
      <c r="L3112"/>
      <c r="M3112"/>
    </row>
    <row r="3113" spans="3:13" hidden="1" outlineLevel="1" x14ac:dyDescent="0.2">
      <c r="C3113" s="139">
        <v>2887</v>
      </c>
      <c r="D3113" s="248">
        <v>2807.6619999998702</v>
      </c>
      <c r="E3113" s="248">
        <v>2847.2020000001298</v>
      </c>
      <c r="F3113" s="248">
        <v>2897.6946000000598</v>
      </c>
      <c r="G3113" s="248">
        <v>2939.13579999992</v>
      </c>
      <c r="H3113" s="248">
        <v>3013.4939999999301</v>
      </c>
      <c r="I3113"/>
      <c r="J3113"/>
      <c r="K3113"/>
      <c r="L3113"/>
      <c r="M3113"/>
    </row>
    <row r="3114" spans="3:13" hidden="1" outlineLevel="1" x14ac:dyDescent="0.2">
      <c r="C3114" s="139">
        <v>2888</v>
      </c>
      <c r="D3114" s="248">
        <v>2808.6766999998699</v>
      </c>
      <c r="E3114" s="248">
        <v>2848.1882000001301</v>
      </c>
      <c r="F3114" s="248">
        <v>2898.69830000006</v>
      </c>
      <c r="G3114" s="248">
        <v>2940.1538999999202</v>
      </c>
      <c r="H3114" s="248">
        <v>3014.53779999993</v>
      </c>
      <c r="I3114"/>
      <c r="J3114"/>
      <c r="K3114"/>
      <c r="L3114"/>
      <c r="M3114"/>
    </row>
    <row r="3115" spans="3:13" hidden="1" outlineLevel="1" x14ac:dyDescent="0.2">
      <c r="C3115" s="139">
        <v>2889</v>
      </c>
      <c r="D3115" s="248">
        <v>2809.6913999998701</v>
      </c>
      <c r="E3115" s="248">
        <v>2849.1744000001299</v>
      </c>
      <c r="F3115" s="248">
        <v>2899.7020000000598</v>
      </c>
      <c r="G3115" s="248">
        <v>2941.17199999992</v>
      </c>
      <c r="H3115" s="248">
        <v>3015.5815999999299</v>
      </c>
      <c r="I3115"/>
      <c r="J3115"/>
      <c r="K3115"/>
      <c r="L3115"/>
      <c r="M3115"/>
    </row>
    <row r="3116" spans="3:13" hidden="1" outlineLevel="1" x14ac:dyDescent="0.2">
      <c r="C3116" s="139">
        <v>2890</v>
      </c>
      <c r="D3116" s="248">
        <v>2810.7060999998698</v>
      </c>
      <c r="E3116" s="248">
        <v>2850.1606000001302</v>
      </c>
      <c r="F3116" s="248">
        <v>2900.70570000006</v>
      </c>
      <c r="G3116" s="248">
        <v>2942.1900999999202</v>
      </c>
      <c r="H3116" s="248">
        <v>3016.6253999999299</v>
      </c>
      <c r="I3116"/>
      <c r="J3116"/>
      <c r="K3116"/>
      <c r="L3116"/>
      <c r="M3116"/>
    </row>
    <row r="3117" spans="3:13" hidden="1" outlineLevel="1" x14ac:dyDescent="0.2">
      <c r="C3117" s="139">
        <v>2891</v>
      </c>
      <c r="D3117" s="248">
        <v>2811.72079999987</v>
      </c>
      <c r="E3117" s="248">
        <v>2851.14680000013</v>
      </c>
      <c r="F3117" s="248">
        <v>2901.7094000000602</v>
      </c>
      <c r="G3117" s="248">
        <v>2943.20819999992</v>
      </c>
      <c r="H3117" s="248">
        <v>3017.6691999999298</v>
      </c>
      <c r="I3117"/>
      <c r="J3117"/>
      <c r="K3117"/>
      <c r="L3117"/>
      <c r="M3117"/>
    </row>
    <row r="3118" spans="3:13" hidden="1" outlineLevel="1" x14ac:dyDescent="0.2">
      <c r="C3118" s="139">
        <v>2892</v>
      </c>
      <c r="D3118" s="248">
        <v>2812.7354999998702</v>
      </c>
      <c r="E3118" s="248">
        <v>2852.1330000001299</v>
      </c>
      <c r="F3118" s="248">
        <v>2902.71310000006</v>
      </c>
      <c r="G3118" s="248">
        <v>2944.2262999999198</v>
      </c>
      <c r="H3118" s="248">
        <v>3018.7129999999302</v>
      </c>
      <c r="I3118"/>
      <c r="J3118"/>
      <c r="K3118"/>
      <c r="L3118"/>
      <c r="M3118"/>
    </row>
    <row r="3119" spans="3:13" hidden="1" outlineLevel="1" x14ac:dyDescent="0.2">
      <c r="C3119" s="139">
        <v>2893</v>
      </c>
      <c r="D3119" s="248">
        <v>2813.7501999998699</v>
      </c>
      <c r="E3119" s="248">
        <v>2853.1192000001301</v>
      </c>
      <c r="F3119" s="248">
        <v>2903.7168000000702</v>
      </c>
      <c r="G3119" s="248">
        <v>2945.24439999992</v>
      </c>
      <c r="H3119" s="248">
        <v>3019.7567999999301</v>
      </c>
      <c r="I3119"/>
      <c r="J3119"/>
      <c r="K3119"/>
      <c r="L3119"/>
      <c r="M3119"/>
    </row>
    <row r="3120" spans="3:13" hidden="1" outlineLevel="1" x14ac:dyDescent="0.2">
      <c r="C3120" s="139">
        <v>2894</v>
      </c>
      <c r="D3120" s="248">
        <v>2814.7648999998701</v>
      </c>
      <c r="E3120" s="248">
        <v>2854.10540000013</v>
      </c>
      <c r="F3120" s="248">
        <v>2904.7205000000599</v>
      </c>
      <c r="G3120" s="248">
        <v>2946.2624999999198</v>
      </c>
      <c r="H3120" s="248">
        <v>3020.80059999993</v>
      </c>
      <c r="I3120"/>
      <c r="J3120"/>
      <c r="K3120"/>
      <c r="L3120"/>
      <c r="M3120"/>
    </row>
    <row r="3121" spans="3:13" hidden="1" outlineLevel="1" x14ac:dyDescent="0.2">
      <c r="C3121" s="139">
        <v>2895</v>
      </c>
      <c r="D3121" s="248">
        <v>2815.7795999998698</v>
      </c>
      <c r="E3121" s="248">
        <v>2855.0916000001298</v>
      </c>
      <c r="F3121" s="248">
        <v>2905.7242000000701</v>
      </c>
      <c r="G3121" s="248">
        <v>2947.28059999992</v>
      </c>
      <c r="H3121" s="248">
        <v>3021.8443999999299</v>
      </c>
      <c r="I3121"/>
      <c r="J3121"/>
      <c r="K3121"/>
      <c r="L3121"/>
      <c r="M3121"/>
    </row>
    <row r="3122" spans="3:13" hidden="1" outlineLevel="1" x14ac:dyDescent="0.2">
      <c r="C3122" s="139">
        <v>2896</v>
      </c>
      <c r="D3122" s="248">
        <v>2816.79429999987</v>
      </c>
      <c r="E3122" s="248">
        <v>2856.0778000001301</v>
      </c>
      <c r="F3122" s="248">
        <v>2906.7279000000599</v>
      </c>
      <c r="G3122" s="248">
        <v>2948.2986999999198</v>
      </c>
      <c r="H3122" s="248">
        <v>3022.8881999999298</v>
      </c>
      <c r="I3122"/>
      <c r="J3122"/>
      <c r="K3122"/>
      <c r="L3122"/>
      <c r="M3122"/>
    </row>
    <row r="3123" spans="3:13" hidden="1" outlineLevel="1" x14ac:dyDescent="0.2">
      <c r="C3123" s="139">
        <v>2897</v>
      </c>
      <c r="D3123" s="248">
        <v>2817.8089999998701</v>
      </c>
      <c r="E3123" s="248">
        <v>2857.0640000001299</v>
      </c>
      <c r="F3123" s="248">
        <v>2907.7316000000701</v>
      </c>
      <c r="G3123" s="248">
        <v>2949.31679999992</v>
      </c>
      <c r="H3123" s="248">
        <v>3023.9319999999302</v>
      </c>
      <c r="I3123"/>
      <c r="J3123"/>
      <c r="K3123"/>
      <c r="L3123"/>
      <c r="M3123"/>
    </row>
    <row r="3124" spans="3:13" hidden="1" outlineLevel="1" x14ac:dyDescent="0.2">
      <c r="C3124" s="139">
        <v>2898</v>
      </c>
      <c r="D3124" s="248">
        <v>2818.8236999998699</v>
      </c>
      <c r="E3124" s="248">
        <v>2858.0502000001302</v>
      </c>
      <c r="F3124" s="248">
        <v>2908.7353000000699</v>
      </c>
      <c r="G3124" s="248">
        <v>2950.3348999999198</v>
      </c>
      <c r="H3124" s="248">
        <v>3024.9757999999301</v>
      </c>
      <c r="I3124"/>
      <c r="J3124"/>
      <c r="K3124"/>
      <c r="L3124"/>
      <c r="M3124"/>
    </row>
    <row r="3125" spans="3:13" hidden="1" outlineLevel="1" x14ac:dyDescent="0.2">
      <c r="C3125" s="139">
        <v>2899</v>
      </c>
      <c r="D3125" s="248">
        <v>2819.83839999987</v>
      </c>
      <c r="E3125" s="248">
        <v>2859.03640000013</v>
      </c>
      <c r="F3125" s="248">
        <v>2909.7390000000701</v>
      </c>
      <c r="G3125" s="248">
        <v>2951.35299999992</v>
      </c>
      <c r="H3125" s="248">
        <v>3026.0195999999301</v>
      </c>
      <c r="I3125"/>
      <c r="J3125"/>
      <c r="K3125"/>
      <c r="L3125"/>
      <c r="M3125"/>
    </row>
    <row r="3126" spans="3:13" hidden="1" outlineLevel="1" x14ac:dyDescent="0.2">
      <c r="C3126" s="139">
        <v>2900</v>
      </c>
      <c r="D3126" s="248">
        <v>2820.8530999998702</v>
      </c>
      <c r="E3126" s="248">
        <v>2860.0226000001298</v>
      </c>
      <c r="F3126" s="248">
        <v>2910.7427000000698</v>
      </c>
      <c r="G3126" s="248">
        <v>2952.3710999999198</v>
      </c>
      <c r="H3126" s="248">
        <v>3027.06339999993</v>
      </c>
      <c r="I3126"/>
      <c r="J3126"/>
      <c r="K3126"/>
      <c r="L3126"/>
      <c r="M3126"/>
    </row>
    <row r="3127" spans="3:13" hidden="1" outlineLevel="1" x14ac:dyDescent="0.2">
      <c r="C3127" s="139">
        <v>2901</v>
      </c>
      <c r="D3127" s="248">
        <v>2821.8677999998699</v>
      </c>
      <c r="E3127" s="248">
        <v>2861.0088000001301</v>
      </c>
      <c r="F3127" s="248">
        <v>2911.74640000007</v>
      </c>
      <c r="G3127" s="248">
        <v>2953.38919999992</v>
      </c>
      <c r="H3127" s="248">
        <v>3028.1071999999299</v>
      </c>
      <c r="I3127"/>
      <c r="J3127"/>
      <c r="K3127"/>
      <c r="L3127"/>
      <c r="M3127"/>
    </row>
    <row r="3128" spans="3:13" hidden="1" outlineLevel="1" x14ac:dyDescent="0.2">
      <c r="C3128" s="139">
        <v>2902</v>
      </c>
      <c r="D3128" s="248">
        <v>2822.8824999998701</v>
      </c>
      <c r="E3128" s="248">
        <v>2861.9950000001299</v>
      </c>
      <c r="F3128" s="248">
        <v>2912.7501000000698</v>
      </c>
      <c r="G3128" s="248">
        <v>2954.4072999999198</v>
      </c>
      <c r="H3128" s="248">
        <v>3029.1509999999298</v>
      </c>
      <c r="I3128"/>
      <c r="J3128"/>
      <c r="K3128"/>
      <c r="L3128"/>
      <c r="M3128"/>
    </row>
    <row r="3129" spans="3:13" hidden="1" outlineLevel="1" x14ac:dyDescent="0.2">
      <c r="C3129" s="139">
        <v>2903</v>
      </c>
      <c r="D3129" s="248">
        <v>2823.8971999998698</v>
      </c>
      <c r="E3129" s="248">
        <v>2862.9812000001298</v>
      </c>
      <c r="F3129" s="248">
        <v>2913.75380000007</v>
      </c>
      <c r="G3129" s="248">
        <v>2955.42539999992</v>
      </c>
      <c r="H3129" s="248">
        <v>3030.1947999999302</v>
      </c>
      <c r="I3129"/>
      <c r="J3129"/>
      <c r="K3129"/>
      <c r="L3129"/>
      <c r="M3129"/>
    </row>
    <row r="3130" spans="3:13" hidden="1" outlineLevel="1" x14ac:dyDescent="0.2">
      <c r="C3130" s="139">
        <v>2904</v>
      </c>
      <c r="D3130" s="248">
        <v>2824.91189999987</v>
      </c>
      <c r="E3130" s="248">
        <v>2863.9674000001301</v>
      </c>
      <c r="F3130" s="248">
        <v>2914.7575000000702</v>
      </c>
      <c r="G3130" s="248">
        <v>2956.4434999999198</v>
      </c>
      <c r="H3130" s="248">
        <v>3031.2385999999301</v>
      </c>
      <c r="I3130"/>
      <c r="J3130"/>
      <c r="K3130"/>
      <c r="L3130"/>
      <c r="M3130"/>
    </row>
    <row r="3131" spans="3:13" hidden="1" outlineLevel="1" x14ac:dyDescent="0.2">
      <c r="C3131" s="139">
        <v>2905</v>
      </c>
      <c r="D3131" s="248">
        <v>2825.9265999998702</v>
      </c>
      <c r="E3131" s="248">
        <v>2864.9536000001299</v>
      </c>
      <c r="F3131" s="248">
        <v>2915.7612000000699</v>
      </c>
      <c r="G3131" s="248">
        <v>2957.4615999999201</v>
      </c>
      <c r="H3131" s="248">
        <v>3032.28239999993</v>
      </c>
      <c r="I3131"/>
      <c r="J3131"/>
      <c r="K3131"/>
      <c r="L3131"/>
      <c r="M3131"/>
    </row>
    <row r="3132" spans="3:13" hidden="1" outlineLevel="1" x14ac:dyDescent="0.2">
      <c r="C3132" s="139">
        <v>2906</v>
      </c>
      <c r="D3132" s="248">
        <v>2826.9412999998699</v>
      </c>
      <c r="E3132" s="248">
        <v>2865.9398000001302</v>
      </c>
      <c r="F3132" s="248">
        <v>2916.7649000000702</v>
      </c>
      <c r="G3132" s="248">
        <v>2958.4796999999198</v>
      </c>
      <c r="H3132" s="248">
        <v>3033.3261999999299</v>
      </c>
      <c r="I3132"/>
      <c r="J3132"/>
      <c r="K3132"/>
      <c r="L3132"/>
      <c r="M3132"/>
    </row>
    <row r="3133" spans="3:13" hidden="1" outlineLevel="1" x14ac:dyDescent="0.2">
      <c r="C3133" s="139">
        <v>2907</v>
      </c>
      <c r="D3133" s="248">
        <v>2827.9559999998701</v>
      </c>
      <c r="E3133" s="248">
        <v>2866.92600000013</v>
      </c>
      <c r="F3133" s="248">
        <v>2917.7686000000699</v>
      </c>
      <c r="G3133" s="248">
        <v>2959.4977999999201</v>
      </c>
      <c r="H3133" s="248">
        <v>3034.3699999999299</v>
      </c>
      <c r="I3133"/>
      <c r="J3133"/>
      <c r="K3133"/>
      <c r="L3133"/>
      <c r="M3133"/>
    </row>
    <row r="3134" spans="3:13" hidden="1" outlineLevel="1" x14ac:dyDescent="0.2">
      <c r="C3134" s="139">
        <v>2908</v>
      </c>
      <c r="D3134" s="248">
        <v>2828.9706999998698</v>
      </c>
      <c r="E3134" s="248">
        <v>2867.9122000001298</v>
      </c>
      <c r="F3134" s="248">
        <v>2918.7723000000701</v>
      </c>
      <c r="G3134" s="248">
        <v>2960.5158999999198</v>
      </c>
      <c r="H3134" s="248">
        <v>3035.4137999999298</v>
      </c>
      <c r="I3134"/>
      <c r="J3134"/>
      <c r="K3134"/>
      <c r="L3134"/>
      <c r="M3134"/>
    </row>
    <row r="3135" spans="3:13" hidden="1" outlineLevel="1" x14ac:dyDescent="0.2">
      <c r="C3135" s="139">
        <v>2909</v>
      </c>
      <c r="D3135" s="248">
        <v>2829.98539999986</v>
      </c>
      <c r="E3135" s="248">
        <v>2868.8984000001301</v>
      </c>
      <c r="F3135" s="248">
        <v>2919.7760000000699</v>
      </c>
      <c r="G3135" s="248">
        <v>2961.5339999999201</v>
      </c>
      <c r="H3135" s="248">
        <v>3036.4575999999302</v>
      </c>
      <c r="I3135"/>
      <c r="J3135"/>
      <c r="K3135"/>
      <c r="L3135"/>
      <c r="M3135"/>
    </row>
    <row r="3136" spans="3:13" hidden="1" outlineLevel="1" x14ac:dyDescent="0.2">
      <c r="C3136" s="139">
        <v>2910</v>
      </c>
      <c r="D3136" s="248">
        <v>2831.0000999998701</v>
      </c>
      <c r="E3136" s="248">
        <v>2869.8846000001399</v>
      </c>
      <c r="F3136" s="248">
        <v>2920.7797000000701</v>
      </c>
      <c r="G3136" s="248">
        <v>2962.5520999999198</v>
      </c>
      <c r="H3136" s="248">
        <v>3037.5013999999301</v>
      </c>
      <c r="I3136"/>
      <c r="J3136"/>
      <c r="K3136"/>
      <c r="L3136"/>
      <c r="M3136"/>
    </row>
    <row r="3137" spans="3:13" hidden="1" outlineLevel="1" x14ac:dyDescent="0.2">
      <c r="C3137" s="139">
        <v>2911</v>
      </c>
      <c r="D3137" s="248">
        <v>2832.0147999998699</v>
      </c>
      <c r="E3137" s="248">
        <v>2870.8708000001402</v>
      </c>
      <c r="F3137" s="248">
        <v>2921.7834000000698</v>
      </c>
      <c r="G3137" s="248">
        <v>2963.5701999999201</v>
      </c>
      <c r="H3137" s="248">
        <v>3038.54519999993</v>
      </c>
      <c r="I3137"/>
      <c r="J3137"/>
      <c r="K3137"/>
      <c r="L3137"/>
      <c r="M3137"/>
    </row>
    <row r="3138" spans="3:13" hidden="1" outlineLevel="1" x14ac:dyDescent="0.2">
      <c r="C3138" s="139">
        <v>2912</v>
      </c>
      <c r="D3138" s="248">
        <v>2833.02949999986</v>
      </c>
      <c r="E3138" s="248">
        <v>2871.85700000014</v>
      </c>
      <c r="F3138" s="248">
        <v>2922.78710000007</v>
      </c>
      <c r="G3138" s="248">
        <v>2964.5882999999199</v>
      </c>
      <c r="H3138" s="248">
        <v>3039.5889999999299</v>
      </c>
      <c r="I3138"/>
      <c r="J3138"/>
      <c r="K3138"/>
      <c r="L3138"/>
      <c r="M3138"/>
    </row>
    <row r="3139" spans="3:13" hidden="1" outlineLevel="1" x14ac:dyDescent="0.2">
      <c r="C3139" s="139">
        <v>2913</v>
      </c>
      <c r="D3139" s="248">
        <v>2834.0441999998602</v>
      </c>
      <c r="E3139" s="248">
        <v>2872.8432000001399</v>
      </c>
      <c r="F3139" s="248">
        <v>2923.7908000000698</v>
      </c>
      <c r="G3139" s="248">
        <v>2965.6063999999201</v>
      </c>
      <c r="H3139" s="248">
        <v>3040.6327999999298</v>
      </c>
      <c r="I3139"/>
      <c r="J3139"/>
      <c r="K3139"/>
      <c r="L3139"/>
      <c r="M3139"/>
    </row>
    <row r="3140" spans="3:13" hidden="1" outlineLevel="1" x14ac:dyDescent="0.2">
      <c r="C3140" s="139">
        <v>2914</v>
      </c>
      <c r="D3140" s="248">
        <v>2835.0588999998599</v>
      </c>
      <c r="E3140" s="248">
        <v>2873.8294000001401</v>
      </c>
      <c r="F3140" s="248">
        <v>2924.79450000007</v>
      </c>
      <c r="G3140" s="248">
        <v>2966.6244999999199</v>
      </c>
      <c r="H3140" s="248">
        <v>3041.6765999999302</v>
      </c>
      <c r="I3140"/>
      <c r="J3140"/>
      <c r="K3140"/>
      <c r="L3140"/>
      <c r="M3140"/>
    </row>
    <row r="3141" spans="3:13" hidden="1" outlineLevel="1" x14ac:dyDescent="0.2">
      <c r="C3141" s="139">
        <v>2915</v>
      </c>
      <c r="D3141" s="248">
        <v>2836.0735999998601</v>
      </c>
      <c r="E3141" s="248">
        <v>2874.81560000014</v>
      </c>
      <c r="F3141" s="248">
        <v>2925.7982000000702</v>
      </c>
      <c r="G3141" s="248">
        <v>2967.6425999999201</v>
      </c>
      <c r="H3141" s="248">
        <v>3042.7203999999301</v>
      </c>
      <c r="I3141"/>
      <c r="J3141"/>
      <c r="K3141"/>
      <c r="L3141"/>
      <c r="M3141"/>
    </row>
    <row r="3142" spans="3:13" hidden="1" outlineLevel="1" x14ac:dyDescent="0.2">
      <c r="C3142" s="139">
        <v>2916</v>
      </c>
      <c r="D3142" s="248">
        <v>2837.0882999998598</v>
      </c>
      <c r="E3142" s="248">
        <v>2875.8018000001398</v>
      </c>
      <c r="F3142" s="248">
        <v>2926.80190000007</v>
      </c>
      <c r="G3142" s="248">
        <v>2968.6606999999199</v>
      </c>
      <c r="H3142" s="248">
        <v>3043.76419999993</v>
      </c>
      <c r="I3142"/>
      <c r="J3142"/>
      <c r="K3142"/>
      <c r="L3142"/>
      <c r="M3142"/>
    </row>
    <row r="3143" spans="3:13" hidden="1" outlineLevel="1" x14ac:dyDescent="0.2">
      <c r="C3143" s="139">
        <v>2917</v>
      </c>
      <c r="D3143" s="248">
        <v>2838.10299999986</v>
      </c>
      <c r="E3143" s="248">
        <v>2876.7880000001401</v>
      </c>
      <c r="F3143" s="248">
        <v>2927.8056000000702</v>
      </c>
      <c r="G3143" s="248">
        <v>2969.6787999999101</v>
      </c>
      <c r="H3143" s="248">
        <v>3044.80799999993</v>
      </c>
      <c r="I3143"/>
      <c r="J3143"/>
      <c r="K3143"/>
      <c r="L3143"/>
      <c r="M3143"/>
    </row>
    <row r="3144" spans="3:13" hidden="1" outlineLevel="1" x14ac:dyDescent="0.2">
      <c r="C3144" s="139">
        <v>2918</v>
      </c>
      <c r="D3144" s="248">
        <v>2839.1176999998602</v>
      </c>
      <c r="E3144" s="248">
        <v>2877.7742000001399</v>
      </c>
      <c r="F3144" s="248">
        <v>2928.8093000000699</v>
      </c>
      <c r="G3144" s="248">
        <v>2970.6968999999099</v>
      </c>
      <c r="H3144" s="248">
        <v>3045.8517999999299</v>
      </c>
      <c r="I3144"/>
      <c r="J3144"/>
      <c r="K3144"/>
      <c r="L3144"/>
      <c r="M3144"/>
    </row>
    <row r="3145" spans="3:13" hidden="1" outlineLevel="1" x14ac:dyDescent="0.2">
      <c r="C3145" s="139">
        <v>2919</v>
      </c>
      <c r="D3145" s="248">
        <v>2840.1323999998599</v>
      </c>
      <c r="E3145" s="248">
        <v>2878.7604000001402</v>
      </c>
      <c r="F3145" s="248">
        <v>2929.8130000000701</v>
      </c>
      <c r="G3145" s="248">
        <v>2971.7149999999101</v>
      </c>
      <c r="H3145" s="248">
        <v>3046.8955999999298</v>
      </c>
      <c r="I3145"/>
      <c r="J3145"/>
      <c r="K3145"/>
      <c r="L3145"/>
      <c r="M3145"/>
    </row>
    <row r="3146" spans="3:13" hidden="1" outlineLevel="1" x14ac:dyDescent="0.2">
      <c r="C3146" s="139">
        <v>2920</v>
      </c>
      <c r="D3146" s="248">
        <v>2841.1470999998601</v>
      </c>
      <c r="E3146" s="248">
        <v>2879.74660000014</v>
      </c>
      <c r="F3146" s="248">
        <v>2930.8167000000699</v>
      </c>
      <c r="G3146" s="248">
        <v>2972.7330999999099</v>
      </c>
      <c r="H3146" s="248">
        <v>3047.9393999999302</v>
      </c>
      <c r="I3146"/>
      <c r="J3146"/>
      <c r="K3146"/>
      <c r="L3146"/>
      <c r="M3146"/>
    </row>
    <row r="3147" spans="3:13" hidden="1" outlineLevel="1" x14ac:dyDescent="0.2">
      <c r="C3147" s="139">
        <v>2921</v>
      </c>
      <c r="D3147" s="248">
        <v>2842.1617999998598</v>
      </c>
      <c r="E3147" s="248">
        <v>2880.7328000001398</v>
      </c>
      <c r="F3147" s="248">
        <v>2931.8204000000701</v>
      </c>
      <c r="G3147" s="248">
        <v>2973.7511999999101</v>
      </c>
      <c r="H3147" s="248">
        <v>3048.9831999999301</v>
      </c>
      <c r="I3147"/>
      <c r="J3147"/>
      <c r="K3147"/>
      <c r="L3147"/>
      <c r="M3147"/>
    </row>
    <row r="3148" spans="3:13" hidden="1" outlineLevel="1" x14ac:dyDescent="0.2">
      <c r="C3148" s="139">
        <v>2922</v>
      </c>
      <c r="D3148" s="248">
        <v>2843.17649999986</v>
      </c>
      <c r="E3148" s="248">
        <v>2881.7190000001401</v>
      </c>
      <c r="F3148" s="248">
        <v>2932.8241000000698</v>
      </c>
      <c r="G3148" s="248">
        <v>2974.7692999999099</v>
      </c>
      <c r="H3148" s="248">
        <v>3050.02699999993</v>
      </c>
      <c r="I3148"/>
      <c r="J3148"/>
      <c r="K3148"/>
      <c r="L3148"/>
      <c r="M3148"/>
    </row>
    <row r="3149" spans="3:13" hidden="1" outlineLevel="1" x14ac:dyDescent="0.2">
      <c r="C3149" s="139">
        <v>2923</v>
      </c>
      <c r="D3149" s="248">
        <v>2844.1911999998601</v>
      </c>
      <c r="E3149" s="248">
        <v>2882.7052000001399</v>
      </c>
      <c r="F3149" s="248">
        <v>2933.8278000000701</v>
      </c>
      <c r="G3149" s="248">
        <v>2975.7873999999101</v>
      </c>
      <c r="H3149" s="248">
        <v>3051.0707999999299</v>
      </c>
      <c r="I3149"/>
      <c r="J3149"/>
      <c r="K3149"/>
      <c r="L3149"/>
      <c r="M3149"/>
    </row>
    <row r="3150" spans="3:13" hidden="1" outlineLevel="1" x14ac:dyDescent="0.2">
      <c r="C3150" s="139">
        <v>2924</v>
      </c>
      <c r="D3150" s="248">
        <v>2845.2058999998599</v>
      </c>
      <c r="E3150" s="248">
        <v>2883.6914000001402</v>
      </c>
      <c r="F3150" s="248">
        <v>2934.8315000000698</v>
      </c>
      <c r="G3150" s="248">
        <v>2976.8054999999099</v>
      </c>
      <c r="H3150" s="248">
        <v>3052.1145999999299</v>
      </c>
      <c r="I3150"/>
      <c r="J3150"/>
      <c r="K3150"/>
      <c r="L3150"/>
      <c r="M3150"/>
    </row>
    <row r="3151" spans="3:13" hidden="1" outlineLevel="1" x14ac:dyDescent="0.2">
      <c r="C3151" s="139">
        <v>2925</v>
      </c>
      <c r="D3151" s="248">
        <v>2846.22059999986</v>
      </c>
      <c r="E3151" s="248">
        <v>2884.67760000014</v>
      </c>
      <c r="F3151" s="248">
        <v>2935.83520000007</v>
      </c>
      <c r="G3151" s="248">
        <v>2977.8235999999101</v>
      </c>
      <c r="H3151" s="248">
        <v>3053.1583999999302</v>
      </c>
      <c r="I3151"/>
      <c r="J3151"/>
      <c r="K3151"/>
      <c r="L3151"/>
      <c r="M3151"/>
    </row>
    <row r="3152" spans="3:13" hidden="1" outlineLevel="1" x14ac:dyDescent="0.2">
      <c r="C3152" s="139">
        <v>2926</v>
      </c>
      <c r="D3152" s="248">
        <v>2847.2352999998602</v>
      </c>
      <c r="E3152" s="248">
        <v>2885.6638000001399</v>
      </c>
      <c r="F3152" s="248">
        <v>2936.8389000000702</v>
      </c>
      <c r="G3152" s="248">
        <v>2978.8416999999099</v>
      </c>
      <c r="H3152" s="248">
        <v>3054.2021999999301</v>
      </c>
      <c r="I3152"/>
      <c r="J3152"/>
      <c r="K3152"/>
      <c r="L3152"/>
      <c r="M3152"/>
    </row>
    <row r="3153" spans="3:13" hidden="1" outlineLevel="1" x14ac:dyDescent="0.2">
      <c r="C3153" s="139">
        <v>2927</v>
      </c>
      <c r="D3153" s="248">
        <v>2848.2499999998599</v>
      </c>
      <c r="E3153" s="248">
        <v>2886.6500000001402</v>
      </c>
      <c r="F3153" s="248">
        <v>2937.84260000007</v>
      </c>
      <c r="G3153" s="248">
        <v>2979.8597999999101</v>
      </c>
      <c r="H3153" s="248">
        <v>3055.2459999999301</v>
      </c>
      <c r="I3153"/>
      <c r="J3153"/>
      <c r="K3153"/>
      <c r="L3153"/>
      <c r="M3153"/>
    </row>
    <row r="3154" spans="3:13" hidden="1" outlineLevel="1" x14ac:dyDescent="0.2">
      <c r="C3154" s="139">
        <v>2928</v>
      </c>
      <c r="D3154" s="248">
        <v>2849.2646999998601</v>
      </c>
      <c r="E3154" s="248">
        <v>2887.63620000014</v>
      </c>
      <c r="F3154" s="248">
        <v>2938.8463000000702</v>
      </c>
      <c r="G3154" s="248">
        <v>2980.8778999999099</v>
      </c>
      <c r="H3154" s="248">
        <v>3056.28979999993</v>
      </c>
      <c r="I3154"/>
      <c r="J3154"/>
      <c r="K3154"/>
      <c r="L3154"/>
      <c r="M3154"/>
    </row>
    <row r="3155" spans="3:13" hidden="1" outlineLevel="1" x14ac:dyDescent="0.2">
      <c r="C3155" s="139">
        <v>2929</v>
      </c>
      <c r="D3155" s="248">
        <v>2850.2793999998598</v>
      </c>
      <c r="E3155" s="248">
        <v>2888.6224000001398</v>
      </c>
      <c r="F3155" s="248">
        <v>2939.8500000000699</v>
      </c>
      <c r="G3155" s="248">
        <v>2981.8959999999101</v>
      </c>
      <c r="H3155" s="248">
        <v>3057.3335999999299</v>
      </c>
      <c r="I3155"/>
      <c r="J3155"/>
      <c r="K3155"/>
      <c r="L3155"/>
      <c r="M3155"/>
    </row>
    <row r="3156" spans="3:13" hidden="1" outlineLevel="1" x14ac:dyDescent="0.2">
      <c r="C3156" s="139">
        <v>2930</v>
      </c>
      <c r="D3156" s="248">
        <v>2851.29409999986</v>
      </c>
      <c r="E3156" s="248">
        <v>2889.6086000001401</v>
      </c>
      <c r="F3156" s="248">
        <v>2940.8537000000701</v>
      </c>
      <c r="G3156" s="248">
        <v>2982.9140999999099</v>
      </c>
      <c r="H3156" s="248">
        <v>3058.3773999999298</v>
      </c>
      <c r="I3156"/>
      <c r="J3156"/>
      <c r="K3156"/>
      <c r="L3156"/>
      <c r="M3156"/>
    </row>
    <row r="3157" spans="3:13" hidden="1" outlineLevel="1" x14ac:dyDescent="0.2">
      <c r="C3157" s="139">
        <v>2931</v>
      </c>
      <c r="D3157" s="248">
        <v>2852.3087999998602</v>
      </c>
      <c r="E3157" s="248">
        <v>2890.5948000001399</v>
      </c>
      <c r="F3157" s="248">
        <v>2941.8574000000699</v>
      </c>
      <c r="G3157" s="248">
        <v>2983.9321999999102</v>
      </c>
      <c r="H3157" s="248">
        <v>3059.4211999999302</v>
      </c>
      <c r="I3157"/>
      <c r="J3157"/>
      <c r="K3157"/>
      <c r="L3157"/>
      <c r="M3157"/>
    </row>
    <row r="3158" spans="3:13" hidden="1" outlineLevel="1" x14ac:dyDescent="0.2">
      <c r="C3158" s="139">
        <v>2932</v>
      </c>
      <c r="D3158" s="248">
        <v>2853.3234999998599</v>
      </c>
      <c r="E3158" s="248">
        <v>2891.5810000001402</v>
      </c>
      <c r="F3158" s="248">
        <v>2942.8611000000701</v>
      </c>
      <c r="G3158" s="248">
        <v>2984.9502999999099</v>
      </c>
      <c r="H3158" s="248">
        <v>3060.4649999999301</v>
      </c>
      <c r="I3158"/>
      <c r="J3158"/>
      <c r="K3158"/>
      <c r="L3158"/>
      <c r="M3158"/>
    </row>
    <row r="3159" spans="3:13" hidden="1" outlineLevel="1" x14ac:dyDescent="0.2">
      <c r="C3159" s="139">
        <v>2933</v>
      </c>
      <c r="D3159" s="248">
        <v>2854.3381999998601</v>
      </c>
      <c r="E3159" s="248">
        <v>2892.56720000014</v>
      </c>
      <c r="F3159" s="248">
        <v>2943.8648000000699</v>
      </c>
      <c r="G3159" s="248">
        <v>2985.9683999999102</v>
      </c>
      <c r="H3159" s="248">
        <v>3061.50879999993</v>
      </c>
      <c r="I3159"/>
      <c r="J3159"/>
      <c r="K3159"/>
      <c r="L3159"/>
      <c r="M3159"/>
    </row>
    <row r="3160" spans="3:13" hidden="1" outlineLevel="1" x14ac:dyDescent="0.2">
      <c r="C3160" s="139">
        <v>2934</v>
      </c>
      <c r="D3160" s="248">
        <v>2855.3528999998598</v>
      </c>
      <c r="E3160" s="248">
        <v>2893.5534000001398</v>
      </c>
      <c r="F3160" s="248">
        <v>2944.8685000000701</v>
      </c>
      <c r="G3160" s="248">
        <v>2986.9864999999099</v>
      </c>
      <c r="H3160" s="248">
        <v>3062.55259999993</v>
      </c>
      <c r="I3160"/>
      <c r="J3160"/>
      <c r="K3160"/>
      <c r="L3160"/>
      <c r="M3160"/>
    </row>
    <row r="3161" spans="3:13" hidden="1" outlineLevel="1" x14ac:dyDescent="0.2">
      <c r="C3161" s="139">
        <v>2935</v>
      </c>
      <c r="D3161" s="248">
        <v>2856.36759999986</v>
      </c>
      <c r="E3161" s="248">
        <v>2894.5396000001401</v>
      </c>
      <c r="F3161" s="248">
        <v>2945.8722000000698</v>
      </c>
      <c r="G3161" s="248">
        <v>2988.0045999999102</v>
      </c>
      <c r="H3161" s="248">
        <v>3063.5963999999299</v>
      </c>
      <c r="I3161"/>
      <c r="J3161"/>
      <c r="K3161"/>
      <c r="L3161"/>
      <c r="M3161"/>
    </row>
    <row r="3162" spans="3:13" hidden="1" outlineLevel="1" x14ac:dyDescent="0.2">
      <c r="C3162" s="139">
        <v>2936</v>
      </c>
      <c r="D3162" s="248">
        <v>2857.3822999998602</v>
      </c>
      <c r="E3162" s="248">
        <v>2895.52580000014</v>
      </c>
      <c r="F3162" s="248">
        <v>2946.87590000007</v>
      </c>
      <c r="G3162" s="248">
        <v>2989.0226999999099</v>
      </c>
      <c r="H3162" s="248">
        <v>3064.6401999999298</v>
      </c>
      <c r="I3162"/>
      <c r="J3162"/>
      <c r="K3162"/>
      <c r="L3162"/>
      <c r="M3162"/>
    </row>
    <row r="3163" spans="3:13" hidden="1" outlineLevel="1" x14ac:dyDescent="0.2">
      <c r="C3163" s="139">
        <v>2937</v>
      </c>
      <c r="D3163" s="248">
        <v>2858.3969999998599</v>
      </c>
      <c r="E3163" s="248">
        <v>2896.5120000001398</v>
      </c>
      <c r="F3163" s="248">
        <v>2947.8796000000698</v>
      </c>
      <c r="G3163" s="248">
        <v>2990.0407999999102</v>
      </c>
      <c r="H3163" s="248">
        <v>3065.6839999999302</v>
      </c>
      <c r="I3163"/>
      <c r="J3163"/>
      <c r="K3163"/>
      <c r="L3163"/>
      <c r="M3163"/>
    </row>
    <row r="3164" spans="3:13" hidden="1" outlineLevel="1" x14ac:dyDescent="0.2">
      <c r="C3164" s="139">
        <v>2938</v>
      </c>
      <c r="D3164" s="248">
        <v>2859.41169999986</v>
      </c>
      <c r="E3164" s="248">
        <v>2897.4982000001401</v>
      </c>
      <c r="F3164" s="248">
        <v>2948.88330000007</v>
      </c>
      <c r="G3164" s="248">
        <v>2991.05889999991</v>
      </c>
      <c r="H3164" s="248">
        <v>3066.7277999999301</v>
      </c>
      <c r="I3164"/>
      <c r="J3164"/>
      <c r="K3164"/>
      <c r="L3164"/>
      <c r="M3164"/>
    </row>
    <row r="3165" spans="3:13" hidden="1" outlineLevel="1" x14ac:dyDescent="0.2">
      <c r="C3165" s="139">
        <v>2939</v>
      </c>
      <c r="D3165" s="248">
        <v>2860.4263999998602</v>
      </c>
      <c r="E3165" s="248">
        <v>2898.4844000001399</v>
      </c>
      <c r="F3165" s="248">
        <v>2949.8870000000702</v>
      </c>
      <c r="G3165" s="248">
        <v>2992.0769999999102</v>
      </c>
      <c r="H3165" s="248">
        <v>3067.77159999993</v>
      </c>
      <c r="I3165"/>
      <c r="J3165"/>
      <c r="K3165"/>
      <c r="L3165"/>
      <c r="M3165"/>
    </row>
    <row r="3166" spans="3:13" hidden="1" outlineLevel="1" x14ac:dyDescent="0.2">
      <c r="C3166" s="139">
        <v>2940</v>
      </c>
      <c r="D3166" s="248">
        <v>2861.4410999998599</v>
      </c>
      <c r="E3166" s="248">
        <v>2899.4706000001402</v>
      </c>
      <c r="F3166" s="248">
        <v>2950.89070000007</v>
      </c>
      <c r="G3166" s="248">
        <v>2993.09509999991</v>
      </c>
      <c r="H3166" s="248">
        <v>3068.8153999999299</v>
      </c>
      <c r="I3166"/>
      <c r="J3166"/>
      <c r="K3166"/>
      <c r="L3166"/>
      <c r="M3166"/>
    </row>
    <row r="3167" spans="3:13" hidden="1" outlineLevel="1" x14ac:dyDescent="0.2">
      <c r="C3167" s="139">
        <v>2941</v>
      </c>
      <c r="D3167" s="248">
        <v>2862.4557999998601</v>
      </c>
      <c r="E3167" s="248">
        <v>2900.45680000014</v>
      </c>
      <c r="F3167" s="248">
        <v>2951.8944000000802</v>
      </c>
      <c r="G3167" s="248">
        <v>2994.1131999999102</v>
      </c>
      <c r="H3167" s="248">
        <v>3069.8591999999298</v>
      </c>
      <c r="I3167"/>
      <c r="J3167"/>
      <c r="K3167"/>
      <c r="L3167"/>
      <c r="M3167"/>
    </row>
    <row r="3168" spans="3:13" hidden="1" outlineLevel="1" x14ac:dyDescent="0.2">
      <c r="C3168" s="139">
        <v>2942</v>
      </c>
      <c r="D3168" s="248">
        <v>2863.4704999998598</v>
      </c>
      <c r="E3168" s="248">
        <v>2901.4430000001398</v>
      </c>
      <c r="F3168" s="248">
        <v>2952.8981000000699</v>
      </c>
      <c r="G3168" s="248">
        <v>2995.13129999991</v>
      </c>
      <c r="H3168" s="248">
        <v>3070.9029999999302</v>
      </c>
      <c r="I3168"/>
      <c r="J3168"/>
      <c r="K3168"/>
      <c r="L3168"/>
      <c r="M3168"/>
    </row>
    <row r="3169" spans="3:13" hidden="1" outlineLevel="1" x14ac:dyDescent="0.2">
      <c r="C3169" s="139">
        <v>2943</v>
      </c>
      <c r="D3169" s="248">
        <v>2864.48519999986</v>
      </c>
      <c r="E3169" s="248">
        <v>2902.4292000001401</v>
      </c>
      <c r="F3169" s="248">
        <v>2953.9018000000801</v>
      </c>
      <c r="G3169" s="248">
        <v>2996.1493999999102</v>
      </c>
      <c r="H3169" s="248">
        <v>3071.9467999999301</v>
      </c>
      <c r="I3169"/>
      <c r="J3169"/>
      <c r="K3169"/>
      <c r="L3169"/>
      <c r="M3169"/>
    </row>
    <row r="3170" spans="3:13" hidden="1" outlineLevel="1" x14ac:dyDescent="0.2">
      <c r="C3170" s="139">
        <v>2944</v>
      </c>
      <c r="D3170" s="248">
        <v>2865.4998999998602</v>
      </c>
      <c r="E3170" s="248">
        <v>2903.4154000001399</v>
      </c>
      <c r="F3170" s="248">
        <v>2954.9055000000699</v>
      </c>
      <c r="G3170" s="248">
        <v>2997.16749999991</v>
      </c>
      <c r="H3170" s="248">
        <v>3072.9905999999301</v>
      </c>
      <c r="I3170"/>
      <c r="J3170"/>
      <c r="K3170"/>
      <c r="L3170"/>
      <c r="M3170"/>
    </row>
    <row r="3171" spans="3:13" hidden="1" outlineLevel="1" x14ac:dyDescent="0.2">
      <c r="C3171" s="139">
        <v>2945</v>
      </c>
      <c r="D3171" s="248">
        <v>2866.5145999998599</v>
      </c>
      <c r="E3171" s="248">
        <v>2904.4016000001402</v>
      </c>
      <c r="F3171" s="248">
        <v>2955.9092000000801</v>
      </c>
      <c r="G3171" s="248">
        <v>2998.1855999999102</v>
      </c>
      <c r="H3171" s="248">
        <v>3074.03439999993</v>
      </c>
      <c r="I3171"/>
      <c r="J3171"/>
      <c r="K3171"/>
      <c r="L3171"/>
      <c r="M3171"/>
    </row>
    <row r="3172" spans="3:13" hidden="1" outlineLevel="1" x14ac:dyDescent="0.2">
      <c r="C3172" s="139">
        <v>2946</v>
      </c>
      <c r="D3172" s="248">
        <v>2867.5292999998601</v>
      </c>
      <c r="E3172" s="248">
        <v>2905.38780000015</v>
      </c>
      <c r="F3172" s="248">
        <v>2956.9129000000798</v>
      </c>
      <c r="G3172" s="248">
        <v>2999.20369999991</v>
      </c>
      <c r="H3172" s="248">
        <v>3075.0781999999299</v>
      </c>
      <c r="I3172"/>
      <c r="J3172"/>
      <c r="K3172"/>
      <c r="L3172"/>
      <c r="M3172"/>
    </row>
    <row r="3173" spans="3:13" hidden="1" outlineLevel="1" x14ac:dyDescent="0.2">
      <c r="C3173" s="139">
        <v>2947</v>
      </c>
      <c r="D3173" s="248">
        <v>2868.5439999998598</v>
      </c>
      <c r="E3173" s="248">
        <v>2906.3740000001499</v>
      </c>
      <c r="F3173" s="248">
        <v>2957.9166000000801</v>
      </c>
      <c r="G3173" s="248">
        <v>3000.2217999999102</v>
      </c>
      <c r="H3173" s="248">
        <v>3076.1219999999298</v>
      </c>
      <c r="I3173"/>
      <c r="J3173"/>
      <c r="K3173"/>
      <c r="L3173"/>
      <c r="M3173"/>
    </row>
    <row r="3174" spans="3:13" hidden="1" outlineLevel="1" x14ac:dyDescent="0.2">
      <c r="C3174" s="139">
        <v>2948</v>
      </c>
      <c r="D3174" s="248">
        <v>2869.55869999985</v>
      </c>
      <c r="E3174" s="248">
        <v>2907.3602000001501</v>
      </c>
      <c r="F3174" s="248">
        <v>2958.9203000000798</v>
      </c>
      <c r="G3174" s="248">
        <v>3001.23989999991</v>
      </c>
      <c r="H3174" s="248">
        <v>3077.1657999999302</v>
      </c>
      <c r="I3174"/>
      <c r="J3174"/>
      <c r="K3174"/>
      <c r="L3174"/>
      <c r="M3174"/>
    </row>
    <row r="3175" spans="3:13" hidden="1" outlineLevel="1" x14ac:dyDescent="0.2">
      <c r="C3175" s="139">
        <v>2949</v>
      </c>
      <c r="D3175" s="248">
        <v>2870.5733999998502</v>
      </c>
      <c r="E3175" s="248">
        <v>2908.34640000015</v>
      </c>
      <c r="F3175" s="248">
        <v>2959.92400000008</v>
      </c>
      <c r="G3175" s="248">
        <v>3002.2579999999102</v>
      </c>
      <c r="H3175" s="248">
        <v>3078.2095999999301</v>
      </c>
      <c r="I3175"/>
      <c r="J3175"/>
      <c r="K3175"/>
      <c r="L3175"/>
      <c r="M3175"/>
    </row>
    <row r="3176" spans="3:13" hidden="1" outlineLevel="1" x14ac:dyDescent="0.2">
      <c r="C3176" s="139">
        <v>2950</v>
      </c>
      <c r="D3176" s="248">
        <v>2871.5880999998499</v>
      </c>
      <c r="E3176" s="248">
        <v>2909.3326000001498</v>
      </c>
      <c r="F3176" s="248">
        <v>2960.9277000000802</v>
      </c>
      <c r="G3176" s="248">
        <v>3003.27609999991</v>
      </c>
      <c r="H3176" s="248">
        <v>3079.25339999993</v>
      </c>
      <c r="I3176"/>
      <c r="J3176"/>
      <c r="K3176"/>
      <c r="L3176"/>
      <c r="M3176"/>
    </row>
    <row r="3177" spans="3:13" hidden="1" outlineLevel="1" x14ac:dyDescent="0.2">
      <c r="C3177" s="139">
        <v>2951</v>
      </c>
      <c r="D3177" s="248">
        <v>2872.60279999985</v>
      </c>
      <c r="E3177" s="248">
        <v>2910.3188000001501</v>
      </c>
      <c r="F3177" s="248">
        <v>2961.93140000008</v>
      </c>
      <c r="G3177" s="248">
        <v>3004.2941999999098</v>
      </c>
      <c r="H3177" s="248">
        <v>3080.2971999999299</v>
      </c>
      <c r="I3177"/>
      <c r="J3177"/>
      <c r="K3177"/>
      <c r="L3177"/>
      <c r="M3177"/>
    </row>
    <row r="3178" spans="3:13" hidden="1" outlineLevel="1" x14ac:dyDescent="0.2">
      <c r="C3178" s="139">
        <v>2952</v>
      </c>
      <c r="D3178" s="248">
        <v>2873.6174999998502</v>
      </c>
      <c r="E3178" s="248">
        <v>2911.3050000001499</v>
      </c>
      <c r="F3178" s="248">
        <v>2962.9351000000802</v>
      </c>
      <c r="G3178" s="248">
        <v>3005.31229999991</v>
      </c>
      <c r="H3178" s="248">
        <v>3081.3409999999299</v>
      </c>
      <c r="I3178"/>
      <c r="J3178"/>
      <c r="K3178"/>
      <c r="L3178"/>
      <c r="M3178"/>
    </row>
    <row r="3179" spans="3:13" hidden="1" outlineLevel="1" x14ac:dyDescent="0.2">
      <c r="C3179" s="139">
        <v>2953</v>
      </c>
      <c r="D3179" s="248">
        <v>2874.6321999998499</v>
      </c>
      <c r="E3179" s="248">
        <v>2912.2912000001502</v>
      </c>
      <c r="F3179" s="248">
        <v>2963.9388000000799</v>
      </c>
      <c r="G3179" s="248">
        <v>3006.3303999999098</v>
      </c>
      <c r="H3179" s="248">
        <v>3082.3847999999298</v>
      </c>
      <c r="I3179"/>
      <c r="J3179"/>
      <c r="K3179"/>
      <c r="L3179"/>
      <c r="M3179"/>
    </row>
    <row r="3180" spans="3:13" hidden="1" outlineLevel="1" x14ac:dyDescent="0.2">
      <c r="C3180" s="139">
        <v>2954</v>
      </c>
      <c r="D3180" s="248">
        <v>2875.6468999998501</v>
      </c>
      <c r="E3180" s="248">
        <v>2913.27740000015</v>
      </c>
      <c r="F3180" s="248">
        <v>2964.9425000000801</v>
      </c>
      <c r="G3180" s="248">
        <v>3007.34849999991</v>
      </c>
      <c r="H3180" s="248">
        <v>3083.4285999999302</v>
      </c>
      <c r="I3180"/>
      <c r="J3180"/>
      <c r="K3180"/>
      <c r="L3180"/>
      <c r="M3180"/>
    </row>
    <row r="3181" spans="3:13" hidden="1" outlineLevel="1" x14ac:dyDescent="0.2">
      <c r="C3181" s="139">
        <v>2955</v>
      </c>
      <c r="D3181" s="248">
        <v>2876.6615999998498</v>
      </c>
      <c r="E3181" s="248">
        <v>2914.2636000001498</v>
      </c>
      <c r="F3181" s="248">
        <v>2965.9462000000799</v>
      </c>
      <c r="G3181" s="248">
        <v>3008.3665999999098</v>
      </c>
      <c r="H3181" s="248">
        <v>3084.4723999999301</v>
      </c>
      <c r="I3181"/>
      <c r="J3181"/>
      <c r="K3181"/>
      <c r="L3181"/>
      <c r="M3181"/>
    </row>
    <row r="3182" spans="3:13" hidden="1" outlineLevel="1" x14ac:dyDescent="0.2">
      <c r="C3182" s="139">
        <v>2956</v>
      </c>
      <c r="D3182" s="248">
        <v>2877.67629999985</v>
      </c>
      <c r="E3182" s="248">
        <v>2915.2498000001501</v>
      </c>
      <c r="F3182" s="248">
        <v>2966.9499000000801</v>
      </c>
      <c r="G3182" s="248">
        <v>3009.38469999991</v>
      </c>
      <c r="H3182" s="248">
        <v>3085.51619999993</v>
      </c>
      <c r="I3182"/>
      <c r="J3182"/>
      <c r="K3182"/>
      <c r="L3182"/>
      <c r="M3182"/>
    </row>
    <row r="3183" spans="3:13" hidden="1" outlineLevel="1" x14ac:dyDescent="0.2">
      <c r="C3183" s="139">
        <v>2957</v>
      </c>
      <c r="D3183" s="248">
        <v>2878.6909999998502</v>
      </c>
      <c r="E3183" s="248">
        <v>2916.2360000001499</v>
      </c>
      <c r="F3183" s="248">
        <v>2967.9536000000799</v>
      </c>
      <c r="G3183" s="248">
        <v>3010.4027999999098</v>
      </c>
      <c r="H3183" s="248">
        <v>3086.5599999999299</v>
      </c>
      <c r="I3183"/>
      <c r="J3183"/>
      <c r="K3183"/>
      <c r="L3183"/>
      <c r="M3183"/>
    </row>
    <row r="3184" spans="3:13" hidden="1" outlineLevel="1" x14ac:dyDescent="0.2">
      <c r="C3184" s="139">
        <v>2958</v>
      </c>
      <c r="D3184" s="248">
        <v>2879.7056999998499</v>
      </c>
      <c r="E3184" s="248">
        <v>2917.2222000001502</v>
      </c>
      <c r="F3184" s="248">
        <v>2968.9573000000801</v>
      </c>
      <c r="G3184" s="248">
        <v>3011.42089999991</v>
      </c>
      <c r="H3184" s="248">
        <v>3087.6037999999298</v>
      </c>
      <c r="I3184"/>
      <c r="J3184"/>
      <c r="K3184"/>
      <c r="L3184"/>
      <c r="M3184"/>
    </row>
    <row r="3185" spans="3:13" hidden="1" outlineLevel="1" x14ac:dyDescent="0.2">
      <c r="C3185" s="139">
        <v>2959</v>
      </c>
      <c r="D3185" s="248">
        <v>2880.7203999998501</v>
      </c>
      <c r="E3185" s="248">
        <v>2918.20840000015</v>
      </c>
      <c r="F3185" s="248">
        <v>2969.9610000000798</v>
      </c>
      <c r="G3185" s="248">
        <v>3012.4389999999098</v>
      </c>
      <c r="H3185" s="248">
        <v>3088.6475999999302</v>
      </c>
      <c r="I3185"/>
      <c r="J3185"/>
      <c r="K3185"/>
      <c r="L3185"/>
      <c r="M3185"/>
    </row>
    <row r="3186" spans="3:13" hidden="1" outlineLevel="1" x14ac:dyDescent="0.2">
      <c r="C3186" s="139">
        <v>2960</v>
      </c>
      <c r="D3186" s="248">
        <v>2881.7350999998498</v>
      </c>
      <c r="E3186" s="248">
        <v>2919.1946000001499</v>
      </c>
      <c r="F3186" s="248">
        <v>2970.96470000008</v>
      </c>
      <c r="G3186" s="248">
        <v>3013.45709999991</v>
      </c>
      <c r="H3186" s="248">
        <v>3089.6913999999301</v>
      </c>
      <c r="I3186"/>
      <c r="J3186"/>
      <c r="K3186"/>
      <c r="L3186"/>
      <c r="M3186"/>
    </row>
    <row r="3187" spans="3:13" hidden="1" outlineLevel="1" x14ac:dyDescent="0.2">
      <c r="C3187" s="139">
        <v>2961</v>
      </c>
      <c r="D3187" s="248">
        <v>2882.74979999985</v>
      </c>
      <c r="E3187" s="248">
        <v>2920.1808000001502</v>
      </c>
      <c r="F3187" s="248">
        <v>2971.9684000000798</v>
      </c>
      <c r="G3187" s="248">
        <v>3014.4751999999098</v>
      </c>
      <c r="H3187" s="248">
        <v>3090.73519999993</v>
      </c>
      <c r="I3187"/>
      <c r="J3187"/>
      <c r="K3187"/>
      <c r="L3187"/>
      <c r="M3187"/>
    </row>
    <row r="3188" spans="3:13" hidden="1" outlineLevel="1" x14ac:dyDescent="0.2">
      <c r="C3188" s="139">
        <v>2962</v>
      </c>
      <c r="D3188" s="248">
        <v>2883.7644999998502</v>
      </c>
      <c r="E3188" s="248">
        <v>2921.16700000015</v>
      </c>
      <c r="F3188" s="248">
        <v>2972.97210000008</v>
      </c>
      <c r="G3188" s="248">
        <v>3015.4932999999</v>
      </c>
      <c r="H3188" s="248">
        <v>3091.77899999992</v>
      </c>
      <c r="I3188"/>
      <c r="J3188"/>
      <c r="K3188"/>
      <c r="L3188"/>
      <c r="M3188"/>
    </row>
    <row r="3189" spans="3:13" hidden="1" outlineLevel="1" x14ac:dyDescent="0.2">
      <c r="C3189" s="139">
        <v>2963</v>
      </c>
      <c r="D3189" s="248">
        <v>2884.7791999998499</v>
      </c>
      <c r="E3189" s="248">
        <v>2922.1532000001498</v>
      </c>
      <c r="F3189" s="248">
        <v>2973.9758000000802</v>
      </c>
      <c r="G3189" s="248">
        <v>3016.5113999998998</v>
      </c>
      <c r="H3189" s="248">
        <v>3092.8227999999199</v>
      </c>
      <c r="I3189"/>
      <c r="J3189"/>
      <c r="K3189"/>
      <c r="L3189"/>
      <c r="M3189"/>
    </row>
    <row r="3190" spans="3:13" hidden="1" outlineLevel="1" x14ac:dyDescent="0.2">
      <c r="C3190" s="139">
        <v>2964</v>
      </c>
      <c r="D3190" s="248">
        <v>2885.7938999998501</v>
      </c>
      <c r="E3190" s="248">
        <v>2923.1394000001501</v>
      </c>
      <c r="F3190" s="248">
        <v>2974.97950000008</v>
      </c>
      <c r="G3190" s="248">
        <v>3017.5294999999001</v>
      </c>
      <c r="H3190" s="248">
        <v>3093.8665999999198</v>
      </c>
      <c r="I3190"/>
      <c r="J3190"/>
      <c r="K3190"/>
      <c r="L3190"/>
      <c r="M3190"/>
    </row>
    <row r="3191" spans="3:13" hidden="1" outlineLevel="1" x14ac:dyDescent="0.2">
      <c r="C3191" s="139">
        <v>2965</v>
      </c>
      <c r="D3191" s="248">
        <v>2886.8085999998498</v>
      </c>
      <c r="E3191" s="248">
        <v>2924.1256000001499</v>
      </c>
      <c r="F3191" s="248">
        <v>2975.9832000000802</v>
      </c>
      <c r="G3191" s="248">
        <v>3018.5475999998998</v>
      </c>
      <c r="H3191" s="248">
        <v>3094.9103999999302</v>
      </c>
      <c r="I3191"/>
      <c r="J3191"/>
      <c r="K3191"/>
      <c r="L3191"/>
      <c r="M3191"/>
    </row>
    <row r="3192" spans="3:13" hidden="1" outlineLevel="1" x14ac:dyDescent="0.2">
      <c r="C3192" s="139">
        <v>2966</v>
      </c>
      <c r="D3192" s="248">
        <v>2887.82329999985</v>
      </c>
      <c r="E3192" s="248">
        <v>2925.1118000001502</v>
      </c>
      <c r="F3192" s="248">
        <v>2976.9869000000799</v>
      </c>
      <c r="G3192" s="248">
        <v>3019.5656999999001</v>
      </c>
      <c r="H3192" s="248">
        <v>3095.9541999999301</v>
      </c>
      <c r="I3192"/>
      <c r="J3192"/>
      <c r="K3192"/>
      <c r="L3192"/>
      <c r="M3192"/>
    </row>
    <row r="3193" spans="3:13" hidden="1" outlineLevel="1" x14ac:dyDescent="0.2">
      <c r="C3193" s="139">
        <v>2967</v>
      </c>
      <c r="D3193" s="248">
        <v>2888.8379999998501</v>
      </c>
      <c r="E3193" s="248">
        <v>2926.09800000015</v>
      </c>
      <c r="F3193" s="248">
        <v>2977.9906000000801</v>
      </c>
      <c r="G3193" s="248">
        <v>3020.5837999998998</v>
      </c>
      <c r="H3193" s="248">
        <v>3096.99799999993</v>
      </c>
      <c r="I3193"/>
      <c r="J3193"/>
      <c r="K3193"/>
      <c r="L3193"/>
      <c r="M3193"/>
    </row>
    <row r="3194" spans="3:13" hidden="1" outlineLevel="1" x14ac:dyDescent="0.2">
      <c r="C3194" s="139">
        <v>2968</v>
      </c>
      <c r="D3194" s="248">
        <v>2889.8526999998498</v>
      </c>
      <c r="E3194" s="248">
        <v>2927.0842000001498</v>
      </c>
      <c r="F3194" s="248">
        <v>2978.9943000000799</v>
      </c>
      <c r="G3194" s="248">
        <v>3021.6018999999001</v>
      </c>
      <c r="H3194" s="248">
        <v>3098.0417999999199</v>
      </c>
      <c r="I3194"/>
      <c r="J3194"/>
      <c r="K3194"/>
      <c r="L3194"/>
      <c r="M3194"/>
    </row>
    <row r="3195" spans="3:13" hidden="1" outlineLevel="1" x14ac:dyDescent="0.2">
      <c r="C3195" s="139">
        <v>2969</v>
      </c>
      <c r="D3195" s="248">
        <v>2890.86739999985</v>
      </c>
      <c r="E3195" s="248">
        <v>2928.0704000001501</v>
      </c>
      <c r="F3195" s="248">
        <v>2979.9980000000801</v>
      </c>
      <c r="G3195" s="248">
        <v>3022.6199999998998</v>
      </c>
      <c r="H3195" s="248">
        <v>3099.0855999999199</v>
      </c>
      <c r="I3195"/>
      <c r="J3195"/>
      <c r="K3195"/>
      <c r="L3195"/>
      <c r="M3195"/>
    </row>
    <row r="3196" spans="3:13" hidden="1" outlineLevel="1" x14ac:dyDescent="0.2">
      <c r="C3196" s="139">
        <v>2970</v>
      </c>
      <c r="D3196" s="248">
        <v>2891.8820999998502</v>
      </c>
      <c r="E3196" s="248">
        <v>2929.05660000015</v>
      </c>
      <c r="F3196" s="248">
        <v>2981.0017000000798</v>
      </c>
      <c r="G3196" s="248">
        <v>3023.6380999999001</v>
      </c>
      <c r="H3196" s="248">
        <v>3100.1293999999298</v>
      </c>
      <c r="I3196"/>
      <c r="J3196"/>
      <c r="K3196"/>
      <c r="L3196"/>
      <c r="M3196"/>
    </row>
    <row r="3197" spans="3:13" hidden="1" outlineLevel="1" x14ac:dyDescent="0.2">
      <c r="C3197" s="139">
        <v>2971</v>
      </c>
      <c r="D3197" s="248">
        <v>2892.8967999998499</v>
      </c>
      <c r="E3197" s="248">
        <v>2930.0428000001498</v>
      </c>
      <c r="F3197" s="248">
        <v>2982.00540000008</v>
      </c>
      <c r="G3197" s="248">
        <v>3024.6561999998999</v>
      </c>
      <c r="H3197" s="248">
        <v>3101.1731999999301</v>
      </c>
      <c r="I3197"/>
      <c r="J3197"/>
      <c r="K3197"/>
      <c r="L3197"/>
      <c r="M3197"/>
    </row>
    <row r="3198" spans="3:13" hidden="1" outlineLevel="1" x14ac:dyDescent="0.2">
      <c r="C3198" s="139">
        <v>2972</v>
      </c>
      <c r="D3198" s="248">
        <v>2893.9114999998501</v>
      </c>
      <c r="E3198" s="248">
        <v>2931.0290000001501</v>
      </c>
      <c r="F3198" s="248">
        <v>2983.0091000000798</v>
      </c>
      <c r="G3198" s="248">
        <v>3025.6742999999001</v>
      </c>
      <c r="H3198" s="248">
        <v>3102.2169999999301</v>
      </c>
      <c r="I3198"/>
      <c r="J3198"/>
      <c r="K3198"/>
      <c r="L3198"/>
      <c r="M3198"/>
    </row>
    <row r="3199" spans="3:13" hidden="1" outlineLevel="1" x14ac:dyDescent="0.2">
      <c r="C3199" s="139">
        <v>2973</v>
      </c>
      <c r="D3199" s="248">
        <v>2894.9261999998498</v>
      </c>
      <c r="E3199" s="248">
        <v>2932.0152000001499</v>
      </c>
      <c r="F3199" s="248">
        <v>2984.01280000008</v>
      </c>
      <c r="G3199" s="248">
        <v>3026.6923999998999</v>
      </c>
      <c r="H3199" s="248">
        <v>3103.26079999992</v>
      </c>
      <c r="I3199"/>
      <c r="J3199"/>
      <c r="K3199"/>
      <c r="L3199"/>
      <c r="M3199"/>
    </row>
    <row r="3200" spans="3:13" hidden="1" outlineLevel="1" x14ac:dyDescent="0.2">
      <c r="C3200" s="139">
        <v>2974</v>
      </c>
      <c r="D3200" s="248">
        <v>2895.94089999985</v>
      </c>
      <c r="E3200" s="248">
        <v>2933.0014000001502</v>
      </c>
      <c r="F3200" s="248">
        <v>2985.0165000000802</v>
      </c>
      <c r="G3200" s="248">
        <v>3027.7104999999001</v>
      </c>
      <c r="H3200" s="248">
        <v>3104.3045999999199</v>
      </c>
      <c r="I3200"/>
      <c r="J3200"/>
      <c r="K3200"/>
      <c r="L3200"/>
      <c r="M3200"/>
    </row>
    <row r="3201" spans="3:13" hidden="1" outlineLevel="1" x14ac:dyDescent="0.2">
      <c r="C3201" s="139">
        <v>2975</v>
      </c>
      <c r="D3201" s="248">
        <v>2896.9555999998502</v>
      </c>
      <c r="E3201" s="248">
        <v>2933.98760000015</v>
      </c>
      <c r="F3201" s="248">
        <v>2986.02020000008</v>
      </c>
      <c r="G3201" s="248">
        <v>3028.7285999998999</v>
      </c>
      <c r="H3201" s="248">
        <v>3105.3483999999198</v>
      </c>
      <c r="I3201"/>
      <c r="J3201"/>
      <c r="K3201"/>
      <c r="L3201"/>
      <c r="M3201"/>
    </row>
    <row r="3202" spans="3:13" hidden="1" outlineLevel="1" x14ac:dyDescent="0.2">
      <c r="C3202" s="139">
        <v>2976</v>
      </c>
      <c r="D3202" s="248">
        <v>2897.9702999998499</v>
      </c>
      <c r="E3202" s="248">
        <v>2934.9738000001498</v>
      </c>
      <c r="F3202" s="248">
        <v>2987.0239000000802</v>
      </c>
      <c r="G3202" s="248">
        <v>3029.7466999999001</v>
      </c>
      <c r="H3202" s="248">
        <v>3106.3921999999202</v>
      </c>
      <c r="I3202"/>
      <c r="J3202"/>
      <c r="K3202"/>
      <c r="L3202"/>
      <c r="M3202"/>
    </row>
    <row r="3203" spans="3:13" hidden="1" outlineLevel="1" x14ac:dyDescent="0.2">
      <c r="C3203" s="139">
        <v>2977</v>
      </c>
      <c r="D3203" s="248">
        <v>2898.9849999998501</v>
      </c>
      <c r="E3203" s="248">
        <v>2935.9600000001501</v>
      </c>
      <c r="F3203" s="248">
        <v>2988.0276000000799</v>
      </c>
      <c r="G3203" s="248">
        <v>3030.7647999998999</v>
      </c>
      <c r="H3203" s="248">
        <v>3107.4359999999201</v>
      </c>
      <c r="I3203"/>
      <c r="J3203"/>
      <c r="K3203"/>
      <c r="L3203"/>
      <c r="M3203"/>
    </row>
    <row r="3204" spans="3:13" hidden="1" outlineLevel="1" x14ac:dyDescent="0.2">
      <c r="C3204" s="139">
        <v>2978</v>
      </c>
      <c r="D3204" s="248">
        <v>2899.9996999998498</v>
      </c>
      <c r="E3204" s="248">
        <v>2936.9462000001499</v>
      </c>
      <c r="F3204" s="248">
        <v>2989.0313000000801</v>
      </c>
      <c r="G3204" s="248">
        <v>3031.7828999999001</v>
      </c>
      <c r="H3204" s="248">
        <v>3108.47979999992</v>
      </c>
      <c r="I3204"/>
      <c r="J3204"/>
      <c r="K3204"/>
      <c r="L3204"/>
      <c r="M3204"/>
    </row>
    <row r="3205" spans="3:13" hidden="1" outlineLevel="1" x14ac:dyDescent="0.2">
      <c r="C3205" s="139">
        <v>2979</v>
      </c>
      <c r="D3205" s="248">
        <v>2901.01439999985</v>
      </c>
      <c r="E3205" s="248">
        <v>2937.9324000001502</v>
      </c>
      <c r="F3205" s="248">
        <v>2990.0350000000799</v>
      </c>
      <c r="G3205" s="248">
        <v>3032.8009999998999</v>
      </c>
      <c r="H3205" s="248">
        <v>3109.52359999992</v>
      </c>
      <c r="I3205"/>
      <c r="J3205"/>
      <c r="K3205"/>
      <c r="L3205"/>
      <c r="M3205"/>
    </row>
    <row r="3206" spans="3:13" hidden="1" outlineLevel="1" x14ac:dyDescent="0.2">
      <c r="C3206" s="139">
        <v>2980</v>
      </c>
      <c r="D3206" s="248">
        <v>2902.0290999998501</v>
      </c>
      <c r="E3206" s="248">
        <v>2938.91860000015</v>
      </c>
      <c r="F3206" s="248">
        <v>2991.0387000000801</v>
      </c>
      <c r="G3206" s="248">
        <v>3033.8190999999001</v>
      </c>
      <c r="H3206" s="248">
        <v>3110.5673999999199</v>
      </c>
      <c r="I3206"/>
      <c r="J3206"/>
      <c r="K3206"/>
      <c r="L3206"/>
      <c r="M3206"/>
    </row>
    <row r="3207" spans="3:13" hidden="1" outlineLevel="1" x14ac:dyDescent="0.2">
      <c r="C3207" s="139">
        <v>2981</v>
      </c>
      <c r="D3207" s="248">
        <v>2903.0437999998499</v>
      </c>
      <c r="E3207" s="248">
        <v>2939.9048000001599</v>
      </c>
      <c r="F3207" s="248">
        <v>2992.0424000000799</v>
      </c>
      <c r="G3207" s="248">
        <v>3034.8371999998999</v>
      </c>
      <c r="H3207" s="248">
        <v>3111.6111999999198</v>
      </c>
      <c r="I3207"/>
      <c r="J3207"/>
      <c r="K3207"/>
      <c r="L3207"/>
      <c r="M3207"/>
    </row>
    <row r="3208" spans="3:13" hidden="1" outlineLevel="1" x14ac:dyDescent="0.2">
      <c r="C3208" s="139">
        <v>2982</v>
      </c>
      <c r="D3208" s="248">
        <v>2904.05849999985</v>
      </c>
      <c r="E3208" s="248">
        <v>2940.8910000001601</v>
      </c>
      <c r="F3208" s="248">
        <v>2993.0461000000801</v>
      </c>
      <c r="G3208" s="248">
        <v>3035.8552999999001</v>
      </c>
      <c r="H3208" s="248">
        <v>3112.6549999999202</v>
      </c>
      <c r="I3208"/>
      <c r="J3208"/>
      <c r="K3208"/>
      <c r="L3208"/>
      <c r="M3208"/>
    </row>
    <row r="3209" spans="3:13" hidden="1" outlineLevel="1" x14ac:dyDescent="0.2">
      <c r="C3209" s="139">
        <v>2983</v>
      </c>
      <c r="D3209" s="248">
        <v>2905.0731999998502</v>
      </c>
      <c r="E3209" s="248">
        <v>2941.87720000016</v>
      </c>
      <c r="F3209" s="248">
        <v>2994.0498000000798</v>
      </c>
      <c r="G3209" s="248">
        <v>3036.8733999998999</v>
      </c>
      <c r="H3209" s="248">
        <v>3113.6987999999201</v>
      </c>
      <c r="I3209"/>
      <c r="J3209"/>
      <c r="K3209"/>
      <c r="L3209"/>
      <c r="M3209"/>
    </row>
    <row r="3210" spans="3:13" hidden="1" outlineLevel="1" x14ac:dyDescent="0.2">
      <c r="C3210" s="139">
        <v>2984</v>
      </c>
      <c r="D3210" s="248">
        <v>2906.0878999998399</v>
      </c>
      <c r="E3210" s="248">
        <v>2942.8634000001598</v>
      </c>
      <c r="F3210" s="248">
        <v>2995.05350000008</v>
      </c>
      <c r="G3210" s="248">
        <v>3037.8914999999001</v>
      </c>
      <c r="H3210" s="248">
        <v>3114.74259999992</v>
      </c>
      <c r="I3210"/>
      <c r="J3210"/>
      <c r="K3210"/>
      <c r="L3210"/>
      <c r="M3210"/>
    </row>
    <row r="3211" spans="3:13" hidden="1" outlineLevel="1" x14ac:dyDescent="0.2">
      <c r="C3211" s="139">
        <v>2985</v>
      </c>
      <c r="D3211" s="248">
        <v>2907.1025999998401</v>
      </c>
      <c r="E3211" s="248">
        <v>2943.8496000001601</v>
      </c>
      <c r="F3211" s="248">
        <v>2996.0572000000798</v>
      </c>
      <c r="G3211" s="248">
        <v>3038.9095999998999</v>
      </c>
      <c r="H3211" s="248">
        <v>3115.7863999999199</v>
      </c>
      <c r="I3211"/>
      <c r="J3211"/>
      <c r="K3211"/>
      <c r="L3211"/>
      <c r="M3211"/>
    </row>
    <row r="3212" spans="3:13" hidden="1" outlineLevel="1" x14ac:dyDescent="0.2">
      <c r="C3212" s="139">
        <v>2986</v>
      </c>
      <c r="D3212" s="248">
        <v>2908.1172999998398</v>
      </c>
      <c r="E3212" s="248">
        <v>2944.8358000001599</v>
      </c>
      <c r="F3212" s="248">
        <v>2997.06090000008</v>
      </c>
      <c r="G3212" s="248">
        <v>3039.9276999999001</v>
      </c>
      <c r="H3212" s="248">
        <v>3116.8301999999198</v>
      </c>
      <c r="I3212"/>
      <c r="J3212"/>
      <c r="K3212"/>
      <c r="L3212"/>
      <c r="M3212"/>
    </row>
    <row r="3213" spans="3:13" hidden="1" outlineLevel="1" x14ac:dyDescent="0.2">
      <c r="C3213" s="139">
        <v>2987</v>
      </c>
      <c r="D3213" s="248">
        <v>2909.13199999984</v>
      </c>
      <c r="E3213" s="248">
        <v>2945.8220000001602</v>
      </c>
      <c r="F3213" s="248">
        <v>2998.0646000000802</v>
      </c>
      <c r="G3213" s="248">
        <v>3040.9457999998999</v>
      </c>
      <c r="H3213" s="248">
        <v>3117.8739999999202</v>
      </c>
      <c r="I3213"/>
      <c r="J3213"/>
      <c r="K3213"/>
      <c r="L3213"/>
      <c r="M3213"/>
    </row>
    <row r="3214" spans="3:13" hidden="1" outlineLevel="1" x14ac:dyDescent="0.2">
      <c r="C3214" s="139">
        <v>2988</v>
      </c>
      <c r="D3214" s="248">
        <v>2910.1466999998402</v>
      </c>
      <c r="E3214" s="248">
        <v>2946.80820000016</v>
      </c>
      <c r="F3214" s="248">
        <v>2999.0683000000799</v>
      </c>
      <c r="G3214" s="248">
        <v>3041.9638999999001</v>
      </c>
      <c r="H3214" s="248">
        <v>3118.9177999999201</v>
      </c>
      <c r="I3214"/>
      <c r="J3214"/>
      <c r="K3214"/>
      <c r="L3214"/>
      <c r="M3214"/>
    </row>
    <row r="3215" spans="3:13" hidden="1" outlineLevel="1" x14ac:dyDescent="0.2">
      <c r="C3215" s="139">
        <v>2989</v>
      </c>
      <c r="D3215" s="248">
        <v>2911.1613999998399</v>
      </c>
      <c r="E3215" s="248">
        <v>2947.7944000001598</v>
      </c>
      <c r="F3215" s="248">
        <v>3000.0720000000902</v>
      </c>
      <c r="G3215" s="248">
        <v>3042.9819999998999</v>
      </c>
      <c r="H3215" s="248">
        <v>3119.9615999999201</v>
      </c>
      <c r="I3215"/>
      <c r="J3215"/>
      <c r="K3215"/>
      <c r="L3215"/>
      <c r="M3215"/>
    </row>
    <row r="3216" spans="3:13" hidden="1" outlineLevel="1" x14ac:dyDescent="0.2">
      <c r="C3216" s="139">
        <v>2990</v>
      </c>
      <c r="D3216" s="248">
        <v>2912.1760999998401</v>
      </c>
      <c r="E3216" s="248">
        <v>2948.7806000001601</v>
      </c>
      <c r="F3216" s="248">
        <v>3001.0757000000799</v>
      </c>
      <c r="G3216" s="248">
        <v>3044.0000999999002</v>
      </c>
      <c r="H3216" s="248">
        <v>3121.00539999992</v>
      </c>
      <c r="I3216"/>
      <c r="J3216"/>
      <c r="K3216"/>
      <c r="L3216"/>
      <c r="M3216"/>
    </row>
    <row r="3217" spans="3:13" hidden="1" outlineLevel="1" x14ac:dyDescent="0.2">
      <c r="C3217" s="139">
        <v>2991</v>
      </c>
      <c r="D3217" s="248">
        <v>2913.1907999998398</v>
      </c>
      <c r="E3217" s="248">
        <v>2949.7668000001599</v>
      </c>
      <c r="F3217" s="248">
        <v>3002.0794000000901</v>
      </c>
      <c r="G3217" s="248">
        <v>3045.0181999998999</v>
      </c>
      <c r="H3217" s="248">
        <v>3122.0491999999199</v>
      </c>
      <c r="I3217"/>
      <c r="J3217"/>
      <c r="K3217"/>
      <c r="L3217"/>
      <c r="M3217"/>
    </row>
    <row r="3218" spans="3:13" hidden="1" outlineLevel="1" x14ac:dyDescent="0.2">
      <c r="C3218" s="139">
        <v>2992</v>
      </c>
      <c r="D3218" s="248">
        <v>2914.20549999984</v>
      </c>
      <c r="E3218" s="248">
        <v>2950.7530000001598</v>
      </c>
      <c r="F3218" s="248">
        <v>3003.0831000000799</v>
      </c>
      <c r="G3218" s="248">
        <v>3046.0362999999002</v>
      </c>
      <c r="H3218" s="248">
        <v>3123.0929999999198</v>
      </c>
      <c r="I3218"/>
      <c r="J3218"/>
      <c r="K3218"/>
      <c r="L3218"/>
      <c r="M3218"/>
    </row>
    <row r="3219" spans="3:13" hidden="1" outlineLevel="1" x14ac:dyDescent="0.2">
      <c r="C3219" s="139">
        <v>2993</v>
      </c>
      <c r="D3219" s="248">
        <v>2915.2201999998401</v>
      </c>
      <c r="E3219" s="248">
        <v>2951.7392000001601</v>
      </c>
      <c r="F3219" s="248">
        <v>3004.0868000000901</v>
      </c>
      <c r="G3219" s="248">
        <v>3047.0543999998999</v>
      </c>
      <c r="H3219" s="248">
        <v>3124.1367999999202</v>
      </c>
      <c r="I3219"/>
      <c r="J3219"/>
      <c r="K3219"/>
      <c r="L3219"/>
      <c r="M3219"/>
    </row>
    <row r="3220" spans="3:13" hidden="1" outlineLevel="1" x14ac:dyDescent="0.2">
      <c r="C3220" s="139">
        <v>2994</v>
      </c>
      <c r="D3220" s="248">
        <v>2916.2348999998399</v>
      </c>
      <c r="E3220" s="248">
        <v>2952.7254000001599</v>
      </c>
      <c r="F3220" s="248">
        <v>3005.0905000000898</v>
      </c>
      <c r="G3220" s="248">
        <v>3048.0724999999002</v>
      </c>
      <c r="H3220" s="248">
        <v>3125.1805999999201</v>
      </c>
      <c r="I3220"/>
      <c r="J3220"/>
      <c r="K3220"/>
      <c r="L3220"/>
      <c r="M3220"/>
    </row>
    <row r="3221" spans="3:13" hidden="1" outlineLevel="1" x14ac:dyDescent="0.2">
      <c r="C3221" s="139">
        <v>2995</v>
      </c>
      <c r="D3221" s="248">
        <v>2917.24959999984</v>
      </c>
      <c r="E3221" s="248">
        <v>2953.7116000001602</v>
      </c>
      <c r="F3221" s="248">
        <v>3006.09420000009</v>
      </c>
      <c r="G3221" s="248">
        <v>3049.0905999999</v>
      </c>
      <c r="H3221" s="248">
        <v>3126.22439999992</v>
      </c>
      <c r="I3221"/>
      <c r="J3221"/>
      <c r="K3221"/>
      <c r="L3221"/>
      <c r="M3221"/>
    </row>
    <row r="3222" spans="3:13" hidden="1" outlineLevel="1" x14ac:dyDescent="0.2">
      <c r="C3222" s="139">
        <v>2996</v>
      </c>
      <c r="D3222" s="248">
        <v>2918.2642999998402</v>
      </c>
      <c r="E3222" s="248">
        <v>2954.69780000016</v>
      </c>
      <c r="F3222" s="248">
        <v>3007.0979000000898</v>
      </c>
      <c r="G3222" s="248">
        <v>3050.1086999999002</v>
      </c>
      <c r="H3222" s="248">
        <v>3127.2681999999199</v>
      </c>
      <c r="I3222"/>
      <c r="J3222"/>
      <c r="K3222"/>
      <c r="L3222"/>
      <c r="M3222"/>
    </row>
    <row r="3223" spans="3:13" hidden="1" outlineLevel="1" x14ac:dyDescent="0.2">
      <c r="C3223" s="139">
        <v>2997</v>
      </c>
      <c r="D3223" s="248">
        <v>2919.2789999998399</v>
      </c>
      <c r="E3223" s="248">
        <v>2955.6840000001598</v>
      </c>
      <c r="F3223" s="248">
        <v>3008.10160000009</v>
      </c>
      <c r="G3223" s="248">
        <v>3051.1267999999</v>
      </c>
      <c r="H3223" s="248">
        <v>3128.3119999999199</v>
      </c>
      <c r="I3223"/>
      <c r="J3223"/>
      <c r="K3223"/>
      <c r="L3223"/>
      <c r="M3223"/>
    </row>
    <row r="3224" spans="3:13" hidden="1" outlineLevel="1" x14ac:dyDescent="0.2">
      <c r="C3224" s="139">
        <v>2998</v>
      </c>
      <c r="D3224" s="248">
        <v>2920.2936999998401</v>
      </c>
      <c r="E3224" s="248">
        <v>2956.6702000001601</v>
      </c>
      <c r="F3224" s="248">
        <v>3009.1053000000902</v>
      </c>
      <c r="G3224" s="248">
        <v>3052.1448999999002</v>
      </c>
      <c r="H3224" s="248">
        <v>3129.3557999999198</v>
      </c>
      <c r="I3224"/>
      <c r="J3224"/>
      <c r="K3224"/>
      <c r="L3224"/>
      <c r="M3224"/>
    </row>
    <row r="3225" spans="3:13" hidden="1" outlineLevel="1" x14ac:dyDescent="0.2">
      <c r="C3225" s="139">
        <v>2999</v>
      </c>
      <c r="D3225" s="248">
        <v>2921.3083999998398</v>
      </c>
      <c r="E3225" s="248">
        <v>2957.6564000001599</v>
      </c>
      <c r="F3225" s="248">
        <v>3010.10900000009</v>
      </c>
      <c r="G3225" s="248">
        <v>3053.1629999999</v>
      </c>
      <c r="H3225" s="248">
        <v>3130.3995999999202</v>
      </c>
      <c r="I3225"/>
      <c r="J3225"/>
      <c r="K3225"/>
      <c r="L3225"/>
      <c r="M3225"/>
    </row>
    <row r="3226" spans="3:13" hidden="1" outlineLevel="1" x14ac:dyDescent="0.2">
      <c r="C3226" s="139">
        <v>3000</v>
      </c>
      <c r="D3226" s="248">
        <v>2922.32309999984</v>
      </c>
      <c r="E3226" s="248">
        <v>2958.6426000001602</v>
      </c>
      <c r="F3226" s="248">
        <v>3011.1127000000902</v>
      </c>
      <c r="G3226" s="248">
        <v>3054.1810999999002</v>
      </c>
      <c r="H3226" s="248">
        <v>3131.4433999999201</v>
      </c>
      <c r="I3226"/>
      <c r="J3226"/>
      <c r="K3226"/>
      <c r="L3226"/>
      <c r="M3226"/>
    </row>
    <row r="3227" spans="3:13" hidden="1" outlineLevel="1" x14ac:dyDescent="0.2">
      <c r="C3227" s="139">
        <v>3010</v>
      </c>
      <c r="D3227" s="248">
        <v>2932.4700999998399</v>
      </c>
      <c r="E3227" s="248">
        <v>2968.5046000001598</v>
      </c>
      <c r="F3227" s="248">
        <v>3021.14970000009</v>
      </c>
      <c r="G3227" s="248">
        <v>3064.3620999998898</v>
      </c>
      <c r="H3227" s="248">
        <v>3141.8813999999202</v>
      </c>
      <c r="I3227"/>
      <c r="J3227"/>
      <c r="K3227"/>
      <c r="L3227"/>
      <c r="M3227"/>
    </row>
    <row r="3228" spans="3:13" hidden="1" outlineLevel="1" x14ac:dyDescent="0.2">
      <c r="C3228" s="139">
        <v>3020</v>
      </c>
      <c r="D3228" s="248">
        <v>2942.6170999998399</v>
      </c>
      <c r="E3228" s="248">
        <v>2978.3666000001599</v>
      </c>
      <c r="F3228" s="248">
        <v>3031.1867000000898</v>
      </c>
      <c r="G3228" s="248">
        <v>3074.5430999998798</v>
      </c>
      <c r="H3228" s="248">
        <v>3152.3193999999198</v>
      </c>
      <c r="I3228"/>
      <c r="J3228"/>
      <c r="K3228"/>
      <c r="L3228"/>
      <c r="M3228"/>
    </row>
    <row r="3229" spans="3:13" hidden="1" outlineLevel="1" x14ac:dyDescent="0.2">
      <c r="C3229" s="139">
        <v>3030</v>
      </c>
      <c r="D3229" s="248">
        <v>2952.7640999998398</v>
      </c>
      <c r="E3229" s="248">
        <v>2988.22860000016</v>
      </c>
      <c r="F3229" s="248">
        <v>3041.22370000009</v>
      </c>
      <c r="G3229" s="248">
        <v>3084.7240999998698</v>
      </c>
      <c r="H3229" s="248">
        <v>3162.7573999999199</v>
      </c>
      <c r="I3229"/>
      <c r="J3229"/>
      <c r="K3229"/>
      <c r="L3229"/>
      <c r="M3229"/>
    </row>
    <row r="3230" spans="3:13" hidden="1" outlineLevel="1" x14ac:dyDescent="0.2">
      <c r="C3230" s="139">
        <v>3040</v>
      </c>
      <c r="D3230" s="248">
        <v>2962.9110999998402</v>
      </c>
      <c r="E3230" s="248">
        <v>2998.0906000001601</v>
      </c>
      <c r="F3230" s="248">
        <v>3051.2607000000899</v>
      </c>
      <c r="G3230" s="248">
        <v>3094.9050999998599</v>
      </c>
      <c r="H3230" s="248">
        <v>3173.19539999992</v>
      </c>
      <c r="I3230"/>
      <c r="J3230"/>
      <c r="K3230"/>
      <c r="L3230"/>
      <c r="M3230"/>
    </row>
    <row r="3231" spans="3:13" hidden="1" outlineLevel="1" x14ac:dyDescent="0.2">
      <c r="C3231" s="139">
        <v>3050</v>
      </c>
      <c r="D3231" s="248">
        <v>2973.0580999998401</v>
      </c>
      <c r="E3231" s="248">
        <v>3007.9526000001601</v>
      </c>
      <c r="F3231" s="248">
        <v>3061.2977000000901</v>
      </c>
      <c r="G3231" s="248">
        <v>3105.0860999998499</v>
      </c>
      <c r="H3231" s="248">
        <v>3183.6333999999201</v>
      </c>
      <c r="I3231"/>
      <c r="J3231"/>
      <c r="K3231"/>
      <c r="L3231"/>
      <c r="M3231"/>
    </row>
    <row r="3232" spans="3:13" hidden="1" outlineLevel="1" x14ac:dyDescent="0.2">
      <c r="C3232" s="139">
        <v>3060</v>
      </c>
      <c r="D3232" s="248">
        <v>2983.2050999998401</v>
      </c>
      <c r="E3232" s="248">
        <v>3017.8146000001602</v>
      </c>
      <c r="F3232" s="248">
        <v>3071.3347000000899</v>
      </c>
      <c r="G3232" s="248">
        <v>3115.26709999984</v>
      </c>
      <c r="H3232" s="248">
        <v>3194.0713999999198</v>
      </c>
      <c r="I3232"/>
      <c r="J3232"/>
      <c r="K3232"/>
      <c r="L3232"/>
      <c r="M3232"/>
    </row>
    <row r="3233" spans="3:13" hidden="1" outlineLevel="1" x14ac:dyDescent="0.2">
      <c r="C3233" s="139">
        <v>3070</v>
      </c>
      <c r="D3233" s="248">
        <v>2993.35209999984</v>
      </c>
      <c r="E3233" s="248">
        <v>3027.6766000001599</v>
      </c>
      <c r="F3233" s="248">
        <v>3081.3717000000902</v>
      </c>
      <c r="G3233" s="248">
        <v>3125.44809999983</v>
      </c>
      <c r="H3233" s="248">
        <v>3204.5093999999199</v>
      </c>
      <c r="I3233"/>
      <c r="J3233"/>
      <c r="K3233"/>
      <c r="L3233"/>
      <c r="M3233"/>
    </row>
    <row r="3234" spans="3:13" hidden="1" outlineLevel="1" x14ac:dyDescent="0.2">
      <c r="C3234" s="139">
        <v>3080</v>
      </c>
      <c r="D3234" s="248">
        <v>3003.4990999998399</v>
      </c>
      <c r="E3234" s="248">
        <v>3037.5386000001599</v>
      </c>
      <c r="F3234" s="248">
        <v>3091.40870000009</v>
      </c>
      <c r="G3234" s="248">
        <v>3135.62909999982</v>
      </c>
      <c r="H3234" s="248">
        <v>3214.94739999992</v>
      </c>
      <c r="I3234"/>
      <c r="J3234"/>
      <c r="K3234"/>
      <c r="L3234"/>
      <c r="M3234"/>
    </row>
    <row r="3235" spans="3:13" hidden="1" outlineLevel="1" x14ac:dyDescent="0.2">
      <c r="C3235" s="139">
        <v>3090</v>
      </c>
      <c r="D3235" s="248">
        <v>3013.6460999998399</v>
      </c>
      <c r="E3235" s="248">
        <v>3047.40060000016</v>
      </c>
      <c r="F3235" s="248">
        <v>3101.4457000000898</v>
      </c>
      <c r="G3235" s="248">
        <v>3145.8100999998101</v>
      </c>
      <c r="H3235" s="248">
        <v>3225.3853999999201</v>
      </c>
      <c r="I3235"/>
      <c r="J3235"/>
      <c r="K3235"/>
      <c r="L3235"/>
      <c r="M3235"/>
    </row>
    <row r="3236" spans="3:13" hidden="1" outlineLevel="1" x14ac:dyDescent="0.2">
      <c r="C3236" s="139">
        <v>3100</v>
      </c>
      <c r="D3236" s="248">
        <v>3023.7930999998398</v>
      </c>
      <c r="E3236" s="248">
        <v>3057.2626000001601</v>
      </c>
      <c r="F3236" s="248">
        <v>3111.4827000000901</v>
      </c>
      <c r="G3236" s="248">
        <v>3155.9910999998001</v>
      </c>
      <c r="H3236" s="248">
        <v>3235.8233999999202</v>
      </c>
      <c r="I3236"/>
      <c r="J3236"/>
      <c r="K3236"/>
      <c r="L3236"/>
      <c r="M3236"/>
    </row>
    <row r="3237" spans="3:13" hidden="1" outlineLevel="1" x14ac:dyDescent="0.2">
      <c r="C3237" s="139">
        <v>3110</v>
      </c>
      <c r="D3237" s="248">
        <v>3033.9400999998402</v>
      </c>
      <c r="E3237" s="248">
        <v>3067.1246000001602</v>
      </c>
      <c r="F3237" s="248">
        <v>3121.5197000000899</v>
      </c>
      <c r="G3237" s="248">
        <v>3166.1720999997901</v>
      </c>
      <c r="H3237" s="248">
        <v>3246.2613999999198</v>
      </c>
      <c r="I3237"/>
      <c r="J3237"/>
      <c r="K3237"/>
      <c r="L3237"/>
      <c r="M3237"/>
    </row>
    <row r="3238" spans="3:13" hidden="1" outlineLevel="1" x14ac:dyDescent="0.2">
      <c r="C3238" s="139">
        <v>3120</v>
      </c>
      <c r="D3238" s="248">
        <v>3044.0870999998401</v>
      </c>
      <c r="E3238" s="248">
        <v>3076.9866000001598</v>
      </c>
      <c r="F3238" s="248">
        <v>3131.5567000000901</v>
      </c>
      <c r="G3238" s="248">
        <v>3176.3530999997802</v>
      </c>
      <c r="H3238" s="248">
        <v>3256.6993999999199</v>
      </c>
      <c r="I3238"/>
      <c r="J3238"/>
      <c r="K3238"/>
      <c r="L3238"/>
      <c r="M3238"/>
    </row>
    <row r="3239" spans="3:13" hidden="1" outlineLevel="1" x14ac:dyDescent="0.2">
      <c r="C3239" s="139">
        <v>3130</v>
      </c>
      <c r="D3239" s="248">
        <v>3054.2340999998401</v>
      </c>
      <c r="E3239" s="248">
        <v>3086.8486000001599</v>
      </c>
      <c r="F3239" s="248">
        <v>3141.5937000000899</v>
      </c>
      <c r="G3239" s="248">
        <v>3186.5340999997702</v>
      </c>
      <c r="H3239" s="248">
        <v>3267.13739999992</v>
      </c>
      <c r="I3239"/>
      <c r="J3239"/>
      <c r="K3239"/>
      <c r="L3239"/>
      <c r="M3239"/>
    </row>
    <row r="3240" spans="3:13" hidden="1" outlineLevel="1" x14ac:dyDescent="0.2">
      <c r="C3240" s="139">
        <v>3140</v>
      </c>
      <c r="D3240" s="248">
        <v>3064.38109999984</v>
      </c>
      <c r="E3240" s="248">
        <v>3096.71060000016</v>
      </c>
      <c r="F3240" s="248">
        <v>3151.6307000000902</v>
      </c>
      <c r="G3240" s="248">
        <v>3196.7150999997498</v>
      </c>
      <c r="H3240" s="248">
        <v>3277.5753999999201</v>
      </c>
      <c r="I3240"/>
      <c r="J3240"/>
      <c r="K3240"/>
      <c r="L3240"/>
      <c r="M3240"/>
    </row>
    <row r="3241" spans="3:13" hidden="1" outlineLevel="1" x14ac:dyDescent="0.2">
      <c r="C3241" s="139">
        <v>3150</v>
      </c>
      <c r="D3241" s="248">
        <v>3074.5280999998399</v>
      </c>
      <c r="E3241" s="248">
        <v>3106.57260000015</v>
      </c>
      <c r="F3241" s="248">
        <v>3161.66770000009</v>
      </c>
      <c r="G3241" s="248">
        <v>3206.8960999997398</v>
      </c>
      <c r="H3241" s="248">
        <v>3288.0133999999198</v>
      </c>
      <c r="I3241"/>
      <c r="J3241"/>
      <c r="K3241"/>
      <c r="L3241"/>
      <c r="M3241"/>
    </row>
    <row r="3242" spans="3:13" hidden="1" outlineLevel="1" x14ac:dyDescent="0.2">
      <c r="C3242" s="139">
        <v>3160</v>
      </c>
      <c r="D3242" s="248">
        <v>3084.6750999998399</v>
      </c>
      <c r="E3242" s="248">
        <v>3116.4346000001501</v>
      </c>
      <c r="F3242" s="248">
        <v>3171.7047000000898</v>
      </c>
      <c r="G3242" s="248">
        <v>3217.0770999997299</v>
      </c>
      <c r="H3242" s="248">
        <v>3298.4513999999199</v>
      </c>
      <c r="I3242"/>
      <c r="J3242"/>
      <c r="K3242"/>
      <c r="L3242"/>
      <c r="M3242"/>
    </row>
    <row r="3243" spans="3:13" hidden="1" outlineLevel="1" x14ac:dyDescent="0.2">
      <c r="C3243" s="139">
        <v>3170</v>
      </c>
      <c r="D3243" s="248">
        <v>3094.8220999998398</v>
      </c>
      <c r="E3243" s="248">
        <v>3126.2966000001502</v>
      </c>
      <c r="F3243" s="248">
        <v>3181.7417000000901</v>
      </c>
      <c r="G3243" s="248">
        <v>3227.2580999997199</v>
      </c>
      <c r="H3243" s="248">
        <v>3308.88939999992</v>
      </c>
      <c r="I3243"/>
      <c r="J3243"/>
      <c r="K3243"/>
      <c r="L3243"/>
      <c r="M3243"/>
    </row>
    <row r="3244" spans="3:13" hidden="1" outlineLevel="1" x14ac:dyDescent="0.2">
      <c r="C3244" s="139">
        <v>3180</v>
      </c>
      <c r="D3244" s="248">
        <v>3104.9690999998402</v>
      </c>
      <c r="E3244" s="248">
        <v>3136.1586000001498</v>
      </c>
      <c r="F3244" s="248">
        <v>3191.7787000000899</v>
      </c>
      <c r="G3244" s="248">
        <v>3237.4390999997099</v>
      </c>
      <c r="H3244" s="248">
        <v>3319.3273999999201</v>
      </c>
      <c r="I3244"/>
      <c r="J3244"/>
      <c r="K3244"/>
      <c r="L3244"/>
      <c r="M3244"/>
    </row>
    <row r="3245" spans="3:13" hidden="1" outlineLevel="1" x14ac:dyDescent="0.2">
      <c r="C3245" s="139">
        <v>3190</v>
      </c>
      <c r="D3245" s="248">
        <v>3115.1160999998401</v>
      </c>
      <c r="E3245" s="248">
        <v>3146.0206000001499</v>
      </c>
      <c r="F3245" s="248">
        <v>3201.8157000000901</v>
      </c>
      <c r="G3245" s="248">
        <v>3247.6200999997</v>
      </c>
      <c r="H3245" s="248">
        <v>3329.7653999999202</v>
      </c>
      <c r="I3245"/>
      <c r="J3245"/>
      <c r="K3245"/>
      <c r="L3245"/>
      <c r="M3245"/>
    </row>
    <row r="3246" spans="3:13" hidden="1" outlineLevel="1" x14ac:dyDescent="0.2">
      <c r="C3246" s="139">
        <v>3200</v>
      </c>
      <c r="D3246" s="248">
        <v>3125.2630999998401</v>
      </c>
      <c r="E3246" s="248">
        <v>3155.88260000015</v>
      </c>
      <c r="F3246" s="248">
        <v>3211.85270000009</v>
      </c>
      <c r="G3246" s="248">
        <v>3257.80109999969</v>
      </c>
      <c r="H3246" s="248">
        <v>3340.2033999999198</v>
      </c>
      <c r="I3246"/>
      <c r="J3246"/>
      <c r="K3246"/>
      <c r="L3246"/>
      <c r="M3246"/>
    </row>
    <row r="3247" spans="3:13" hidden="1" outlineLevel="1" x14ac:dyDescent="0.2">
      <c r="C3247" s="139">
        <v>3210</v>
      </c>
      <c r="D3247" s="248">
        <v>3135.41009999984</v>
      </c>
      <c r="E3247" s="248">
        <v>3165.7446000001501</v>
      </c>
      <c r="F3247" s="248">
        <v>3221.8897000000902</v>
      </c>
      <c r="G3247" s="248">
        <v>3267.98209999968</v>
      </c>
      <c r="H3247" s="248">
        <v>3350.6413999999199</v>
      </c>
      <c r="I3247"/>
      <c r="J3247"/>
      <c r="K3247"/>
      <c r="L3247"/>
      <c r="M3247"/>
    </row>
    <row r="3248" spans="3:13" hidden="1" outlineLevel="1" x14ac:dyDescent="0.2">
      <c r="C3248" s="139">
        <v>3220</v>
      </c>
      <c r="D3248" s="248">
        <v>3145.5570999998399</v>
      </c>
      <c r="E3248" s="248">
        <v>3175.6066000001501</v>
      </c>
      <c r="F3248" s="248">
        <v>3231.92670000009</v>
      </c>
      <c r="G3248" s="248">
        <v>3278.1630999996701</v>
      </c>
      <c r="H3248" s="248">
        <v>3361.07939999992</v>
      </c>
      <c r="I3248"/>
      <c r="J3248"/>
      <c r="K3248"/>
      <c r="L3248"/>
      <c r="M3248"/>
    </row>
    <row r="3249" spans="3:13" hidden="1" outlineLevel="1" x14ac:dyDescent="0.2">
      <c r="C3249" s="139">
        <v>3230</v>
      </c>
      <c r="D3249" s="248">
        <v>3155.7040999998399</v>
      </c>
      <c r="E3249" s="248">
        <v>3185.4686000001502</v>
      </c>
      <c r="F3249" s="248">
        <v>3241.9637000000898</v>
      </c>
      <c r="G3249" s="248">
        <v>3288.3440999996601</v>
      </c>
      <c r="H3249" s="248">
        <v>3371.5173999999201</v>
      </c>
      <c r="I3249"/>
      <c r="J3249"/>
      <c r="K3249"/>
      <c r="L3249"/>
      <c r="M3249"/>
    </row>
    <row r="3250" spans="3:13" hidden="1" outlineLevel="1" x14ac:dyDescent="0.2">
      <c r="C3250" s="139">
        <v>3240</v>
      </c>
      <c r="D3250" s="248">
        <v>3165.8510999998398</v>
      </c>
      <c r="E3250" s="248">
        <v>3195.3306000001498</v>
      </c>
      <c r="F3250" s="248">
        <v>3252.0007000000901</v>
      </c>
      <c r="G3250" s="248">
        <v>3298.5250999996501</v>
      </c>
      <c r="H3250" s="248">
        <v>3381.9553999999198</v>
      </c>
      <c r="I3250"/>
      <c r="J3250"/>
      <c r="K3250"/>
      <c r="L3250"/>
      <c r="M3250"/>
    </row>
    <row r="3251" spans="3:13" hidden="1" outlineLevel="1" x14ac:dyDescent="0.2">
      <c r="C3251" s="139">
        <v>3250</v>
      </c>
      <c r="D3251" s="248">
        <v>3175.9980999998402</v>
      </c>
      <c r="E3251" s="248">
        <v>3205.1926000001499</v>
      </c>
      <c r="F3251" s="248">
        <v>3262.0377000000899</v>
      </c>
      <c r="G3251" s="248">
        <v>3308.7060999996402</v>
      </c>
      <c r="H3251" s="248">
        <v>3392.3933999999199</v>
      </c>
      <c r="I3251"/>
      <c r="J3251"/>
      <c r="K3251"/>
      <c r="L3251"/>
      <c r="M3251"/>
    </row>
    <row r="3252" spans="3:13" hidden="1" outlineLevel="1" x14ac:dyDescent="0.2">
      <c r="C3252" s="139">
        <v>3260</v>
      </c>
      <c r="D3252" s="248">
        <v>3186.1450999998401</v>
      </c>
      <c r="E3252" s="248">
        <v>3215.05460000015</v>
      </c>
      <c r="F3252" s="248">
        <v>3272.0747000000902</v>
      </c>
      <c r="G3252" s="248">
        <v>3318.8870999996302</v>
      </c>
      <c r="H3252" s="248">
        <v>3402.83139999992</v>
      </c>
      <c r="I3252"/>
      <c r="J3252"/>
      <c r="K3252"/>
      <c r="L3252"/>
      <c r="M3252"/>
    </row>
    <row r="3253" spans="3:13" hidden="1" outlineLevel="1" x14ac:dyDescent="0.2">
      <c r="C3253" s="139">
        <v>3270</v>
      </c>
      <c r="D3253" s="248">
        <v>3196.29209999984</v>
      </c>
      <c r="E3253" s="248">
        <v>3224.9166000001501</v>
      </c>
      <c r="F3253" s="248">
        <v>3282.11170000008</v>
      </c>
      <c r="G3253" s="248">
        <v>3329.0680999996198</v>
      </c>
      <c r="H3253" s="248">
        <v>3413.2693999999201</v>
      </c>
      <c r="I3253"/>
      <c r="J3253"/>
      <c r="K3253"/>
      <c r="L3253"/>
      <c r="M3253"/>
    </row>
    <row r="3254" spans="3:13" hidden="1" outlineLevel="1" x14ac:dyDescent="0.2">
      <c r="C3254" s="139">
        <v>3280</v>
      </c>
      <c r="D3254" s="248">
        <v>3206.43909999984</v>
      </c>
      <c r="E3254" s="248">
        <v>3234.7786000001502</v>
      </c>
      <c r="F3254" s="248">
        <v>3292.1487000000898</v>
      </c>
      <c r="G3254" s="248">
        <v>3339.2490999996098</v>
      </c>
      <c r="H3254" s="248">
        <v>3423.7073999999202</v>
      </c>
      <c r="I3254"/>
      <c r="J3254"/>
      <c r="K3254"/>
      <c r="L3254"/>
      <c r="M3254"/>
    </row>
    <row r="3255" spans="3:13" hidden="1" outlineLevel="1" x14ac:dyDescent="0.2">
      <c r="C3255" s="139">
        <v>3290</v>
      </c>
      <c r="D3255" s="248">
        <v>3216.5860999998399</v>
      </c>
      <c r="E3255" s="248">
        <v>3244.6406000001498</v>
      </c>
      <c r="F3255" s="248">
        <v>3302.18570000008</v>
      </c>
      <c r="G3255" s="248">
        <v>3349.4300999995999</v>
      </c>
      <c r="H3255" s="248">
        <v>3434.1453999999198</v>
      </c>
      <c r="I3255"/>
      <c r="J3255"/>
      <c r="K3255"/>
      <c r="L3255"/>
      <c r="M3255"/>
    </row>
    <row r="3256" spans="3:13" hidden="1" outlineLevel="1" x14ac:dyDescent="0.2">
      <c r="C3256" s="139">
        <v>3300</v>
      </c>
      <c r="D3256" s="248">
        <v>3226.7330999998399</v>
      </c>
      <c r="E3256" s="248">
        <v>3254.5026000001499</v>
      </c>
      <c r="F3256" s="248">
        <v>3312.2227000000798</v>
      </c>
      <c r="G3256" s="248">
        <v>3359.6110999995899</v>
      </c>
      <c r="H3256" s="248">
        <v>3444.5833999999199</v>
      </c>
      <c r="I3256"/>
      <c r="J3256"/>
      <c r="K3256"/>
      <c r="L3256"/>
      <c r="M3256"/>
    </row>
    <row r="3257" spans="3:13" hidden="1" outlineLevel="1" x14ac:dyDescent="0.2">
      <c r="C3257" s="139">
        <v>3310</v>
      </c>
      <c r="D3257" s="248">
        <v>3236.8800999998398</v>
      </c>
      <c r="E3257" s="248">
        <v>3264.3646000001499</v>
      </c>
      <c r="F3257" s="248">
        <v>3322.2597000000801</v>
      </c>
      <c r="G3257" s="248">
        <v>3369.7920999995799</v>
      </c>
      <c r="H3257" s="248">
        <v>3455.02139999992</v>
      </c>
      <c r="I3257"/>
      <c r="J3257"/>
      <c r="K3257"/>
      <c r="L3257"/>
      <c r="M3257"/>
    </row>
    <row r="3258" spans="3:13" hidden="1" outlineLevel="1" x14ac:dyDescent="0.2">
      <c r="C3258" s="139">
        <v>3320</v>
      </c>
      <c r="D3258" s="248">
        <v>3247.0270999998402</v>
      </c>
      <c r="E3258" s="248">
        <v>3274.22660000015</v>
      </c>
      <c r="F3258" s="248">
        <v>3332.2967000000799</v>
      </c>
      <c r="G3258" s="248">
        <v>3379.97309999957</v>
      </c>
      <c r="H3258" s="248">
        <v>3465.4593999999202</v>
      </c>
      <c r="I3258"/>
      <c r="J3258"/>
      <c r="K3258"/>
      <c r="L3258"/>
      <c r="M3258"/>
    </row>
    <row r="3259" spans="3:13" hidden="1" outlineLevel="1" x14ac:dyDescent="0.2">
      <c r="C3259" s="139">
        <v>3330</v>
      </c>
      <c r="D3259" s="248">
        <v>3257.1740999998401</v>
      </c>
      <c r="E3259" s="248">
        <v>3284.0886000001501</v>
      </c>
      <c r="F3259" s="248">
        <v>3342.3337000000802</v>
      </c>
      <c r="G3259" s="248">
        <v>3390.15409999956</v>
      </c>
      <c r="H3259" s="248">
        <v>3475.8973999999198</v>
      </c>
      <c r="I3259"/>
      <c r="J3259"/>
      <c r="K3259"/>
      <c r="L3259"/>
      <c r="M3259"/>
    </row>
    <row r="3260" spans="3:13" hidden="1" outlineLevel="1" x14ac:dyDescent="0.2">
      <c r="C3260" s="139">
        <v>3340</v>
      </c>
      <c r="D3260" s="248">
        <v>3267.32109999984</v>
      </c>
      <c r="E3260" s="248">
        <v>3293.9506000001502</v>
      </c>
      <c r="F3260" s="248">
        <v>3352.37070000008</v>
      </c>
      <c r="G3260" s="248">
        <v>3400.33509999955</v>
      </c>
      <c r="H3260" s="248">
        <v>3486.3353999999199</v>
      </c>
      <c r="I3260"/>
      <c r="J3260"/>
      <c r="K3260"/>
      <c r="L3260"/>
      <c r="M3260"/>
    </row>
    <row r="3261" spans="3:13" hidden="1" outlineLevel="1" x14ac:dyDescent="0.2">
      <c r="C3261" s="139">
        <v>3350</v>
      </c>
      <c r="D3261" s="248">
        <v>3277.46809999984</v>
      </c>
      <c r="E3261" s="248">
        <v>3303.8126000001498</v>
      </c>
      <c r="F3261" s="248">
        <v>3362.4077000000798</v>
      </c>
      <c r="G3261" s="248">
        <v>3410.5160999995401</v>
      </c>
      <c r="H3261" s="248">
        <v>3496.77339999992</v>
      </c>
      <c r="I3261"/>
      <c r="J3261"/>
      <c r="K3261"/>
      <c r="L3261"/>
      <c r="M3261"/>
    </row>
    <row r="3262" spans="3:13" hidden="1" outlineLevel="1" x14ac:dyDescent="0.2">
      <c r="C3262" s="139">
        <v>3360</v>
      </c>
      <c r="D3262" s="248">
        <v>3287.6150999998399</v>
      </c>
      <c r="E3262" s="248">
        <v>3313.6746000001499</v>
      </c>
      <c r="F3262" s="248">
        <v>3372.44470000008</v>
      </c>
      <c r="G3262" s="248">
        <v>3420.6970999995301</v>
      </c>
      <c r="H3262" s="248">
        <v>3507.2113999999201</v>
      </c>
      <c r="I3262"/>
      <c r="J3262"/>
      <c r="K3262"/>
      <c r="L3262"/>
      <c r="M3262"/>
    </row>
    <row r="3263" spans="3:13" hidden="1" outlineLevel="1" x14ac:dyDescent="0.2">
      <c r="C3263" s="139">
        <v>3370</v>
      </c>
      <c r="D3263" s="248">
        <v>3297.7620999998398</v>
      </c>
      <c r="E3263" s="248">
        <v>3323.53660000015</v>
      </c>
      <c r="F3263" s="248">
        <v>3382.4817000000799</v>
      </c>
      <c r="G3263" s="248">
        <v>3430.8780999995101</v>
      </c>
      <c r="H3263" s="248">
        <v>3517.6493999999202</v>
      </c>
      <c r="I3263"/>
      <c r="J3263"/>
      <c r="K3263"/>
      <c r="L3263"/>
      <c r="M3263"/>
    </row>
    <row r="3264" spans="3:13" hidden="1" outlineLevel="1" x14ac:dyDescent="0.2">
      <c r="C3264" s="139">
        <v>3380</v>
      </c>
      <c r="D3264" s="248">
        <v>3307.9090999998398</v>
      </c>
      <c r="E3264" s="248">
        <v>3333.3986000001501</v>
      </c>
      <c r="F3264" s="248">
        <v>3392.5187000000801</v>
      </c>
      <c r="G3264" s="248">
        <v>3441.0590999995002</v>
      </c>
      <c r="H3264" s="248">
        <v>3528.0873999999199</v>
      </c>
      <c r="I3264"/>
      <c r="J3264"/>
      <c r="K3264"/>
      <c r="L3264"/>
      <c r="M3264"/>
    </row>
    <row r="3265" spans="3:13" hidden="1" outlineLevel="1" x14ac:dyDescent="0.2">
      <c r="C3265" s="139">
        <v>3390</v>
      </c>
      <c r="D3265" s="248">
        <v>3318.0560999998402</v>
      </c>
      <c r="E3265" s="248">
        <v>3343.2606000001501</v>
      </c>
      <c r="F3265" s="248">
        <v>3402.5557000000799</v>
      </c>
      <c r="G3265" s="248">
        <v>3451.2400999994902</v>
      </c>
      <c r="H3265" s="248">
        <v>3538.52539999992</v>
      </c>
      <c r="I3265"/>
      <c r="J3265"/>
      <c r="K3265"/>
      <c r="L3265"/>
      <c r="M3265"/>
    </row>
    <row r="3266" spans="3:13" hidden="1" outlineLevel="1" x14ac:dyDescent="0.2">
      <c r="C3266" s="139">
        <v>3400</v>
      </c>
      <c r="D3266" s="248">
        <v>3328.2030999998401</v>
      </c>
      <c r="E3266" s="248">
        <v>3353.1226000001502</v>
      </c>
      <c r="F3266" s="248">
        <v>3412.5927000000802</v>
      </c>
      <c r="G3266" s="248">
        <v>3461.4210999994798</v>
      </c>
      <c r="H3266" s="248">
        <v>3548.9633999999201</v>
      </c>
      <c r="I3266"/>
      <c r="J3266"/>
      <c r="K3266"/>
      <c r="L3266"/>
      <c r="M3266"/>
    </row>
    <row r="3267" spans="3:13" hidden="1" outlineLevel="1" x14ac:dyDescent="0.2">
      <c r="C3267" s="139">
        <v>3410</v>
      </c>
      <c r="D3267" s="248">
        <v>3338.35009999984</v>
      </c>
      <c r="E3267" s="248">
        <v>3362.9846000001498</v>
      </c>
      <c r="F3267" s="248">
        <v>3422.62970000008</v>
      </c>
      <c r="G3267" s="248">
        <v>3471.6020999994698</v>
      </c>
      <c r="H3267" s="248">
        <v>3559.4013999999202</v>
      </c>
      <c r="I3267"/>
      <c r="J3267"/>
      <c r="K3267"/>
      <c r="L3267"/>
      <c r="M3267"/>
    </row>
    <row r="3268" spans="3:13" hidden="1" outlineLevel="1" x14ac:dyDescent="0.2">
      <c r="C3268" s="139">
        <v>3420</v>
      </c>
      <c r="D3268" s="248">
        <v>3348.49709999984</v>
      </c>
      <c r="E3268" s="248">
        <v>3372.8466000001399</v>
      </c>
      <c r="F3268" s="248">
        <v>3432.6667000000798</v>
      </c>
      <c r="G3268" s="248">
        <v>3481.7830999994599</v>
      </c>
      <c r="H3268" s="248">
        <v>3569.8393999999198</v>
      </c>
      <c r="I3268"/>
      <c r="J3268"/>
      <c r="K3268"/>
      <c r="L3268"/>
      <c r="M3268"/>
    </row>
    <row r="3269" spans="3:13" hidden="1" outlineLevel="1" x14ac:dyDescent="0.2">
      <c r="C3269" s="139">
        <v>3430</v>
      </c>
      <c r="D3269" s="248">
        <v>3358.6440999998399</v>
      </c>
      <c r="E3269" s="248">
        <v>3382.70860000014</v>
      </c>
      <c r="F3269" s="248">
        <v>3442.7037000000801</v>
      </c>
      <c r="G3269" s="248">
        <v>3491.9640999994499</v>
      </c>
      <c r="H3269" s="248">
        <v>3580.2773999999199</v>
      </c>
      <c r="I3269"/>
      <c r="J3269"/>
      <c r="K3269"/>
      <c r="L3269"/>
      <c r="M3269"/>
    </row>
    <row r="3270" spans="3:13" hidden="1" outlineLevel="1" x14ac:dyDescent="0.2">
      <c r="C3270" s="139">
        <v>3440</v>
      </c>
      <c r="D3270" s="248">
        <v>3368.7910999998398</v>
      </c>
      <c r="E3270" s="248">
        <v>3392.5706000001401</v>
      </c>
      <c r="F3270" s="248">
        <v>3452.7407000000799</v>
      </c>
      <c r="G3270" s="248">
        <v>3502.1450999994399</v>
      </c>
      <c r="H3270" s="248">
        <v>3590.71539999992</v>
      </c>
      <c r="I3270"/>
      <c r="J3270"/>
      <c r="K3270"/>
      <c r="L3270"/>
      <c r="M3270"/>
    </row>
    <row r="3271" spans="3:13" hidden="1" outlineLevel="1" x14ac:dyDescent="0.2">
      <c r="C3271" s="139">
        <v>3450</v>
      </c>
      <c r="D3271" s="248">
        <v>3378.9380999998398</v>
      </c>
      <c r="E3271" s="248">
        <v>3402.4326000001402</v>
      </c>
      <c r="F3271" s="248">
        <v>3462.7777000000801</v>
      </c>
      <c r="G3271" s="248">
        <v>3512.32609999943</v>
      </c>
      <c r="H3271" s="248">
        <v>3601.1533999999301</v>
      </c>
      <c r="I3271"/>
      <c r="J3271"/>
      <c r="K3271"/>
      <c r="L3271"/>
      <c r="M3271"/>
    </row>
    <row r="3272" spans="3:13" hidden="1" outlineLevel="1" x14ac:dyDescent="0.2">
      <c r="C3272" s="139">
        <v>3460</v>
      </c>
      <c r="D3272" s="248">
        <v>3389.0850999998402</v>
      </c>
      <c r="E3272" s="248">
        <v>3412.2946000001398</v>
      </c>
      <c r="F3272" s="248">
        <v>3472.8147000000799</v>
      </c>
      <c r="G3272" s="248">
        <v>3522.50709999942</v>
      </c>
      <c r="H3272" s="248">
        <v>3611.5913999999302</v>
      </c>
      <c r="I3272"/>
      <c r="J3272"/>
      <c r="K3272"/>
      <c r="L3272"/>
      <c r="M3272"/>
    </row>
    <row r="3273" spans="3:13" hidden="1" outlineLevel="1" x14ac:dyDescent="0.2">
      <c r="C3273" s="139">
        <v>3470</v>
      </c>
      <c r="D3273" s="248">
        <v>3399.2320999998401</v>
      </c>
      <c r="E3273" s="248">
        <v>3422.1566000001399</v>
      </c>
      <c r="F3273" s="248">
        <v>3482.8517000000802</v>
      </c>
      <c r="G3273" s="248">
        <v>3532.68809999941</v>
      </c>
      <c r="H3273" s="248">
        <v>3622.0293999999199</v>
      </c>
      <c r="I3273"/>
      <c r="J3273"/>
      <c r="K3273"/>
      <c r="L3273"/>
      <c r="M3273"/>
    </row>
    <row r="3274" spans="3:13" hidden="1" outlineLevel="1" x14ac:dyDescent="0.2">
      <c r="C3274" s="139">
        <v>3480</v>
      </c>
      <c r="D3274" s="248">
        <v>3409.37909999984</v>
      </c>
      <c r="E3274" s="248">
        <v>3432.0186000001399</v>
      </c>
      <c r="F3274" s="248">
        <v>3492.88870000008</v>
      </c>
      <c r="G3274" s="248">
        <v>3542.8690999994001</v>
      </c>
      <c r="H3274" s="248">
        <v>3632.46739999992</v>
      </c>
      <c r="I3274"/>
      <c r="J3274"/>
      <c r="K3274"/>
      <c r="L3274"/>
      <c r="M3274"/>
    </row>
    <row r="3275" spans="3:13" hidden="1" outlineLevel="1" x14ac:dyDescent="0.2">
      <c r="C3275" s="139">
        <v>3490</v>
      </c>
      <c r="D3275" s="248">
        <v>3419.52609999984</v>
      </c>
      <c r="E3275" s="248">
        <v>3441.88060000014</v>
      </c>
      <c r="F3275" s="248">
        <v>3502.9257000000798</v>
      </c>
      <c r="G3275" s="248">
        <v>3553.0500999993901</v>
      </c>
      <c r="H3275" s="248">
        <v>3642.9053999999301</v>
      </c>
      <c r="I3275"/>
      <c r="J3275"/>
      <c r="K3275"/>
      <c r="L3275"/>
      <c r="M3275"/>
    </row>
    <row r="3276" spans="3:13" hidden="1" outlineLevel="1" x14ac:dyDescent="0.2">
      <c r="C3276" s="139">
        <v>3500</v>
      </c>
      <c r="D3276" s="248">
        <v>3429.6730999998399</v>
      </c>
      <c r="E3276" s="248">
        <v>3451.7426000001401</v>
      </c>
      <c r="F3276" s="248">
        <v>3512.9627000000801</v>
      </c>
      <c r="G3276" s="248">
        <v>3563.2310999993801</v>
      </c>
      <c r="H3276" s="248">
        <v>3653.3433999999302</v>
      </c>
      <c r="I3276"/>
      <c r="J3276"/>
      <c r="K3276"/>
      <c r="L3276"/>
      <c r="M3276"/>
    </row>
    <row r="3277" spans="3:13" hidden="1" outlineLevel="1" x14ac:dyDescent="0.2">
      <c r="C3277" s="139">
        <v>3510</v>
      </c>
      <c r="D3277" s="248">
        <v>3439.8200999998398</v>
      </c>
      <c r="E3277" s="248">
        <v>3461.6046000001402</v>
      </c>
      <c r="F3277" s="248">
        <v>3522.9997000000799</v>
      </c>
      <c r="G3277" s="248">
        <v>3573.4120999993702</v>
      </c>
      <c r="H3277" s="248">
        <v>3663.7813999999298</v>
      </c>
      <c r="I3277"/>
      <c r="J3277"/>
      <c r="K3277"/>
      <c r="L3277"/>
      <c r="M3277"/>
    </row>
    <row r="3278" spans="3:13" hidden="1" outlineLevel="1" x14ac:dyDescent="0.2">
      <c r="C3278" s="139">
        <v>3520</v>
      </c>
      <c r="D3278" s="248">
        <v>3449.9670999998398</v>
      </c>
      <c r="E3278" s="248">
        <v>3471.4666000001398</v>
      </c>
      <c r="F3278" s="248">
        <v>3533.0367000000801</v>
      </c>
      <c r="G3278" s="248">
        <v>3583.5930999993602</v>
      </c>
      <c r="H3278" s="248">
        <v>3674.2193999999199</v>
      </c>
      <c r="I3278"/>
      <c r="J3278"/>
      <c r="K3278"/>
      <c r="L3278"/>
      <c r="M3278"/>
    </row>
    <row r="3279" spans="3:13" hidden="1" outlineLevel="1" x14ac:dyDescent="0.2">
      <c r="C3279" s="139">
        <v>3530</v>
      </c>
      <c r="D3279" s="248">
        <v>3460.1140999998402</v>
      </c>
      <c r="E3279" s="248">
        <v>3481.3286000001399</v>
      </c>
      <c r="F3279" s="248">
        <v>3543.07370000008</v>
      </c>
      <c r="G3279" s="248">
        <v>3593.7740999993498</v>
      </c>
      <c r="H3279" s="248">
        <v>3684.65739999993</v>
      </c>
      <c r="I3279"/>
      <c r="J3279"/>
      <c r="K3279"/>
      <c r="L3279"/>
      <c r="M3279"/>
    </row>
    <row r="3280" spans="3:13" hidden="1" outlineLevel="1" x14ac:dyDescent="0.2">
      <c r="C3280" s="139">
        <v>3540</v>
      </c>
      <c r="D3280" s="248">
        <v>3470.2610999998401</v>
      </c>
      <c r="E3280" s="248">
        <v>3491.19060000014</v>
      </c>
      <c r="F3280" s="248">
        <v>3553.1107000000802</v>
      </c>
      <c r="G3280" s="248">
        <v>3603.9550999993398</v>
      </c>
      <c r="H3280" s="248">
        <v>3695.0953999999301</v>
      </c>
      <c r="I3280"/>
      <c r="J3280"/>
      <c r="K3280"/>
      <c r="L3280"/>
      <c r="M3280"/>
    </row>
    <row r="3281" spans="3:13" hidden="1" outlineLevel="1" x14ac:dyDescent="0.2">
      <c r="C3281" s="139">
        <v>3550</v>
      </c>
      <c r="D3281" s="248">
        <v>3480.40809999984</v>
      </c>
      <c r="E3281" s="248">
        <v>3501.05260000014</v>
      </c>
      <c r="F3281" s="248">
        <v>3563.14770000008</v>
      </c>
      <c r="G3281" s="248">
        <v>3614.1360999993299</v>
      </c>
      <c r="H3281" s="248">
        <v>3705.5333999999302</v>
      </c>
      <c r="I3281"/>
      <c r="J3281"/>
      <c r="K3281"/>
      <c r="L3281"/>
      <c r="M3281"/>
    </row>
    <row r="3282" spans="3:13" hidden="1" outlineLevel="1" x14ac:dyDescent="0.2">
      <c r="C3282" s="139">
        <v>3560</v>
      </c>
      <c r="D3282" s="248">
        <v>3490.55509999984</v>
      </c>
      <c r="E3282" s="248">
        <v>3510.9146000001401</v>
      </c>
      <c r="F3282" s="248">
        <v>3573.1847000000798</v>
      </c>
      <c r="G3282" s="248">
        <v>3624.3170999993199</v>
      </c>
      <c r="H3282" s="248">
        <v>3715.9713999999299</v>
      </c>
      <c r="I3282"/>
      <c r="J3282"/>
      <c r="K3282"/>
      <c r="L3282"/>
      <c r="M3282"/>
    </row>
    <row r="3283" spans="3:13" hidden="1" outlineLevel="1" x14ac:dyDescent="0.2">
      <c r="C3283" s="139">
        <v>3570</v>
      </c>
      <c r="D3283" s="248">
        <v>3500.7020999998399</v>
      </c>
      <c r="E3283" s="248">
        <v>3520.7766000001402</v>
      </c>
      <c r="F3283" s="248">
        <v>3583.2217000000801</v>
      </c>
      <c r="G3283" s="248">
        <v>3634.4980999993099</v>
      </c>
      <c r="H3283" s="248">
        <v>3726.40939999993</v>
      </c>
      <c r="I3283"/>
      <c r="J3283"/>
      <c r="K3283"/>
      <c r="L3283"/>
      <c r="M3283"/>
    </row>
    <row r="3284" spans="3:13" hidden="1" outlineLevel="1" x14ac:dyDescent="0.2">
      <c r="C3284" s="139">
        <v>3580</v>
      </c>
      <c r="D3284" s="248">
        <v>3510.8490999998398</v>
      </c>
      <c r="E3284" s="248">
        <v>3530.6386000001398</v>
      </c>
      <c r="F3284" s="248">
        <v>3593.2587000000799</v>
      </c>
      <c r="G3284" s="248">
        <v>3644.6790999993</v>
      </c>
      <c r="H3284" s="248">
        <v>3736.8473999999301</v>
      </c>
      <c r="I3284"/>
      <c r="J3284"/>
      <c r="K3284"/>
      <c r="L3284"/>
      <c r="M3284"/>
    </row>
    <row r="3285" spans="3:13" hidden="1" outlineLevel="1" x14ac:dyDescent="0.2">
      <c r="C3285" s="139">
        <v>3590</v>
      </c>
      <c r="D3285" s="248">
        <v>3520.9960999998402</v>
      </c>
      <c r="E3285" s="248">
        <v>3540.5006000001399</v>
      </c>
      <c r="F3285" s="248">
        <v>3603.2957000000802</v>
      </c>
      <c r="G3285" s="248">
        <v>3654.86009999929</v>
      </c>
      <c r="H3285" s="248">
        <v>3747.2853999999302</v>
      </c>
      <c r="I3285"/>
      <c r="J3285"/>
      <c r="K3285"/>
      <c r="L3285"/>
      <c r="M3285"/>
    </row>
    <row r="3286" spans="3:13" hidden="1" outlineLevel="1" x14ac:dyDescent="0.2">
      <c r="C3286" s="139">
        <v>3600</v>
      </c>
      <c r="D3286" s="248">
        <v>3531.1430999998402</v>
      </c>
      <c r="E3286" s="248">
        <v>3550.36260000014</v>
      </c>
      <c r="F3286" s="248">
        <v>3613.33270000008</v>
      </c>
      <c r="G3286" s="248">
        <v>3665.04109999928</v>
      </c>
      <c r="H3286" s="248">
        <v>3757.7233999999298</v>
      </c>
      <c r="I3286"/>
      <c r="J3286"/>
      <c r="K3286"/>
      <c r="L3286"/>
      <c r="M3286"/>
    </row>
    <row r="3287" spans="3:13" hidden="1" outlineLevel="1" x14ac:dyDescent="0.2">
      <c r="C3287" s="139">
        <v>3610</v>
      </c>
      <c r="D3287" s="248">
        <v>3541.2900999998401</v>
      </c>
      <c r="E3287" s="248">
        <v>3560.2246000001401</v>
      </c>
      <c r="F3287" s="248">
        <v>3623.3697000000798</v>
      </c>
      <c r="G3287" s="248">
        <v>3675.2220999992601</v>
      </c>
      <c r="H3287" s="248">
        <v>3768.1613999999299</v>
      </c>
      <c r="I3287"/>
      <c r="J3287"/>
      <c r="K3287"/>
      <c r="L3287"/>
      <c r="M3287"/>
    </row>
    <row r="3288" spans="3:13" hidden="1" outlineLevel="1" x14ac:dyDescent="0.2">
      <c r="C3288" s="139">
        <v>3620</v>
      </c>
      <c r="D3288" s="248">
        <v>3551.43709999984</v>
      </c>
      <c r="E3288" s="248">
        <v>3570.0866000001402</v>
      </c>
      <c r="F3288" s="248">
        <v>3633.40670000008</v>
      </c>
      <c r="G3288" s="248">
        <v>3685.4030999992501</v>
      </c>
      <c r="H3288" s="248">
        <v>3778.59939999993</v>
      </c>
      <c r="I3288"/>
      <c r="J3288"/>
      <c r="K3288"/>
      <c r="L3288"/>
      <c r="M3288"/>
    </row>
    <row r="3289" spans="3:13" hidden="1" outlineLevel="1" x14ac:dyDescent="0.2">
      <c r="C3289" s="139">
        <v>3630</v>
      </c>
      <c r="D3289" s="248">
        <v>3561.58409999984</v>
      </c>
      <c r="E3289" s="248">
        <v>3579.9486000001398</v>
      </c>
      <c r="F3289" s="248">
        <v>3643.4437000000798</v>
      </c>
      <c r="G3289" s="248">
        <v>3695.5840999992402</v>
      </c>
      <c r="H3289" s="248">
        <v>3789.0373999999301</v>
      </c>
      <c r="I3289"/>
      <c r="J3289"/>
      <c r="K3289"/>
      <c r="L3289"/>
      <c r="M3289"/>
    </row>
    <row r="3290" spans="3:13" hidden="1" outlineLevel="1" x14ac:dyDescent="0.2">
      <c r="C3290" s="139">
        <v>3640</v>
      </c>
      <c r="D3290" s="248">
        <v>3571.7310999998399</v>
      </c>
      <c r="E3290" s="248">
        <v>3589.8106000001399</v>
      </c>
      <c r="F3290" s="248">
        <v>3653.4807000000801</v>
      </c>
      <c r="G3290" s="248">
        <v>3705.7650999992302</v>
      </c>
      <c r="H3290" s="248">
        <v>3799.4753999999298</v>
      </c>
      <c r="I3290"/>
      <c r="J3290"/>
      <c r="K3290"/>
      <c r="L3290"/>
      <c r="M3290"/>
    </row>
    <row r="3291" spans="3:13" hidden="1" outlineLevel="1" x14ac:dyDescent="0.2">
      <c r="C3291" s="139">
        <v>3650</v>
      </c>
      <c r="D3291" s="248">
        <v>3581.8780999998398</v>
      </c>
      <c r="E3291" s="248">
        <v>3599.6726000001399</v>
      </c>
      <c r="F3291" s="248">
        <v>3663.5177000000799</v>
      </c>
      <c r="G3291" s="248">
        <v>3715.9460999992202</v>
      </c>
      <c r="H3291" s="248">
        <v>3809.9133999999299</v>
      </c>
      <c r="I3291"/>
      <c r="J3291"/>
      <c r="K3291"/>
      <c r="L3291"/>
      <c r="M3291"/>
    </row>
    <row r="3292" spans="3:13" hidden="1" outlineLevel="1" x14ac:dyDescent="0.2">
      <c r="C3292" s="139">
        <v>3660</v>
      </c>
      <c r="D3292" s="248">
        <v>3592.0250999998402</v>
      </c>
      <c r="E3292" s="248">
        <v>3609.53460000014</v>
      </c>
      <c r="F3292" s="248">
        <v>3673.5547000000802</v>
      </c>
      <c r="G3292" s="248">
        <v>3726.1270999992098</v>
      </c>
      <c r="H3292" s="248">
        <v>3820.35139999993</v>
      </c>
      <c r="I3292"/>
      <c r="J3292"/>
      <c r="K3292"/>
      <c r="L3292"/>
      <c r="M3292"/>
    </row>
    <row r="3293" spans="3:13" hidden="1" outlineLevel="1" x14ac:dyDescent="0.2">
      <c r="C3293" s="139">
        <v>3670</v>
      </c>
      <c r="D3293" s="248">
        <v>3602.1720999998402</v>
      </c>
      <c r="E3293" s="248">
        <v>3619.3966000001401</v>
      </c>
      <c r="F3293" s="248">
        <v>3683.59170000008</v>
      </c>
      <c r="G3293" s="248">
        <v>3736.3080999991998</v>
      </c>
      <c r="H3293" s="248">
        <v>3830.7893999999301</v>
      </c>
      <c r="I3293"/>
      <c r="J3293"/>
      <c r="K3293"/>
      <c r="L3293"/>
      <c r="M3293"/>
    </row>
    <row r="3294" spans="3:13" hidden="1" outlineLevel="1" x14ac:dyDescent="0.2">
      <c r="C3294" s="139">
        <v>3680</v>
      </c>
      <c r="D3294" s="248">
        <v>3612.3190999998401</v>
      </c>
      <c r="E3294" s="248">
        <v>3629.2586000001402</v>
      </c>
      <c r="F3294" s="248">
        <v>3693.6287000000798</v>
      </c>
      <c r="G3294" s="248">
        <v>3746.4890999991899</v>
      </c>
      <c r="H3294" s="248">
        <v>3841.2273999999302</v>
      </c>
      <c r="I3294"/>
      <c r="J3294"/>
      <c r="K3294"/>
      <c r="L3294"/>
      <c r="M3294"/>
    </row>
    <row r="3295" spans="3:13" hidden="1" outlineLevel="1" x14ac:dyDescent="0.2">
      <c r="C3295" s="139">
        <v>3690</v>
      </c>
      <c r="D3295" s="248">
        <v>3622.46609999984</v>
      </c>
      <c r="E3295" s="248">
        <v>3639.1206000001298</v>
      </c>
      <c r="F3295" s="248">
        <v>3703.6657000000801</v>
      </c>
      <c r="G3295" s="248">
        <v>3756.6700999991799</v>
      </c>
      <c r="H3295" s="248">
        <v>3851.6653999999298</v>
      </c>
      <c r="I3295"/>
      <c r="J3295"/>
      <c r="K3295"/>
      <c r="L3295"/>
      <c r="M3295"/>
    </row>
    <row r="3296" spans="3:13" hidden="1" outlineLevel="1" x14ac:dyDescent="0.2">
      <c r="C3296" s="139">
        <v>3700</v>
      </c>
      <c r="D3296" s="248">
        <v>3632.61309999983</v>
      </c>
      <c r="E3296" s="248">
        <v>3648.9826000001299</v>
      </c>
      <c r="F3296" s="248">
        <v>3713.7027000000799</v>
      </c>
      <c r="G3296" s="248">
        <v>3766.8510999991699</v>
      </c>
      <c r="H3296" s="248">
        <v>3862.1033999999299</v>
      </c>
      <c r="I3296"/>
      <c r="J3296"/>
      <c r="K3296"/>
      <c r="L3296"/>
      <c r="M3296"/>
    </row>
    <row r="3297" spans="3:13" hidden="1" outlineLevel="1" x14ac:dyDescent="0.2">
      <c r="C3297" s="139">
        <v>3710</v>
      </c>
      <c r="D3297" s="248">
        <v>3642.7600999998299</v>
      </c>
      <c r="E3297" s="248">
        <v>3658.84460000013</v>
      </c>
      <c r="F3297" s="248">
        <v>3723.7397000000801</v>
      </c>
      <c r="G3297" s="248">
        <v>3777.03209999916</v>
      </c>
      <c r="H3297" s="248">
        <v>3872.54139999993</v>
      </c>
      <c r="I3297"/>
      <c r="J3297"/>
      <c r="K3297"/>
      <c r="L3297"/>
      <c r="M3297"/>
    </row>
    <row r="3298" spans="3:13" hidden="1" outlineLevel="1" x14ac:dyDescent="0.2">
      <c r="C3298" s="139">
        <v>3720</v>
      </c>
      <c r="D3298" s="248">
        <v>3652.9070999998298</v>
      </c>
      <c r="E3298" s="248">
        <v>3668.70660000013</v>
      </c>
      <c r="F3298" s="248">
        <v>3733.7767000000799</v>
      </c>
      <c r="G3298" s="248">
        <v>3787.21309999915</v>
      </c>
      <c r="H3298" s="248">
        <v>3882.9793999999301</v>
      </c>
      <c r="I3298"/>
      <c r="J3298"/>
      <c r="K3298"/>
      <c r="L3298"/>
      <c r="M3298"/>
    </row>
    <row r="3299" spans="3:13" hidden="1" outlineLevel="1" x14ac:dyDescent="0.2">
      <c r="C3299" s="139">
        <v>3730</v>
      </c>
      <c r="D3299" s="248">
        <v>3663.0540999998302</v>
      </c>
      <c r="E3299" s="248">
        <v>3678.5686000001301</v>
      </c>
      <c r="F3299" s="248">
        <v>3743.8137000000802</v>
      </c>
      <c r="G3299" s="248">
        <v>3797.3940999991401</v>
      </c>
      <c r="H3299" s="248">
        <v>3893.4173999999298</v>
      </c>
      <c r="I3299"/>
      <c r="J3299"/>
      <c r="K3299"/>
      <c r="L3299"/>
      <c r="M3299"/>
    </row>
    <row r="3300" spans="3:13" hidden="1" outlineLevel="1" x14ac:dyDescent="0.2">
      <c r="C3300" s="139">
        <v>3740</v>
      </c>
      <c r="D3300" s="248">
        <v>3673.2010999998402</v>
      </c>
      <c r="E3300" s="248">
        <v>3688.4306000001302</v>
      </c>
      <c r="F3300" s="248">
        <v>3753.85070000008</v>
      </c>
      <c r="G3300" s="248">
        <v>3807.5750999991301</v>
      </c>
      <c r="H3300" s="248">
        <v>3903.8553999999299</v>
      </c>
      <c r="I3300"/>
      <c r="J3300"/>
      <c r="K3300"/>
      <c r="L3300"/>
      <c r="M3300"/>
    </row>
    <row r="3301" spans="3:13" hidden="1" outlineLevel="1" x14ac:dyDescent="0.2">
      <c r="C3301" s="139">
        <v>3750</v>
      </c>
      <c r="D3301" s="248">
        <v>3683.3480999998401</v>
      </c>
      <c r="E3301" s="248">
        <v>3698.2926000001298</v>
      </c>
      <c r="F3301" s="248">
        <v>3763.8877000000798</v>
      </c>
      <c r="G3301" s="248">
        <v>3817.7560999991201</v>
      </c>
      <c r="H3301" s="248">
        <v>3914.29339999993</v>
      </c>
      <c r="I3301"/>
      <c r="J3301"/>
      <c r="K3301"/>
      <c r="L3301"/>
      <c r="M3301"/>
    </row>
    <row r="3302" spans="3:13" hidden="1" outlineLevel="1" x14ac:dyDescent="0.2">
      <c r="C3302" s="139">
        <v>3760</v>
      </c>
      <c r="D3302" s="248">
        <v>3693.49509999984</v>
      </c>
      <c r="E3302" s="248">
        <v>3708.1546000001299</v>
      </c>
      <c r="F3302" s="248">
        <v>3773.9247000000801</v>
      </c>
      <c r="G3302" s="248">
        <v>3827.9370999991102</v>
      </c>
      <c r="H3302" s="248">
        <v>3924.7313999999301</v>
      </c>
      <c r="I3302"/>
      <c r="J3302"/>
      <c r="K3302"/>
      <c r="L3302"/>
      <c r="M3302"/>
    </row>
    <row r="3303" spans="3:13" hidden="1" outlineLevel="1" x14ac:dyDescent="0.2">
      <c r="C3303" s="139">
        <v>3770</v>
      </c>
      <c r="D3303" s="248">
        <v>3703.64209999983</v>
      </c>
      <c r="E3303" s="248">
        <v>3718.01660000013</v>
      </c>
      <c r="F3303" s="248">
        <v>3783.9617000000799</v>
      </c>
      <c r="G3303" s="248">
        <v>3838.1180999991002</v>
      </c>
      <c r="H3303" s="248">
        <v>3935.1693999999302</v>
      </c>
      <c r="I3303"/>
      <c r="J3303"/>
      <c r="K3303"/>
      <c r="L3303"/>
      <c r="M3303"/>
    </row>
    <row r="3304" spans="3:13" hidden="1" outlineLevel="1" x14ac:dyDescent="0.2">
      <c r="C3304" s="139">
        <v>3780</v>
      </c>
      <c r="D3304" s="248">
        <v>3713.7890999998299</v>
      </c>
      <c r="E3304" s="248">
        <v>3727.8786000001301</v>
      </c>
      <c r="F3304" s="248">
        <v>3793.9987000000801</v>
      </c>
      <c r="G3304" s="248">
        <v>3848.2990999990898</v>
      </c>
      <c r="H3304" s="248">
        <v>3945.6073999999298</v>
      </c>
      <c r="I3304"/>
      <c r="J3304"/>
      <c r="K3304"/>
      <c r="L3304"/>
      <c r="M3304"/>
    </row>
    <row r="3305" spans="3:13" hidden="1" outlineLevel="1" x14ac:dyDescent="0.2">
      <c r="C3305" s="139">
        <v>3790</v>
      </c>
      <c r="D3305" s="248">
        <v>3723.9360999998398</v>
      </c>
      <c r="E3305" s="248">
        <v>3737.7406000001301</v>
      </c>
      <c r="F3305" s="248">
        <v>3804.0357000000699</v>
      </c>
      <c r="G3305" s="248">
        <v>3858.4800999990798</v>
      </c>
      <c r="H3305" s="248">
        <v>3956.0453999999299</v>
      </c>
      <c r="I3305"/>
      <c r="J3305"/>
      <c r="K3305"/>
      <c r="L3305"/>
      <c r="M3305"/>
    </row>
    <row r="3306" spans="3:13" hidden="1" outlineLevel="1" x14ac:dyDescent="0.2">
      <c r="C3306" s="139">
        <v>3800</v>
      </c>
      <c r="D3306" s="248">
        <v>3734.0830999998402</v>
      </c>
      <c r="E3306" s="248">
        <v>3747.6026000001302</v>
      </c>
      <c r="F3306" s="248">
        <v>3814.0727000000802</v>
      </c>
      <c r="G3306" s="248">
        <v>3868.6610999990698</v>
      </c>
      <c r="H3306" s="248">
        <v>3966.48339999993</v>
      </c>
      <c r="I3306"/>
      <c r="J3306"/>
      <c r="K3306"/>
      <c r="L3306"/>
      <c r="M3306"/>
    </row>
    <row r="3307" spans="3:13" hidden="1" outlineLevel="1" x14ac:dyDescent="0.2">
      <c r="C3307" s="139">
        <v>3810</v>
      </c>
      <c r="D3307" s="248">
        <v>3744.2300999998401</v>
      </c>
      <c r="E3307" s="248">
        <v>3757.4646000001298</v>
      </c>
      <c r="F3307" s="248">
        <v>3824.10970000007</v>
      </c>
      <c r="G3307" s="248">
        <v>3878.8420999990599</v>
      </c>
      <c r="H3307" s="248">
        <v>3976.9213999999301</v>
      </c>
      <c r="I3307"/>
      <c r="J3307"/>
      <c r="K3307"/>
      <c r="L3307"/>
      <c r="M3307"/>
    </row>
    <row r="3308" spans="3:13" hidden="1" outlineLevel="1" x14ac:dyDescent="0.2">
      <c r="C3308" s="139">
        <v>3820</v>
      </c>
      <c r="D3308" s="248">
        <v>3754.3770999998401</v>
      </c>
      <c r="E3308" s="248">
        <v>3767.3266000001299</v>
      </c>
      <c r="F3308" s="248">
        <v>3834.1467000000698</v>
      </c>
      <c r="G3308" s="248">
        <v>3889.0230999990499</v>
      </c>
      <c r="H3308" s="248">
        <v>3987.3593999999298</v>
      </c>
      <c r="I3308"/>
      <c r="J3308"/>
      <c r="K3308"/>
      <c r="L3308"/>
      <c r="M3308"/>
    </row>
    <row r="3309" spans="3:13" hidden="1" outlineLevel="1" x14ac:dyDescent="0.2">
      <c r="C3309" s="139">
        <v>3830</v>
      </c>
      <c r="D3309" s="248">
        <v>3764.52409999984</v>
      </c>
      <c r="E3309" s="248">
        <v>3777.18860000013</v>
      </c>
      <c r="F3309" s="248">
        <v>3844.1837000000701</v>
      </c>
      <c r="G3309" s="248">
        <v>3899.2040999990299</v>
      </c>
      <c r="H3309" s="248">
        <v>3997.7973999999299</v>
      </c>
      <c r="I3309"/>
      <c r="J3309"/>
      <c r="K3309"/>
      <c r="L3309"/>
      <c r="M3309"/>
    </row>
    <row r="3310" spans="3:13" hidden="1" outlineLevel="1" x14ac:dyDescent="0.2">
      <c r="C3310" s="139">
        <v>3840</v>
      </c>
      <c r="D3310" s="248">
        <v>3774.6710999998299</v>
      </c>
      <c r="E3310" s="248">
        <v>3787.0506000001301</v>
      </c>
      <c r="F3310" s="248">
        <v>3854.2207000000699</v>
      </c>
      <c r="G3310" s="248">
        <v>3909.38509999903</v>
      </c>
      <c r="H3310" s="248">
        <v>4008.23539999993</v>
      </c>
      <c r="I3310"/>
      <c r="J3310"/>
      <c r="K3310"/>
      <c r="L3310"/>
      <c r="M3310"/>
    </row>
    <row r="3311" spans="3:13" hidden="1" outlineLevel="1" x14ac:dyDescent="0.2">
      <c r="C3311" s="139">
        <v>3850</v>
      </c>
      <c r="D3311" s="248">
        <v>3784.8180999998299</v>
      </c>
      <c r="E3311" s="248">
        <v>3796.9126000001302</v>
      </c>
      <c r="F3311" s="248">
        <v>3864.2577000000701</v>
      </c>
      <c r="G3311" s="248">
        <v>3919.56609999901</v>
      </c>
      <c r="H3311" s="248">
        <v>4018.6733999999301</v>
      </c>
      <c r="I3311"/>
      <c r="J3311"/>
      <c r="K3311"/>
      <c r="L3311"/>
      <c r="M3311"/>
    </row>
    <row r="3312" spans="3:13" hidden="1" outlineLevel="1" x14ac:dyDescent="0.2">
      <c r="C3312" s="139">
        <v>3860</v>
      </c>
      <c r="D3312" s="248">
        <v>3794.9650999998298</v>
      </c>
      <c r="E3312" s="248">
        <v>3806.7746000001298</v>
      </c>
      <c r="F3312" s="248">
        <v>3874.29470000007</v>
      </c>
      <c r="G3312" s="248">
        <v>3929.7470999990001</v>
      </c>
      <c r="H3312" s="248">
        <v>4029.1113999999302</v>
      </c>
      <c r="I3312"/>
      <c r="J3312"/>
      <c r="K3312"/>
      <c r="L3312"/>
      <c r="M3312"/>
    </row>
    <row r="3313" spans="3:13" hidden="1" outlineLevel="1" x14ac:dyDescent="0.2">
      <c r="C3313" s="139">
        <v>3870</v>
      </c>
      <c r="D3313" s="248">
        <v>3805.1120999998302</v>
      </c>
      <c r="E3313" s="248">
        <v>3816.6366000001299</v>
      </c>
      <c r="F3313" s="248">
        <v>3884.3317000000702</v>
      </c>
      <c r="G3313" s="248">
        <v>3939.9280999989901</v>
      </c>
      <c r="H3313" s="248">
        <v>4039.5493999999298</v>
      </c>
      <c r="I3313"/>
      <c r="J3313"/>
      <c r="K3313"/>
      <c r="L3313"/>
      <c r="M3313"/>
    </row>
    <row r="3314" spans="3:13" hidden="1" outlineLevel="1" x14ac:dyDescent="0.2">
      <c r="C3314" s="139">
        <v>3880</v>
      </c>
      <c r="D3314" s="248">
        <v>3815.2590999998301</v>
      </c>
      <c r="E3314" s="248">
        <v>3826.49860000013</v>
      </c>
      <c r="F3314" s="248">
        <v>3894.36870000007</v>
      </c>
      <c r="G3314" s="248">
        <v>3950.1090999989801</v>
      </c>
      <c r="H3314" s="248">
        <v>4049.9873999999299</v>
      </c>
      <c r="I3314"/>
      <c r="J3314"/>
      <c r="K3314"/>
      <c r="L3314"/>
      <c r="M3314"/>
    </row>
    <row r="3315" spans="3:13" hidden="1" outlineLevel="1" x14ac:dyDescent="0.2">
      <c r="C3315" s="139">
        <v>3890</v>
      </c>
      <c r="D3315" s="248">
        <v>3825.4060999998301</v>
      </c>
      <c r="E3315" s="248">
        <v>3836.36060000013</v>
      </c>
      <c r="F3315" s="248">
        <v>3904.4057000000698</v>
      </c>
      <c r="G3315" s="248">
        <v>3960.2900999989702</v>
      </c>
      <c r="H3315" s="248">
        <v>4060.4253999999301</v>
      </c>
      <c r="I3315"/>
      <c r="J3315"/>
      <c r="K3315"/>
      <c r="L3315"/>
      <c r="M3315"/>
    </row>
    <row r="3316" spans="3:13" hidden="1" outlineLevel="1" x14ac:dyDescent="0.2">
      <c r="C3316" s="139">
        <v>3900</v>
      </c>
      <c r="D3316" s="248">
        <v>3835.55309999983</v>
      </c>
      <c r="E3316" s="248">
        <v>3846.2226000001301</v>
      </c>
      <c r="F3316" s="248">
        <v>3914.4427000000701</v>
      </c>
      <c r="G3316" s="248">
        <v>3970.4710999989602</v>
      </c>
      <c r="H3316" s="248">
        <v>4070.8633999999302</v>
      </c>
      <c r="I3316"/>
      <c r="J3316"/>
      <c r="K3316"/>
      <c r="L3316"/>
      <c r="M3316"/>
    </row>
    <row r="3317" spans="3:13" hidden="1" outlineLevel="1" x14ac:dyDescent="0.2">
      <c r="C3317" s="139">
        <v>3910</v>
      </c>
      <c r="D3317" s="248">
        <v>3845.7000999998299</v>
      </c>
      <c r="E3317" s="248">
        <v>3856.0846000001302</v>
      </c>
      <c r="F3317" s="248">
        <v>3924.4797000000699</v>
      </c>
      <c r="G3317" s="248">
        <v>3980.6520999989498</v>
      </c>
      <c r="H3317" s="248">
        <v>4081.3013999999298</v>
      </c>
      <c r="I3317"/>
      <c r="J3317"/>
      <c r="K3317"/>
      <c r="L3317"/>
      <c r="M3317"/>
    </row>
    <row r="3318" spans="3:13" hidden="1" outlineLevel="1" x14ac:dyDescent="0.2">
      <c r="C3318" s="139">
        <v>3920</v>
      </c>
      <c r="D3318" s="248">
        <v>3855.8470999998299</v>
      </c>
      <c r="E3318" s="248">
        <v>3865.9466000001298</v>
      </c>
      <c r="F3318" s="248">
        <v>3934.5167000000702</v>
      </c>
      <c r="G3318" s="248">
        <v>3990.8330999989398</v>
      </c>
      <c r="H3318" s="248">
        <v>4091.7393999999299</v>
      </c>
      <c r="I3318"/>
      <c r="J3318"/>
      <c r="K3318"/>
      <c r="L3318"/>
      <c r="M3318"/>
    </row>
    <row r="3319" spans="3:13" hidden="1" outlineLevel="1" x14ac:dyDescent="0.2">
      <c r="C3319" s="139">
        <v>3930</v>
      </c>
      <c r="D3319" s="248">
        <v>3865.9940999998298</v>
      </c>
      <c r="E3319" s="248">
        <v>3875.8086000001299</v>
      </c>
      <c r="F3319" s="248">
        <v>3944.55370000007</v>
      </c>
      <c r="G3319" s="248">
        <v>4001.0140999989299</v>
      </c>
      <c r="H3319" s="248">
        <v>4102.1773999999295</v>
      </c>
      <c r="I3319"/>
      <c r="J3319"/>
      <c r="K3319"/>
      <c r="L3319"/>
      <c r="M3319"/>
    </row>
    <row r="3320" spans="3:13" hidden="1" outlineLevel="1" x14ac:dyDescent="0.2">
      <c r="C3320" s="139">
        <v>3940</v>
      </c>
      <c r="D3320" s="248">
        <v>3876.1410999998302</v>
      </c>
      <c r="E3320" s="248">
        <v>3885.67060000012</v>
      </c>
      <c r="F3320" s="248">
        <v>3954.5907000000698</v>
      </c>
      <c r="G3320" s="248">
        <v>4011.1950999989199</v>
      </c>
      <c r="H3320" s="248">
        <v>4112.6153999999297</v>
      </c>
      <c r="I3320"/>
      <c r="J3320"/>
      <c r="K3320"/>
      <c r="L3320"/>
      <c r="M3320"/>
    </row>
    <row r="3321" spans="3:13" hidden="1" outlineLevel="1" x14ac:dyDescent="0.2">
      <c r="C3321" s="139">
        <v>3950</v>
      </c>
      <c r="D3321" s="248">
        <v>3886.2880999998301</v>
      </c>
      <c r="E3321" s="248">
        <v>3895.5326000001201</v>
      </c>
      <c r="F3321" s="248">
        <v>3964.62770000007</v>
      </c>
      <c r="G3321" s="248">
        <v>4021.3760999989099</v>
      </c>
      <c r="H3321" s="248">
        <v>4123.0533999999298</v>
      </c>
      <c r="I3321"/>
      <c r="J3321"/>
      <c r="K3321"/>
      <c r="L3321"/>
      <c r="M3321"/>
    </row>
    <row r="3322" spans="3:13" hidden="1" outlineLevel="1" x14ac:dyDescent="0.2">
      <c r="C3322" s="139">
        <v>3960</v>
      </c>
      <c r="D3322" s="248">
        <v>3896.4350999998301</v>
      </c>
      <c r="E3322" s="248">
        <v>3905.3946000001201</v>
      </c>
      <c r="F3322" s="248">
        <v>3974.6647000000698</v>
      </c>
      <c r="G3322" s="248">
        <v>4031.5570999989</v>
      </c>
      <c r="H3322" s="248">
        <v>4133.4913999999299</v>
      </c>
      <c r="I3322"/>
      <c r="J3322"/>
      <c r="K3322"/>
      <c r="L3322"/>
      <c r="M3322"/>
    </row>
    <row r="3323" spans="3:13" hidden="1" outlineLevel="1" x14ac:dyDescent="0.2">
      <c r="C3323" s="139">
        <v>3970</v>
      </c>
      <c r="D3323" s="248">
        <v>3906.58209999983</v>
      </c>
      <c r="E3323" s="248">
        <v>3915.2566000001202</v>
      </c>
      <c r="F3323" s="248">
        <v>3984.7017000000701</v>
      </c>
      <c r="G3323" s="248">
        <v>4041.73809999889</v>
      </c>
      <c r="H3323" s="248">
        <v>4143.92939999993</v>
      </c>
      <c r="I3323"/>
      <c r="J3323"/>
      <c r="K3323"/>
      <c r="L3323"/>
      <c r="M3323"/>
    </row>
    <row r="3324" spans="3:13" hidden="1" outlineLevel="1" x14ac:dyDescent="0.2">
      <c r="C3324" s="139">
        <v>3980</v>
      </c>
      <c r="D3324" s="248">
        <v>3916.7290999998299</v>
      </c>
      <c r="E3324" s="248">
        <v>3925.1186000001198</v>
      </c>
      <c r="F3324" s="248">
        <v>3994.7387000000699</v>
      </c>
      <c r="G3324" s="248">
        <v>4051.91909999888</v>
      </c>
      <c r="H3324" s="248">
        <v>4154.3673999999301</v>
      </c>
      <c r="I3324"/>
      <c r="J3324"/>
      <c r="K3324"/>
      <c r="L3324"/>
      <c r="M3324"/>
    </row>
    <row r="3325" spans="3:13" hidden="1" outlineLevel="1" x14ac:dyDescent="0.2">
      <c r="C3325" s="139">
        <v>3990</v>
      </c>
      <c r="D3325" s="248">
        <v>3926.8760999998299</v>
      </c>
      <c r="E3325" s="248">
        <v>3934.9806000001199</v>
      </c>
      <c r="F3325" s="248">
        <v>4004.7757000000702</v>
      </c>
      <c r="G3325" s="248">
        <v>4062.1000999988701</v>
      </c>
      <c r="H3325" s="248">
        <v>4164.8053999999302</v>
      </c>
      <c r="I3325"/>
      <c r="J3325"/>
      <c r="K3325"/>
      <c r="L3325"/>
      <c r="M3325"/>
    </row>
    <row r="3326" spans="3:13" hidden="1" outlineLevel="1" x14ac:dyDescent="0.2">
      <c r="C3326" s="139">
        <v>4000</v>
      </c>
      <c r="D3326" s="248">
        <v>3937.0230999998298</v>
      </c>
      <c r="E3326" s="248">
        <v>3944.84260000012</v>
      </c>
      <c r="F3326" s="248">
        <v>4014.81270000007</v>
      </c>
      <c r="G3326" s="248">
        <v>4072.2810999988601</v>
      </c>
      <c r="H3326" s="248">
        <v>4175.2433999999303</v>
      </c>
      <c r="I3326"/>
      <c r="J3326"/>
      <c r="K3326"/>
      <c r="L3326"/>
      <c r="M3326"/>
    </row>
    <row r="3327" spans="3:13" hidden="1" outlineLevel="1" x14ac:dyDescent="0.2">
      <c r="C3327" s="139">
        <v>4010</v>
      </c>
      <c r="D3327" s="248">
        <v>3947.1700999998302</v>
      </c>
      <c r="E3327" s="248">
        <v>3954.7046000001201</v>
      </c>
      <c r="F3327" s="248">
        <v>4024.8497000000698</v>
      </c>
      <c r="G3327" s="248">
        <v>4082.4620999988501</v>
      </c>
      <c r="H3327" s="248">
        <v>4185.6813999999304</v>
      </c>
      <c r="I3327"/>
      <c r="J3327"/>
      <c r="K3327"/>
      <c r="L3327"/>
      <c r="M3327"/>
    </row>
    <row r="3328" spans="3:13" hidden="1" outlineLevel="1" x14ac:dyDescent="0.2">
      <c r="C3328" s="139">
        <v>4020</v>
      </c>
      <c r="D3328" s="248">
        <v>3957.3170999998301</v>
      </c>
      <c r="E3328" s="248">
        <v>3964.5666000001202</v>
      </c>
      <c r="F3328" s="248">
        <v>4034.8867000000701</v>
      </c>
      <c r="G3328" s="248">
        <v>4092.6430999988402</v>
      </c>
      <c r="H3328" s="248">
        <v>4196.1193999999296</v>
      </c>
      <c r="I3328"/>
      <c r="J3328"/>
      <c r="K3328"/>
      <c r="L3328"/>
      <c r="M3328"/>
    </row>
    <row r="3329" spans="3:13" hidden="1" outlineLevel="1" x14ac:dyDescent="0.2">
      <c r="C3329" s="139">
        <v>4030</v>
      </c>
      <c r="D3329" s="248">
        <v>3967.4640999998301</v>
      </c>
      <c r="E3329" s="248">
        <v>3974.4286000001198</v>
      </c>
      <c r="F3329" s="248">
        <v>4044.9237000000699</v>
      </c>
      <c r="G3329" s="248">
        <v>4102.8240999988302</v>
      </c>
      <c r="H3329" s="248">
        <v>4206.5573999999297</v>
      </c>
      <c r="I3329"/>
      <c r="J3329"/>
      <c r="K3329"/>
      <c r="L3329"/>
      <c r="M3329"/>
    </row>
    <row r="3330" spans="3:13" hidden="1" outlineLevel="1" x14ac:dyDescent="0.2">
      <c r="C3330" s="139">
        <v>4040</v>
      </c>
      <c r="D3330" s="248">
        <v>3977.61109999983</v>
      </c>
      <c r="E3330" s="248">
        <v>3984.2906000001199</v>
      </c>
      <c r="F3330" s="248">
        <v>4054.9607000000701</v>
      </c>
      <c r="G3330" s="248">
        <v>4113.0050999988198</v>
      </c>
      <c r="H3330" s="248">
        <v>4216.9953999999298</v>
      </c>
      <c r="I3330"/>
      <c r="J3330"/>
      <c r="K3330"/>
      <c r="L3330"/>
      <c r="M3330"/>
    </row>
    <row r="3331" spans="3:13" hidden="1" outlineLevel="1" x14ac:dyDescent="0.2">
      <c r="C3331" s="139">
        <v>4050</v>
      </c>
      <c r="D3331" s="248">
        <v>3987.7580999998299</v>
      </c>
      <c r="E3331" s="248">
        <v>3994.1526000001199</v>
      </c>
      <c r="F3331" s="248">
        <v>4064.9977000000699</v>
      </c>
      <c r="G3331" s="248">
        <v>4123.1860999988103</v>
      </c>
      <c r="H3331" s="248">
        <v>4227.4333999999299</v>
      </c>
      <c r="I3331"/>
      <c r="J3331"/>
      <c r="K3331"/>
      <c r="L3331"/>
      <c r="M3331"/>
    </row>
    <row r="3332" spans="3:13" hidden="1" outlineLevel="1" x14ac:dyDescent="0.2">
      <c r="C3332" s="139">
        <v>4060</v>
      </c>
      <c r="D3332" s="248">
        <v>3997.9050999998299</v>
      </c>
      <c r="E3332" s="248">
        <v>4004.01460000012</v>
      </c>
      <c r="F3332" s="248">
        <v>4075.0347000000702</v>
      </c>
      <c r="G3332" s="248">
        <v>4133.3670999987999</v>
      </c>
      <c r="H3332" s="248">
        <v>4237.87139999993</v>
      </c>
      <c r="I3332"/>
      <c r="J3332"/>
      <c r="K3332"/>
      <c r="L3332"/>
      <c r="M3332"/>
    </row>
    <row r="3333" spans="3:13" hidden="1" outlineLevel="1" x14ac:dyDescent="0.2">
      <c r="C3333" s="139">
        <v>4070</v>
      </c>
      <c r="D3333" s="248">
        <v>4008.0520999998298</v>
      </c>
      <c r="E3333" s="248">
        <v>4013.8766000001201</v>
      </c>
      <c r="F3333" s="248">
        <v>4085.07170000007</v>
      </c>
      <c r="G3333" s="248">
        <v>4143.5480999987903</v>
      </c>
      <c r="H3333" s="248">
        <v>4248.3093999999301</v>
      </c>
      <c r="I3333"/>
      <c r="J3333"/>
      <c r="K3333"/>
      <c r="L3333"/>
      <c r="M3333"/>
    </row>
    <row r="3334" spans="3:13" hidden="1" outlineLevel="1" x14ac:dyDescent="0.2">
      <c r="C3334" s="139">
        <v>4080</v>
      </c>
      <c r="D3334" s="248">
        <v>4018.1990999998302</v>
      </c>
      <c r="E3334" s="248">
        <v>4023.7386000001202</v>
      </c>
      <c r="F3334" s="248">
        <v>4095.1087000000698</v>
      </c>
      <c r="G3334" s="248">
        <v>4153.7290999987699</v>
      </c>
      <c r="H3334" s="248">
        <v>4258.7473999999302</v>
      </c>
      <c r="I3334"/>
      <c r="J3334"/>
      <c r="K3334"/>
      <c r="L3334"/>
      <c r="M3334"/>
    </row>
    <row r="3335" spans="3:13" hidden="1" outlineLevel="1" x14ac:dyDescent="0.2">
      <c r="C3335" s="139">
        <v>4090</v>
      </c>
      <c r="D3335" s="248">
        <v>4028.3460999998301</v>
      </c>
      <c r="E3335" s="248">
        <v>4033.6006000001198</v>
      </c>
      <c r="F3335" s="248">
        <v>4105.1457000000701</v>
      </c>
      <c r="G3335" s="248">
        <v>4163.9100999987604</v>
      </c>
      <c r="H3335" s="248">
        <v>4269.1853999999303</v>
      </c>
      <c r="I3335"/>
      <c r="J3335"/>
      <c r="K3335"/>
      <c r="L3335"/>
      <c r="M3335"/>
    </row>
    <row r="3336" spans="3:13" hidden="1" outlineLevel="1" x14ac:dyDescent="0.2">
      <c r="C3336" s="139">
        <v>4100</v>
      </c>
      <c r="D3336" s="248">
        <v>4038.4930999998301</v>
      </c>
      <c r="E3336" s="248">
        <v>4043.4626000001199</v>
      </c>
      <c r="F3336" s="248">
        <v>4115.1827000000703</v>
      </c>
      <c r="G3336" s="248">
        <v>4174.09109999875</v>
      </c>
      <c r="H3336" s="248">
        <v>4279.6233999999304</v>
      </c>
      <c r="I3336"/>
      <c r="J3336"/>
      <c r="K3336"/>
      <c r="L3336"/>
      <c r="M3336"/>
    </row>
    <row r="3337" spans="3:13" hidden="1" outlineLevel="1" x14ac:dyDescent="0.2">
      <c r="C3337" s="139">
        <v>4110</v>
      </c>
      <c r="D3337" s="248">
        <v>4048.64009999983</v>
      </c>
      <c r="E3337" s="248">
        <v>4053.32460000012</v>
      </c>
      <c r="F3337" s="248">
        <v>4125.2197000000697</v>
      </c>
      <c r="G3337" s="248">
        <v>4184.2720999987396</v>
      </c>
      <c r="H3337" s="248">
        <v>4290.0613999999296</v>
      </c>
      <c r="I3337"/>
      <c r="J3337"/>
      <c r="K3337"/>
      <c r="L3337"/>
      <c r="M3337"/>
    </row>
    <row r="3338" spans="3:13" hidden="1" outlineLevel="1" x14ac:dyDescent="0.2">
      <c r="C3338" s="139">
        <v>4120</v>
      </c>
      <c r="D3338" s="248">
        <v>4058.7870999998299</v>
      </c>
      <c r="E3338" s="248">
        <v>4063.1866000001201</v>
      </c>
      <c r="F3338" s="248">
        <v>4135.2567000000699</v>
      </c>
      <c r="G3338" s="248">
        <v>4194.4530999987301</v>
      </c>
      <c r="H3338" s="248">
        <v>4300.4993999999297</v>
      </c>
      <c r="I3338"/>
      <c r="J3338"/>
      <c r="K3338"/>
      <c r="L3338"/>
      <c r="M3338"/>
    </row>
    <row r="3339" spans="3:13" hidden="1" outlineLevel="1" x14ac:dyDescent="0.2">
      <c r="C3339" s="139">
        <v>4130</v>
      </c>
      <c r="D3339" s="248">
        <v>4068.9340999998299</v>
      </c>
      <c r="E3339" s="248">
        <v>4073.0486000001201</v>
      </c>
      <c r="F3339" s="248">
        <v>4145.2937000000702</v>
      </c>
      <c r="G3339" s="248">
        <v>4204.6340999987196</v>
      </c>
      <c r="H3339" s="248">
        <v>4310.9373999999298</v>
      </c>
      <c r="I3339"/>
      <c r="J3339"/>
      <c r="K3339"/>
      <c r="L3339"/>
      <c r="M3339"/>
    </row>
    <row r="3340" spans="3:13" hidden="1" outlineLevel="1" x14ac:dyDescent="0.2">
      <c r="C3340" s="139">
        <v>4140</v>
      </c>
      <c r="D3340" s="248">
        <v>4079.0810999998298</v>
      </c>
      <c r="E3340" s="248">
        <v>4082.9106000001202</v>
      </c>
      <c r="F3340" s="248">
        <v>4155.3307000000696</v>
      </c>
      <c r="G3340" s="248">
        <v>4214.8150999987101</v>
      </c>
      <c r="H3340" s="248">
        <v>4321.3753999999299</v>
      </c>
      <c r="I3340"/>
      <c r="J3340"/>
      <c r="K3340"/>
      <c r="L3340"/>
      <c r="M3340"/>
    </row>
    <row r="3341" spans="3:13" hidden="1" outlineLevel="1" x14ac:dyDescent="0.2">
      <c r="C3341" s="139">
        <v>4150</v>
      </c>
      <c r="D3341" s="248">
        <v>4089.2280999998302</v>
      </c>
      <c r="E3341" s="248">
        <v>4092.7726000001198</v>
      </c>
      <c r="F3341" s="248">
        <v>4165.3677000000698</v>
      </c>
      <c r="G3341" s="248">
        <v>4224.9960999986997</v>
      </c>
      <c r="H3341" s="248">
        <v>4331.81339999993</v>
      </c>
      <c r="I3341"/>
      <c r="J3341"/>
      <c r="K3341"/>
      <c r="L3341"/>
      <c r="M3341"/>
    </row>
    <row r="3342" spans="3:13" hidden="1" outlineLevel="1" x14ac:dyDescent="0.2">
      <c r="C3342" s="139">
        <v>4160</v>
      </c>
      <c r="D3342" s="248">
        <v>4099.3750999998301</v>
      </c>
      <c r="E3342" s="248">
        <v>4102.6346000001204</v>
      </c>
      <c r="F3342" s="248">
        <v>4175.4047000000701</v>
      </c>
      <c r="G3342" s="248">
        <v>4235.1770999986902</v>
      </c>
      <c r="H3342" s="248">
        <v>4342.2513999999301</v>
      </c>
      <c r="I3342"/>
      <c r="J3342"/>
      <c r="K3342"/>
      <c r="L3342"/>
      <c r="M3342"/>
    </row>
    <row r="3343" spans="3:13" hidden="1" outlineLevel="1" x14ac:dyDescent="0.2">
      <c r="C3343" s="139">
        <v>4170</v>
      </c>
      <c r="D3343" s="248">
        <v>4109.5220999998301</v>
      </c>
      <c r="E3343" s="248">
        <v>4112.4966000001205</v>
      </c>
      <c r="F3343" s="248">
        <v>4185.4417000000703</v>
      </c>
      <c r="G3343" s="248">
        <v>4245.3580999986798</v>
      </c>
      <c r="H3343" s="248">
        <v>4352.6893999999302</v>
      </c>
      <c r="I3343"/>
      <c r="J3343"/>
      <c r="K3343"/>
      <c r="L3343"/>
      <c r="M3343"/>
    </row>
    <row r="3344" spans="3:13" hidden="1" outlineLevel="1" x14ac:dyDescent="0.2">
      <c r="C3344" s="139">
        <v>4180</v>
      </c>
      <c r="D3344" s="248">
        <v>4119.66909999983</v>
      </c>
      <c r="E3344" s="248">
        <v>4122.3586000001196</v>
      </c>
      <c r="F3344" s="248">
        <v>4195.4787000000697</v>
      </c>
      <c r="G3344" s="248">
        <v>4255.5390999986703</v>
      </c>
      <c r="H3344" s="248">
        <v>4363.1273999999303</v>
      </c>
      <c r="I3344"/>
      <c r="J3344"/>
      <c r="K3344"/>
      <c r="L3344"/>
      <c r="M3344"/>
    </row>
    <row r="3345" spans="3:13" hidden="1" outlineLevel="1" x14ac:dyDescent="0.2">
      <c r="C3345" s="139">
        <v>4190</v>
      </c>
      <c r="D3345" s="248">
        <v>4129.8160999998299</v>
      </c>
      <c r="E3345" s="248">
        <v>4132.2206000001197</v>
      </c>
      <c r="F3345" s="248">
        <v>4205.51570000007</v>
      </c>
      <c r="G3345" s="248">
        <v>4265.7200999986599</v>
      </c>
      <c r="H3345" s="248">
        <v>4373.5653999999304</v>
      </c>
      <c r="I3345"/>
      <c r="J3345"/>
      <c r="K3345"/>
      <c r="L3345"/>
      <c r="M3345"/>
    </row>
    <row r="3346" spans="3:13" hidden="1" outlineLevel="1" x14ac:dyDescent="0.2">
      <c r="C3346" s="139">
        <v>4200</v>
      </c>
      <c r="D3346" s="248">
        <v>4139.9630999998299</v>
      </c>
      <c r="E3346" s="248">
        <v>4142.0826000001198</v>
      </c>
      <c r="F3346" s="248">
        <v>4215.5527000000702</v>
      </c>
      <c r="G3346" s="248">
        <v>4275.9010999986504</v>
      </c>
      <c r="H3346" s="248">
        <v>4384.0033999999296</v>
      </c>
      <c r="I3346"/>
      <c r="J3346"/>
      <c r="K3346"/>
      <c r="L3346"/>
      <c r="M3346"/>
    </row>
    <row r="3347" spans="3:13" hidden="1" outlineLevel="1" x14ac:dyDescent="0.2">
      <c r="C3347" s="139">
        <v>4210</v>
      </c>
      <c r="D3347" s="248">
        <v>4150.1100999998298</v>
      </c>
      <c r="E3347" s="248">
        <v>4151.9446000001099</v>
      </c>
      <c r="F3347" s="248">
        <v>4225.5897000000696</v>
      </c>
      <c r="G3347" s="248">
        <v>4286.0820999986399</v>
      </c>
      <c r="H3347" s="248">
        <v>4394.4413999999297</v>
      </c>
      <c r="I3347"/>
      <c r="J3347"/>
      <c r="K3347"/>
      <c r="L3347"/>
      <c r="M3347"/>
    </row>
    <row r="3348" spans="3:13" hidden="1" outlineLevel="1" x14ac:dyDescent="0.2">
      <c r="C3348" s="139">
        <v>4220</v>
      </c>
      <c r="D3348" s="248">
        <v>4160.2570999998297</v>
      </c>
      <c r="E3348" s="248">
        <v>4161.8066000001099</v>
      </c>
      <c r="F3348" s="248">
        <v>4235.6267000000698</v>
      </c>
      <c r="G3348" s="248">
        <v>4296.2630999986304</v>
      </c>
      <c r="H3348" s="248">
        <v>4404.8793999999298</v>
      </c>
      <c r="I3348"/>
      <c r="J3348"/>
      <c r="K3348"/>
      <c r="L3348"/>
      <c r="M3348"/>
    </row>
    <row r="3349" spans="3:13" hidden="1" outlineLevel="1" x14ac:dyDescent="0.2">
      <c r="C3349" s="139">
        <v>4230</v>
      </c>
      <c r="D3349" s="248">
        <v>4170.4040999998297</v>
      </c>
      <c r="E3349" s="248">
        <v>4171.66860000011</v>
      </c>
      <c r="F3349" s="248">
        <v>4245.6637000000701</v>
      </c>
      <c r="G3349" s="248">
        <v>4306.44409999862</v>
      </c>
      <c r="H3349" s="248">
        <v>4415.3173999999299</v>
      </c>
      <c r="I3349"/>
      <c r="J3349"/>
      <c r="K3349"/>
      <c r="L3349"/>
      <c r="M3349"/>
    </row>
    <row r="3350" spans="3:13" hidden="1" outlineLevel="1" x14ac:dyDescent="0.2">
      <c r="C3350" s="139">
        <v>4240</v>
      </c>
      <c r="D3350" s="248">
        <v>4180.5510999998296</v>
      </c>
      <c r="E3350" s="248">
        <v>4181.5306000001101</v>
      </c>
      <c r="F3350" s="248">
        <v>4255.7007000000704</v>
      </c>
      <c r="G3350" s="248">
        <v>4316.6250999986096</v>
      </c>
      <c r="H3350" s="248">
        <v>4425.75539999993</v>
      </c>
      <c r="I3350"/>
      <c r="J3350"/>
      <c r="K3350"/>
      <c r="L3350"/>
      <c r="M3350"/>
    </row>
    <row r="3351" spans="3:13" hidden="1" outlineLevel="1" x14ac:dyDescent="0.2">
      <c r="C3351" s="139">
        <v>4250</v>
      </c>
      <c r="D3351" s="248">
        <v>4190.6980999998304</v>
      </c>
      <c r="E3351" s="248">
        <v>4191.3926000001102</v>
      </c>
      <c r="F3351" s="248">
        <v>4265.7377000000697</v>
      </c>
      <c r="G3351" s="248">
        <v>4326.8060999986001</v>
      </c>
      <c r="H3351" s="248">
        <v>4436.1933999999301</v>
      </c>
      <c r="I3351"/>
      <c r="J3351"/>
      <c r="K3351"/>
      <c r="L3351"/>
      <c r="M3351"/>
    </row>
    <row r="3352" spans="3:13" hidden="1" outlineLevel="1" x14ac:dyDescent="0.2">
      <c r="C3352" s="139">
        <v>4260</v>
      </c>
      <c r="D3352" s="248">
        <v>4200.8450999998304</v>
      </c>
      <c r="E3352" s="248">
        <v>4201.2546000001103</v>
      </c>
      <c r="F3352" s="248">
        <v>4275.77470000007</v>
      </c>
      <c r="G3352" s="248">
        <v>4336.9870999985897</v>
      </c>
      <c r="H3352" s="248">
        <v>4446.6313999999302</v>
      </c>
      <c r="I3352"/>
      <c r="J3352"/>
      <c r="K3352"/>
      <c r="L3352"/>
      <c r="M3352"/>
    </row>
    <row r="3353" spans="3:13" hidden="1" outlineLevel="1" x14ac:dyDescent="0.2">
      <c r="C3353" s="139">
        <v>4270</v>
      </c>
      <c r="D3353" s="248">
        <v>4210.9920999998303</v>
      </c>
      <c r="E3353" s="248">
        <v>4211.1166000001103</v>
      </c>
      <c r="F3353" s="248">
        <v>4285.8117000000702</v>
      </c>
      <c r="G3353" s="248">
        <v>4347.1680999985801</v>
      </c>
      <c r="H3353" s="248">
        <v>4457.0693999999303</v>
      </c>
      <c r="I3353"/>
      <c r="J3353"/>
      <c r="K3353"/>
      <c r="L3353"/>
      <c r="M3353"/>
    </row>
    <row r="3354" spans="3:13" hidden="1" outlineLevel="1" x14ac:dyDescent="0.2">
      <c r="C3354" s="139">
        <v>4280</v>
      </c>
      <c r="D3354" s="248">
        <v>4221.1390999998303</v>
      </c>
      <c r="E3354" s="248">
        <v>4220.9786000001104</v>
      </c>
      <c r="F3354" s="248">
        <v>4295.8487000000696</v>
      </c>
      <c r="G3354" s="248">
        <v>4357.3490999985697</v>
      </c>
      <c r="H3354" s="248">
        <v>4467.5073999999304</v>
      </c>
      <c r="I3354"/>
      <c r="J3354"/>
      <c r="K3354"/>
      <c r="L3354"/>
      <c r="M3354"/>
    </row>
    <row r="3355" spans="3:13" hidden="1" outlineLevel="1" x14ac:dyDescent="0.2">
      <c r="C3355" s="139">
        <v>4290</v>
      </c>
      <c r="D3355" s="248">
        <v>4231.2860999998302</v>
      </c>
      <c r="E3355" s="248">
        <v>4230.8406000001096</v>
      </c>
      <c r="F3355" s="248">
        <v>4305.8857000000698</v>
      </c>
      <c r="G3355" s="248">
        <v>4367.5300999985602</v>
      </c>
      <c r="H3355" s="248">
        <v>4477.9453999999296</v>
      </c>
      <c r="I3355"/>
      <c r="J3355"/>
      <c r="K3355"/>
      <c r="L3355"/>
      <c r="M3355"/>
    </row>
    <row r="3356" spans="3:13" hidden="1" outlineLevel="1" x14ac:dyDescent="0.2">
      <c r="C3356" s="139">
        <v>4300</v>
      </c>
      <c r="D3356" s="248">
        <v>4241.4330999998301</v>
      </c>
      <c r="E3356" s="248">
        <v>4240.7026000001097</v>
      </c>
      <c r="F3356" s="248">
        <v>4315.9227000000601</v>
      </c>
      <c r="G3356" s="248">
        <v>4377.7110999985498</v>
      </c>
      <c r="H3356" s="248">
        <v>4488.3833999999297</v>
      </c>
      <c r="I3356"/>
      <c r="J3356"/>
      <c r="K3356"/>
      <c r="L3356"/>
      <c r="M3356"/>
    </row>
    <row r="3357" spans="3:13" hidden="1" outlineLevel="1" x14ac:dyDescent="0.2">
      <c r="C3357" s="139">
        <v>4310</v>
      </c>
      <c r="D3357" s="248">
        <v>4251.5800999998301</v>
      </c>
      <c r="E3357" s="248">
        <v>4250.5646000001097</v>
      </c>
      <c r="F3357" s="248">
        <v>4325.9597000000604</v>
      </c>
      <c r="G3357" s="248">
        <v>4387.8920999985403</v>
      </c>
      <c r="H3357" s="248">
        <v>4498.8213999999298</v>
      </c>
      <c r="I3357"/>
      <c r="J3357"/>
      <c r="K3357"/>
      <c r="L3357"/>
      <c r="M3357"/>
    </row>
    <row r="3358" spans="3:13" hidden="1" outlineLevel="1" x14ac:dyDescent="0.2">
      <c r="C3358" s="139">
        <v>4320</v>
      </c>
      <c r="D3358" s="248">
        <v>4261.72709999983</v>
      </c>
      <c r="E3358" s="248">
        <v>4260.4266000001098</v>
      </c>
      <c r="F3358" s="248">
        <v>4335.9967000000597</v>
      </c>
      <c r="G3358" s="248">
        <v>4398.0730999985199</v>
      </c>
      <c r="H3358" s="248">
        <v>4509.2593999999299</v>
      </c>
      <c r="I3358"/>
      <c r="J3358"/>
      <c r="K3358"/>
      <c r="L3358"/>
      <c r="M3358"/>
    </row>
    <row r="3359" spans="3:13" hidden="1" outlineLevel="1" x14ac:dyDescent="0.2">
      <c r="C3359" s="139">
        <v>4330</v>
      </c>
      <c r="D3359" s="248">
        <v>4271.8740999998299</v>
      </c>
      <c r="E3359" s="248">
        <v>4270.2886000001099</v>
      </c>
      <c r="F3359" s="248">
        <v>4346.03370000006</v>
      </c>
      <c r="G3359" s="248">
        <v>4408.2540999985104</v>
      </c>
      <c r="H3359" s="248">
        <v>4519.69739999993</v>
      </c>
      <c r="I3359"/>
      <c r="J3359"/>
      <c r="K3359"/>
      <c r="L3359"/>
      <c r="M3359"/>
    </row>
    <row r="3360" spans="3:13" hidden="1" outlineLevel="1" x14ac:dyDescent="0.2">
      <c r="C3360" s="139">
        <v>4340</v>
      </c>
      <c r="D3360" s="248">
        <v>4282.0210999998299</v>
      </c>
      <c r="E3360" s="248">
        <v>4280.15060000011</v>
      </c>
      <c r="F3360" s="248">
        <v>4356.0707000000602</v>
      </c>
      <c r="G3360" s="248">
        <v>4418.4350999984999</v>
      </c>
      <c r="H3360" s="248">
        <v>4530.1353999999301</v>
      </c>
      <c r="I3360"/>
      <c r="J3360"/>
      <c r="K3360"/>
      <c r="L3360"/>
      <c r="M3360"/>
    </row>
    <row r="3361" spans="3:13" hidden="1" outlineLevel="1" x14ac:dyDescent="0.2">
      <c r="C3361" s="139">
        <v>4350</v>
      </c>
      <c r="D3361" s="248">
        <v>4292.1680999998298</v>
      </c>
      <c r="E3361" s="248">
        <v>4290.0126000001101</v>
      </c>
      <c r="F3361" s="248">
        <v>4366.1077000000596</v>
      </c>
      <c r="G3361" s="248">
        <v>4428.6160999984904</v>
      </c>
      <c r="H3361" s="248">
        <v>4540.5733999999302</v>
      </c>
      <c r="I3361"/>
      <c r="J3361"/>
      <c r="K3361"/>
      <c r="L3361"/>
      <c r="M3361"/>
    </row>
    <row r="3362" spans="3:13" hidden="1" outlineLevel="1" x14ac:dyDescent="0.2">
      <c r="C3362" s="139">
        <v>4360</v>
      </c>
      <c r="D3362" s="248">
        <v>4302.3150999998297</v>
      </c>
      <c r="E3362" s="248">
        <v>4299.8746000001101</v>
      </c>
      <c r="F3362" s="248">
        <v>4376.1447000000599</v>
      </c>
      <c r="G3362" s="248">
        <v>4438.79709999848</v>
      </c>
      <c r="H3362" s="248">
        <v>4551.0113999999303</v>
      </c>
      <c r="I3362"/>
      <c r="J3362"/>
      <c r="K3362"/>
      <c r="L3362"/>
      <c r="M3362"/>
    </row>
    <row r="3363" spans="3:13" hidden="1" outlineLevel="1" x14ac:dyDescent="0.2">
      <c r="C3363" s="139">
        <v>4370</v>
      </c>
      <c r="D3363" s="248">
        <v>4312.4620999998297</v>
      </c>
      <c r="E3363" s="248">
        <v>4309.7366000001102</v>
      </c>
      <c r="F3363" s="248">
        <v>4386.1817000000601</v>
      </c>
      <c r="G3363" s="248">
        <v>4448.9780999984696</v>
      </c>
      <c r="H3363" s="248">
        <v>4561.4493999999304</v>
      </c>
      <c r="I3363"/>
      <c r="J3363"/>
      <c r="K3363"/>
      <c r="L3363"/>
      <c r="M3363"/>
    </row>
    <row r="3364" spans="3:13" hidden="1" outlineLevel="1" x14ac:dyDescent="0.2">
      <c r="C3364" s="139">
        <v>4380</v>
      </c>
      <c r="D3364" s="248">
        <v>4322.6090999998296</v>
      </c>
      <c r="E3364" s="248">
        <v>4319.5986000001103</v>
      </c>
      <c r="F3364" s="248">
        <v>4396.2187000000604</v>
      </c>
      <c r="G3364" s="248">
        <v>4459.1590999984601</v>
      </c>
      <c r="H3364" s="248">
        <v>4571.8873999999296</v>
      </c>
      <c r="I3364"/>
      <c r="J3364"/>
      <c r="K3364"/>
      <c r="L3364"/>
      <c r="M3364"/>
    </row>
    <row r="3365" spans="3:13" hidden="1" outlineLevel="1" x14ac:dyDescent="0.2">
      <c r="C3365" s="139">
        <v>4390</v>
      </c>
      <c r="D3365" s="248">
        <v>4332.7560999998304</v>
      </c>
      <c r="E3365" s="248">
        <v>4329.4606000001104</v>
      </c>
      <c r="F3365" s="248">
        <v>4406.2557000000597</v>
      </c>
      <c r="G3365" s="248">
        <v>4469.3400999984497</v>
      </c>
      <c r="H3365" s="248">
        <v>4582.3253999999297</v>
      </c>
      <c r="I3365"/>
      <c r="J3365"/>
      <c r="K3365"/>
      <c r="L3365"/>
      <c r="M3365"/>
    </row>
    <row r="3366" spans="3:13" hidden="1" outlineLevel="1" x14ac:dyDescent="0.2">
      <c r="C3366" s="139">
        <v>4400</v>
      </c>
      <c r="D3366" s="248">
        <v>4342.9030999998304</v>
      </c>
      <c r="E3366" s="248">
        <v>4339.3226000001096</v>
      </c>
      <c r="F3366" s="248">
        <v>4416.29270000006</v>
      </c>
      <c r="G3366" s="248">
        <v>4479.5210999984401</v>
      </c>
      <c r="H3366" s="248">
        <v>4592.7633999999298</v>
      </c>
      <c r="I3366"/>
      <c r="J3366"/>
      <c r="K3366"/>
      <c r="L3366"/>
      <c r="M3366"/>
    </row>
    <row r="3367" spans="3:13" hidden="1" outlineLevel="1" x14ac:dyDescent="0.2">
      <c r="C3367" s="139">
        <v>4410</v>
      </c>
      <c r="D3367" s="248">
        <v>4353.0500999998303</v>
      </c>
      <c r="E3367" s="248">
        <v>4349.1846000001096</v>
      </c>
      <c r="F3367" s="248">
        <v>4426.3297000000603</v>
      </c>
      <c r="G3367" s="248">
        <v>4489.7020999984297</v>
      </c>
      <c r="H3367" s="248">
        <v>4603.2013999999299</v>
      </c>
      <c r="I3367"/>
      <c r="J3367"/>
      <c r="K3367"/>
      <c r="L3367"/>
      <c r="M3367"/>
    </row>
    <row r="3368" spans="3:13" hidden="1" outlineLevel="1" x14ac:dyDescent="0.2">
      <c r="C3368" s="139">
        <v>4420</v>
      </c>
      <c r="D3368" s="248">
        <v>4363.1970999998302</v>
      </c>
      <c r="E3368" s="248">
        <v>4359.0466000001097</v>
      </c>
      <c r="F3368" s="248">
        <v>4436.3667000000596</v>
      </c>
      <c r="G3368" s="248">
        <v>4499.8830999984202</v>
      </c>
      <c r="H3368" s="248">
        <v>4613.63939999993</v>
      </c>
      <c r="I3368"/>
      <c r="J3368"/>
      <c r="K3368"/>
      <c r="L3368"/>
      <c r="M3368"/>
    </row>
    <row r="3369" spans="3:13" hidden="1" outlineLevel="1" x14ac:dyDescent="0.2">
      <c r="C3369" s="139">
        <v>4430</v>
      </c>
      <c r="D3369" s="248">
        <v>4373.3440999998302</v>
      </c>
      <c r="E3369" s="248">
        <v>4368.9086000001098</v>
      </c>
      <c r="F3369" s="248">
        <v>4446.4037000000599</v>
      </c>
      <c r="G3369" s="248">
        <v>4510.0640999984098</v>
      </c>
      <c r="H3369" s="248">
        <v>4624.0773999999301</v>
      </c>
      <c r="I3369"/>
      <c r="J3369"/>
      <c r="K3369"/>
      <c r="L3369"/>
      <c r="M3369"/>
    </row>
    <row r="3370" spans="3:13" hidden="1" outlineLevel="1" x14ac:dyDescent="0.2">
      <c r="C3370" s="139">
        <v>4440</v>
      </c>
      <c r="D3370" s="248">
        <v>4383.4910999998301</v>
      </c>
      <c r="E3370" s="248">
        <v>4378.7706000001099</v>
      </c>
      <c r="F3370" s="248">
        <v>4456.4407000000601</v>
      </c>
      <c r="G3370" s="248">
        <v>4520.2450999984003</v>
      </c>
      <c r="H3370" s="248">
        <v>4634.5153999999302</v>
      </c>
      <c r="I3370"/>
      <c r="J3370"/>
      <c r="K3370"/>
      <c r="L3370"/>
      <c r="M3370"/>
    </row>
    <row r="3371" spans="3:13" hidden="1" outlineLevel="1" x14ac:dyDescent="0.2">
      <c r="C3371" s="139">
        <v>4450</v>
      </c>
      <c r="D3371" s="248">
        <v>4393.63809999983</v>
      </c>
      <c r="E3371" s="248">
        <v>4388.63260000011</v>
      </c>
      <c r="F3371" s="248">
        <v>4466.4777000000604</v>
      </c>
      <c r="G3371" s="248">
        <v>4530.4260999983899</v>
      </c>
      <c r="H3371" s="248">
        <v>4644.9533999999303</v>
      </c>
      <c r="I3371"/>
      <c r="J3371"/>
      <c r="K3371"/>
      <c r="L3371"/>
      <c r="M3371"/>
    </row>
    <row r="3372" spans="3:13" hidden="1" outlineLevel="1" x14ac:dyDescent="0.2">
      <c r="C3372" s="139">
        <v>4460</v>
      </c>
      <c r="D3372" s="248">
        <v>4403.78509999983</v>
      </c>
      <c r="E3372" s="248">
        <v>4398.49460000011</v>
      </c>
      <c r="F3372" s="248">
        <v>4476.5147000000597</v>
      </c>
      <c r="G3372" s="248">
        <v>4540.6070999983804</v>
      </c>
      <c r="H3372" s="248">
        <v>4655.3913999999304</v>
      </c>
      <c r="I3372"/>
      <c r="J3372"/>
      <c r="K3372"/>
      <c r="L3372"/>
      <c r="M3372"/>
    </row>
    <row r="3373" spans="3:13" hidden="1" outlineLevel="1" x14ac:dyDescent="0.2">
      <c r="C3373" s="139">
        <v>4470</v>
      </c>
      <c r="D3373" s="248">
        <v>4413.9320999998299</v>
      </c>
      <c r="E3373" s="248">
        <v>4408.3566000001001</v>
      </c>
      <c r="F3373" s="248">
        <v>4486.55170000006</v>
      </c>
      <c r="G3373" s="248">
        <v>4550.7880999983699</v>
      </c>
      <c r="H3373" s="248">
        <v>4665.8293999999296</v>
      </c>
      <c r="I3373"/>
      <c r="J3373"/>
      <c r="K3373"/>
      <c r="L3373"/>
      <c r="M3373"/>
    </row>
    <row r="3374" spans="3:13" hidden="1" outlineLevel="1" x14ac:dyDescent="0.2">
      <c r="C3374" s="139">
        <v>4480</v>
      </c>
      <c r="D3374" s="248">
        <v>4424.0790999998299</v>
      </c>
      <c r="E3374" s="248">
        <v>4418.2186000001002</v>
      </c>
      <c r="F3374" s="248">
        <v>4496.5887000000603</v>
      </c>
      <c r="G3374" s="248">
        <v>4560.9690999983604</v>
      </c>
      <c r="H3374" s="248">
        <v>4676.2673999999397</v>
      </c>
      <c r="I3374"/>
      <c r="J3374"/>
      <c r="K3374"/>
      <c r="L3374"/>
      <c r="M3374"/>
    </row>
    <row r="3375" spans="3:13" hidden="1" outlineLevel="1" x14ac:dyDescent="0.2">
      <c r="C3375" s="139">
        <v>4490</v>
      </c>
      <c r="D3375" s="248">
        <v>4434.2260999998298</v>
      </c>
      <c r="E3375" s="248">
        <v>4428.0806000001003</v>
      </c>
      <c r="F3375" s="248">
        <v>4506.6257000000596</v>
      </c>
      <c r="G3375" s="248">
        <v>4571.15009999835</v>
      </c>
      <c r="H3375" s="248">
        <v>4686.7053999999398</v>
      </c>
      <c r="I3375"/>
      <c r="J3375"/>
      <c r="K3375"/>
      <c r="L3375"/>
      <c r="M3375"/>
    </row>
    <row r="3376" spans="3:13" hidden="1" outlineLevel="1" x14ac:dyDescent="0.2">
      <c r="C3376" s="139">
        <v>4500</v>
      </c>
      <c r="D3376" s="248">
        <v>4444.3730999998297</v>
      </c>
      <c r="E3376" s="248">
        <v>4437.9426000001004</v>
      </c>
      <c r="F3376" s="248">
        <v>4516.6627000000599</v>
      </c>
      <c r="G3376" s="248">
        <v>4581.3310999983396</v>
      </c>
      <c r="H3376" s="248">
        <v>4697.1433999999399</v>
      </c>
      <c r="I3376"/>
      <c r="J3376"/>
      <c r="K3376"/>
      <c r="L3376"/>
      <c r="M3376"/>
    </row>
    <row r="3377" spans="3:13" hidden="1" outlineLevel="1" x14ac:dyDescent="0.2">
      <c r="C3377" s="139">
        <v>4510</v>
      </c>
      <c r="D3377" s="248">
        <v>4454.5200999998297</v>
      </c>
      <c r="E3377" s="248">
        <v>4447.8046000001004</v>
      </c>
      <c r="F3377" s="248">
        <v>4526.6997000000601</v>
      </c>
      <c r="G3377" s="248">
        <v>4591.5120999983301</v>
      </c>
      <c r="H3377" s="248">
        <v>4707.58139999994</v>
      </c>
      <c r="I3377"/>
      <c r="J3377"/>
      <c r="K3377"/>
      <c r="L3377"/>
      <c r="M3377"/>
    </row>
    <row r="3378" spans="3:13" hidden="1" outlineLevel="1" x14ac:dyDescent="0.2">
      <c r="C3378" s="139">
        <v>4520</v>
      </c>
      <c r="D3378" s="248">
        <v>4464.6670999998296</v>
      </c>
      <c r="E3378" s="248">
        <v>4457.6666000000996</v>
      </c>
      <c r="F3378" s="248">
        <v>4536.7367000000604</v>
      </c>
      <c r="G3378" s="248">
        <v>4601.6930999983197</v>
      </c>
      <c r="H3378" s="248">
        <v>4718.0193999999401</v>
      </c>
      <c r="I3378"/>
      <c r="J3378"/>
      <c r="K3378"/>
      <c r="L3378"/>
      <c r="M3378"/>
    </row>
    <row r="3379" spans="3:13" hidden="1" outlineLevel="1" x14ac:dyDescent="0.2">
      <c r="C3379" s="139">
        <v>4530</v>
      </c>
      <c r="D3379" s="248">
        <v>4474.8140999998304</v>
      </c>
      <c r="E3379" s="248">
        <v>4467.5286000000997</v>
      </c>
      <c r="F3379" s="248">
        <v>4546.7737000000598</v>
      </c>
      <c r="G3379" s="248">
        <v>4611.8740999983102</v>
      </c>
      <c r="H3379" s="248">
        <v>4728.4573999999402</v>
      </c>
      <c r="I3379"/>
      <c r="J3379"/>
      <c r="K3379"/>
      <c r="L3379"/>
      <c r="M3379"/>
    </row>
    <row r="3380" spans="3:13" hidden="1" outlineLevel="1" x14ac:dyDescent="0.2">
      <c r="C3380" s="139">
        <v>4540</v>
      </c>
      <c r="D3380" s="248">
        <v>4484.9610999998304</v>
      </c>
      <c r="E3380" s="248">
        <v>4477.3906000000998</v>
      </c>
      <c r="F3380" s="248">
        <v>4556.81070000006</v>
      </c>
      <c r="G3380" s="248">
        <v>4622.0550999982997</v>
      </c>
      <c r="H3380" s="248">
        <v>4738.8953999999403</v>
      </c>
      <c r="I3380"/>
      <c r="J3380"/>
      <c r="K3380"/>
      <c r="L3380"/>
      <c r="M3380"/>
    </row>
    <row r="3381" spans="3:13" hidden="1" outlineLevel="1" x14ac:dyDescent="0.2">
      <c r="C3381" s="139">
        <v>4550</v>
      </c>
      <c r="D3381" s="248">
        <v>4495.1080999998303</v>
      </c>
      <c r="E3381" s="248">
        <v>4487.2526000000998</v>
      </c>
      <c r="F3381" s="248">
        <v>4566.8477000000603</v>
      </c>
      <c r="G3381" s="248">
        <v>4632.2360999982902</v>
      </c>
      <c r="H3381" s="248">
        <v>4749.3333999999404</v>
      </c>
      <c r="I3381"/>
      <c r="J3381"/>
      <c r="K3381"/>
      <c r="L3381"/>
      <c r="M3381"/>
    </row>
    <row r="3382" spans="3:13" hidden="1" outlineLevel="1" x14ac:dyDescent="0.2">
      <c r="C3382" s="139">
        <v>4560</v>
      </c>
      <c r="D3382" s="248">
        <v>4505.2550999998302</v>
      </c>
      <c r="E3382" s="248">
        <v>4497.1146000000999</v>
      </c>
      <c r="F3382" s="248">
        <v>4576.8847000000596</v>
      </c>
      <c r="G3382" s="248">
        <v>4642.4170999982698</v>
      </c>
      <c r="H3382" s="248">
        <v>4759.7713999999396</v>
      </c>
      <c r="I3382"/>
      <c r="J3382"/>
      <c r="K3382"/>
      <c r="L3382"/>
      <c r="M3382"/>
    </row>
    <row r="3383" spans="3:13" hidden="1" outlineLevel="1" x14ac:dyDescent="0.2">
      <c r="C3383" s="139">
        <v>4570</v>
      </c>
      <c r="D3383" s="248">
        <v>4515.4020999998302</v>
      </c>
      <c r="E3383" s="248">
        <v>4506.9766000001</v>
      </c>
      <c r="F3383" s="248">
        <v>4586.9217000000599</v>
      </c>
      <c r="G3383" s="248">
        <v>4652.5980999982603</v>
      </c>
      <c r="H3383" s="248">
        <v>4770.2093999999397</v>
      </c>
      <c r="I3383"/>
      <c r="J3383"/>
      <c r="K3383"/>
      <c r="L3383"/>
      <c r="M3383"/>
    </row>
    <row r="3384" spans="3:13" hidden="1" outlineLevel="1" x14ac:dyDescent="0.2">
      <c r="C3384" s="139">
        <v>4580</v>
      </c>
      <c r="D3384" s="248">
        <v>4525.5490999998301</v>
      </c>
      <c r="E3384" s="248">
        <v>4516.8386000001001</v>
      </c>
      <c r="F3384" s="248">
        <v>4596.9587000000602</v>
      </c>
      <c r="G3384" s="248">
        <v>4662.7790999982499</v>
      </c>
      <c r="H3384" s="248">
        <v>4780.6473999999398</v>
      </c>
      <c r="I3384"/>
      <c r="J3384"/>
      <c r="K3384"/>
      <c r="L3384"/>
      <c r="M3384"/>
    </row>
    <row r="3385" spans="3:13" hidden="1" outlineLevel="1" x14ac:dyDescent="0.2">
      <c r="C3385" s="139">
        <v>4590</v>
      </c>
      <c r="D3385" s="248">
        <v>4535.69609999983</v>
      </c>
      <c r="E3385" s="248">
        <v>4526.7006000001002</v>
      </c>
      <c r="F3385" s="248">
        <v>4606.9957000000604</v>
      </c>
      <c r="G3385" s="248">
        <v>4672.9600999982404</v>
      </c>
      <c r="H3385" s="248">
        <v>4791.0853999999399</v>
      </c>
      <c r="I3385"/>
      <c r="J3385"/>
      <c r="K3385"/>
      <c r="L3385"/>
      <c r="M3385"/>
    </row>
    <row r="3386" spans="3:13" hidden="1" outlineLevel="1" x14ac:dyDescent="0.2">
      <c r="C3386" s="139">
        <v>4600</v>
      </c>
      <c r="D3386" s="248">
        <v>4545.84309999983</v>
      </c>
      <c r="E3386" s="248">
        <v>4536.5626000001002</v>
      </c>
      <c r="F3386" s="248">
        <v>4617.0327000000598</v>
      </c>
      <c r="G3386" s="248">
        <v>4683.1410999982299</v>
      </c>
      <c r="H3386" s="248">
        <v>4801.52339999994</v>
      </c>
      <c r="I3386"/>
      <c r="J3386"/>
      <c r="K3386"/>
      <c r="L3386"/>
      <c r="M3386"/>
    </row>
    <row r="3387" spans="3:13" hidden="1" outlineLevel="1" x14ac:dyDescent="0.2">
      <c r="C3387" s="139">
        <v>4610</v>
      </c>
      <c r="D3387" s="248">
        <v>4555.9900999998299</v>
      </c>
      <c r="E3387" s="248">
        <v>4546.4246000001003</v>
      </c>
      <c r="F3387" s="248">
        <v>4627.06970000006</v>
      </c>
      <c r="G3387" s="248">
        <v>4693.3220999982204</v>
      </c>
      <c r="H3387" s="248">
        <v>4811.9613999999401</v>
      </c>
      <c r="I3387"/>
      <c r="J3387"/>
      <c r="K3387"/>
      <c r="L3387"/>
      <c r="M3387"/>
    </row>
    <row r="3388" spans="3:13" hidden="1" outlineLevel="1" x14ac:dyDescent="0.2">
      <c r="C3388" s="139">
        <v>4620</v>
      </c>
      <c r="D3388" s="248">
        <v>4566.1370999998298</v>
      </c>
      <c r="E3388" s="248">
        <v>4556.2866000001004</v>
      </c>
      <c r="F3388" s="248">
        <v>4637.1067000000603</v>
      </c>
      <c r="G3388" s="248">
        <v>4703.50309999821</v>
      </c>
      <c r="H3388" s="248">
        <v>4822.3993999999402</v>
      </c>
      <c r="I3388"/>
      <c r="J3388"/>
      <c r="K3388"/>
      <c r="L3388"/>
      <c r="M3388"/>
    </row>
    <row r="3389" spans="3:13" hidden="1" outlineLevel="1" x14ac:dyDescent="0.2">
      <c r="C3389" s="139">
        <v>4630</v>
      </c>
      <c r="D3389" s="248">
        <v>4576.2840999998298</v>
      </c>
      <c r="E3389" s="248">
        <v>4566.1486000000996</v>
      </c>
      <c r="F3389" s="248">
        <v>4647.1437000000597</v>
      </c>
      <c r="G3389" s="248">
        <v>4713.6840999981996</v>
      </c>
      <c r="H3389" s="248">
        <v>4832.8373999999403</v>
      </c>
      <c r="I3389"/>
      <c r="J3389"/>
      <c r="K3389"/>
      <c r="L3389"/>
      <c r="M3389"/>
    </row>
    <row r="3390" spans="3:13" hidden="1" outlineLevel="1" x14ac:dyDescent="0.2">
      <c r="C3390" s="139">
        <v>4640</v>
      </c>
      <c r="D3390" s="248">
        <v>4586.4310999998297</v>
      </c>
      <c r="E3390" s="248">
        <v>4576.0106000000997</v>
      </c>
      <c r="F3390" s="248">
        <v>4657.1807000000599</v>
      </c>
      <c r="G3390" s="248">
        <v>4723.8650999981901</v>
      </c>
      <c r="H3390" s="248">
        <v>4843.2753999999404</v>
      </c>
      <c r="I3390"/>
      <c r="J3390"/>
      <c r="K3390"/>
      <c r="L3390"/>
      <c r="M3390"/>
    </row>
    <row r="3391" spans="3:13" hidden="1" outlineLevel="1" x14ac:dyDescent="0.2">
      <c r="C3391" s="139">
        <v>4650</v>
      </c>
      <c r="D3391" s="248">
        <v>4596.5780999998296</v>
      </c>
      <c r="E3391" s="248">
        <v>4585.8726000000997</v>
      </c>
      <c r="F3391" s="248">
        <v>4667.2177000000602</v>
      </c>
      <c r="G3391" s="248">
        <v>4734.0460999981797</v>
      </c>
      <c r="H3391" s="248">
        <v>4853.7133999999396</v>
      </c>
      <c r="I3391"/>
      <c r="J3391"/>
      <c r="K3391"/>
      <c r="L3391"/>
      <c r="M3391"/>
    </row>
    <row r="3392" spans="3:13" hidden="1" outlineLevel="1" x14ac:dyDescent="0.2">
      <c r="C3392" s="139">
        <v>4660</v>
      </c>
      <c r="D3392" s="248">
        <v>4606.7250999998296</v>
      </c>
      <c r="E3392" s="248">
        <v>4595.7346000000998</v>
      </c>
      <c r="F3392" s="248">
        <v>4677.2547000000604</v>
      </c>
      <c r="G3392" s="248">
        <v>4744.2270999981702</v>
      </c>
      <c r="H3392" s="248">
        <v>4864.1513999999397</v>
      </c>
      <c r="I3392"/>
      <c r="J3392"/>
      <c r="K3392"/>
      <c r="L3392"/>
      <c r="M3392"/>
    </row>
    <row r="3393" spans="3:13" hidden="1" outlineLevel="1" x14ac:dyDescent="0.2">
      <c r="C3393" s="139">
        <v>4670</v>
      </c>
      <c r="D3393" s="248">
        <v>4616.8720999998304</v>
      </c>
      <c r="E3393" s="248">
        <v>4605.5966000000999</v>
      </c>
      <c r="F3393" s="248">
        <v>4687.2917000000598</v>
      </c>
      <c r="G3393" s="248">
        <v>4754.4080999981597</v>
      </c>
      <c r="H3393" s="248">
        <v>4874.5893999999398</v>
      </c>
      <c r="I3393"/>
      <c r="J3393"/>
      <c r="K3393"/>
      <c r="L3393"/>
      <c r="M3393"/>
    </row>
    <row r="3394" spans="3:13" hidden="1" outlineLevel="1" x14ac:dyDescent="0.2">
      <c r="C3394" s="139">
        <v>4680</v>
      </c>
      <c r="D3394" s="248">
        <v>4627.0190999998304</v>
      </c>
      <c r="E3394" s="248">
        <v>4615.4586000001</v>
      </c>
      <c r="F3394" s="248">
        <v>4697.3287000000601</v>
      </c>
      <c r="G3394" s="248">
        <v>4764.5890999981502</v>
      </c>
      <c r="H3394" s="248">
        <v>4885.0273999999399</v>
      </c>
      <c r="I3394"/>
      <c r="J3394"/>
      <c r="K3394"/>
      <c r="L3394"/>
      <c r="M3394"/>
    </row>
    <row r="3395" spans="3:13" hidden="1" outlineLevel="1" x14ac:dyDescent="0.2">
      <c r="C3395" s="139">
        <v>4690</v>
      </c>
      <c r="D3395" s="248">
        <v>4637.1660999998303</v>
      </c>
      <c r="E3395" s="248">
        <v>4625.3206000001001</v>
      </c>
      <c r="F3395" s="248">
        <v>4707.3657000000603</v>
      </c>
      <c r="G3395" s="248">
        <v>4774.7700999981398</v>
      </c>
      <c r="H3395" s="248">
        <v>4895.46539999994</v>
      </c>
      <c r="I3395"/>
      <c r="J3395"/>
      <c r="K3395"/>
      <c r="L3395"/>
      <c r="M3395"/>
    </row>
    <row r="3396" spans="3:13" hidden="1" outlineLevel="1" x14ac:dyDescent="0.2">
      <c r="C3396" s="139">
        <v>4700</v>
      </c>
      <c r="D3396" s="248">
        <v>4647.3130999998302</v>
      </c>
      <c r="E3396" s="248">
        <v>4635.1826000001001</v>
      </c>
      <c r="F3396" s="248">
        <v>4717.4027000000597</v>
      </c>
      <c r="G3396" s="248">
        <v>4784.9510999981303</v>
      </c>
      <c r="H3396" s="248">
        <v>4905.9033999999401</v>
      </c>
      <c r="I3396"/>
      <c r="J3396"/>
      <c r="K3396"/>
      <c r="L3396"/>
      <c r="M3396"/>
    </row>
    <row r="3397" spans="3:13" hidden="1" outlineLevel="1" x14ac:dyDescent="0.2">
      <c r="C3397" s="139">
        <v>4710</v>
      </c>
      <c r="D3397" s="248">
        <v>4657.4600999998302</v>
      </c>
      <c r="E3397" s="248">
        <v>4645.0446000001002</v>
      </c>
      <c r="F3397" s="248">
        <v>4727.4397000000599</v>
      </c>
      <c r="G3397" s="248">
        <v>4795.1320999981199</v>
      </c>
      <c r="H3397" s="248">
        <v>4916.3413999999402</v>
      </c>
      <c r="I3397"/>
      <c r="J3397"/>
      <c r="K3397"/>
      <c r="L3397"/>
      <c r="M3397"/>
    </row>
    <row r="3398" spans="3:13" hidden="1" outlineLevel="1" x14ac:dyDescent="0.2">
      <c r="C3398" s="139">
        <v>4720</v>
      </c>
      <c r="D3398" s="248">
        <v>4667.6070999998301</v>
      </c>
      <c r="E3398" s="248">
        <v>4654.9066000001003</v>
      </c>
      <c r="F3398" s="248">
        <v>4737.4767000000602</v>
      </c>
      <c r="G3398" s="248">
        <v>4805.3130999981104</v>
      </c>
      <c r="H3398" s="248">
        <v>4926.7793999999403</v>
      </c>
      <c r="I3398"/>
      <c r="J3398"/>
      <c r="K3398"/>
      <c r="L3398"/>
      <c r="M3398"/>
    </row>
    <row r="3399" spans="3:13" hidden="1" outlineLevel="1" x14ac:dyDescent="0.2">
      <c r="C3399" s="139">
        <v>4730</v>
      </c>
      <c r="D3399" s="248">
        <v>4677.75409999983</v>
      </c>
      <c r="E3399" s="248">
        <v>4664.7686000001004</v>
      </c>
      <c r="F3399" s="248">
        <v>4747.5137000000605</v>
      </c>
      <c r="G3399" s="248">
        <v>4815.4940999981</v>
      </c>
      <c r="H3399" s="248">
        <v>4937.2173999999404</v>
      </c>
      <c r="I3399"/>
      <c r="J3399"/>
      <c r="K3399"/>
      <c r="L3399"/>
      <c r="M3399"/>
    </row>
    <row r="3400" spans="3:13" hidden="1" outlineLevel="1" x14ac:dyDescent="0.2">
      <c r="C3400" s="139">
        <v>4740</v>
      </c>
      <c r="D3400" s="248">
        <v>4687.90109999983</v>
      </c>
      <c r="E3400" s="248">
        <v>4674.6306000000905</v>
      </c>
      <c r="F3400" s="248">
        <v>4757.5507000000598</v>
      </c>
      <c r="G3400" s="248">
        <v>4825.6750999980904</v>
      </c>
      <c r="H3400" s="248">
        <v>4947.6553999999396</v>
      </c>
      <c r="I3400"/>
      <c r="J3400"/>
      <c r="K3400"/>
      <c r="L3400"/>
      <c r="M3400"/>
    </row>
    <row r="3401" spans="3:13" hidden="1" outlineLevel="1" x14ac:dyDescent="0.2">
      <c r="C3401" s="139">
        <v>4750</v>
      </c>
      <c r="D3401" s="248">
        <v>4698.0480999998299</v>
      </c>
      <c r="E3401" s="248">
        <v>4684.4926000000896</v>
      </c>
      <c r="F3401" s="248">
        <v>4767.5877000000601</v>
      </c>
      <c r="G3401" s="248">
        <v>4835.85609999808</v>
      </c>
      <c r="H3401" s="248">
        <v>4958.0933999999397</v>
      </c>
      <c r="I3401"/>
      <c r="J3401"/>
      <c r="K3401"/>
      <c r="L3401"/>
      <c r="M3401"/>
    </row>
    <row r="3402" spans="3:13" hidden="1" outlineLevel="1" x14ac:dyDescent="0.2">
      <c r="C3402" s="139">
        <v>4760</v>
      </c>
      <c r="D3402" s="248">
        <v>4708.1950999998298</v>
      </c>
      <c r="E3402" s="248">
        <v>4694.3546000000897</v>
      </c>
      <c r="F3402" s="248">
        <v>4777.6247000000603</v>
      </c>
      <c r="G3402" s="248">
        <v>4846.0370999980696</v>
      </c>
      <c r="H3402" s="248">
        <v>4968.5313999999398</v>
      </c>
      <c r="I3402"/>
      <c r="J3402"/>
      <c r="K3402"/>
      <c r="L3402"/>
      <c r="M3402"/>
    </row>
    <row r="3403" spans="3:13" hidden="1" outlineLevel="1" x14ac:dyDescent="0.2">
      <c r="C3403" s="139">
        <v>4770</v>
      </c>
      <c r="D3403" s="248">
        <v>4718.3420999998298</v>
      </c>
      <c r="E3403" s="248">
        <v>4704.2166000000898</v>
      </c>
      <c r="F3403" s="248">
        <v>4787.6617000000597</v>
      </c>
      <c r="G3403" s="248">
        <v>4856.2180999980601</v>
      </c>
      <c r="H3403" s="248">
        <v>4978.9693999999399</v>
      </c>
      <c r="I3403"/>
      <c r="J3403"/>
      <c r="K3403"/>
      <c r="L3403"/>
      <c r="M3403"/>
    </row>
    <row r="3404" spans="3:13" hidden="1" outlineLevel="1" x14ac:dyDescent="0.2">
      <c r="C3404" s="139">
        <v>4780</v>
      </c>
      <c r="D3404" s="248">
        <v>4728.4890999998297</v>
      </c>
      <c r="E3404" s="248">
        <v>4714.0786000000899</v>
      </c>
      <c r="F3404" s="248">
        <v>4797.6987000000599</v>
      </c>
      <c r="G3404" s="248">
        <v>4866.3990999980497</v>
      </c>
      <c r="H3404" s="248">
        <v>4989.40739999994</v>
      </c>
      <c r="I3404"/>
      <c r="J3404"/>
      <c r="K3404"/>
      <c r="L3404"/>
      <c r="M3404"/>
    </row>
    <row r="3405" spans="3:13" hidden="1" outlineLevel="1" x14ac:dyDescent="0.2">
      <c r="C3405" s="139">
        <v>4790</v>
      </c>
      <c r="D3405" s="248">
        <v>4738.6360999998296</v>
      </c>
      <c r="E3405" s="248">
        <v>4723.9406000000899</v>
      </c>
      <c r="F3405" s="248">
        <v>4807.7357000000602</v>
      </c>
      <c r="G3405" s="248">
        <v>4876.5800999980302</v>
      </c>
      <c r="H3405" s="248">
        <v>4999.8453999999401</v>
      </c>
      <c r="I3405"/>
      <c r="J3405"/>
      <c r="K3405"/>
      <c r="L3405"/>
      <c r="M3405"/>
    </row>
    <row r="3406" spans="3:13" hidden="1" outlineLevel="1" x14ac:dyDescent="0.2">
      <c r="C3406" s="139">
        <v>4800</v>
      </c>
      <c r="D3406" s="248">
        <v>4748.7830999998296</v>
      </c>
      <c r="E3406" s="248">
        <v>4733.80260000009</v>
      </c>
      <c r="F3406" s="248">
        <v>4817.7727000000596</v>
      </c>
      <c r="G3406" s="248">
        <v>4886.7610999980197</v>
      </c>
      <c r="H3406" s="248">
        <v>5010.2833999999402</v>
      </c>
      <c r="I3406"/>
      <c r="J3406"/>
      <c r="K3406"/>
      <c r="L3406"/>
      <c r="M3406"/>
    </row>
    <row r="3407" spans="3:13" hidden="1" outlineLevel="1" x14ac:dyDescent="0.2">
      <c r="C3407" s="139">
        <v>4810</v>
      </c>
      <c r="D3407" s="248">
        <v>4758.9300999998304</v>
      </c>
      <c r="E3407" s="248">
        <v>4743.6646000000901</v>
      </c>
      <c r="F3407" s="248">
        <v>4827.8097000000598</v>
      </c>
      <c r="G3407" s="248">
        <v>4896.9420999980102</v>
      </c>
      <c r="H3407" s="248">
        <v>5020.7213999999403</v>
      </c>
      <c r="I3407"/>
      <c r="J3407"/>
      <c r="K3407"/>
      <c r="L3407"/>
      <c r="M3407"/>
    </row>
    <row r="3408" spans="3:13" hidden="1" outlineLevel="1" x14ac:dyDescent="0.2">
      <c r="C3408" s="139">
        <v>4820</v>
      </c>
      <c r="D3408" s="248">
        <v>4769.0770999998304</v>
      </c>
      <c r="E3408" s="248">
        <v>4753.5266000000902</v>
      </c>
      <c r="F3408" s="248">
        <v>4837.8467000000501</v>
      </c>
      <c r="G3408" s="248">
        <v>4907.1230999979998</v>
      </c>
      <c r="H3408" s="248">
        <v>5031.1593999999404</v>
      </c>
      <c r="I3408"/>
      <c r="J3408"/>
      <c r="K3408"/>
      <c r="L3408"/>
      <c r="M3408"/>
    </row>
    <row r="3409" spans="3:13" hidden="1" outlineLevel="1" x14ac:dyDescent="0.2">
      <c r="C3409" s="139">
        <v>4830</v>
      </c>
      <c r="D3409" s="248">
        <v>4779.2240999998303</v>
      </c>
      <c r="E3409" s="248">
        <v>4763.3886000000903</v>
      </c>
      <c r="F3409" s="248">
        <v>4847.8837000000503</v>
      </c>
      <c r="G3409" s="248">
        <v>4917.3040999979903</v>
      </c>
      <c r="H3409" s="248">
        <v>5041.5973999999396</v>
      </c>
      <c r="I3409"/>
      <c r="J3409"/>
      <c r="K3409"/>
      <c r="L3409"/>
      <c r="M3409"/>
    </row>
    <row r="3410" spans="3:13" hidden="1" outlineLevel="1" x14ac:dyDescent="0.2">
      <c r="C3410" s="139">
        <v>4840</v>
      </c>
      <c r="D3410" s="248">
        <v>4789.3710999998302</v>
      </c>
      <c r="E3410" s="248">
        <v>4773.2506000000903</v>
      </c>
      <c r="F3410" s="248">
        <v>4857.9207000000497</v>
      </c>
      <c r="G3410" s="248">
        <v>4927.4850999979799</v>
      </c>
      <c r="H3410" s="248">
        <v>5052.0353999999397</v>
      </c>
      <c r="I3410"/>
      <c r="J3410"/>
      <c r="K3410"/>
      <c r="L3410"/>
      <c r="M3410"/>
    </row>
    <row r="3411" spans="3:13" hidden="1" outlineLevel="1" x14ac:dyDescent="0.2">
      <c r="C3411" s="139">
        <v>4850</v>
      </c>
      <c r="D3411" s="248">
        <v>4799.5180999998302</v>
      </c>
      <c r="E3411" s="248">
        <v>4783.1126000000904</v>
      </c>
      <c r="F3411" s="248">
        <v>4867.95770000005</v>
      </c>
      <c r="G3411" s="248">
        <v>4937.6660999979704</v>
      </c>
      <c r="H3411" s="248">
        <v>5062.4733999999398</v>
      </c>
      <c r="I3411"/>
      <c r="J3411"/>
      <c r="K3411"/>
      <c r="L3411"/>
      <c r="M3411"/>
    </row>
    <row r="3412" spans="3:13" hidden="1" outlineLevel="1" x14ac:dyDescent="0.2">
      <c r="C3412" s="139">
        <v>4860</v>
      </c>
      <c r="D3412" s="248">
        <v>4809.6650999998301</v>
      </c>
      <c r="E3412" s="248">
        <v>4792.9746000000896</v>
      </c>
      <c r="F3412" s="248">
        <v>4877.9947000000502</v>
      </c>
      <c r="G3412" s="248">
        <v>4947.84709999796</v>
      </c>
      <c r="H3412" s="248">
        <v>5072.9113999999399</v>
      </c>
      <c r="I3412"/>
      <c r="J3412"/>
      <c r="K3412"/>
      <c r="L3412"/>
      <c r="M3412"/>
    </row>
    <row r="3413" spans="3:13" hidden="1" outlineLevel="1" x14ac:dyDescent="0.2">
      <c r="C3413" s="139">
        <v>4870</v>
      </c>
      <c r="D3413" s="248">
        <v>4819.81209999983</v>
      </c>
      <c r="E3413" s="248">
        <v>4802.8366000000897</v>
      </c>
      <c r="F3413" s="248">
        <v>4888.0317000000496</v>
      </c>
      <c r="G3413" s="248">
        <v>4958.0280999979504</v>
      </c>
      <c r="H3413" s="248">
        <v>5083.34939999994</v>
      </c>
      <c r="I3413"/>
      <c r="J3413"/>
      <c r="K3413"/>
      <c r="L3413"/>
      <c r="M3413"/>
    </row>
    <row r="3414" spans="3:13" hidden="1" outlineLevel="1" x14ac:dyDescent="0.2">
      <c r="C3414" s="139">
        <v>4880</v>
      </c>
      <c r="D3414" s="248">
        <v>4829.95909999983</v>
      </c>
      <c r="E3414" s="248">
        <v>4812.6986000000898</v>
      </c>
      <c r="F3414" s="248">
        <v>4898.0687000000498</v>
      </c>
      <c r="G3414" s="248">
        <v>4968.20909999794</v>
      </c>
      <c r="H3414" s="248">
        <v>5093.7873999999401</v>
      </c>
      <c r="I3414"/>
      <c r="J3414"/>
      <c r="K3414"/>
      <c r="L3414"/>
      <c r="M3414"/>
    </row>
    <row r="3415" spans="3:13" hidden="1" outlineLevel="1" x14ac:dyDescent="0.2">
      <c r="C3415" s="139">
        <v>4890</v>
      </c>
      <c r="D3415" s="248">
        <v>4840.1060999998299</v>
      </c>
      <c r="E3415" s="248">
        <v>4822.5606000000898</v>
      </c>
      <c r="F3415" s="248">
        <v>4908.1057000000501</v>
      </c>
      <c r="G3415" s="248">
        <v>4978.3900999979296</v>
      </c>
      <c r="H3415" s="248">
        <v>5104.2253999999402</v>
      </c>
      <c r="I3415"/>
      <c r="J3415"/>
      <c r="K3415"/>
      <c r="L3415"/>
      <c r="M3415"/>
    </row>
    <row r="3416" spans="3:13" hidden="1" outlineLevel="1" x14ac:dyDescent="0.2">
      <c r="C3416" s="139">
        <v>4900</v>
      </c>
      <c r="D3416" s="248">
        <v>4850.2530999998298</v>
      </c>
      <c r="E3416" s="248">
        <v>4832.4226000000899</v>
      </c>
      <c r="F3416" s="248">
        <v>4918.1427000000504</v>
      </c>
      <c r="G3416" s="248">
        <v>4988.5710999979201</v>
      </c>
      <c r="H3416" s="248">
        <v>5114.6633999999403</v>
      </c>
      <c r="I3416"/>
      <c r="J3416"/>
      <c r="K3416"/>
      <c r="L3416"/>
      <c r="M3416"/>
    </row>
    <row r="3417" spans="3:13" hidden="1" outlineLevel="1" x14ac:dyDescent="0.2">
      <c r="C3417" s="139">
        <v>4910</v>
      </c>
      <c r="D3417" s="248">
        <v>4860.4000999998298</v>
      </c>
      <c r="E3417" s="248">
        <v>4842.28460000009</v>
      </c>
      <c r="F3417" s="248">
        <v>4928.1797000000497</v>
      </c>
      <c r="G3417" s="248">
        <v>4998.7520999979097</v>
      </c>
      <c r="H3417" s="248">
        <v>5125.1013999999404</v>
      </c>
      <c r="I3417"/>
      <c r="J3417"/>
      <c r="K3417"/>
      <c r="L3417"/>
      <c r="M3417"/>
    </row>
    <row r="3418" spans="3:13" hidden="1" outlineLevel="1" x14ac:dyDescent="0.2">
      <c r="C3418" s="139">
        <v>4920</v>
      </c>
      <c r="D3418" s="248">
        <v>4870.5470999998297</v>
      </c>
      <c r="E3418" s="248">
        <v>4852.1466000000901</v>
      </c>
      <c r="F3418" s="248">
        <v>4938.21670000005</v>
      </c>
      <c r="G3418" s="248">
        <v>5008.9330999979002</v>
      </c>
      <c r="H3418" s="248">
        <v>5135.5393999999396</v>
      </c>
      <c r="I3418"/>
      <c r="J3418"/>
      <c r="K3418"/>
      <c r="L3418"/>
      <c r="M3418"/>
    </row>
    <row r="3419" spans="3:13" hidden="1" outlineLevel="1" x14ac:dyDescent="0.2">
      <c r="C3419" s="139">
        <v>4930</v>
      </c>
      <c r="D3419" s="248">
        <v>4880.6940999998296</v>
      </c>
      <c r="E3419" s="248">
        <v>4862.0086000000902</v>
      </c>
      <c r="F3419" s="248">
        <v>4948.2537000000502</v>
      </c>
      <c r="G3419" s="248">
        <v>5019.1140999978898</v>
      </c>
      <c r="H3419" s="248">
        <v>5145.9773999999397</v>
      </c>
      <c r="I3419"/>
      <c r="J3419"/>
      <c r="K3419"/>
      <c r="L3419"/>
      <c r="M3419"/>
    </row>
    <row r="3420" spans="3:13" hidden="1" outlineLevel="1" x14ac:dyDescent="0.2">
      <c r="C3420" s="139">
        <v>4940</v>
      </c>
      <c r="D3420" s="248">
        <v>4890.8410999998296</v>
      </c>
      <c r="E3420" s="248">
        <v>4871.8706000000902</v>
      </c>
      <c r="F3420" s="248">
        <v>4958.2907000000496</v>
      </c>
      <c r="G3420" s="248">
        <v>5029.2950999978802</v>
      </c>
      <c r="H3420" s="248">
        <v>5156.4153999999398</v>
      </c>
      <c r="I3420"/>
      <c r="J3420"/>
      <c r="K3420"/>
      <c r="L3420"/>
      <c r="M3420"/>
    </row>
    <row r="3421" spans="3:13" hidden="1" outlineLevel="1" x14ac:dyDescent="0.2">
      <c r="C3421" s="139">
        <v>4950</v>
      </c>
      <c r="D3421" s="248">
        <v>4900.9880999998304</v>
      </c>
      <c r="E3421" s="248">
        <v>4881.7326000000903</v>
      </c>
      <c r="F3421" s="248">
        <v>4968.3277000000498</v>
      </c>
      <c r="G3421" s="248">
        <v>5039.4760999978698</v>
      </c>
      <c r="H3421" s="248">
        <v>5166.8533999999399</v>
      </c>
      <c r="I3421"/>
      <c r="J3421"/>
      <c r="K3421"/>
      <c r="L3421"/>
      <c r="M3421"/>
    </row>
    <row r="3422" spans="3:13" hidden="1" outlineLevel="1" x14ac:dyDescent="0.2">
      <c r="C3422" s="139">
        <v>4960</v>
      </c>
      <c r="D3422" s="248">
        <v>4911.1350999998303</v>
      </c>
      <c r="E3422" s="248">
        <v>4891.5946000000904</v>
      </c>
      <c r="F3422" s="248">
        <v>4978.3647000000501</v>
      </c>
      <c r="G3422" s="248">
        <v>5049.6570999978603</v>
      </c>
      <c r="H3422" s="248">
        <v>5177.29139999994</v>
      </c>
      <c r="I3422"/>
      <c r="J3422"/>
      <c r="K3422"/>
      <c r="L3422"/>
      <c r="M3422"/>
    </row>
    <row r="3423" spans="3:13" hidden="1" outlineLevel="1" x14ac:dyDescent="0.2">
      <c r="C3423" s="139">
        <v>4970</v>
      </c>
      <c r="D3423" s="248">
        <v>4921.2820999998303</v>
      </c>
      <c r="E3423" s="248">
        <v>4901.4566000000896</v>
      </c>
      <c r="F3423" s="248">
        <v>4988.4017000000504</v>
      </c>
      <c r="G3423" s="248">
        <v>5059.8380999978499</v>
      </c>
      <c r="H3423" s="248">
        <v>5187.7293999999401</v>
      </c>
      <c r="I3423"/>
      <c r="J3423"/>
      <c r="K3423"/>
      <c r="L3423"/>
      <c r="M3423"/>
    </row>
    <row r="3424" spans="3:13" hidden="1" outlineLevel="1" x14ac:dyDescent="0.2">
      <c r="C3424" s="139">
        <v>4980</v>
      </c>
      <c r="D3424" s="248">
        <v>4931.4290999998302</v>
      </c>
      <c r="E3424" s="248">
        <v>4911.3186000000896</v>
      </c>
      <c r="F3424" s="248">
        <v>4998.4387000000497</v>
      </c>
      <c r="G3424" s="248">
        <v>5070.0190999978404</v>
      </c>
      <c r="H3424" s="248">
        <v>5198.1673999999402</v>
      </c>
      <c r="I3424"/>
      <c r="J3424"/>
      <c r="K3424"/>
      <c r="L3424"/>
      <c r="M3424"/>
    </row>
    <row r="3425" spans="3:13" hidden="1" outlineLevel="1" x14ac:dyDescent="0.2">
      <c r="C3425" s="139">
        <v>4990</v>
      </c>
      <c r="D3425" s="248">
        <v>4941.5760999998301</v>
      </c>
      <c r="E3425" s="248">
        <v>4921.1806000000897</v>
      </c>
      <c r="F3425" s="248">
        <v>5008.47570000005</v>
      </c>
      <c r="G3425" s="248">
        <v>5080.20009999783</v>
      </c>
      <c r="H3425" s="248">
        <v>5208.6053999999403</v>
      </c>
      <c r="I3425"/>
      <c r="J3425"/>
      <c r="K3425"/>
      <c r="L3425"/>
      <c r="M3425"/>
    </row>
    <row r="3426" spans="3:13" hidden="1" outlineLevel="1" x14ac:dyDescent="0.2">
      <c r="C3426" s="139">
        <v>5000</v>
      </c>
      <c r="D3426" s="248">
        <v>4951.7230999998301</v>
      </c>
      <c r="E3426" s="248">
        <v>4931.0426000000898</v>
      </c>
      <c r="F3426" s="248">
        <v>5018.5127000000502</v>
      </c>
      <c r="G3426" s="248">
        <v>5090.3810999978195</v>
      </c>
      <c r="H3426" s="248">
        <v>5219.0433999999404</v>
      </c>
      <c r="I3426"/>
      <c r="J3426"/>
      <c r="K3426"/>
      <c r="L3426"/>
      <c r="M3426"/>
    </row>
    <row r="3427" spans="3:13" hidden="1" outlineLevel="1" x14ac:dyDescent="0.2">
      <c r="C3427" s="139">
        <v>5010</v>
      </c>
      <c r="D3427" s="248">
        <v>4961.87009999983</v>
      </c>
      <c r="E3427" s="248">
        <v>4940.9046000000799</v>
      </c>
      <c r="F3427" s="248">
        <v>5028.5497000000496</v>
      </c>
      <c r="G3427" s="248">
        <v>5100.56209999781</v>
      </c>
      <c r="H3427" s="248">
        <v>5229.4813999999396</v>
      </c>
      <c r="I3427"/>
      <c r="J3427"/>
      <c r="K3427"/>
      <c r="L3427"/>
      <c r="M3427"/>
    </row>
    <row r="3428" spans="3:13" hidden="1" outlineLevel="1" x14ac:dyDescent="0.2">
      <c r="C3428" s="139">
        <v>5020</v>
      </c>
      <c r="D3428" s="248">
        <v>4972.01709999983</v>
      </c>
      <c r="E3428" s="248">
        <v>4950.76660000008</v>
      </c>
      <c r="F3428" s="248">
        <v>5038.5867000000499</v>
      </c>
      <c r="G3428" s="248">
        <v>5110.7430999977996</v>
      </c>
      <c r="H3428" s="248">
        <v>5239.9193999999397</v>
      </c>
      <c r="I3428"/>
      <c r="J3428"/>
      <c r="K3428"/>
      <c r="L3428"/>
      <c r="M3428"/>
    </row>
    <row r="3429" spans="3:13" hidden="1" outlineLevel="1" x14ac:dyDescent="0.2">
      <c r="C3429" s="139">
        <v>5030</v>
      </c>
      <c r="D3429" s="248">
        <v>4982.1640999998299</v>
      </c>
      <c r="E3429" s="248">
        <v>4960.62860000008</v>
      </c>
      <c r="F3429" s="248">
        <v>5048.6237000000501</v>
      </c>
      <c r="G3429" s="248">
        <v>5120.9240999977801</v>
      </c>
      <c r="H3429" s="248">
        <v>5250.3573999999398</v>
      </c>
      <c r="I3429"/>
      <c r="J3429"/>
      <c r="K3429"/>
      <c r="L3429"/>
      <c r="M3429"/>
    </row>
    <row r="3430" spans="3:13" hidden="1" outlineLevel="1" x14ac:dyDescent="0.2">
      <c r="C3430" s="139">
        <v>5040</v>
      </c>
      <c r="D3430" s="248">
        <v>4992.3110999998298</v>
      </c>
      <c r="E3430" s="248">
        <v>4970.4906000000801</v>
      </c>
      <c r="F3430" s="248">
        <v>5058.6607000000504</v>
      </c>
      <c r="G3430" s="248">
        <v>5131.1050999977697</v>
      </c>
      <c r="H3430" s="248">
        <v>5260.7953999999399</v>
      </c>
      <c r="I3430"/>
      <c r="J3430"/>
      <c r="K3430"/>
      <c r="L3430"/>
      <c r="M3430"/>
    </row>
    <row r="3431" spans="3:13" hidden="1" outlineLevel="1" x14ac:dyDescent="0.2">
      <c r="C3431" s="139">
        <v>5050</v>
      </c>
      <c r="D3431" s="248">
        <v>5002.4580999998298</v>
      </c>
      <c r="E3431" s="248">
        <v>4980.3526000000802</v>
      </c>
      <c r="F3431" s="248">
        <v>5068.6977000000497</v>
      </c>
      <c r="G3431" s="248">
        <v>5141.2860999977602</v>
      </c>
      <c r="H3431" s="248">
        <v>5271.23339999994</v>
      </c>
      <c r="I3431"/>
      <c r="J3431"/>
      <c r="K3431"/>
      <c r="L3431"/>
      <c r="M3431"/>
    </row>
    <row r="3432" spans="3:13" hidden="1" outlineLevel="1" x14ac:dyDescent="0.2">
      <c r="C3432" s="139">
        <v>5060</v>
      </c>
      <c r="D3432" s="248">
        <v>5012.6050999998297</v>
      </c>
      <c r="E3432" s="248">
        <v>4990.2146000000803</v>
      </c>
      <c r="F3432" s="248">
        <v>5078.73470000005</v>
      </c>
      <c r="G3432" s="248">
        <v>5151.4670999977498</v>
      </c>
      <c r="H3432" s="248">
        <v>5281.6713999999401</v>
      </c>
      <c r="I3432"/>
      <c r="J3432"/>
      <c r="K3432"/>
      <c r="L3432"/>
      <c r="M3432"/>
    </row>
    <row r="3433" spans="3:13" hidden="1" outlineLevel="1" x14ac:dyDescent="0.2">
      <c r="C3433" s="139">
        <v>5070</v>
      </c>
      <c r="D3433" s="248">
        <v>5022.7520999998296</v>
      </c>
      <c r="E3433" s="248">
        <v>5000.0766000000804</v>
      </c>
      <c r="F3433" s="248">
        <v>5088.7717000000503</v>
      </c>
      <c r="G3433" s="248">
        <v>5161.6480999977402</v>
      </c>
      <c r="H3433" s="248">
        <v>5292.1093999999403</v>
      </c>
      <c r="I3433"/>
      <c r="J3433"/>
      <c r="K3433"/>
      <c r="L3433"/>
      <c r="M3433"/>
    </row>
    <row r="3434" spans="3:13" hidden="1" outlineLevel="1" x14ac:dyDescent="0.2">
      <c r="C3434" s="139">
        <v>5080</v>
      </c>
      <c r="D3434" s="248">
        <v>5032.8990999998296</v>
      </c>
      <c r="E3434" s="248">
        <v>5009.9386000000804</v>
      </c>
      <c r="F3434" s="248">
        <v>5098.8087000000496</v>
      </c>
      <c r="G3434" s="248">
        <v>5171.8290999977298</v>
      </c>
      <c r="H3434" s="248">
        <v>5302.5473999999404</v>
      </c>
      <c r="I3434"/>
      <c r="J3434"/>
      <c r="K3434"/>
      <c r="L3434"/>
      <c r="M3434"/>
    </row>
    <row r="3435" spans="3:13" hidden="1" outlineLevel="1" x14ac:dyDescent="0.2">
      <c r="C3435" s="139">
        <v>5090</v>
      </c>
      <c r="D3435" s="248">
        <v>5043.0460999998304</v>
      </c>
      <c r="E3435" s="248">
        <v>5019.8006000000796</v>
      </c>
      <c r="F3435" s="248">
        <v>5108.8457000000499</v>
      </c>
      <c r="G3435" s="248">
        <v>5182.0100999977203</v>
      </c>
      <c r="H3435" s="248">
        <v>5312.9853999999395</v>
      </c>
      <c r="I3435"/>
      <c r="J3435"/>
      <c r="K3435"/>
      <c r="L3435"/>
      <c r="M3435"/>
    </row>
    <row r="3436" spans="3:13" hidden="1" outlineLevel="1" x14ac:dyDescent="0.2">
      <c r="C3436" s="139">
        <v>5100</v>
      </c>
      <c r="D3436" s="248">
        <v>5053.1930999998303</v>
      </c>
      <c r="E3436" s="248">
        <v>5029.6626000000797</v>
      </c>
      <c r="F3436" s="248">
        <v>5118.8827000000501</v>
      </c>
      <c r="G3436" s="248">
        <v>5192.1910999977099</v>
      </c>
      <c r="H3436" s="248">
        <v>5323.4233999999396</v>
      </c>
      <c r="I3436"/>
      <c r="J3436"/>
      <c r="K3436"/>
      <c r="L3436"/>
      <c r="M3436"/>
    </row>
    <row r="3437" spans="3:13" hidden="1" outlineLevel="1" x14ac:dyDescent="0.2">
      <c r="C3437" s="139">
        <v>5110</v>
      </c>
      <c r="D3437" s="248">
        <v>5063.3400999998303</v>
      </c>
      <c r="E3437" s="248">
        <v>5039.5246000000798</v>
      </c>
      <c r="F3437" s="248">
        <v>5128.9197000000504</v>
      </c>
      <c r="G3437" s="248">
        <v>5202.3720999977004</v>
      </c>
      <c r="H3437" s="248">
        <v>5333.8613999999397</v>
      </c>
      <c r="I3437"/>
      <c r="J3437"/>
      <c r="K3437"/>
      <c r="L3437"/>
      <c r="M3437"/>
    </row>
    <row r="3438" spans="3:13" hidden="1" outlineLevel="1" x14ac:dyDescent="0.2">
      <c r="C3438" s="139">
        <v>5120</v>
      </c>
      <c r="D3438" s="248">
        <v>5073.4870999998302</v>
      </c>
      <c r="E3438" s="248">
        <v>5049.3866000000799</v>
      </c>
      <c r="F3438" s="248">
        <v>5138.9567000000498</v>
      </c>
      <c r="G3438" s="248">
        <v>5212.55309999769</v>
      </c>
      <c r="H3438" s="248">
        <v>5344.2993999999399</v>
      </c>
      <c r="I3438"/>
      <c r="J3438"/>
      <c r="K3438"/>
      <c r="L3438"/>
      <c r="M3438"/>
    </row>
    <row r="3439" spans="3:13" hidden="1" outlineLevel="1" x14ac:dyDescent="0.2">
      <c r="C3439" s="139">
        <v>5130</v>
      </c>
      <c r="D3439" s="248">
        <v>5083.6340999998301</v>
      </c>
      <c r="E3439" s="248">
        <v>5059.2486000000799</v>
      </c>
      <c r="F3439" s="248">
        <v>5148.99370000005</v>
      </c>
      <c r="G3439" s="248">
        <v>5222.7340999976796</v>
      </c>
      <c r="H3439" s="248">
        <v>5354.73739999994</v>
      </c>
      <c r="I3439"/>
      <c r="J3439"/>
      <c r="K3439"/>
      <c r="L3439"/>
      <c r="M3439"/>
    </row>
    <row r="3440" spans="3:13" hidden="1" outlineLevel="1" x14ac:dyDescent="0.2">
      <c r="C3440" s="139">
        <v>5140</v>
      </c>
      <c r="D3440" s="248">
        <v>5093.7810999998301</v>
      </c>
      <c r="E3440" s="248">
        <v>5069.11060000008</v>
      </c>
      <c r="F3440" s="248">
        <v>5159.0307000000503</v>
      </c>
      <c r="G3440" s="248">
        <v>5232.91509999767</v>
      </c>
      <c r="H3440" s="248">
        <v>5365.1753999999401</v>
      </c>
      <c r="I3440"/>
      <c r="J3440"/>
      <c r="K3440"/>
      <c r="L3440"/>
      <c r="M3440"/>
    </row>
    <row r="3441" spans="3:13" hidden="1" outlineLevel="1" x14ac:dyDescent="0.2">
      <c r="C3441" s="139">
        <v>5150</v>
      </c>
      <c r="D3441" s="248">
        <v>5103.92809999983</v>
      </c>
      <c r="E3441" s="248">
        <v>5078.9726000000801</v>
      </c>
      <c r="F3441" s="248">
        <v>5169.0677000000496</v>
      </c>
      <c r="G3441" s="248">
        <v>5243.0960999976596</v>
      </c>
      <c r="H3441" s="248">
        <v>5375.6133999999402</v>
      </c>
      <c r="I3441"/>
      <c r="J3441"/>
      <c r="K3441"/>
      <c r="L3441"/>
      <c r="M3441"/>
    </row>
    <row r="3442" spans="3:13" hidden="1" outlineLevel="1" x14ac:dyDescent="0.2">
      <c r="C3442" s="139">
        <v>5160</v>
      </c>
      <c r="D3442" s="248">
        <v>5114.0750999998299</v>
      </c>
      <c r="E3442" s="248">
        <v>5088.8346000000802</v>
      </c>
      <c r="F3442" s="248">
        <v>5179.1047000000499</v>
      </c>
      <c r="G3442" s="248">
        <v>5253.2770999976501</v>
      </c>
      <c r="H3442" s="248">
        <v>5386.0513999999403</v>
      </c>
      <c r="I3442"/>
      <c r="J3442"/>
      <c r="K3442"/>
      <c r="L3442"/>
      <c r="M3442"/>
    </row>
    <row r="3443" spans="3:13" hidden="1" outlineLevel="1" x14ac:dyDescent="0.2">
      <c r="C3443" s="139">
        <v>5170</v>
      </c>
      <c r="D3443" s="248">
        <v>5124.2220999998299</v>
      </c>
      <c r="E3443" s="248">
        <v>5098.6966000000803</v>
      </c>
      <c r="F3443" s="248">
        <v>5189.1417000000502</v>
      </c>
      <c r="G3443" s="248">
        <v>5263.4580999976397</v>
      </c>
      <c r="H3443" s="248">
        <v>5396.4893999999404</v>
      </c>
      <c r="I3443"/>
      <c r="J3443"/>
      <c r="K3443"/>
      <c r="L3443"/>
      <c r="M3443"/>
    </row>
    <row r="3444" spans="3:13" hidden="1" outlineLevel="1" x14ac:dyDescent="0.2">
      <c r="C3444" s="139">
        <v>5180</v>
      </c>
      <c r="D3444" s="248">
        <v>5134.3690999998298</v>
      </c>
      <c r="E3444" s="248">
        <v>5108.5586000000803</v>
      </c>
      <c r="F3444" s="248">
        <v>5199.1787000000504</v>
      </c>
      <c r="G3444" s="248">
        <v>5273.6390999976302</v>
      </c>
      <c r="H3444" s="248">
        <v>5406.9273999999396</v>
      </c>
      <c r="I3444"/>
      <c r="J3444"/>
      <c r="K3444"/>
      <c r="L3444"/>
      <c r="M3444"/>
    </row>
    <row r="3445" spans="3:13" hidden="1" outlineLevel="1" x14ac:dyDescent="0.2">
      <c r="C3445" s="139">
        <v>5190</v>
      </c>
      <c r="D3445" s="248">
        <v>5144.5160999998297</v>
      </c>
      <c r="E3445" s="248">
        <v>5118.4206000000804</v>
      </c>
      <c r="F3445" s="248">
        <v>5209.2157000000498</v>
      </c>
      <c r="G3445" s="248">
        <v>5283.8200999976198</v>
      </c>
      <c r="H3445" s="248">
        <v>5417.3653999999397</v>
      </c>
      <c r="I3445"/>
      <c r="J3445"/>
      <c r="K3445"/>
      <c r="L3445"/>
      <c r="M3445"/>
    </row>
    <row r="3446" spans="3:13" hidden="1" outlineLevel="1" x14ac:dyDescent="0.2">
      <c r="C3446" s="139">
        <v>5200</v>
      </c>
      <c r="D3446" s="248">
        <v>5154.6630999998297</v>
      </c>
      <c r="E3446" s="248">
        <v>5128.2826000000796</v>
      </c>
      <c r="F3446" s="248">
        <v>5219.25270000005</v>
      </c>
      <c r="G3446" s="248">
        <v>5294.0010999976103</v>
      </c>
      <c r="H3446" s="248">
        <v>5427.8033999999398</v>
      </c>
      <c r="I3446"/>
      <c r="J3446"/>
      <c r="K3446"/>
      <c r="L3446"/>
      <c r="M3446"/>
    </row>
    <row r="3447" spans="3:13" hidden="1" outlineLevel="1" x14ac:dyDescent="0.2">
      <c r="C3447" s="139">
        <v>5210</v>
      </c>
      <c r="D3447" s="248">
        <v>5164.8100999998296</v>
      </c>
      <c r="E3447" s="248">
        <v>5138.1446000000797</v>
      </c>
      <c r="F3447" s="248">
        <v>5229.2897000000503</v>
      </c>
      <c r="G3447" s="248">
        <v>5304.1820999975998</v>
      </c>
      <c r="H3447" s="248">
        <v>5438.2413999999399</v>
      </c>
      <c r="I3447"/>
      <c r="J3447"/>
      <c r="K3447"/>
      <c r="L3447"/>
      <c r="M3447"/>
    </row>
    <row r="3448" spans="3:13" hidden="1" outlineLevel="1" x14ac:dyDescent="0.2">
      <c r="C3448" s="139">
        <v>5220</v>
      </c>
      <c r="D3448" s="248">
        <v>5174.9570999998296</v>
      </c>
      <c r="E3448" s="248">
        <v>5148.0066000000797</v>
      </c>
      <c r="F3448" s="248">
        <v>5239.3267000000496</v>
      </c>
      <c r="G3448" s="248">
        <v>5314.3630999975903</v>
      </c>
      <c r="H3448" s="248">
        <v>5448.67939999994</v>
      </c>
      <c r="I3448"/>
      <c r="J3448"/>
      <c r="K3448"/>
      <c r="L3448"/>
      <c r="M3448"/>
    </row>
    <row r="3449" spans="3:13" hidden="1" outlineLevel="1" x14ac:dyDescent="0.2">
      <c r="C3449" s="139">
        <v>5230</v>
      </c>
      <c r="D3449" s="248">
        <v>5185.1040999998304</v>
      </c>
      <c r="E3449" s="248">
        <v>5157.8686000000798</v>
      </c>
      <c r="F3449" s="248">
        <v>5249.3637000000499</v>
      </c>
      <c r="G3449" s="248">
        <v>5324.5440999975799</v>
      </c>
      <c r="H3449" s="248">
        <v>5459.1173999999401</v>
      </c>
      <c r="I3449"/>
      <c r="J3449"/>
      <c r="K3449"/>
      <c r="L3449"/>
      <c r="M3449"/>
    </row>
    <row r="3450" spans="3:13" hidden="1" outlineLevel="1" x14ac:dyDescent="0.2">
      <c r="C3450" s="139">
        <v>5240</v>
      </c>
      <c r="D3450" s="248">
        <v>5195.2510999998303</v>
      </c>
      <c r="E3450" s="248">
        <v>5167.7306000000799</v>
      </c>
      <c r="F3450" s="248">
        <v>5259.4007000000502</v>
      </c>
      <c r="G3450" s="248">
        <v>5334.7250999975704</v>
      </c>
      <c r="H3450" s="248">
        <v>5469.5553999999402</v>
      </c>
      <c r="I3450"/>
      <c r="J3450"/>
      <c r="K3450"/>
      <c r="L3450"/>
      <c r="M3450"/>
    </row>
    <row r="3451" spans="3:13" hidden="1" outlineLevel="1" x14ac:dyDescent="0.2">
      <c r="C3451" s="139">
        <v>5250</v>
      </c>
      <c r="D3451" s="248">
        <v>5205.3980999998303</v>
      </c>
      <c r="E3451" s="248">
        <v>5177.59260000008</v>
      </c>
      <c r="F3451" s="248">
        <v>5269.4377000000504</v>
      </c>
      <c r="G3451" s="248">
        <v>5344.90609999756</v>
      </c>
      <c r="H3451" s="248">
        <v>5479.9933999999403</v>
      </c>
      <c r="I3451"/>
      <c r="J3451"/>
      <c r="K3451"/>
      <c r="L3451"/>
      <c r="M3451"/>
    </row>
    <row r="3452" spans="3:13" hidden="1" outlineLevel="1" x14ac:dyDescent="0.2">
      <c r="C3452" s="139">
        <v>5260</v>
      </c>
      <c r="D3452" s="248">
        <v>5215.5450999998302</v>
      </c>
      <c r="E3452" s="248">
        <v>5187.4546000000801</v>
      </c>
      <c r="F3452" s="248">
        <v>5279.4747000000498</v>
      </c>
      <c r="G3452" s="248">
        <v>5355.0870999975496</v>
      </c>
      <c r="H3452" s="248">
        <v>5490.4313999999404</v>
      </c>
      <c r="I3452"/>
      <c r="J3452"/>
      <c r="K3452"/>
      <c r="L3452"/>
      <c r="M3452"/>
    </row>
    <row r="3453" spans="3:13" hidden="1" outlineLevel="1" x14ac:dyDescent="0.2">
      <c r="C3453" s="139">
        <v>5270</v>
      </c>
      <c r="D3453" s="248">
        <v>5225.6920999998301</v>
      </c>
      <c r="E3453" s="248">
        <v>5197.3166000000701</v>
      </c>
      <c r="F3453" s="248">
        <v>5289.51170000005</v>
      </c>
      <c r="G3453" s="248">
        <v>5365.26809999753</v>
      </c>
      <c r="H3453" s="248">
        <v>5500.8693999999396</v>
      </c>
      <c r="I3453"/>
      <c r="J3453"/>
      <c r="K3453"/>
      <c r="L3453"/>
      <c r="M3453"/>
    </row>
    <row r="3454" spans="3:13" hidden="1" outlineLevel="1" x14ac:dyDescent="0.2">
      <c r="C3454" s="139">
        <v>5280</v>
      </c>
      <c r="D3454" s="248">
        <v>5235.8390999998301</v>
      </c>
      <c r="E3454" s="248">
        <v>5207.1786000000702</v>
      </c>
      <c r="F3454" s="248">
        <v>5299.5487000000503</v>
      </c>
      <c r="G3454" s="248">
        <v>5375.4490999975196</v>
      </c>
      <c r="H3454" s="248">
        <v>5511.3073999999397</v>
      </c>
      <c r="I3454"/>
      <c r="J3454"/>
      <c r="K3454"/>
      <c r="L3454"/>
      <c r="M3454"/>
    </row>
    <row r="3455" spans="3:13" hidden="1" outlineLevel="1" x14ac:dyDescent="0.2">
      <c r="C3455" s="139">
        <v>5290</v>
      </c>
      <c r="D3455" s="248">
        <v>5245.98609999983</v>
      </c>
      <c r="E3455" s="248">
        <v>5217.0406000000703</v>
      </c>
      <c r="F3455" s="248">
        <v>5309.5857000000497</v>
      </c>
      <c r="G3455" s="248">
        <v>5385.6300999975101</v>
      </c>
      <c r="H3455" s="248">
        <v>5521.7453999999398</v>
      </c>
      <c r="I3455"/>
      <c r="J3455"/>
      <c r="K3455"/>
      <c r="L3455"/>
      <c r="M3455"/>
    </row>
    <row r="3456" spans="3:13" hidden="1" outlineLevel="1" x14ac:dyDescent="0.2">
      <c r="C3456" s="139">
        <v>5300</v>
      </c>
      <c r="D3456" s="248">
        <v>5256.1330999998199</v>
      </c>
      <c r="E3456" s="248">
        <v>5226.9026000000704</v>
      </c>
      <c r="F3456" s="248">
        <v>5319.6227000000499</v>
      </c>
      <c r="G3456" s="248">
        <v>5395.8110999974997</v>
      </c>
      <c r="H3456" s="248">
        <v>5532.1833999999399</v>
      </c>
      <c r="I3456"/>
      <c r="J3456"/>
      <c r="K3456"/>
      <c r="L3456"/>
      <c r="M3456"/>
    </row>
    <row r="3457" spans="3:13" hidden="1" outlineLevel="1" x14ac:dyDescent="0.2">
      <c r="C3457" s="139">
        <v>5310</v>
      </c>
      <c r="D3457" s="248">
        <v>5266.2800999998199</v>
      </c>
      <c r="E3457" s="248">
        <v>5236.7646000000695</v>
      </c>
      <c r="F3457" s="248">
        <v>5329.6597000000502</v>
      </c>
      <c r="G3457" s="248">
        <v>5405.9920999974902</v>
      </c>
      <c r="H3457" s="248">
        <v>5542.62139999994</v>
      </c>
      <c r="I3457"/>
      <c r="J3457"/>
      <c r="K3457"/>
      <c r="L3457"/>
      <c r="M3457"/>
    </row>
    <row r="3458" spans="3:13" hidden="1" outlineLevel="1" x14ac:dyDescent="0.2">
      <c r="C3458" s="139">
        <v>5320</v>
      </c>
      <c r="D3458" s="248">
        <v>5276.4270999998198</v>
      </c>
      <c r="E3458" s="248">
        <v>5246.6266000000696</v>
      </c>
      <c r="F3458" s="248">
        <v>5339.6967000000504</v>
      </c>
      <c r="G3458" s="248">
        <v>5416.1730999974798</v>
      </c>
      <c r="H3458" s="248">
        <v>5553.0593999999401</v>
      </c>
      <c r="I3458"/>
      <c r="J3458"/>
      <c r="K3458"/>
      <c r="L3458"/>
      <c r="M3458"/>
    </row>
    <row r="3459" spans="3:13" hidden="1" outlineLevel="1" x14ac:dyDescent="0.2">
      <c r="C3459" s="139">
        <v>5330</v>
      </c>
      <c r="D3459" s="248">
        <v>5286.5740999998197</v>
      </c>
      <c r="E3459" s="248">
        <v>5256.4886000000697</v>
      </c>
      <c r="F3459" s="248">
        <v>5349.7337000000498</v>
      </c>
      <c r="G3459" s="248">
        <v>5426.3540999974703</v>
      </c>
      <c r="H3459" s="248">
        <v>5563.4973999999402</v>
      </c>
      <c r="I3459"/>
      <c r="J3459"/>
      <c r="K3459"/>
      <c r="L3459"/>
      <c r="M3459"/>
    </row>
    <row r="3460" spans="3:13" hidden="1" outlineLevel="1" x14ac:dyDescent="0.2">
      <c r="C3460" s="139">
        <v>5340</v>
      </c>
      <c r="D3460" s="248">
        <v>5296.7210999998197</v>
      </c>
      <c r="E3460" s="248">
        <v>5266.3506000000698</v>
      </c>
      <c r="F3460" s="248">
        <v>5359.7707000000401</v>
      </c>
      <c r="G3460" s="248">
        <v>5436.5350999974598</v>
      </c>
      <c r="H3460" s="248">
        <v>5573.9353999999403</v>
      </c>
      <c r="I3460"/>
      <c r="J3460"/>
      <c r="K3460"/>
      <c r="L3460"/>
      <c r="M3460"/>
    </row>
    <row r="3461" spans="3:13" hidden="1" outlineLevel="1" x14ac:dyDescent="0.2">
      <c r="C3461" s="139">
        <v>5350</v>
      </c>
      <c r="D3461" s="248">
        <v>5306.8680999998196</v>
      </c>
      <c r="E3461" s="248">
        <v>5276.2126000000699</v>
      </c>
      <c r="F3461" s="248">
        <v>5369.8077000000403</v>
      </c>
      <c r="G3461" s="248">
        <v>5446.7160999974503</v>
      </c>
      <c r="H3461" s="248">
        <v>5584.3733999999404</v>
      </c>
      <c r="I3461"/>
      <c r="J3461"/>
      <c r="K3461"/>
      <c r="L3461"/>
      <c r="M3461"/>
    </row>
    <row r="3462" spans="3:13" hidden="1" outlineLevel="1" x14ac:dyDescent="0.2">
      <c r="C3462" s="139">
        <v>5360</v>
      </c>
      <c r="D3462" s="248">
        <v>5317.0150999998204</v>
      </c>
      <c r="E3462" s="248">
        <v>5286.0746000000699</v>
      </c>
      <c r="F3462" s="248">
        <v>5379.8447000000397</v>
      </c>
      <c r="G3462" s="248">
        <v>5456.8970999974399</v>
      </c>
      <c r="H3462" s="248">
        <v>5594.8113999999396</v>
      </c>
      <c r="I3462"/>
      <c r="J3462"/>
      <c r="K3462"/>
      <c r="L3462"/>
      <c r="M3462"/>
    </row>
    <row r="3463" spans="3:13" hidden="1" outlineLevel="1" x14ac:dyDescent="0.2">
      <c r="C3463" s="139">
        <v>5370</v>
      </c>
      <c r="D3463" s="248">
        <v>5327.1620999998204</v>
      </c>
      <c r="E3463" s="248">
        <v>5295.93660000007</v>
      </c>
      <c r="F3463" s="248">
        <v>5389.8817000000399</v>
      </c>
      <c r="G3463" s="248">
        <v>5467.0780999974304</v>
      </c>
      <c r="H3463" s="248">
        <v>5605.2493999999397</v>
      </c>
      <c r="I3463"/>
      <c r="J3463"/>
      <c r="K3463"/>
      <c r="L3463"/>
      <c r="M3463"/>
    </row>
    <row r="3464" spans="3:13" hidden="1" outlineLevel="1" x14ac:dyDescent="0.2">
      <c r="C3464" s="139">
        <v>5380</v>
      </c>
      <c r="D3464" s="248">
        <v>5337.3090999998203</v>
      </c>
      <c r="E3464" s="248">
        <v>5305.7986000000701</v>
      </c>
      <c r="F3464" s="248">
        <v>5399.9187000000402</v>
      </c>
      <c r="G3464" s="248">
        <v>5477.25909999742</v>
      </c>
      <c r="H3464" s="248">
        <v>5615.6873999999398</v>
      </c>
      <c r="I3464"/>
      <c r="J3464"/>
      <c r="K3464"/>
      <c r="L3464"/>
      <c r="M3464"/>
    </row>
    <row r="3465" spans="3:13" hidden="1" outlineLevel="1" x14ac:dyDescent="0.2">
      <c r="C3465" s="139">
        <v>5390</v>
      </c>
      <c r="D3465" s="248">
        <v>5347.4560999998203</v>
      </c>
      <c r="E3465" s="248">
        <v>5315.6606000000702</v>
      </c>
      <c r="F3465" s="248">
        <v>5409.9557000000405</v>
      </c>
      <c r="G3465" s="248">
        <v>5487.4400999974096</v>
      </c>
      <c r="H3465" s="248">
        <v>5626.1253999999399</v>
      </c>
      <c r="I3465"/>
      <c r="J3465"/>
      <c r="K3465"/>
      <c r="L3465"/>
      <c r="M3465"/>
    </row>
    <row r="3466" spans="3:13" hidden="1" outlineLevel="1" x14ac:dyDescent="0.2">
      <c r="C3466" s="139">
        <v>5400</v>
      </c>
      <c r="D3466" s="248">
        <v>5357.6030999998202</v>
      </c>
      <c r="E3466" s="248">
        <v>5325.5226000000703</v>
      </c>
      <c r="F3466" s="248">
        <v>5419.9927000000398</v>
      </c>
      <c r="G3466" s="248">
        <v>5497.6210999974001</v>
      </c>
      <c r="H3466" s="248">
        <v>5636.56339999994</v>
      </c>
      <c r="I3466"/>
      <c r="J3466"/>
      <c r="K3466"/>
      <c r="L3466"/>
      <c r="M3466"/>
    </row>
    <row r="3467" spans="3:13" hidden="1" outlineLevel="1" x14ac:dyDescent="0.2">
      <c r="C3467" s="139">
        <v>5410</v>
      </c>
      <c r="D3467" s="248">
        <v>5367.7500999998201</v>
      </c>
      <c r="E3467" s="248">
        <v>5335.3846000000703</v>
      </c>
      <c r="F3467" s="248">
        <v>5430.0297000000401</v>
      </c>
      <c r="G3467" s="248">
        <v>5507.8020999973896</v>
      </c>
      <c r="H3467" s="248">
        <v>5647.0013999999401</v>
      </c>
      <c r="I3467"/>
      <c r="J3467"/>
      <c r="K3467"/>
      <c r="L3467"/>
      <c r="M3467"/>
    </row>
    <row r="3468" spans="3:13" hidden="1" outlineLevel="1" x14ac:dyDescent="0.2">
      <c r="C3468" s="139">
        <v>5420</v>
      </c>
      <c r="D3468" s="248">
        <v>5377.8970999998201</v>
      </c>
      <c r="E3468" s="248">
        <v>5345.2466000000704</v>
      </c>
      <c r="F3468" s="248">
        <v>5440.0667000000403</v>
      </c>
      <c r="G3468" s="248">
        <v>5517.9830999973801</v>
      </c>
      <c r="H3468" s="248">
        <v>5657.4393999999402</v>
      </c>
      <c r="I3468"/>
      <c r="J3468"/>
      <c r="K3468"/>
      <c r="L3468"/>
      <c r="M3468"/>
    </row>
    <row r="3469" spans="3:13" hidden="1" outlineLevel="1" x14ac:dyDescent="0.2">
      <c r="C3469" s="139">
        <v>5430</v>
      </c>
      <c r="D3469" s="248">
        <v>5388.04409999982</v>
      </c>
      <c r="E3469" s="248">
        <v>5355.1086000000696</v>
      </c>
      <c r="F3469" s="248">
        <v>5450.1037000000397</v>
      </c>
      <c r="G3469" s="248">
        <v>5528.1640999973697</v>
      </c>
      <c r="H3469" s="248">
        <v>5667.8773999999403</v>
      </c>
      <c r="I3469"/>
      <c r="J3469"/>
      <c r="K3469"/>
      <c r="L3469"/>
      <c r="M3469"/>
    </row>
    <row r="3470" spans="3:13" hidden="1" outlineLevel="1" x14ac:dyDescent="0.2">
      <c r="C3470" s="139">
        <v>5440</v>
      </c>
      <c r="D3470" s="248">
        <v>5398.1910999998199</v>
      </c>
      <c r="E3470" s="248">
        <v>5364.9706000000697</v>
      </c>
      <c r="F3470" s="248">
        <v>5460.1407000000399</v>
      </c>
      <c r="G3470" s="248">
        <v>5538.3450999973602</v>
      </c>
      <c r="H3470" s="248">
        <v>5678.3153999999404</v>
      </c>
      <c r="I3470"/>
      <c r="J3470"/>
      <c r="K3470"/>
      <c r="L3470"/>
      <c r="M3470"/>
    </row>
    <row r="3471" spans="3:13" hidden="1" outlineLevel="1" x14ac:dyDescent="0.2">
      <c r="C3471" s="139">
        <v>5450</v>
      </c>
      <c r="D3471" s="248">
        <v>5408.3380999998199</v>
      </c>
      <c r="E3471" s="248">
        <v>5374.8326000000698</v>
      </c>
      <c r="F3471" s="248">
        <v>5470.1777000000402</v>
      </c>
      <c r="G3471" s="248">
        <v>5548.5260999973498</v>
      </c>
      <c r="H3471" s="248">
        <v>5688.7533999999396</v>
      </c>
      <c r="I3471"/>
      <c r="J3471"/>
      <c r="K3471"/>
      <c r="L3471"/>
      <c r="M3471"/>
    </row>
    <row r="3472" spans="3:13" hidden="1" outlineLevel="1" x14ac:dyDescent="0.2">
      <c r="C3472" s="139">
        <v>5460</v>
      </c>
      <c r="D3472" s="248">
        <v>5418.4850999998198</v>
      </c>
      <c r="E3472" s="248">
        <v>5384.6946000000698</v>
      </c>
      <c r="F3472" s="248">
        <v>5480.2147000000396</v>
      </c>
      <c r="G3472" s="248">
        <v>5558.7070999973403</v>
      </c>
      <c r="H3472" s="248">
        <v>5699.1913999999497</v>
      </c>
      <c r="I3472"/>
      <c r="J3472"/>
      <c r="K3472"/>
      <c r="L3472"/>
      <c r="M3472"/>
    </row>
    <row r="3473" spans="3:13" hidden="1" outlineLevel="1" x14ac:dyDescent="0.2">
      <c r="C3473" s="139">
        <v>5470</v>
      </c>
      <c r="D3473" s="248">
        <v>5428.6320999998197</v>
      </c>
      <c r="E3473" s="248">
        <v>5394.5566000000699</v>
      </c>
      <c r="F3473" s="248">
        <v>5490.2517000000398</v>
      </c>
      <c r="G3473" s="248">
        <v>5568.8880999973298</v>
      </c>
      <c r="H3473" s="248">
        <v>5709.6293999999498</v>
      </c>
      <c r="I3473"/>
      <c r="J3473"/>
      <c r="K3473"/>
      <c r="L3473"/>
      <c r="M3473"/>
    </row>
    <row r="3474" spans="3:13" hidden="1" outlineLevel="1" x14ac:dyDescent="0.2">
      <c r="C3474" s="139">
        <v>5480</v>
      </c>
      <c r="D3474" s="248">
        <v>5438.7790999998197</v>
      </c>
      <c r="E3474" s="248">
        <v>5404.41860000007</v>
      </c>
      <c r="F3474" s="248">
        <v>5500.2887000000401</v>
      </c>
      <c r="G3474" s="248">
        <v>5579.0690999973203</v>
      </c>
      <c r="H3474" s="248">
        <v>5720.0673999999499</v>
      </c>
      <c r="I3474"/>
      <c r="J3474"/>
      <c r="K3474"/>
      <c r="L3474"/>
      <c r="M3474"/>
    </row>
    <row r="3475" spans="3:13" hidden="1" outlineLevel="1" x14ac:dyDescent="0.2">
      <c r="C3475" s="139">
        <v>5490</v>
      </c>
      <c r="D3475" s="248">
        <v>5448.9260999998196</v>
      </c>
      <c r="E3475" s="248">
        <v>5414.2806000000701</v>
      </c>
      <c r="F3475" s="248">
        <v>5510.3257000000403</v>
      </c>
      <c r="G3475" s="248">
        <v>5589.2500999973099</v>
      </c>
      <c r="H3475" s="248">
        <v>5730.50539999995</v>
      </c>
      <c r="I3475"/>
      <c r="J3475"/>
      <c r="K3475"/>
      <c r="L3475"/>
      <c r="M3475"/>
    </row>
    <row r="3476" spans="3:13" hidden="1" outlineLevel="1" x14ac:dyDescent="0.2">
      <c r="C3476" s="139">
        <v>5500</v>
      </c>
      <c r="D3476" s="248">
        <v>5459.0730999998204</v>
      </c>
      <c r="E3476" s="248">
        <v>5424.1426000000702</v>
      </c>
      <c r="F3476" s="248">
        <v>5520.3627000000397</v>
      </c>
      <c r="G3476" s="248">
        <v>5599.4310999973004</v>
      </c>
      <c r="H3476" s="248">
        <v>5740.9433999999501</v>
      </c>
      <c r="I3476"/>
      <c r="J3476"/>
      <c r="K3476"/>
      <c r="L3476"/>
      <c r="M3476"/>
    </row>
    <row r="3477" spans="3:13" hidden="1" outlineLevel="1" x14ac:dyDescent="0.2">
      <c r="C3477" s="139">
        <v>5510</v>
      </c>
      <c r="D3477" s="248">
        <v>5469.2200999998204</v>
      </c>
      <c r="E3477" s="248">
        <v>5434.0046000000702</v>
      </c>
      <c r="F3477" s="248">
        <v>5530.39970000004</v>
      </c>
      <c r="G3477" s="248">
        <v>5609.61209999728</v>
      </c>
      <c r="H3477" s="248">
        <v>5751.3813999999502</v>
      </c>
      <c r="I3477"/>
      <c r="J3477"/>
      <c r="K3477"/>
      <c r="L3477"/>
      <c r="M3477"/>
    </row>
    <row r="3478" spans="3:13" hidden="1" outlineLevel="1" x14ac:dyDescent="0.2">
      <c r="C3478" s="139">
        <v>5520</v>
      </c>
      <c r="D3478" s="248">
        <v>5479.3670999998203</v>
      </c>
      <c r="E3478" s="248">
        <v>5443.8666000000703</v>
      </c>
      <c r="F3478" s="248">
        <v>5540.4367000000402</v>
      </c>
      <c r="G3478" s="248">
        <v>5619.7930999972696</v>
      </c>
      <c r="H3478" s="248">
        <v>5761.8193999999503</v>
      </c>
      <c r="I3478"/>
      <c r="J3478"/>
      <c r="K3478"/>
      <c r="L3478"/>
      <c r="M3478"/>
    </row>
    <row r="3479" spans="3:13" hidden="1" outlineLevel="1" x14ac:dyDescent="0.2">
      <c r="C3479" s="139">
        <v>5530</v>
      </c>
      <c r="D3479" s="248">
        <v>5489.5140999998202</v>
      </c>
      <c r="E3479" s="248">
        <v>5453.7286000000704</v>
      </c>
      <c r="F3479" s="248">
        <v>5550.4737000000396</v>
      </c>
      <c r="G3479" s="248">
        <v>5629.9740999972601</v>
      </c>
      <c r="H3479" s="248">
        <v>5772.2573999999504</v>
      </c>
      <c r="I3479"/>
      <c r="J3479"/>
      <c r="K3479"/>
      <c r="L3479"/>
      <c r="M3479"/>
    </row>
    <row r="3480" spans="3:13" hidden="1" outlineLevel="1" x14ac:dyDescent="0.2">
      <c r="C3480" s="139">
        <v>5540</v>
      </c>
      <c r="D3480" s="248">
        <v>5499.6610999998202</v>
      </c>
      <c r="E3480" s="248">
        <v>5463.5906000000596</v>
      </c>
      <c r="F3480" s="248">
        <v>5560.5107000000398</v>
      </c>
      <c r="G3480" s="248">
        <v>5640.1550999972496</v>
      </c>
      <c r="H3480" s="248">
        <v>5782.6953999999496</v>
      </c>
      <c r="I3480"/>
      <c r="J3480"/>
      <c r="K3480"/>
      <c r="L3480"/>
      <c r="M3480"/>
    </row>
    <row r="3481" spans="3:13" hidden="1" outlineLevel="1" x14ac:dyDescent="0.2">
      <c r="C3481" s="139">
        <v>5550</v>
      </c>
      <c r="D3481" s="248">
        <v>5509.8080999998201</v>
      </c>
      <c r="E3481" s="248">
        <v>5473.4526000000596</v>
      </c>
      <c r="F3481" s="248">
        <v>5570.5477000000401</v>
      </c>
      <c r="G3481" s="248">
        <v>5650.3360999972401</v>
      </c>
      <c r="H3481" s="248">
        <v>5793.1333999999497</v>
      </c>
      <c r="I3481"/>
      <c r="J3481"/>
      <c r="K3481"/>
      <c r="L3481"/>
      <c r="M3481"/>
    </row>
    <row r="3482" spans="3:13" hidden="1" outlineLevel="1" x14ac:dyDescent="0.2">
      <c r="C3482" s="139">
        <v>5560</v>
      </c>
      <c r="D3482" s="248">
        <v>5519.95509999982</v>
      </c>
      <c r="E3482" s="248">
        <v>5483.3146000000597</v>
      </c>
      <c r="F3482" s="248">
        <v>5580.5847000000404</v>
      </c>
      <c r="G3482" s="248">
        <v>5660.5170999972297</v>
      </c>
      <c r="H3482" s="248">
        <v>5803.5713999999498</v>
      </c>
      <c r="I3482"/>
      <c r="J3482"/>
      <c r="K3482"/>
      <c r="L3482"/>
      <c r="M3482"/>
    </row>
    <row r="3483" spans="3:13" hidden="1" outlineLevel="1" x14ac:dyDescent="0.2">
      <c r="C3483" s="139">
        <v>5570</v>
      </c>
      <c r="D3483" s="248">
        <v>5530.10209999982</v>
      </c>
      <c r="E3483" s="248">
        <v>5493.1766000000598</v>
      </c>
      <c r="F3483" s="248">
        <v>5590.6217000000397</v>
      </c>
      <c r="G3483" s="248">
        <v>5670.6980999972202</v>
      </c>
      <c r="H3483" s="248">
        <v>5814.0093999999499</v>
      </c>
      <c r="I3483"/>
      <c r="J3483"/>
      <c r="K3483"/>
      <c r="L3483"/>
      <c r="M3483"/>
    </row>
    <row r="3484" spans="3:13" hidden="1" outlineLevel="1" x14ac:dyDescent="0.2">
      <c r="C3484" s="139">
        <v>5580</v>
      </c>
      <c r="D3484" s="248">
        <v>5540.2490999998199</v>
      </c>
      <c r="E3484" s="248">
        <v>5503.0386000000599</v>
      </c>
      <c r="F3484" s="248">
        <v>5600.65870000004</v>
      </c>
      <c r="G3484" s="248">
        <v>5680.8790999972098</v>
      </c>
      <c r="H3484" s="248">
        <v>5824.44739999995</v>
      </c>
      <c r="I3484"/>
      <c r="J3484"/>
      <c r="K3484"/>
      <c r="L3484"/>
      <c r="M3484"/>
    </row>
    <row r="3485" spans="3:13" hidden="1" outlineLevel="1" x14ac:dyDescent="0.2">
      <c r="C3485" s="139">
        <v>5590</v>
      </c>
      <c r="D3485" s="248">
        <v>5550.3960999998199</v>
      </c>
      <c r="E3485" s="248">
        <v>5512.90060000006</v>
      </c>
      <c r="F3485" s="248">
        <v>5610.6957000000402</v>
      </c>
      <c r="G3485" s="248">
        <v>5691.0600999972003</v>
      </c>
      <c r="H3485" s="248">
        <v>5834.8853999999501</v>
      </c>
      <c r="I3485"/>
      <c r="J3485"/>
      <c r="K3485"/>
      <c r="L3485"/>
      <c r="M3485"/>
    </row>
    <row r="3486" spans="3:13" hidden="1" outlineLevel="1" x14ac:dyDescent="0.2">
      <c r="C3486" s="139">
        <v>5600</v>
      </c>
      <c r="D3486" s="248">
        <v>5560.5430999998198</v>
      </c>
      <c r="E3486" s="248">
        <v>5522.76260000006</v>
      </c>
      <c r="F3486" s="248">
        <v>5620.7327000000396</v>
      </c>
      <c r="G3486" s="248">
        <v>5701.2410999971898</v>
      </c>
      <c r="H3486" s="248">
        <v>5845.3233999999502</v>
      </c>
      <c r="I3486"/>
      <c r="J3486"/>
      <c r="K3486"/>
      <c r="L3486"/>
      <c r="M3486"/>
    </row>
    <row r="3487" spans="3:13" hidden="1" outlineLevel="1" x14ac:dyDescent="0.2">
      <c r="C3487" s="139">
        <v>5610</v>
      </c>
      <c r="D3487" s="248">
        <v>5570.6900999998197</v>
      </c>
      <c r="E3487" s="248">
        <v>5532.6246000000601</v>
      </c>
      <c r="F3487" s="248">
        <v>5630.7697000000398</v>
      </c>
      <c r="G3487" s="248">
        <v>5711.4220999971803</v>
      </c>
      <c r="H3487" s="248">
        <v>5855.7613999999503</v>
      </c>
      <c r="I3487"/>
      <c r="J3487"/>
      <c r="K3487"/>
      <c r="L3487"/>
      <c r="M3487"/>
    </row>
    <row r="3488" spans="3:13" hidden="1" outlineLevel="1" x14ac:dyDescent="0.2">
      <c r="C3488" s="139">
        <v>5620</v>
      </c>
      <c r="D3488" s="248">
        <v>5580.8370999998197</v>
      </c>
      <c r="E3488" s="248">
        <v>5542.4866000000602</v>
      </c>
      <c r="F3488" s="248">
        <v>5640.8067000000401</v>
      </c>
      <c r="G3488" s="248">
        <v>5721.6030999971699</v>
      </c>
      <c r="H3488" s="248">
        <v>5866.1993999999504</v>
      </c>
      <c r="I3488"/>
      <c r="J3488"/>
      <c r="K3488"/>
      <c r="L3488"/>
      <c r="M3488"/>
    </row>
    <row r="3489" spans="3:13" hidden="1" outlineLevel="1" x14ac:dyDescent="0.2">
      <c r="C3489" s="139">
        <v>5630</v>
      </c>
      <c r="D3489" s="248">
        <v>5590.9840999998196</v>
      </c>
      <c r="E3489" s="248">
        <v>5552.3486000000603</v>
      </c>
      <c r="F3489" s="248">
        <v>5650.8437000000404</v>
      </c>
      <c r="G3489" s="248">
        <v>5731.7840999971604</v>
      </c>
      <c r="H3489" s="248">
        <v>5876.6373999999496</v>
      </c>
      <c r="I3489"/>
      <c r="J3489"/>
      <c r="K3489"/>
      <c r="L3489"/>
      <c r="M3489"/>
    </row>
    <row r="3490" spans="3:13" hidden="1" outlineLevel="1" x14ac:dyDescent="0.2">
      <c r="C3490" s="139">
        <v>5640</v>
      </c>
      <c r="D3490" s="248">
        <v>5601.1310999998204</v>
      </c>
      <c r="E3490" s="248">
        <v>5562.2106000000604</v>
      </c>
      <c r="F3490" s="248">
        <v>5660.8807000000397</v>
      </c>
      <c r="G3490" s="248">
        <v>5741.96509999715</v>
      </c>
      <c r="H3490" s="248">
        <v>5887.0753999999497</v>
      </c>
      <c r="I3490"/>
      <c r="J3490"/>
      <c r="K3490"/>
      <c r="L3490"/>
      <c r="M3490"/>
    </row>
    <row r="3491" spans="3:13" hidden="1" outlineLevel="1" x14ac:dyDescent="0.2">
      <c r="C3491" s="139">
        <v>5650</v>
      </c>
      <c r="D3491" s="248">
        <v>5611.2780999998204</v>
      </c>
      <c r="E3491" s="248">
        <v>5572.0726000000604</v>
      </c>
      <c r="F3491" s="248">
        <v>5670.91770000004</v>
      </c>
      <c r="G3491" s="248">
        <v>5752.1460999971396</v>
      </c>
      <c r="H3491" s="248">
        <v>5897.5133999999498</v>
      </c>
      <c r="I3491"/>
      <c r="J3491"/>
      <c r="K3491"/>
      <c r="L3491"/>
      <c r="M3491"/>
    </row>
    <row r="3492" spans="3:13" hidden="1" outlineLevel="1" x14ac:dyDescent="0.2">
      <c r="C3492" s="139">
        <v>5660</v>
      </c>
      <c r="D3492" s="248">
        <v>5621.4250999998203</v>
      </c>
      <c r="E3492" s="248">
        <v>5581.9346000000596</v>
      </c>
      <c r="F3492" s="248">
        <v>5680.9547000000402</v>
      </c>
      <c r="G3492" s="248">
        <v>5762.3270999971301</v>
      </c>
      <c r="H3492" s="248">
        <v>5907.9513999999499</v>
      </c>
      <c r="I3492"/>
      <c r="J3492"/>
      <c r="K3492"/>
      <c r="L3492"/>
      <c r="M3492"/>
    </row>
    <row r="3493" spans="3:13" hidden="1" outlineLevel="1" x14ac:dyDescent="0.2">
      <c r="C3493" s="139">
        <v>5670</v>
      </c>
      <c r="D3493" s="248">
        <v>5631.5720999998202</v>
      </c>
      <c r="E3493" s="248">
        <v>5591.7966000000597</v>
      </c>
      <c r="F3493" s="248">
        <v>5690.9917000000396</v>
      </c>
      <c r="G3493" s="248">
        <v>5772.5080999971196</v>
      </c>
      <c r="H3493" s="248">
        <v>5918.38939999995</v>
      </c>
      <c r="I3493"/>
      <c r="J3493"/>
      <c r="K3493"/>
      <c r="L3493"/>
      <c r="M3493"/>
    </row>
    <row r="3494" spans="3:13" hidden="1" outlineLevel="1" x14ac:dyDescent="0.2">
      <c r="C3494" s="139">
        <v>5680</v>
      </c>
      <c r="D3494" s="248">
        <v>5641.7190999998202</v>
      </c>
      <c r="E3494" s="248">
        <v>5601.6586000000598</v>
      </c>
      <c r="F3494" s="248">
        <v>5701.0287000000399</v>
      </c>
      <c r="G3494" s="248">
        <v>5782.6890999971101</v>
      </c>
      <c r="H3494" s="248">
        <v>5928.8273999999501</v>
      </c>
      <c r="I3494"/>
      <c r="J3494"/>
      <c r="K3494"/>
      <c r="L3494"/>
      <c r="M3494"/>
    </row>
    <row r="3495" spans="3:13" hidden="1" outlineLevel="1" x14ac:dyDescent="0.2">
      <c r="C3495" s="139">
        <v>5690</v>
      </c>
      <c r="D3495" s="248">
        <v>5651.8660999998201</v>
      </c>
      <c r="E3495" s="248">
        <v>5611.5206000000599</v>
      </c>
      <c r="F3495" s="248">
        <v>5711.0657000000401</v>
      </c>
      <c r="G3495" s="248">
        <v>5792.8700999970997</v>
      </c>
      <c r="H3495" s="248">
        <v>5939.2653999999502</v>
      </c>
      <c r="I3495"/>
      <c r="J3495"/>
      <c r="K3495"/>
      <c r="L3495"/>
      <c r="M3495"/>
    </row>
    <row r="3496" spans="3:13" hidden="1" outlineLevel="1" x14ac:dyDescent="0.2">
      <c r="C3496" s="139">
        <v>5700</v>
      </c>
      <c r="D3496" s="248">
        <v>5662.01309999982</v>
      </c>
      <c r="E3496" s="248">
        <v>5621.3826000000599</v>
      </c>
      <c r="F3496" s="248">
        <v>5721.1027000000404</v>
      </c>
      <c r="G3496" s="248">
        <v>5803.0510999970902</v>
      </c>
      <c r="H3496" s="248">
        <v>5949.7033999999503</v>
      </c>
      <c r="I3496"/>
      <c r="J3496"/>
      <c r="K3496"/>
      <c r="L3496"/>
      <c r="M3496"/>
    </row>
    <row r="3497" spans="3:13" hidden="1" outlineLevel="1" x14ac:dyDescent="0.2">
      <c r="C3497" s="139">
        <v>5710</v>
      </c>
      <c r="D3497" s="248">
        <v>5672.16009999982</v>
      </c>
      <c r="E3497" s="248">
        <v>5631.24460000006</v>
      </c>
      <c r="F3497" s="248">
        <v>5731.1397000000397</v>
      </c>
      <c r="G3497" s="248">
        <v>5813.2320999970798</v>
      </c>
      <c r="H3497" s="248">
        <v>5960.1413999999504</v>
      </c>
      <c r="I3497"/>
      <c r="J3497"/>
      <c r="K3497"/>
      <c r="L3497"/>
      <c r="M3497"/>
    </row>
    <row r="3498" spans="3:13" hidden="1" outlineLevel="1" x14ac:dyDescent="0.2">
      <c r="C3498" s="139">
        <v>5720</v>
      </c>
      <c r="D3498" s="248">
        <v>5682.3070999998199</v>
      </c>
      <c r="E3498" s="248">
        <v>5641.1066000000601</v>
      </c>
      <c r="F3498" s="248">
        <v>5741.17670000004</v>
      </c>
      <c r="G3498" s="248">
        <v>5823.4130999970703</v>
      </c>
      <c r="H3498" s="248">
        <v>5970.5793999999496</v>
      </c>
      <c r="I3498"/>
      <c r="J3498"/>
      <c r="K3498"/>
      <c r="L3498"/>
      <c r="M3498"/>
    </row>
    <row r="3499" spans="3:13" hidden="1" outlineLevel="1" x14ac:dyDescent="0.2">
      <c r="C3499" s="139">
        <v>5730</v>
      </c>
      <c r="D3499" s="248">
        <v>5692.4540999998198</v>
      </c>
      <c r="E3499" s="248">
        <v>5650.9686000000602</v>
      </c>
      <c r="F3499" s="248">
        <v>5751.2137000000403</v>
      </c>
      <c r="G3499" s="248">
        <v>5833.5940999970599</v>
      </c>
      <c r="H3499" s="248">
        <v>5981.0173999999497</v>
      </c>
      <c r="I3499"/>
      <c r="J3499"/>
      <c r="K3499"/>
      <c r="L3499"/>
      <c r="M3499"/>
    </row>
    <row r="3500" spans="3:13" hidden="1" outlineLevel="1" x14ac:dyDescent="0.2">
      <c r="C3500" s="139">
        <v>5740</v>
      </c>
      <c r="D3500" s="248">
        <v>5702.6010999998198</v>
      </c>
      <c r="E3500" s="248">
        <v>5660.8306000000603</v>
      </c>
      <c r="F3500" s="248">
        <v>5761.2507000000396</v>
      </c>
      <c r="G3500" s="248">
        <v>5843.7750999970503</v>
      </c>
      <c r="H3500" s="248">
        <v>5991.4553999999498</v>
      </c>
      <c r="I3500"/>
      <c r="J3500"/>
      <c r="K3500"/>
      <c r="L3500"/>
      <c r="M3500"/>
    </row>
    <row r="3501" spans="3:13" hidden="1" outlineLevel="1" x14ac:dyDescent="0.2">
      <c r="C3501" s="139">
        <v>5750</v>
      </c>
      <c r="D3501" s="248">
        <v>5712.7480999998197</v>
      </c>
      <c r="E3501" s="248">
        <v>5670.6926000000603</v>
      </c>
      <c r="F3501" s="248">
        <v>5771.2877000000399</v>
      </c>
      <c r="G3501" s="248">
        <v>5853.9560999970299</v>
      </c>
      <c r="H3501" s="248">
        <v>6001.8933999999499</v>
      </c>
      <c r="I3501"/>
      <c r="J3501"/>
      <c r="K3501"/>
      <c r="L3501"/>
      <c r="M3501"/>
    </row>
    <row r="3502" spans="3:13" hidden="1" outlineLevel="1" x14ac:dyDescent="0.2">
      <c r="C3502" s="139">
        <v>5760</v>
      </c>
      <c r="D3502" s="248">
        <v>5722.8950999998196</v>
      </c>
      <c r="E3502" s="248">
        <v>5680.5546000000604</v>
      </c>
      <c r="F3502" s="248">
        <v>5781.3247000000401</v>
      </c>
      <c r="G3502" s="248">
        <v>5864.1370999970204</v>
      </c>
      <c r="H3502" s="248">
        <v>6012.33139999995</v>
      </c>
      <c r="I3502"/>
      <c r="J3502"/>
      <c r="K3502"/>
      <c r="L3502"/>
      <c r="M3502"/>
    </row>
    <row r="3503" spans="3:13" hidden="1" outlineLevel="1" x14ac:dyDescent="0.2">
      <c r="C3503" s="139">
        <v>5770</v>
      </c>
      <c r="D3503" s="248">
        <v>5733.0420999998196</v>
      </c>
      <c r="E3503" s="248">
        <v>5690.4166000000596</v>
      </c>
      <c r="F3503" s="248">
        <v>5791.3617000000404</v>
      </c>
      <c r="G3503" s="248">
        <v>5874.31809999701</v>
      </c>
      <c r="H3503" s="248">
        <v>6022.7693999999501</v>
      </c>
      <c r="I3503"/>
      <c r="J3503"/>
      <c r="K3503"/>
      <c r="L3503"/>
      <c r="M3503"/>
    </row>
    <row r="3504" spans="3:13" hidden="1" outlineLevel="1" x14ac:dyDescent="0.2">
      <c r="C3504" s="139">
        <v>5780</v>
      </c>
      <c r="D3504" s="248">
        <v>5743.1890999998204</v>
      </c>
      <c r="E3504" s="248">
        <v>5700.2786000000597</v>
      </c>
      <c r="F3504" s="248">
        <v>5801.3987000000398</v>
      </c>
      <c r="G3504" s="248">
        <v>5884.4990999969996</v>
      </c>
      <c r="H3504" s="248">
        <v>6033.2073999999502</v>
      </c>
      <c r="I3504"/>
      <c r="J3504"/>
      <c r="K3504"/>
      <c r="L3504"/>
      <c r="M3504"/>
    </row>
    <row r="3505" spans="3:13" hidden="1" outlineLevel="1" x14ac:dyDescent="0.2">
      <c r="C3505" s="139">
        <v>5790</v>
      </c>
      <c r="D3505" s="248">
        <v>5753.3360999998204</v>
      </c>
      <c r="E3505" s="248">
        <v>5710.1406000000597</v>
      </c>
      <c r="F3505" s="248">
        <v>5811.43570000004</v>
      </c>
      <c r="G3505" s="248">
        <v>5894.6800999969901</v>
      </c>
      <c r="H3505" s="248">
        <v>6043.6453999999503</v>
      </c>
      <c r="I3505"/>
      <c r="J3505"/>
      <c r="K3505"/>
      <c r="L3505"/>
      <c r="M3505"/>
    </row>
    <row r="3506" spans="3:13" hidden="1" outlineLevel="1" x14ac:dyDescent="0.2">
      <c r="C3506" s="139">
        <v>5800</v>
      </c>
      <c r="D3506" s="248">
        <v>5763.4830999998203</v>
      </c>
      <c r="E3506" s="248">
        <v>5720.0026000000598</v>
      </c>
      <c r="F3506" s="248">
        <v>5821.4727000000403</v>
      </c>
      <c r="G3506" s="248">
        <v>5904.8610999969796</v>
      </c>
      <c r="H3506" s="248">
        <v>6054.0833999999504</v>
      </c>
      <c r="I3506"/>
      <c r="J3506"/>
      <c r="K3506"/>
      <c r="L3506"/>
      <c r="M3506"/>
    </row>
    <row r="3507" spans="3:13" hidden="1" outlineLevel="1" x14ac:dyDescent="0.2">
      <c r="C3507" s="139">
        <v>5810</v>
      </c>
      <c r="D3507" s="248">
        <v>5773.6300999998202</v>
      </c>
      <c r="E3507" s="248">
        <v>5729.8646000000499</v>
      </c>
      <c r="F3507" s="248">
        <v>5831.5097000000396</v>
      </c>
      <c r="G3507" s="248">
        <v>5915.0420999969701</v>
      </c>
      <c r="H3507" s="248">
        <v>6064.5213999999496</v>
      </c>
      <c r="I3507"/>
      <c r="J3507"/>
      <c r="K3507"/>
      <c r="L3507"/>
      <c r="M3507"/>
    </row>
    <row r="3508" spans="3:13" hidden="1" outlineLevel="1" x14ac:dyDescent="0.2">
      <c r="C3508" s="139">
        <v>5820</v>
      </c>
      <c r="D3508" s="248">
        <v>5783.7770999998202</v>
      </c>
      <c r="E3508" s="248">
        <v>5739.72660000005</v>
      </c>
      <c r="F3508" s="248">
        <v>5841.5467000000399</v>
      </c>
      <c r="G3508" s="248">
        <v>5925.2230999969597</v>
      </c>
      <c r="H3508" s="248">
        <v>6074.9593999999497</v>
      </c>
      <c r="I3508"/>
      <c r="J3508"/>
      <c r="K3508"/>
      <c r="L3508"/>
      <c r="M3508"/>
    </row>
    <row r="3509" spans="3:13" hidden="1" outlineLevel="1" x14ac:dyDescent="0.2">
      <c r="C3509" s="139">
        <v>5830</v>
      </c>
      <c r="D3509" s="248">
        <v>5793.9240999998201</v>
      </c>
      <c r="E3509" s="248">
        <v>5749.5886000000501</v>
      </c>
      <c r="F3509" s="248">
        <v>5851.5837000000402</v>
      </c>
      <c r="G3509" s="248">
        <v>5935.4040999969502</v>
      </c>
      <c r="H3509" s="248">
        <v>6085.3973999999498</v>
      </c>
      <c r="I3509"/>
      <c r="J3509"/>
      <c r="K3509"/>
      <c r="L3509"/>
      <c r="M3509"/>
    </row>
    <row r="3510" spans="3:13" hidden="1" outlineLevel="1" x14ac:dyDescent="0.2">
      <c r="C3510" s="139">
        <v>5840</v>
      </c>
      <c r="D3510" s="248">
        <v>5804.07109999982</v>
      </c>
      <c r="E3510" s="248">
        <v>5759.4506000000501</v>
      </c>
      <c r="F3510" s="248">
        <v>5861.6207000000404</v>
      </c>
      <c r="G3510" s="248">
        <v>5945.5850999969398</v>
      </c>
      <c r="H3510" s="248">
        <v>6095.8353999999499</v>
      </c>
      <c r="I3510"/>
      <c r="J3510"/>
      <c r="K3510"/>
      <c r="L3510"/>
      <c r="M3510"/>
    </row>
    <row r="3511" spans="3:13" hidden="1" outlineLevel="1" x14ac:dyDescent="0.2">
      <c r="C3511" s="139">
        <v>5850</v>
      </c>
      <c r="D3511" s="248">
        <v>5814.21809999982</v>
      </c>
      <c r="E3511" s="248">
        <v>5769.3126000000502</v>
      </c>
      <c r="F3511" s="248">
        <v>5871.6577000000398</v>
      </c>
      <c r="G3511" s="248">
        <v>5955.7660999969303</v>
      </c>
      <c r="H3511" s="248">
        <v>6106.27339999995</v>
      </c>
      <c r="I3511"/>
      <c r="J3511"/>
      <c r="K3511"/>
      <c r="L3511"/>
      <c r="M3511"/>
    </row>
    <row r="3512" spans="3:13" hidden="1" outlineLevel="1" x14ac:dyDescent="0.2">
      <c r="C3512" s="139">
        <v>5860</v>
      </c>
      <c r="D3512" s="248">
        <v>5824.3650999998199</v>
      </c>
      <c r="E3512" s="248">
        <v>5779.1746000000503</v>
      </c>
      <c r="F3512" s="248">
        <v>5881.69470000003</v>
      </c>
      <c r="G3512" s="248">
        <v>5965.9470999969199</v>
      </c>
      <c r="H3512" s="248">
        <v>6116.7113999999501</v>
      </c>
      <c r="I3512"/>
      <c r="J3512"/>
      <c r="K3512"/>
      <c r="L3512"/>
      <c r="M3512"/>
    </row>
    <row r="3513" spans="3:13" hidden="1" outlineLevel="1" x14ac:dyDescent="0.2">
      <c r="C3513" s="139">
        <v>5870</v>
      </c>
      <c r="D3513" s="248">
        <v>5834.5120999998198</v>
      </c>
      <c r="E3513" s="248">
        <v>5789.0366000000504</v>
      </c>
      <c r="F3513" s="248">
        <v>5891.7317000000303</v>
      </c>
      <c r="G3513" s="248">
        <v>5976.1280999969104</v>
      </c>
      <c r="H3513" s="248">
        <v>6127.1493999999502</v>
      </c>
      <c r="I3513"/>
      <c r="J3513"/>
      <c r="K3513"/>
      <c r="L3513"/>
      <c r="M3513"/>
    </row>
    <row r="3514" spans="3:13" hidden="1" outlineLevel="1" x14ac:dyDescent="0.2">
      <c r="C3514" s="139">
        <v>5880</v>
      </c>
      <c r="D3514" s="248">
        <v>5844.6590999998198</v>
      </c>
      <c r="E3514" s="248">
        <v>5798.8986000000496</v>
      </c>
      <c r="F3514" s="248">
        <v>5901.7687000000296</v>
      </c>
      <c r="G3514" s="248">
        <v>5986.3090999968999</v>
      </c>
      <c r="H3514" s="248">
        <v>6137.5873999999503</v>
      </c>
      <c r="I3514"/>
      <c r="J3514"/>
      <c r="K3514"/>
      <c r="L3514"/>
      <c r="M3514"/>
    </row>
    <row r="3515" spans="3:13" hidden="1" outlineLevel="1" x14ac:dyDescent="0.2">
      <c r="C3515" s="139">
        <v>5890</v>
      </c>
      <c r="D3515" s="248">
        <v>5854.8060999998197</v>
      </c>
      <c r="E3515" s="248">
        <v>5808.7606000000496</v>
      </c>
      <c r="F3515" s="248">
        <v>5911.8057000000299</v>
      </c>
      <c r="G3515" s="248">
        <v>5996.4900999968904</v>
      </c>
      <c r="H3515" s="248">
        <v>6148.0253999999504</v>
      </c>
      <c r="I3515"/>
      <c r="J3515"/>
      <c r="K3515"/>
      <c r="L3515"/>
      <c r="M3515"/>
    </row>
    <row r="3516" spans="3:13" hidden="1" outlineLevel="1" x14ac:dyDescent="0.2">
      <c r="C3516" s="139">
        <v>5900</v>
      </c>
      <c r="D3516" s="248">
        <v>5864.9530999998196</v>
      </c>
      <c r="E3516" s="248">
        <v>5818.6226000000497</v>
      </c>
      <c r="F3516" s="248">
        <v>5921.8427000000302</v>
      </c>
      <c r="G3516" s="248">
        <v>6006.67109999688</v>
      </c>
      <c r="H3516" s="248">
        <v>6158.4633999999496</v>
      </c>
      <c r="I3516"/>
      <c r="J3516"/>
      <c r="K3516"/>
      <c r="L3516"/>
      <c r="M3516"/>
    </row>
    <row r="3517" spans="3:13" hidden="1" outlineLevel="1" x14ac:dyDescent="0.2">
      <c r="C3517" s="139">
        <v>5910</v>
      </c>
      <c r="D3517" s="248">
        <v>5875.1000999998196</v>
      </c>
      <c r="E3517" s="248">
        <v>5828.4846000000498</v>
      </c>
      <c r="F3517" s="248">
        <v>5931.8797000000304</v>
      </c>
      <c r="G3517" s="248">
        <v>6016.8520999968696</v>
      </c>
      <c r="H3517" s="248">
        <v>6168.9013999999497</v>
      </c>
      <c r="I3517"/>
      <c r="J3517"/>
      <c r="K3517"/>
      <c r="L3517"/>
      <c r="M3517"/>
    </row>
    <row r="3518" spans="3:13" hidden="1" outlineLevel="1" x14ac:dyDescent="0.2">
      <c r="C3518" s="139">
        <v>5920</v>
      </c>
      <c r="D3518" s="248">
        <v>5885.2470999998204</v>
      </c>
      <c r="E3518" s="248">
        <v>5838.3466000000499</v>
      </c>
      <c r="F3518" s="248">
        <v>5941.9167000000298</v>
      </c>
      <c r="G3518" s="248">
        <v>6027.0330999968601</v>
      </c>
      <c r="H3518" s="248">
        <v>6179.3393999999498</v>
      </c>
      <c r="I3518"/>
      <c r="J3518"/>
      <c r="K3518"/>
      <c r="L3518"/>
      <c r="M3518"/>
    </row>
    <row r="3519" spans="3:13" hidden="1" outlineLevel="1" x14ac:dyDescent="0.2">
      <c r="C3519" s="139">
        <v>5930</v>
      </c>
      <c r="D3519" s="248">
        <v>5895.3940999998204</v>
      </c>
      <c r="E3519" s="248">
        <v>5848.20860000005</v>
      </c>
      <c r="F3519" s="248">
        <v>5951.95370000003</v>
      </c>
      <c r="G3519" s="248">
        <v>6037.2140999968497</v>
      </c>
      <c r="H3519" s="248">
        <v>6189.7773999999499</v>
      </c>
      <c r="I3519"/>
      <c r="J3519"/>
      <c r="K3519"/>
      <c r="L3519"/>
      <c r="M3519"/>
    </row>
    <row r="3520" spans="3:13" hidden="1" outlineLevel="1" x14ac:dyDescent="0.2">
      <c r="C3520" s="139">
        <v>5940</v>
      </c>
      <c r="D3520" s="248">
        <v>5905.5410999998203</v>
      </c>
      <c r="E3520" s="248">
        <v>5858.07060000005</v>
      </c>
      <c r="F3520" s="248">
        <v>5961.9907000000303</v>
      </c>
      <c r="G3520" s="248">
        <v>6047.3950999968401</v>
      </c>
      <c r="H3520" s="248">
        <v>6200.21539999995</v>
      </c>
      <c r="I3520"/>
      <c r="J3520"/>
      <c r="K3520"/>
      <c r="L3520"/>
      <c r="M3520"/>
    </row>
    <row r="3521" spans="3:13" hidden="1" outlineLevel="1" x14ac:dyDescent="0.2">
      <c r="C3521" s="139">
        <v>5950</v>
      </c>
      <c r="D3521" s="248">
        <v>5915.6880999998202</v>
      </c>
      <c r="E3521" s="248">
        <v>5867.9326000000501</v>
      </c>
      <c r="F3521" s="248">
        <v>5972.0277000000297</v>
      </c>
      <c r="G3521" s="248">
        <v>6057.5760999968297</v>
      </c>
      <c r="H3521" s="248">
        <v>6210.6533999999501</v>
      </c>
      <c r="I3521"/>
      <c r="J3521"/>
      <c r="K3521"/>
      <c r="L3521"/>
      <c r="M3521"/>
    </row>
    <row r="3522" spans="3:13" hidden="1" outlineLevel="1" x14ac:dyDescent="0.2">
      <c r="C3522" s="139">
        <v>5960</v>
      </c>
      <c r="D3522" s="248">
        <v>5925.8350999998202</v>
      </c>
      <c r="E3522" s="248">
        <v>5877.7946000000502</v>
      </c>
      <c r="F3522" s="248">
        <v>5982.0647000000299</v>
      </c>
      <c r="G3522" s="248">
        <v>6067.7570999968202</v>
      </c>
      <c r="H3522" s="248">
        <v>6221.0913999999502</v>
      </c>
      <c r="I3522"/>
      <c r="J3522"/>
      <c r="K3522"/>
      <c r="L3522"/>
      <c r="M3522"/>
    </row>
    <row r="3523" spans="3:13" hidden="1" outlineLevel="1" x14ac:dyDescent="0.2">
      <c r="C3523" s="139">
        <v>5970</v>
      </c>
      <c r="D3523" s="248">
        <v>5935.9820999998201</v>
      </c>
      <c r="E3523" s="248">
        <v>5887.6566000000503</v>
      </c>
      <c r="F3523" s="248">
        <v>5992.1017000000302</v>
      </c>
      <c r="G3523" s="248">
        <v>6077.9380999968098</v>
      </c>
      <c r="H3523" s="248">
        <v>6231.5293999999503</v>
      </c>
      <c r="I3523"/>
      <c r="J3523"/>
      <c r="K3523"/>
      <c r="L3523"/>
      <c r="M3523"/>
    </row>
    <row r="3524" spans="3:13" hidden="1" outlineLevel="1" x14ac:dyDescent="0.2">
      <c r="C3524" s="139">
        <v>5980</v>
      </c>
      <c r="D3524" s="248">
        <v>5946.12909999982</v>
      </c>
      <c r="E3524" s="248">
        <v>5897.5186000000504</v>
      </c>
      <c r="F3524" s="248">
        <v>6002.1387000000304</v>
      </c>
      <c r="G3524" s="248">
        <v>6088.1190999968003</v>
      </c>
      <c r="H3524" s="248">
        <v>6241.9673999999504</v>
      </c>
      <c r="I3524"/>
      <c r="J3524"/>
      <c r="K3524"/>
      <c r="L3524"/>
      <c r="M3524"/>
    </row>
    <row r="3525" spans="3:13" hidden="1" outlineLevel="1" x14ac:dyDescent="0.2">
      <c r="C3525" s="139">
        <v>5990</v>
      </c>
      <c r="D3525" s="248">
        <v>5956.27609999982</v>
      </c>
      <c r="E3525" s="248">
        <v>5907.3806000000504</v>
      </c>
      <c r="F3525" s="248">
        <v>6012.1757000000298</v>
      </c>
      <c r="G3525" s="248">
        <v>6098.3000999967799</v>
      </c>
      <c r="H3525" s="248">
        <v>6252.4053999999496</v>
      </c>
      <c r="I3525"/>
      <c r="J3525"/>
      <c r="K3525"/>
      <c r="L3525"/>
      <c r="M3525"/>
    </row>
    <row r="3526" spans="3:13" hidden="1" outlineLevel="1" x14ac:dyDescent="0.2">
      <c r="C3526" s="139">
        <v>6000</v>
      </c>
      <c r="D3526" s="248">
        <v>5966.4230999998199</v>
      </c>
      <c r="E3526" s="248">
        <v>5917.2426000000496</v>
      </c>
      <c r="F3526" s="248">
        <v>6022.2127000000301</v>
      </c>
      <c r="G3526" s="248">
        <v>6108.4810999967704</v>
      </c>
      <c r="H3526" s="248">
        <v>6262.8433999999497</v>
      </c>
      <c r="I3526"/>
      <c r="J3526"/>
      <c r="K3526"/>
      <c r="L3526"/>
      <c r="M3526"/>
    </row>
    <row r="3527" spans="3:13" hidden="1" outlineLevel="1" x14ac:dyDescent="0.2">
      <c r="C3527" s="139">
        <v>6010</v>
      </c>
      <c r="D3527" s="248">
        <v>5976.5700999998198</v>
      </c>
      <c r="E3527" s="248">
        <v>5927.1046000000497</v>
      </c>
      <c r="F3527" s="248">
        <v>6032.2497000000303</v>
      </c>
      <c r="G3527" s="248">
        <v>6118.6620999967599</v>
      </c>
      <c r="H3527" s="248">
        <v>6273.2813999999498</v>
      </c>
      <c r="I3527"/>
      <c r="J3527"/>
      <c r="K3527"/>
      <c r="L3527"/>
      <c r="M3527"/>
    </row>
    <row r="3528" spans="3:13" hidden="1" outlineLevel="1" x14ac:dyDescent="0.2">
      <c r="C3528" s="139">
        <v>6020</v>
      </c>
      <c r="D3528" s="248">
        <v>5986.7170999998198</v>
      </c>
      <c r="E3528" s="248">
        <v>5936.9666000000498</v>
      </c>
      <c r="F3528" s="248">
        <v>6042.2867000000297</v>
      </c>
      <c r="G3528" s="248">
        <v>6128.8430999967504</v>
      </c>
      <c r="H3528" s="248">
        <v>6283.7193999999499</v>
      </c>
      <c r="I3528"/>
      <c r="J3528"/>
      <c r="K3528"/>
      <c r="L3528"/>
      <c r="M3528"/>
    </row>
    <row r="3529" spans="3:13" hidden="1" outlineLevel="1" x14ac:dyDescent="0.2">
      <c r="C3529" s="139">
        <v>6030</v>
      </c>
      <c r="D3529" s="248">
        <v>5996.8640999998197</v>
      </c>
      <c r="E3529" s="248">
        <v>5946.8286000000498</v>
      </c>
      <c r="F3529" s="248">
        <v>6052.3237000000299</v>
      </c>
      <c r="G3529" s="248">
        <v>6139.02409999674</v>
      </c>
      <c r="H3529" s="248">
        <v>6294.15739999995</v>
      </c>
      <c r="I3529"/>
      <c r="J3529"/>
      <c r="K3529"/>
      <c r="L3529"/>
      <c r="M3529"/>
    </row>
    <row r="3530" spans="3:13" hidden="1" outlineLevel="1" x14ac:dyDescent="0.2">
      <c r="C3530" s="139">
        <v>6040</v>
      </c>
      <c r="D3530" s="248">
        <v>6007.0110999998196</v>
      </c>
      <c r="E3530" s="248">
        <v>5956.6906000000499</v>
      </c>
      <c r="F3530" s="248">
        <v>6062.3607000000302</v>
      </c>
      <c r="G3530" s="248">
        <v>6149.2050999967296</v>
      </c>
      <c r="H3530" s="248">
        <v>6304.5953999999501</v>
      </c>
      <c r="I3530"/>
      <c r="J3530"/>
      <c r="K3530"/>
      <c r="L3530"/>
      <c r="M3530"/>
    </row>
    <row r="3531" spans="3:13" hidden="1" outlineLevel="1" x14ac:dyDescent="0.2">
      <c r="C3531" s="139">
        <v>6050</v>
      </c>
      <c r="D3531" s="248">
        <v>6017.1580999998196</v>
      </c>
      <c r="E3531" s="248">
        <v>5966.55260000005</v>
      </c>
      <c r="F3531" s="248">
        <v>6072.3977000000305</v>
      </c>
      <c r="G3531" s="248">
        <v>6159.3860999967201</v>
      </c>
      <c r="H3531" s="248">
        <v>6315.0333999999502</v>
      </c>
      <c r="I3531"/>
      <c r="J3531"/>
      <c r="K3531"/>
      <c r="L3531"/>
      <c r="M3531"/>
    </row>
    <row r="3532" spans="3:13" hidden="1" outlineLevel="1" x14ac:dyDescent="0.2">
      <c r="C3532" s="139">
        <v>6060</v>
      </c>
      <c r="D3532" s="248">
        <v>6027.3050999998204</v>
      </c>
      <c r="E3532" s="248">
        <v>5976.4146000000501</v>
      </c>
      <c r="F3532" s="248">
        <v>6082.4347000000298</v>
      </c>
      <c r="G3532" s="248">
        <v>6169.5670999967097</v>
      </c>
      <c r="H3532" s="248">
        <v>6325.4713999999503</v>
      </c>
      <c r="I3532"/>
      <c r="J3532"/>
      <c r="K3532"/>
      <c r="L3532"/>
      <c r="M3532"/>
    </row>
    <row r="3533" spans="3:13" hidden="1" outlineLevel="1" x14ac:dyDescent="0.2">
      <c r="C3533" s="139">
        <v>6070</v>
      </c>
      <c r="D3533" s="248">
        <v>6037.4520999998203</v>
      </c>
      <c r="E3533" s="248">
        <v>5986.2766000000402</v>
      </c>
      <c r="F3533" s="248">
        <v>6092.4717000000301</v>
      </c>
      <c r="G3533" s="248">
        <v>6179.7480999967001</v>
      </c>
      <c r="H3533" s="248">
        <v>6335.9093999999504</v>
      </c>
      <c r="I3533"/>
      <c r="J3533"/>
      <c r="K3533"/>
      <c r="L3533"/>
      <c r="M3533"/>
    </row>
    <row r="3534" spans="3:13" hidden="1" outlineLevel="1" x14ac:dyDescent="0.2">
      <c r="C3534" s="139">
        <v>6080</v>
      </c>
      <c r="D3534" s="248">
        <v>6047.5990999998203</v>
      </c>
      <c r="E3534" s="248">
        <v>5996.1386000000402</v>
      </c>
      <c r="F3534" s="248">
        <v>6102.5087000000303</v>
      </c>
      <c r="G3534" s="248">
        <v>6189.9290999966897</v>
      </c>
      <c r="H3534" s="248">
        <v>6346.3473999999496</v>
      </c>
      <c r="I3534"/>
      <c r="J3534"/>
      <c r="K3534"/>
      <c r="L3534"/>
      <c r="M3534"/>
    </row>
    <row r="3535" spans="3:13" hidden="1" outlineLevel="1" x14ac:dyDescent="0.2">
      <c r="C3535" s="139">
        <v>6090</v>
      </c>
      <c r="D3535" s="248">
        <v>6057.7460999998202</v>
      </c>
      <c r="E3535" s="248">
        <v>6006.0006000000403</v>
      </c>
      <c r="F3535" s="248">
        <v>6112.5457000000297</v>
      </c>
      <c r="G3535" s="248">
        <v>6200.1100999966802</v>
      </c>
      <c r="H3535" s="248">
        <v>6356.7853999999497</v>
      </c>
      <c r="I3535"/>
      <c r="J3535"/>
      <c r="K3535"/>
      <c r="L3535"/>
      <c r="M3535"/>
    </row>
    <row r="3536" spans="3:13" hidden="1" outlineLevel="1" x14ac:dyDescent="0.2">
      <c r="C3536" s="139">
        <v>6100</v>
      </c>
      <c r="D3536" s="248">
        <v>6067.8930999998202</v>
      </c>
      <c r="E3536" s="248">
        <v>6015.8626000000404</v>
      </c>
      <c r="F3536" s="248">
        <v>6122.5827000000299</v>
      </c>
      <c r="G3536" s="248">
        <v>6210.2910999966698</v>
      </c>
      <c r="H3536" s="248">
        <v>6367.2233999999498</v>
      </c>
      <c r="I3536"/>
      <c r="J3536"/>
      <c r="K3536"/>
      <c r="L3536"/>
      <c r="M3536"/>
    </row>
    <row r="3537" spans="3:13" hidden="1" outlineLevel="1" x14ac:dyDescent="0.2">
      <c r="C3537" s="139">
        <v>6110</v>
      </c>
      <c r="D3537" s="248">
        <v>6078.0400999998201</v>
      </c>
      <c r="E3537" s="248">
        <v>6025.7246000000396</v>
      </c>
      <c r="F3537" s="248">
        <v>6132.6197000000302</v>
      </c>
      <c r="G3537" s="248">
        <v>6220.4720999966603</v>
      </c>
      <c r="H3537" s="248">
        <v>6377.6613999999499</v>
      </c>
      <c r="I3537"/>
      <c r="J3537"/>
      <c r="K3537"/>
      <c r="L3537"/>
      <c r="M3537"/>
    </row>
    <row r="3538" spans="3:13" hidden="1" outlineLevel="1" x14ac:dyDescent="0.2">
      <c r="C3538" s="139">
        <v>6120</v>
      </c>
      <c r="D3538" s="248">
        <v>6088.18709999982</v>
      </c>
      <c r="E3538" s="248">
        <v>6035.5866000000397</v>
      </c>
      <c r="F3538" s="248">
        <v>6142.6567000000296</v>
      </c>
      <c r="G3538" s="248">
        <v>6230.6530999966499</v>
      </c>
      <c r="H3538" s="248">
        <v>6388.09939999995</v>
      </c>
      <c r="I3538"/>
      <c r="J3538"/>
      <c r="K3538"/>
      <c r="L3538"/>
      <c r="M3538"/>
    </row>
    <row r="3539" spans="3:13" hidden="1" outlineLevel="1" x14ac:dyDescent="0.2">
      <c r="C3539" s="139">
        <v>6130</v>
      </c>
      <c r="D3539" s="248">
        <v>6098.33409999982</v>
      </c>
      <c r="E3539" s="248">
        <v>6045.4486000000397</v>
      </c>
      <c r="F3539" s="248">
        <v>6152.6937000000298</v>
      </c>
      <c r="G3539" s="248">
        <v>6240.8340999966404</v>
      </c>
      <c r="H3539" s="248">
        <v>6398.5373999999501</v>
      </c>
      <c r="I3539"/>
      <c r="J3539"/>
      <c r="K3539"/>
      <c r="L3539"/>
      <c r="M3539"/>
    </row>
    <row r="3540" spans="3:13" hidden="1" outlineLevel="1" x14ac:dyDescent="0.2">
      <c r="C3540" s="139">
        <v>6140</v>
      </c>
      <c r="D3540" s="248">
        <v>6108.4810999998199</v>
      </c>
      <c r="E3540" s="248">
        <v>6055.3106000000398</v>
      </c>
      <c r="F3540" s="248">
        <v>6162.7307000000301</v>
      </c>
      <c r="G3540" s="248">
        <v>6251.0150999966299</v>
      </c>
      <c r="H3540" s="248">
        <v>6408.9753999999502</v>
      </c>
      <c r="I3540"/>
      <c r="J3540"/>
      <c r="K3540"/>
      <c r="L3540"/>
      <c r="M3540"/>
    </row>
    <row r="3541" spans="3:13" hidden="1" outlineLevel="1" x14ac:dyDescent="0.2">
      <c r="C3541" s="139">
        <v>6150</v>
      </c>
      <c r="D3541" s="248">
        <v>6118.6280999998198</v>
      </c>
      <c r="E3541" s="248">
        <v>6065.1726000000399</v>
      </c>
      <c r="F3541" s="248">
        <v>6172.7677000000303</v>
      </c>
      <c r="G3541" s="248">
        <v>6261.1960999966204</v>
      </c>
      <c r="H3541" s="248">
        <v>6419.4133999999503</v>
      </c>
      <c r="I3541"/>
      <c r="J3541"/>
      <c r="K3541"/>
      <c r="L3541"/>
      <c r="M3541"/>
    </row>
    <row r="3542" spans="3:13" hidden="1" outlineLevel="1" x14ac:dyDescent="0.2">
      <c r="C3542" s="139">
        <v>6160</v>
      </c>
      <c r="D3542" s="248">
        <v>6128.7750999998198</v>
      </c>
      <c r="E3542" s="248">
        <v>6075.03460000004</v>
      </c>
      <c r="F3542" s="248">
        <v>6182.8047000000297</v>
      </c>
      <c r="G3542" s="248">
        <v>6271.37709999661</v>
      </c>
      <c r="H3542" s="248">
        <v>6429.8513999999504</v>
      </c>
      <c r="I3542"/>
      <c r="J3542"/>
      <c r="K3542"/>
      <c r="L3542"/>
      <c r="M3542"/>
    </row>
    <row r="3543" spans="3:13" hidden="1" outlineLevel="1" x14ac:dyDescent="0.2">
      <c r="C3543" s="139">
        <v>6170</v>
      </c>
      <c r="D3543" s="248">
        <v>6138.9220999998197</v>
      </c>
      <c r="E3543" s="248">
        <v>6084.8966000000401</v>
      </c>
      <c r="F3543" s="248">
        <v>6192.84170000003</v>
      </c>
      <c r="G3543" s="248">
        <v>6281.5580999965996</v>
      </c>
      <c r="H3543" s="248">
        <v>6440.2893999999496</v>
      </c>
      <c r="I3543"/>
      <c r="J3543"/>
      <c r="K3543"/>
      <c r="L3543"/>
      <c r="M3543"/>
    </row>
    <row r="3544" spans="3:13" hidden="1" outlineLevel="1" x14ac:dyDescent="0.2">
      <c r="C3544" s="139">
        <v>6180</v>
      </c>
      <c r="D3544" s="248">
        <v>6149.0690999998196</v>
      </c>
      <c r="E3544" s="248">
        <v>6094.7586000000401</v>
      </c>
      <c r="F3544" s="248">
        <v>6202.8787000000302</v>
      </c>
      <c r="G3544" s="248">
        <v>6291.7390999965901</v>
      </c>
      <c r="H3544" s="248">
        <v>6450.7273999999497</v>
      </c>
      <c r="I3544"/>
      <c r="J3544"/>
      <c r="K3544"/>
      <c r="L3544"/>
      <c r="M3544"/>
    </row>
    <row r="3545" spans="3:13" hidden="1" outlineLevel="1" x14ac:dyDescent="0.2">
      <c r="C3545" s="139">
        <v>6190</v>
      </c>
      <c r="D3545" s="248">
        <v>6159.2160999998196</v>
      </c>
      <c r="E3545" s="248">
        <v>6104.6206000000402</v>
      </c>
      <c r="F3545" s="248">
        <v>6212.9157000000296</v>
      </c>
      <c r="G3545" s="248">
        <v>6301.9200999965797</v>
      </c>
      <c r="H3545" s="248">
        <v>6461.1653999999498</v>
      </c>
      <c r="I3545"/>
      <c r="J3545"/>
      <c r="K3545"/>
      <c r="L3545"/>
      <c r="M3545"/>
    </row>
    <row r="3546" spans="3:13" hidden="1" outlineLevel="1" x14ac:dyDescent="0.2">
      <c r="C3546" s="139">
        <v>6200</v>
      </c>
      <c r="D3546" s="248">
        <v>6169.3630999998204</v>
      </c>
      <c r="E3546" s="248">
        <v>6114.4826000000403</v>
      </c>
      <c r="F3546" s="248">
        <v>6222.9527000000298</v>
      </c>
      <c r="G3546" s="248">
        <v>6312.1010999965702</v>
      </c>
      <c r="H3546" s="248">
        <v>6471.6033999999499</v>
      </c>
      <c r="I3546"/>
      <c r="J3546"/>
      <c r="K3546"/>
      <c r="L3546"/>
      <c r="M3546"/>
    </row>
    <row r="3547" spans="3:13" hidden="1" outlineLevel="1" x14ac:dyDescent="0.2">
      <c r="C3547" s="139">
        <v>6210</v>
      </c>
      <c r="D3547" s="248">
        <v>6179.5100999998203</v>
      </c>
      <c r="E3547" s="248">
        <v>6124.3446000000404</v>
      </c>
      <c r="F3547" s="248">
        <v>6232.9897000000301</v>
      </c>
      <c r="G3547" s="248">
        <v>6322.2820999965597</v>
      </c>
      <c r="H3547" s="248">
        <v>6482.04139999995</v>
      </c>
      <c r="I3547"/>
      <c r="J3547"/>
      <c r="K3547"/>
      <c r="L3547"/>
      <c r="M3547"/>
    </row>
    <row r="3548" spans="3:13" hidden="1" outlineLevel="1" x14ac:dyDescent="0.2">
      <c r="C3548" s="139">
        <v>6220</v>
      </c>
      <c r="D3548" s="248">
        <v>6189.6570999998203</v>
      </c>
      <c r="E3548" s="248">
        <v>6134.2066000000405</v>
      </c>
      <c r="F3548" s="248">
        <v>6243.0267000000304</v>
      </c>
      <c r="G3548" s="248">
        <v>6332.4630999965502</v>
      </c>
      <c r="H3548" s="248">
        <v>6492.4793999999501</v>
      </c>
      <c r="I3548"/>
      <c r="J3548"/>
      <c r="K3548"/>
      <c r="L3548"/>
      <c r="M3548"/>
    </row>
    <row r="3549" spans="3:13" hidden="1" outlineLevel="1" x14ac:dyDescent="0.2">
      <c r="C3549" s="139">
        <v>6230</v>
      </c>
      <c r="D3549" s="248">
        <v>6199.8040999998202</v>
      </c>
      <c r="E3549" s="248">
        <v>6144.0686000000396</v>
      </c>
      <c r="F3549" s="248">
        <v>6253.0637000000297</v>
      </c>
      <c r="G3549" s="248">
        <v>6342.6440999965298</v>
      </c>
      <c r="H3549" s="248">
        <v>6502.9173999999502</v>
      </c>
      <c r="I3549"/>
      <c r="J3549"/>
      <c r="K3549"/>
      <c r="L3549"/>
      <c r="M3549"/>
    </row>
    <row r="3550" spans="3:13" hidden="1" outlineLevel="1" x14ac:dyDescent="0.2">
      <c r="C3550" s="139">
        <v>6240</v>
      </c>
      <c r="D3550" s="248">
        <v>6209.9510999998201</v>
      </c>
      <c r="E3550" s="248">
        <v>6153.9306000000397</v>
      </c>
      <c r="F3550" s="248">
        <v>6263.10070000003</v>
      </c>
      <c r="G3550" s="248">
        <v>6352.8250999965203</v>
      </c>
      <c r="H3550" s="248">
        <v>6513.3553999999504</v>
      </c>
      <c r="I3550"/>
      <c r="J3550"/>
      <c r="K3550"/>
      <c r="L3550"/>
      <c r="M3550"/>
    </row>
    <row r="3551" spans="3:13" hidden="1" outlineLevel="1" x14ac:dyDescent="0.2">
      <c r="C3551" s="139">
        <v>6250</v>
      </c>
      <c r="D3551" s="248">
        <v>6220.0980999998201</v>
      </c>
      <c r="E3551" s="248">
        <v>6163.7926000000398</v>
      </c>
      <c r="F3551" s="248">
        <v>6273.1377000000302</v>
      </c>
      <c r="G3551" s="248">
        <v>6363.0060999965099</v>
      </c>
      <c r="H3551" s="248">
        <v>6523.7933999999505</v>
      </c>
      <c r="I3551"/>
      <c r="J3551"/>
      <c r="K3551"/>
      <c r="L3551"/>
      <c r="M3551"/>
    </row>
    <row r="3552" spans="3:13" hidden="1" outlineLevel="1" x14ac:dyDescent="0.2">
      <c r="C3552" s="139">
        <v>6260</v>
      </c>
      <c r="D3552" s="248">
        <v>6230.24509999982</v>
      </c>
      <c r="E3552" s="248">
        <v>6173.6546000000399</v>
      </c>
      <c r="F3552" s="248">
        <v>6283.1747000000296</v>
      </c>
      <c r="G3552" s="248">
        <v>6373.1870999965004</v>
      </c>
      <c r="H3552" s="248">
        <v>6534.2313999999496</v>
      </c>
      <c r="I3552"/>
      <c r="J3552"/>
      <c r="K3552"/>
      <c r="L3552"/>
      <c r="M3552"/>
    </row>
    <row r="3553" spans="3:13" hidden="1" outlineLevel="1" x14ac:dyDescent="0.2">
      <c r="C3553" s="139">
        <v>6270</v>
      </c>
      <c r="D3553" s="248">
        <v>6240.3920999998199</v>
      </c>
      <c r="E3553" s="248">
        <v>6183.5166000000399</v>
      </c>
      <c r="F3553" s="248">
        <v>6293.2117000000299</v>
      </c>
      <c r="G3553" s="248">
        <v>6383.3680999964899</v>
      </c>
      <c r="H3553" s="248">
        <v>6544.6693999999497</v>
      </c>
      <c r="I3553"/>
      <c r="J3553"/>
      <c r="K3553"/>
      <c r="L3553"/>
      <c r="M3553"/>
    </row>
    <row r="3554" spans="3:13" hidden="1" outlineLevel="1" x14ac:dyDescent="0.2">
      <c r="C3554" s="139">
        <v>6280</v>
      </c>
      <c r="D3554" s="248">
        <v>6250.5390999998199</v>
      </c>
      <c r="E3554" s="248">
        <v>6193.37860000004</v>
      </c>
      <c r="F3554" s="248">
        <v>6303.2487000000301</v>
      </c>
      <c r="G3554" s="248">
        <v>6393.5490999964804</v>
      </c>
      <c r="H3554" s="248">
        <v>6555.1073999999498</v>
      </c>
      <c r="I3554"/>
      <c r="J3554"/>
      <c r="K3554"/>
      <c r="L3554"/>
      <c r="M3554"/>
    </row>
    <row r="3555" spans="3:13" hidden="1" outlineLevel="1" x14ac:dyDescent="0.2">
      <c r="C3555" s="139">
        <v>6290</v>
      </c>
      <c r="D3555" s="248">
        <v>6260.6860999998198</v>
      </c>
      <c r="E3555" s="248">
        <v>6203.2406000000401</v>
      </c>
      <c r="F3555" s="248">
        <v>6313.2857000000304</v>
      </c>
      <c r="G3555" s="248">
        <v>6403.73009999647</v>
      </c>
      <c r="H3555" s="248">
        <v>6565.54539999995</v>
      </c>
      <c r="I3555"/>
      <c r="J3555"/>
      <c r="K3555"/>
      <c r="L3555"/>
      <c r="M3555"/>
    </row>
    <row r="3556" spans="3:13" hidden="1" outlineLevel="1" x14ac:dyDescent="0.2">
      <c r="C3556" s="139">
        <v>6300</v>
      </c>
      <c r="D3556" s="248">
        <v>6270.8330999998198</v>
      </c>
      <c r="E3556" s="248">
        <v>6213.1026000000402</v>
      </c>
      <c r="F3556" s="248">
        <v>6323.3227000000297</v>
      </c>
      <c r="G3556" s="248">
        <v>6413.9110999964596</v>
      </c>
      <c r="H3556" s="248">
        <v>6575.9833999999501</v>
      </c>
      <c r="I3556"/>
      <c r="J3556"/>
      <c r="K3556"/>
      <c r="L3556"/>
      <c r="M3556"/>
    </row>
    <row r="3557" spans="3:13" hidden="1" outlineLevel="1" x14ac:dyDescent="0.2">
      <c r="C3557" s="139">
        <v>6310</v>
      </c>
      <c r="D3557" s="248">
        <v>6280.9800999998197</v>
      </c>
      <c r="E3557" s="248">
        <v>6222.9646000000403</v>
      </c>
      <c r="F3557" s="248">
        <v>6333.35970000003</v>
      </c>
      <c r="G3557" s="248">
        <v>6424.0920999964501</v>
      </c>
      <c r="H3557" s="248">
        <v>6586.4213999999502</v>
      </c>
      <c r="I3557"/>
      <c r="J3557"/>
      <c r="K3557"/>
      <c r="L3557"/>
      <c r="M3557"/>
    </row>
    <row r="3558" spans="3:13" hidden="1" outlineLevel="1" x14ac:dyDescent="0.2">
      <c r="C3558" s="139">
        <v>6320</v>
      </c>
      <c r="D3558" s="248">
        <v>6291.1270999998196</v>
      </c>
      <c r="E3558" s="248">
        <v>6232.8266000000403</v>
      </c>
      <c r="F3558" s="248">
        <v>6343.3967000000303</v>
      </c>
      <c r="G3558" s="248">
        <v>6434.2730999964397</v>
      </c>
      <c r="H3558" s="248">
        <v>6596.8593999999503</v>
      </c>
      <c r="I3558"/>
      <c r="J3558"/>
      <c r="K3558"/>
      <c r="L3558"/>
      <c r="M3558"/>
    </row>
    <row r="3559" spans="3:13" hidden="1" outlineLevel="1" x14ac:dyDescent="0.2">
      <c r="C3559" s="139">
        <v>6330</v>
      </c>
      <c r="D3559" s="248">
        <v>6301.2740999998196</v>
      </c>
      <c r="E3559" s="248">
        <v>6242.6886000000404</v>
      </c>
      <c r="F3559" s="248">
        <v>6353.4337000000296</v>
      </c>
      <c r="G3559" s="248">
        <v>6444.4540999964302</v>
      </c>
      <c r="H3559" s="248">
        <v>6607.2973999999504</v>
      </c>
      <c r="I3559"/>
      <c r="J3559"/>
      <c r="K3559"/>
      <c r="L3559"/>
      <c r="M3559"/>
    </row>
    <row r="3560" spans="3:13" hidden="1" outlineLevel="1" x14ac:dyDescent="0.2">
      <c r="C3560" s="139">
        <v>6340</v>
      </c>
      <c r="D3560" s="248">
        <v>6311.4210999998204</v>
      </c>
      <c r="E3560" s="248">
        <v>6252.5506000000296</v>
      </c>
      <c r="F3560" s="248">
        <v>6363.4707000000299</v>
      </c>
      <c r="G3560" s="248">
        <v>6454.6350999964197</v>
      </c>
      <c r="H3560" s="248">
        <v>6617.7353999999495</v>
      </c>
      <c r="I3560"/>
      <c r="J3560"/>
      <c r="K3560"/>
      <c r="L3560"/>
      <c r="M3560"/>
    </row>
    <row r="3561" spans="3:13" hidden="1" outlineLevel="1" x14ac:dyDescent="0.2">
      <c r="C3561" s="139">
        <v>6350</v>
      </c>
      <c r="D3561" s="248">
        <v>6321.5680999998203</v>
      </c>
      <c r="E3561" s="248">
        <v>6262.4126000000297</v>
      </c>
      <c r="F3561" s="248">
        <v>6373.5077000000301</v>
      </c>
      <c r="G3561" s="248">
        <v>6464.8160999964102</v>
      </c>
      <c r="H3561" s="248">
        <v>6628.1733999999497</v>
      </c>
      <c r="I3561"/>
      <c r="J3561"/>
      <c r="K3561"/>
      <c r="L3561"/>
      <c r="M3561"/>
    </row>
    <row r="3562" spans="3:13" hidden="1" outlineLevel="1" x14ac:dyDescent="0.2">
      <c r="C3562" s="139">
        <v>6360</v>
      </c>
      <c r="D3562" s="248">
        <v>6331.7150999998203</v>
      </c>
      <c r="E3562" s="248">
        <v>6272.2746000000297</v>
      </c>
      <c r="F3562" s="248">
        <v>6383.5447000000304</v>
      </c>
      <c r="G3562" s="248">
        <v>6474.9970999963998</v>
      </c>
      <c r="H3562" s="248">
        <v>6638.6113999999498</v>
      </c>
      <c r="I3562"/>
      <c r="J3562"/>
      <c r="K3562"/>
      <c r="L3562"/>
      <c r="M3562"/>
    </row>
    <row r="3563" spans="3:13" hidden="1" outlineLevel="1" x14ac:dyDescent="0.2">
      <c r="C3563" s="139">
        <v>6370</v>
      </c>
      <c r="D3563" s="248">
        <v>6341.8620999998202</v>
      </c>
      <c r="E3563" s="248">
        <v>6282.1366000000298</v>
      </c>
      <c r="F3563" s="248">
        <v>6393.5817000000297</v>
      </c>
      <c r="G3563" s="248">
        <v>6485.1780999963903</v>
      </c>
      <c r="H3563" s="248">
        <v>6649.0493999999499</v>
      </c>
      <c r="I3563"/>
      <c r="J3563"/>
      <c r="K3563"/>
      <c r="L3563"/>
      <c r="M3563"/>
    </row>
    <row r="3564" spans="3:13" hidden="1" outlineLevel="1" x14ac:dyDescent="0.2">
      <c r="C3564" s="139">
        <v>6380</v>
      </c>
      <c r="D3564" s="248">
        <v>6352.0090999998201</v>
      </c>
      <c r="E3564" s="248">
        <v>6291.9986000000299</v>
      </c>
      <c r="F3564" s="248">
        <v>6403.61870000002</v>
      </c>
      <c r="G3564" s="248">
        <v>6495.3590999963799</v>
      </c>
      <c r="H3564" s="248">
        <v>6659.48739999995</v>
      </c>
      <c r="I3564"/>
      <c r="J3564"/>
      <c r="K3564"/>
      <c r="L3564"/>
      <c r="M3564"/>
    </row>
    <row r="3565" spans="3:13" hidden="1" outlineLevel="1" x14ac:dyDescent="0.2">
      <c r="C3565" s="139">
        <v>6390</v>
      </c>
      <c r="D3565" s="248">
        <v>6362.1560999998201</v>
      </c>
      <c r="E3565" s="248">
        <v>6301.86060000003</v>
      </c>
      <c r="F3565" s="248">
        <v>6413.6557000000203</v>
      </c>
      <c r="G3565" s="248">
        <v>6505.5400999963704</v>
      </c>
      <c r="H3565" s="248">
        <v>6669.9253999999501</v>
      </c>
      <c r="I3565"/>
      <c r="J3565"/>
      <c r="K3565"/>
      <c r="L3565"/>
      <c r="M3565"/>
    </row>
    <row r="3566" spans="3:13" hidden="1" outlineLevel="1" x14ac:dyDescent="0.2">
      <c r="C3566" s="139">
        <v>6400</v>
      </c>
      <c r="D3566" s="248">
        <v>6372.30309999982</v>
      </c>
      <c r="E3566" s="248">
        <v>6311.7226000000301</v>
      </c>
      <c r="F3566" s="248">
        <v>6423.6927000000196</v>
      </c>
      <c r="G3566" s="248">
        <v>6515.72109999636</v>
      </c>
      <c r="H3566" s="248">
        <v>6680.3633999999502</v>
      </c>
      <c r="I3566"/>
      <c r="J3566"/>
      <c r="K3566"/>
      <c r="L3566"/>
      <c r="M3566"/>
    </row>
    <row r="3567" spans="3:13" hidden="1" outlineLevel="1" x14ac:dyDescent="0.2">
      <c r="C3567" s="139">
        <v>6410</v>
      </c>
      <c r="D3567" s="248">
        <v>6382.4500999998199</v>
      </c>
      <c r="E3567" s="248">
        <v>6321.5846000000302</v>
      </c>
      <c r="F3567" s="248">
        <v>6433.7297000000199</v>
      </c>
      <c r="G3567" s="248">
        <v>6525.9020999963504</v>
      </c>
      <c r="H3567" s="248">
        <v>6690.8013999999503</v>
      </c>
      <c r="I3567"/>
      <c r="J3567"/>
      <c r="K3567"/>
      <c r="L3567"/>
      <c r="M3567"/>
    </row>
    <row r="3568" spans="3:13" hidden="1" outlineLevel="1" x14ac:dyDescent="0.2">
      <c r="C3568" s="139">
        <v>6420</v>
      </c>
      <c r="D3568" s="248">
        <v>6392.5970999998199</v>
      </c>
      <c r="E3568" s="248">
        <v>6331.4466000000302</v>
      </c>
      <c r="F3568" s="248">
        <v>6443.7667000000201</v>
      </c>
      <c r="G3568" s="248">
        <v>6536.08309999634</v>
      </c>
      <c r="H3568" s="248">
        <v>6701.2393999999504</v>
      </c>
      <c r="I3568"/>
      <c r="J3568"/>
      <c r="K3568"/>
      <c r="L3568"/>
      <c r="M3568"/>
    </row>
    <row r="3569" spans="3:13" hidden="1" outlineLevel="1" x14ac:dyDescent="0.2">
      <c r="C3569" s="139">
        <v>6430</v>
      </c>
      <c r="D3569" s="248">
        <v>6402.7440999998198</v>
      </c>
      <c r="E3569" s="248">
        <v>6341.3086000000303</v>
      </c>
      <c r="F3569" s="248">
        <v>6453.8037000000204</v>
      </c>
      <c r="G3569" s="248">
        <v>6546.2640999963296</v>
      </c>
      <c r="H3569" s="248">
        <v>6711.6773999999496</v>
      </c>
      <c r="I3569"/>
      <c r="J3569"/>
      <c r="K3569"/>
      <c r="L3569"/>
      <c r="M3569"/>
    </row>
    <row r="3570" spans="3:13" hidden="1" outlineLevel="1" x14ac:dyDescent="0.2">
      <c r="C3570" s="139">
        <v>6440</v>
      </c>
      <c r="D3570" s="248">
        <v>6412.8910999998197</v>
      </c>
      <c r="E3570" s="248">
        <v>6351.1706000000304</v>
      </c>
      <c r="F3570" s="248">
        <v>6463.8407000000198</v>
      </c>
      <c r="G3570" s="248">
        <v>6556.4450999963201</v>
      </c>
      <c r="H3570" s="248">
        <v>6722.1153999999597</v>
      </c>
      <c r="I3570"/>
      <c r="J3570"/>
      <c r="K3570"/>
      <c r="L3570"/>
      <c r="M3570"/>
    </row>
    <row r="3571" spans="3:13" hidden="1" outlineLevel="1" x14ac:dyDescent="0.2">
      <c r="C3571" s="139">
        <v>6450</v>
      </c>
      <c r="D3571" s="248">
        <v>6423.0380999998197</v>
      </c>
      <c r="E3571" s="248">
        <v>6361.0326000000296</v>
      </c>
      <c r="F3571" s="248">
        <v>6473.87770000002</v>
      </c>
      <c r="G3571" s="248">
        <v>6566.6260999963097</v>
      </c>
      <c r="H3571" s="248">
        <v>6732.5533999999598</v>
      </c>
      <c r="I3571"/>
      <c r="J3571"/>
      <c r="K3571"/>
      <c r="L3571"/>
      <c r="M3571"/>
    </row>
    <row r="3572" spans="3:13" hidden="1" outlineLevel="1" x14ac:dyDescent="0.2">
      <c r="C3572" s="139">
        <v>6460</v>
      </c>
      <c r="D3572" s="248">
        <v>6433.1850999998196</v>
      </c>
      <c r="E3572" s="248">
        <v>6370.8946000000296</v>
      </c>
      <c r="F3572" s="248">
        <v>6483.9147000000203</v>
      </c>
      <c r="G3572" s="248">
        <v>6576.8070999962902</v>
      </c>
      <c r="H3572" s="248">
        <v>6742.9913999999599</v>
      </c>
      <c r="I3572"/>
      <c r="J3572"/>
      <c r="K3572"/>
      <c r="L3572"/>
      <c r="M3572"/>
    </row>
    <row r="3573" spans="3:13" hidden="1" outlineLevel="1" x14ac:dyDescent="0.2">
      <c r="C3573" s="139">
        <v>6470</v>
      </c>
      <c r="D3573" s="248">
        <v>6443.3320999998195</v>
      </c>
      <c r="E3573" s="248">
        <v>6380.7566000000297</v>
      </c>
      <c r="F3573" s="248">
        <v>6493.9517000000196</v>
      </c>
      <c r="G3573" s="248">
        <v>6586.9880999962797</v>
      </c>
      <c r="H3573" s="248">
        <v>6753.42939999996</v>
      </c>
      <c r="I3573"/>
      <c r="J3573"/>
      <c r="K3573"/>
      <c r="L3573"/>
      <c r="M3573"/>
    </row>
    <row r="3574" spans="3:13" hidden="1" outlineLevel="1" x14ac:dyDescent="0.2">
      <c r="C3574" s="139">
        <v>6480</v>
      </c>
      <c r="D3574" s="248">
        <v>6453.4790999998204</v>
      </c>
      <c r="E3574" s="248">
        <v>6390.6186000000298</v>
      </c>
      <c r="F3574" s="248">
        <v>6503.9887000000199</v>
      </c>
      <c r="G3574" s="248">
        <v>6597.1690999962702</v>
      </c>
      <c r="H3574" s="248">
        <v>6763.8673999999601</v>
      </c>
      <c r="I3574"/>
      <c r="J3574"/>
      <c r="K3574"/>
      <c r="L3574"/>
      <c r="M3574"/>
    </row>
    <row r="3575" spans="3:13" hidden="1" outlineLevel="1" x14ac:dyDescent="0.2">
      <c r="C3575" s="139">
        <v>6490</v>
      </c>
      <c r="D3575" s="248">
        <v>6463.6260999998203</v>
      </c>
      <c r="E3575" s="248">
        <v>6400.4806000000299</v>
      </c>
      <c r="F3575" s="248">
        <v>6514.0257000000202</v>
      </c>
      <c r="G3575" s="248">
        <v>6607.3500999962598</v>
      </c>
      <c r="H3575" s="248">
        <v>6774.3053999999602</v>
      </c>
      <c r="I3575"/>
      <c r="J3575"/>
      <c r="K3575"/>
      <c r="L3575"/>
      <c r="M3575"/>
    </row>
    <row r="3576" spans="3:13" hidden="1" outlineLevel="1" x14ac:dyDescent="0.2">
      <c r="C3576" s="139">
        <v>6500</v>
      </c>
      <c r="D3576" s="248">
        <v>6473.7730999998203</v>
      </c>
      <c r="E3576" s="248">
        <v>6410.34260000003</v>
      </c>
      <c r="F3576" s="248">
        <v>6524.0627000000204</v>
      </c>
      <c r="G3576" s="248">
        <v>6617.5310999962503</v>
      </c>
      <c r="H3576" s="248">
        <v>6784.7433999999603</v>
      </c>
      <c r="I3576"/>
      <c r="J3576"/>
      <c r="K3576"/>
      <c r="L3576"/>
      <c r="M3576"/>
    </row>
    <row r="3577" spans="3:13" hidden="1" outlineLevel="1" x14ac:dyDescent="0.2">
      <c r="C3577" s="139">
        <v>6510</v>
      </c>
      <c r="D3577" s="248">
        <v>6483.9200999998202</v>
      </c>
      <c r="E3577" s="248">
        <v>6420.20460000003</v>
      </c>
      <c r="F3577" s="248">
        <v>6534.0997000000198</v>
      </c>
      <c r="G3577" s="248">
        <v>6627.7120999962399</v>
      </c>
      <c r="H3577" s="248">
        <v>6795.1813999999604</v>
      </c>
      <c r="I3577"/>
      <c r="J3577"/>
      <c r="K3577"/>
      <c r="L3577"/>
      <c r="M3577"/>
    </row>
    <row r="3578" spans="3:13" hidden="1" outlineLevel="1" x14ac:dyDescent="0.2">
      <c r="C3578" s="139">
        <v>6520</v>
      </c>
      <c r="D3578" s="248">
        <v>6494.0670999998201</v>
      </c>
      <c r="E3578" s="248">
        <v>6430.0666000000301</v>
      </c>
      <c r="F3578" s="248">
        <v>6544.13670000002</v>
      </c>
      <c r="G3578" s="248">
        <v>6637.8930999962304</v>
      </c>
      <c r="H3578" s="248">
        <v>6805.6193999999596</v>
      </c>
      <c r="I3578"/>
      <c r="J3578"/>
      <c r="K3578"/>
      <c r="L3578"/>
      <c r="M3578"/>
    </row>
    <row r="3579" spans="3:13" hidden="1" outlineLevel="1" x14ac:dyDescent="0.2">
      <c r="C3579" s="139">
        <v>6530</v>
      </c>
      <c r="D3579" s="248">
        <v>6504.2140999998201</v>
      </c>
      <c r="E3579" s="248">
        <v>6439.9286000000302</v>
      </c>
      <c r="F3579" s="248">
        <v>6554.1737000000203</v>
      </c>
      <c r="G3579" s="248">
        <v>6648.07409999622</v>
      </c>
      <c r="H3579" s="248">
        <v>6816.0573999999597</v>
      </c>
      <c r="I3579"/>
      <c r="J3579"/>
      <c r="K3579"/>
      <c r="L3579"/>
      <c r="M3579"/>
    </row>
    <row r="3580" spans="3:13" hidden="1" outlineLevel="1" x14ac:dyDescent="0.2">
      <c r="C3580" s="139">
        <v>6540</v>
      </c>
      <c r="D3580" s="248">
        <v>6514.36109999982</v>
      </c>
      <c r="E3580" s="248">
        <v>6449.7906000000303</v>
      </c>
      <c r="F3580" s="248">
        <v>6564.2107000000196</v>
      </c>
      <c r="G3580" s="248">
        <v>6658.2550999962104</v>
      </c>
      <c r="H3580" s="248">
        <v>6826.4953999999598</v>
      </c>
      <c r="I3580"/>
      <c r="J3580"/>
      <c r="K3580"/>
      <c r="L3580"/>
      <c r="M3580"/>
    </row>
    <row r="3581" spans="3:13" hidden="1" outlineLevel="1" x14ac:dyDescent="0.2">
      <c r="C3581" s="139">
        <v>6550</v>
      </c>
      <c r="D3581" s="248">
        <v>6524.5080999998199</v>
      </c>
      <c r="E3581" s="248">
        <v>6459.6526000000304</v>
      </c>
      <c r="F3581" s="248">
        <v>6574.2477000000199</v>
      </c>
      <c r="G3581" s="248">
        <v>6668.4360999962</v>
      </c>
      <c r="H3581" s="248">
        <v>6836.9333999999599</v>
      </c>
      <c r="I3581"/>
      <c r="J3581"/>
      <c r="K3581"/>
      <c r="L3581"/>
      <c r="M3581"/>
    </row>
    <row r="3582" spans="3:13" hidden="1" outlineLevel="1" x14ac:dyDescent="0.2">
      <c r="C3582" s="139">
        <v>6560</v>
      </c>
      <c r="D3582" s="248">
        <v>6534.6550999998199</v>
      </c>
      <c r="E3582" s="248">
        <v>6469.5146000000304</v>
      </c>
      <c r="F3582" s="248">
        <v>6584.2847000000202</v>
      </c>
      <c r="G3582" s="248">
        <v>6678.6170999961896</v>
      </c>
      <c r="H3582" s="248">
        <v>6847.37139999996</v>
      </c>
      <c r="I3582"/>
      <c r="J3582"/>
      <c r="K3582"/>
      <c r="L3582"/>
      <c r="M3582"/>
    </row>
    <row r="3583" spans="3:13" hidden="1" outlineLevel="1" x14ac:dyDescent="0.2">
      <c r="C3583" s="139">
        <v>6570</v>
      </c>
      <c r="D3583" s="248">
        <v>6544.8020999998198</v>
      </c>
      <c r="E3583" s="248">
        <v>6479.3766000000296</v>
      </c>
      <c r="F3583" s="248">
        <v>6594.3217000000204</v>
      </c>
      <c r="G3583" s="248">
        <v>6688.7980999961801</v>
      </c>
      <c r="H3583" s="248">
        <v>6857.8093999999601</v>
      </c>
      <c r="I3583"/>
      <c r="J3583"/>
      <c r="K3583"/>
      <c r="L3583"/>
      <c r="M3583"/>
    </row>
    <row r="3584" spans="3:13" hidden="1" outlineLevel="1" x14ac:dyDescent="0.2">
      <c r="C3584" s="139">
        <v>6580</v>
      </c>
      <c r="D3584" s="248">
        <v>6554.9490999998197</v>
      </c>
      <c r="E3584" s="248">
        <v>6489.2386000000297</v>
      </c>
      <c r="F3584" s="248">
        <v>6604.3587000000198</v>
      </c>
      <c r="G3584" s="248">
        <v>6698.9790999961697</v>
      </c>
      <c r="H3584" s="248">
        <v>6868.2473999999602</v>
      </c>
      <c r="I3584"/>
      <c r="J3584"/>
      <c r="K3584"/>
      <c r="L3584"/>
      <c r="M3584"/>
    </row>
    <row r="3585" spans="3:13" hidden="1" outlineLevel="1" x14ac:dyDescent="0.2">
      <c r="C3585" s="139">
        <v>6590</v>
      </c>
      <c r="D3585" s="248">
        <v>6565.0960999998197</v>
      </c>
      <c r="E3585" s="248">
        <v>6499.1006000000298</v>
      </c>
      <c r="F3585" s="248">
        <v>6614.39570000002</v>
      </c>
      <c r="G3585" s="248">
        <v>6709.1600999961602</v>
      </c>
      <c r="H3585" s="248">
        <v>6878.6853999999603</v>
      </c>
      <c r="I3585"/>
      <c r="J3585"/>
      <c r="K3585"/>
      <c r="L3585"/>
      <c r="M3585"/>
    </row>
    <row r="3586" spans="3:13" hidden="1" outlineLevel="1" x14ac:dyDescent="0.2">
      <c r="C3586" s="139">
        <v>6600</v>
      </c>
      <c r="D3586" s="248">
        <v>6575.2430999998196</v>
      </c>
      <c r="E3586" s="248">
        <v>6508.9626000000299</v>
      </c>
      <c r="F3586" s="248">
        <v>6624.4327000000203</v>
      </c>
      <c r="G3586" s="248">
        <v>6719.3410999961498</v>
      </c>
      <c r="H3586" s="248">
        <v>6889.1233999999604</v>
      </c>
      <c r="I3586"/>
      <c r="J3586"/>
      <c r="K3586"/>
      <c r="L3586"/>
      <c r="M3586"/>
    </row>
    <row r="3587" spans="3:13" hidden="1" outlineLevel="1" x14ac:dyDescent="0.2">
      <c r="C3587" s="139">
        <v>6610</v>
      </c>
      <c r="D3587" s="248">
        <v>6585.3900999998204</v>
      </c>
      <c r="E3587" s="248">
        <v>6518.8246000000199</v>
      </c>
      <c r="F3587" s="248">
        <v>6634.4697000000197</v>
      </c>
      <c r="G3587" s="248">
        <v>6729.5220999961402</v>
      </c>
      <c r="H3587" s="248">
        <v>6899.5613999999596</v>
      </c>
      <c r="I3587"/>
      <c r="J3587"/>
      <c r="K3587"/>
      <c r="L3587"/>
      <c r="M3587"/>
    </row>
    <row r="3588" spans="3:13" hidden="1" outlineLevel="1" x14ac:dyDescent="0.2">
      <c r="C3588" s="139">
        <v>6620</v>
      </c>
      <c r="D3588" s="248">
        <v>6595.5370999998204</v>
      </c>
      <c r="E3588" s="248">
        <v>6528.68660000002</v>
      </c>
      <c r="F3588" s="248">
        <v>6644.5067000000199</v>
      </c>
      <c r="G3588" s="248">
        <v>6739.7030999961298</v>
      </c>
      <c r="H3588" s="248">
        <v>6909.9993999999597</v>
      </c>
      <c r="I3588"/>
      <c r="J3588"/>
      <c r="K3588"/>
      <c r="L3588"/>
      <c r="M3588"/>
    </row>
    <row r="3589" spans="3:13" hidden="1" outlineLevel="1" x14ac:dyDescent="0.2">
      <c r="C3589" s="139">
        <v>6630</v>
      </c>
      <c r="D3589" s="248">
        <v>6605.6840999998203</v>
      </c>
      <c r="E3589" s="248">
        <v>6538.5486000000201</v>
      </c>
      <c r="F3589" s="248">
        <v>6654.5437000000202</v>
      </c>
      <c r="G3589" s="248">
        <v>6749.8840999961203</v>
      </c>
      <c r="H3589" s="248">
        <v>6920.4373999999598</v>
      </c>
      <c r="I3589"/>
      <c r="J3589"/>
      <c r="K3589"/>
      <c r="L3589"/>
      <c r="M3589"/>
    </row>
    <row r="3590" spans="3:13" hidden="1" outlineLevel="1" x14ac:dyDescent="0.2">
      <c r="C3590" s="139">
        <v>6640</v>
      </c>
      <c r="D3590" s="248">
        <v>6615.8310999998203</v>
      </c>
      <c r="E3590" s="248">
        <v>6548.4106000000202</v>
      </c>
      <c r="F3590" s="248">
        <v>6664.5807000000204</v>
      </c>
      <c r="G3590" s="248">
        <v>6760.0650999961099</v>
      </c>
      <c r="H3590" s="248">
        <v>6930.8753999999599</v>
      </c>
      <c r="I3590"/>
      <c r="J3590"/>
      <c r="K3590"/>
      <c r="L3590"/>
      <c r="M3590"/>
    </row>
    <row r="3591" spans="3:13" hidden="1" outlineLevel="1" x14ac:dyDescent="0.2">
      <c r="C3591" s="139">
        <v>6650</v>
      </c>
      <c r="D3591" s="248">
        <v>6625.9780999998202</v>
      </c>
      <c r="E3591" s="248">
        <v>6558.2726000000202</v>
      </c>
      <c r="F3591" s="248">
        <v>6674.6177000000198</v>
      </c>
      <c r="G3591" s="248">
        <v>6770.2460999961004</v>
      </c>
      <c r="H3591" s="248">
        <v>6941.31339999996</v>
      </c>
      <c r="I3591"/>
      <c r="J3591"/>
      <c r="K3591"/>
      <c r="L3591"/>
      <c r="M3591"/>
    </row>
    <row r="3592" spans="3:13" hidden="1" outlineLevel="1" x14ac:dyDescent="0.2">
      <c r="C3592" s="139">
        <v>6660</v>
      </c>
      <c r="D3592" s="248">
        <v>6636.1250999998201</v>
      </c>
      <c r="E3592" s="248">
        <v>6568.1346000000203</v>
      </c>
      <c r="F3592" s="248">
        <v>6684.6547000000201</v>
      </c>
      <c r="G3592" s="248">
        <v>6780.42709999609</v>
      </c>
      <c r="H3592" s="248">
        <v>6951.7513999999601</v>
      </c>
      <c r="I3592"/>
      <c r="J3592"/>
      <c r="K3592"/>
      <c r="L3592"/>
      <c r="M3592"/>
    </row>
    <row r="3593" spans="3:13" hidden="1" outlineLevel="1" x14ac:dyDescent="0.2">
      <c r="C3593" s="139">
        <v>6670</v>
      </c>
      <c r="D3593" s="248">
        <v>6646.2720999998201</v>
      </c>
      <c r="E3593" s="248">
        <v>6577.9966000000204</v>
      </c>
      <c r="F3593" s="248">
        <v>6694.6917000000203</v>
      </c>
      <c r="G3593" s="248">
        <v>6790.6080999960795</v>
      </c>
      <c r="H3593" s="248">
        <v>6962.1893999999602</v>
      </c>
      <c r="I3593"/>
      <c r="J3593"/>
      <c r="K3593"/>
      <c r="L3593"/>
      <c r="M3593"/>
    </row>
    <row r="3594" spans="3:13" hidden="1" outlineLevel="1" x14ac:dyDescent="0.2">
      <c r="C3594" s="139">
        <v>6680</v>
      </c>
      <c r="D3594" s="248">
        <v>6656.41909999982</v>
      </c>
      <c r="E3594" s="248">
        <v>6587.8586000000196</v>
      </c>
      <c r="F3594" s="248">
        <v>6704.7287000000197</v>
      </c>
      <c r="G3594" s="248">
        <v>6800.78909999607</v>
      </c>
      <c r="H3594" s="248">
        <v>6972.6273999999603</v>
      </c>
      <c r="I3594"/>
      <c r="J3594"/>
      <c r="K3594"/>
      <c r="L3594"/>
      <c r="M3594"/>
    </row>
    <row r="3595" spans="3:13" hidden="1" outlineLevel="1" x14ac:dyDescent="0.2">
      <c r="C3595" s="139">
        <v>6690</v>
      </c>
      <c r="D3595" s="248">
        <v>6666.5660999998199</v>
      </c>
      <c r="E3595" s="248">
        <v>6597.7206000000197</v>
      </c>
      <c r="F3595" s="248">
        <v>6714.7657000000199</v>
      </c>
      <c r="G3595" s="248">
        <v>6810.9700999960596</v>
      </c>
      <c r="H3595" s="248">
        <v>6983.0653999999604</v>
      </c>
      <c r="I3595"/>
      <c r="J3595"/>
      <c r="K3595"/>
      <c r="L3595"/>
      <c r="M3595"/>
    </row>
    <row r="3596" spans="3:13" hidden="1" outlineLevel="1" x14ac:dyDescent="0.2">
      <c r="C3596" s="139">
        <v>6700</v>
      </c>
      <c r="D3596" s="248">
        <v>6676.7130999998199</v>
      </c>
      <c r="E3596" s="248">
        <v>6607.5826000000197</v>
      </c>
      <c r="F3596" s="248">
        <v>6724.8027000000202</v>
      </c>
      <c r="G3596" s="248">
        <v>6821.1510999960401</v>
      </c>
      <c r="H3596" s="248">
        <v>6993.5033999999596</v>
      </c>
      <c r="I3596"/>
      <c r="J3596"/>
      <c r="K3596"/>
      <c r="L3596"/>
      <c r="M3596"/>
    </row>
    <row r="3597" spans="3:13" hidden="1" outlineLevel="1" x14ac:dyDescent="0.2">
      <c r="C3597" s="139">
        <v>6710</v>
      </c>
      <c r="D3597" s="248">
        <v>6686.8600999998198</v>
      </c>
      <c r="E3597" s="248">
        <v>6617.4446000000198</v>
      </c>
      <c r="F3597" s="248">
        <v>6734.8397000000195</v>
      </c>
      <c r="G3597" s="248">
        <v>6831.3320999960297</v>
      </c>
      <c r="H3597" s="248">
        <v>7003.9413999999597</v>
      </c>
      <c r="I3597"/>
      <c r="J3597"/>
      <c r="K3597"/>
      <c r="L3597"/>
      <c r="M3597"/>
    </row>
    <row r="3598" spans="3:13" hidden="1" outlineLevel="1" x14ac:dyDescent="0.2">
      <c r="C3598" s="139">
        <v>6720</v>
      </c>
      <c r="D3598" s="248">
        <v>6697.0070999998197</v>
      </c>
      <c r="E3598" s="248">
        <v>6627.3066000000199</v>
      </c>
      <c r="F3598" s="248">
        <v>6744.8767000000198</v>
      </c>
      <c r="G3598" s="248">
        <v>6841.5130999960202</v>
      </c>
      <c r="H3598" s="248">
        <v>7014.3793999999598</v>
      </c>
      <c r="I3598"/>
      <c r="J3598"/>
      <c r="K3598"/>
      <c r="L3598"/>
      <c r="M3598"/>
    </row>
    <row r="3599" spans="3:13" hidden="1" outlineLevel="1" x14ac:dyDescent="0.2">
      <c r="C3599" s="139">
        <v>6730</v>
      </c>
      <c r="D3599" s="248">
        <v>6707.1540999998197</v>
      </c>
      <c r="E3599" s="248">
        <v>6637.16860000002</v>
      </c>
      <c r="F3599" s="248">
        <v>6754.9137000000201</v>
      </c>
      <c r="G3599" s="248">
        <v>6851.6940999960098</v>
      </c>
      <c r="H3599" s="248">
        <v>7024.8173999999599</v>
      </c>
      <c r="I3599"/>
      <c r="J3599"/>
      <c r="K3599"/>
      <c r="L3599"/>
      <c r="M3599"/>
    </row>
    <row r="3600" spans="3:13" hidden="1" outlineLevel="1" x14ac:dyDescent="0.2">
      <c r="C3600" s="139">
        <v>6740</v>
      </c>
      <c r="D3600" s="248">
        <v>6717.3010999998196</v>
      </c>
      <c r="E3600" s="248">
        <v>6647.0306000000201</v>
      </c>
      <c r="F3600" s="248">
        <v>6764.9507000000203</v>
      </c>
      <c r="G3600" s="248">
        <v>6861.8750999960002</v>
      </c>
      <c r="H3600" s="248">
        <v>7035.25539999996</v>
      </c>
      <c r="I3600"/>
      <c r="J3600"/>
      <c r="K3600"/>
      <c r="L3600"/>
      <c r="M3600"/>
    </row>
    <row r="3601" spans="3:13" hidden="1" outlineLevel="1" x14ac:dyDescent="0.2">
      <c r="C3601" s="139">
        <v>6750</v>
      </c>
      <c r="D3601" s="248">
        <v>6727.4480999998204</v>
      </c>
      <c r="E3601" s="248">
        <v>6656.8926000000201</v>
      </c>
      <c r="F3601" s="248">
        <v>6774.9877000000197</v>
      </c>
      <c r="G3601" s="248">
        <v>6872.0560999959898</v>
      </c>
      <c r="H3601" s="248">
        <v>7045.6933999999601</v>
      </c>
      <c r="I3601"/>
      <c r="J3601"/>
      <c r="K3601"/>
      <c r="L3601"/>
      <c r="M3601"/>
    </row>
    <row r="3602" spans="3:13" hidden="1" outlineLevel="1" x14ac:dyDescent="0.2">
      <c r="C3602" s="139">
        <v>6760</v>
      </c>
      <c r="D3602" s="248">
        <v>6737.5950999998204</v>
      </c>
      <c r="E3602" s="248">
        <v>6666.7546000000202</v>
      </c>
      <c r="F3602" s="248">
        <v>6785.0247000000199</v>
      </c>
      <c r="G3602" s="248">
        <v>6882.2370999959803</v>
      </c>
      <c r="H3602" s="248">
        <v>7056.1313999999602</v>
      </c>
      <c r="I3602"/>
      <c r="J3602"/>
      <c r="K3602"/>
      <c r="L3602"/>
      <c r="M3602"/>
    </row>
    <row r="3603" spans="3:13" hidden="1" outlineLevel="1" x14ac:dyDescent="0.2">
      <c r="C3603" s="139">
        <v>6770</v>
      </c>
      <c r="D3603" s="248">
        <v>6747.7420999998203</v>
      </c>
      <c r="E3603" s="248">
        <v>6676.6166000000203</v>
      </c>
      <c r="F3603" s="248">
        <v>6795.0617000000202</v>
      </c>
      <c r="G3603" s="248">
        <v>6892.4180999959699</v>
      </c>
      <c r="H3603" s="248">
        <v>7066.5693999999603</v>
      </c>
      <c r="I3603"/>
      <c r="J3603"/>
      <c r="K3603"/>
      <c r="L3603"/>
      <c r="M3603"/>
    </row>
    <row r="3604" spans="3:13" hidden="1" outlineLevel="1" x14ac:dyDescent="0.2">
      <c r="C3604" s="139">
        <v>6780</v>
      </c>
      <c r="D3604" s="248">
        <v>6757.8890999998202</v>
      </c>
      <c r="E3604" s="248">
        <v>6686.4786000000204</v>
      </c>
      <c r="F3604" s="248">
        <v>6805.0987000000196</v>
      </c>
      <c r="G3604" s="248">
        <v>6902.5990999959604</v>
      </c>
      <c r="H3604" s="248">
        <v>7077.0073999999604</v>
      </c>
      <c r="I3604"/>
      <c r="J3604"/>
      <c r="K3604"/>
      <c r="L3604"/>
      <c r="M3604"/>
    </row>
    <row r="3605" spans="3:13" hidden="1" outlineLevel="1" x14ac:dyDescent="0.2">
      <c r="C3605" s="139">
        <v>6790</v>
      </c>
      <c r="D3605" s="248">
        <v>6768.0360999998202</v>
      </c>
      <c r="E3605" s="248">
        <v>6696.3406000000195</v>
      </c>
      <c r="F3605" s="248">
        <v>6815.1357000000198</v>
      </c>
      <c r="G3605" s="248">
        <v>6912.78009999595</v>
      </c>
      <c r="H3605" s="248">
        <v>7087.4453999999596</v>
      </c>
      <c r="I3605"/>
      <c r="J3605"/>
      <c r="K3605"/>
      <c r="L3605"/>
      <c r="M3605"/>
    </row>
    <row r="3606" spans="3:13" hidden="1" outlineLevel="1" x14ac:dyDescent="0.2">
      <c r="C3606" s="139">
        <v>6800</v>
      </c>
      <c r="D3606" s="248">
        <v>6778.1830999998201</v>
      </c>
      <c r="E3606" s="248">
        <v>6706.2026000000196</v>
      </c>
      <c r="F3606" s="248">
        <v>6825.1727000000201</v>
      </c>
      <c r="G3606" s="248">
        <v>6922.9610999959395</v>
      </c>
      <c r="H3606" s="248">
        <v>7097.8833999999597</v>
      </c>
      <c r="I3606"/>
      <c r="J3606"/>
      <c r="K3606"/>
      <c r="L3606"/>
      <c r="M3606"/>
    </row>
    <row r="3607" spans="3:13" hidden="1" outlineLevel="1" x14ac:dyDescent="0.2">
      <c r="C3607" s="139">
        <v>6810</v>
      </c>
      <c r="D3607" s="248">
        <v>6788.33009999982</v>
      </c>
      <c r="E3607" s="248">
        <v>6716.0646000000197</v>
      </c>
      <c r="F3607" s="248">
        <v>6835.2097000000203</v>
      </c>
      <c r="G3607" s="248">
        <v>6933.14209999593</v>
      </c>
      <c r="H3607" s="248">
        <v>7108.3213999999598</v>
      </c>
      <c r="I3607"/>
      <c r="J3607"/>
      <c r="K3607"/>
      <c r="L3607"/>
      <c r="M3607"/>
    </row>
    <row r="3608" spans="3:13" hidden="1" outlineLevel="1" x14ac:dyDescent="0.2">
      <c r="C3608" s="139">
        <v>6820</v>
      </c>
      <c r="D3608" s="248">
        <v>6798.47709999981</v>
      </c>
      <c r="E3608" s="248">
        <v>6725.9266000000198</v>
      </c>
      <c r="F3608" s="248">
        <v>6845.2467000000197</v>
      </c>
      <c r="G3608" s="248">
        <v>6943.3230999959196</v>
      </c>
      <c r="H3608" s="248">
        <v>7118.7593999999599</v>
      </c>
      <c r="I3608"/>
      <c r="J3608"/>
      <c r="K3608"/>
      <c r="L3608"/>
      <c r="M3608"/>
    </row>
    <row r="3609" spans="3:13" hidden="1" outlineLevel="1" x14ac:dyDescent="0.2">
      <c r="C3609" s="139">
        <v>6830</v>
      </c>
      <c r="D3609" s="248">
        <v>6808.6240999998099</v>
      </c>
      <c r="E3609" s="248">
        <v>6735.7886000000199</v>
      </c>
      <c r="F3609" s="248">
        <v>6855.28370000002</v>
      </c>
      <c r="G3609" s="248">
        <v>6953.5040999959101</v>
      </c>
      <c r="H3609" s="248">
        <v>7129.19739999996</v>
      </c>
      <c r="I3609"/>
      <c r="J3609"/>
      <c r="K3609"/>
      <c r="L3609"/>
      <c r="M3609"/>
    </row>
    <row r="3610" spans="3:13" hidden="1" outlineLevel="1" x14ac:dyDescent="0.2">
      <c r="C3610" s="139">
        <v>6840</v>
      </c>
      <c r="D3610" s="248">
        <v>6818.7710999998098</v>
      </c>
      <c r="E3610" s="248">
        <v>6745.6506000000199</v>
      </c>
      <c r="F3610" s="248">
        <v>6865.3207000000202</v>
      </c>
      <c r="G3610" s="248">
        <v>6963.6850999958997</v>
      </c>
      <c r="H3610" s="248">
        <v>7139.6353999999601</v>
      </c>
      <c r="I3610"/>
      <c r="J3610"/>
      <c r="K3610"/>
      <c r="L3610"/>
      <c r="M3610"/>
    </row>
    <row r="3611" spans="3:13" hidden="1" outlineLevel="1" x14ac:dyDescent="0.2">
      <c r="C3611" s="139">
        <v>6850</v>
      </c>
      <c r="D3611" s="248">
        <v>6828.9180999998098</v>
      </c>
      <c r="E3611" s="248">
        <v>6755.51260000002</v>
      </c>
      <c r="F3611" s="248">
        <v>6875.3577000000196</v>
      </c>
      <c r="G3611" s="248">
        <v>6973.8660999958902</v>
      </c>
      <c r="H3611" s="248">
        <v>7150.0733999999602</v>
      </c>
      <c r="I3611"/>
      <c r="J3611"/>
      <c r="K3611"/>
      <c r="L3611"/>
      <c r="M3611"/>
    </row>
    <row r="3612" spans="3:13" hidden="1" outlineLevel="1" x14ac:dyDescent="0.2">
      <c r="C3612" s="139">
        <v>6860</v>
      </c>
      <c r="D3612" s="248">
        <v>6839.0650999998097</v>
      </c>
      <c r="E3612" s="248">
        <v>6765.3746000000201</v>
      </c>
      <c r="F3612" s="248">
        <v>6885.3947000000198</v>
      </c>
      <c r="G3612" s="248">
        <v>6984.0470999958798</v>
      </c>
      <c r="H3612" s="248">
        <v>7160.5113999999603</v>
      </c>
      <c r="I3612"/>
      <c r="J3612"/>
      <c r="K3612"/>
      <c r="L3612"/>
      <c r="M3612"/>
    </row>
    <row r="3613" spans="3:13" hidden="1" outlineLevel="1" x14ac:dyDescent="0.2">
      <c r="C3613" s="139">
        <v>6870</v>
      </c>
      <c r="D3613" s="248">
        <v>6849.2120999998097</v>
      </c>
      <c r="E3613" s="248">
        <v>6775.2366000000102</v>
      </c>
      <c r="F3613" s="248">
        <v>6895.4317000000201</v>
      </c>
      <c r="G3613" s="248">
        <v>6994.2280999958703</v>
      </c>
      <c r="H3613" s="248">
        <v>7170.9493999999604</v>
      </c>
      <c r="I3613"/>
      <c r="J3613"/>
      <c r="K3613"/>
      <c r="L3613"/>
      <c r="M3613"/>
    </row>
    <row r="3614" spans="3:13" hidden="1" outlineLevel="1" x14ac:dyDescent="0.2">
      <c r="C3614" s="139">
        <v>6880</v>
      </c>
      <c r="D3614" s="248">
        <v>6859.3590999998096</v>
      </c>
      <c r="E3614" s="248">
        <v>6785.0986000000103</v>
      </c>
      <c r="F3614" s="248">
        <v>6905.4687000000204</v>
      </c>
      <c r="G3614" s="248">
        <v>7004.4090999958598</v>
      </c>
      <c r="H3614" s="248">
        <v>7181.3873999999596</v>
      </c>
      <c r="I3614"/>
      <c r="J3614"/>
      <c r="K3614"/>
      <c r="L3614"/>
      <c r="M3614"/>
    </row>
    <row r="3615" spans="3:13" hidden="1" outlineLevel="1" x14ac:dyDescent="0.2">
      <c r="C3615" s="139">
        <v>6890</v>
      </c>
      <c r="D3615" s="248">
        <v>6869.5060999998104</v>
      </c>
      <c r="E3615" s="248">
        <v>6794.9606000000103</v>
      </c>
      <c r="F3615" s="248">
        <v>6915.5057000000097</v>
      </c>
      <c r="G3615" s="248">
        <v>7014.5900999958503</v>
      </c>
      <c r="H3615" s="248">
        <v>7191.8253999999597</v>
      </c>
      <c r="I3615"/>
      <c r="J3615"/>
      <c r="K3615"/>
      <c r="L3615"/>
      <c r="M3615"/>
    </row>
    <row r="3616" spans="3:13" hidden="1" outlineLevel="1" x14ac:dyDescent="0.2">
      <c r="C3616" s="139">
        <v>6900</v>
      </c>
      <c r="D3616" s="248">
        <v>6879.6530999998104</v>
      </c>
      <c r="E3616" s="248">
        <v>6804.8226000000104</v>
      </c>
      <c r="F3616" s="248">
        <v>6925.54270000001</v>
      </c>
      <c r="G3616" s="248">
        <v>7024.7710999958399</v>
      </c>
      <c r="H3616" s="248">
        <v>7202.2633999999598</v>
      </c>
      <c r="I3616"/>
      <c r="J3616"/>
      <c r="K3616"/>
      <c r="L3616"/>
      <c r="M3616"/>
    </row>
    <row r="3617" spans="3:13" hidden="1" outlineLevel="1" x14ac:dyDescent="0.2">
      <c r="C3617" s="139">
        <v>6910</v>
      </c>
      <c r="D3617" s="248">
        <v>6889.8000999998103</v>
      </c>
      <c r="E3617" s="248">
        <v>6814.6846000000096</v>
      </c>
      <c r="F3617" s="248">
        <v>6935.5797000000102</v>
      </c>
      <c r="G3617" s="248">
        <v>7034.9520999958304</v>
      </c>
      <c r="H3617" s="248">
        <v>7212.7013999999599</v>
      </c>
      <c r="I3617"/>
      <c r="J3617"/>
      <c r="K3617"/>
      <c r="L3617"/>
      <c r="M3617"/>
    </row>
    <row r="3618" spans="3:13" hidden="1" outlineLevel="1" x14ac:dyDescent="0.2">
      <c r="C3618" s="139">
        <v>6920</v>
      </c>
      <c r="D3618" s="248">
        <v>6899.9470999998102</v>
      </c>
      <c r="E3618" s="248">
        <v>6824.5466000000097</v>
      </c>
      <c r="F3618" s="248">
        <v>6945.6167000000096</v>
      </c>
      <c r="G3618" s="248">
        <v>7045.13309999582</v>
      </c>
      <c r="H3618" s="248">
        <v>7223.13939999996</v>
      </c>
      <c r="I3618"/>
      <c r="J3618"/>
      <c r="K3618"/>
      <c r="L3618"/>
      <c r="M3618"/>
    </row>
    <row r="3619" spans="3:13" hidden="1" outlineLevel="1" x14ac:dyDescent="0.2">
      <c r="C3619" s="139">
        <v>6930</v>
      </c>
      <c r="D3619" s="248">
        <v>6910.0940999998102</v>
      </c>
      <c r="E3619" s="248">
        <v>6834.4086000000098</v>
      </c>
      <c r="F3619" s="248">
        <v>6955.6537000000098</v>
      </c>
      <c r="G3619" s="248">
        <v>7055.3140999958096</v>
      </c>
      <c r="H3619" s="248">
        <v>7233.5773999999601</v>
      </c>
      <c r="I3619"/>
      <c r="J3619"/>
      <c r="K3619"/>
      <c r="L3619"/>
      <c r="M3619"/>
    </row>
    <row r="3620" spans="3:13" hidden="1" outlineLevel="1" x14ac:dyDescent="0.2">
      <c r="C3620" s="139">
        <v>6940</v>
      </c>
      <c r="D3620" s="248">
        <v>6920.2410999998101</v>
      </c>
      <c r="E3620" s="248">
        <v>6844.2706000000098</v>
      </c>
      <c r="F3620" s="248">
        <v>6965.6907000000101</v>
      </c>
      <c r="G3620" s="248">
        <v>7065.49509999579</v>
      </c>
      <c r="H3620" s="248">
        <v>7244.0153999999602</v>
      </c>
      <c r="I3620"/>
      <c r="J3620"/>
      <c r="K3620"/>
      <c r="L3620"/>
      <c r="M3620"/>
    </row>
    <row r="3621" spans="3:13" hidden="1" outlineLevel="1" x14ac:dyDescent="0.2">
      <c r="C3621" s="139">
        <v>6950</v>
      </c>
      <c r="D3621" s="248">
        <v>6930.38809999981</v>
      </c>
      <c r="E3621" s="248">
        <v>6854.1326000000099</v>
      </c>
      <c r="F3621" s="248">
        <v>6975.7277000000104</v>
      </c>
      <c r="G3621" s="248">
        <v>7075.6760999957796</v>
      </c>
      <c r="H3621" s="248">
        <v>7254.4533999999603</v>
      </c>
      <c r="I3621"/>
      <c r="J3621"/>
      <c r="K3621"/>
      <c r="L3621"/>
      <c r="M3621"/>
    </row>
    <row r="3622" spans="3:13" hidden="1" outlineLevel="1" x14ac:dyDescent="0.2">
      <c r="C3622" s="139">
        <v>6960</v>
      </c>
      <c r="D3622" s="248">
        <v>6940.53509999981</v>
      </c>
      <c r="E3622" s="248">
        <v>6863.99460000001</v>
      </c>
      <c r="F3622" s="248">
        <v>6985.7647000000097</v>
      </c>
      <c r="G3622" s="248">
        <v>7085.8570999957701</v>
      </c>
      <c r="H3622" s="248">
        <v>7264.8913999999604</v>
      </c>
      <c r="I3622"/>
      <c r="J3622"/>
      <c r="K3622"/>
      <c r="L3622"/>
      <c r="M3622"/>
    </row>
    <row r="3623" spans="3:13" hidden="1" outlineLevel="1" x14ac:dyDescent="0.2">
      <c r="C3623" s="139">
        <v>6970</v>
      </c>
      <c r="D3623" s="248">
        <v>6950.6820999998099</v>
      </c>
      <c r="E3623" s="248">
        <v>6873.8566000000101</v>
      </c>
      <c r="F3623" s="248">
        <v>6995.80170000001</v>
      </c>
      <c r="G3623" s="248">
        <v>7096.0380999957597</v>
      </c>
      <c r="H3623" s="248">
        <v>7275.3293999999596</v>
      </c>
      <c r="I3623"/>
      <c r="J3623"/>
      <c r="K3623"/>
      <c r="L3623"/>
      <c r="M3623"/>
    </row>
    <row r="3624" spans="3:13" hidden="1" outlineLevel="1" x14ac:dyDescent="0.2">
      <c r="C3624" s="139">
        <v>6980</v>
      </c>
      <c r="D3624" s="248">
        <v>6960.8290999998098</v>
      </c>
      <c r="E3624" s="248">
        <v>6883.7186000000102</v>
      </c>
      <c r="F3624" s="248">
        <v>7005.8387000000102</v>
      </c>
      <c r="G3624" s="248">
        <v>7106.2190999957502</v>
      </c>
      <c r="H3624" s="248">
        <v>7285.7673999999597</v>
      </c>
      <c r="I3624"/>
      <c r="J3624"/>
      <c r="K3624"/>
      <c r="L3624"/>
      <c r="M3624"/>
    </row>
    <row r="3625" spans="3:13" hidden="1" outlineLevel="1" x14ac:dyDescent="0.2">
      <c r="C3625" s="139">
        <v>6990</v>
      </c>
      <c r="D3625" s="248">
        <v>6970.9760999998098</v>
      </c>
      <c r="E3625" s="248">
        <v>6893.5806000000102</v>
      </c>
      <c r="F3625" s="248">
        <v>7015.8757000000096</v>
      </c>
      <c r="G3625" s="248">
        <v>7116.4000999957398</v>
      </c>
      <c r="H3625" s="248">
        <v>7296.2053999999598</v>
      </c>
      <c r="I3625"/>
      <c r="J3625"/>
      <c r="K3625"/>
      <c r="L3625"/>
      <c r="M3625"/>
    </row>
    <row r="3626" spans="3:13" hidden="1" outlineLevel="1" x14ac:dyDescent="0.2">
      <c r="C3626" s="139">
        <v>7000</v>
      </c>
      <c r="D3626" s="248">
        <v>6981.1230999998097</v>
      </c>
      <c r="E3626" s="248">
        <v>6903.4426000000103</v>
      </c>
      <c r="F3626" s="248">
        <v>7025.9127000000099</v>
      </c>
      <c r="G3626" s="248">
        <v>7126.5810999957303</v>
      </c>
      <c r="H3626" s="248">
        <v>7306.6433999999599</v>
      </c>
      <c r="I3626"/>
      <c r="J3626"/>
      <c r="K3626"/>
      <c r="L3626"/>
      <c r="M3626"/>
    </row>
    <row r="3627" spans="3:13" hidden="1" outlineLevel="1" x14ac:dyDescent="0.2">
      <c r="C3627" s="139">
        <v>7010</v>
      </c>
      <c r="D3627" s="248">
        <v>6991.2700999998096</v>
      </c>
      <c r="E3627" s="248">
        <v>6913.3046000000104</v>
      </c>
      <c r="F3627" s="248">
        <v>7035.9497000000101</v>
      </c>
      <c r="G3627" s="248">
        <v>7136.7620999957198</v>
      </c>
      <c r="H3627" s="248">
        <v>7317.08139999996</v>
      </c>
      <c r="I3627"/>
      <c r="J3627"/>
      <c r="K3627"/>
      <c r="L3627"/>
      <c r="M3627"/>
    </row>
    <row r="3628" spans="3:13" hidden="1" outlineLevel="1" x14ac:dyDescent="0.2">
      <c r="C3628" s="139">
        <v>7020</v>
      </c>
      <c r="D3628" s="248">
        <v>7001.4170999998096</v>
      </c>
      <c r="E3628" s="248">
        <v>6923.1666000000096</v>
      </c>
      <c r="F3628" s="248">
        <v>7045.9867000000104</v>
      </c>
      <c r="G3628" s="248">
        <v>7146.9430999957103</v>
      </c>
      <c r="H3628" s="248">
        <v>7327.5193999999601</v>
      </c>
      <c r="I3628"/>
      <c r="J3628"/>
      <c r="K3628"/>
      <c r="L3628"/>
      <c r="M3628"/>
    </row>
    <row r="3629" spans="3:13" hidden="1" outlineLevel="1" x14ac:dyDescent="0.2">
      <c r="C3629" s="139">
        <v>7030</v>
      </c>
      <c r="D3629" s="248">
        <v>7011.5640999998104</v>
      </c>
      <c r="E3629" s="248">
        <v>6933.0286000000096</v>
      </c>
      <c r="F3629" s="248">
        <v>7056.0237000000097</v>
      </c>
      <c r="G3629" s="248">
        <v>7157.1240999956999</v>
      </c>
      <c r="H3629" s="248">
        <v>7337.9573999999602</v>
      </c>
      <c r="I3629"/>
      <c r="J3629"/>
      <c r="K3629"/>
      <c r="L3629"/>
      <c r="M3629"/>
    </row>
    <row r="3630" spans="3:13" hidden="1" outlineLevel="1" x14ac:dyDescent="0.2">
      <c r="C3630" s="139">
        <v>7040</v>
      </c>
      <c r="D3630" s="248">
        <v>7021.7110999998104</v>
      </c>
      <c r="E3630" s="248">
        <v>6942.8906000000097</v>
      </c>
      <c r="F3630" s="248">
        <v>7066.06070000001</v>
      </c>
      <c r="G3630" s="248">
        <v>7167.3050999956904</v>
      </c>
      <c r="H3630" s="248">
        <v>7348.3953999999603</v>
      </c>
      <c r="I3630"/>
      <c r="J3630"/>
      <c r="K3630"/>
      <c r="L3630"/>
      <c r="M3630"/>
    </row>
    <row r="3631" spans="3:13" hidden="1" outlineLevel="1" x14ac:dyDescent="0.2">
      <c r="C3631" s="139">
        <v>7050</v>
      </c>
      <c r="D3631" s="248">
        <v>7031.8580999998103</v>
      </c>
      <c r="E3631" s="248">
        <v>6952.7526000000098</v>
      </c>
      <c r="F3631" s="248">
        <v>7076.0977000000103</v>
      </c>
      <c r="G3631" s="248">
        <v>7177.48609999568</v>
      </c>
      <c r="H3631" s="248">
        <v>7358.8333999999604</v>
      </c>
      <c r="I3631"/>
      <c r="J3631"/>
      <c r="K3631"/>
      <c r="L3631"/>
      <c r="M3631"/>
    </row>
    <row r="3632" spans="3:13" hidden="1" outlineLevel="1" x14ac:dyDescent="0.2">
      <c r="C3632" s="139">
        <v>7060</v>
      </c>
      <c r="D3632" s="248">
        <v>7042.0050999998102</v>
      </c>
      <c r="E3632" s="248">
        <v>6962.6146000000099</v>
      </c>
      <c r="F3632" s="248">
        <v>7086.1347000000096</v>
      </c>
      <c r="G3632" s="248">
        <v>7187.6670999956696</v>
      </c>
      <c r="H3632" s="248">
        <v>7369.2713999999596</v>
      </c>
      <c r="I3632"/>
      <c r="J3632"/>
      <c r="K3632"/>
      <c r="L3632"/>
      <c r="M3632"/>
    </row>
    <row r="3633" spans="3:13" hidden="1" outlineLevel="1" x14ac:dyDescent="0.2">
      <c r="C3633" s="139">
        <v>7070</v>
      </c>
      <c r="D3633" s="248">
        <v>7052.1520999998102</v>
      </c>
      <c r="E3633" s="248">
        <v>6972.47660000001</v>
      </c>
      <c r="F3633" s="248">
        <v>7096.1717000000099</v>
      </c>
      <c r="G3633" s="248">
        <v>7197.84809999566</v>
      </c>
      <c r="H3633" s="248">
        <v>7379.7093999999597</v>
      </c>
      <c r="I3633"/>
      <c r="J3633"/>
      <c r="K3633"/>
      <c r="L3633"/>
      <c r="M3633"/>
    </row>
    <row r="3634" spans="3:13" hidden="1" outlineLevel="1" x14ac:dyDescent="0.2">
      <c r="C3634" s="139">
        <v>7080</v>
      </c>
      <c r="D3634" s="248">
        <v>7062.2990999998101</v>
      </c>
      <c r="E3634" s="248">
        <v>6982.33860000001</v>
      </c>
      <c r="F3634" s="248">
        <v>7106.2087000000101</v>
      </c>
      <c r="G3634" s="248">
        <v>7208.0290999956496</v>
      </c>
      <c r="H3634" s="248">
        <v>7390.1473999999598</v>
      </c>
      <c r="I3634"/>
      <c r="J3634"/>
      <c r="K3634"/>
      <c r="L3634"/>
      <c r="M3634"/>
    </row>
    <row r="3635" spans="3:13" hidden="1" outlineLevel="1" x14ac:dyDescent="0.2">
      <c r="C3635" s="139">
        <v>7090</v>
      </c>
      <c r="D3635" s="248">
        <v>7072.44609999981</v>
      </c>
      <c r="E3635" s="248">
        <v>6992.2006000000101</v>
      </c>
      <c r="F3635" s="248">
        <v>7116.2457000000104</v>
      </c>
      <c r="G3635" s="248">
        <v>7218.2100999956401</v>
      </c>
      <c r="H3635" s="248">
        <v>7400.5853999999599</v>
      </c>
      <c r="I3635"/>
      <c r="J3635"/>
      <c r="K3635"/>
      <c r="L3635"/>
      <c r="M3635"/>
    </row>
    <row r="3636" spans="3:13" hidden="1" outlineLevel="1" x14ac:dyDescent="0.2">
      <c r="C3636" s="139">
        <v>7100</v>
      </c>
      <c r="D3636" s="248">
        <v>7082.59309999981</v>
      </c>
      <c r="E3636" s="248">
        <v>7002.0626000000102</v>
      </c>
      <c r="F3636" s="248">
        <v>7126.2827000000098</v>
      </c>
      <c r="G3636" s="248">
        <v>7228.3910999956297</v>
      </c>
      <c r="H3636" s="248">
        <v>7411.02339999996</v>
      </c>
      <c r="I3636"/>
      <c r="J3636"/>
      <c r="K3636"/>
      <c r="L3636"/>
      <c r="M3636"/>
    </row>
    <row r="3637" spans="3:13" hidden="1" outlineLevel="1" x14ac:dyDescent="0.2">
      <c r="C3637" s="139">
        <v>7110</v>
      </c>
      <c r="D3637" s="248">
        <v>7092.7400999998099</v>
      </c>
      <c r="E3637" s="248">
        <v>7011.9246000000103</v>
      </c>
      <c r="F3637" s="248">
        <v>7136.31970000001</v>
      </c>
      <c r="G3637" s="248">
        <v>7238.5720999956202</v>
      </c>
      <c r="H3637" s="248">
        <v>7421.4613999999601</v>
      </c>
      <c r="I3637"/>
      <c r="J3637"/>
      <c r="K3637"/>
      <c r="L3637"/>
      <c r="M3637"/>
    </row>
    <row r="3638" spans="3:13" hidden="1" outlineLevel="1" x14ac:dyDescent="0.2">
      <c r="C3638" s="139">
        <v>7120</v>
      </c>
      <c r="D3638" s="248">
        <v>7102.8870999998098</v>
      </c>
      <c r="E3638" s="248">
        <v>7021.7866000000104</v>
      </c>
      <c r="F3638" s="248">
        <v>7146.3567000000103</v>
      </c>
      <c r="G3638" s="248">
        <v>7248.7530999956098</v>
      </c>
      <c r="H3638" s="248">
        <v>7431.8993999999602</v>
      </c>
      <c r="I3638"/>
      <c r="J3638"/>
      <c r="K3638"/>
      <c r="L3638"/>
      <c r="M3638"/>
    </row>
    <row r="3639" spans="3:13" hidden="1" outlineLevel="1" x14ac:dyDescent="0.2">
      <c r="C3639" s="139">
        <v>7130</v>
      </c>
      <c r="D3639" s="248">
        <v>7113.0340999998098</v>
      </c>
      <c r="E3639" s="248">
        <v>7031.6486000000104</v>
      </c>
      <c r="F3639" s="248">
        <v>7156.3937000000096</v>
      </c>
      <c r="G3639" s="248">
        <v>7258.9340999956003</v>
      </c>
      <c r="H3639" s="248">
        <v>7442.3373999999603</v>
      </c>
      <c r="I3639"/>
      <c r="J3639"/>
      <c r="K3639"/>
      <c r="L3639"/>
      <c r="M3639"/>
    </row>
    <row r="3640" spans="3:13" hidden="1" outlineLevel="1" x14ac:dyDescent="0.2">
      <c r="C3640" s="139">
        <v>7140</v>
      </c>
      <c r="D3640" s="248">
        <v>7123.1810999998097</v>
      </c>
      <c r="E3640" s="248">
        <v>7041.5105999999996</v>
      </c>
      <c r="F3640" s="248">
        <v>7166.4307000000099</v>
      </c>
      <c r="G3640" s="248">
        <v>7269.1150999955898</v>
      </c>
      <c r="H3640" s="248">
        <v>7452.7753999999604</v>
      </c>
      <c r="I3640"/>
      <c r="J3640"/>
      <c r="K3640"/>
      <c r="L3640"/>
      <c r="M3640"/>
    </row>
    <row r="3641" spans="3:13" hidden="1" outlineLevel="1" x14ac:dyDescent="0.2">
      <c r="C3641" s="139">
        <v>7150</v>
      </c>
      <c r="D3641" s="248">
        <v>7133.3280999998096</v>
      </c>
      <c r="E3641" s="248">
        <v>7051.3725999999997</v>
      </c>
      <c r="F3641" s="248">
        <v>7176.4677000000102</v>
      </c>
      <c r="G3641" s="248">
        <v>7279.2960999955803</v>
      </c>
      <c r="H3641" s="248">
        <v>7463.2133999999596</v>
      </c>
      <c r="I3641"/>
      <c r="J3641"/>
      <c r="K3641"/>
      <c r="L3641"/>
      <c r="M3641"/>
    </row>
    <row r="3642" spans="3:13" hidden="1" outlineLevel="1" x14ac:dyDescent="0.2">
      <c r="C3642" s="139">
        <v>7160</v>
      </c>
      <c r="D3642" s="248">
        <v>7143.4750999998096</v>
      </c>
      <c r="E3642" s="248">
        <v>7061.2345999999998</v>
      </c>
      <c r="F3642" s="248">
        <v>7186.5047000000104</v>
      </c>
      <c r="G3642" s="248">
        <v>7289.4770999955699</v>
      </c>
      <c r="H3642" s="248">
        <v>7473.6513999999597</v>
      </c>
      <c r="I3642"/>
      <c r="J3642"/>
      <c r="K3642"/>
      <c r="L3642"/>
      <c r="M3642"/>
    </row>
    <row r="3643" spans="3:13" hidden="1" outlineLevel="1" x14ac:dyDescent="0.2">
      <c r="C3643" s="139">
        <v>7170</v>
      </c>
      <c r="D3643" s="248">
        <v>7153.6220999998104</v>
      </c>
      <c r="E3643" s="248">
        <v>7071.0965999999999</v>
      </c>
      <c r="F3643" s="248">
        <v>7196.5417000000098</v>
      </c>
      <c r="G3643" s="248">
        <v>7299.6580999955604</v>
      </c>
      <c r="H3643" s="248">
        <v>7484.0893999999598</v>
      </c>
      <c r="I3643"/>
      <c r="J3643"/>
      <c r="K3643"/>
      <c r="L3643"/>
      <c r="M3643"/>
    </row>
    <row r="3644" spans="3:13" hidden="1" outlineLevel="1" x14ac:dyDescent="0.2">
      <c r="C3644" s="139">
        <v>7180</v>
      </c>
      <c r="D3644" s="248">
        <v>7163.7690999998104</v>
      </c>
      <c r="E3644" s="248">
        <v>7080.9585999999999</v>
      </c>
      <c r="F3644" s="248">
        <v>7206.57870000001</v>
      </c>
      <c r="G3644" s="248">
        <v>7309.83909999554</v>
      </c>
      <c r="H3644" s="248">
        <v>7494.5273999999599</v>
      </c>
      <c r="I3644"/>
      <c r="J3644"/>
      <c r="K3644"/>
      <c r="L3644"/>
      <c r="M3644"/>
    </row>
    <row r="3645" spans="3:13" hidden="1" outlineLevel="1" x14ac:dyDescent="0.2">
      <c r="C3645" s="139">
        <v>7190</v>
      </c>
      <c r="D3645" s="248">
        <v>7173.9160999998103</v>
      </c>
      <c r="E3645" s="248">
        <v>7090.8206</v>
      </c>
      <c r="F3645" s="248">
        <v>7216.6157000000103</v>
      </c>
      <c r="G3645" s="248">
        <v>7320.0200999955296</v>
      </c>
      <c r="H3645" s="248">
        <v>7504.96539999996</v>
      </c>
      <c r="I3645"/>
      <c r="J3645"/>
      <c r="K3645"/>
      <c r="L3645"/>
      <c r="M3645"/>
    </row>
    <row r="3646" spans="3:13" hidden="1" outlineLevel="1" x14ac:dyDescent="0.2">
      <c r="C3646" s="139">
        <v>7200</v>
      </c>
      <c r="D3646" s="248">
        <v>7184.0630999998102</v>
      </c>
      <c r="E3646" s="248">
        <v>7100.6826000000001</v>
      </c>
      <c r="F3646" s="248">
        <v>7226.6527000000096</v>
      </c>
      <c r="G3646" s="248">
        <v>7330.2010999955201</v>
      </c>
      <c r="H3646" s="248">
        <v>7515.4033999999601</v>
      </c>
      <c r="I3646"/>
      <c r="J3646"/>
      <c r="K3646"/>
      <c r="L3646"/>
      <c r="M3646"/>
    </row>
    <row r="3647" spans="3:13" hidden="1" outlineLevel="1" x14ac:dyDescent="0.2">
      <c r="C3647" s="139">
        <v>7210</v>
      </c>
      <c r="D3647" s="248">
        <v>7194.2100999998102</v>
      </c>
      <c r="E3647" s="248">
        <v>7110.5446000000002</v>
      </c>
      <c r="F3647" s="248">
        <v>7236.6897000000099</v>
      </c>
      <c r="G3647" s="248">
        <v>7340.3820999955096</v>
      </c>
      <c r="H3647" s="248">
        <v>7525.8413999999602</v>
      </c>
      <c r="I3647"/>
      <c r="J3647"/>
      <c r="K3647"/>
      <c r="L3647"/>
      <c r="M3647"/>
    </row>
    <row r="3648" spans="3:13" hidden="1" outlineLevel="1" x14ac:dyDescent="0.2">
      <c r="C3648" s="139">
        <v>7220</v>
      </c>
      <c r="D3648" s="248">
        <v>7204.3570999998101</v>
      </c>
      <c r="E3648" s="248">
        <v>7120.4066000000003</v>
      </c>
      <c r="F3648" s="248">
        <v>7246.7267000000102</v>
      </c>
      <c r="G3648" s="248">
        <v>7350.5630999955001</v>
      </c>
      <c r="H3648" s="248">
        <v>7536.2793999999603</v>
      </c>
      <c r="I3648"/>
      <c r="J3648"/>
      <c r="K3648"/>
      <c r="L3648"/>
      <c r="M3648"/>
    </row>
    <row r="3649" spans="3:13" hidden="1" outlineLevel="1" x14ac:dyDescent="0.2">
      <c r="C3649" s="139">
        <v>7230</v>
      </c>
      <c r="D3649" s="248">
        <v>7214.50409999981</v>
      </c>
      <c r="E3649" s="248">
        <v>7130.2686000000003</v>
      </c>
      <c r="F3649" s="248">
        <v>7256.7637000000104</v>
      </c>
      <c r="G3649" s="248">
        <v>7360.7440999954897</v>
      </c>
      <c r="H3649" s="248">
        <v>7546.7173999999604</v>
      </c>
      <c r="I3649"/>
      <c r="J3649"/>
      <c r="K3649"/>
      <c r="L3649"/>
      <c r="M3649"/>
    </row>
    <row r="3650" spans="3:13" hidden="1" outlineLevel="1" x14ac:dyDescent="0.2">
      <c r="C3650" s="139">
        <v>7240</v>
      </c>
      <c r="D3650" s="248">
        <v>7224.65109999981</v>
      </c>
      <c r="E3650" s="248">
        <v>7140.1306000000004</v>
      </c>
      <c r="F3650" s="248">
        <v>7266.8007000000098</v>
      </c>
      <c r="G3650" s="248">
        <v>7370.9250999954802</v>
      </c>
      <c r="H3650" s="248">
        <v>7557.1553999999596</v>
      </c>
      <c r="I3650"/>
      <c r="J3650"/>
      <c r="K3650"/>
      <c r="L3650"/>
      <c r="M3650"/>
    </row>
    <row r="3651" spans="3:13" hidden="1" outlineLevel="1" x14ac:dyDescent="0.2">
      <c r="C3651" s="139">
        <v>7250</v>
      </c>
      <c r="D3651" s="248">
        <v>7234.7980999998099</v>
      </c>
      <c r="E3651" s="248">
        <v>7149.9925999999996</v>
      </c>
      <c r="F3651" s="248">
        <v>7276.83770000001</v>
      </c>
      <c r="G3651" s="248">
        <v>7381.1060999954698</v>
      </c>
      <c r="H3651" s="248">
        <v>7567.5933999999597</v>
      </c>
      <c r="I3651"/>
      <c r="J3651"/>
      <c r="K3651"/>
      <c r="L3651"/>
      <c r="M3651"/>
    </row>
    <row r="3652" spans="3:13" hidden="1" outlineLevel="1" x14ac:dyDescent="0.2">
      <c r="C3652" s="139">
        <v>7260</v>
      </c>
      <c r="D3652" s="248">
        <v>7244.9450999998098</v>
      </c>
      <c r="E3652" s="248">
        <v>7159.8545999999997</v>
      </c>
      <c r="F3652" s="248">
        <v>7286.8747000000103</v>
      </c>
      <c r="G3652" s="248">
        <v>7391.2870999954603</v>
      </c>
      <c r="H3652" s="248">
        <v>7578.0313999999598</v>
      </c>
      <c r="I3652"/>
      <c r="J3652"/>
      <c r="K3652"/>
      <c r="L3652"/>
      <c r="M3652"/>
    </row>
    <row r="3653" spans="3:13" hidden="1" outlineLevel="1" x14ac:dyDescent="0.2">
      <c r="C3653" s="139">
        <v>7270</v>
      </c>
      <c r="D3653" s="248">
        <v>7255.0920999998098</v>
      </c>
      <c r="E3653" s="248">
        <v>7169.7165999999997</v>
      </c>
      <c r="F3653" s="248">
        <v>7296.9117000000097</v>
      </c>
      <c r="G3653" s="248">
        <v>7401.4680999954498</v>
      </c>
      <c r="H3653" s="248">
        <v>7588.4693999999599</v>
      </c>
      <c r="I3653"/>
      <c r="J3653"/>
      <c r="K3653"/>
      <c r="L3653"/>
      <c r="M3653"/>
    </row>
    <row r="3654" spans="3:13" hidden="1" outlineLevel="1" x14ac:dyDescent="0.2">
      <c r="C3654" s="139">
        <v>7280</v>
      </c>
      <c r="D3654" s="248">
        <v>7265.2390999998097</v>
      </c>
      <c r="E3654" s="248">
        <v>7179.5785999999998</v>
      </c>
      <c r="F3654" s="248">
        <v>7306.9487000000099</v>
      </c>
      <c r="G3654" s="248">
        <v>7411.6490999954403</v>
      </c>
      <c r="H3654" s="248">
        <v>7598.90739999996</v>
      </c>
      <c r="I3654"/>
      <c r="J3654"/>
      <c r="K3654"/>
      <c r="L3654"/>
      <c r="M3654"/>
    </row>
    <row r="3655" spans="3:13" hidden="1" outlineLevel="1" x14ac:dyDescent="0.2">
      <c r="C3655" s="139">
        <v>7290</v>
      </c>
      <c r="D3655" s="248">
        <v>7275.3860999998096</v>
      </c>
      <c r="E3655" s="248">
        <v>7189.4405999999999</v>
      </c>
      <c r="F3655" s="248">
        <v>7316.9857000000102</v>
      </c>
      <c r="G3655" s="248">
        <v>7421.8300999954299</v>
      </c>
      <c r="H3655" s="248">
        <v>7609.3453999999601</v>
      </c>
      <c r="I3655"/>
      <c r="J3655"/>
      <c r="K3655"/>
      <c r="L3655"/>
      <c r="M3655"/>
    </row>
    <row r="3656" spans="3:13" hidden="1" outlineLevel="1" x14ac:dyDescent="0.2">
      <c r="C3656" s="139">
        <v>7300</v>
      </c>
      <c r="D3656" s="248">
        <v>7285.5330999998096</v>
      </c>
      <c r="E3656" s="248">
        <v>7199.3026</v>
      </c>
      <c r="F3656" s="248">
        <v>7327.0227000000104</v>
      </c>
      <c r="G3656" s="248">
        <v>7432.0110999954204</v>
      </c>
      <c r="H3656" s="248">
        <v>7619.7833999999602</v>
      </c>
      <c r="I3656"/>
      <c r="J3656"/>
      <c r="K3656"/>
      <c r="L3656"/>
      <c r="M3656"/>
    </row>
    <row r="3657" spans="3:13" hidden="1" outlineLevel="1" x14ac:dyDescent="0.2">
      <c r="C3657" s="139">
        <v>7310</v>
      </c>
      <c r="D3657" s="248">
        <v>7295.6800999998104</v>
      </c>
      <c r="E3657" s="248">
        <v>7209.1646000000001</v>
      </c>
      <c r="F3657" s="248">
        <v>7337.0597000000098</v>
      </c>
      <c r="G3657" s="248">
        <v>7442.19209999541</v>
      </c>
      <c r="H3657" s="248">
        <v>7630.2213999999603</v>
      </c>
      <c r="I3657"/>
      <c r="J3657"/>
      <c r="K3657"/>
      <c r="L3657"/>
      <c r="M3657"/>
    </row>
    <row r="3658" spans="3:13" hidden="1" outlineLevel="1" x14ac:dyDescent="0.2">
      <c r="C3658" s="139">
        <v>7320</v>
      </c>
      <c r="D3658" s="248">
        <v>7305.8270999998103</v>
      </c>
      <c r="E3658" s="248">
        <v>7219.0266000000001</v>
      </c>
      <c r="F3658" s="248">
        <v>7347.0967000000101</v>
      </c>
      <c r="G3658" s="248">
        <v>7452.3730999953996</v>
      </c>
      <c r="H3658" s="248">
        <v>7640.6593999999604</v>
      </c>
      <c r="I3658"/>
      <c r="J3658"/>
      <c r="K3658"/>
      <c r="L3658"/>
      <c r="M3658"/>
    </row>
    <row r="3659" spans="3:13" hidden="1" outlineLevel="1" x14ac:dyDescent="0.2">
      <c r="C3659" s="139">
        <v>7330</v>
      </c>
      <c r="D3659" s="248">
        <v>7315.9740999998103</v>
      </c>
      <c r="E3659" s="248">
        <v>7228.8886000000002</v>
      </c>
      <c r="F3659" s="248">
        <v>7357.1337000000103</v>
      </c>
      <c r="G3659" s="248">
        <v>7462.5540999953901</v>
      </c>
      <c r="H3659" s="248">
        <v>7651.0973999999596</v>
      </c>
      <c r="I3659"/>
      <c r="J3659"/>
      <c r="K3659"/>
      <c r="L3659"/>
      <c r="M3659"/>
    </row>
    <row r="3660" spans="3:13" hidden="1" outlineLevel="1" x14ac:dyDescent="0.2">
      <c r="C3660" s="139">
        <v>7340</v>
      </c>
      <c r="D3660" s="248">
        <v>7326.1210999998102</v>
      </c>
      <c r="E3660" s="248">
        <v>7238.7506000000003</v>
      </c>
      <c r="F3660" s="248">
        <v>7367.1707000000097</v>
      </c>
      <c r="G3660" s="248">
        <v>7472.7350999953796</v>
      </c>
      <c r="H3660" s="248">
        <v>7661.5353999999597</v>
      </c>
      <c r="I3660"/>
      <c r="J3660"/>
      <c r="K3660"/>
      <c r="L3660"/>
      <c r="M3660"/>
    </row>
    <row r="3661" spans="3:13" hidden="1" outlineLevel="1" x14ac:dyDescent="0.2">
      <c r="C3661" s="139">
        <v>7350</v>
      </c>
      <c r="D3661" s="248">
        <v>7336.2680999998101</v>
      </c>
      <c r="E3661" s="248">
        <v>7248.6126000000004</v>
      </c>
      <c r="F3661" s="248">
        <v>7377.2077000000099</v>
      </c>
      <c r="G3661" s="248">
        <v>7482.9160999953701</v>
      </c>
      <c r="H3661" s="248">
        <v>7671.9733999999598</v>
      </c>
      <c r="I3661"/>
      <c r="J3661"/>
      <c r="K3661"/>
      <c r="L3661"/>
      <c r="M3661"/>
    </row>
    <row r="3662" spans="3:13" hidden="1" outlineLevel="1" x14ac:dyDescent="0.2">
      <c r="C3662" s="139">
        <v>7360</v>
      </c>
      <c r="D3662" s="248">
        <v>7346.4150999998101</v>
      </c>
      <c r="E3662" s="248">
        <v>7258.4745999999996</v>
      </c>
      <c r="F3662" s="248">
        <v>7387.2447000000102</v>
      </c>
      <c r="G3662" s="248">
        <v>7493.0970999953597</v>
      </c>
      <c r="H3662" s="248">
        <v>7682.4113999999599</v>
      </c>
      <c r="I3662"/>
      <c r="J3662"/>
      <c r="K3662"/>
      <c r="L3662"/>
      <c r="M3662"/>
    </row>
    <row r="3663" spans="3:13" hidden="1" outlineLevel="1" x14ac:dyDescent="0.2">
      <c r="C3663" s="139">
        <v>7370</v>
      </c>
      <c r="D3663" s="248">
        <v>7356.56209999981</v>
      </c>
      <c r="E3663" s="248">
        <v>7268.3365999999996</v>
      </c>
      <c r="F3663" s="248">
        <v>7397.2817000000096</v>
      </c>
      <c r="G3663" s="248">
        <v>7503.2780999953502</v>
      </c>
      <c r="H3663" s="248">
        <v>7692.84939999996</v>
      </c>
      <c r="I3663"/>
      <c r="J3663"/>
      <c r="K3663"/>
      <c r="L3663"/>
      <c r="M3663"/>
    </row>
    <row r="3664" spans="3:13" hidden="1" outlineLevel="1" x14ac:dyDescent="0.2">
      <c r="C3664" s="139">
        <v>7380</v>
      </c>
      <c r="D3664" s="248">
        <v>7366.70909999981</v>
      </c>
      <c r="E3664" s="248">
        <v>7278.1985999999997</v>
      </c>
      <c r="F3664" s="248">
        <v>7407.3187000000098</v>
      </c>
      <c r="G3664" s="248">
        <v>7513.4590999953398</v>
      </c>
      <c r="H3664" s="248">
        <v>7703.2873999999601</v>
      </c>
      <c r="I3664"/>
      <c r="J3664"/>
      <c r="K3664"/>
      <c r="L3664"/>
      <c r="M3664"/>
    </row>
    <row r="3665" spans="3:13" hidden="1" outlineLevel="1" x14ac:dyDescent="0.2">
      <c r="C3665" s="139">
        <v>7390</v>
      </c>
      <c r="D3665" s="248">
        <v>7376.8560999998099</v>
      </c>
      <c r="E3665" s="248">
        <v>7288.0605999999998</v>
      </c>
      <c r="F3665" s="248">
        <v>7417.3557000000001</v>
      </c>
      <c r="G3665" s="248">
        <v>7523.6400999953303</v>
      </c>
      <c r="H3665" s="248">
        <v>7713.7253999999602</v>
      </c>
      <c r="I3665"/>
      <c r="J3665"/>
      <c r="K3665"/>
      <c r="L3665"/>
      <c r="M3665"/>
    </row>
    <row r="3666" spans="3:13" hidden="1" outlineLevel="1" x14ac:dyDescent="0.2">
      <c r="C3666" s="139">
        <v>7400</v>
      </c>
      <c r="D3666" s="248">
        <v>7387.0030999998098</v>
      </c>
      <c r="E3666" s="248">
        <v>7297.9225999999999</v>
      </c>
      <c r="F3666" s="248">
        <v>7427.3927000000103</v>
      </c>
      <c r="G3666" s="248">
        <v>7533.8210999953199</v>
      </c>
      <c r="H3666" s="248">
        <v>7724.1633999999603</v>
      </c>
      <c r="I3666"/>
      <c r="J3666"/>
      <c r="K3666"/>
      <c r="L3666"/>
      <c r="M3666"/>
    </row>
    <row r="3667" spans="3:13" hidden="1" outlineLevel="1" x14ac:dyDescent="0.2">
      <c r="C3667" s="139">
        <v>7410</v>
      </c>
      <c r="D3667" s="248">
        <v>7397.1500999998098</v>
      </c>
      <c r="E3667" s="248">
        <v>7307.78459999999</v>
      </c>
      <c r="F3667" s="248">
        <v>7437.4297000000097</v>
      </c>
      <c r="G3667" s="248">
        <v>7544.0020999953103</v>
      </c>
      <c r="H3667" s="248">
        <v>7734.6013999999604</v>
      </c>
      <c r="I3667"/>
      <c r="J3667"/>
      <c r="K3667"/>
      <c r="L3667"/>
      <c r="M3667"/>
    </row>
    <row r="3668" spans="3:13" hidden="1" outlineLevel="1" x14ac:dyDescent="0.2">
      <c r="C3668" s="139">
        <v>7420</v>
      </c>
      <c r="D3668" s="248">
        <v>7407.2970999998097</v>
      </c>
      <c r="E3668" s="248">
        <v>7317.64659999999</v>
      </c>
      <c r="F3668" s="248">
        <v>7447.4666999999999</v>
      </c>
      <c r="G3668" s="248">
        <v>7554.1830999952899</v>
      </c>
      <c r="H3668" s="248">
        <v>7745.0393999999696</v>
      </c>
      <c r="I3668"/>
      <c r="J3668"/>
      <c r="K3668"/>
      <c r="L3668"/>
      <c r="M3668"/>
    </row>
    <row r="3669" spans="3:13" hidden="1" outlineLevel="1" x14ac:dyDescent="0.2">
      <c r="C3669" s="139">
        <v>7430</v>
      </c>
      <c r="D3669" s="248">
        <v>7417.4440999998096</v>
      </c>
      <c r="E3669" s="248">
        <v>7327.5085999999901</v>
      </c>
      <c r="F3669" s="248">
        <v>7457.5037000000002</v>
      </c>
      <c r="G3669" s="248">
        <v>7564.3640999952804</v>
      </c>
      <c r="H3669" s="248">
        <v>7755.4773999999697</v>
      </c>
      <c r="I3669"/>
      <c r="J3669"/>
      <c r="K3669"/>
      <c r="L3669"/>
      <c r="M3669"/>
    </row>
    <row r="3670" spans="3:13" hidden="1" outlineLevel="1" x14ac:dyDescent="0.2">
      <c r="C3670" s="139">
        <v>7440</v>
      </c>
      <c r="D3670" s="248">
        <v>7427.5910999998096</v>
      </c>
      <c r="E3670" s="248">
        <v>7337.3705999999902</v>
      </c>
      <c r="F3670" s="248">
        <v>7467.5406999999996</v>
      </c>
      <c r="G3670" s="248">
        <v>7574.54509999527</v>
      </c>
      <c r="H3670" s="248">
        <v>7765.9153999999698</v>
      </c>
      <c r="I3670"/>
      <c r="J3670"/>
      <c r="K3670"/>
      <c r="L3670"/>
      <c r="M3670"/>
    </row>
    <row r="3671" spans="3:13" hidden="1" outlineLevel="1" x14ac:dyDescent="0.2">
      <c r="C3671" s="139">
        <v>7450</v>
      </c>
      <c r="D3671" s="248">
        <v>7437.7380999998104</v>
      </c>
      <c r="E3671" s="248">
        <v>7347.2325999999903</v>
      </c>
      <c r="F3671" s="248">
        <v>7477.5776999999998</v>
      </c>
      <c r="G3671" s="248">
        <v>7584.7260999952596</v>
      </c>
      <c r="H3671" s="248">
        <v>7776.35339999997</v>
      </c>
      <c r="I3671"/>
      <c r="J3671"/>
      <c r="K3671"/>
      <c r="L3671"/>
      <c r="M3671"/>
    </row>
    <row r="3672" spans="3:13" hidden="1" outlineLevel="1" x14ac:dyDescent="0.2">
      <c r="C3672" s="139">
        <v>7460</v>
      </c>
      <c r="D3672" s="248">
        <v>7447.8850999998103</v>
      </c>
      <c r="E3672" s="248">
        <v>7357.0945999999904</v>
      </c>
      <c r="F3672" s="248">
        <v>7487.6147000000001</v>
      </c>
      <c r="G3672" s="248">
        <v>7594.9070999952501</v>
      </c>
      <c r="H3672" s="248">
        <v>7786.7913999999701</v>
      </c>
      <c r="I3672"/>
      <c r="J3672"/>
      <c r="K3672"/>
      <c r="L3672"/>
      <c r="M3672"/>
    </row>
    <row r="3673" spans="3:13" hidden="1" outlineLevel="1" x14ac:dyDescent="0.2">
      <c r="C3673" s="139">
        <v>7470</v>
      </c>
      <c r="D3673" s="248">
        <v>7458.0320999998103</v>
      </c>
      <c r="E3673" s="248">
        <v>7366.9565999999904</v>
      </c>
      <c r="F3673" s="248">
        <v>7497.6517000000003</v>
      </c>
      <c r="G3673" s="248">
        <v>7605.0880999952396</v>
      </c>
      <c r="H3673" s="248">
        <v>7797.2293999999702</v>
      </c>
      <c r="I3673"/>
      <c r="J3673"/>
      <c r="K3673"/>
      <c r="L3673"/>
      <c r="M3673"/>
    </row>
    <row r="3674" spans="3:13" hidden="1" outlineLevel="1" x14ac:dyDescent="0.2">
      <c r="C3674" s="139">
        <v>7480</v>
      </c>
      <c r="D3674" s="248">
        <v>7468.1790999998102</v>
      </c>
      <c r="E3674" s="248">
        <v>7376.8185999999896</v>
      </c>
      <c r="F3674" s="248">
        <v>7507.6886999999997</v>
      </c>
      <c r="G3674" s="248">
        <v>7615.2690999952301</v>
      </c>
      <c r="H3674" s="248">
        <v>7807.6673999999703</v>
      </c>
      <c r="I3674"/>
      <c r="J3674"/>
      <c r="K3674"/>
      <c r="L3674"/>
      <c r="M3674"/>
    </row>
    <row r="3675" spans="3:13" hidden="1" outlineLevel="1" x14ac:dyDescent="0.2">
      <c r="C3675" s="139">
        <v>7490</v>
      </c>
      <c r="D3675" s="248">
        <v>7478.3260999998101</v>
      </c>
      <c r="E3675" s="248">
        <v>7386.6805999999897</v>
      </c>
      <c r="F3675" s="248">
        <v>7517.7257</v>
      </c>
      <c r="G3675" s="248">
        <v>7625.4500999952197</v>
      </c>
      <c r="H3675" s="248">
        <v>7818.1053999999704</v>
      </c>
      <c r="I3675"/>
      <c r="J3675"/>
      <c r="K3675"/>
      <c r="L3675"/>
      <c r="M3675"/>
    </row>
    <row r="3676" spans="3:13" hidden="1" outlineLevel="1" x14ac:dyDescent="0.2">
      <c r="C3676" s="139">
        <v>7500</v>
      </c>
      <c r="D3676" s="248">
        <v>7488.4730999998101</v>
      </c>
      <c r="E3676" s="248">
        <v>7396.5425999999898</v>
      </c>
      <c r="F3676" s="248">
        <v>7527.7627000000002</v>
      </c>
      <c r="G3676" s="248">
        <v>7635.6310999952102</v>
      </c>
      <c r="H3676" s="248">
        <v>7828.5433999999696</v>
      </c>
      <c r="I3676"/>
      <c r="J3676"/>
      <c r="K3676"/>
      <c r="L3676"/>
      <c r="M3676"/>
    </row>
    <row r="3677" spans="3:13" hidden="1" outlineLevel="1" x14ac:dyDescent="0.2">
      <c r="C3677" s="139">
        <v>7510</v>
      </c>
      <c r="D3677" s="248">
        <v>7498.62009999981</v>
      </c>
      <c r="E3677" s="248">
        <v>7406.4045999999898</v>
      </c>
      <c r="F3677" s="248">
        <v>7537.7996999999996</v>
      </c>
      <c r="G3677" s="248">
        <v>7645.8120999951998</v>
      </c>
      <c r="H3677" s="248">
        <v>7838.9813999999697</v>
      </c>
      <c r="I3677"/>
      <c r="J3677"/>
      <c r="K3677"/>
      <c r="L3677"/>
      <c r="M3677"/>
    </row>
    <row r="3678" spans="3:13" hidden="1" outlineLevel="1" x14ac:dyDescent="0.2">
      <c r="C3678" s="139">
        <v>7520</v>
      </c>
      <c r="D3678" s="248">
        <v>7508.7670999998099</v>
      </c>
      <c r="E3678" s="248">
        <v>7416.2665999999899</v>
      </c>
      <c r="F3678" s="248">
        <v>7547.8366999999998</v>
      </c>
      <c r="G3678" s="248">
        <v>7655.9930999951903</v>
      </c>
      <c r="H3678" s="248">
        <v>7849.4193999999698</v>
      </c>
      <c r="I3678"/>
      <c r="J3678"/>
      <c r="K3678"/>
      <c r="L3678"/>
      <c r="M3678"/>
    </row>
    <row r="3679" spans="3:13" hidden="1" outlineLevel="1" x14ac:dyDescent="0.2">
      <c r="C3679" s="139">
        <v>7530</v>
      </c>
      <c r="D3679" s="248">
        <v>7518.9140999998099</v>
      </c>
      <c r="E3679" s="248">
        <v>7426.12859999999</v>
      </c>
      <c r="F3679" s="248">
        <v>7557.8737000000001</v>
      </c>
      <c r="G3679" s="248">
        <v>7666.1740999951799</v>
      </c>
      <c r="H3679" s="248">
        <v>7859.8573999999699</v>
      </c>
      <c r="I3679"/>
      <c r="J3679"/>
      <c r="K3679"/>
      <c r="L3679"/>
      <c r="M3679"/>
    </row>
    <row r="3680" spans="3:13" hidden="1" outlineLevel="1" x14ac:dyDescent="0.2">
      <c r="C3680" s="139">
        <v>7540</v>
      </c>
      <c r="D3680" s="248">
        <v>7529.0610999998098</v>
      </c>
      <c r="E3680" s="248">
        <v>7435.9905999999901</v>
      </c>
      <c r="F3680" s="248">
        <v>7567.9107000000004</v>
      </c>
      <c r="G3680" s="248">
        <v>7676.3550999951703</v>
      </c>
      <c r="H3680" s="248">
        <v>7870.29539999997</v>
      </c>
      <c r="I3680"/>
      <c r="J3680"/>
      <c r="K3680"/>
      <c r="L3680"/>
      <c r="M3680"/>
    </row>
    <row r="3681" spans="3:13" hidden="1" outlineLevel="1" x14ac:dyDescent="0.2">
      <c r="C3681" s="139">
        <v>7550</v>
      </c>
      <c r="D3681" s="248">
        <v>7539.2080999998097</v>
      </c>
      <c r="E3681" s="248">
        <v>7445.8525999999902</v>
      </c>
      <c r="F3681" s="248">
        <v>7577.9476999999997</v>
      </c>
      <c r="G3681" s="248">
        <v>7686.5360999951599</v>
      </c>
      <c r="H3681" s="248">
        <v>7880.7333999999701</v>
      </c>
      <c r="I3681"/>
      <c r="J3681"/>
      <c r="K3681"/>
      <c r="L3681"/>
      <c r="M3681"/>
    </row>
    <row r="3682" spans="3:13" hidden="1" outlineLevel="1" x14ac:dyDescent="0.2">
      <c r="C3682" s="139">
        <v>7560</v>
      </c>
      <c r="D3682" s="248">
        <v>7549.3550999998097</v>
      </c>
      <c r="E3682" s="248">
        <v>7455.7145999999902</v>
      </c>
      <c r="F3682" s="248">
        <v>7587.9847</v>
      </c>
      <c r="G3682" s="248">
        <v>7696.7170999951504</v>
      </c>
      <c r="H3682" s="248">
        <v>7891.1713999999702</v>
      </c>
      <c r="I3682"/>
      <c r="J3682"/>
      <c r="K3682"/>
      <c r="L3682"/>
      <c r="M3682"/>
    </row>
    <row r="3683" spans="3:13" hidden="1" outlineLevel="1" x14ac:dyDescent="0.2">
      <c r="C3683" s="139">
        <v>7570</v>
      </c>
      <c r="D3683" s="248">
        <v>7559.5020999998096</v>
      </c>
      <c r="E3683" s="248">
        <v>7465.5765999999903</v>
      </c>
      <c r="F3683" s="248">
        <v>7598.0217000000002</v>
      </c>
      <c r="G3683" s="248">
        <v>7706.89809999514</v>
      </c>
      <c r="H3683" s="248">
        <v>7901.6093999999703</v>
      </c>
      <c r="I3683"/>
      <c r="J3683"/>
      <c r="K3683"/>
      <c r="L3683"/>
      <c r="M3683"/>
    </row>
    <row r="3684" spans="3:13" hidden="1" outlineLevel="1" x14ac:dyDescent="0.2">
      <c r="C3684" s="139">
        <v>7580</v>
      </c>
      <c r="D3684" s="248">
        <v>7569.6490999998096</v>
      </c>
      <c r="E3684" s="248">
        <v>7475.4385999999904</v>
      </c>
      <c r="F3684" s="248">
        <v>7608.0586999999996</v>
      </c>
      <c r="G3684" s="248">
        <v>7717.0790999951296</v>
      </c>
      <c r="H3684" s="248">
        <v>7912.0473999999704</v>
      </c>
      <c r="I3684"/>
      <c r="J3684"/>
      <c r="K3684"/>
      <c r="L3684"/>
      <c r="M3684"/>
    </row>
    <row r="3685" spans="3:13" hidden="1" outlineLevel="1" x14ac:dyDescent="0.2">
      <c r="C3685" s="139">
        <v>7590</v>
      </c>
      <c r="D3685" s="248">
        <v>7579.7960999998104</v>
      </c>
      <c r="E3685" s="248">
        <v>7485.3005999999896</v>
      </c>
      <c r="F3685" s="248">
        <v>7618.0956999999999</v>
      </c>
      <c r="G3685" s="248">
        <v>7727.2600999951201</v>
      </c>
      <c r="H3685" s="248">
        <v>7922.4853999999696</v>
      </c>
      <c r="I3685"/>
      <c r="J3685"/>
      <c r="K3685"/>
      <c r="L3685"/>
      <c r="M3685"/>
    </row>
    <row r="3686" spans="3:13" hidden="1" outlineLevel="1" x14ac:dyDescent="0.2">
      <c r="C3686" s="139">
        <v>7600</v>
      </c>
      <c r="D3686" s="248">
        <v>7589.9430999998103</v>
      </c>
      <c r="E3686" s="248">
        <v>7495.1625999999897</v>
      </c>
      <c r="F3686" s="248">
        <v>7628.1327000000001</v>
      </c>
      <c r="G3686" s="248">
        <v>7737.4410999951097</v>
      </c>
      <c r="H3686" s="248">
        <v>7932.9233999999697</v>
      </c>
      <c r="I3686"/>
      <c r="J3686"/>
      <c r="K3686"/>
      <c r="L3686"/>
      <c r="M3686"/>
    </row>
    <row r="3687" spans="3:13" hidden="1" outlineLevel="1" x14ac:dyDescent="0.2">
      <c r="C3687" s="139">
        <v>7610</v>
      </c>
      <c r="D3687" s="248">
        <v>7600.0900999998103</v>
      </c>
      <c r="E3687" s="248">
        <v>7505.0245999999897</v>
      </c>
      <c r="F3687" s="248">
        <v>7638.1697000000004</v>
      </c>
      <c r="G3687" s="248">
        <v>7747.6220999951001</v>
      </c>
      <c r="H3687" s="248">
        <v>7943.3613999999698</v>
      </c>
      <c r="I3687"/>
      <c r="J3687"/>
      <c r="K3687"/>
      <c r="L3687"/>
      <c r="M3687"/>
    </row>
    <row r="3688" spans="3:13" hidden="1" outlineLevel="1" x14ac:dyDescent="0.2">
      <c r="C3688" s="139">
        <v>7620</v>
      </c>
      <c r="D3688" s="248">
        <v>7610.2370999998102</v>
      </c>
      <c r="E3688" s="248">
        <v>7514.8865999999898</v>
      </c>
      <c r="F3688" s="248">
        <v>7648.2066999999997</v>
      </c>
      <c r="G3688" s="248">
        <v>7757.8030999950897</v>
      </c>
      <c r="H3688" s="248">
        <v>7953.7993999999699</v>
      </c>
      <c r="I3688"/>
      <c r="J3688"/>
      <c r="K3688"/>
      <c r="L3688"/>
      <c r="M3688"/>
    </row>
    <row r="3689" spans="3:13" hidden="1" outlineLevel="1" x14ac:dyDescent="0.2">
      <c r="C3689" s="139">
        <v>7630</v>
      </c>
      <c r="D3689" s="248">
        <v>7620.3840999998101</v>
      </c>
      <c r="E3689" s="248">
        <v>7524.7485999999899</v>
      </c>
      <c r="F3689" s="248">
        <v>7658.2437</v>
      </c>
      <c r="G3689" s="248">
        <v>7767.9840999950802</v>
      </c>
      <c r="H3689" s="248">
        <v>7964.23739999997</v>
      </c>
      <c r="I3689"/>
      <c r="J3689"/>
      <c r="K3689"/>
      <c r="L3689"/>
      <c r="M3689"/>
    </row>
    <row r="3690" spans="3:13" hidden="1" outlineLevel="1" x14ac:dyDescent="0.2">
      <c r="C3690" s="139">
        <v>7640</v>
      </c>
      <c r="D3690" s="248">
        <v>7630.5310999998101</v>
      </c>
      <c r="E3690" s="248">
        <v>7534.61059999999</v>
      </c>
      <c r="F3690" s="248">
        <v>7668.2807000000003</v>
      </c>
      <c r="G3690" s="248">
        <v>7778.1650999950698</v>
      </c>
      <c r="H3690" s="248">
        <v>7974.6753999999701</v>
      </c>
      <c r="I3690"/>
      <c r="J3690"/>
      <c r="K3690"/>
      <c r="L3690"/>
      <c r="M3690"/>
    </row>
    <row r="3691" spans="3:13" hidden="1" outlineLevel="1" x14ac:dyDescent="0.2">
      <c r="C3691" s="139">
        <v>7650</v>
      </c>
      <c r="D3691" s="248">
        <v>7640.67809999981</v>
      </c>
      <c r="E3691" s="248">
        <v>7544.4725999999901</v>
      </c>
      <c r="F3691" s="248">
        <v>7678.3176999999996</v>
      </c>
      <c r="G3691" s="248">
        <v>7788.3460999950603</v>
      </c>
      <c r="H3691" s="248">
        <v>7985.1133999999702</v>
      </c>
      <c r="I3691"/>
      <c r="J3691"/>
      <c r="K3691"/>
      <c r="L3691"/>
      <c r="M3691"/>
    </row>
    <row r="3692" spans="3:13" hidden="1" outlineLevel="1" x14ac:dyDescent="0.2">
      <c r="C3692" s="139">
        <v>7660</v>
      </c>
      <c r="D3692" s="248">
        <v>7650.8250999998099</v>
      </c>
      <c r="E3692" s="248">
        <v>7554.3345999999901</v>
      </c>
      <c r="F3692" s="248">
        <v>7688.3546999999999</v>
      </c>
      <c r="G3692" s="248">
        <v>7798.5270999950399</v>
      </c>
      <c r="H3692" s="248">
        <v>7995.5513999999703</v>
      </c>
      <c r="I3692"/>
      <c r="J3692"/>
      <c r="K3692"/>
      <c r="L3692"/>
      <c r="M3692"/>
    </row>
    <row r="3693" spans="3:13" hidden="1" outlineLevel="1" x14ac:dyDescent="0.2">
      <c r="C3693" s="139">
        <v>7670</v>
      </c>
      <c r="D3693" s="248">
        <v>7660.9720999998099</v>
      </c>
      <c r="E3693" s="248">
        <v>7564.1965999999902</v>
      </c>
      <c r="F3693" s="248">
        <v>7698.3917000000001</v>
      </c>
      <c r="G3693" s="248">
        <v>7808.7080999950304</v>
      </c>
      <c r="H3693" s="248">
        <v>8005.9893999999704</v>
      </c>
      <c r="I3693"/>
      <c r="J3693"/>
      <c r="K3693"/>
      <c r="L3693"/>
      <c r="M3693"/>
    </row>
    <row r="3694" spans="3:13" hidden="1" outlineLevel="1" x14ac:dyDescent="0.2">
      <c r="C3694" s="139">
        <v>7680</v>
      </c>
      <c r="D3694" s="248">
        <v>7671.1190999998098</v>
      </c>
      <c r="E3694" s="248">
        <v>7574.0585999999803</v>
      </c>
      <c r="F3694" s="248">
        <v>7708.4287000000004</v>
      </c>
      <c r="G3694" s="248">
        <v>7818.8890999950199</v>
      </c>
      <c r="H3694" s="248">
        <v>8016.4273999999696</v>
      </c>
      <c r="I3694"/>
      <c r="J3694"/>
      <c r="K3694"/>
      <c r="L3694"/>
      <c r="M3694"/>
    </row>
    <row r="3695" spans="3:13" hidden="1" outlineLevel="1" x14ac:dyDescent="0.2">
      <c r="C3695" s="139">
        <v>7690</v>
      </c>
      <c r="D3695" s="248">
        <v>7681.2660999998097</v>
      </c>
      <c r="E3695" s="248">
        <v>7583.9205999999804</v>
      </c>
      <c r="F3695" s="248">
        <v>7718.4656999999997</v>
      </c>
      <c r="G3695" s="248">
        <v>7829.0700999950104</v>
      </c>
      <c r="H3695" s="248">
        <v>8026.8653999999697</v>
      </c>
      <c r="I3695"/>
      <c r="J3695"/>
      <c r="K3695"/>
      <c r="L3695"/>
      <c r="M3695"/>
    </row>
    <row r="3696" spans="3:13" hidden="1" outlineLevel="1" x14ac:dyDescent="0.2">
      <c r="C3696" s="139">
        <v>7700</v>
      </c>
      <c r="D3696" s="248">
        <v>7691.4130999998097</v>
      </c>
      <c r="E3696" s="248">
        <v>7593.7825999999804</v>
      </c>
      <c r="F3696" s="248">
        <v>7728.5027</v>
      </c>
      <c r="G3696" s="248">
        <v>7839.251099995</v>
      </c>
      <c r="H3696" s="248">
        <v>8037.3033999999698</v>
      </c>
      <c r="I3696"/>
      <c r="J3696"/>
      <c r="K3696"/>
      <c r="L3696"/>
      <c r="M3696"/>
    </row>
    <row r="3697" spans="3:13" hidden="1" outlineLevel="1" x14ac:dyDescent="0.2">
      <c r="C3697" s="139">
        <v>7710</v>
      </c>
      <c r="D3697" s="248">
        <v>7701.5600999998096</v>
      </c>
      <c r="E3697" s="248">
        <v>7603.6445999999796</v>
      </c>
      <c r="F3697" s="248">
        <v>7738.5397000000003</v>
      </c>
      <c r="G3697" s="248">
        <v>7849.4320999949896</v>
      </c>
      <c r="H3697" s="248">
        <v>8047.7413999999699</v>
      </c>
      <c r="I3697"/>
      <c r="J3697"/>
      <c r="K3697"/>
      <c r="L3697"/>
      <c r="M3697"/>
    </row>
    <row r="3698" spans="3:13" hidden="1" outlineLevel="1" x14ac:dyDescent="0.2">
      <c r="C3698" s="139">
        <v>7720</v>
      </c>
      <c r="D3698" s="248">
        <v>7711.7070999998105</v>
      </c>
      <c r="E3698" s="248">
        <v>7613.5065999999797</v>
      </c>
      <c r="F3698" s="248">
        <v>7748.5766999999996</v>
      </c>
      <c r="G3698" s="248">
        <v>7859.6130999949801</v>
      </c>
      <c r="H3698" s="248">
        <v>8058.17939999997</v>
      </c>
      <c r="I3698"/>
      <c r="J3698"/>
      <c r="K3698"/>
      <c r="L3698"/>
      <c r="M3698"/>
    </row>
    <row r="3699" spans="3:13" hidden="1" outlineLevel="1" x14ac:dyDescent="0.2">
      <c r="C3699" s="139">
        <v>7730</v>
      </c>
      <c r="D3699" s="248">
        <v>7721.8540999998104</v>
      </c>
      <c r="E3699" s="248">
        <v>7623.3685999999798</v>
      </c>
      <c r="F3699" s="248">
        <v>7758.6136999999999</v>
      </c>
      <c r="G3699" s="248">
        <v>7869.7940999949697</v>
      </c>
      <c r="H3699" s="248">
        <v>8068.6173999999701</v>
      </c>
      <c r="I3699"/>
      <c r="J3699"/>
      <c r="K3699"/>
      <c r="L3699"/>
      <c r="M3699"/>
    </row>
    <row r="3700" spans="3:13" hidden="1" outlineLevel="1" x14ac:dyDescent="0.2">
      <c r="C3700" s="139">
        <v>7740</v>
      </c>
      <c r="D3700" s="248">
        <v>7732.0010999998103</v>
      </c>
      <c r="E3700" s="248">
        <v>7633.2305999999799</v>
      </c>
      <c r="F3700" s="248">
        <v>7768.6507000000001</v>
      </c>
      <c r="G3700" s="248">
        <v>7879.9750999949601</v>
      </c>
      <c r="H3700" s="248">
        <v>8079.0553999999702</v>
      </c>
      <c r="I3700"/>
      <c r="J3700"/>
      <c r="K3700"/>
      <c r="L3700"/>
      <c r="M3700"/>
    </row>
    <row r="3701" spans="3:13" hidden="1" outlineLevel="1" x14ac:dyDescent="0.2">
      <c r="C3701" s="139">
        <v>7750</v>
      </c>
      <c r="D3701" s="248">
        <v>7742.1480999998103</v>
      </c>
      <c r="E3701" s="248">
        <v>7643.0925999999799</v>
      </c>
      <c r="F3701" s="248">
        <v>7778.6877000000004</v>
      </c>
      <c r="G3701" s="248">
        <v>7890.1560999949497</v>
      </c>
      <c r="H3701" s="248">
        <v>8089.4933999999703</v>
      </c>
      <c r="I3701"/>
      <c r="J3701"/>
      <c r="K3701"/>
      <c r="L3701"/>
      <c r="M3701"/>
    </row>
    <row r="3702" spans="3:13" hidden="1" outlineLevel="1" x14ac:dyDescent="0.2">
      <c r="C3702" s="139">
        <v>7760</v>
      </c>
      <c r="D3702" s="248">
        <v>7752.2950999998102</v>
      </c>
      <c r="E3702" s="248">
        <v>7652.95459999998</v>
      </c>
      <c r="F3702" s="248">
        <v>7788.7246999999998</v>
      </c>
      <c r="G3702" s="248">
        <v>7900.3370999949402</v>
      </c>
      <c r="H3702" s="248">
        <v>8099.9313999999704</v>
      </c>
      <c r="I3702"/>
      <c r="J3702"/>
      <c r="K3702"/>
      <c r="L3702"/>
      <c r="M3702"/>
    </row>
    <row r="3703" spans="3:13" hidden="1" outlineLevel="1" x14ac:dyDescent="0.2">
      <c r="C3703" s="139">
        <v>7770</v>
      </c>
      <c r="D3703" s="248">
        <v>7762.4420999998101</v>
      </c>
      <c r="E3703" s="248">
        <v>7662.8165999999801</v>
      </c>
      <c r="F3703" s="248">
        <v>7798.7617</v>
      </c>
      <c r="G3703" s="248">
        <v>7910.5180999949298</v>
      </c>
      <c r="H3703" s="248">
        <v>8110.3693999999696</v>
      </c>
      <c r="I3703"/>
      <c r="J3703"/>
      <c r="K3703"/>
      <c r="L3703"/>
      <c r="M3703"/>
    </row>
    <row r="3704" spans="3:13" hidden="1" outlineLevel="1" x14ac:dyDescent="0.2">
      <c r="C3704" s="139">
        <v>7780</v>
      </c>
      <c r="D3704" s="248">
        <v>7772.5890999998101</v>
      </c>
      <c r="E3704" s="248">
        <v>7672.6785999999802</v>
      </c>
      <c r="F3704" s="248">
        <v>7808.7987000000003</v>
      </c>
      <c r="G3704" s="248">
        <v>7920.6990999949203</v>
      </c>
      <c r="H3704" s="248">
        <v>8120.8073999999697</v>
      </c>
      <c r="I3704"/>
      <c r="J3704"/>
      <c r="K3704"/>
      <c r="L3704"/>
      <c r="M3704"/>
    </row>
    <row r="3705" spans="3:13" hidden="1" outlineLevel="1" x14ac:dyDescent="0.2">
      <c r="C3705" s="139">
        <v>7790</v>
      </c>
      <c r="D3705" s="248">
        <v>7782.73609999981</v>
      </c>
      <c r="E3705" s="248">
        <v>7682.5405999999803</v>
      </c>
      <c r="F3705" s="248">
        <v>7818.8356999999996</v>
      </c>
      <c r="G3705" s="248">
        <v>7930.8800999949099</v>
      </c>
      <c r="H3705" s="248">
        <v>8131.2453999999698</v>
      </c>
      <c r="I3705"/>
      <c r="J3705"/>
      <c r="K3705"/>
      <c r="L3705"/>
      <c r="M3705"/>
    </row>
    <row r="3706" spans="3:13" hidden="1" outlineLevel="1" x14ac:dyDescent="0.2">
      <c r="C3706" s="139">
        <v>7800</v>
      </c>
      <c r="D3706" s="248">
        <v>7792.8830999998099</v>
      </c>
      <c r="E3706" s="248">
        <v>7692.4025999999803</v>
      </c>
      <c r="F3706" s="248">
        <v>7828.8726999999999</v>
      </c>
      <c r="G3706" s="248">
        <v>7941.0610999949004</v>
      </c>
      <c r="H3706" s="248">
        <v>8141.6833999999699</v>
      </c>
      <c r="I3706"/>
      <c r="J3706"/>
      <c r="K3706"/>
      <c r="L3706"/>
      <c r="M3706"/>
    </row>
    <row r="3707" spans="3:13" hidden="1" outlineLevel="1" x14ac:dyDescent="0.2">
      <c r="C3707" s="139">
        <v>7810</v>
      </c>
      <c r="D3707" s="248">
        <v>7803.0300999998099</v>
      </c>
      <c r="E3707" s="248">
        <v>7702.2645999999804</v>
      </c>
      <c r="F3707" s="248">
        <v>7838.9097000000002</v>
      </c>
      <c r="G3707" s="248">
        <v>7951.2420999948899</v>
      </c>
      <c r="H3707" s="248">
        <v>8152.12139999997</v>
      </c>
      <c r="I3707"/>
      <c r="J3707"/>
      <c r="K3707"/>
      <c r="L3707"/>
      <c r="M3707"/>
    </row>
    <row r="3708" spans="3:13" hidden="1" outlineLevel="1" x14ac:dyDescent="0.2">
      <c r="C3708" s="139">
        <v>7820</v>
      </c>
      <c r="D3708" s="248">
        <v>7813.1770999998098</v>
      </c>
      <c r="E3708" s="248">
        <v>7712.1265999999796</v>
      </c>
      <c r="F3708" s="248">
        <v>7848.9467000000004</v>
      </c>
      <c r="G3708" s="248">
        <v>7961.4230999948804</v>
      </c>
      <c r="H3708" s="248">
        <v>8162.5593999999701</v>
      </c>
      <c r="I3708"/>
      <c r="J3708"/>
      <c r="K3708"/>
      <c r="L3708"/>
      <c r="M3708"/>
    </row>
    <row r="3709" spans="3:13" hidden="1" outlineLevel="1" x14ac:dyDescent="0.2">
      <c r="C3709" s="139">
        <v>7830</v>
      </c>
      <c r="D3709" s="248">
        <v>7823.3240999998097</v>
      </c>
      <c r="E3709" s="248">
        <v>7721.9885999999797</v>
      </c>
      <c r="F3709" s="248">
        <v>7858.9836999999998</v>
      </c>
      <c r="G3709" s="248">
        <v>7971.60409999487</v>
      </c>
      <c r="H3709" s="248">
        <v>8172.9973999999702</v>
      </c>
      <c r="I3709"/>
      <c r="J3709"/>
      <c r="K3709"/>
      <c r="L3709"/>
      <c r="M3709"/>
    </row>
    <row r="3710" spans="3:13" hidden="1" outlineLevel="1" x14ac:dyDescent="0.2">
      <c r="C3710" s="139">
        <v>7840</v>
      </c>
      <c r="D3710" s="248">
        <v>7833.4710999998097</v>
      </c>
      <c r="E3710" s="248">
        <v>7731.8505999999797</v>
      </c>
      <c r="F3710" s="248">
        <v>7869.0207</v>
      </c>
      <c r="G3710" s="248">
        <v>7981.7850999948596</v>
      </c>
      <c r="H3710" s="248">
        <v>8183.4353999999703</v>
      </c>
      <c r="I3710"/>
      <c r="J3710"/>
      <c r="K3710"/>
      <c r="L3710"/>
      <c r="M3710"/>
    </row>
    <row r="3711" spans="3:13" hidden="1" outlineLevel="1" x14ac:dyDescent="0.2">
      <c r="C3711" s="139">
        <v>7850</v>
      </c>
      <c r="D3711" s="248">
        <v>7843.6180999998096</v>
      </c>
      <c r="E3711" s="248">
        <v>7741.7125999999798</v>
      </c>
      <c r="F3711" s="248">
        <v>7879.0577000000003</v>
      </c>
      <c r="G3711" s="248">
        <v>7991.9660999948501</v>
      </c>
      <c r="H3711" s="248">
        <v>8193.8733999999695</v>
      </c>
      <c r="I3711"/>
      <c r="J3711"/>
      <c r="K3711"/>
      <c r="L3711"/>
      <c r="M3711"/>
    </row>
    <row r="3712" spans="3:13" hidden="1" outlineLevel="1" x14ac:dyDescent="0.2">
      <c r="C3712" s="139">
        <v>7860</v>
      </c>
      <c r="D3712" s="248">
        <v>7853.7650999998104</v>
      </c>
      <c r="E3712" s="248">
        <v>7751.5745999999799</v>
      </c>
      <c r="F3712" s="248">
        <v>7889.0946999999996</v>
      </c>
      <c r="G3712" s="248">
        <v>8002.1470999948397</v>
      </c>
      <c r="H3712" s="248">
        <v>8204.3113999999696</v>
      </c>
      <c r="I3712"/>
      <c r="J3712"/>
      <c r="K3712"/>
      <c r="L3712"/>
      <c r="M3712"/>
    </row>
    <row r="3713" spans="3:13" hidden="1" outlineLevel="1" x14ac:dyDescent="0.2">
      <c r="C3713" s="139">
        <v>7870</v>
      </c>
      <c r="D3713" s="248">
        <v>7863.9120999998104</v>
      </c>
      <c r="E3713" s="248">
        <v>7761.43659999998</v>
      </c>
      <c r="F3713" s="248">
        <v>7899.1316999999999</v>
      </c>
      <c r="G3713" s="248">
        <v>8012.3280999948302</v>
      </c>
      <c r="H3713" s="248">
        <v>8214.7493999999697</v>
      </c>
      <c r="I3713"/>
      <c r="J3713"/>
      <c r="K3713"/>
      <c r="L3713"/>
      <c r="M3713"/>
    </row>
    <row r="3714" spans="3:13" hidden="1" outlineLevel="1" x14ac:dyDescent="0.2">
      <c r="C3714" s="139">
        <v>7880</v>
      </c>
      <c r="D3714" s="248">
        <v>7874.0590999998103</v>
      </c>
      <c r="E3714" s="248">
        <v>7771.2985999999801</v>
      </c>
      <c r="F3714" s="248">
        <v>7909.1687000000002</v>
      </c>
      <c r="G3714" s="248">
        <v>8022.5090999948197</v>
      </c>
      <c r="H3714" s="248">
        <v>8225.1873999999698</v>
      </c>
      <c r="I3714"/>
      <c r="J3714"/>
      <c r="K3714"/>
      <c r="L3714"/>
      <c r="M3714"/>
    </row>
    <row r="3715" spans="3:13" hidden="1" outlineLevel="1" x14ac:dyDescent="0.2">
      <c r="C3715" s="139">
        <v>7890</v>
      </c>
      <c r="D3715" s="248">
        <v>7884.2060999998102</v>
      </c>
      <c r="E3715" s="248">
        <v>7781.1605999999801</v>
      </c>
      <c r="F3715" s="248">
        <v>7919.2057000000004</v>
      </c>
      <c r="G3715" s="248">
        <v>8032.6900999948102</v>
      </c>
      <c r="H3715" s="248">
        <v>8235.6253999999699</v>
      </c>
      <c r="I3715"/>
      <c r="J3715"/>
      <c r="K3715"/>
      <c r="L3715"/>
      <c r="M3715"/>
    </row>
    <row r="3716" spans="3:13" hidden="1" outlineLevel="1" x14ac:dyDescent="0.2">
      <c r="C3716" s="139">
        <v>7900</v>
      </c>
      <c r="D3716" s="248">
        <v>7894.3530999998102</v>
      </c>
      <c r="E3716" s="248">
        <v>7791.0225999999802</v>
      </c>
      <c r="F3716" s="248">
        <v>7929.2426999999998</v>
      </c>
      <c r="G3716" s="248">
        <v>8042.8710999947898</v>
      </c>
      <c r="H3716" s="248">
        <v>8246.06339999997</v>
      </c>
      <c r="I3716"/>
      <c r="J3716"/>
      <c r="K3716"/>
      <c r="L3716"/>
      <c r="M3716"/>
    </row>
    <row r="3717" spans="3:13" hidden="1" outlineLevel="1" x14ac:dyDescent="0.2">
      <c r="C3717" s="139">
        <v>7910</v>
      </c>
      <c r="D3717" s="248">
        <v>7904.5000999998101</v>
      </c>
      <c r="E3717" s="248">
        <v>7800.8845999999803</v>
      </c>
      <c r="F3717" s="248">
        <v>7939.27969999999</v>
      </c>
      <c r="G3717" s="248">
        <v>8053.0520999947803</v>
      </c>
      <c r="H3717" s="248">
        <v>8256.5013999999701</v>
      </c>
      <c r="I3717"/>
      <c r="J3717"/>
      <c r="K3717"/>
      <c r="L3717"/>
      <c r="M3717"/>
    </row>
    <row r="3718" spans="3:13" hidden="1" outlineLevel="1" x14ac:dyDescent="0.2">
      <c r="C3718" s="139">
        <v>7920</v>
      </c>
      <c r="D3718" s="248">
        <v>7914.6470999998101</v>
      </c>
      <c r="E3718" s="248">
        <v>7810.7465999999804</v>
      </c>
      <c r="F3718" s="248">
        <v>7949.3167000000003</v>
      </c>
      <c r="G3718" s="248">
        <v>8063.2330999947699</v>
      </c>
      <c r="H3718" s="248">
        <v>8266.9393999999702</v>
      </c>
      <c r="I3718"/>
      <c r="J3718"/>
      <c r="K3718"/>
      <c r="L3718"/>
      <c r="M3718"/>
    </row>
    <row r="3719" spans="3:13" hidden="1" outlineLevel="1" x14ac:dyDescent="0.2">
      <c r="C3719" s="139">
        <v>7930</v>
      </c>
      <c r="D3719" s="248">
        <v>7924.79409999981</v>
      </c>
      <c r="E3719" s="248">
        <v>7820.6085999999696</v>
      </c>
      <c r="F3719" s="248">
        <v>7959.3536999999997</v>
      </c>
      <c r="G3719" s="248">
        <v>8073.4140999947604</v>
      </c>
      <c r="H3719" s="248">
        <v>8277.3773999999703</v>
      </c>
      <c r="I3719"/>
      <c r="J3719"/>
      <c r="K3719"/>
      <c r="L3719"/>
      <c r="M3719"/>
    </row>
    <row r="3720" spans="3:13" hidden="1" outlineLevel="1" x14ac:dyDescent="0.2">
      <c r="C3720" s="139">
        <v>7940</v>
      </c>
      <c r="D3720" s="248">
        <v>7934.9410999998099</v>
      </c>
      <c r="E3720" s="248">
        <v>7830.4705999999696</v>
      </c>
      <c r="F3720" s="248">
        <v>7969.3906999999899</v>
      </c>
      <c r="G3720" s="248">
        <v>8083.5950999947499</v>
      </c>
      <c r="H3720" s="248">
        <v>8287.8153999999704</v>
      </c>
      <c r="I3720"/>
      <c r="J3720"/>
      <c r="K3720"/>
      <c r="L3720"/>
      <c r="M3720"/>
    </row>
    <row r="3721" spans="3:13" hidden="1" outlineLevel="1" x14ac:dyDescent="0.2">
      <c r="C3721" s="139">
        <v>7950</v>
      </c>
      <c r="D3721" s="248">
        <v>7945.0880999998099</v>
      </c>
      <c r="E3721" s="248">
        <v>7840.3325999999697</v>
      </c>
      <c r="F3721" s="248">
        <v>7979.4276999999902</v>
      </c>
      <c r="G3721" s="248">
        <v>8093.7760999947404</v>
      </c>
      <c r="H3721" s="248">
        <v>8298.2533999999705</v>
      </c>
      <c r="I3721"/>
      <c r="J3721"/>
      <c r="K3721"/>
      <c r="L3721"/>
      <c r="M3721"/>
    </row>
    <row r="3722" spans="3:13" hidden="1" outlineLevel="1" x14ac:dyDescent="0.2">
      <c r="C3722" s="139">
        <v>7960</v>
      </c>
      <c r="D3722" s="248">
        <v>7955.2350999998098</v>
      </c>
      <c r="E3722" s="248">
        <v>7850.1945999999698</v>
      </c>
      <c r="F3722" s="248">
        <v>7989.4646999999904</v>
      </c>
      <c r="G3722" s="248">
        <v>8103.95709999473</v>
      </c>
      <c r="H3722" s="248">
        <v>8308.6913999999706</v>
      </c>
      <c r="I3722"/>
      <c r="J3722"/>
      <c r="K3722"/>
      <c r="L3722"/>
      <c r="M3722"/>
    </row>
    <row r="3723" spans="3:13" hidden="1" outlineLevel="1" x14ac:dyDescent="0.2">
      <c r="C3723" s="139">
        <v>7970</v>
      </c>
      <c r="D3723" s="248">
        <v>7965.3820999998097</v>
      </c>
      <c r="E3723" s="248">
        <v>7860.0565999999699</v>
      </c>
      <c r="F3723" s="248">
        <v>7999.5016999999898</v>
      </c>
      <c r="G3723" s="248">
        <v>8114.1380999947196</v>
      </c>
      <c r="H3723" s="248">
        <v>8319.1293999999707</v>
      </c>
      <c r="I3723"/>
      <c r="J3723"/>
      <c r="K3723"/>
      <c r="L3723"/>
      <c r="M3723"/>
    </row>
    <row r="3724" spans="3:13" hidden="1" outlineLevel="1" x14ac:dyDescent="0.2">
      <c r="C3724" s="139">
        <v>7980</v>
      </c>
      <c r="D3724" s="248">
        <v>7975.5290999998097</v>
      </c>
      <c r="E3724" s="248">
        <v>7869.91859999997</v>
      </c>
      <c r="F3724" s="248">
        <v>8009.5386999999901</v>
      </c>
      <c r="G3724" s="248">
        <v>8124.3190999947101</v>
      </c>
      <c r="H3724" s="248">
        <v>8329.5673999999708</v>
      </c>
      <c r="I3724"/>
      <c r="J3724"/>
      <c r="K3724"/>
      <c r="L3724"/>
      <c r="M3724"/>
    </row>
    <row r="3725" spans="3:13" hidden="1" outlineLevel="1" x14ac:dyDescent="0.2">
      <c r="C3725" s="139">
        <v>7990</v>
      </c>
      <c r="D3725" s="248">
        <v>7985.6760999998096</v>
      </c>
      <c r="E3725" s="248">
        <v>7879.78059999997</v>
      </c>
      <c r="F3725" s="248">
        <v>8019.5756999999903</v>
      </c>
      <c r="G3725" s="248">
        <v>8134.5000999946997</v>
      </c>
      <c r="H3725" s="248">
        <v>8340.0053999999709</v>
      </c>
      <c r="I3725"/>
      <c r="J3725"/>
      <c r="K3725"/>
      <c r="L3725"/>
      <c r="M3725"/>
    </row>
    <row r="3726" spans="3:13" hidden="1" outlineLevel="1" x14ac:dyDescent="0.2">
      <c r="C3726" s="139">
        <v>8000</v>
      </c>
      <c r="D3726" s="248">
        <v>7995.8230999998104</v>
      </c>
      <c r="E3726" s="248">
        <v>7889.6425999999701</v>
      </c>
      <c r="F3726" s="248">
        <v>8029.6126999999897</v>
      </c>
      <c r="G3726" s="248">
        <v>8144.6810999946902</v>
      </c>
      <c r="H3726" s="248">
        <v>8350.4433999999692</v>
      </c>
      <c r="I3726"/>
      <c r="J3726"/>
      <c r="K3726"/>
      <c r="L3726"/>
      <c r="M3726"/>
    </row>
    <row r="3727" spans="3:13" hidden="1" outlineLevel="1" x14ac:dyDescent="0.2">
      <c r="C3727" s="139">
        <v>8010</v>
      </c>
      <c r="D3727" s="248">
        <v>8005.9700999998104</v>
      </c>
      <c r="E3727" s="248">
        <v>7899.5045999999702</v>
      </c>
      <c r="F3727" s="248">
        <v>8039.6496999999899</v>
      </c>
      <c r="G3727" s="248">
        <v>8154.8620999946797</v>
      </c>
      <c r="H3727" s="248">
        <v>8360.8813999999693</v>
      </c>
      <c r="I3727"/>
      <c r="J3727"/>
      <c r="K3727"/>
      <c r="L3727"/>
      <c r="M3727"/>
    </row>
    <row r="3728" spans="3:13" hidden="1" outlineLevel="1" x14ac:dyDescent="0.2">
      <c r="C3728" s="139">
        <v>8020</v>
      </c>
      <c r="D3728" s="248">
        <v>8016.1170999998103</v>
      </c>
      <c r="E3728" s="248">
        <v>7909.3665999999703</v>
      </c>
      <c r="F3728" s="248">
        <v>8049.6866999999902</v>
      </c>
      <c r="G3728" s="248">
        <v>8165.0430999946702</v>
      </c>
      <c r="H3728" s="248">
        <v>8371.3193999999694</v>
      </c>
      <c r="I3728"/>
      <c r="J3728"/>
      <c r="K3728"/>
      <c r="L3728"/>
      <c r="M3728"/>
    </row>
    <row r="3729" spans="3:13" hidden="1" outlineLevel="1" x14ac:dyDescent="0.2">
      <c r="C3729" s="139">
        <v>8030</v>
      </c>
      <c r="D3729" s="248">
        <v>8026.2640999998102</v>
      </c>
      <c r="E3729" s="248">
        <v>7919.2285999999704</v>
      </c>
      <c r="F3729" s="248">
        <v>8059.7236999999895</v>
      </c>
      <c r="G3729" s="248">
        <v>8175.2240999946598</v>
      </c>
      <c r="H3729" s="248">
        <v>8381.7573999999695</v>
      </c>
      <c r="I3729"/>
      <c r="J3729"/>
      <c r="K3729"/>
      <c r="L3729"/>
      <c r="M3729"/>
    </row>
    <row r="3730" spans="3:13" hidden="1" outlineLevel="1" x14ac:dyDescent="0.2">
      <c r="C3730" s="139">
        <v>8040</v>
      </c>
      <c r="D3730" s="248">
        <v>8036.4110999998102</v>
      </c>
      <c r="E3730" s="248">
        <v>7929.0905999999704</v>
      </c>
      <c r="F3730" s="248">
        <v>8069.7606999999898</v>
      </c>
      <c r="G3730" s="248">
        <v>8185.4050999946503</v>
      </c>
      <c r="H3730" s="248">
        <v>8392.1953999999696</v>
      </c>
      <c r="I3730"/>
      <c r="J3730"/>
      <c r="K3730"/>
      <c r="L3730"/>
      <c r="M3730"/>
    </row>
    <row r="3731" spans="3:13" hidden="1" outlineLevel="1" x14ac:dyDescent="0.2">
      <c r="C3731" s="139">
        <v>8050</v>
      </c>
      <c r="D3731" s="248">
        <v>8046.5580999998101</v>
      </c>
      <c r="E3731" s="248">
        <v>7938.9525999999696</v>
      </c>
      <c r="F3731" s="248">
        <v>8079.7976999999901</v>
      </c>
      <c r="G3731" s="248">
        <v>8195.5860999946399</v>
      </c>
      <c r="H3731" s="248">
        <v>8402.6333999999697</v>
      </c>
      <c r="I3731"/>
      <c r="J3731"/>
      <c r="K3731"/>
      <c r="L3731"/>
      <c r="M3731"/>
    </row>
    <row r="3732" spans="3:13" hidden="1" outlineLevel="1" x14ac:dyDescent="0.2">
      <c r="C3732" s="139">
        <v>8060</v>
      </c>
      <c r="D3732" s="248">
        <v>8056.70509999981</v>
      </c>
      <c r="E3732" s="248">
        <v>7948.8145999999697</v>
      </c>
      <c r="F3732" s="248">
        <v>8089.8346999999903</v>
      </c>
      <c r="G3732" s="248">
        <v>8205.7670999946295</v>
      </c>
      <c r="H3732" s="248">
        <v>8413.0713999999698</v>
      </c>
      <c r="I3732"/>
      <c r="J3732"/>
      <c r="K3732"/>
      <c r="L3732"/>
      <c r="M3732"/>
    </row>
    <row r="3733" spans="3:13" hidden="1" outlineLevel="1" x14ac:dyDescent="0.2">
      <c r="C3733" s="139">
        <v>8070</v>
      </c>
      <c r="D3733" s="248">
        <v>8066.85209999981</v>
      </c>
      <c r="E3733" s="248">
        <v>7958.6765999999698</v>
      </c>
      <c r="F3733" s="248">
        <v>8099.8716999999897</v>
      </c>
      <c r="G3733" s="248">
        <v>8215.9480999946209</v>
      </c>
      <c r="H3733" s="248">
        <v>8423.5093999999699</v>
      </c>
      <c r="I3733"/>
      <c r="J3733"/>
      <c r="K3733"/>
      <c r="L3733"/>
      <c r="M3733"/>
    </row>
    <row r="3734" spans="3:13" hidden="1" outlineLevel="1" x14ac:dyDescent="0.2">
      <c r="C3734" s="139">
        <v>8080</v>
      </c>
      <c r="D3734" s="248">
        <v>8076.9990999998099</v>
      </c>
      <c r="E3734" s="248">
        <v>7968.5385999999698</v>
      </c>
      <c r="F3734" s="248">
        <v>8109.9086999999899</v>
      </c>
      <c r="G3734" s="248">
        <v>8226.1290999946104</v>
      </c>
      <c r="H3734" s="248">
        <v>8433.94739999997</v>
      </c>
      <c r="I3734"/>
      <c r="J3734"/>
      <c r="K3734"/>
      <c r="L3734"/>
      <c r="M3734"/>
    </row>
    <row r="3735" spans="3:13" hidden="1" outlineLevel="1" x14ac:dyDescent="0.2">
      <c r="C3735" s="139">
        <v>8090</v>
      </c>
      <c r="D3735" s="248">
        <v>8087.1460999998098</v>
      </c>
      <c r="E3735" s="248">
        <v>7978.4005999999699</v>
      </c>
      <c r="F3735" s="248">
        <v>8119.9456999999902</v>
      </c>
      <c r="G3735" s="248">
        <v>8236.3100999946</v>
      </c>
      <c r="H3735" s="248">
        <v>8444.3853999999701</v>
      </c>
      <c r="I3735"/>
      <c r="J3735"/>
      <c r="K3735"/>
      <c r="L3735"/>
      <c r="M3735"/>
    </row>
    <row r="3736" spans="3:13" hidden="1" outlineLevel="1" x14ac:dyDescent="0.2">
      <c r="C3736" s="139">
        <v>8100</v>
      </c>
      <c r="D3736" s="248">
        <v>8097.2930999998098</v>
      </c>
      <c r="E3736" s="248">
        <v>7988.26259999997</v>
      </c>
      <c r="F3736" s="248">
        <v>8129.9826999999896</v>
      </c>
      <c r="G3736" s="248">
        <v>8246.4910999945896</v>
      </c>
      <c r="H3736" s="248">
        <v>8454.8233999999702</v>
      </c>
      <c r="I3736"/>
      <c r="J3736"/>
      <c r="K3736"/>
      <c r="L3736"/>
      <c r="M3736"/>
    </row>
    <row r="3737" spans="3:13" hidden="1" outlineLevel="1" x14ac:dyDescent="0.2">
      <c r="C3737" s="139">
        <v>8110</v>
      </c>
      <c r="D3737" s="248">
        <v>8107.4400999998097</v>
      </c>
      <c r="E3737" s="248">
        <v>7998.1245999999701</v>
      </c>
      <c r="F3737" s="248">
        <v>8140.0196999999898</v>
      </c>
      <c r="G3737" s="248">
        <v>8256.6720999945792</v>
      </c>
      <c r="H3737" s="248">
        <v>8465.2613999999703</v>
      </c>
      <c r="I3737"/>
      <c r="J3737"/>
      <c r="K3737"/>
      <c r="L3737"/>
      <c r="M3737"/>
    </row>
    <row r="3738" spans="3:13" hidden="1" outlineLevel="1" x14ac:dyDescent="0.2">
      <c r="C3738" s="139">
        <v>8120</v>
      </c>
      <c r="D3738" s="248">
        <v>8117.5870999998097</v>
      </c>
      <c r="E3738" s="248">
        <v>8007.9865999999702</v>
      </c>
      <c r="F3738" s="248">
        <v>8150.0566999999901</v>
      </c>
      <c r="G3738" s="248">
        <v>8266.8530999945706</v>
      </c>
      <c r="H3738" s="248">
        <v>8475.6993999999704</v>
      </c>
      <c r="I3738"/>
      <c r="J3738"/>
      <c r="K3738"/>
      <c r="L3738"/>
      <c r="M3738"/>
    </row>
    <row r="3739" spans="3:13" hidden="1" outlineLevel="1" x14ac:dyDescent="0.2">
      <c r="C3739" s="139">
        <v>8130</v>
      </c>
      <c r="D3739" s="248">
        <v>8127.7340999998096</v>
      </c>
      <c r="E3739" s="248">
        <v>8017.8485999999702</v>
      </c>
      <c r="F3739" s="248">
        <v>8160.0936999999903</v>
      </c>
      <c r="G3739" s="248">
        <v>8277.0340999945493</v>
      </c>
      <c r="H3739" s="248">
        <v>8486.1373999999705</v>
      </c>
      <c r="I3739"/>
      <c r="J3739"/>
      <c r="K3739"/>
      <c r="L3739"/>
      <c r="M3739"/>
    </row>
    <row r="3740" spans="3:13" hidden="1" outlineLevel="1" x14ac:dyDescent="0.2">
      <c r="C3740" s="139">
        <v>8140</v>
      </c>
      <c r="D3740" s="248">
        <v>8137.8810999998104</v>
      </c>
      <c r="E3740" s="248">
        <v>8027.7105999999703</v>
      </c>
      <c r="F3740" s="248">
        <v>8170.1306999999897</v>
      </c>
      <c r="G3740" s="248">
        <v>8287.2150999945407</v>
      </c>
      <c r="H3740" s="248">
        <v>8496.5753999999706</v>
      </c>
      <c r="I3740"/>
      <c r="J3740"/>
      <c r="K3740"/>
      <c r="L3740"/>
      <c r="M3740"/>
    </row>
    <row r="3741" spans="3:13" hidden="1" outlineLevel="1" x14ac:dyDescent="0.2">
      <c r="C3741" s="139">
        <v>8150</v>
      </c>
      <c r="D3741" s="248">
        <v>8148.0280999998104</v>
      </c>
      <c r="E3741" s="248">
        <v>8037.5725999999704</v>
      </c>
      <c r="F3741" s="248">
        <v>8180.16769999999</v>
      </c>
      <c r="G3741" s="248">
        <v>8297.3960999945302</v>
      </c>
      <c r="H3741" s="248">
        <v>8507.0133999999707</v>
      </c>
      <c r="I3741"/>
      <c r="J3741"/>
      <c r="K3741"/>
      <c r="L3741"/>
      <c r="M3741"/>
    </row>
    <row r="3742" spans="3:13" hidden="1" outlineLevel="1" x14ac:dyDescent="0.2">
      <c r="C3742" s="139">
        <v>8160</v>
      </c>
      <c r="D3742" s="248">
        <v>8158.1750999998103</v>
      </c>
      <c r="E3742" s="248">
        <v>8047.4345999999696</v>
      </c>
      <c r="F3742" s="248">
        <v>8190.2046999999902</v>
      </c>
      <c r="G3742" s="248">
        <v>8307.5770999945198</v>
      </c>
      <c r="H3742" s="248">
        <v>8517.4513999999708</v>
      </c>
      <c r="I3742"/>
      <c r="J3742"/>
      <c r="K3742"/>
      <c r="L3742"/>
      <c r="M3742"/>
    </row>
    <row r="3743" spans="3:13" hidden="1" outlineLevel="1" x14ac:dyDescent="0.2">
      <c r="C3743" s="139">
        <v>8170</v>
      </c>
      <c r="D3743" s="248">
        <v>8168.3220999998102</v>
      </c>
      <c r="E3743" s="248">
        <v>8057.2965999999697</v>
      </c>
      <c r="F3743" s="248">
        <v>8200.2416999999896</v>
      </c>
      <c r="G3743" s="248">
        <v>8317.7580999945094</v>
      </c>
      <c r="H3743" s="248">
        <v>8527.8893999999691</v>
      </c>
      <c r="I3743"/>
      <c r="J3743"/>
      <c r="K3743"/>
      <c r="L3743"/>
      <c r="M3743"/>
    </row>
    <row r="3744" spans="3:13" hidden="1" outlineLevel="1" x14ac:dyDescent="0.2">
      <c r="C3744" s="139">
        <v>8180</v>
      </c>
      <c r="D3744" s="248">
        <v>8178.4690999998102</v>
      </c>
      <c r="E3744" s="248">
        <v>8067.1585999999697</v>
      </c>
      <c r="F3744" s="248">
        <v>8210.2786999999898</v>
      </c>
      <c r="G3744" s="248">
        <v>8327.9390999945008</v>
      </c>
      <c r="H3744" s="248">
        <v>8538.3273999999692</v>
      </c>
      <c r="I3744"/>
      <c r="J3744"/>
      <c r="K3744"/>
      <c r="L3744"/>
      <c r="M3744"/>
    </row>
    <row r="3745" spans="3:13" hidden="1" outlineLevel="1" x14ac:dyDescent="0.2">
      <c r="C3745" s="139">
        <v>8190</v>
      </c>
      <c r="D3745" s="248">
        <v>8188.6160999998101</v>
      </c>
      <c r="E3745" s="248">
        <v>8077.0205999999698</v>
      </c>
      <c r="F3745" s="248">
        <v>8220.3156999999901</v>
      </c>
      <c r="G3745" s="248">
        <v>8338.1200999944904</v>
      </c>
      <c r="H3745" s="248">
        <v>8548.7653999999693</v>
      </c>
      <c r="I3745"/>
      <c r="J3745"/>
      <c r="K3745"/>
      <c r="L3745"/>
      <c r="M3745"/>
    </row>
    <row r="3746" spans="3:13" hidden="1" outlineLevel="1" x14ac:dyDescent="0.2">
      <c r="C3746" s="139">
        <v>8200</v>
      </c>
      <c r="D3746" s="248">
        <v>8198.7630999998091</v>
      </c>
      <c r="E3746" s="248">
        <v>8086.8825999999699</v>
      </c>
      <c r="F3746" s="248">
        <v>8230.3526999999904</v>
      </c>
      <c r="G3746" s="248">
        <v>8348.30109999448</v>
      </c>
      <c r="H3746" s="248">
        <v>8559.2033999999694</v>
      </c>
      <c r="I3746"/>
      <c r="J3746"/>
      <c r="K3746"/>
      <c r="L3746"/>
      <c r="M3746"/>
    </row>
    <row r="3747" spans="3:13" hidden="1" outlineLevel="1" x14ac:dyDescent="0.2">
      <c r="C3747" s="139">
        <v>8210</v>
      </c>
      <c r="D3747" s="248">
        <v>8208.91009999981</v>
      </c>
      <c r="E3747" s="248">
        <v>8096.74459999996</v>
      </c>
      <c r="F3747" s="248">
        <v>8240.3896999999906</v>
      </c>
      <c r="G3747" s="248">
        <v>8358.4820999944695</v>
      </c>
      <c r="H3747" s="248">
        <v>8569.6413999999695</v>
      </c>
      <c r="I3747"/>
      <c r="J3747"/>
      <c r="K3747"/>
      <c r="L3747"/>
      <c r="M3747"/>
    </row>
    <row r="3748" spans="3:13" hidden="1" outlineLevel="1" x14ac:dyDescent="0.2">
      <c r="C3748" s="139">
        <v>8220</v>
      </c>
      <c r="D3748" s="248">
        <v>8219.0570999998108</v>
      </c>
      <c r="E3748" s="248">
        <v>8106.6065999999601</v>
      </c>
      <c r="F3748" s="248">
        <v>8250.4266999999909</v>
      </c>
      <c r="G3748" s="248">
        <v>8368.6630999944591</v>
      </c>
      <c r="H3748" s="248">
        <v>8580.0793999999696</v>
      </c>
      <c r="I3748"/>
      <c r="J3748"/>
      <c r="K3748"/>
      <c r="L3748"/>
      <c r="M3748"/>
    </row>
    <row r="3749" spans="3:13" hidden="1" outlineLevel="1" x14ac:dyDescent="0.2">
      <c r="C3749" s="139">
        <v>8230</v>
      </c>
      <c r="D3749" s="248">
        <v>8229.2040999998098</v>
      </c>
      <c r="E3749" s="248">
        <v>8116.4685999999601</v>
      </c>
      <c r="F3749" s="248">
        <v>8260.4636999999893</v>
      </c>
      <c r="G3749" s="248">
        <v>8378.8440999944505</v>
      </c>
      <c r="H3749" s="248">
        <v>8590.5173999999697</v>
      </c>
      <c r="I3749"/>
      <c r="J3749"/>
      <c r="K3749"/>
      <c r="L3749"/>
      <c r="M3749"/>
    </row>
    <row r="3750" spans="3:13" hidden="1" outlineLevel="1" x14ac:dyDescent="0.2">
      <c r="C3750" s="139">
        <v>8240</v>
      </c>
      <c r="D3750" s="248">
        <v>8239.3510999998107</v>
      </c>
      <c r="E3750" s="248">
        <v>8126.3305999999602</v>
      </c>
      <c r="F3750" s="248">
        <v>8270.5006999999896</v>
      </c>
      <c r="G3750" s="248">
        <v>8389.0250999944401</v>
      </c>
      <c r="H3750" s="248">
        <v>8600.9553999999698</v>
      </c>
      <c r="I3750"/>
      <c r="J3750"/>
      <c r="K3750"/>
      <c r="L3750"/>
      <c r="M3750"/>
    </row>
    <row r="3751" spans="3:13" hidden="1" outlineLevel="1" x14ac:dyDescent="0.2">
      <c r="C3751" s="139">
        <v>8250</v>
      </c>
      <c r="D3751" s="248">
        <v>8249.4980999998097</v>
      </c>
      <c r="E3751" s="248">
        <v>8136.1925999999603</v>
      </c>
      <c r="F3751" s="248">
        <v>8280.5376999999899</v>
      </c>
      <c r="G3751" s="248">
        <v>8399.2060999944297</v>
      </c>
      <c r="H3751" s="248">
        <v>8611.3933999999699</v>
      </c>
      <c r="I3751"/>
      <c r="J3751"/>
      <c r="K3751"/>
      <c r="L3751"/>
      <c r="M3751"/>
    </row>
    <row r="3752" spans="3:13" hidden="1" outlineLevel="1" x14ac:dyDescent="0.2">
      <c r="C3752" s="139">
        <v>8260</v>
      </c>
      <c r="D3752" s="248">
        <v>8259.6450999998106</v>
      </c>
      <c r="E3752" s="248">
        <v>8146.0545999999604</v>
      </c>
      <c r="F3752" s="248">
        <v>8290.5746999999901</v>
      </c>
      <c r="G3752" s="248">
        <v>8409.3870999944193</v>
      </c>
      <c r="H3752" s="248">
        <v>8621.83139999997</v>
      </c>
      <c r="I3752"/>
      <c r="J3752"/>
      <c r="K3752"/>
      <c r="L3752"/>
      <c r="M3752"/>
    </row>
    <row r="3753" spans="3:13" hidden="1" outlineLevel="1" x14ac:dyDescent="0.2">
      <c r="C3753" s="139">
        <v>8270</v>
      </c>
      <c r="D3753" s="248">
        <v>8269.7920999998096</v>
      </c>
      <c r="E3753" s="248">
        <v>8155.9165999999605</v>
      </c>
      <c r="F3753" s="248">
        <v>8300.6116999999904</v>
      </c>
      <c r="G3753" s="248">
        <v>8419.5680999944107</v>
      </c>
      <c r="H3753" s="248">
        <v>8632.2693999999701</v>
      </c>
      <c r="I3753"/>
      <c r="J3753"/>
      <c r="K3753"/>
      <c r="L3753"/>
      <c r="M3753"/>
    </row>
    <row r="3754" spans="3:13" hidden="1" outlineLevel="1" x14ac:dyDescent="0.2">
      <c r="C3754" s="139">
        <v>8280</v>
      </c>
      <c r="D3754" s="248">
        <v>8279.9390999998104</v>
      </c>
      <c r="E3754" s="248">
        <v>8165.7785999999596</v>
      </c>
      <c r="F3754" s="248">
        <v>8310.6486999999906</v>
      </c>
      <c r="G3754" s="248">
        <v>8429.7490999944002</v>
      </c>
      <c r="H3754" s="248">
        <v>8642.7073999999702</v>
      </c>
      <c r="I3754"/>
      <c r="J3754"/>
      <c r="K3754"/>
      <c r="L3754"/>
      <c r="M3754"/>
    </row>
    <row r="3755" spans="3:13" hidden="1" outlineLevel="1" x14ac:dyDescent="0.2">
      <c r="C3755" s="139">
        <v>8290</v>
      </c>
      <c r="D3755" s="248">
        <v>8290.0860999998094</v>
      </c>
      <c r="E3755" s="248">
        <v>8175.6405999999597</v>
      </c>
      <c r="F3755" s="248">
        <v>8320.6856999999909</v>
      </c>
      <c r="G3755" s="248">
        <v>8439.9300999943898</v>
      </c>
      <c r="H3755" s="248">
        <v>8653.1453999999703</v>
      </c>
      <c r="I3755"/>
      <c r="J3755"/>
      <c r="K3755"/>
      <c r="L3755"/>
      <c r="M3755"/>
    </row>
    <row r="3756" spans="3:13" hidden="1" outlineLevel="1" x14ac:dyDescent="0.2">
      <c r="C3756" s="139">
        <v>8300</v>
      </c>
      <c r="D3756" s="248">
        <v>8300.2330999998103</v>
      </c>
      <c r="E3756" s="248">
        <v>8185.5025999999598</v>
      </c>
      <c r="F3756" s="248">
        <v>8330.7226999999893</v>
      </c>
      <c r="G3756" s="248">
        <v>8450.1110999943794</v>
      </c>
      <c r="H3756" s="248">
        <v>8663.5833999999704</v>
      </c>
      <c r="I3756"/>
      <c r="J3756"/>
      <c r="K3756"/>
      <c r="L3756"/>
      <c r="M3756"/>
    </row>
    <row r="3757" spans="3:13" hidden="1" outlineLevel="1" x14ac:dyDescent="0.2">
      <c r="C3757" s="139">
        <v>8310</v>
      </c>
      <c r="D3757" s="248">
        <v>8310.3800999998093</v>
      </c>
      <c r="E3757" s="248">
        <v>8195.3645999999608</v>
      </c>
      <c r="F3757" s="248">
        <v>8340.7596999999896</v>
      </c>
      <c r="G3757" s="248">
        <v>8460.2920999943708</v>
      </c>
      <c r="H3757" s="248">
        <v>8674.0213999999705</v>
      </c>
      <c r="I3757"/>
      <c r="J3757"/>
      <c r="K3757"/>
      <c r="L3757"/>
      <c r="M3757"/>
    </row>
    <row r="3758" spans="3:13" hidden="1" outlineLevel="1" x14ac:dyDescent="0.2">
      <c r="C3758" s="139">
        <v>8320</v>
      </c>
      <c r="D3758" s="248">
        <v>8320.5270999998102</v>
      </c>
      <c r="E3758" s="248">
        <v>8205.2265999999599</v>
      </c>
      <c r="F3758" s="248">
        <v>8350.7966999999899</v>
      </c>
      <c r="G3758" s="248">
        <v>8470.4730999943604</v>
      </c>
      <c r="H3758" s="248">
        <v>8684.4593999999706</v>
      </c>
      <c r="I3758"/>
      <c r="J3758"/>
      <c r="K3758"/>
      <c r="L3758"/>
      <c r="M3758"/>
    </row>
    <row r="3759" spans="3:13" hidden="1" outlineLevel="1" x14ac:dyDescent="0.2">
      <c r="C3759" s="139">
        <v>8330</v>
      </c>
      <c r="D3759" s="248">
        <v>8330.6740999998092</v>
      </c>
      <c r="E3759" s="248">
        <v>8215.0885999999591</v>
      </c>
      <c r="F3759" s="248">
        <v>8360.8336999999901</v>
      </c>
      <c r="G3759" s="248">
        <v>8480.65409999435</v>
      </c>
      <c r="H3759" s="248">
        <v>8694.8973999999707</v>
      </c>
      <c r="I3759"/>
      <c r="J3759"/>
      <c r="K3759"/>
      <c r="L3759"/>
      <c r="M3759"/>
    </row>
    <row r="3760" spans="3:13" hidden="1" outlineLevel="1" x14ac:dyDescent="0.2">
      <c r="C3760" s="139">
        <v>8340</v>
      </c>
      <c r="D3760" s="248">
        <v>8340.82109999981</v>
      </c>
      <c r="E3760" s="248">
        <v>8224.9505999999601</v>
      </c>
      <c r="F3760" s="248">
        <v>8370.8706999999904</v>
      </c>
      <c r="G3760" s="248">
        <v>8490.8350999943395</v>
      </c>
      <c r="H3760" s="248">
        <v>8705.3353999999708</v>
      </c>
      <c r="I3760"/>
      <c r="J3760"/>
      <c r="K3760"/>
      <c r="L3760"/>
      <c r="M3760"/>
    </row>
    <row r="3761" spans="3:13" hidden="1" outlineLevel="1" x14ac:dyDescent="0.2">
      <c r="C3761" s="139">
        <v>8350</v>
      </c>
      <c r="D3761" s="248">
        <v>8350.9680999998</v>
      </c>
      <c r="E3761" s="248">
        <v>8234.8125999999593</v>
      </c>
      <c r="F3761" s="248">
        <v>8380.9076999999907</v>
      </c>
      <c r="G3761" s="248">
        <v>8501.0160999943291</v>
      </c>
      <c r="H3761" s="248">
        <v>8715.7733999999691</v>
      </c>
      <c r="I3761"/>
      <c r="J3761"/>
      <c r="K3761"/>
      <c r="L3761"/>
      <c r="M3761"/>
    </row>
    <row r="3762" spans="3:13" hidden="1" outlineLevel="1" x14ac:dyDescent="0.2">
      <c r="C3762" s="139">
        <v>8360</v>
      </c>
      <c r="D3762" s="248">
        <v>8361.1150999998008</v>
      </c>
      <c r="E3762" s="248">
        <v>8244.6745999999603</v>
      </c>
      <c r="F3762" s="248">
        <v>8390.9446999999891</v>
      </c>
      <c r="G3762" s="248">
        <v>8511.1970999943205</v>
      </c>
      <c r="H3762" s="248">
        <v>8726.2113999999692</v>
      </c>
      <c r="I3762"/>
      <c r="J3762"/>
      <c r="K3762"/>
      <c r="L3762"/>
      <c r="M3762"/>
    </row>
    <row r="3763" spans="3:13" hidden="1" outlineLevel="1" x14ac:dyDescent="0.2">
      <c r="C3763" s="139">
        <v>8370</v>
      </c>
      <c r="D3763" s="248">
        <v>8371.2620999997998</v>
      </c>
      <c r="E3763" s="248">
        <v>8254.5365999999594</v>
      </c>
      <c r="F3763" s="248">
        <v>8400.9816999999894</v>
      </c>
      <c r="G3763" s="248">
        <v>8521.3780999942992</v>
      </c>
      <c r="H3763" s="248">
        <v>8736.6493999999693</v>
      </c>
      <c r="I3763"/>
      <c r="J3763"/>
      <c r="K3763"/>
      <c r="L3763"/>
      <c r="M3763"/>
    </row>
    <row r="3764" spans="3:13" hidden="1" outlineLevel="1" x14ac:dyDescent="0.2">
      <c r="C3764" s="139">
        <v>8380</v>
      </c>
      <c r="D3764" s="248">
        <v>8381.4090999998007</v>
      </c>
      <c r="E3764" s="248">
        <v>8264.3985999999604</v>
      </c>
      <c r="F3764" s="248">
        <v>8411.0186999999896</v>
      </c>
      <c r="G3764" s="248">
        <v>8531.5590999942906</v>
      </c>
      <c r="H3764" s="248">
        <v>8747.0873999999694</v>
      </c>
      <c r="I3764"/>
      <c r="J3764"/>
      <c r="K3764"/>
      <c r="L3764"/>
      <c r="M3764"/>
    </row>
    <row r="3765" spans="3:13" hidden="1" outlineLevel="1" x14ac:dyDescent="0.2">
      <c r="C3765" s="139">
        <v>8390</v>
      </c>
      <c r="D3765" s="248">
        <v>8391.5560999997997</v>
      </c>
      <c r="E3765" s="248">
        <v>8274.2605999999596</v>
      </c>
      <c r="F3765" s="248">
        <v>8421.0556999999899</v>
      </c>
      <c r="G3765" s="248">
        <v>8541.7400999942802</v>
      </c>
      <c r="H3765" s="248">
        <v>8757.5253999999695</v>
      </c>
      <c r="I3765"/>
      <c r="J3765"/>
      <c r="K3765"/>
      <c r="L3765"/>
      <c r="M3765"/>
    </row>
    <row r="3766" spans="3:13" hidden="1" outlineLevel="1" x14ac:dyDescent="0.2">
      <c r="C3766" s="139">
        <v>8400</v>
      </c>
      <c r="D3766" s="248">
        <v>8401.7030999998005</v>
      </c>
      <c r="E3766" s="248">
        <v>8284.1225999999606</v>
      </c>
      <c r="F3766" s="248">
        <v>8431.0926999999901</v>
      </c>
      <c r="G3766" s="248">
        <v>8551.9210999942698</v>
      </c>
      <c r="H3766" s="248">
        <v>8767.9633999999805</v>
      </c>
      <c r="I3766"/>
      <c r="J3766"/>
      <c r="K3766"/>
      <c r="L3766"/>
      <c r="M3766"/>
    </row>
    <row r="3767" spans="3:13" hidden="1" outlineLevel="1" x14ac:dyDescent="0.2">
      <c r="C3767" s="139">
        <v>8410</v>
      </c>
      <c r="D3767" s="248">
        <v>8411.8500999997996</v>
      </c>
      <c r="E3767" s="248">
        <v>8293.9845999999598</v>
      </c>
      <c r="F3767" s="248">
        <v>8441.1296999999904</v>
      </c>
      <c r="G3767" s="248">
        <v>8562.1020999942593</v>
      </c>
      <c r="H3767" s="248">
        <v>8778.4013999999806</v>
      </c>
      <c r="I3767"/>
      <c r="J3767"/>
      <c r="K3767"/>
      <c r="L3767"/>
      <c r="M3767"/>
    </row>
    <row r="3768" spans="3:13" hidden="1" outlineLevel="1" x14ac:dyDescent="0.2">
      <c r="C3768" s="139">
        <v>8420</v>
      </c>
      <c r="D3768" s="248">
        <v>8421.9970999998004</v>
      </c>
      <c r="E3768" s="248">
        <v>8303.8465999999607</v>
      </c>
      <c r="F3768" s="248">
        <v>8451.1666999999907</v>
      </c>
      <c r="G3768" s="248">
        <v>8572.2830999942507</v>
      </c>
      <c r="H3768" s="248">
        <v>8788.8393999999807</v>
      </c>
      <c r="I3768"/>
      <c r="J3768"/>
      <c r="K3768"/>
      <c r="L3768"/>
      <c r="M3768"/>
    </row>
    <row r="3769" spans="3:13" hidden="1" outlineLevel="1" x14ac:dyDescent="0.2">
      <c r="C3769" s="139">
        <v>8430</v>
      </c>
      <c r="D3769" s="248">
        <v>8432.1440999997994</v>
      </c>
      <c r="E3769" s="248">
        <v>8313.7085999999599</v>
      </c>
      <c r="F3769" s="248">
        <v>8461.20369999998</v>
      </c>
      <c r="G3769" s="248">
        <v>8582.4640999942403</v>
      </c>
      <c r="H3769" s="248">
        <v>8799.2773999999808</v>
      </c>
      <c r="I3769"/>
      <c r="J3769"/>
      <c r="K3769"/>
      <c r="L3769"/>
      <c r="M3769"/>
    </row>
    <row r="3770" spans="3:13" hidden="1" outlineLevel="1" x14ac:dyDescent="0.2">
      <c r="C3770" s="139">
        <v>8440</v>
      </c>
      <c r="D3770" s="248">
        <v>8442.2910999998003</v>
      </c>
      <c r="E3770" s="248">
        <v>8323.5705999999609</v>
      </c>
      <c r="F3770" s="248">
        <v>8471.2406999999894</v>
      </c>
      <c r="G3770" s="248">
        <v>8592.6450999942299</v>
      </c>
      <c r="H3770" s="248">
        <v>8809.7153999999791</v>
      </c>
      <c r="I3770"/>
      <c r="J3770"/>
      <c r="K3770"/>
      <c r="L3770"/>
      <c r="M3770"/>
    </row>
    <row r="3771" spans="3:13" hidden="1" outlineLevel="1" x14ac:dyDescent="0.2">
      <c r="C3771" s="139">
        <v>8450</v>
      </c>
      <c r="D3771" s="248">
        <v>8452.4380999997993</v>
      </c>
      <c r="E3771" s="248">
        <v>8333.4325999999601</v>
      </c>
      <c r="F3771" s="248">
        <v>8481.2776999999896</v>
      </c>
      <c r="G3771" s="248">
        <v>8602.8260999942195</v>
      </c>
      <c r="H3771" s="248">
        <v>8820.1533999999792</v>
      </c>
      <c r="I3771"/>
      <c r="J3771"/>
      <c r="K3771"/>
      <c r="L3771"/>
      <c r="M3771"/>
    </row>
    <row r="3772" spans="3:13" hidden="1" outlineLevel="1" x14ac:dyDescent="0.2">
      <c r="C3772" s="139">
        <v>8460</v>
      </c>
      <c r="D3772" s="248">
        <v>8462.5850999998001</v>
      </c>
      <c r="E3772" s="248">
        <v>8343.2945999999592</v>
      </c>
      <c r="F3772" s="248">
        <v>8491.3146999999808</v>
      </c>
      <c r="G3772" s="248">
        <v>8613.0070999942109</v>
      </c>
      <c r="H3772" s="248">
        <v>8830.5913999999793</v>
      </c>
      <c r="I3772"/>
      <c r="J3772"/>
      <c r="K3772"/>
      <c r="L3772"/>
      <c r="M3772"/>
    </row>
    <row r="3773" spans="3:13" hidden="1" outlineLevel="1" x14ac:dyDescent="0.2">
      <c r="C3773" s="139">
        <v>8470</v>
      </c>
      <c r="D3773" s="248">
        <v>8472.7320999997992</v>
      </c>
      <c r="E3773" s="248">
        <v>8353.1565999999602</v>
      </c>
      <c r="F3773" s="248">
        <v>8501.3516999999792</v>
      </c>
      <c r="G3773" s="248">
        <v>8623.1880999942005</v>
      </c>
      <c r="H3773" s="248">
        <v>8841.0293999999794</v>
      </c>
      <c r="I3773"/>
      <c r="J3773"/>
      <c r="K3773"/>
      <c r="L3773"/>
      <c r="M3773"/>
    </row>
    <row r="3774" spans="3:13" hidden="1" outlineLevel="1" x14ac:dyDescent="0.2">
      <c r="C3774" s="139">
        <v>8480</v>
      </c>
      <c r="D3774" s="248">
        <v>8482.8790999998</v>
      </c>
      <c r="E3774" s="248">
        <v>8363.0185999999503</v>
      </c>
      <c r="F3774" s="248">
        <v>8511.3886999999795</v>
      </c>
      <c r="G3774" s="248">
        <v>8633.36909999419</v>
      </c>
      <c r="H3774" s="248">
        <v>8851.4673999999795</v>
      </c>
      <c r="I3774"/>
      <c r="J3774"/>
      <c r="K3774"/>
      <c r="L3774"/>
      <c r="M3774"/>
    </row>
    <row r="3775" spans="3:13" hidden="1" outlineLevel="1" x14ac:dyDescent="0.2">
      <c r="C3775" s="139">
        <v>8490</v>
      </c>
      <c r="D3775" s="248">
        <v>8493.0260999998009</v>
      </c>
      <c r="E3775" s="248">
        <v>8372.8805999999495</v>
      </c>
      <c r="F3775" s="248">
        <v>8521.4256999999798</v>
      </c>
      <c r="G3775" s="248">
        <v>8643.5500999941796</v>
      </c>
      <c r="H3775" s="248">
        <v>8861.9053999999796</v>
      </c>
      <c r="I3775"/>
      <c r="J3775"/>
      <c r="K3775"/>
      <c r="L3775"/>
      <c r="M3775"/>
    </row>
    <row r="3776" spans="3:13" hidden="1" outlineLevel="1" x14ac:dyDescent="0.2">
      <c r="C3776" s="139">
        <v>8500</v>
      </c>
      <c r="D3776" s="248">
        <v>8503.1730999997999</v>
      </c>
      <c r="E3776" s="248">
        <v>8382.7425999999505</v>
      </c>
      <c r="F3776" s="248">
        <v>8531.46269999998</v>
      </c>
      <c r="G3776" s="248">
        <v>8653.7310999941692</v>
      </c>
      <c r="H3776" s="248">
        <v>8872.3433999999797</v>
      </c>
      <c r="I3776"/>
      <c r="J3776"/>
      <c r="K3776"/>
      <c r="L3776"/>
      <c r="M3776"/>
    </row>
    <row r="3777" spans="3:13" hidden="1" outlineLevel="1" x14ac:dyDescent="0.2">
      <c r="C3777" s="139">
        <v>8510</v>
      </c>
      <c r="D3777" s="248">
        <v>8513.3200999998007</v>
      </c>
      <c r="E3777" s="248">
        <v>8392.6045999999496</v>
      </c>
      <c r="F3777" s="248">
        <v>8541.4996999999803</v>
      </c>
      <c r="G3777" s="248">
        <v>8663.9120999941606</v>
      </c>
      <c r="H3777" s="248">
        <v>8882.7813999999798</v>
      </c>
      <c r="I3777"/>
      <c r="J3777"/>
      <c r="K3777"/>
      <c r="L3777"/>
      <c r="M3777"/>
    </row>
    <row r="3778" spans="3:13" hidden="1" outlineLevel="1" x14ac:dyDescent="0.2">
      <c r="C3778" s="139">
        <v>8520</v>
      </c>
      <c r="D3778" s="248">
        <v>8523.4670999997998</v>
      </c>
      <c r="E3778" s="248">
        <v>8402.4665999999506</v>
      </c>
      <c r="F3778" s="248">
        <v>8551.5366999999806</v>
      </c>
      <c r="G3778" s="248">
        <v>8674.0930999941502</v>
      </c>
      <c r="H3778" s="248">
        <v>8893.2193999999799</v>
      </c>
      <c r="I3778"/>
      <c r="J3778"/>
      <c r="K3778"/>
      <c r="L3778"/>
      <c r="M3778"/>
    </row>
    <row r="3779" spans="3:13" hidden="1" outlineLevel="1" x14ac:dyDescent="0.2">
      <c r="C3779" s="139">
        <v>8530</v>
      </c>
      <c r="D3779" s="248">
        <v>8533.6140999998006</v>
      </c>
      <c r="E3779" s="248">
        <v>8412.3285999999498</v>
      </c>
      <c r="F3779" s="248">
        <v>8561.5736999999808</v>
      </c>
      <c r="G3779" s="248">
        <v>8684.2740999941398</v>
      </c>
      <c r="H3779" s="248">
        <v>8903.65739999998</v>
      </c>
      <c r="I3779"/>
      <c r="J3779"/>
      <c r="K3779"/>
      <c r="L3779"/>
      <c r="M3779"/>
    </row>
    <row r="3780" spans="3:13" hidden="1" outlineLevel="1" x14ac:dyDescent="0.2">
      <c r="C3780" s="139">
        <v>8540</v>
      </c>
      <c r="D3780" s="248">
        <v>8543.7610999997996</v>
      </c>
      <c r="E3780" s="248">
        <v>8422.1905999999508</v>
      </c>
      <c r="F3780" s="248">
        <v>8571.6106999999793</v>
      </c>
      <c r="G3780" s="248">
        <v>8694.4550999941293</v>
      </c>
      <c r="H3780" s="248">
        <v>8914.0953999999801</v>
      </c>
      <c r="I3780"/>
      <c r="J3780"/>
      <c r="K3780"/>
      <c r="L3780"/>
      <c r="M3780"/>
    </row>
    <row r="3781" spans="3:13" hidden="1" outlineLevel="1" x14ac:dyDescent="0.2">
      <c r="C3781" s="139">
        <v>8550</v>
      </c>
      <c r="D3781" s="248">
        <v>8553.9080999998005</v>
      </c>
      <c r="E3781" s="248">
        <v>8432.05259999995</v>
      </c>
      <c r="F3781" s="248">
        <v>8581.6476999999795</v>
      </c>
      <c r="G3781" s="248">
        <v>8704.6360999941207</v>
      </c>
      <c r="H3781" s="248">
        <v>8924.5333999999802</v>
      </c>
      <c r="I3781"/>
      <c r="J3781"/>
      <c r="K3781"/>
      <c r="L3781"/>
      <c r="M3781"/>
    </row>
    <row r="3782" spans="3:13" hidden="1" outlineLevel="1" x14ac:dyDescent="0.2">
      <c r="C3782" s="139">
        <v>8560</v>
      </c>
      <c r="D3782" s="248">
        <v>8564.0550999997995</v>
      </c>
      <c r="E3782" s="248">
        <v>8441.9145999999491</v>
      </c>
      <c r="F3782" s="248">
        <v>8591.6846999999798</v>
      </c>
      <c r="G3782" s="248">
        <v>8714.8170999941103</v>
      </c>
      <c r="H3782" s="248">
        <v>8934.9713999999803</v>
      </c>
      <c r="I3782"/>
      <c r="J3782"/>
      <c r="K3782"/>
      <c r="L3782"/>
      <c r="M3782"/>
    </row>
    <row r="3783" spans="3:13" hidden="1" outlineLevel="1" x14ac:dyDescent="0.2">
      <c r="C3783" s="139">
        <v>8570</v>
      </c>
      <c r="D3783" s="248">
        <v>8574.2020999998003</v>
      </c>
      <c r="E3783" s="248">
        <v>8451.7765999999501</v>
      </c>
      <c r="F3783" s="248">
        <v>8601.72169999998</v>
      </c>
      <c r="G3783" s="248">
        <v>8724.9980999940999</v>
      </c>
      <c r="H3783" s="248">
        <v>8945.4093999999805</v>
      </c>
      <c r="I3783"/>
      <c r="J3783"/>
      <c r="K3783"/>
      <c r="L3783"/>
      <c r="M3783"/>
    </row>
    <row r="3784" spans="3:13" hidden="1" outlineLevel="1" x14ac:dyDescent="0.2">
      <c r="C3784" s="139">
        <v>8580</v>
      </c>
      <c r="D3784" s="248">
        <v>8584.3490999997994</v>
      </c>
      <c r="E3784" s="248">
        <v>8461.6385999999493</v>
      </c>
      <c r="F3784" s="248">
        <v>8611.7586999999803</v>
      </c>
      <c r="G3784" s="248">
        <v>8735.1790999940895</v>
      </c>
      <c r="H3784" s="248">
        <v>8955.8473999999806</v>
      </c>
      <c r="I3784"/>
      <c r="J3784"/>
      <c r="K3784"/>
      <c r="L3784"/>
      <c r="M3784"/>
    </row>
    <row r="3785" spans="3:13" hidden="1" outlineLevel="1" x14ac:dyDescent="0.2">
      <c r="C3785" s="139">
        <v>8590</v>
      </c>
      <c r="D3785" s="248">
        <v>8594.4960999998002</v>
      </c>
      <c r="E3785" s="248">
        <v>8471.5005999999503</v>
      </c>
      <c r="F3785" s="248">
        <v>8621.7956999999806</v>
      </c>
      <c r="G3785" s="248">
        <v>8745.3600999940809</v>
      </c>
      <c r="H3785" s="248">
        <v>8966.2853999999807</v>
      </c>
      <c r="I3785"/>
      <c r="J3785"/>
      <c r="K3785"/>
      <c r="L3785"/>
      <c r="M3785"/>
    </row>
    <row r="3786" spans="3:13" hidden="1" outlineLevel="1" x14ac:dyDescent="0.2">
      <c r="C3786" s="139">
        <v>8600</v>
      </c>
      <c r="D3786" s="248">
        <v>8604.6430999997992</v>
      </c>
      <c r="E3786" s="248">
        <v>8481.3625999999495</v>
      </c>
      <c r="F3786" s="248">
        <v>8631.8326999999808</v>
      </c>
      <c r="G3786" s="248">
        <v>8755.5410999940705</v>
      </c>
      <c r="H3786" s="248">
        <v>8976.7233999999808</v>
      </c>
      <c r="I3786"/>
      <c r="J3786"/>
      <c r="K3786"/>
      <c r="L3786"/>
      <c r="M3786"/>
    </row>
    <row r="3787" spans="3:13" hidden="1" outlineLevel="1" x14ac:dyDescent="0.2">
      <c r="C3787" s="139">
        <v>8610</v>
      </c>
      <c r="D3787" s="248">
        <v>8614.7900999998001</v>
      </c>
      <c r="E3787" s="248">
        <v>8491.2245999999504</v>
      </c>
      <c r="F3787" s="248">
        <v>8641.8696999999793</v>
      </c>
      <c r="G3787" s="248">
        <v>8765.7220999940491</v>
      </c>
      <c r="H3787" s="248">
        <v>8987.1613999999809</v>
      </c>
      <c r="I3787"/>
      <c r="J3787"/>
      <c r="K3787"/>
      <c r="L3787"/>
      <c r="M3787"/>
    </row>
    <row r="3788" spans="3:13" hidden="1" outlineLevel="1" x14ac:dyDescent="0.2">
      <c r="C3788" s="139">
        <v>8620</v>
      </c>
      <c r="D3788" s="248">
        <v>8624.9370999997991</v>
      </c>
      <c r="E3788" s="248">
        <v>8501.0865999999496</v>
      </c>
      <c r="F3788" s="248">
        <v>8651.9066999999795</v>
      </c>
      <c r="G3788" s="248">
        <v>8775.9030999940405</v>
      </c>
      <c r="H3788" s="248">
        <v>8997.5993999999791</v>
      </c>
      <c r="I3788"/>
      <c r="J3788"/>
      <c r="K3788"/>
      <c r="L3788"/>
      <c r="M3788"/>
    </row>
    <row r="3789" spans="3:13" hidden="1" outlineLevel="1" x14ac:dyDescent="0.2">
      <c r="C3789" s="139">
        <v>8630</v>
      </c>
      <c r="D3789" s="248">
        <v>8635.0840999997999</v>
      </c>
      <c r="E3789" s="248">
        <v>8510.9485999999506</v>
      </c>
      <c r="F3789" s="248">
        <v>8661.9436999999798</v>
      </c>
      <c r="G3789" s="248">
        <v>8786.0840999940301</v>
      </c>
      <c r="H3789" s="248">
        <v>9008.0373999999792</v>
      </c>
      <c r="I3789"/>
      <c r="J3789"/>
      <c r="K3789"/>
      <c r="L3789"/>
      <c r="M3789"/>
    </row>
    <row r="3790" spans="3:13" hidden="1" outlineLevel="1" x14ac:dyDescent="0.2">
      <c r="C3790" s="139">
        <v>8640</v>
      </c>
      <c r="D3790" s="248">
        <v>8645.2310999998008</v>
      </c>
      <c r="E3790" s="248">
        <v>8520.8105999999498</v>
      </c>
      <c r="F3790" s="248">
        <v>8671.9806999999801</v>
      </c>
      <c r="G3790" s="248">
        <v>8796.2650999940197</v>
      </c>
      <c r="H3790" s="248">
        <v>9018.4753999999793</v>
      </c>
      <c r="I3790"/>
      <c r="J3790"/>
      <c r="K3790"/>
      <c r="L3790"/>
      <c r="M3790"/>
    </row>
    <row r="3791" spans="3:13" hidden="1" outlineLevel="1" x14ac:dyDescent="0.2">
      <c r="C3791" s="139">
        <v>8650</v>
      </c>
      <c r="D3791" s="248">
        <v>8655.3780999997998</v>
      </c>
      <c r="E3791" s="248">
        <v>8530.6725999999508</v>
      </c>
      <c r="F3791" s="248">
        <v>8682.0176999999803</v>
      </c>
      <c r="G3791" s="248">
        <v>8806.4460999940093</v>
      </c>
      <c r="H3791" s="248">
        <v>9028.9133999999794</v>
      </c>
      <c r="I3791"/>
      <c r="J3791"/>
      <c r="K3791"/>
      <c r="L3791"/>
      <c r="M3791"/>
    </row>
    <row r="3792" spans="3:13" hidden="1" outlineLevel="1" x14ac:dyDescent="0.2">
      <c r="C3792" s="139">
        <v>8660</v>
      </c>
      <c r="D3792" s="248">
        <v>8665.5250999998007</v>
      </c>
      <c r="E3792" s="248">
        <v>8540.5345999999499</v>
      </c>
      <c r="F3792" s="248">
        <v>8692.0546999999806</v>
      </c>
      <c r="G3792" s="248">
        <v>8816.6270999940007</v>
      </c>
      <c r="H3792" s="248">
        <v>9039.3513999999795</v>
      </c>
      <c r="I3792"/>
      <c r="J3792"/>
      <c r="K3792"/>
      <c r="L3792"/>
      <c r="M3792"/>
    </row>
    <row r="3793" spans="3:13" hidden="1" outlineLevel="1" x14ac:dyDescent="0.2">
      <c r="C3793" s="139">
        <v>8670</v>
      </c>
      <c r="D3793" s="248">
        <v>8675.6720999997997</v>
      </c>
      <c r="E3793" s="248">
        <v>8550.3965999999491</v>
      </c>
      <c r="F3793" s="248">
        <v>8702.0916999999808</v>
      </c>
      <c r="G3793" s="248">
        <v>8826.8080999939903</v>
      </c>
      <c r="H3793" s="248">
        <v>9049.7893999999797</v>
      </c>
      <c r="I3793"/>
      <c r="J3793"/>
      <c r="K3793"/>
      <c r="L3793"/>
      <c r="M3793"/>
    </row>
    <row r="3794" spans="3:13" hidden="1" outlineLevel="1" x14ac:dyDescent="0.2">
      <c r="C3794" s="139">
        <v>8680</v>
      </c>
      <c r="D3794" s="248">
        <v>8685.8190999998005</v>
      </c>
      <c r="E3794" s="248">
        <v>8560.2585999999501</v>
      </c>
      <c r="F3794" s="248">
        <v>8712.1286999999793</v>
      </c>
      <c r="G3794" s="248">
        <v>8836.9890999939798</v>
      </c>
      <c r="H3794" s="248">
        <v>9060.2273999999798</v>
      </c>
      <c r="I3794"/>
      <c r="J3794"/>
      <c r="K3794"/>
      <c r="L3794"/>
      <c r="M3794"/>
    </row>
    <row r="3795" spans="3:13" hidden="1" outlineLevel="1" x14ac:dyDescent="0.2">
      <c r="C3795" s="139">
        <v>8690</v>
      </c>
      <c r="D3795" s="248">
        <v>8695.9660999997996</v>
      </c>
      <c r="E3795" s="248">
        <v>8570.1205999999493</v>
      </c>
      <c r="F3795" s="248">
        <v>8722.1656999999796</v>
      </c>
      <c r="G3795" s="248">
        <v>8847.1700999939694</v>
      </c>
      <c r="H3795" s="248">
        <v>9070.6653999999799</v>
      </c>
      <c r="I3795"/>
      <c r="J3795"/>
      <c r="K3795"/>
      <c r="L3795"/>
      <c r="M3795"/>
    </row>
    <row r="3796" spans="3:13" hidden="1" outlineLevel="1" x14ac:dyDescent="0.2">
      <c r="C3796" s="139">
        <v>8700</v>
      </c>
      <c r="D3796" s="248">
        <v>8706.1130999998004</v>
      </c>
      <c r="E3796" s="248">
        <v>8579.9825999999503</v>
      </c>
      <c r="F3796" s="248">
        <v>8732.2026999999798</v>
      </c>
      <c r="G3796" s="248">
        <v>8857.3510999939608</v>
      </c>
      <c r="H3796" s="248">
        <v>9081.10339999998</v>
      </c>
      <c r="I3796"/>
      <c r="J3796"/>
      <c r="K3796"/>
      <c r="L3796"/>
      <c r="M3796"/>
    </row>
    <row r="3797" spans="3:13" hidden="1" outlineLevel="1" x14ac:dyDescent="0.2">
      <c r="C3797" s="139">
        <v>8710</v>
      </c>
      <c r="D3797" s="248">
        <v>8716.2600999997994</v>
      </c>
      <c r="E3797" s="248">
        <v>8589.8445999999494</v>
      </c>
      <c r="F3797" s="248">
        <v>8742.2396999999801</v>
      </c>
      <c r="G3797" s="248">
        <v>8867.5320999939504</v>
      </c>
      <c r="H3797" s="248">
        <v>9091.5413999999801</v>
      </c>
      <c r="I3797"/>
      <c r="J3797"/>
      <c r="K3797"/>
      <c r="L3797"/>
      <c r="M3797"/>
    </row>
    <row r="3798" spans="3:13" hidden="1" outlineLevel="1" x14ac:dyDescent="0.2">
      <c r="C3798" s="139">
        <v>8720</v>
      </c>
      <c r="D3798" s="248">
        <v>8726.4070999998003</v>
      </c>
      <c r="E3798" s="248">
        <v>8599.7065999999504</v>
      </c>
      <c r="F3798" s="248">
        <v>8752.2766999999803</v>
      </c>
      <c r="G3798" s="248">
        <v>8877.71309999394</v>
      </c>
      <c r="H3798" s="248">
        <v>9101.9793999999802</v>
      </c>
      <c r="I3798"/>
      <c r="J3798"/>
      <c r="K3798"/>
      <c r="L3798"/>
      <c r="M3798"/>
    </row>
    <row r="3799" spans="3:13" hidden="1" outlineLevel="1" x14ac:dyDescent="0.2">
      <c r="C3799" s="139">
        <v>8730</v>
      </c>
      <c r="D3799" s="248">
        <v>8736.5540999997993</v>
      </c>
      <c r="E3799" s="248">
        <v>8609.5685999999405</v>
      </c>
      <c r="F3799" s="248">
        <v>8762.3136999999806</v>
      </c>
      <c r="G3799" s="248">
        <v>8887.8940999939296</v>
      </c>
      <c r="H3799" s="248">
        <v>9112.4173999999803</v>
      </c>
      <c r="I3799"/>
      <c r="J3799"/>
      <c r="K3799"/>
      <c r="L3799"/>
      <c r="M3799"/>
    </row>
    <row r="3800" spans="3:13" hidden="1" outlineLevel="1" x14ac:dyDescent="0.2">
      <c r="C3800" s="139">
        <v>8740</v>
      </c>
      <c r="D3800" s="248">
        <v>8746.7010999998001</v>
      </c>
      <c r="E3800" s="248">
        <v>8619.4305999999397</v>
      </c>
      <c r="F3800" s="248">
        <v>8772.3506999999809</v>
      </c>
      <c r="G3800" s="248">
        <v>8898.0750999939191</v>
      </c>
      <c r="H3800" s="248">
        <v>9122.8553999999804</v>
      </c>
      <c r="I3800"/>
      <c r="J3800"/>
      <c r="K3800"/>
      <c r="L3800"/>
      <c r="M3800"/>
    </row>
    <row r="3801" spans="3:13" hidden="1" outlineLevel="1" x14ac:dyDescent="0.2">
      <c r="C3801" s="139">
        <v>8750</v>
      </c>
      <c r="D3801" s="248">
        <v>8756.8480999997992</v>
      </c>
      <c r="E3801" s="248">
        <v>8629.2925999999406</v>
      </c>
      <c r="F3801" s="248">
        <v>8782.3876999999793</v>
      </c>
      <c r="G3801" s="248">
        <v>8908.2560999939105</v>
      </c>
      <c r="H3801" s="248">
        <v>9133.2933999999805</v>
      </c>
      <c r="I3801"/>
      <c r="J3801"/>
      <c r="K3801"/>
      <c r="L3801"/>
      <c r="M3801"/>
    </row>
    <row r="3802" spans="3:13" hidden="1" outlineLevel="1" x14ac:dyDescent="0.2">
      <c r="C3802" s="139">
        <v>8760</v>
      </c>
      <c r="D3802" s="248">
        <v>8766.9950999998</v>
      </c>
      <c r="E3802" s="248">
        <v>8639.1545999999398</v>
      </c>
      <c r="F3802" s="248">
        <v>8792.4246999999796</v>
      </c>
      <c r="G3802" s="248">
        <v>8918.4370999939001</v>
      </c>
      <c r="H3802" s="248">
        <v>9143.7313999999806</v>
      </c>
      <c r="I3802"/>
      <c r="J3802"/>
      <c r="K3802"/>
      <c r="L3802"/>
      <c r="M3802"/>
    </row>
    <row r="3803" spans="3:13" hidden="1" outlineLevel="1" x14ac:dyDescent="0.2">
      <c r="C3803" s="139">
        <v>8770</v>
      </c>
      <c r="D3803" s="248">
        <v>8777.1420999998008</v>
      </c>
      <c r="E3803" s="248">
        <v>8649.0165999999408</v>
      </c>
      <c r="F3803" s="248">
        <v>8802.4616999999798</v>
      </c>
      <c r="G3803" s="248">
        <v>8928.6180999938897</v>
      </c>
      <c r="H3803" s="248">
        <v>9154.1693999999807</v>
      </c>
      <c r="I3803"/>
      <c r="J3803"/>
      <c r="K3803"/>
      <c r="L3803"/>
      <c r="M3803"/>
    </row>
    <row r="3804" spans="3:13" hidden="1" outlineLevel="1" x14ac:dyDescent="0.2">
      <c r="C3804" s="139">
        <v>8780</v>
      </c>
      <c r="D3804" s="248">
        <v>8787.2890999997999</v>
      </c>
      <c r="E3804" s="248">
        <v>8658.87859999994</v>
      </c>
      <c r="F3804" s="248">
        <v>8812.4986999999801</v>
      </c>
      <c r="G3804" s="248">
        <v>8938.7990999938793</v>
      </c>
      <c r="H3804" s="248">
        <v>9164.6073999999808</v>
      </c>
      <c r="I3804"/>
      <c r="J3804"/>
      <c r="K3804"/>
      <c r="L3804"/>
      <c r="M3804"/>
    </row>
    <row r="3805" spans="3:13" hidden="1" outlineLevel="1" x14ac:dyDescent="0.2">
      <c r="C3805" s="139">
        <v>8790</v>
      </c>
      <c r="D3805" s="248">
        <v>8797.4360999998007</v>
      </c>
      <c r="E3805" s="248">
        <v>8668.7405999999391</v>
      </c>
      <c r="F3805" s="248">
        <v>8822.5356999999804</v>
      </c>
      <c r="G3805" s="248">
        <v>8948.9800999938707</v>
      </c>
      <c r="H3805" s="248">
        <v>9175.0453999999809</v>
      </c>
      <c r="I3805"/>
      <c r="J3805"/>
      <c r="K3805"/>
      <c r="L3805"/>
      <c r="M3805"/>
    </row>
    <row r="3806" spans="3:13" hidden="1" outlineLevel="1" x14ac:dyDescent="0.2">
      <c r="C3806" s="139">
        <v>8800</v>
      </c>
      <c r="D3806" s="248">
        <v>8807.5830999997997</v>
      </c>
      <c r="E3806" s="248">
        <v>8678.6025999999401</v>
      </c>
      <c r="F3806" s="248">
        <v>8832.5726999999806</v>
      </c>
      <c r="G3806" s="248">
        <v>8959.1610999938603</v>
      </c>
      <c r="H3806" s="248">
        <v>9185.4833999999792</v>
      </c>
      <c r="I3806"/>
      <c r="J3806"/>
      <c r="K3806"/>
      <c r="L3806"/>
      <c r="M3806"/>
    </row>
    <row r="3807" spans="3:13" hidden="1" outlineLevel="1" x14ac:dyDescent="0.2">
      <c r="C3807" s="139">
        <v>8810</v>
      </c>
      <c r="D3807" s="248">
        <v>8817.7300999998006</v>
      </c>
      <c r="E3807" s="248">
        <v>8688.4645999999393</v>
      </c>
      <c r="F3807" s="248">
        <v>8842.6096999999809</v>
      </c>
      <c r="G3807" s="248">
        <v>8969.3420999938498</v>
      </c>
      <c r="H3807" s="248">
        <v>9195.9213999999793</v>
      </c>
      <c r="I3807"/>
      <c r="J3807"/>
      <c r="K3807"/>
      <c r="L3807"/>
      <c r="M3807"/>
    </row>
    <row r="3808" spans="3:13" hidden="1" outlineLevel="1" x14ac:dyDescent="0.2">
      <c r="C3808" s="139">
        <v>8820</v>
      </c>
      <c r="D3808" s="248">
        <v>8827.8770999997996</v>
      </c>
      <c r="E3808" s="248">
        <v>8698.3265999999403</v>
      </c>
      <c r="F3808" s="248">
        <v>8852.6466999999793</v>
      </c>
      <c r="G3808" s="248">
        <v>8979.5230999938394</v>
      </c>
      <c r="H3808" s="248">
        <v>9206.3593999999794</v>
      </c>
      <c r="I3808"/>
      <c r="J3808"/>
      <c r="K3808"/>
      <c r="L3808"/>
      <c r="M3808"/>
    </row>
    <row r="3809" spans="3:13" hidden="1" outlineLevel="1" x14ac:dyDescent="0.2">
      <c r="C3809" s="139">
        <v>8830</v>
      </c>
      <c r="D3809" s="248">
        <v>8838.0240999998005</v>
      </c>
      <c r="E3809" s="248">
        <v>8708.1885999999395</v>
      </c>
      <c r="F3809" s="248">
        <v>8862.6836999999796</v>
      </c>
      <c r="G3809" s="248">
        <v>8989.7040999938308</v>
      </c>
      <c r="H3809" s="248">
        <v>9216.7973999999795</v>
      </c>
      <c r="I3809"/>
      <c r="J3809"/>
      <c r="K3809"/>
      <c r="L3809"/>
      <c r="M3809"/>
    </row>
    <row r="3810" spans="3:13" hidden="1" outlineLevel="1" x14ac:dyDescent="0.2">
      <c r="C3810" s="139">
        <v>8840</v>
      </c>
      <c r="D3810" s="248">
        <v>8848.1710999997995</v>
      </c>
      <c r="E3810" s="248">
        <v>8718.0505999999405</v>
      </c>
      <c r="F3810" s="248">
        <v>8872.7206999999798</v>
      </c>
      <c r="G3810" s="248">
        <v>8999.8850999938204</v>
      </c>
      <c r="H3810" s="248">
        <v>9227.2353999999796</v>
      </c>
      <c r="I3810"/>
      <c r="J3810"/>
      <c r="K3810"/>
      <c r="L3810"/>
      <c r="M3810"/>
    </row>
    <row r="3811" spans="3:13" hidden="1" outlineLevel="1" x14ac:dyDescent="0.2">
      <c r="C3811" s="139">
        <v>8850</v>
      </c>
      <c r="D3811" s="248">
        <v>8858.3180999998003</v>
      </c>
      <c r="E3811" s="248">
        <v>8727.9125999999396</v>
      </c>
      <c r="F3811" s="248">
        <v>8882.7576999999801</v>
      </c>
      <c r="G3811" s="248">
        <v>9010.0660999938009</v>
      </c>
      <c r="H3811" s="248">
        <v>9237.6733999999797</v>
      </c>
      <c r="I3811"/>
      <c r="J3811"/>
      <c r="K3811"/>
      <c r="L3811"/>
      <c r="M3811"/>
    </row>
    <row r="3812" spans="3:13" hidden="1" outlineLevel="1" x14ac:dyDescent="0.2">
      <c r="C3812" s="139">
        <v>8860</v>
      </c>
      <c r="D3812" s="248">
        <v>8868.4650999997993</v>
      </c>
      <c r="E3812" s="248">
        <v>8737.7745999999406</v>
      </c>
      <c r="F3812" s="248">
        <v>8892.7946999999804</v>
      </c>
      <c r="G3812" s="248">
        <v>9020.2470999937905</v>
      </c>
      <c r="H3812" s="248">
        <v>9248.1113999999798</v>
      </c>
      <c r="I3812"/>
      <c r="J3812"/>
      <c r="K3812"/>
      <c r="L3812"/>
      <c r="M3812"/>
    </row>
    <row r="3813" spans="3:13" hidden="1" outlineLevel="1" x14ac:dyDescent="0.2">
      <c r="C3813" s="139">
        <v>8870</v>
      </c>
      <c r="D3813" s="248">
        <v>8878.6120999998002</v>
      </c>
      <c r="E3813" s="248">
        <v>8747.6365999999398</v>
      </c>
      <c r="F3813" s="248">
        <v>8902.8316999999806</v>
      </c>
      <c r="G3813" s="248">
        <v>9030.4280999937801</v>
      </c>
      <c r="H3813" s="248">
        <v>9258.5493999999799</v>
      </c>
      <c r="I3813"/>
      <c r="J3813"/>
      <c r="K3813"/>
      <c r="L3813"/>
      <c r="M3813"/>
    </row>
    <row r="3814" spans="3:13" hidden="1" outlineLevel="1" x14ac:dyDescent="0.2">
      <c r="C3814" s="139">
        <v>8880</v>
      </c>
      <c r="D3814" s="248">
        <v>8888.7590999997992</v>
      </c>
      <c r="E3814" s="248">
        <v>8757.4985999999408</v>
      </c>
      <c r="F3814" s="248">
        <v>8912.8686999999809</v>
      </c>
      <c r="G3814" s="248">
        <v>9040.6090999937696</v>
      </c>
      <c r="H3814" s="248">
        <v>9268.98739999998</v>
      </c>
      <c r="I3814"/>
      <c r="J3814"/>
      <c r="K3814"/>
      <c r="L3814"/>
      <c r="M3814"/>
    </row>
    <row r="3815" spans="3:13" hidden="1" outlineLevel="1" x14ac:dyDescent="0.2">
      <c r="C3815" s="139">
        <v>8890</v>
      </c>
      <c r="D3815" s="248">
        <v>8898.9060999998001</v>
      </c>
      <c r="E3815" s="248">
        <v>8767.36059999994</v>
      </c>
      <c r="F3815" s="248">
        <v>8922.9056999999793</v>
      </c>
      <c r="G3815" s="248">
        <v>9050.7900999937592</v>
      </c>
      <c r="H3815" s="248">
        <v>9279.4253999999801</v>
      </c>
      <c r="I3815"/>
      <c r="J3815"/>
      <c r="K3815"/>
      <c r="L3815"/>
      <c r="M3815"/>
    </row>
    <row r="3816" spans="3:13" hidden="1" outlineLevel="1" x14ac:dyDescent="0.2">
      <c r="C3816" s="139">
        <v>8900</v>
      </c>
      <c r="D3816" s="248">
        <v>8909.0530999998009</v>
      </c>
      <c r="E3816" s="248">
        <v>8777.2225999999391</v>
      </c>
      <c r="F3816" s="248">
        <v>8932.9426999999796</v>
      </c>
      <c r="G3816" s="248">
        <v>9060.9710999937506</v>
      </c>
      <c r="H3816" s="248">
        <v>9289.8633999999802</v>
      </c>
      <c r="I3816"/>
      <c r="J3816"/>
      <c r="K3816"/>
      <c r="L3816"/>
      <c r="M3816"/>
    </row>
    <row r="3817" spans="3:13" hidden="1" outlineLevel="1" x14ac:dyDescent="0.2">
      <c r="C3817" s="139">
        <v>8910</v>
      </c>
      <c r="D3817" s="248">
        <v>8919.2000999997999</v>
      </c>
      <c r="E3817" s="248">
        <v>8787.0845999999401</v>
      </c>
      <c r="F3817" s="248">
        <v>8942.9796999999799</v>
      </c>
      <c r="G3817" s="248">
        <v>9071.1520999937402</v>
      </c>
      <c r="H3817" s="248">
        <v>9300.3013999999803</v>
      </c>
      <c r="I3817"/>
      <c r="J3817"/>
      <c r="K3817"/>
      <c r="L3817"/>
      <c r="M3817"/>
    </row>
    <row r="3818" spans="3:13" hidden="1" outlineLevel="1" x14ac:dyDescent="0.2">
      <c r="C3818" s="139">
        <v>8920</v>
      </c>
      <c r="D3818" s="248">
        <v>8929.3470999998008</v>
      </c>
      <c r="E3818" s="248">
        <v>8796.9465999999393</v>
      </c>
      <c r="F3818" s="248">
        <v>8953.0166999999801</v>
      </c>
      <c r="G3818" s="248">
        <v>9081.3330999937298</v>
      </c>
      <c r="H3818" s="248">
        <v>9310.7393999999804</v>
      </c>
      <c r="I3818"/>
      <c r="J3818"/>
      <c r="K3818"/>
      <c r="L3818"/>
      <c r="M3818"/>
    </row>
    <row r="3819" spans="3:13" hidden="1" outlineLevel="1" x14ac:dyDescent="0.2">
      <c r="C3819" s="139">
        <v>8930</v>
      </c>
      <c r="D3819" s="248">
        <v>8939.4940999997998</v>
      </c>
      <c r="E3819" s="248">
        <v>8806.8085999999403</v>
      </c>
      <c r="F3819" s="248">
        <v>8963.0536999999804</v>
      </c>
      <c r="G3819" s="248">
        <v>9091.5140999937194</v>
      </c>
      <c r="H3819" s="248">
        <v>9321.1773999999805</v>
      </c>
      <c r="I3819"/>
      <c r="J3819"/>
      <c r="K3819"/>
      <c r="L3819"/>
      <c r="M3819"/>
    </row>
    <row r="3820" spans="3:13" hidden="1" outlineLevel="1" x14ac:dyDescent="0.2">
      <c r="C3820" s="139">
        <v>8940</v>
      </c>
      <c r="D3820" s="248">
        <v>8949.6410999998006</v>
      </c>
      <c r="E3820" s="248">
        <v>8816.6705999999394</v>
      </c>
      <c r="F3820" s="248">
        <v>8973.0906999999806</v>
      </c>
      <c r="G3820" s="248">
        <v>9101.6950999937108</v>
      </c>
      <c r="H3820" s="248">
        <v>9331.6153999999806</v>
      </c>
      <c r="I3820"/>
      <c r="J3820"/>
      <c r="K3820"/>
      <c r="L3820"/>
      <c r="M3820"/>
    </row>
    <row r="3821" spans="3:13" hidden="1" outlineLevel="1" x14ac:dyDescent="0.2">
      <c r="C3821" s="139">
        <v>8950</v>
      </c>
      <c r="D3821" s="248">
        <v>8959.7880999997997</v>
      </c>
      <c r="E3821" s="248">
        <v>8826.5325999999404</v>
      </c>
      <c r="F3821" s="248">
        <v>8983.12769999997</v>
      </c>
      <c r="G3821" s="248">
        <v>9111.8760999937003</v>
      </c>
      <c r="H3821" s="248">
        <v>9342.0533999999807</v>
      </c>
      <c r="I3821"/>
      <c r="J3821"/>
      <c r="K3821"/>
      <c r="L3821"/>
      <c r="M3821"/>
    </row>
    <row r="3822" spans="3:13" hidden="1" outlineLevel="1" x14ac:dyDescent="0.2">
      <c r="C3822" s="139">
        <v>8960</v>
      </c>
      <c r="D3822" s="248">
        <v>8969.9350999998005</v>
      </c>
      <c r="E3822" s="248">
        <v>8836.3945999999396</v>
      </c>
      <c r="F3822" s="248">
        <v>8993.1646999999793</v>
      </c>
      <c r="G3822" s="248">
        <v>9122.0570999936899</v>
      </c>
      <c r="H3822" s="248">
        <v>9352.4913999999808</v>
      </c>
      <c r="I3822"/>
      <c r="J3822"/>
      <c r="K3822"/>
      <c r="L3822"/>
      <c r="M3822"/>
    </row>
    <row r="3823" spans="3:13" hidden="1" outlineLevel="1" x14ac:dyDescent="0.2">
      <c r="C3823" s="139">
        <v>8970</v>
      </c>
      <c r="D3823" s="248">
        <v>8980.0820999997995</v>
      </c>
      <c r="E3823" s="248">
        <v>8846.2565999999406</v>
      </c>
      <c r="F3823" s="248">
        <v>9003.2016999999796</v>
      </c>
      <c r="G3823" s="248">
        <v>9132.2380999936795</v>
      </c>
      <c r="H3823" s="248">
        <v>9362.9293999999809</v>
      </c>
      <c r="I3823"/>
      <c r="J3823"/>
      <c r="K3823"/>
      <c r="L3823"/>
      <c r="M3823"/>
    </row>
    <row r="3824" spans="3:13" hidden="1" outlineLevel="1" x14ac:dyDescent="0.2">
      <c r="C3824" s="139">
        <v>8980</v>
      </c>
      <c r="D3824" s="248">
        <v>8990.2290999998004</v>
      </c>
      <c r="E3824" s="248">
        <v>8856.1185999999398</v>
      </c>
      <c r="F3824" s="248">
        <v>9013.2386999999708</v>
      </c>
      <c r="G3824" s="248">
        <v>9142.4190999936709</v>
      </c>
      <c r="H3824" s="248">
        <v>9373.3673999999792</v>
      </c>
      <c r="I3824"/>
      <c r="J3824"/>
      <c r="K3824"/>
      <c r="L3824"/>
      <c r="M3824"/>
    </row>
    <row r="3825" spans="3:13" hidden="1" outlineLevel="1" x14ac:dyDescent="0.2">
      <c r="C3825" s="139">
        <v>8990</v>
      </c>
      <c r="D3825" s="248">
        <v>9000.3760999997994</v>
      </c>
      <c r="E3825" s="248">
        <v>8865.9805999999408</v>
      </c>
      <c r="F3825" s="248">
        <v>9023.2756999999692</v>
      </c>
      <c r="G3825" s="248">
        <v>9152.6000999936605</v>
      </c>
      <c r="H3825" s="248">
        <v>9383.8053999999793</v>
      </c>
      <c r="I3825"/>
      <c r="J3825"/>
      <c r="K3825"/>
      <c r="L3825"/>
      <c r="M3825"/>
    </row>
    <row r="3826" spans="3:13" hidden="1" outlineLevel="1" x14ac:dyDescent="0.2">
      <c r="C3826" s="139">
        <v>9000</v>
      </c>
      <c r="D3826" s="248">
        <v>9010.5230999998003</v>
      </c>
      <c r="E3826" s="248">
        <v>8875.8425999999399</v>
      </c>
      <c r="F3826" s="248">
        <v>9033.3126999999695</v>
      </c>
      <c r="G3826" s="248">
        <v>9162.7810999936501</v>
      </c>
      <c r="H3826" s="248">
        <v>9394.2433999999794</v>
      </c>
      <c r="I3826"/>
      <c r="J3826"/>
      <c r="K3826"/>
      <c r="L3826"/>
      <c r="M3826"/>
    </row>
    <row r="3827" spans="3:13" hidden="1" outlineLevel="1" x14ac:dyDescent="0.2">
      <c r="C3827" s="139">
        <v>9010</v>
      </c>
      <c r="D3827" s="248">
        <v>9020.6700999997993</v>
      </c>
      <c r="E3827" s="248">
        <v>8885.70459999993</v>
      </c>
      <c r="F3827" s="248">
        <v>9043.3496999999697</v>
      </c>
      <c r="G3827" s="248">
        <v>9172.9620999936396</v>
      </c>
      <c r="H3827" s="248">
        <v>9404.6813999999795</v>
      </c>
      <c r="I3827"/>
      <c r="J3827"/>
      <c r="K3827"/>
      <c r="L3827"/>
      <c r="M3827"/>
    </row>
    <row r="3828" spans="3:13" hidden="1" outlineLevel="1" x14ac:dyDescent="0.2">
      <c r="C3828" s="139">
        <v>9020</v>
      </c>
      <c r="D3828" s="248">
        <v>9030.8170999998001</v>
      </c>
      <c r="E3828" s="248">
        <v>8895.5665999999292</v>
      </c>
      <c r="F3828" s="248">
        <v>9053.38669999997</v>
      </c>
      <c r="G3828" s="248">
        <v>9183.1430999936292</v>
      </c>
      <c r="H3828" s="248">
        <v>9415.1193999999796</v>
      </c>
      <c r="I3828"/>
      <c r="J3828"/>
      <c r="K3828"/>
      <c r="L3828"/>
      <c r="M3828"/>
    </row>
    <row r="3829" spans="3:13" hidden="1" outlineLevel="1" x14ac:dyDescent="0.2">
      <c r="C3829" s="139">
        <v>9030</v>
      </c>
      <c r="D3829" s="248">
        <v>9040.9640999997991</v>
      </c>
      <c r="E3829" s="248">
        <v>8905.4285999999302</v>
      </c>
      <c r="F3829" s="248">
        <v>9063.4236999999703</v>
      </c>
      <c r="G3829" s="248">
        <v>9193.3240999936206</v>
      </c>
      <c r="H3829" s="248">
        <v>9425.5573999999797</v>
      </c>
      <c r="I3829"/>
      <c r="J3829"/>
      <c r="K3829"/>
      <c r="L3829"/>
      <c r="M3829"/>
    </row>
    <row r="3830" spans="3:13" hidden="1" outlineLevel="1" x14ac:dyDescent="0.2">
      <c r="C3830" s="139">
        <v>9040</v>
      </c>
      <c r="D3830" s="248">
        <v>9051.1110999998</v>
      </c>
      <c r="E3830" s="248">
        <v>8915.2905999999293</v>
      </c>
      <c r="F3830" s="248">
        <v>9073.4606999999705</v>
      </c>
      <c r="G3830" s="248">
        <v>9203.5050999936102</v>
      </c>
      <c r="H3830" s="248">
        <v>9435.9953999999798</v>
      </c>
      <c r="I3830"/>
      <c r="J3830"/>
      <c r="K3830"/>
      <c r="L3830"/>
      <c r="M3830"/>
    </row>
    <row r="3831" spans="3:13" hidden="1" outlineLevel="1" x14ac:dyDescent="0.2">
      <c r="C3831" s="139">
        <v>9050</v>
      </c>
      <c r="D3831" s="248">
        <v>9061.2580999998008</v>
      </c>
      <c r="E3831" s="248">
        <v>8925.1525999999303</v>
      </c>
      <c r="F3831" s="248">
        <v>9083.4976999999708</v>
      </c>
      <c r="G3831" s="248">
        <v>9213.6860999935998</v>
      </c>
      <c r="H3831" s="248">
        <v>9446.4333999999799</v>
      </c>
      <c r="I3831"/>
      <c r="J3831"/>
      <c r="K3831"/>
      <c r="L3831"/>
      <c r="M3831"/>
    </row>
    <row r="3832" spans="3:13" hidden="1" outlineLevel="1" x14ac:dyDescent="0.2">
      <c r="C3832" s="139">
        <v>9060</v>
      </c>
      <c r="D3832" s="248">
        <v>9071.4050999997999</v>
      </c>
      <c r="E3832" s="248">
        <v>8935.0145999999295</v>
      </c>
      <c r="F3832" s="248">
        <v>9093.5346999999692</v>
      </c>
      <c r="G3832" s="248">
        <v>9223.8670999935894</v>
      </c>
      <c r="H3832" s="248">
        <v>9456.87139999998</v>
      </c>
      <c r="I3832"/>
      <c r="J3832"/>
      <c r="K3832"/>
      <c r="L3832"/>
      <c r="M3832"/>
    </row>
    <row r="3833" spans="3:13" hidden="1" outlineLevel="1" x14ac:dyDescent="0.2">
      <c r="C3833" s="139">
        <v>9070</v>
      </c>
      <c r="D3833" s="248">
        <v>9081.5520999998007</v>
      </c>
      <c r="E3833" s="248">
        <v>8944.8765999999305</v>
      </c>
      <c r="F3833" s="248">
        <v>9103.5716999999695</v>
      </c>
      <c r="G3833" s="248">
        <v>9234.0480999935808</v>
      </c>
      <c r="H3833" s="248">
        <v>9467.3093999999801</v>
      </c>
      <c r="I3833"/>
      <c r="J3833"/>
      <c r="K3833"/>
      <c r="L3833"/>
      <c r="M3833"/>
    </row>
    <row r="3834" spans="3:13" hidden="1" outlineLevel="1" x14ac:dyDescent="0.2">
      <c r="C3834" s="139">
        <v>9080</v>
      </c>
      <c r="D3834" s="248">
        <v>9091.6990999997997</v>
      </c>
      <c r="E3834" s="248">
        <v>8954.7385999999296</v>
      </c>
      <c r="F3834" s="248">
        <v>9113.6086999999698</v>
      </c>
      <c r="G3834" s="248">
        <v>9244.2290999935703</v>
      </c>
      <c r="H3834" s="248">
        <v>9477.7473999999802</v>
      </c>
      <c r="I3834"/>
      <c r="J3834"/>
      <c r="K3834"/>
      <c r="L3834"/>
      <c r="M3834"/>
    </row>
    <row r="3835" spans="3:13" hidden="1" outlineLevel="1" x14ac:dyDescent="0.2">
      <c r="C3835" s="139">
        <v>9090</v>
      </c>
      <c r="D3835" s="248">
        <v>9101.8460999998006</v>
      </c>
      <c r="E3835" s="248">
        <v>8964.6005999999306</v>
      </c>
      <c r="F3835" s="248">
        <v>9123.64569999997</v>
      </c>
      <c r="G3835" s="248">
        <v>9254.4100999935508</v>
      </c>
      <c r="H3835" s="248">
        <v>9488.1853999999803</v>
      </c>
      <c r="I3835"/>
      <c r="J3835"/>
      <c r="K3835"/>
      <c r="L3835"/>
      <c r="M3835"/>
    </row>
    <row r="3836" spans="3:13" hidden="1" outlineLevel="1" x14ac:dyDescent="0.2">
      <c r="C3836" s="139">
        <v>9100</v>
      </c>
      <c r="D3836" s="248">
        <v>9111.9930999997996</v>
      </c>
      <c r="E3836" s="248">
        <v>8974.4625999999298</v>
      </c>
      <c r="F3836" s="248">
        <v>9133.6826999999703</v>
      </c>
      <c r="G3836" s="248">
        <v>9264.5910999935404</v>
      </c>
      <c r="H3836" s="248">
        <v>9498.6233999999804</v>
      </c>
      <c r="I3836"/>
      <c r="J3836"/>
      <c r="K3836"/>
      <c r="L3836"/>
      <c r="M3836"/>
    </row>
    <row r="3837" spans="3:13" hidden="1" outlineLevel="1" x14ac:dyDescent="0.2">
      <c r="C3837" s="139">
        <v>9110</v>
      </c>
      <c r="D3837" s="248">
        <v>9122.1400999998004</v>
      </c>
      <c r="E3837" s="248">
        <v>8984.3245999999308</v>
      </c>
      <c r="F3837" s="248">
        <v>9143.7196999999705</v>
      </c>
      <c r="G3837" s="248">
        <v>9274.77209999353</v>
      </c>
      <c r="H3837" s="248">
        <v>9509.0613999999805</v>
      </c>
      <c r="I3837"/>
      <c r="J3837"/>
      <c r="K3837"/>
      <c r="L3837"/>
      <c r="M3837"/>
    </row>
    <row r="3838" spans="3:13" hidden="1" outlineLevel="1" x14ac:dyDescent="0.2">
      <c r="C3838" s="139">
        <v>9120</v>
      </c>
      <c r="D3838" s="248">
        <v>9132.2870999997995</v>
      </c>
      <c r="E3838" s="248">
        <v>8994.18659999993</v>
      </c>
      <c r="F3838" s="248">
        <v>9153.7566999999708</v>
      </c>
      <c r="G3838" s="248">
        <v>9284.9530999935196</v>
      </c>
      <c r="H3838" s="248">
        <v>9519.4993999999806</v>
      </c>
      <c r="I3838"/>
      <c r="J3838"/>
      <c r="K3838"/>
      <c r="L3838"/>
      <c r="M3838"/>
    </row>
    <row r="3839" spans="3:13" hidden="1" outlineLevel="1" x14ac:dyDescent="0.2">
      <c r="C3839" s="139">
        <v>9130</v>
      </c>
      <c r="D3839" s="248">
        <v>9142.4340999998003</v>
      </c>
      <c r="E3839" s="248">
        <v>9004.0485999999291</v>
      </c>
      <c r="F3839" s="248">
        <v>9163.7936999999692</v>
      </c>
      <c r="G3839" s="248">
        <v>9295.1340999935092</v>
      </c>
      <c r="H3839" s="248">
        <v>9529.9373999999807</v>
      </c>
      <c r="I3839"/>
      <c r="J3839"/>
      <c r="K3839"/>
      <c r="L3839"/>
      <c r="M3839"/>
    </row>
    <row r="3840" spans="3:13" hidden="1" outlineLevel="1" x14ac:dyDescent="0.2">
      <c r="C3840" s="139">
        <v>9140</v>
      </c>
      <c r="D3840" s="248">
        <v>9152.5810999997993</v>
      </c>
      <c r="E3840" s="248">
        <v>9013.9105999999301</v>
      </c>
      <c r="F3840" s="248">
        <v>9173.8306999999695</v>
      </c>
      <c r="G3840" s="248">
        <v>9305.3150999935006</v>
      </c>
      <c r="H3840" s="248">
        <v>9540.3753999999808</v>
      </c>
      <c r="I3840"/>
      <c r="J3840"/>
      <c r="K3840"/>
      <c r="L3840"/>
      <c r="M3840"/>
    </row>
    <row r="3841" spans="3:13" hidden="1" outlineLevel="1" x14ac:dyDescent="0.2">
      <c r="C3841" s="139">
        <v>9150</v>
      </c>
      <c r="D3841" s="248">
        <v>9162.7280999998002</v>
      </c>
      <c r="E3841" s="248">
        <v>9023.7725999999293</v>
      </c>
      <c r="F3841" s="248">
        <v>9183.8676999999698</v>
      </c>
      <c r="G3841" s="248">
        <v>9315.4960999934901</v>
      </c>
      <c r="H3841" s="248">
        <v>9550.8133999999809</v>
      </c>
      <c r="I3841"/>
      <c r="J3841"/>
      <c r="K3841"/>
      <c r="L3841"/>
      <c r="M3841"/>
    </row>
    <row r="3842" spans="3:13" hidden="1" outlineLevel="1" x14ac:dyDescent="0.2">
      <c r="C3842" s="139">
        <v>9160</v>
      </c>
      <c r="D3842" s="248">
        <v>9172.8750999997992</v>
      </c>
      <c r="E3842" s="248">
        <v>9033.6345999999303</v>
      </c>
      <c r="F3842" s="248">
        <v>9193.90469999997</v>
      </c>
      <c r="G3842" s="248">
        <v>9325.6770999934797</v>
      </c>
      <c r="H3842" s="248">
        <v>9561.2513999999792</v>
      </c>
      <c r="I3842"/>
      <c r="J3842"/>
      <c r="K3842"/>
      <c r="L3842"/>
      <c r="M3842"/>
    </row>
    <row r="3843" spans="3:13" hidden="1" outlineLevel="1" x14ac:dyDescent="0.2">
      <c r="C3843" s="139">
        <v>9170</v>
      </c>
      <c r="D3843" s="248">
        <v>9183.0220999998</v>
      </c>
      <c r="E3843" s="248">
        <v>9043.4965999999295</v>
      </c>
      <c r="F3843" s="248">
        <v>9203.9416999999703</v>
      </c>
      <c r="G3843" s="248">
        <v>9335.8580999934693</v>
      </c>
      <c r="H3843" s="248">
        <v>9571.6893999999793</v>
      </c>
      <c r="I3843"/>
      <c r="J3843"/>
      <c r="K3843"/>
      <c r="L3843"/>
      <c r="M3843"/>
    </row>
    <row r="3844" spans="3:13" hidden="1" outlineLevel="1" x14ac:dyDescent="0.2">
      <c r="C3844" s="139">
        <v>9180</v>
      </c>
      <c r="D3844" s="248">
        <v>9193.1690999998009</v>
      </c>
      <c r="E3844" s="248">
        <v>9053.3585999999304</v>
      </c>
      <c r="F3844" s="248">
        <v>9213.9786999999706</v>
      </c>
      <c r="G3844" s="248">
        <v>9346.0390999934607</v>
      </c>
      <c r="H3844" s="248">
        <v>9582.1273999999794</v>
      </c>
      <c r="I3844"/>
      <c r="J3844"/>
      <c r="K3844"/>
      <c r="L3844"/>
      <c r="M3844"/>
    </row>
    <row r="3845" spans="3:13" hidden="1" outlineLevel="1" x14ac:dyDescent="0.2">
      <c r="C3845" s="139">
        <v>9190</v>
      </c>
      <c r="D3845" s="248">
        <v>9203.3160999997999</v>
      </c>
      <c r="E3845" s="248">
        <v>9063.2205999999296</v>
      </c>
      <c r="F3845" s="248">
        <v>9224.0156999999708</v>
      </c>
      <c r="G3845" s="248">
        <v>9356.2200999934503</v>
      </c>
      <c r="H3845" s="248">
        <v>9592.5653999999795</v>
      </c>
      <c r="I3845"/>
      <c r="J3845"/>
      <c r="K3845"/>
      <c r="L3845"/>
      <c r="M3845"/>
    </row>
    <row r="3846" spans="3:13" hidden="1" outlineLevel="1" x14ac:dyDescent="0.2">
      <c r="C3846" s="139">
        <v>9200</v>
      </c>
      <c r="D3846" s="248">
        <v>9213.4630999998008</v>
      </c>
      <c r="E3846" s="248">
        <v>9073.0825999999306</v>
      </c>
      <c r="F3846" s="248">
        <v>9234.0526999999693</v>
      </c>
      <c r="G3846" s="248">
        <v>9366.4010999934399</v>
      </c>
      <c r="H3846" s="248">
        <v>9603.0033999999796</v>
      </c>
      <c r="I3846"/>
      <c r="J3846"/>
      <c r="K3846"/>
      <c r="L3846"/>
      <c r="M3846"/>
    </row>
    <row r="3847" spans="3:13" hidden="1" outlineLevel="1" x14ac:dyDescent="0.2">
      <c r="C3847" s="139">
        <v>9210</v>
      </c>
      <c r="D3847" s="248">
        <v>9223.6100999997998</v>
      </c>
      <c r="E3847" s="248">
        <v>9082.9445999999298</v>
      </c>
      <c r="F3847" s="248">
        <v>9244.0896999999695</v>
      </c>
      <c r="G3847" s="248">
        <v>9376.5820999934294</v>
      </c>
      <c r="H3847" s="248">
        <v>9613.4413999999797</v>
      </c>
      <c r="I3847"/>
      <c r="J3847"/>
      <c r="K3847"/>
      <c r="L3847"/>
      <c r="M3847"/>
    </row>
    <row r="3848" spans="3:13" hidden="1" outlineLevel="1" x14ac:dyDescent="0.2">
      <c r="C3848" s="139">
        <v>9220</v>
      </c>
      <c r="D3848" s="248">
        <v>9233.7570999998006</v>
      </c>
      <c r="E3848" s="248">
        <v>9092.8065999999308</v>
      </c>
      <c r="F3848" s="248">
        <v>9254.1266999999698</v>
      </c>
      <c r="G3848" s="248">
        <v>9386.7630999934208</v>
      </c>
      <c r="H3848" s="248">
        <v>9623.8793999999798</v>
      </c>
      <c r="I3848"/>
      <c r="J3848"/>
      <c r="K3848"/>
      <c r="L3848"/>
      <c r="M3848"/>
    </row>
    <row r="3849" spans="3:13" hidden="1" outlineLevel="1" x14ac:dyDescent="0.2">
      <c r="C3849" s="139">
        <v>9230</v>
      </c>
      <c r="D3849" s="248">
        <v>9243.9040999997997</v>
      </c>
      <c r="E3849" s="248">
        <v>9102.6685999999299</v>
      </c>
      <c r="F3849" s="248">
        <v>9264.16369999997</v>
      </c>
      <c r="G3849" s="248">
        <v>9396.9440999934104</v>
      </c>
      <c r="H3849" s="248">
        <v>9634.3173999999799</v>
      </c>
      <c r="I3849"/>
      <c r="J3849"/>
      <c r="K3849"/>
      <c r="L3849"/>
      <c r="M3849"/>
    </row>
    <row r="3850" spans="3:13" hidden="1" outlineLevel="1" x14ac:dyDescent="0.2">
      <c r="C3850" s="139">
        <v>9240</v>
      </c>
      <c r="D3850" s="248">
        <v>9254.0510999998005</v>
      </c>
      <c r="E3850" s="248">
        <v>9112.5305999999291</v>
      </c>
      <c r="F3850" s="248">
        <v>9274.2006999999703</v>
      </c>
      <c r="G3850" s="248">
        <v>9407.1250999934</v>
      </c>
      <c r="H3850" s="248">
        <v>9644.75539999998</v>
      </c>
      <c r="I3850"/>
      <c r="J3850"/>
      <c r="K3850"/>
      <c r="L3850"/>
      <c r="M3850"/>
    </row>
    <row r="3851" spans="3:13" hidden="1" outlineLevel="1" x14ac:dyDescent="0.2">
      <c r="C3851" s="139">
        <v>9250</v>
      </c>
      <c r="D3851" s="248">
        <v>9264.1980999997995</v>
      </c>
      <c r="E3851" s="248">
        <v>9122.3925999999301</v>
      </c>
      <c r="F3851" s="248">
        <v>9284.2376999999706</v>
      </c>
      <c r="G3851" s="248">
        <v>9417.3060999933896</v>
      </c>
      <c r="H3851" s="248">
        <v>9655.1933999999801</v>
      </c>
      <c r="I3851"/>
      <c r="J3851"/>
      <c r="K3851"/>
      <c r="L3851"/>
      <c r="M3851"/>
    </row>
    <row r="3852" spans="3:13" hidden="1" outlineLevel="1" x14ac:dyDescent="0.2">
      <c r="C3852" s="139">
        <v>9260</v>
      </c>
      <c r="D3852" s="248">
        <v>9274.3450999998004</v>
      </c>
      <c r="E3852" s="248">
        <v>9132.2545999999293</v>
      </c>
      <c r="F3852" s="248">
        <v>9294.2746999999708</v>
      </c>
      <c r="G3852" s="248">
        <v>9427.4870999933792</v>
      </c>
      <c r="H3852" s="248">
        <v>9665.6313999999802</v>
      </c>
      <c r="I3852"/>
      <c r="J3852"/>
      <c r="K3852"/>
      <c r="L3852"/>
      <c r="M3852"/>
    </row>
    <row r="3853" spans="3:13" hidden="1" outlineLevel="1" x14ac:dyDescent="0.2">
      <c r="C3853" s="139">
        <v>9270</v>
      </c>
      <c r="D3853" s="248">
        <v>9284.4920999997994</v>
      </c>
      <c r="E3853" s="248">
        <v>9142.1165999999303</v>
      </c>
      <c r="F3853" s="248">
        <v>9304.3116999999693</v>
      </c>
      <c r="G3853" s="248">
        <v>9437.6680999933706</v>
      </c>
      <c r="H3853" s="248">
        <v>9676.0693999999803</v>
      </c>
      <c r="I3853"/>
      <c r="J3853"/>
      <c r="K3853"/>
      <c r="L3853"/>
      <c r="M3853"/>
    </row>
    <row r="3854" spans="3:13" hidden="1" outlineLevel="1" x14ac:dyDescent="0.2">
      <c r="C3854" s="139">
        <v>9280</v>
      </c>
      <c r="D3854" s="248">
        <v>9294.6390999998002</v>
      </c>
      <c r="E3854" s="248">
        <v>9151.9785999999203</v>
      </c>
      <c r="F3854" s="248">
        <v>9314.3486999999695</v>
      </c>
      <c r="G3854" s="248">
        <v>9447.8490999933601</v>
      </c>
      <c r="H3854" s="248">
        <v>9686.5073999999804</v>
      </c>
      <c r="I3854"/>
      <c r="J3854"/>
      <c r="K3854"/>
      <c r="L3854"/>
      <c r="M3854"/>
    </row>
    <row r="3855" spans="3:13" hidden="1" outlineLevel="1" x14ac:dyDescent="0.2">
      <c r="C3855" s="139">
        <v>9290</v>
      </c>
      <c r="D3855" s="248">
        <v>9304.7860999997993</v>
      </c>
      <c r="E3855" s="248">
        <v>9161.8405999999195</v>
      </c>
      <c r="F3855" s="248">
        <v>9324.3856999999698</v>
      </c>
      <c r="G3855" s="248">
        <v>9458.0300999933497</v>
      </c>
      <c r="H3855" s="248">
        <v>9696.9453999999805</v>
      </c>
      <c r="I3855"/>
      <c r="J3855"/>
      <c r="K3855"/>
      <c r="L3855"/>
      <c r="M3855"/>
    </row>
    <row r="3856" spans="3:13" hidden="1" outlineLevel="1" x14ac:dyDescent="0.2">
      <c r="C3856" s="139">
        <v>9300</v>
      </c>
      <c r="D3856" s="248">
        <v>9314.9330999998001</v>
      </c>
      <c r="E3856" s="248">
        <v>9171.7025999999205</v>
      </c>
      <c r="F3856" s="248">
        <v>9334.4226999999701</v>
      </c>
      <c r="G3856" s="248">
        <v>9468.2110999933393</v>
      </c>
      <c r="H3856" s="248">
        <v>9707.3833999999806</v>
      </c>
      <c r="I3856"/>
      <c r="J3856"/>
      <c r="K3856"/>
      <c r="L3856"/>
      <c r="M3856"/>
    </row>
    <row r="3857" spans="3:13" hidden="1" outlineLevel="1" x14ac:dyDescent="0.2">
      <c r="C3857" s="139">
        <v>9310</v>
      </c>
      <c r="D3857" s="248">
        <v>9325.0800999997991</v>
      </c>
      <c r="E3857" s="248">
        <v>9181.5645999999197</v>
      </c>
      <c r="F3857" s="248">
        <v>9344.4596999999703</v>
      </c>
      <c r="G3857" s="248">
        <v>9478.3920999933307</v>
      </c>
      <c r="H3857" s="248">
        <v>9717.8213999999807</v>
      </c>
      <c r="I3857"/>
      <c r="J3857"/>
      <c r="K3857"/>
      <c r="L3857"/>
      <c r="M3857"/>
    </row>
    <row r="3858" spans="3:13" hidden="1" outlineLevel="1" x14ac:dyDescent="0.2">
      <c r="C3858" s="139">
        <v>9320</v>
      </c>
      <c r="D3858" s="248">
        <v>9335.2270999998</v>
      </c>
      <c r="E3858" s="248">
        <v>9191.4265999999207</v>
      </c>
      <c r="F3858" s="248">
        <v>9354.4966999999706</v>
      </c>
      <c r="G3858" s="248">
        <v>9488.5730999933203</v>
      </c>
      <c r="H3858" s="248">
        <v>9728.2593999999808</v>
      </c>
      <c r="I3858"/>
      <c r="J3858"/>
      <c r="K3858"/>
      <c r="L3858"/>
      <c r="M3858"/>
    </row>
    <row r="3859" spans="3:13" hidden="1" outlineLevel="1" x14ac:dyDescent="0.2">
      <c r="C3859" s="139">
        <v>9330</v>
      </c>
      <c r="D3859" s="248">
        <v>9345.3740999998008</v>
      </c>
      <c r="E3859" s="248">
        <v>9201.2885999999198</v>
      </c>
      <c r="F3859" s="248">
        <v>9364.5336999999708</v>
      </c>
      <c r="G3859" s="248">
        <v>9498.7540999933008</v>
      </c>
      <c r="H3859" s="248">
        <v>9738.6973999999791</v>
      </c>
      <c r="I3859"/>
      <c r="J3859"/>
      <c r="K3859"/>
      <c r="L3859"/>
      <c r="M3859"/>
    </row>
    <row r="3860" spans="3:13" hidden="1" outlineLevel="1" x14ac:dyDescent="0.2">
      <c r="C3860" s="139">
        <v>9340</v>
      </c>
      <c r="D3860" s="248">
        <v>9355.5210999997998</v>
      </c>
      <c r="E3860" s="248">
        <v>9211.1505999999208</v>
      </c>
      <c r="F3860" s="248">
        <v>9374.5706999999693</v>
      </c>
      <c r="G3860" s="248">
        <v>9508.9350999932904</v>
      </c>
      <c r="H3860" s="248">
        <v>9749.1353999999792</v>
      </c>
      <c r="I3860"/>
      <c r="J3860"/>
      <c r="K3860"/>
      <c r="L3860"/>
      <c r="M3860"/>
    </row>
    <row r="3861" spans="3:13" hidden="1" outlineLevel="1" x14ac:dyDescent="0.2">
      <c r="C3861" s="139">
        <v>9350</v>
      </c>
      <c r="D3861" s="248">
        <v>9365.6680999998007</v>
      </c>
      <c r="E3861" s="248">
        <v>9221.01259999992</v>
      </c>
      <c r="F3861" s="248">
        <v>9384.6076999999696</v>
      </c>
      <c r="G3861" s="248">
        <v>9519.1160999932799</v>
      </c>
      <c r="H3861" s="248">
        <v>9759.5733999999793</v>
      </c>
      <c r="I3861"/>
      <c r="J3861"/>
      <c r="K3861"/>
      <c r="L3861"/>
      <c r="M3861"/>
    </row>
    <row r="3862" spans="3:13" hidden="1" outlineLevel="1" x14ac:dyDescent="0.2">
      <c r="C3862" s="139">
        <v>9360</v>
      </c>
      <c r="D3862" s="248">
        <v>9375.8150999997997</v>
      </c>
      <c r="E3862" s="248">
        <v>9230.8745999999192</v>
      </c>
      <c r="F3862" s="248">
        <v>9394.6446999999698</v>
      </c>
      <c r="G3862" s="248">
        <v>9529.2970999932695</v>
      </c>
      <c r="H3862" s="248">
        <v>9770.0113999999794</v>
      </c>
      <c r="I3862"/>
      <c r="J3862"/>
      <c r="K3862"/>
      <c r="L3862"/>
      <c r="M3862"/>
    </row>
    <row r="3863" spans="3:13" hidden="1" outlineLevel="1" x14ac:dyDescent="0.2">
      <c r="C3863" s="139">
        <v>9370</v>
      </c>
      <c r="D3863" s="248">
        <v>9385.9620999998006</v>
      </c>
      <c r="E3863" s="248">
        <v>9240.7365999999201</v>
      </c>
      <c r="F3863" s="248">
        <v>9404.6816999999701</v>
      </c>
      <c r="G3863" s="248">
        <v>9539.4780999932591</v>
      </c>
      <c r="H3863" s="248">
        <v>9780.4493999999795</v>
      </c>
      <c r="I3863"/>
      <c r="J3863"/>
      <c r="K3863"/>
      <c r="L3863"/>
      <c r="M3863"/>
    </row>
    <row r="3864" spans="3:13" hidden="1" outlineLevel="1" x14ac:dyDescent="0.2">
      <c r="C3864" s="139">
        <v>9380</v>
      </c>
      <c r="D3864" s="248">
        <v>9396.1090999997996</v>
      </c>
      <c r="E3864" s="248">
        <v>9250.5985999999193</v>
      </c>
      <c r="F3864" s="248">
        <v>9414.7186999999703</v>
      </c>
      <c r="G3864" s="248">
        <v>9549.6590999932505</v>
      </c>
      <c r="H3864" s="248">
        <v>9790.8873999999796</v>
      </c>
      <c r="I3864"/>
      <c r="J3864"/>
      <c r="K3864"/>
      <c r="L3864"/>
      <c r="M3864"/>
    </row>
    <row r="3865" spans="3:13" hidden="1" outlineLevel="1" x14ac:dyDescent="0.2">
      <c r="C3865" s="139">
        <v>9390</v>
      </c>
      <c r="D3865" s="248">
        <v>9406.2560999998004</v>
      </c>
      <c r="E3865" s="248">
        <v>9260.4605999999203</v>
      </c>
      <c r="F3865" s="248">
        <v>9424.7556999999706</v>
      </c>
      <c r="G3865" s="248">
        <v>9559.8400999932401</v>
      </c>
      <c r="H3865" s="248">
        <v>9801.3253999999906</v>
      </c>
      <c r="I3865"/>
      <c r="J3865"/>
      <c r="K3865"/>
      <c r="L3865"/>
      <c r="M3865"/>
    </row>
    <row r="3866" spans="3:13" hidden="1" outlineLevel="1" x14ac:dyDescent="0.2">
      <c r="C3866" s="139">
        <v>9400</v>
      </c>
      <c r="D3866" s="248">
        <v>9416.4030999997995</v>
      </c>
      <c r="E3866" s="248">
        <v>9270.3225999999195</v>
      </c>
      <c r="F3866" s="248">
        <v>9434.7926999999709</v>
      </c>
      <c r="G3866" s="248">
        <v>9570.0210999932297</v>
      </c>
      <c r="H3866" s="248">
        <v>9811.7633999999907</v>
      </c>
      <c r="I3866"/>
      <c r="J3866"/>
      <c r="K3866"/>
      <c r="L3866"/>
      <c r="M3866"/>
    </row>
    <row r="3867" spans="3:13" hidden="1" outlineLevel="1" x14ac:dyDescent="0.2">
      <c r="C3867" s="139">
        <v>9410</v>
      </c>
      <c r="D3867" s="248">
        <v>9426.5500999998003</v>
      </c>
      <c r="E3867" s="248">
        <v>9280.1845999999205</v>
      </c>
      <c r="F3867" s="248">
        <v>9444.8296999999693</v>
      </c>
      <c r="G3867" s="248">
        <v>9580.2020999932192</v>
      </c>
      <c r="H3867" s="248">
        <v>9822.2013999999908</v>
      </c>
      <c r="I3867"/>
      <c r="J3867"/>
      <c r="K3867"/>
      <c r="L3867"/>
      <c r="M3867"/>
    </row>
    <row r="3868" spans="3:13" hidden="1" outlineLevel="1" x14ac:dyDescent="0.2">
      <c r="C3868" s="139">
        <v>9420</v>
      </c>
      <c r="D3868" s="248">
        <v>9436.6970999997993</v>
      </c>
      <c r="E3868" s="248">
        <v>9290.0465999999196</v>
      </c>
      <c r="F3868" s="248">
        <v>9454.8666999999696</v>
      </c>
      <c r="G3868" s="248">
        <v>9590.3830999932106</v>
      </c>
      <c r="H3868" s="248">
        <v>9832.6393999999891</v>
      </c>
      <c r="I3868"/>
      <c r="J3868"/>
      <c r="K3868"/>
      <c r="L3868"/>
      <c r="M3868"/>
    </row>
    <row r="3869" spans="3:13" hidden="1" outlineLevel="1" x14ac:dyDescent="0.2">
      <c r="C3869" s="139">
        <v>9430</v>
      </c>
      <c r="D3869" s="248">
        <v>9446.8440999998002</v>
      </c>
      <c r="E3869" s="248">
        <v>9299.9085999999206</v>
      </c>
      <c r="F3869" s="248">
        <v>9464.9036999999698</v>
      </c>
      <c r="G3869" s="248">
        <v>9600.5640999932002</v>
      </c>
      <c r="H3869" s="248">
        <v>9843.0773999999892</v>
      </c>
      <c r="I3869"/>
      <c r="J3869"/>
      <c r="K3869"/>
      <c r="L3869"/>
      <c r="M3869"/>
    </row>
    <row r="3870" spans="3:13" hidden="1" outlineLevel="1" x14ac:dyDescent="0.2">
      <c r="C3870" s="139">
        <v>9440</v>
      </c>
      <c r="D3870" s="248">
        <v>9456.9910999997992</v>
      </c>
      <c r="E3870" s="248">
        <v>9309.7705999999198</v>
      </c>
      <c r="F3870" s="248">
        <v>9474.9406999999701</v>
      </c>
      <c r="G3870" s="248">
        <v>9610.7450999931898</v>
      </c>
      <c r="H3870" s="248">
        <v>9853.5153999999893</v>
      </c>
      <c r="I3870"/>
      <c r="J3870"/>
      <c r="K3870"/>
      <c r="L3870"/>
      <c r="M3870"/>
    </row>
    <row r="3871" spans="3:13" hidden="1" outlineLevel="1" x14ac:dyDescent="0.2">
      <c r="C3871" s="139">
        <v>9450</v>
      </c>
      <c r="D3871" s="248">
        <v>9467.1380999998</v>
      </c>
      <c r="E3871" s="248">
        <v>9319.6325999999208</v>
      </c>
      <c r="F3871" s="248">
        <v>9484.9776999999704</v>
      </c>
      <c r="G3871" s="248">
        <v>9620.9260999931794</v>
      </c>
      <c r="H3871" s="248">
        <v>9863.9533999999894</v>
      </c>
      <c r="I3871"/>
      <c r="J3871"/>
      <c r="K3871"/>
      <c r="L3871"/>
      <c r="M3871"/>
    </row>
    <row r="3872" spans="3:13" hidden="1" outlineLevel="1" x14ac:dyDescent="0.2">
      <c r="C3872" s="139">
        <v>9460</v>
      </c>
      <c r="D3872" s="248">
        <v>9477.2850999998009</v>
      </c>
      <c r="E3872" s="248">
        <v>9329.49459999992</v>
      </c>
      <c r="F3872" s="248">
        <v>9495.0146999999706</v>
      </c>
      <c r="G3872" s="248">
        <v>9631.1070999931708</v>
      </c>
      <c r="H3872" s="248">
        <v>9874.3913999999895</v>
      </c>
      <c r="I3872"/>
      <c r="J3872"/>
      <c r="K3872"/>
      <c r="L3872"/>
      <c r="M3872"/>
    </row>
    <row r="3873" spans="3:13" hidden="1" outlineLevel="1" x14ac:dyDescent="0.2">
      <c r="C3873" s="139">
        <v>9470</v>
      </c>
      <c r="D3873" s="248">
        <v>9487.4320999997999</v>
      </c>
      <c r="E3873" s="248">
        <v>9339.3565999999191</v>
      </c>
      <c r="F3873" s="248">
        <v>9505.05169999996</v>
      </c>
      <c r="G3873" s="248">
        <v>9641.2880999931604</v>
      </c>
      <c r="H3873" s="248">
        <v>9884.8293999999896</v>
      </c>
      <c r="I3873"/>
      <c r="J3873"/>
      <c r="K3873"/>
      <c r="L3873"/>
      <c r="M3873"/>
    </row>
    <row r="3874" spans="3:13" hidden="1" outlineLevel="1" x14ac:dyDescent="0.2">
      <c r="C3874" s="139">
        <v>9480</v>
      </c>
      <c r="D3874" s="248">
        <v>9497.5790999998007</v>
      </c>
      <c r="E3874" s="248">
        <v>9349.2185999999201</v>
      </c>
      <c r="F3874" s="248">
        <v>9515.0886999999693</v>
      </c>
      <c r="G3874" s="248">
        <v>9651.4690999931499</v>
      </c>
      <c r="H3874" s="248">
        <v>9895.2673999999897</v>
      </c>
      <c r="I3874"/>
      <c r="J3874"/>
      <c r="K3874"/>
      <c r="L3874"/>
      <c r="M3874"/>
    </row>
    <row r="3875" spans="3:13" hidden="1" outlineLevel="1" x14ac:dyDescent="0.2">
      <c r="C3875" s="139">
        <v>9490</v>
      </c>
      <c r="D3875" s="248">
        <v>9507.7260999997998</v>
      </c>
      <c r="E3875" s="248">
        <v>9359.0805999999193</v>
      </c>
      <c r="F3875" s="248">
        <v>9525.1256999999696</v>
      </c>
      <c r="G3875" s="248">
        <v>9661.6500999931395</v>
      </c>
      <c r="H3875" s="248">
        <v>9905.7053999999898</v>
      </c>
      <c r="I3875"/>
      <c r="J3875"/>
      <c r="K3875"/>
      <c r="L3875"/>
      <c r="M3875"/>
    </row>
    <row r="3876" spans="3:13" hidden="1" outlineLevel="1" x14ac:dyDescent="0.2">
      <c r="C3876" s="139">
        <v>9500</v>
      </c>
      <c r="D3876" s="248">
        <v>9517.8730999998006</v>
      </c>
      <c r="E3876" s="248">
        <v>9368.9425999999203</v>
      </c>
      <c r="F3876" s="248">
        <v>9535.1626999999608</v>
      </c>
      <c r="G3876" s="248">
        <v>9671.8310999931291</v>
      </c>
      <c r="H3876" s="248">
        <v>9916.1433999999899</v>
      </c>
      <c r="I3876"/>
      <c r="J3876"/>
      <c r="K3876"/>
      <c r="L3876"/>
      <c r="M3876"/>
    </row>
    <row r="3877" spans="3:13" hidden="1" outlineLevel="1" x14ac:dyDescent="0.2">
      <c r="C3877" s="139">
        <v>9510</v>
      </c>
      <c r="D3877" s="248">
        <v>9528.0200999997996</v>
      </c>
      <c r="E3877" s="248">
        <v>9378.8045999999194</v>
      </c>
      <c r="F3877" s="248">
        <v>9545.1996999999592</v>
      </c>
      <c r="G3877" s="248">
        <v>9682.0120999931205</v>
      </c>
      <c r="H3877" s="248">
        <v>9926.58139999999</v>
      </c>
      <c r="I3877"/>
      <c r="J3877"/>
      <c r="K3877"/>
      <c r="L3877"/>
      <c r="M3877"/>
    </row>
    <row r="3878" spans="3:13" hidden="1" outlineLevel="1" x14ac:dyDescent="0.2">
      <c r="C3878" s="139">
        <v>9520</v>
      </c>
      <c r="D3878" s="248">
        <v>9538.1670999998005</v>
      </c>
      <c r="E3878" s="248">
        <v>9388.6665999999204</v>
      </c>
      <c r="F3878" s="248">
        <v>9555.2366999999595</v>
      </c>
      <c r="G3878" s="248">
        <v>9692.1930999931101</v>
      </c>
      <c r="H3878" s="248">
        <v>9937.0193999999901</v>
      </c>
      <c r="I3878"/>
      <c r="J3878"/>
      <c r="K3878"/>
      <c r="L3878"/>
      <c r="M3878"/>
    </row>
    <row r="3879" spans="3:13" hidden="1" outlineLevel="1" x14ac:dyDescent="0.2">
      <c r="C3879" s="139">
        <v>9530</v>
      </c>
      <c r="D3879" s="248">
        <v>9548.3140999997995</v>
      </c>
      <c r="E3879" s="248">
        <v>9398.5285999999105</v>
      </c>
      <c r="F3879" s="248">
        <v>9565.2736999999597</v>
      </c>
      <c r="G3879" s="248">
        <v>9702.3740999930997</v>
      </c>
      <c r="H3879" s="248">
        <v>9947.4573999999902</v>
      </c>
      <c r="I3879"/>
      <c r="J3879"/>
      <c r="K3879"/>
      <c r="L3879"/>
      <c r="M3879"/>
    </row>
    <row r="3880" spans="3:13" hidden="1" outlineLevel="1" x14ac:dyDescent="0.2">
      <c r="C3880" s="139">
        <v>9540</v>
      </c>
      <c r="D3880" s="248">
        <v>9558.4610999998004</v>
      </c>
      <c r="E3880" s="248">
        <v>9408.3905999999097</v>
      </c>
      <c r="F3880" s="248">
        <v>9575.31069999996</v>
      </c>
      <c r="G3880" s="248">
        <v>9712.5550999930892</v>
      </c>
      <c r="H3880" s="248">
        <v>9957.8953999999903</v>
      </c>
      <c r="I3880"/>
      <c r="J3880"/>
      <c r="K3880"/>
      <c r="L3880"/>
      <c r="M3880"/>
    </row>
    <row r="3881" spans="3:13" hidden="1" outlineLevel="1" x14ac:dyDescent="0.2">
      <c r="C3881" s="139">
        <v>9550</v>
      </c>
      <c r="D3881" s="248">
        <v>9568.6080999997994</v>
      </c>
      <c r="E3881" s="248">
        <v>9418.2525999999198</v>
      </c>
      <c r="F3881" s="248">
        <v>9585.3476999999602</v>
      </c>
      <c r="G3881" s="248">
        <v>9722.7360999930806</v>
      </c>
      <c r="H3881" s="248">
        <v>9968.3333999999904</v>
      </c>
      <c r="I3881"/>
      <c r="J3881"/>
      <c r="K3881"/>
      <c r="L3881"/>
      <c r="M3881"/>
    </row>
    <row r="3882" spans="3:13" hidden="1" outlineLevel="1" x14ac:dyDescent="0.2">
      <c r="C3882" s="139">
        <v>9560</v>
      </c>
      <c r="D3882" s="248">
        <v>9578.7550999998002</v>
      </c>
      <c r="E3882" s="248">
        <v>9428.1145999999098</v>
      </c>
      <c r="F3882" s="248">
        <v>9595.3846999999605</v>
      </c>
      <c r="G3882" s="248">
        <v>9732.9170999930702</v>
      </c>
      <c r="H3882" s="248">
        <v>9978.7713999999905</v>
      </c>
      <c r="I3882"/>
      <c r="J3882"/>
      <c r="K3882"/>
      <c r="L3882"/>
      <c r="M3882"/>
    </row>
    <row r="3883" spans="3:13" hidden="1" outlineLevel="1" x14ac:dyDescent="0.2">
      <c r="C3883" s="139">
        <v>9570</v>
      </c>
      <c r="D3883" s="248">
        <v>9588.9020999997992</v>
      </c>
      <c r="E3883" s="248">
        <v>9437.9765999999108</v>
      </c>
      <c r="F3883" s="248">
        <v>9605.4216999999608</v>
      </c>
      <c r="G3883" s="248">
        <v>9743.0980999930507</v>
      </c>
      <c r="H3883" s="248">
        <v>9989.2093999999906</v>
      </c>
      <c r="I3883"/>
      <c r="J3883"/>
      <c r="K3883"/>
      <c r="L3883"/>
      <c r="M3883"/>
    </row>
    <row r="3884" spans="3:13" hidden="1" outlineLevel="1" x14ac:dyDescent="0.2">
      <c r="C3884" s="139">
        <v>9580</v>
      </c>
      <c r="D3884" s="248">
        <v>9599.0490999998001</v>
      </c>
      <c r="E3884" s="248">
        <v>9447.83859999991</v>
      </c>
      <c r="F3884" s="248">
        <v>9615.4586999999592</v>
      </c>
      <c r="G3884" s="248">
        <v>9753.2790999930403</v>
      </c>
      <c r="H3884" s="248">
        <v>9999.6473999999907</v>
      </c>
      <c r="I3884"/>
      <c r="J3884"/>
      <c r="K3884"/>
      <c r="L3884"/>
      <c r="M3884"/>
    </row>
    <row r="3885" spans="3:13" hidden="1" outlineLevel="1" x14ac:dyDescent="0.2">
      <c r="C3885" s="139">
        <v>9590</v>
      </c>
      <c r="D3885" s="248">
        <v>9609.1960999997991</v>
      </c>
      <c r="E3885" s="248">
        <v>9457.7005999999092</v>
      </c>
      <c r="F3885" s="248">
        <v>9625.4956999999595</v>
      </c>
      <c r="G3885" s="248">
        <v>9763.4600999930299</v>
      </c>
      <c r="H3885" s="248">
        <v>10010.0854</v>
      </c>
      <c r="I3885"/>
      <c r="J3885"/>
      <c r="K3885"/>
      <c r="L3885"/>
      <c r="M3885"/>
    </row>
    <row r="3886" spans="3:13" hidden="1" outlineLevel="1" x14ac:dyDescent="0.2">
      <c r="C3886" s="139">
        <v>9600</v>
      </c>
      <c r="D3886" s="248">
        <v>9619.3430999998</v>
      </c>
      <c r="E3886" s="248">
        <v>9467.5625999999102</v>
      </c>
      <c r="F3886" s="248">
        <v>9635.5326999999597</v>
      </c>
      <c r="G3886" s="248">
        <v>9773.6410999930195</v>
      </c>
      <c r="H3886" s="248">
        <v>10020.5234</v>
      </c>
      <c r="I3886"/>
      <c r="J3886"/>
      <c r="K3886"/>
      <c r="L3886"/>
      <c r="M3886"/>
    </row>
    <row r="3887" spans="3:13" hidden="1" outlineLevel="1" x14ac:dyDescent="0.2">
      <c r="C3887" s="139">
        <v>9610</v>
      </c>
      <c r="D3887" s="248">
        <v>9629.4900999998008</v>
      </c>
      <c r="E3887" s="248">
        <v>9477.4245999999093</v>
      </c>
      <c r="F3887" s="248">
        <v>9645.56969999996</v>
      </c>
      <c r="G3887" s="248">
        <v>9783.8220999930109</v>
      </c>
      <c r="H3887" s="248">
        <v>10030.9614</v>
      </c>
      <c r="I3887"/>
      <c r="J3887"/>
      <c r="K3887"/>
      <c r="L3887"/>
      <c r="M3887"/>
    </row>
    <row r="3888" spans="3:13" hidden="1" outlineLevel="1" x14ac:dyDescent="0.2">
      <c r="C3888" s="139">
        <v>9620</v>
      </c>
      <c r="D3888" s="248">
        <v>9639.6370999997998</v>
      </c>
      <c r="E3888" s="248">
        <v>9487.2865999999103</v>
      </c>
      <c r="F3888" s="248">
        <v>9655.6066999999603</v>
      </c>
      <c r="G3888" s="248">
        <v>9794.0030999930004</v>
      </c>
      <c r="H3888" s="248">
        <v>10041.3994</v>
      </c>
      <c r="I3888"/>
      <c r="J3888"/>
      <c r="K3888"/>
      <c r="L3888"/>
      <c r="M3888"/>
    </row>
    <row r="3889" spans="3:13" hidden="1" outlineLevel="1" x14ac:dyDescent="0.2">
      <c r="C3889" s="139">
        <v>9630</v>
      </c>
      <c r="D3889" s="248">
        <v>9649.7840999998007</v>
      </c>
      <c r="E3889" s="248">
        <v>9497.1485999999095</v>
      </c>
      <c r="F3889" s="248">
        <v>9665.6436999999605</v>
      </c>
      <c r="G3889" s="248">
        <v>9804.18409999299</v>
      </c>
      <c r="H3889" s="248">
        <v>10051.8374</v>
      </c>
      <c r="I3889"/>
      <c r="J3889"/>
      <c r="K3889"/>
      <c r="L3889"/>
      <c r="M3889"/>
    </row>
    <row r="3890" spans="3:13" hidden="1" outlineLevel="1" x14ac:dyDescent="0.2">
      <c r="C3890" s="139">
        <v>9640</v>
      </c>
      <c r="D3890" s="248">
        <v>9659.9310999997997</v>
      </c>
      <c r="E3890" s="248">
        <v>9507.0105999999105</v>
      </c>
      <c r="F3890" s="248">
        <v>9675.6806999999608</v>
      </c>
      <c r="G3890" s="248">
        <v>9814.3650999929796</v>
      </c>
      <c r="H3890" s="248">
        <v>10062.2754</v>
      </c>
      <c r="I3890"/>
      <c r="J3890"/>
      <c r="K3890"/>
      <c r="L3890"/>
      <c r="M3890"/>
    </row>
    <row r="3891" spans="3:13" hidden="1" outlineLevel="1" x14ac:dyDescent="0.2">
      <c r="C3891" s="139">
        <v>9650</v>
      </c>
      <c r="D3891" s="248">
        <v>9670.0780999998005</v>
      </c>
      <c r="E3891" s="248">
        <v>9516.8725999999097</v>
      </c>
      <c r="F3891" s="248">
        <v>9685.7176999999592</v>
      </c>
      <c r="G3891" s="248">
        <v>9824.5460999929692</v>
      </c>
      <c r="H3891" s="248">
        <v>10072.713400000001</v>
      </c>
      <c r="I3891"/>
      <c r="J3891"/>
      <c r="K3891"/>
      <c r="L3891"/>
      <c r="M3891"/>
    </row>
    <row r="3892" spans="3:13" hidden="1" outlineLevel="1" x14ac:dyDescent="0.2">
      <c r="C3892" s="139">
        <v>9660</v>
      </c>
      <c r="D3892" s="248">
        <v>9680.2250999997996</v>
      </c>
      <c r="E3892" s="248">
        <v>9526.7345999999106</v>
      </c>
      <c r="F3892" s="248">
        <v>9695.7546999999595</v>
      </c>
      <c r="G3892" s="248">
        <v>9834.7270999929606</v>
      </c>
      <c r="H3892" s="248">
        <v>10083.151400000001</v>
      </c>
      <c r="I3892"/>
      <c r="J3892"/>
      <c r="K3892"/>
      <c r="L3892"/>
      <c r="M3892"/>
    </row>
    <row r="3893" spans="3:13" hidden="1" outlineLevel="1" x14ac:dyDescent="0.2">
      <c r="C3893" s="139">
        <v>9670</v>
      </c>
      <c r="D3893" s="248">
        <v>9690.3720999998004</v>
      </c>
      <c r="E3893" s="248">
        <v>9536.5965999999098</v>
      </c>
      <c r="F3893" s="248">
        <v>9705.7916999999597</v>
      </c>
      <c r="G3893" s="248">
        <v>9844.9080999929502</v>
      </c>
      <c r="H3893" s="248">
        <v>10093.589400000001</v>
      </c>
      <c r="I3893"/>
      <c r="J3893"/>
      <c r="K3893"/>
      <c r="L3893"/>
      <c r="M3893"/>
    </row>
    <row r="3894" spans="3:13" hidden="1" outlineLevel="1" x14ac:dyDescent="0.2">
      <c r="C3894" s="139">
        <v>9680</v>
      </c>
      <c r="D3894" s="248">
        <v>9700.5190999997994</v>
      </c>
      <c r="E3894" s="248">
        <v>9546.4585999999108</v>
      </c>
      <c r="F3894" s="248">
        <v>9715.82869999996</v>
      </c>
      <c r="G3894" s="248">
        <v>9855.0890999929397</v>
      </c>
      <c r="H3894" s="248">
        <v>10104.027400000001</v>
      </c>
      <c r="I3894"/>
      <c r="J3894"/>
      <c r="K3894"/>
      <c r="L3894"/>
      <c r="M3894"/>
    </row>
    <row r="3895" spans="3:13" hidden="1" outlineLevel="1" x14ac:dyDescent="0.2">
      <c r="C3895" s="139">
        <v>9690</v>
      </c>
      <c r="D3895" s="248">
        <v>9710.6660999998003</v>
      </c>
      <c r="E3895" s="248">
        <v>9556.32059999991</v>
      </c>
      <c r="F3895" s="248">
        <v>9725.8656999999603</v>
      </c>
      <c r="G3895" s="248">
        <v>9865.2700999929293</v>
      </c>
      <c r="H3895" s="248">
        <v>10114.465399999999</v>
      </c>
      <c r="I3895"/>
      <c r="J3895"/>
      <c r="K3895"/>
      <c r="L3895"/>
      <c r="M3895"/>
    </row>
    <row r="3896" spans="3:13" hidden="1" outlineLevel="1" x14ac:dyDescent="0.2">
      <c r="C3896" s="139">
        <v>9700</v>
      </c>
      <c r="D3896" s="248">
        <v>9720.8130999997993</v>
      </c>
      <c r="E3896" s="248">
        <v>9566.1825999999091</v>
      </c>
      <c r="F3896" s="248">
        <v>9735.9026999999605</v>
      </c>
      <c r="G3896" s="248">
        <v>9875.4510999929207</v>
      </c>
      <c r="H3896" s="248">
        <v>10124.903399999999</v>
      </c>
      <c r="I3896"/>
      <c r="J3896"/>
      <c r="K3896"/>
      <c r="L3896"/>
      <c r="M3896"/>
    </row>
    <row r="3897" spans="3:13" hidden="1" outlineLevel="1" x14ac:dyDescent="0.2">
      <c r="C3897" s="139">
        <v>9710</v>
      </c>
      <c r="D3897" s="248">
        <v>9730.9600999998001</v>
      </c>
      <c r="E3897" s="248">
        <v>9576.0445999999101</v>
      </c>
      <c r="F3897" s="248">
        <v>9745.9396999999608</v>
      </c>
      <c r="G3897" s="248">
        <v>9885.6320999929103</v>
      </c>
      <c r="H3897" s="248">
        <v>10135.341399999999</v>
      </c>
      <c r="I3897"/>
      <c r="J3897"/>
      <c r="K3897"/>
      <c r="L3897"/>
      <c r="M3897"/>
    </row>
    <row r="3898" spans="3:13" hidden="1" outlineLevel="1" x14ac:dyDescent="0.2">
      <c r="C3898" s="139">
        <v>9720</v>
      </c>
      <c r="D3898" s="248">
        <v>9741.1070999997992</v>
      </c>
      <c r="E3898" s="248">
        <v>9585.9065999999093</v>
      </c>
      <c r="F3898" s="248">
        <v>9755.9766999999592</v>
      </c>
      <c r="G3898" s="248">
        <v>9895.8130999928999</v>
      </c>
      <c r="H3898" s="248">
        <v>10145.779399999999</v>
      </c>
      <c r="I3898"/>
      <c r="J3898"/>
      <c r="K3898"/>
      <c r="L3898"/>
      <c r="M3898"/>
    </row>
    <row r="3899" spans="3:13" hidden="1" outlineLevel="1" x14ac:dyDescent="0.2">
      <c r="C3899" s="139">
        <v>9730</v>
      </c>
      <c r="D3899" s="248">
        <v>9751.2540999998</v>
      </c>
      <c r="E3899" s="248">
        <v>9595.7685999999103</v>
      </c>
      <c r="F3899" s="248">
        <v>9766.0136999999595</v>
      </c>
      <c r="G3899" s="248">
        <v>9905.9940999928895</v>
      </c>
      <c r="H3899" s="248">
        <v>10156.2174</v>
      </c>
      <c r="I3899"/>
      <c r="J3899"/>
      <c r="K3899"/>
      <c r="L3899"/>
      <c r="M3899"/>
    </row>
    <row r="3900" spans="3:13" hidden="1" outlineLevel="1" x14ac:dyDescent="0.2">
      <c r="C3900" s="139">
        <v>9740</v>
      </c>
      <c r="D3900" s="248">
        <v>9761.4010999998009</v>
      </c>
      <c r="E3900" s="248">
        <v>9605.6305999999095</v>
      </c>
      <c r="F3900" s="248">
        <v>9776.0506999999598</v>
      </c>
      <c r="G3900" s="248">
        <v>9916.1750999928809</v>
      </c>
      <c r="H3900" s="248">
        <v>10166.6554</v>
      </c>
      <c r="I3900"/>
      <c r="J3900"/>
      <c r="K3900"/>
      <c r="L3900"/>
      <c r="M3900"/>
    </row>
    <row r="3901" spans="3:13" hidden="1" outlineLevel="1" x14ac:dyDescent="0.2">
      <c r="C3901" s="139">
        <v>9750</v>
      </c>
      <c r="D3901" s="248">
        <v>9771.5480999997999</v>
      </c>
      <c r="E3901" s="248">
        <v>9615.4925999999105</v>
      </c>
      <c r="F3901" s="248">
        <v>9786.08769999996</v>
      </c>
      <c r="G3901" s="248">
        <v>9926.3560999928704</v>
      </c>
      <c r="H3901" s="248">
        <v>10177.0934</v>
      </c>
      <c r="I3901"/>
      <c r="J3901"/>
      <c r="K3901"/>
      <c r="L3901"/>
      <c r="M3901"/>
    </row>
    <row r="3902" spans="3:13" hidden="1" outlineLevel="1" x14ac:dyDescent="0.2">
      <c r="C3902" s="139">
        <v>9760</v>
      </c>
      <c r="D3902" s="248">
        <v>9781.6950999998007</v>
      </c>
      <c r="E3902" s="248">
        <v>9625.3545999999096</v>
      </c>
      <c r="F3902" s="248">
        <v>9796.1246999999603</v>
      </c>
      <c r="G3902" s="248">
        <v>9936.53709999286</v>
      </c>
      <c r="H3902" s="248">
        <v>10187.5314</v>
      </c>
      <c r="I3902"/>
      <c r="J3902"/>
      <c r="K3902"/>
      <c r="L3902"/>
      <c r="M3902"/>
    </row>
    <row r="3903" spans="3:13" hidden="1" outlineLevel="1" x14ac:dyDescent="0.2">
      <c r="C3903" s="139">
        <v>9770</v>
      </c>
      <c r="D3903" s="248">
        <v>9791.8420999997998</v>
      </c>
      <c r="E3903" s="248">
        <v>9635.2165999999106</v>
      </c>
      <c r="F3903" s="248">
        <v>9806.1616999999605</v>
      </c>
      <c r="G3903" s="248">
        <v>9946.7180999928496</v>
      </c>
      <c r="H3903" s="248">
        <v>10197.9694</v>
      </c>
      <c r="I3903"/>
      <c r="J3903"/>
      <c r="K3903"/>
      <c r="L3903"/>
      <c r="M3903"/>
    </row>
    <row r="3904" spans="3:13" hidden="1" outlineLevel="1" x14ac:dyDescent="0.2">
      <c r="C3904" s="139">
        <v>9780</v>
      </c>
      <c r="D3904" s="248">
        <v>9801.9890999998006</v>
      </c>
      <c r="E3904" s="248">
        <v>9645.0785999999098</v>
      </c>
      <c r="F3904" s="248">
        <v>9816.1986999999608</v>
      </c>
      <c r="G3904" s="248">
        <v>9956.8990999928392</v>
      </c>
      <c r="H3904" s="248">
        <v>10208.4074</v>
      </c>
      <c r="I3904"/>
      <c r="J3904"/>
      <c r="K3904"/>
      <c r="L3904"/>
      <c r="M3904"/>
    </row>
    <row r="3905" spans="3:13" hidden="1" outlineLevel="1" x14ac:dyDescent="0.2">
      <c r="C3905" s="139">
        <v>9790</v>
      </c>
      <c r="D3905" s="248">
        <v>9812.1360999997996</v>
      </c>
      <c r="E3905" s="248">
        <v>9654.9405999999108</v>
      </c>
      <c r="F3905" s="248">
        <v>9826.2356999999593</v>
      </c>
      <c r="G3905" s="248">
        <v>9967.0800999928306</v>
      </c>
      <c r="H3905" s="248">
        <v>10218.8454</v>
      </c>
      <c r="I3905"/>
      <c r="J3905"/>
      <c r="K3905"/>
      <c r="L3905"/>
      <c r="M3905"/>
    </row>
    <row r="3906" spans="3:13" hidden="1" outlineLevel="1" x14ac:dyDescent="0.2">
      <c r="C3906" s="139">
        <v>9800</v>
      </c>
      <c r="D3906" s="248">
        <v>9822.2830999998005</v>
      </c>
      <c r="E3906" s="248">
        <v>9664.8025999999099</v>
      </c>
      <c r="F3906" s="248">
        <v>9836.2726999999595</v>
      </c>
      <c r="G3906" s="248">
        <v>9977.2610999928092</v>
      </c>
      <c r="H3906" s="248">
        <v>10229.2834</v>
      </c>
      <c r="I3906"/>
      <c r="J3906"/>
      <c r="K3906"/>
      <c r="L3906"/>
      <c r="M3906"/>
    </row>
    <row r="3907" spans="3:13" hidden="1" outlineLevel="1" x14ac:dyDescent="0.2">
      <c r="C3907" s="139">
        <v>9810</v>
      </c>
      <c r="D3907" s="248">
        <v>9832.4300999997995</v>
      </c>
      <c r="E3907" s="248">
        <v>9674.6645999999</v>
      </c>
      <c r="F3907" s="248">
        <v>9846.3096999999598</v>
      </c>
      <c r="G3907" s="248">
        <v>9987.4420999928006</v>
      </c>
      <c r="H3907" s="248">
        <v>10239.7214</v>
      </c>
      <c r="I3907"/>
      <c r="J3907"/>
      <c r="K3907"/>
      <c r="L3907"/>
      <c r="M3907"/>
    </row>
    <row r="3908" spans="3:13" hidden="1" outlineLevel="1" x14ac:dyDescent="0.2">
      <c r="C3908" s="139">
        <v>9820</v>
      </c>
      <c r="D3908" s="248">
        <v>9842.5770999998003</v>
      </c>
      <c r="E3908" s="248">
        <v>9684.5265999998992</v>
      </c>
      <c r="F3908" s="248">
        <v>9856.34669999996</v>
      </c>
      <c r="G3908" s="248">
        <v>9997.6230999927902</v>
      </c>
      <c r="H3908" s="248">
        <v>10250.1594</v>
      </c>
      <c r="I3908"/>
      <c r="J3908"/>
      <c r="K3908"/>
      <c r="L3908"/>
      <c r="M3908"/>
    </row>
    <row r="3909" spans="3:13" hidden="1" outlineLevel="1" x14ac:dyDescent="0.2">
      <c r="C3909" s="139">
        <v>9830</v>
      </c>
      <c r="D3909" s="248">
        <v>9852.7240999997994</v>
      </c>
      <c r="E3909" s="248">
        <v>9694.3885999999002</v>
      </c>
      <c r="F3909" s="248">
        <v>9866.3836999999603</v>
      </c>
      <c r="G3909" s="248">
        <v>10007.8040999928</v>
      </c>
      <c r="H3909" s="248">
        <v>10260.597400000001</v>
      </c>
      <c r="I3909"/>
      <c r="J3909"/>
      <c r="K3909"/>
      <c r="L3909"/>
      <c r="M3909"/>
    </row>
    <row r="3910" spans="3:13" hidden="1" outlineLevel="1" x14ac:dyDescent="0.2">
      <c r="C3910" s="139">
        <v>9840</v>
      </c>
      <c r="D3910" s="248">
        <v>9862.8710999998002</v>
      </c>
      <c r="E3910" s="248">
        <v>9704.2505999998994</v>
      </c>
      <c r="F3910" s="248">
        <v>9876.4206999999606</v>
      </c>
      <c r="G3910" s="248">
        <v>10017.9850999928</v>
      </c>
      <c r="H3910" s="248">
        <v>10271.035400000001</v>
      </c>
      <c r="I3910"/>
      <c r="J3910"/>
      <c r="K3910"/>
      <c r="L3910"/>
      <c r="M3910"/>
    </row>
    <row r="3911" spans="3:13" hidden="1" outlineLevel="1" x14ac:dyDescent="0.2">
      <c r="C3911" s="139">
        <v>9850</v>
      </c>
      <c r="D3911" s="248">
        <v>9873.0180999997992</v>
      </c>
      <c r="E3911" s="248">
        <v>9714.1125999999003</v>
      </c>
      <c r="F3911" s="248">
        <v>9886.4576999999608</v>
      </c>
      <c r="G3911" s="248">
        <v>10028.166099992801</v>
      </c>
      <c r="H3911" s="248">
        <v>10281.473400000001</v>
      </c>
      <c r="I3911"/>
      <c r="J3911"/>
      <c r="K3911"/>
      <c r="L3911"/>
      <c r="M3911"/>
    </row>
    <row r="3912" spans="3:13" hidden="1" outlineLevel="1" x14ac:dyDescent="0.2">
      <c r="C3912" s="139">
        <v>9860</v>
      </c>
      <c r="D3912" s="248">
        <v>9883.1650999998001</v>
      </c>
      <c r="E3912" s="248">
        <v>9723.9745999998995</v>
      </c>
      <c r="F3912" s="248">
        <v>9896.4946999999593</v>
      </c>
      <c r="G3912" s="248">
        <v>10038.347099992799</v>
      </c>
      <c r="H3912" s="248">
        <v>10291.911400000001</v>
      </c>
      <c r="I3912"/>
      <c r="J3912"/>
      <c r="K3912"/>
      <c r="L3912"/>
      <c r="M3912"/>
    </row>
    <row r="3913" spans="3:13" hidden="1" outlineLevel="1" x14ac:dyDescent="0.2">
      <c r="C3913" s="139">
        <v>9870</v>
      </c>
      <c r="D3913" s="248">
        <v>9893.3120999997991</v>
      </c>
      <c r="E3913" s="248">
        <v>9733.8365999999005</v>
      </c>
      <c r="F3913" s="248">
        <v>9906.5316999999595</v>
      </c>
      <c r="G3913" s="248">
        <v>10048.5280999927</v>
      </c>
      <c r="H3913" s="248">
        <v>10302.349399999999</v>
      </c>
      <c r="I3913"/>
      <c r="J3913"/>
      <c r="K3913"/>
      <c r="L3913"/>
      <c r="M3913"/>
    </row>
    <row r="3914" spans="3:13" hidden="1" outlineLevel="1" x14ac:dyDescent="0.2">
      <c r="C3914" s="139">
        <v>9880</v>
      </c>
      <c r="D3914" s="248">
        <v>9903.4590999997909</v>
      </c>
      <c r="E3914" s="248">
        <v>9743.6985999998997</v>
      </c>
      <c r="F3914" s="248">
        <v>9916.5686999999598</v>
      </c>
      <c r="G3914" s="248">
        <v>10058.7090999927</v>
      </c>
      <c r="H3914" s="248">
        <v>10312.787399999999</v>
      </c>
      <c r="I3914"/>
      <c r="J3914"/>
      <c r="K3914"/>
      <c r="L3914"/>
      <c r="M3914"/>
    </row>
    <row r="3915" spans="3:13" hidden="1" outlineLevel="1" x14ac:dyDescent="0.2">
      <c r="C3915" s="139">
        <v>9890</v>
      </c>
      <c r="D3915" s="248">
        <v>9913.6060999997899</v>
      </c>
      <c r="E3915" s="248">
        <v>9753.5605999999007</v>
      </c>
      <c r="F3915" s="248">
        <v>9926.6056999999601</v>
      </c>
      <c r="G3915" s="248">
        <v>10068.890099992699</v>
      </c>
      <c r="H3915" s="248">
        <v>10323.225399999999</v>
      </c>
      <c r="I3915"/>
      <c r="J3915"/>
      <c r="K3915"/>
      <c r="L3915"/>
      <c r="M3915"/>
    </row>
    <row r="3916" spans="3:13" hidden="1" outlineLevel="1" x14ac:dyDescent="0.2">
      <c r="C3916" s="139">
        <v>9900</v>
      </c>
      <c r="D3916" s="248">
        <v>9923.7530999997907</v>
      </c>
      <c r="E3916" s="248">
        <v>9763.4225999998998</v>
      </c>
      <c r="F3916" s="248">
        <v>9936.6426999999603</v>
      </c>
      <c r="G3916" s="248">
        <v>10079.0710999927</v>
      </c>
      <c r="H3916" s="248">
        <v>10333.663399999999</v>
      </c>
      <c r="I3916"/>
      <c r="J3916"/>
      <c r="K3916"/>
      <c r="L3916"/>
      <c r="M3916"/>
    </row>
    <row r="3917" spans="3:13" hidden="1" outlineLevel="1" x14ac:dyDescent="0.2">
      <c r="C3917" s="139">
        <v>9910</v>
      </c>
      <c r="D3917" s="248">
        <v>9933.9000999997897</v>
      </c>
      <c r="E3917" s="248">
        <v>9773.2845999999008</v>
      </c>
      <c r="F3917" s="248">
        <v>9946.6796999999606</v>
      </c>
      <c r="G3917" s="248">
        <v>10089.2520999927</v>
      </c>
      <c r="H3917" s="248">
        <v>10344.1014</v>
      </c>
      <c r="I3917"/>
      <c r="J3917"/>
      <c r="K3917"/>
      <c r="L3917"/>
      <c r="M3917"/>
    </row>
    <row r="3918" spans="3:13" hidden="1" outlineLevel="1" x14ac:dyDescent="0.2">
      <c r="C3918" s="139">
        <v>9920</v>
      </c>
      <c r="D3918" s="248">
        <v>9944.0470999997906</v>
      </c>
      <c r="E3918" s="248">
        <v>9783.1465999999</v>
      </c>
      <c r="F3918" s="248">
        <v>9956.7166999999608</v>
      </c>
      <c r="G3918" s="248">
        <v>10099.433099992701</v>
      </c>
      <c r="H3918" s="248">
        <v>10354.5394</v>
      </c>
      <c r="I3918"/>
      <c r="J3918"/>
      <c r="K3918"/>
      <c r="L3918"/>
      <c r="M3918"/>
    </row>
    <row r="3919" spans="3:13" hidden="1" outlineLevel="1" x14ac:dyDescent="0.2">
      <c r="C3919" s="139">
        <v>9930</v>
      </c>
      <c r="D3919" s="248">
        <v>9954.1940999997896</v>
      </c>
      <c r="E3919" s="248">
        <v>9793.0085999998992</v>
      </c>
      <c r="F3919" s="248">
        <v>9966.7536999999593</v>
      </c>
      <c r="G3919" s="248">
        <v>10109.614099992699</v>
      </c>
      <c r="H3919" s="248">
        <v>10364.9774</v>
      </c>
      <c r="I3919"/>
      <c r="J3919"/>
      <c r="K3919"/>
      <c r="L3919"/>
      <c r="M3919"/>
    </row>
    <row r="3920" spans="3:13" hidden="1" outlineLevel="1" x14ac:dyDescent="0.2">
      <c r="C3920" s="139">
        <v>9940</v>
      </c>
      <c r="D3920" s="248">
        <v>9964.3410999997905</v>
      </c>
      <c r="E3920" s="248">
        <v>9802.8705999999002</v>
      </c>
      <c r="F3920" s="248">
        <v>9976.7906999999595</v>
      </c>
      <c r="G3920" s="248">
        <v>10119.7950999927</v>
      </c>
      <c r="H3920" s="248">
        <v>10375.4154</v>
      </c>
      <c r="I3920"/>
      <c r="J3920"/>
      <c r="K3920"/>
      <c r="L3920"/>
      <c r="M3920"/>
    </row>
    <row r="3921" spans="3:13" hidden="1" outlineLevel="1" x14ac:dyDescent="0.2">
      <c r="C3921" s="139">
        <v>9950</v>
      </c>
      <c r="D3921" s="248">
        <v>9974.4880999997895</v>
      </c>
      <c r="E3921" s="248">
        <v>9812.7325999998993</v>
      </c>
      <c r="F3921" s="248">
        <v>9986.8276999999598</v>
      </c>
      <c r="G3921" s="248">
        <v>10129.9760999927</v>
      </c>
      <c r="H3921" s="248">
        <v>10385.8534</v>
      </c>
      <c r="I3921"/>
      <c r="J3921"/>
      <c r="K3921"/>
      <c r="L3921"/>
      <c r="M3921"/>
    </row>
    <row r="3922" spans="3:13" hidden="1" outlineLevel="1" x14ac:dyDescent="0.2">
      <c r="C3922" s="139">
        <v>9960</v>
      </c>
      <c r="D3922" s="248">
        <v>9984.6350999997903</v>
      </c>
      <c r="E3922" s="248">
        <v>9822.5945999999003</v>
      </c>
      <c r="F3922" s="248">
        <v>9996.8646999999601</v>
      </c>
      <c r="G3922" s="248">
        <v>10140.157099992601</v>
      </c>
      <c r="H3922" s="248">
        <v>10396.2914</v>
      </c>
      <c r="I3922"/>
      <c r="J3922"/>
      <c r="K3922"/>
      <c r="L3922"/>
      <c r="M3922"/>
    </row>
    <row r="3923" spans="3:13" hidden="1" outlineLevel="1" x14ac:dyDescent="0.2">
      <c r="C3923" s="139">
        <v>9970</v>
      </c>
      <c r="D3923" s="248">
        <v>9994.7820999997894</v>
      </c>
      <c r="E3923" s="248">
        <v>9832.4565999998995</v>
      </c>
      <c r="F3923" s="248">
        <v>10006.9017</v>
      </c>
      <c r="G3923" s="248">
        <v>10150.338099992599</v>
      </c>
      <c r="H3923" s="248">
        <v>10406.7294</v>
      </c>
      <c r="I3923"/>
      <c r="J3923"/>
      <c r="K3923"/>
      <c r="L3923"/>
      <c r="M3923"/>
    </row>
    <row r="3924" spans="3:13" hidden="1" outlineLevel="1" x14ac:dyDescent="0.2">
      <c r="C3924" s="139">
        <v>9980</v>
      </c>
      <c r="D3924" s="248">
        <v>10004.929099999799</v>
      </c>
      <c r="E3924" s="248">
        <v>9842.3185999999005</v>
      </c>
      <c r="F3924" s="248">
        <v>10016.938700000001</v>
      </c>
      <c r="G3924" s="248">
        <v>10160.5190999926</v>
      </c>
      <c r="H3924" s="248">
        <v>10417.1674</v>
      </c>
      <c r="I3924"/>
      <c r="J3924"/>
      <c r="K3924"/>
      <c r="L3924"/>
      <c r="M3924"/>
    </row>
    <row r="3925" spans="3:13" hidden="1" outlineLevel="1" x14ac:dyDescent="0.2">
      <c r="C3925" s="139">
        <v>9990</v>
      </c>
      <c r="D3925" s="248">
        <v>10015.0760999998</v>
      </c>
      <c r="E3925" s="248">
        <v>9852.1805999998996</v>
      </c>
      <c r="F3925" s="248">
        <v>10026.975699999901</v>
      </c>
      <c r="G3925" s="248">
        <v>10170.7000999926</v>
      </c>
      <c r="H3925" s="248">
        <v>10427.6054</v>
      </c>
      <c r="I3925"/>
      <c r="J3925"/>
      <c r="K3925"/>
      <c r="L3925"/>
      <c r="M3925"/>
    </row>
    <row r="3926" spans="3:13" hidden="1" outlineLevel="1" x14ac:dyDescent="0.2">
      <c r="C3926" s="139">
        <v>10000</v>
      </c>
      <c r="D3926" s="248">
        <v>10025.223099999799</v>
      </c>
      <c r="E3926" s="248">
        <v>9862.0425999999006</v>
      </c>
      <c r="F3926" s="248">
        <v>10037.012699999999</v>
      </c>
      <c r="G3926" s="248">
        <v>10180.881099992601</v>
      </c>
      <c r="H3926" s="248">
        <v>10438.0434</v>
      </c>
      <c r="I3926"/>
      <c r="J3926"/>
      <c r="K3926"/>
      <c r="L3926"/>
      <c r="M3926"/>
    </row>
    <row r="3927" spans="3:13" hidden="1" outlineLevel="1" x14ac:dyDescent="0.2">
      <c r="C3927" s="139">
        <v>10010</v>
      </c>
      <c r="D3927" s="248">
        <v>10035.3700999998</v>
      </c>
      <c r="E3927" s="248">
        <v>9871.9045999998998</v>
      </c>
      <c r="F3927" s="248">
        <v>10047.0497</v>
      </c>
      <c r="G3927" s="248">
        <v>10191.0620999926</v>
      </c>
      <c r="H3927" s="248">
        <v>10448.481400000001</v>
      </c>
      <c r="I3927"/>
      <c r="J3927"/>
      <c r="K3927"/>
      <c r="L3927"/>
      <c r="M3927"/>
    </row>
    <row r="3928" spans="3:13" hidden="1" outlineLevel="1" x14ac:dyDescent="0.2">
      <c r="C3928" s="139">
        <v>10020</v>
      </c>
      <c r="D3928" s="248">
        <v>10045.517099999801</v>
      </c>
      <c r="E3928" s="248">
        <v>9881.7665999999008</v>
      </c>
      <c r="F3928" s="248">
        <v>10057.0867</v>
      </c>
      <c r="G3928" s="248">
        <v>10201.2430999926</v>
      </c>
      <c r="H3928" s="248">
        <v>10458.919400000001</v>
      </c>
      <c r="I3928"/>
      <c r="J3928"/>
      <c r="K3928"/>
      <c r="L3928"/>
      <c r="M3928"/>
    </row>
    <row r="3929" spans="3:13" hidden="1" outlineLevel="1" x14ac:dyDescent="0.2">
      <c r="C3929" s="139">
        <v>10030</v>
      </c>
      <c r="D3929" s="248">
        <v>10055.6640999998</v>
      </c>
      <c r="E3929" s="248">
        <v>9891.6285999999</v>
      </c>
      <c r="F3929" s="248">
        <v>10067.1237</v>
      </c>
      <c r="G3929" s="248">
        <v>10211.424099992601</v>
      </c>
      <c r="H3929" s="248">
        <v>10469.357400000001</v>
      </c>
      <c r="I3929"/>
      <c r="J3929"/>
      <c r="K3929"/>
      <c r="L3929"/>
      <c r="M3929"/>
    </row>
    <row r="3930" spans="3:13" hidden="1" outlineLevel="1" x14ac:dyDescent="0.2">
      <c r="C3930" s="139">
        <v>10040</v>
      </c>
      <c r="D3930" s="248">
        <v>10065.811099999801</v>
      </c>
      <c r="E3930" s="248">
        <v>9901.4905999998991</v>
      </c>
      <c r="F3930" s="248">
        <v>10077.1606999999</v>
      </c>
      <c r="G3930" s="248">
        <v>10221.605099992599</v>
      </c>
      <c r="H3930" s="248">
        <v>10479.795400000001</v>
      </c>
      <c r="I3930"/>
      <c r="J3930"/>
      <c r="K3930"/>
      <c r="L3930"/>
      <c r="M3930"/>
    </row>
    <row r="3931" spans="3:13" hidden="1" outlineLevel="1" x14ac:dyDescent="0.2">
      <c r="C3931" s="139">
        <v>10050</v>
      </c>
      <c r="D3931" s="248">
        <v>10075.9580999998</v>
      </c>
      <c r="E3931" s="248">
        <v>9911.3525999999001</v>
      </c>
      <c r="F3931" s="248">
        <v>10087.197699999901</v>
      </c>
      <c r="G3931" s="248">
        <v>10231.7860999926</v>
      </c>
      <c r="H3931" s="248">
        <v>10490.233399999999</v>
      </c>
      <c r="I3931"/>
      <c r="J3931"/>
      <c r="K3931"/>
      <c r="L3931"/>
      <c r="M3931"/>
    </row>
    <row r="3932" spans="3:13" hidden="1" outlineLevel="1" x14ac:dyDescent="0.2">
      <c r="C3932" s="139">
        <v>10060</v>
      </c>
      <c r="D3932" s="248">
        <v>10086.105099999801</v>
      </c>
      <c r="E3932" s="248">
        <v>9921.2145999998993</v>
      </c>
      <c r="F3932" s="248">
        <v>10097.234699999901</v>
      </c>
      <c r="G3932" s="248">
        <v>10241.9670999925</v>
      </c>
      <c r="H3932" s="248">
        <v>10500.671399999999</v>
      </c>
      <c r="I3932"/>
      <c r="J3932"/>
      <c r="K3932"/>
      <c r="L3932"/>
      <c r="M3932"/>
    </row>
    <row r="3933" spans="3:13" hidden="1" outlineLevel="1" x14ac:dyDescent="0.2">
      <c r="C3933" s="139">
        <v>10070</v>
      </c>
      <c r="D3933" s="248">
        <v>10096.2520999998</v>
      </c>
      <c r="E3933" s="248">
        <v>9931.0765999999003</v>
      </c>
      <c r="F3933" s="248">
        <v>10107.271699999999</v>
      </c>
      <c r="G3933" s="248">
        <v>10252.148099992501</v>
      </c>
      <c r="H3933" s="248">
        <v>10511.109399999999</v>
      </c>
      <c r="I3933"/>
      <c r="J3933"/>
      <c r="K3933"/>
      <c r="L3933"/>
      <c r="M3933"/>
    </row>
    <row r="3934" spans="3:13" hidden="1" outlineLevel="1" x14ac:dyDescent="0.2">
      <c r="C3934" s="139">
        <v>10080</v>
      </c>
      <c r="D3934" s="248">
        <v>10106.3990999998</v>
      </c>
      <c r="E3934" s="248">
        <v>9940.9385999998904</v>
      </c>
      <c r="F3934" s="248">
        <v>10117.3087</v>
      </c>
      <c r="G3934" s="248">
        <v>10262.329099992499</v>
      </c>
      <c r="H3934" s="248">
        <v>10521.547399999999</v>
      </c>
      <c r="I3934"/>
      <c r="J3934"/>
      <c r="K3934"/>
      <c r="L3934"/>
      <c r="M3934"/>
    </row>
    <row r="3935" spans="3:13" hidden="1" outlineLevel="1" x14ac:dyDescent="0.2">
      <c r="C3935" s="139">
        <v>10090</v>
      </c>
      <c r="D3935" s="248">
        <v>10116.546099999799</v>
      </c>
      <c r="E3935" s="248">
        <v>9950.8005999998895</v>
      </c>
      <c r="F3935" s="248">
        <v>10127.3457</v>
      </c>
      <c r="G3935" s="248">
        <v>10272.5100999925</v>
      </c>
      <c r="H3935" s="248">
        <v>10531.9854</v>
      </c>
      <c r="I3935"/>
      <c r="J3935"/>
      <c r="K3935"/>
      <c r="L3935"/>
      <c r="M3935"/>
    </row>
    <row r="3936" spans="3:13" hidden="1" outlineLevel="1" x14ac:dyDescent="0.2">
      <c r="C3936" s="139">
        <v>10100</v>
      </c>
      <c r="D3936" s="248">
        <v>10126.6930999998</v>
      </c>
      <c r="E3936" s="248">
        <v>9960.6625999998905</v>
      </c>
      <c r="F3936" s="248">
        <v>10137.3827</v>
      </c>
      <c r="G3936" s="248">
        <v>10282.6910999925</v>
      </c>
      <c r="H3936" s="248">
        <v>10542.4234</v>
      </c>
      <c r="I3936"/>
      <c r="J3936"/>
      <c r="K3936"/>
      <c r="L3936"/>
      <c r="M3936"/>
    </row>
    <row r="3937" spans="3:13" hidden="1" outlineLevel="1" x14ac:dyDescent="0.2">
      <c r="C3937" s="139">
        <v>10110</v>
      </c>
      <c r="D3937" s="248">
        <v>10136.840099999799</v>
      </c>
      <c r="E3937" s="248">
        <v>9970.5245999998897</v>
      </c>
      <c r="F3937" s="248">
        <v>10147.4196999999</v>
      </c>
      <c r="G3937" s="248">
        <v>10292.872099992501</v>
      </c>
      <c r="H3937" s="248">
        <v>10552.8614</v>
      </c>
      <c r="I3937"/>
      <c r="J3937"/>
      <c r="K3937"/>
      <c r="L3937"/>
      <c r="M3937"/>
    </row>
    <row r="3938" spans="3:13" hidden="1" outlineLevel="1" x14ac:dyDescent="0.2">
      <c r="C3938" s="139">
        <v>10120</v>
      </c>
      <c r="D3938" s="248">
        <v>10146.9870999998</v>
      </c>
      <c r="E3938" s="248">
        <v>9980.3865999998907</v>
      </c>
      <c r="F3938" s="248">
        <v>10157.456699999901</v>
      </c>
      <c r="G3938" s="248">
        <v>10303.053099992499</v>
      </c>
      <c r="H3938" s="248">
        <v>10563.2994</v>
      </c>
      <c r="I3938"/>
      <c r="J3938"/>
      <c r="K3938"/>
      <c r="L3938"/>
      <c r="M3938"/>
    </row>
    <row r="3939" spans="3:13" hidden="1" outlineLevel="1" x14ac:dyDescent="0.2">
      <c r="C3939" s="139">
        <v>10130</v>
      </c>
      <c r="D3939" s="248">
        <v>10157.134099999799</v>
      </c>
      <c r="E3939" s="248">
        <v>9990.2485999998898</v>
      </c>
      <c r="F3939" s="248">
        <v>10167.493699999901</v>
      </c>
      <c r="G3939" s="248">
        <v>10313.2340999925</v>
      </c>
      <c r="H3939" s="248">
        <v>10573.7374</v>
      </c>
      <c r="I3939"/>
      <c r="J3939"/>
      <c r="K3939"/>
      <c r="L3939"/>
      <c r="M3939"/>
    </row>
    <row r="3940" spans="3:13" hidden="1" outlineLevel="1" x14ac:dyDescent="0.2">
      <c r="C3940" s="139">
        <v>10140</v>
      </c>
      <c r="D3940" s="248">
        <v>10167.2810999998</v>
      </c>
      <c r="E3940" s="248">
        <v>10000.1105999999</v>
      </c>
      <c r="F3940" s="248">
        <v>10177.530699999999</v>
      </c>
      <c r="G3940" s="248">
        <v>10323.4150999925</v>
      </c>
      <c r="H3940" s="248">
        <v>10584.1754</v>
      </c>
      <c r="I3940"/>
      <c r="J3940"/>
      <c r="K3940"/>
      <c r="L3940"/>
      <c r="M3940"/>
    </row>
    <row r="3941" spans="3:13" hidden="1" outlineLevel="1" x14ac:dyDescent="0.2">
      <c r="C3941" s="139">
        <v>10150</v>
      </c>
      <c r="D3941" s="248">
        <v>10177.428099999801</v>
      </c>
      <c r="E3941" s="248">
        <v>10009.972599999899</v>
      </c>
      <c r="F3941" s="248">
        <v>10187.5677</v>
      </c>
      <c r="G3941" s="248">
        <v>10333.596099992499</v>
      </c>
      <c r="H3941" s="248">
        <v>10594.6134</v>
      </c>
      <c r="I3941"/>
      <c r="J3941"/>
      <c r="K3941"/>
      <c r="L3941"/>
      <c r="M3941"/>
    </row>
    <row r="3942" spans="3:13" hidden="1" outlineLevel="1" x14ac:dyDescent="0.2">
      <c r="C3942" s="139">
        <v>10160</v>
      </c>
      <c r="D3942" s="248">
        <v>10187.5750999998</v>
      </c>
      <c r="E3942" s="248">
        <v>10019.8345999999</v>
      </c>
      <c r="F3942" s="248">
        <v>10197.6047</v>
      </c>
      <c r="G3942" s="248">
        <v>10343.7770999924</v>
      </c>
      <c r="H3942" s="248">
        <v>10605.0514</v>
      </c>
      <c r="I3942"/>
      <c r="J3942"/>
      <c r="K3942"/>
      <c r="L3942"/>
      <c r="M3942"/>
    </row>
    <row r="3943" spans="3:13" hidden="1" outlineLevel="1" x14ac:dyDescent="0.2">
      <c r="C3943" s="139">
        <v>10170</v>
      </c>
      <c r="D3943" s="248">
        <v>10197.722099999801</v>
      </c>
      <c r="E3943" s="248">
        <v>10029.696599999899</v>
      </c>
      <c r="F3943" s="248">
        <v>10207.6417</v>
      </c>
      <c r="G3943" s="248">
        <v>10353.9580999924</v>
      </c>
      <c r="H3943" s="248">
        <v>10615.4894</v>
      </c>
      <c r="I3943"/>
      <c r="J3943"/>
      <c r="K3943"/>
      <c r="L3943"/>
      <c r="M3943"/>
    </row>
    <row r="3944" spans="3:13" hidden="1" outlineLevel="1" x14ac:dyDescent="0.2">
      <c r="C3944" s="139">
        <v>10180</v>
      </c>
      <c r="D3944" s="248">
        <v>10207.8690999998</v>
      </c>
      <c r="E3944" s="248">
        <v>10039.5585999999</v>
      </c>
      <c r="F3944" s="248">
        <v>10217.6786999999</v>
      </c>
      <c r="G3944" s="248">
        <v>10364.139099992401</v>
      </c>
      <c r="H3944" s="248">
        <v>10625.9274</v>
      </c>
      <c r="I3944"/>
      <c r="J3944"/>
      <c r="K3944"/>
      <c r="L3944"/>
      <c r="M3944"/>
    </row>
    <row r="3945" spans="3:13" hidden="1" outlineLevel="1" x14ac:dyDescent="0.2">
      <c r="C3945" s="139">
        <v>10190</v>
      </c>
      <c r="D3945" s="248">
        <v>10218.016099999801</v>
      </c>
      <c r="E3945" s="248">
        <v>10049.420599999899</v>
      </c>
      <c r="F3945" s="248">
        <v>10227.715699999901</v>
      </c>
      <c r="G3945" s="248">
        <v>10374.320099992399</v>
      </c>
      <c r="H3945" s="248">
        <v>10636.365400000001</v>
      </c>
      <c r="I3945"/>
      <c r="J3945"/>
      <c r="K3945"/>
      <c r="L3945"/>
      <c r="M3945"/>
    </row>
    <row r="3946" spans="3:13" hidden="1" outlineLevel="1" x14ac:dyDescent="0.2">
      <c r="C3946" s="139">
        <v>10200</v>
      </c>
      <c r="D3946" s="248">
        <v>10228.1630999998</v>
      </c>
      <c r="E3946" s="248">
        <v>10059.2825999999</v>
      </c>
      <c r="F3946" s="248">
        <v>10237.752699999901</v>
      </c>
      <c r="G3946" s="248">
        <v>10384.5010999924</v>
      </c>
      <c r="H3946" s="248">
        <v>10646.803400000001</v>
      </c>
      <c r="I3946"/>
      <c r="J3946"/>
      <c r="K3946"/>
      <c r="L3946"/>
      <c r="M3946"/>
    </row>
    <row r="3947" spans="3:13" hidden="1" outlineLevel="1" x14ac:dyDescent="0.2">
      <c r="C3947" s="139">
        <v>10210</v>
      </c>
      <c r="D3947" s="248">
        <v>10238.310099999801</v>
      </c>
      <c r="E3947" s="248">
        <v>10069.1445999999</v>
      </c>
      <c r="F3947" s="248">
        <v>10247.789699999999</v>
      </c>
      <c r="G3947" s="248">
        <v>10394.6820999924</v>
      </c>
      <c r="H3947" s="248">
        <v>10657.241400000001</v>
      </c>
      <c r="I3947"/>
      <c r="J3947"/>
      <c r="K3947"/>
      <c r="L3947"/>
      <c r="M3947"/>
    </row>
    <row r="3948" spans="3:13" hidden="1" outlineLevel="1" x14ac:dyDescent="0.2">
      <c r="C3948" s="139">
        <v>10220</v>
      </c>
      <c r="D3948" s="248">
        <v>10248.4570999998</v>
      </c>
      <c r="E3948" s="248">
        <v>10079.006599999901</v>
      </c>
      <c r="F3948" s="248">
        <v>10257.8267</v>
      </c>
      <c r="G3948" s="248">
        <v>10404.863099992401</v>
      </c>
      <c r="H3948" s="248">
        <v>10667.679400000001</v>
      </c>
      <c r="I3948"/>
      <c r="J3948"/>
      <c r="K3948"/>
      <c r="L3948"/>
      <c r="M3948"/>
    </row>
    <row r="3949" spans="3:13" hidden="1" outlineLevel="1" x14ac:dyDescent="0.2">
      <c r="C3949" s="139">
        <v>10230</v>
      </c>
      <c r="D3949" s="248">
        <v>10258.6040999998</v>
      </c>
      <c r="E3949" s="248">
        <v>10088.8685999999</v>
      </c>
      <c r="F3949" s="248">
        <v>10267.8637</v>
      </c>
      <c r="G3949" s="248">
        <v>10415.044099992399</v>
      </c>
      <c r="H3949" s="248">
        <v>10678.117399999999</v>
      </c>
      <c r="I3949"/>
      <c r="J3949"/>
      <c r="K3949"/>
      <c r="L3949"/>
      <c r="M3949"/>
    </row>
    <row r="3950" spans="3:13" hidden="1" outlineLevel="1" x14ac:dyDescent="0.2">
      <c r="C3950" s="139">
        <v>10240</v>
      </c>
      <c r="D3950" s="248">
        <v>10268.751099999799</v>
      </c>
      <c r="E3950" s="248">
        <v>10098.730599999901</v>
      </c>
      <c r="F3950" s="248">
        <v>10277.9007</v>
      </c>
      <c r="G3950" s="248">
        <v>10425.2250999924</v>
      </c>
      <c r="H3950" s="248">
        <v>10688.555399999999</v>
      </c>
      <c r="I3950"/>
      <c r="J3950"/>
      <c r="K3950"/>
      <c r="L3950"/>
      <c r="M3950"/>
    </row>
    <row r="3951" spans="3:13" hidden="1" outlineLevel="1" x14ac:dyDescent="0.2">
      <c r="C3951" s="139">
        <v>10250</v>
      </c>
      <c r="D3951" s="248">
        <v>10278.8980999998</v>
      </c>
      <c r="E3951" s="248">
        <v>10108.5925999999</v>
      </c>
      <c r="F3951" s="248">
        <v>10287.9376999999</v>
      </c>
      <c r="G3951" s="248">
        <v>10435.4060999923</v>
      </c>
      <c r="H3951" s="248">
        <v>10698.993399999999</v>
      </c>
      <c r="I3951"/>
      <c r="J3951"/>
      <c r="K3951"/>
      <c r="L3951"/>
      <c r="M3951"/>
    </row>
    <row r="3952" spans="3:13" hidden="1" outlineLevel="1" x14ac:dyDescent="0.2">
      <c r="C3952" s="139">
        <v>10260</v>
      </c>
      <c r="D3952" s="248">
        <v>10289.045099999799</v>
      </c>
      <c r="E3952" s="248">
        <v>10118.454599999901</v>
      </c>
      <c r="F3952" s="248">
        <v>10297.974699999901</v>
      </c>
      <c r="G3952" s="248">
        <v>10445.587099992301</v>
      </c>
      <c r="H3952" s="248">
        <v>10709.431399999999</v>
      </c>
      <c r="I3952"/>
      <c r="J3952"/>
      <c r="K3952"/>
      <c r="L3952"/>
      <c r="M3952"/>
    </row>
    <row r="3953" spans="3:13" hidden="1" outlineLevel="1" x14ac:dyDescent="0.2">
      <c r="C3953" s="139">
        <v>10270</v>
      </c>
      <c r="D3953" s="248">
        <v>10299.1920999998</v>
      </c>
      <c r="E3953" s="248">
        <v>10128.3165999999</v>
      </c>
      <c r="F3953" s="248">
        <v>10308.011699999901</v>
      </c>
      <c r="G3953" s="248">
        <v>10455.7680999923</v>
      </c>
      <c r="H3953" s="248">
        <v>10719.8694</v>
      </c>
      <c r="I3953"/>
      <c r="J3953"/>
      <c r="K3953"/>
      <c r="L3953"/>
      <c r="M3953"/>
    </row>
    <row r="3954" spans="3:13" hidden="1" outlineLevel="1" x14ac:dyDescent="0.2">
      <c r="C3954" s="139">
        <v>10280</v>
      </c>
      <c r="D3954" s="248">
        <v>10309.339099999799</v>
      </c>
      <c r="E3954" s="248">
        <v>10138.178599999899</v>
      </c>
      <c r="F3954" s="248">
        <v>10318.048699999999</v>
      </c>
      <c r="G3954" s="248">
        <v>10465.9490999923</v>
      </c>
      <c r="H3954" s="248">
        <v>10730.3074</v>
      </c>
      <c r="I3954"/>
      <c r="J3954"/>
      <c r="K3954"/>
      <c r="L3954"/>
      <c r="M3954"/>
    </row>
    <row r="3955" spans="3:13" hidden="1" outlineLevel="1" x14ac:dyDescent="0.2">
      <c r="C3955" s="139">
        <v>10290</v>
      </c>
      <c r="D3955" s="248">
        <v>10319.4860999998</v>
      </c>
      <c r="E3955" s="248">
        <v>10148.0405999999</v>
      </c>
      <c r="F3955" s="248">
        <v>10328.0857</v>
      </c>
      <c r="G3955" s="248">
        <v>10476.130099992301</v>
      </c>
      <c r="H3955" s="248">
        <v>10740.7454</v>
      </c>
      <c r="I3955"/>
      <c r="J3955"/>
      <c r="K3955"/>
      <c r="L3955"/>
      <c r="M3955"/>
    </row>
    <row r="3956" spans="3:13" hidden="1" outlineLevel="1" x14ac:dyDescent="0.2">
      <c r="C3956" s="139">
        <v>10300</v>
      </c>
      <c r="D3956" s="248">
        <v>10329.633099999801</v>
      </c>
      <c r="E3956" s="248">
        <v>10157.902599999899</v>
      </c>
      <c r="F3956" s="248">
        <v>10338.1227</v>
      </c>
      <c r="G3956" s="248">
        <v>10486.311099992299</v>
      </c>
      <c r="H3956" s="248">
        <v>10751.1834</v>
      </c>
      <c r="I3956"/>
      <c r="J3956"/>
      <c r="K3956"/>
      <c r="L3956"/>
      <c r="M3956"/>
    </row>
    <row r="3957" spans="3:13" hidden="1" outlineLevel="1" x14ac:dyDescent="0.2">
      <c r="C3957" s="139">
        <v>10310</v>
      </c>
      <c r="D3957" s="248">
        <v>10339.7800999998</v>
      </c>
      <c r="E3957" s="248">
        <v>10167.7645999999</v>
      </c>
      <c r="F3957" s="248">
        <v>10348.1597</v>
      </c>
      <c r="G3957" s="248">
        <v>10496.4920999923</v>
      </c>
      <c r="H3957" s="248">
        <v>10761.6214</v>
      </c>
      <c r="I3957"/>
      <c r="J3957"/>
      <c r="K3957"/>
      <c r="L3957"/>
      <c r="M3957"/>
    </row>
    <row r="3958" spans="3:13" hidden="1" outlineLevel="1" x14ac:dyDescent="0.2">
      <c r="C3958" s="139">
        <v>10320</v>
      </c>
      <c r="D3958" s="248">
        <v>10349.927099999801</v>
      </c>
      <c r="E3958" s="248">
        <v>10177.6265999999</v>
      </c>
      <c r="F3958" s="248">
        <v>10358.1966999999</v>
      </c>
      <c r="G3958" s="248">
        <v>10506.6730999923</v>
      </c>
      <c r="H3958" s="248">
        <v>10772.0594</v>
      </c>
      <c r="I3958"/>
      <c r="J3958"/>
      <c r="K3958"/>
      <c r="L3958"/>
      <c r="M3958"/>
    </row>
    <row r="3959" spans="3:13" hidden="1" outlineLevel="1" x14ac:dyDescent="0.2">
      <c r="C3959" s="139">
        <v>10330</v>
      </c>
      <c r="D3959" s="248">
        <v>10360.0740999998</v>
      </c>
      <c r="E3959" s="248">
        <v>10187.488599999901</v>
      </c>
      <c r="F3959" s="248">
        <v>10368.233699999901</v>
      </c>
      <c r="G3959" s="248">
        <v>10516.854099992301</v>
      </c>
      <c r="H3959" s="248">
        <v>10782.4974</v>
      </c>
      <c r="I3959"/>
      <c r="J3959"/>
      <c r="K3959"/>
      <c r="L3959"/>
      <c r="M3959"/>
    </row>
    <row r="3960" spans="3:13" hidden="1" outlineLevel="1" x14ac:dyDescent="0.2">
      <c r="C3960" s="139">
        <v>10340</v>
      </c>
      <c r="D3960" s="248">
        <v>10370.221099999801</v>
      </c>
      <c r="E3960" s="248">
        <v>10197.3505999999</v>
      </c>
      <c r="F3960" s="248">
        <v>10378.270699999999</v>
      </c>
      <c r="G3960" s="248">
        <v>10527.035099992299</v>
      </c>
      <c r="H3960" s="248">
        <v>10792.9354</v>
      </c>
      <c r="I3960"/>
      <c r="J3960"/>
      <c r="K3960"/>
      <c r="L3960"/>
      <c r="M3960"/>
    </row>
    <row r="3961" spans="3:13" hidden="1" outlineLevel="1" x14ac:dyDescent="0.2">
      <c r="C3961" s="139">
        <v>10350</v>
      </c>
      <c r="D3961" s="248">
        <v>10380.3680999998</v>
      </c>
      <c r="E3961" s="248">
        <v>10207.212599999901</v>
      </c>
      <c r="F3961" s="248">
        <v>10388.307699999999</v>
      </c>
      <c r="G3961" s="248">
        <v>10537.2160999922</v>
      </c>
      <c r="H3961" s="248">
        <v>10803.3734</v>
      </c>
      <c r="I3961"/>
      <c r="J3961"/>
      <c r="K3961"/>
      <c r="L3961"/>
      <c r="M3961"/>
    </row>
    <row r="3962" spans="3:13" hidden="1" outlineLevel="1" x14ac:dyDescent="0.2">
      <c r="C3962" s="139">
        <v>10360</v>
      </c>
      <c r="D3962" s="248">
        <v>10390.5150999998</v>
      </c>
      <c r="E3962" s="248">
        <v>10217.0745999999</v>
      </c>
      <c r="F3962" s="248">
        <v>10398.3447</v>
      </c>
      <c r="G3962" s="248">
        <v>10547.3970999922</v>
      </c>
      <c r="H3962" s="248">
        <v>10813.811400000001</v>
      </c>
      <c r="I3962"/>
      <c r="J3962"/>
      <c r="K3962"/>
      <c r="L3962"/>
      <c r="M3962"/>
    </row>
    <row r="3963" spans="3:13" hidden="1" outlineLevel="1" x14ac:dyDescent="0.2">
      <c r="C3963" s="139">
        <v>10370</v>
      </c>
      <c r="D3963" s="248">
        <v>10400.662099999799</v>
      </c>
      <c r="E3963" s="248">
        <v>10226.936599999901</v>
      </c>
      <c r="F3963" s="248">
        <v>10408.3817</v>
      </c>
      <c r="G3963" s="248">
        <v>10557.578099992201</v>
      </c>
      <c r="H3963" s="248">
        <v>10824.249400000001</v>
      </c>
      <c r="I3963"/>
      <c r="J3963"/>
      <c r="K3963"/>
      <c r="L3963"/>
      <c r="M3963"/>
    </row>
    <row r="3964" spans="3:13" hidden="1" outlineLevel="1" x14ac:dyDescent="0.2">
      <c r="C3964" s="139">
        <v>10380</v>
      </c>
      <c r="D3964" s="248">
        <v>10410.8090999998</v>
      </c>
      <c r="E3964" s="248">
        <v>10236.7985999999</v>
      </c>
      <c r="F3964" s="248">
        <v>10418.4187</v>
      </c>
      <c r="G3964" s="248">
        <v>10567.759099992199</v>
      </c>
      <c r="H3964" s="248">
        <v>10834.687400000001</v>
      </c>
      <c r="I3964"/>
      <c r="J3964"/>
      <c r="K3964"/>
      <c r="L3964"/>
      <c r="M3964"/>
    </row>
    <row r="3965" spans="3:13" hidden="1" outlineLevel="1" x14ac:dyDescent="0.2">
      <c r="C3965" s="139">
        <v>10390</v>
      </c>
      <c r="D3965" s="248">
        <v>10420.956099999799</v>
      </c>
      <c r="E3965" s="248">
        <v>10246.660599999899</v>
      </c>
      <c r="F3965" s="248">
        <v>10428.4556999999</v>
      </c>
      <c r="G3965" s="248">
        <v>10577.9400999922</v>
      </c>
      <c r="H3965" s="248">
        <v>10845.125400000001</v>
      </c>
      <c r="I3965"/>
      <c r="J3965"/>
      <c r="K3965"/>
      <c r="L3965"/>
      <c r="M3965"/>
    </row>
    <row r="3966" spans="3:13" hidden="1" outlineLevel="1" x14ac:dyDescent="0.2">
      <c r="C3966" s="139">
        <v>10400</v>
      </c>
      <c r="D3966" s="248">
        <v>10431.1030999998</v>
      </c>
      <c r="E3966" s="248">
        <v>10256.5225999999</v>
      </c>
      <c r="F3966" s="248">
        <v>10438.492699999901</v>
      </c>
      <c r="G3966" s="248">
        <v>10588.1210999922</v>
      </c>
      <c r="H3966" s="248">
        <v>10855.563399999999</v>
      </c>
      <c r="I3966"/>
      <c r="J3966"/>
      <c r="K3966"/>
      <c r="L3966"/>
      <c r="M3966"/>
    </row>
    <row r="3967" spans="3:13" hidden="1" outlineLevel="1" x14ac:dyDescent="0.2">
      <c r="C3967" s="139">
        <v>10410</v>
      </c>
      <c r="D3967" s="248">
        <v>10441.250099999799</v>
      </c>
      <c r="E3967" s="248">
        <v>10266.384599999899</v>
      </c>
      <c r="F3967" s="248">
        <v>10448.529699999999</v>
      </c>
      <c r="G3967" s="248">
        <v>10598.302099992199</v>
      </c>
      <c r="H3967" s="248">
        <v>10866.001399999999</v>
      </c>
      <c r="I3967"/>
      <c r="J3967"/>
      <c r="K3967"/>
      <c r="L3967"/>
      <c r="M3967"/>
    </row>
    <row r="3968" spans="3:13" hidden="1" outlineLevel="1" x14ac:dyDescent="0.2">
      <c r="C3968" s="139">
        <v>10420</v>
      </c>
      <c r="D3968" s="248">
        <v>10451.3970999998</v>
      </c>
      <c r="E3968" s="248">
        <v>10276.2465999999</v>
      </c>
      <c r="F3968" s="248">
        <v>10458.566699999999</v>
      </c>
      <c r="G3968" s="248">
        <v>10608.4830999922</v>
      </c>
      <c r="H3968" s="248">
        <v>10876.439399999999</v>
      </c>
      <c r="I3968"/>
      <c r="J3968"/>
      <c r="K3968"/>
      <c r="L3968"/>
      <c r="M3968"/>
    </row>
    <row r="3969" spans="3:13" hidden="1" outlineLevel="1" x14ac:dyDescent="0.2">
      <c r="C3969" s="139">
        <v>10430</v>
      </c>
      <c r="D3969" s="248">
        <v>10461.544099999801</v>
      </c>
      <c r="E3969" s="248">
        <v>10286.1085999999</v>
      </c>
      <c r="F3969" s="248">
        <v>10468.6037</v>
      </c>
      <c r="G3969" s="248">
        <v>10618.6640999922</v>
      </c>
      <c r="H3969" s="248">
        <v>10886.877399999999</v>
      </c>
      <c r="I3969"/>
      <c r="J3969"/>
      <c r="K3969"/>
      <c r="L3969"/>
      <c r="M3969"/>
    </row>
    <row r="3970" spans="3:13" hidden="1" outlineLevel="1" x14ac:dyDescent="0.2">
      <c r="C3970" s="139">
        <v>10440</v>
      </c>
      <c r="D3970" s="248">
        <v>10471.6910999998</v>
      </c>
      <c r="E3970" s="248">
        <v>10295.970599999901</v>
      </c>
      <c r="F3970" s="248">
        <v>10478.6407</v>
      </c>
      <c r="G3970" s="248">
        <v>10628.845099992101</v>
      </c>
      <c r="H3970" s="248">
        <v>10897.315399999999</v>
      </c>
      <c r="I3970"/>
      <c r="J3970"/>
      <c r="K3970"/>
      <c r="L3970"/>
      <c r="M3970"/>
    </row>
    <row r="3971" spans="3:13" hidden="1" outlineLevel="1" x14ac:dyDescent="0.2">
      <c r="C3971" s="139">
        <v>10450</v>
      </c>
      <c r="D3971" s="248">
        <v>10481.838099999801</v>
      </c>
      <c r="E3971" s="248">
        <v>10305.8325999999</v>
      </c>
      <c r="F3971" s="248">
        <v>10488.6777</v>
      </c>
      <c r="G3971" s="248">
        <v>10639.026099992099</v>
      </c>
      <c r="H3971" s="248">
        <v>10907.7534</v>
      </c>
      <c r="I3971"/>
      <c r="J3971"/>
      <c r="K3971"/>
      <c r="L3971"/>
      <c r="M3971"/>
    </row>
    <row r="3972" spans="3:13" hidden="1" outlineLevel="1" x14ac:dyDescent="0.2">
      <c r="C3972" s="139">
        <v>10460</v>
      </c>
      <c r="D3972" s="248">
        <v>10491.9850999998</v>
      </c>
      <c r="E3972" s="248">
        <v>10315.694599999901</v>
      </c>
      <c r="F3972" s="248">
        <v>10498.7146999999</v>
      </c>
      <c r="G3972" s="248">
        <v>10649.2070999921</v>
      </c>
      <c r="H3972" s="248">
        <v>10918.1914</v>
      </c>
      <c r="I3972"/>
      <c r="J3972"/>
      <c r="K3972"/>
      <c r="L3972"/>
      <c r="M3972"/>
    </row>
    <row r="3973" spans="3:13" hidden="1" outlineLevel="1" x14ac:dyDescent="0.2">
      <c r="C3973" s="139">
        <v>10470</v>
      </c>
      <c r="D3973" s="248">
        <v>10502.132099999801</v>
      </c>
      <c r="E3973" s="248">
        <v>10325.5565999999</v>
      </c>
      <c r="F3973" s="248">
        <v>10508.751699999901</v>
      </c>
      <c r="G3973" s="248">
        <v>10659.3880999921</v>
      </c>
      <c r="H3973" s="248">
        <v>10928.6294</v>
      </c>
      <c r="I3973"/>
      <c r="J3973"/>
      <c r="K3973"/>
      <c r="L3973"/>
      <c r="M3973"/>
    </row>
    <row r="3974" spans="3:13" hidden="1" outlineLevel="1" x14ac:dyDescent="0.2">
      <c r="C3974" s="139">
        <v>10480</v>
      </c>
      <c r="D3974" s="248">
        <v>10512.2790999998</v>
      </c>
      <c r="E3974" s="248">
        <v>10335.418599999901</v>
      </c>
      <c r="F3974" s="248">
        <v>10518.788699999999</v>
      </c>
      <c r="G3974" s="248">
        <v>10669.569099992101</v>
      </c>
      <c r="H3974" s="248">
        <v>10939.0674</v>
      </c>
      <c r="I3974"/>
      <c r="J3974"/>
      <c r="K3974"/>
      <c r="L3974"/>
      <c r="M3974"/>
    </row>
    <row r="3975" spans="3:13" hidden="1" outlineLevel="1" x14ac:dyDescent="0.2">
      <c r="C3975" s="139">
        <v>10490</v>
      </c>
      <c r="D3975" s="248">
        <v>10522.4260999998</v>
      </c>
      <c r="E3975" s="248">
        <v>10345.2805999999</v>
      </c>
      <c r="F3975" s="248">
        <v>10528.825699999999</v>
      </c>
      <c r="G3975" s="248">
        <v>10679.750099992099</v>
      </c>
      <c r="H3975" s="248">
        <v>10949.5054</v>
      </c>
      <c r="I3975"/>
      <c r="J3975"/>
      <c r="K3975"/>
      <c r="L3975"/>
      <c r="M3975"/>
    </row>
    <row r="3976" spans="3:13" hidden="1" outlineLevel="1" x14ac:dyDescent="0.2">
      <c r="C3976" s="139">
        <v>10500</v>
      </c>
      <c r="D3976" s="248">
        <v>10532.5730999998</v>
      </c>
      <c r="E3976" s="248">
        <v>10355.142599999899</v>
      </c>
      <c r="F3976" s="248">
        <v>10538.8627</v>
      </c>
      <c r="G3976" s="248">
        <v>10689.9310999921</v>
      </c>
      <c r="H3976" s="248">
        <v>10959.9434</v>
      </c>
      <c r="I3976"/>
      <c r="J3976"/>
      <c r="K3976"/>
      <c r="L3976"/>
      <c r="M3976"/>
    </row>
    <row r="3977" spans="3:13" hidden="1" outlineLevel="1" x14ac:dyDescent="0.2">
      <c r="C3977" s="139">
        <v>10510</v>
      </c>
      <c r="D3977" s="248">
        <v>10542.7200999998</v>
      </c>
      <c r="E3977" s="248">
        <v>10365.0045999999</v>
      </c>
      <c r="F3977" s="248">
        <v>10548.8996999999</v>
      </c>
      <c r="G3977" s="248">
        <v>10700.1120999921</v>
      </c>
      <c r="H3977" s="248">
        <v>10970.3814</v>
      </c>
      <c r="I3977"/>
      <c r="J3977"/>
      <c r="K3977"/>
      <c r="L3977"/>
      <c r="M3977"/>
    </row>
    <row r="3978" spans="3:13" hidden="1" outlineLevel="1" x14ac:dyDescent="0.2">
      <c r="C3978" s="139">
        <v>10520</v>
      </c>
      <c r="D3978" s="248">
        <v>10552.867099999799</v>
      </c>
      <c r="E3978" s="248">
        <v>10374.866599999899</v>
      </c>
      <c r="F3978" s="248">
        <v>10558.9366999999</v>
      </c>
      <c r="G3978" s="248">
        <v>10710.293099992101</v>
      </c>
      <c r="H3978" s="248">
        <v>10980.8194</v>
      </c>
      <c r="I3978"/>
      <c r="J3978"/>
      <c r="K3978"/>
      <c r="L3978"/>
      <c r="M3978"/>
    </row>
    <row r="3979" spans="3:13" hidden="1" outlineLevel="1" x14ac:dyDescent="0.2">
      <c r="C3979" s="139">
        <v>10530</v>
      </c>
      <c r="D3979" s="248">
        <v>10563.0140999998</v>
      </c>
      <c r="E3979" s="248">
        <v>10384.7285999999</v>
      </c>
      <c r="F3979" s="248">
        <v>10568.9736999999</v>
      </c>
      <c r="G3979" s="248">
        <v>10720.4740999921</v>
      </c>
      <c r="H3979" s="248">
        <v>10991.2574</v>
      </c>
      <c r="I3979"/>
      <c r="J3979"/>
      <c r="K3979"/>
      <c r="L3979"/>
      <c r="M3979"/>
    </row>
    <row r="3980" spans="3:13" hidden="1" outlineLevel="1" x14ac:dyDescent="0.2">
      <c r="C3980" s="139">
        <v>10540</v>
      </c>
      <c r="D3980" s="248">
        <v>10573.161099999799</v>
      </c>
      <c r="E3980" s="248">
        <v>10394.590599999899</v>
      </c>
      <c r="F3980" s="248">
        <v>10579.010699999901</v>
      </c>
      <c r="G3980" s="248">
        <v>10730.655099992</v>
      </c>
      <c r="H3980" s="248">
        <v>11001.695400000001</v>
      </c>
      <c r="I3980"/>
      <c r="J3980"/>
      <c r="K3980"/>
      <c r="L3980"/>
      <c r="M3980"/>
    </row>
    <row r="3981" spans="3:13" hidden="1" outlineLevel="1" x14ac:dyDescent="0.2">
      <c r="C3981" s="139">
        <v>10550</v>
      </c>
      <c r="D3981" s="248">
        <v>10583.3080999998</v>
      </c>
      <c r="E3981" s="248">
        <v>10404.4525999999</v>
      </c>
      <c r="F3981" s="248">
        <v>10589.047699999899</v>
      </c>
      <c r="G3981" s="248">
        <v>10740.836099992001</v>
      </c>
      <c r="H3981" s="248">
        <v>11012.133400000001</v>
      </c>
      <c r="I3981"/>
      <c r="J3981"/>
      <c r="K3981"/>
      <c r="L3981"/>
      <c r="M3981"/>
    </row>
    <row r="3982" spans="3:13" hidden="1" outlineLevel="1" x14ac:dyDescent="0.2">
      <c r="C3982" s="139">
        <v>10560</v>
      </c>
      <c r="D3982" s="248">
        <v>10593.455099999799</v>
      </c>
      <c r="E3982" s="248">
        <v>10414.3145999999</v>
      </c>
      <c r="F3982" s="248">
        <v>10599.084699999899</v>
      </c>
      <c r="G3982" s="248">
        <v>10751.017099991999</v>
      </c>
      <c r="H3982" s="248">
        <v>11022.571400000001</v>
      </c>
      <c r="I3982"/>
      <c r="J3982"/>
      <c r="K3982"/>
      <c r="L3982"/>
      <c r="M3982"/>
    </row>
    <row r="3983" spans="3:13" hidden="1" outlineLevel="1" x14ac:dyDescent="0.2">
      <c r="C3983" s="139">
        <v>10570</v>
      </c>
      <c r="D3983" s="248">
        <v>10603.6020999998</v>
      </c>
      <c r="E3983" s="248">
        <v>10424.176599999901</v>
      </c>
      <c r="F3983" s="248">
        <v>10609.1216999999</v>
      </c>
      <c r="G3983" s="248">
        <v>10761.198099992</v>
      </c>
      <c r="H3983" s="248">
        <v>11033.009400000001</v>
      </c>
      <c r="I3983"/>
      <c r="J3983"/>
      <c r="K3983"/>
      <c r="L3983"/>
      <c r="M3983"/>
    </row>
    <row r="3984" spans="3:13" hidden="1" outlineLevel="1" x14ac:dyDescent="0.2">
      <c r="C3984" s="139">
        <v>10580</v>
      </c>
      <c r="D3984" s="248">
        <v>10613.749099999801</v>
      </c>
      <c r="E3984" s="248">
        <v>10434.0385999999</v>
      </c>
      <c r="F3984" s="248">
        <v>10619.1586999999</v>
      </c>
      <c r="G3984" s="248">
        <v>10771.379099992</v>
      </c>
      <c r="H3984" s="248">
        <v>11043.447399999999</v>
      </c>
      <c r="I3984"/>
      <c r="J3984"/>
      <c r="K3984"/>
      <c r="L3984"/>
      <c r="M3984"/>
    </row>
    <row r="3985" spans="3:13" hidden="1" outlineLevel="1" x14ac:dyDescent="0.2">
      <c r="C3985" s="139">
        <v>10590</v>
      </c>
      <c r="D3985" s="248">
        <v>10623.8960999998</v>
      </c>
      <c r="E3985" s="248">
        <v>10443.900599999901</v>
      </c>
      <c r="F3985" s="248">
        <v>10629.1956999999</v>
      </c>
      <c r="G3985" s="248">
        <v>10781.560099992001</v>
      </c>
      <c r="H3985" s="248">
        <v>11053.885399999999</v>
      </c>
      <c r="I3985"/>
      <c r="J3985"/>
      <c r="K3985"/>
      <c r="L3985"/>
      <c r="M3985"/>
    </row>
    <row r="3986" spans="3:13" hidden="1" outlineLevel="1" x14ac:dyDescent="0.2">
      <c r="C3986" s="139">
        <v>10600</v>
      </c>
      <c r="D3986" s="248">
        <v>10634.043099999801</v>
      </c>
      <c r="E3986" s="248">
        <v>10453.7625999999</v>
      </c>
      <c r="F3986" s="248">
        <v>10639.2326999999</v>
      </c>
      <c r="G3986" s="248">
        <v>10791.741099991999</v>
      </c>
      <c r="H3986" s="248">
        <v>11064.323399999999</v>
      </c>
      <c r="I3986"/>
      <c r="J3986"/>
      <c r="K3986"/>
      <c r="L3986"/>
      <c r="M3986"/>
    </row>
    <row r="3987" spans="3:13" hidden="1" outlineLevel="1" x14ac:dyDescent="0.2">
      <c r="C3987" s="139">
        <v>10610</v>
      </c>
      <c r="D3987" s="248">
        <v>10644.1900999998</v>
      </c>
      <c r="E3987" s="248">
        <v>10463.624599999899</v>
      </c>
      <c r="F3987" s="248">
        <v>10649.269699999901</v>
      </c>
      <c r="G3987" s="248">
        <v>10801.922099992</v>
      </c>
      <c r="H3987" s="248">
        <v>11074.761399999999</v>
      </c>
      <c r="I3987"/>
      <c r="J3987"/>
      <c r="K3987"/>
      <c r="L3987"/>
      <c r="M3987"/>
    </row>
    <row r="3988" spans="3:13" hidden="1" outlineLevel="1" x14ac:dyDescent="0.2">
      <c r="C3988" s="139">
        <v>10620</v>
      </c>
      <c r="D3988" s="248">
        <v>10654.337099999801</v>
      </c>
      <c r="E3988" s="248">
        <v>10473.4865999999</v>
      </c>
      <c r="F3988" s="248">
        <v>10659.306699999899</v>
      </c>
      <c r="G3988" s="248">
        <v>10812.103099992</v>
      </c>
      <c r="H3988" s="248">
        <v>11085.1994</v>
      </c>
      <c r="I3988"/>
      <c r="J3988"/>
      <c r="K3988"/>
      <c r="L3988"/>
      <c r="M3988"/>
    </row>
    <row r="3989" spans="3:13" hidden="1" outlineLevel="1" x14ac:dyDescent="0.2">
      <c r="C3989" s="139">
        <v>10630</v>
      </c>
      <c r="D3989" s="248">
        <v>10664.4840999998</v>
      </c>
      <c r="E3989" s="248">
        <v>10483.348599999899</v>
      </c>
      <c r="F3989" s="248">
        <v>10669.343699999899</v>
      </c>
      <c r="G3989" s="248">
        <v>10822.284099991901</v>
      </c>
      <c r="H3989" s="248">
        <v>11095.6374</v>
      </c>
      <c r="I3989"/>
      <c r="J3989"/>
      <c r="K3989"/>
      <c r="L3989"/>
      <c r="M3989"/>
    </row>
    <row r="3990" spans="3:13" hidden="1" outlineLevel="1" x14ac:dyDescent="0.2">
      <c r="C3990" s="139">
        <v>10640</v>
      </c>
      <c r="D3990" s="248">
        <v>10674.6310999998</v>
      </c>
      <c r="E3990" s="248">
        <v>10493.2105999999</v>
      </c>
      <c r="F3990" s="248">
        <v>10679.3806999999</v>
      </c>
      <c r="G3990" s="248">
        <v>10832.465099991899</v>
      </c>
      <c r="H3990" s="248">
        <v>11106.0754</v>
      </c>
      <c r="I3990"/>
      <c r="J3990"/>
      <c r="K3990"/>
      <c r="L3990"/>
      <c r="M3990"/>
    </row>
    <row r="3991" spans="3:13" hidden="1" outlineLevel="1" x14ac:dyDescent="0.2">
      <c r="C3991" s="139">
        <v>10650</v>
      </c>
      <c r="D3991" s="248">
        <v>10684.778099999799</v>
      </c>
      <c r="E3991" s="248">
        <v>10503.072599999899</v>
      </c>
      <c r="F3991" s="248">
        <v>10689.4176999999</v>
      </c>
      <c r="G3991" s="248">
        <v>10842.6460999919</v>
      </c>
      <c r="H3991" s="248">
        <v>11116.5134</v>
      </c>
      <c r="I3991"/>
      <c r="J3991"/>
      <c r="K3991"/>
      <c r="L3991"/>
      <c r="M3991"/>
    </row>
    <row r="3992" spans="3:13" hidden="1" outlineLevel="1" x14ac:dyDescent="0.2">
      <c r="C3992" s="139">
        <v>10660</v>
      </c>
      <c r="D3992" s="248">
        <v>10694.9250999998</v>
      </c>
      <c r="E3992" s="248">
        <v>10512.9345999999</v>
      </c>
      <c r="F3992" s="248">
        <v>10699.4546999999</v>
      </c>
      <c r="G3992" s="248">
        <v>10852.8270999919</v>
      </c>
      <c r="H3992" s="248">
        <v>11126.9514</v>
      </c>
      <c r="I3992"/>
      <c r="J3992"/>
      <c r="K3992"/>
      <c r="L3992"/>
      <c r="M3992"/>
    </row>
    <row r="3993" spans="3:13" hidden="1" outlineLevel="1" x14ac:dyDescent="0.2">
      <c r="C3993" s="139">
        <v>10670</v>
      </c>
      <c r="D3993" s="248">
        <v>10705.072099999799</v>
      </c>
      <c r="E3993" s="248">
        <v>10522.7965999999</v>
      </c>
      <c r="F3993" s="248">
        <v>10709.4916999999</v>
      </c>
      <c r="G3993" s="248">
        <v>10863.008099991899</v>
      </c>
      <c r="H3993" s="248">
        <v>11137.3894</v>
      </c>
      <c r="I3993"/>
      <c r="J3993"/>
      <c r="K3993"/>
      <c r="L3993"/>
      <c r="M3993"/>
    </row>
    <row r="3994" spans="3:13" hidden="1" outlineLevel="1" x14ac:dyDescent="0.2">
      <c r="C3994" s="139">
        <v>10680</v>
      </c>
      <c r="D3994" s="248">
        <v>10715.2190999998</v>
      </c>
      <c r="E3994" s="248">
        <v>10532.658599999901</v>
      </c>
      <c r="F3994" s="248">
        <v>10719.528699999901</v>
      </c>
      <c r="G3994" s="248">
        <v>10873.1890999919</v>
      </c>
      <c r="H3994" s="248">
        <v>11147.8274</v>
      </c>
      <c r="I3994"/>
      <c r="J3994"/>
      <c r="K3994"/>
      <c r="L3994"/>
      <c r="M3994"/>
    </row>
    <row r="3995" spans="3:13" hidden="1" outlineLevel="1" x14ac:dyDescent="0.2">
      <c r="C3995" s="139">
        <v>10690</v>
      </c>
      <c r="D3995" s="248">
        <v>10725.366099999799</v>
      </c>
      <c r="E3995" s="248">
        <v>10542.5205999999</v>
      </c>
      <c r="F3995" s="248">
        <v>10729.565699999899</v>
      </c>
      <c r="G3995" s="248">
        <v>10883.3700999919</v>
      </c>
      <c r="H3995" s="248">
        <v>11158.2654</v>
      </c>
      <c r="I3995"/>
      <c r="J3995"/>
      <c r="K3995"/>
      <c r="L3995"/>
      <c r="M3995"/>
    </row>
    <row r="3996" spans="3:13" hidden="1" outlineLevel="1" x14ac:dyDescent="0.2">
      <c r="C3996" s="139">
        <v>10700</v>
      </c>
      <c r="D3996" s="248">
        <v>10735.5130999998</v>
      </c>
      <c r="E3996" s="248">
        <v>10552.382599999901</v>
      </c>
      <c r="F3996" s="248">
        <v>10739.602699999899</v>
      </c>
      <c r="G3996" s="248">
        <v>10893.551099991901</v>
      </c>
      <c r="H3996" s="248">
        <v>11168.7034</v>
      </c>
      <c r="I3996"/>
      <c r="J3996"/>
      <c r="K3996"/>
      <c r="L3996"/>
      <c r="M3996"/>
    </row>
    <row r="3997" spans="3:13" hidden="1" outlineLevel="1" x14ac:dyDescent="0.2">
      <c r="C3997" s="139">
        <v>10710</v>
      </c>
      <c r="D3997" s="248">
        <v>10745.660099999801</v>
      </c>
      <c r="E3997" s="248">
        <v>10562.2445999999</v>
      </c>
      <c r="F3997" s="248">
        <v>10749.6396999999</v>
      </c>
      <c r="G3997" s="248">
        <v>10903.732099991899</v>
      </c>
      <c r="H3997" s="248">
        <v>11179.1414</v>
      </c>
      <c r="I3997"/>
      <c r="J3997"/>
      <c r="K3997"/>
      <c r="L3997"/>
      <c r="M3997"/>
    </row>
    <row r="3998" spans="3:13" hidden="1" outlineLevel="1" x14ac:dyDescent="0.2">
      <c r="C3998" s="139">
        <v>10720</v>
      </c>
      <c r="D3998" s="248">
        <v>10755.8070999998</v>
      </c>
      <c r="E3998" s="248">
        <v>10572.106599999899</v>
      </c>
      <c r="F3998" s="248">
        <v>10759.6766999999</v>
      </c>
      <c r="G3998" s="248">
        <v>10913.9130999919</v>
      </c>
      <c r="H3998" s="248">
        <v>11189.579400000001</v>
      </c>
      <c r="I3998"/>
      <c r="J3998"/>
      <c r="K3998"/>
      <c r="L3998"/>
      <c r="M3998"/>
    </row>
    <row r="3999" spans="3:13" hidden="1" outlineLevel="1" x14ac:dyDescent="0.2">
      <c r="C3999" s="139">
        <v>10730</v>
      </c>
      <c r="D3999" s="248">
        <v>10765.954099999801</v>
      </c>
      <c r="E3999" s="248">
        <v>10581.9685999999</v>
      </c>
      <c r="F3999" s="248">
        <v>10769.7136999999</v>
      </c>
      <c r="G3999" s="248">
        <v>10924.0940999918</v>
      </c>
      <c r="H3999" s="248">
        <v>11200.017400000001</v>
      </c>
      <c r="I3999"/>
      <c r="J3999"/>
      <c r="K3999"/>
      <c r="L3999"/>
      <c r="M3999"/>
    </row>
    <row r="4000" spans="3:13" hidden="1" outlineLevel="1" x14ac:dyDescent="0.2">
      <c r="C4000" s="139">
        <v>10740</v>
      </c>
      <c r="D4000" s="248">
        <v>10776.1010999998</v>
      </c>
      <c r="E4000" s="248">
        <v>10591.830599999899</v>
      </c>
      <c r="F4000" s="248">
        <v>10779.7506999999</v>
      </c>
      <c r="G4000" s="248">
        <v>10934.275099991801</v>
      </c>
      <c r="H4000" s="248">
        <v>11210.455400000001</v>
      </c>
      <c r="I4000"/>
      <c r="J4000"/>
      <c r="K4000"/>
      <c r="L4000"/>
      <c r="M4000"/>
    </row>
    <row r="4001" spans="3:13" hidden="1" outlineLevel="1" x14ac:dyDescent="0.2">
      <c r="C4001" s="139">
        <v>10750</v>
      </c>
      <c r="D4001" s="248">
        <v>10786.248099999801</v>
      </c>
      <c r="E4001" s="248">
        <v>10601.6925999999</v>
      </c>
      <c r="F4001" s="248">
        <v>10789.787699999901</v>
      </c>
      <c r="G4001" s="248">
        <v>10944.456099991799</v>
      </c>
      <c r="H4001" s="248">
        <v>11220.893400000001</v>
      </c>
      <c r="I4001"/>
      <c r="J4001"/>
      <c r="K4001"/>
      <c r="L4001"/>
      <c r="M4001"/>
    </row>
    <row r="4002" spans="3:13" hidden="1" outlineLevel="1" x14ac:dyDescent="0.2">
      <c r="C4002" s="139">
        <v>10760</v>
      </c>
      <c r="D4002" s="248">
        <v>10796.3950999998</v>
      </c>
      <c r="E4002" s="248">
        <v>10611.554599999899</v>
      </c>
      <c r="F4002" s="248">
        <v>10799.824699999899</v>
      </c>
      <c r="G4002" s="248">
        <v>10954.6370999918</v>
      </c>
      <c r="H4002" s="248">
        <v>11231.331399999999</v>
      </c>
      <c r="I4002"/>
      <c r="J4002"/>
      <c r="K4002"/>
      <c r="L4002"/>
      <c r="M4002"/>
    </row>
    <row r="4003" spans="3:13" hidden="1" outlineLevel="1" x14ac:dyDescent="0.2">
      <c r="C4003" s="139">
        <v>10770</v>
      </c>
      <c r="D4003" s="248">
        <v>10806.5420999998</v>
      </c>
      <c r="E4003" s="248">
        <v>10621.4165999999</v>
      </c>
      <c r="F4003" s="248">
        <v>10809.861699999899</v>
      </c>
      <c r="G4003" s="248">
        <v>10964.8180999918</v>
      </c>
      <c r="H4003" s="248">
        <v>11241.769399999999</v>
      </c>
      <c r="I4003"/>
      <c r="J4003"/>
      <c r="K4003"/>
      <c r="L4003"/>
      <c r="M4003"/>
    </row>
    <row r="4004" spans="3:13" hidden="1" outlineLevel="1" x14ac:dyDescent="0.2">
      <c r="C4004" s="139">
        <v>10780</v>
      </c>
      <c r="D4004" s="248">
        <v>10816.6890999998</v>
      </c>
      <c r="E4004" s="248">
        <v>10631.2785999999</v>
      </c>
      <c r="F4004" s="248">
        <v>10819.8986999999</v>
      </c>
      <c r="G4004" s="248">
        <v>10974.999099991801</v>
      </c>
      <c r="H4004" s="248">
        <v>11252.207399999999</v>
      </c>
      <c r="I4004"/>
      <c r="J4004"/>
      <c r="K4004"/>
      <c r="L4004"/>
      <c r="M4004"/>
    </row>
    <row r="4005" spans="3:13" hidden="1" outlineLevel="1" x14ac:dyDescent="0.2">
      <c r="C4005" s="139">
        <v>10790</v>
      </c>
      <c r="D4005" s="248">
        <v>10826.8360999998</v>
      </c>
      <c r="E4005" s="248">
        <v>10641.140599999901</v>
      </c>
      <c r="F4005" s="248">
        <v>10829.9356999999</v>
      </c>
      <c r="G4005" s="248">
        <v>10985.1800999918</v>
      </c>
      <c r="H4005" s="248">
        <v>11262.645399999999</v>
      </c>
      <c r="I4005"/>
      <c r="J4005"/>
      <c r="K4005"/>
      <c r="L4005"/>
      <c r="M4005"/>
    </row>
    <row r="4006" spans="3:13" hidden="1" outlineLevel="1" x14ac:dyDescent="0.2">
      <c r="C4006" s="139">
        <v>10800</v>
      </c>
      <c r="D4006" s="248">
        <v>10836.983099999799</v>
      </c>
      <c r="E4006" s="248">
        <v>10651.0025999999</v>
      </c>
      <c r="F4006" s="248">
        <v>10839.9726999999</v>
      </c>
      <c r="G4006" s="248">
        <v>10995.3610999918</v>
      </c>
      <c r="H4006" s="248">
        <v>11273.0834</v>
      </c>
      <c r="I4006"/>
      <c r="J4006"/>
      <c r="K4006"/>
      <c r="L4006"/>
      <c r="M4006"/>
    </row>
    <row r="4007" spans="3:13" hidden="1" outlineLevel="1" x14ac:dyDescent="0.2">
      <c r="C4007" s="139">
        <v>10810</v>
      </c>
      <c r="D4007" s="248">
        <v>10847.1300999998</v>
      </c>
      <c r="E4007" s="248">
        <v>10660.864599999901</v>
      </c>
      <c r="F4007" s="248">
        <v>10850.0096999999</v>
      </c>
      <c r="G4007" s="248">
        <v>11005.542099991801</v>
      </c>
      <c r="H4007" s="248">
        <v>11283.5214</v>
      </c>
      <c r="I4007"/>
      <c r="J4007"/>
      <c r="K4007"/>
      <c r="L4007"/>
      <c r="M4007"/>
    </row>
    <row r="4008" spans="3:13" hidden="1" outlineLevel="1" x14ac:dyDescent="0.2">
      <c r="C4008" s="139">
        <v>10820</v>
      </c>
      <c r="D4008" s="248">
        <v>10857.277099999799</v>
      </c>
      <c r="E4008" s="248">
        <v>10670.7265999999</v>
      </c>
      <c r="F4008" s="248">
        <v>10860.046699999901</v>
      </c>
      <c r="G4008" s="248">
        <v>11015.723099991799</v>
      </c>
      <c r="H4008" s="248">
        <v>11293.9594</v>
      </c>
      <c r="I4008"/>
      <c r="J4008"/>
      <c r="K4008"/>
      <c r="L4008"/>
      <c r="M4008"/>
    </row>
    <row r="4009" spans="3:13" hidden="1" outlineLevel="1" x14ac:dyDescent="0.2">
      <c r="C4009" s="139">
        <v>10830</v>
      </c>
      <c r="D4009" s="248">
        <v>10867.4240999998</v>
      </c>
      <c r="E4009" s="248">
        <v>10680.588599999901</v>
      </c>
      <c r="F4009" s="248">
        <v>10870.083699999899</v>
      </c>
      <c r="G4009" s="248">
        <v>11025.9040999917</v>
      </c>
      <c r="H4009" s="248">
        <v>11304.3974</v>
      </c>
      <c r="I4009"/>
      <c r="J4009"/>
      <c r="K4009"/>
      <c r="L4009"/>
      <c r="M4009"/>
    </row>
    <row r="4010" spans="3:13" hidden="1" outlineLevel="1" x14ac:dyDescent="0.2">
      <c r="C4010" s="139">
        <v>10840</v>
      </c>
      <c r="D4010" s="248">
        <v>10877.571099999799</v>
      </c>
      <c r="E4010" s="248">
        <v>10690.4505999999</v>
      </c>
      <c r="F4010" s="248">
        <v>10880.120699999899</v>
      </c>
      <c r="G4010" s="248">
        <v>11036.0850999917</v>
      </c>
      <c r="H4010" s="248">
        <v>11314.8354</v>
      </c>
      <c r="I4010"/>
      <c r="J4010"/>
      <c r="K4010"/>
      <c r="L4010"/>
      <c r="M4010"/>
    </row>
    <row r="4011" spans="3:13" hidden="1" outlineLevel="1" x14ac:dyDescent="0.2">
      <c r="C4011" s="139">
        <v>10850</v>
      </c>
      <c r="D4011" s="248">
        <v>10887.7180999998</v>
      </c>
      <c r="E4011" s="248">
        <v>10700.312599999899</v>
      </c>
      <c r="F4011" s="248">
        <v>10890.1576999999</v>
      </c>
      <c r="G4011" s="248">
        <v>11046.266099991701</v>
      </c>
      <c r="H4011" s="248">
        <v>11325.2734</v>
      </c>
      <c r="I4011"/>
      <c r="J4011"/>
      <c r="K4011"/>
      <c r="L4011"/>
      <c r="M4011"/>
    </row>
    <row r="4012" spans="3:13" hidden="1" outlineLevel="1" x14ac:dyDescent="0.2">
      <c r="C4012" s="139">
        <v>10860</v>
      </c>
      <c r="D4012" s="248">
        <v>10897.865099999801</v>
      </c>
      <c r="E4012" s="248">
        <v>10710.1745999999</v>
      </c>
      <c r="F4012" s="248">
        <v>10900.1946999999</v>
      </c>
      <c r="G4012" s="248">
        <v>11056.447099991699</v>
      </c>
      <c r="H4012" s="248">
        <v>11335.7114</v>
      </c>
      <c r="I4012"/>
      <c r="J4012"/>
      <c r="K4012"/>
      <c r="L4012"/>
      <c r="M4012"/>
    </row>
    <row r="4013" spans="3:13" hidden="1" outlineLevel="1" x14ac:dyDescent="0.2">
      <c r="C4013" s="139">
        <v>10870</v>
      </c>
      <c r="D4013" s="248">
        <v>10908.0120999998</v>
      </c>
      <c r="E4013" s="248">
        <v>10720.036599999899</v>
      </c>
      <c r="F4013" s="248">
        <v>10910.2316999999</v>
      </c>
      <c r="G4013" s="248">
        <v>11066.6280999917</v>
      </c>
      <c r="H4013" s="248">
        <v>11346.1494</v>
      </c>
      <c r="I4013"/>
      <c r="J4013"/>
      <c r="K4013"/>
      <c r="L4013"/>
      <c r="M4013"/>
    </row>
    <row r="4014" spans="3:13" hidden="1" outlineLevel="1" x14ac:dyDescent="0.2">
      <c r="C4014" s="139">
        <v>10880</v>
      </c>
      <c r="D4014" s="248">
        <v>10918.159099999801</v>
      </c>
      <c r="E4014" s="248">
        <v>10729.8985999999</v>
      </c>
      <c r="F4014" s="248">
        <v>10920.2686999999</v>
      </c>
      <c r="G4014" s="248">
        <v>11076.8090999917</v>
      </c>
      <c r="H4014" s="248">
        <v>11356.5874</v>
      </c>
      <c r="I4014"/>
      <c r="J4014"/>
      <c r="K4014"/>
      <c r="L4014"/>
      <c r="M4014"/>
    </row>
    <row r="4015" spans="3:13" hidden="1" outlineLevel="1" x14ac:dyDescent="0.2">
      <c r="C4015" s="139">
        <v>10890</v>
      </c>
      <c r="D4015" s="248">
        <v>10928.3060999998</v>
      </c>
      <c r="E4015" s="248">
        <v>10739.7605999999</v>
      </c>
      <c r="F4015" s="248">
        <v>10930.305699999901</v>
      </c>
      <c r="G4015" s="248">
        <v>11086.990099991701</v>
      </c>
      <c r="H4015" s="248">
        <v>11367.0254</v>
      </c>
      <c r="I4015"/>
      <c r="J4015"/>
      <c r="K4015"/>
      <c r="L4015"/>
      <c r="M4015"/>
    </row>
    <row r="4016" spans="3:13" hidden="1" outlineLevel="1" x14ac:dyDescent="0.2">
      <c r="C4016" s="139">
        <v>10900</v>
      </c>
      <c r="D4016" s="248">
        <v>10938.453099999801</v>
      </c>
      <c r="E4016" s="248">
        <v>10749.622599999901</v>
      </c>
      <c r="F4016" s="248">
        <v>10940.342699999899</v>
      </c>
      <c r="G4016" s="248">
        <v>11097.1710999917</v>
      </c>
      <c r="H4016" s="248">
        <v>11377.463400000001</v>
      </c>
      <c r="I4016"/>
      <c r="J4016"/>
      <c r="K4016"/>
      <c r="L4016"/>
      <c r="M4016"/>
    </row>
    <row r="4017" spans="3:13" hidden="1" outlineLevel="1" x14ac:dyDescent="0.2">
      <c r="C4017" s="139">
        <v>10910</v>
      </c>
      <c r="D4017" s="248">
        <v>10948.6000999998</v>
      </c>
      <c r="E4017" s="248">
        <v>10759.4845999999</v>
      </c>
      <c r="F4017" s="248">
        <v>10950.379699999899</v>
      </c>
      <c r="G4017" s="248">
        <v>11107.3520999917</v>
      </c>
      <c r="H4017" s="248">
        <v>11387.901400000001</v>
      </c>
      <c r="I4017"/>
      <c r="J4017"/>
      <c r="K4017"/>
      <c r="L4017"/>
      <c r="M4017"/>
    </row>
    <row r="4018" spans="3:13" hidden="1" outlineLevel="1" x14ac:dyDescent="0.2">
      <c r="C4018" s="139">
        <v>10920</v>
      </c>
      <c r="D4018" s="248">
        <v>10958.7470999998</v>
      </c>
      <c r="E4018" s="248">
        <v>10769.346599999901</v>
      </c>
      <c r="F4018" s="248">
        <v>10960.4166999999</v>
      </c>
      <c r="G4018" s="248">
        <v>11117.5330999916</v>
      </c>
      <c r="H4018" s="248">
        <v>11398.339400000001</v>
      </c>
      <c r="I4018"/>
      <c r="J4018"/>
      <c r="K4018"/>
      <c r="L4018"/>
      <c r="M4018"/>
    </row>
    <row r="4019" spans="3:13" hidden="1" outlineLevel="1" x14ac:dyDescent="0.2">
      <c r="C4019" s="139">
        <v>10930</v>
      </c>
      <c r="D4019" s="248">
        <v>10968.894099999799</v>
      </c>
      <c r="E4019" s="248">
        <v>10779.2085999999</v>
      </c>
      <c r="F4019" s="248">
        <v>10970.4536999999</v>
      </c>
      <c r="G4019" s="248">
        <v>11127.714099991599</v>
      </c>
      <c r="H4019" s="248">
        <v>11408.777400000001</v>
      </c>
      <c r="I4019"/>
      <c r="J4019"/>
      <c r="K4019"/>
      <c r="L4019"/>
      <c r="M4019"/>
    </row>
    <row r="4020" spans="3:13" hidden="1" outlineLevel="1" x14ac:dyDescent="0.2">
      <c r="C4020" s="139">
        <v>10940</v>
      </c>
      <c r="D4020" s="248">
        <v>10979.0410999998</v>
      </c>
      <c r="E4020" s="248">
        <v>10789.070599999901</v>
      </c>
      <c r="F4020" s="248">
        <v>10980.4906999999</v>
      </c>
      <c r="G4020" s="248">
        <v>11137.8950999916</v>
      </c>
      <c r="H4020" s="248">
        <v>11419.215399999999</v>
      </c>
      <c r="I4020"/>
      <c r="J4020"/>
      <c r="K4020"/>
      <c r="L4020"/>
      <c r="M4020"/>
    </row>
    <row r="4021" spans="3:13" hidden="1" outlineLevel="1" x14ac:dyDescent="0.2">
      <c r="C4021" s="139">
        <v>10950</v>
      </c>
      <c r="D4021" s="248">
        <v>10989.188099999799</v>
      </c>
      <c r="E4021" s="248">
        <v>10798.9325999999</v>
      </c>
      <c r="F4021" s="248">
        <v>10990.527699999901</v>
      </c>
      <c r="G4021" s="248">
        <v>11148.0760999916</v>
      </c>
      <c r="H4021" s="248">
        <v>11429.653399999999</v>
      </c>
      <c r="I4021"/>
      <c r="J4021"/>
      <c r="K4021"/>
      <c r="L4021"/>
      <c r="M4021"/>
    </row>
    <row r="4022" spans="3:13" hidden="1" outlineLevel="1" x14ac:dyDescent="0.2">
      <c r="C4022" s="139">
        <v>10960</v>
      </c>
      <c r="D4022" s="248">
        <v>10999.3350999998</v>
      </c>
      <c r="E4022" s="248">
        <v>10808.794599999899</v>
      </c>
      <c r="F4022" s="248">
        <v>11000.564699999901</v>
      </c>
      <c r="G4022" s="248">
        <v>11158.257099991601</v>
      </c>
      <c r="H4022" s="248">
        <v>11440.091399999999</v>
      </c>
      <c r="I4022"/>
      <c r="J4022"/>
      <c r="K4022"/>
      <c r="L4022"/>
      <c r="M4022"/>
    </row>
    <row r="4023" spans="3:13" hidden="1" outlineLevel="1" x14ac:dyDescent="0.2">
      <c r="C4023" s="139">
        <v>10970</v>
      </c>
      <c r="D4023" s="248">
        <v>11009.482099999799</v>
      </c>
      <c r="E4023" s="248">
        <v>10818.6565999999</v>
      </c>
      <c r="F4023" s="248">
        <v>11010.601699999899</v>
      </c>
      <c r="G4023" s="248">
        <v>11168.438099991599</v>
      </c>
      <c r="H4023" s="248">
        <v>11450.529399999999</v>
      </c>
      <c r="I4023"/>
      <c r="J4023"/>
      <c r="K4023"/>
      <c r="L4023"/>
      <c r="M4023"/>
    </row>
    <row r="4024" spans="3:13" hidden="1" outlineLevel="1" x14ac:dyDescent="0.2">
      <c r="C4024" s="139">
        <v>10980</v>
      </c>
      <c r="D4024" s="248">
        <v>11019.6290999998</v>
      </c>
      <c r="E4024" s="248">
        <v>10828.518599999899</v>
      </c>
      <c r="F4024" s="248">
        <v>11020.638699999899</v>
      </c>
      <c r="G4024" s="248">
        <v>11178.6190999916</v>
      </c>
      <c r="H4024" s="248">
        <v>11460.9674</v>
      </c>
      <c r="I4024"/>
      <c r="J4024"/>
      <c r="K4024"/>
      <c r="L4024"/>
      <c r="M4024"/>
    </row>
    <row r="4025" spans="3:13" hidden="1" outlineLevel="1" x14ac:dyDescent="0.2">
      <c r="C4025" s="139">
        <v>10990</v>
      </c>
      <c r="D4025" s="248">
        <v>11029.776099999801</v>
      </c>
      <c r="E4025" s="248">
        <v>10838.3805999999</v>
      </c>
      <c r="F4025" s="248">
        <v>11030.6756999999</v>
      </c>
      <c r="G4025" s="248">
        <v>11188.8000999916</v>
      </c>
      <c r="H4025" s="248">
        <v>11471.4054</v>
      </c>
      <c r="I4025"/>
      <c r="J4025"/>
      <c r="K4025"/>
      <c r="L4025"/>
      <c r="M4025"/>
    </row>
    <row r="4026" spans="3:13" hidden="1" outlineLevel="1" x14ac:dyDescent="0.2">
      <c r="C4026" s="139">
        <v>11000</v>
      </c>
      <c r="D4026" s="248">
        <v>11039.9230999998</v>
      </c>
      <c r="E4026" s="248">
        <v>10848.2425999999</v>
      </c>
      <c r="F4026" s="248">
        <v>11040.7126999999</v>
      </c>
      <c r="G4026" s="248">
        <v>11198.981099991601</v>
      </c>
      <c r="H4026" s="248">
        <v>11481.8434</v>
      </c>
      <c r="I4026"/>
      <c r="J4026"/>
      <c r="K4026"/>
      <c r="L4026"/>
      <c r="M4026"/>
    </row>
    <row r="4027" spans="3:13" hidden="1" outlineLevel="1" x14ac:dyDescent="0.2">
      <c r="C4027" s="139">
        <v>11010</v>
      </c>
      <c r="D4027" s="248">
        <v>11050.070099999801</v>
      </c>
      <c r="E4027" s="248">
        <v>10858.104599999901</v>
      </c>
      <c r="F4027" s="248">
        <v>11050.7496999999</v>
      </c>
      <c r="G4027" s="248">
        <v>11209.162099991599</v>
      </c>
      <c r="H4027" s="248">
        <v>11492.2814</v>
      </c>
      <c r="I4027"/>
      <c r="J4027"/>
      <c r="K4027"/>
      <c r="L4027"/>
      <c r="M4027"/>
    </row>
    <row r="4028" spans="3:13" hidden="1" outlineLevel="1" x14ac:dyDescent="0.2">
      <c r="C4028" s="139">
        <v>11020</v>
      </c>
      <c r="D4028" s="248">
        <v>11060.2170999998</v>
      </c>
      <c r="E4028" s="248">
        <v>10867.9665999999</v>
      </c>
      <c r="F4028" s="248">
        <v>11060.786699999901</v>
      </c>
      <c r="G4028" s="248">
        <v>11219.3430999915</v>
      </c>
      <c r="H4028" s="248">
        <v>11502.7194</v>
      </c>
      <c r="I4028"/>
      <c r="J4028"/>
      <c r="K4028"/>
      <c r="L4028"/>
      <c r="M4028"/>
    </row>
    <row r="4029" spans="3:13" hidden="1" outlineLevel="1" x14ac:dyDescent="0.2">
      <c r="C4029" s="139">
        <v>11030</v>
      </c>
      <c r="D4029" s="248">
        <v>11070.364099999801</v>
      </c>
      <c r="E4029" s="248">
        <v>10877.828599999901</v>
      </c>
      <c r="F4029" s="248">
        <v>11070.823699999901</v>
      </c>
      <c r="G4029" s="248">
        <v>11229.5240999915</v>
      </c>
      <c r="H4029" s="248">
        <v>11513.1574</v>
      </c>
      <c r="I4029"/>
      <c r="J4029"/>
      <c r="K4029"/>
      <c r="L4029"/>
      <c r="M4029"/>
    </row>
    <row r="4030" spans="3:13" hidden="1" outlineLevel="1" x14ac:dyDescent="0.2">
      <c r="C4030" s="139">
        <v>11040</v>
      </c>
      <c r="D4030" s="248">
        <v>11080.5110999998</v>
      </c>
      <c r="E4030" s="248">
        <v>10887.6905999999</v>
      </c>
      <c r="F4030" s="248">
        <v>11080.860699999899</v>
      </c>
      <c r="G4030" s="248">
        <v>11239.705099991501</v>
      </c>
      <c r="H4030" s="248">
        <v>11523.5954</v>
      </c>
      <c r="I4030"/>
      <c r="J4030"/>
      <c r="K4030"/>
      <c r="L4030"/>
      <c r="M4030"/>
    </row>
    <row r="4031" spans="3:13" hidden="1" outlineLevel="1" x14ac:dyDescent="0.2">
      <c r="C4031" s="139">
        <v>11050</v>
      </c>
      <c r="D4031" s="248">
        <v>11090.6580999998</v>
      </c>
      <c r="E4031" s="248">
        <v>10897.552599999901</v>
      </c>
      <c r="F4031" s="248">
        <v>11090.897699999899</v>
      </c>
      <c r="G4031" s="248">
        <v>11249.8860999915</v>
      </c>
      <c r="H4031" s="248">
        <v>11534.0334</v>
      </c>
      <c r="I4031"/>
      <c r="J4031"/>
      <c r="K4031"/>
      <c r="L4031"/>
      <c r="M4031"/>
    </row>
    <row r="4032" spans="3:13" hidden="1" outlineLevel="1" x14ac:dyDescent="0.2">
      <c r="C4032" s="139">
        <v>11060</v>
      </c>
      <c r="D4032" s="248">
        <v>11100.805099999799</v>
      </c>
      <c r="E4032" s="248">
        <v>10907.4145999999</v>
      </c>
      <c r="F4032" s="248">
        <v>11100.9346999999</v>
      </c>
      <c r="G4032" s="248">
        <v>11260.0670999915</v>
      </c>
      <c r="H4032" s="248">
        <v>11544.4714</v>
      </c>
      <c r="I4032"/>
      <c r="J4032"/>
      <c r="K4032"/>
      <c r="L4032"/>
      <c r="M4032"/>
    </row>
    <row r="4033" spans="3:13" hidden="1" outlineLevel="1" x14ac:dyDescent="0.2">
      <c r="C4033" s="139">
        <v>11070</v>
      </c>
      <c r="D4033" s="248">
        <v>11110.9520999998</v>
      </c>
      <c r="E4033" s="248">
        <v>10917.276599999899</v>
      </c>
      <c r="F4033" s="248">
        <v>11110.9716999999</v>
      </c>
      <c r="G4033" s="248">
        <v>11270.248099991501</v>
      </c>
      <c r="H4033" s="248">
        <v>11554.9094</v>
      </c>
      <c r="I4033"/>
      <c r="J4033"/>
      <c r="K4033"/>
      <c r="L4033"/>
      <c r="M4033"/>
    </row>
    <row r="4034" spans="3:13" hidden="1" outlineLevel="1" x14ac:dyDescent="0.2">
      <c r="C4034" s="139">
        <v>11080</v>
      </c>
      <c r="D4034" s="248">
        <v>11121.099099999799</v>
      </c>
      <c r="E4034" s="248">
        <v>10927.1385999999</v>
      </c>
      <c r="F4034" s="248">
        <v>11121.0086999999</v>
      </c>
      <c r="G4034" s="248">
        <v>11280.429099991499</v>
      </c>
      <c r="H4034" s="248">
        <v>11565.347400000001</v>
      </c>
      <c r="I4034"/>
      <c r="J4034"/>
      <c r="K4034"/>
      <c r="L4034"/>
      <c r="M4034"/>
    </row>
    <row r="4035" spans="3:13" hidden="1" outlineLevel="1" x14ac:dyDescent="0.2">
      <c r="C4035" s="139">
        <v>11090</v>
      </c>
      <c r="D4035" s="248">
        <v>11131.2460999998</v>
      </c>
      <c r="E4035" s="248">
        <v>10937.000599999899</v>
      </c>
      <c r="F4035" s="248">
        <v>11131.045699999901</v>
      </c>
      <c r="G4035" s="248">
        <v>11290.6100999915</v>
      </c>
      <c r="H4035" s="248">
        <v>11575.785400000001</v>
      </c>
      <c r="I4035"/>
      <c r="J4035"/>
      <c r="K4035"/>
      <c r="L4035"/>
      <c r="M4035"/>
    </row>
    <row r="4036" spans="3:13" hidden="1" outlineLevel="1" x14ac:dyDescent="0.2">
      <c r="C4036" s="139">
        <v>11100</v>
      </c>
      <c r="D4036" s="248">
        <v>11141.393099999799</v>
      </c>
      <c r="E4036" s="248">
        <v>10946.8625999999</v>
      </c>
      <c r="F4036" s="248">
        <v>11141.082699999901</v>
      </c>
      <c r="G4036" s="248">
        <v>11300.7910999915</v>
      </c>
      <c r="H4036" s="248">
        <v>11586.223400000001</v>
      </c>
      <c r="I4036"/>
      <c r="J4036"/>
      <c r="K4036"/>
      <c r="L4036"/>
      <c r="M4036"/>
    </row>
    <row r="4037" spans="3:13" hidden="1" outlineLevel="1" x14ac:dyDescent="0.2">
      <c r="C4037" s="139">
        <v>11110</v>
      </c>
      <c r="D4037" s="248">
        <v>11151.5400999998</v>
      </c>
      <c r="E4037" s="248">
        <v>10956.7245999999</v>
      </c>
      <c r="F4037" s="248">
        <v>11151.119699999899</v>
      </c>
      <c r="G4037" s="248">
        <v>11310.972099991401</v>
      </c>
      <c r="H4037" s="248">
        <v>11596.661400000001</v>
      </c>
      <c r="I4037"/>
      <c r="J4037"/>
      <c r="K4037"/>
      <c r="L4037"/>
      <c r="M4037"/>
    </row>
    <row r="4038" spans="3:13" hidden="1" outlineLevel="1" x14ac:dyDescent="0.2">
      <c r="C4038" s="139">
        <v>11120</v>
      </c>
      <c r="D4038" s="248">
        <v>11161.687099999799</v>
      </c>
      <c r="E4038" s="248">
        <v>10966.5865999999</v>
      </c>
      <c r="F4038" s="248">
        <v>11161.1566999999</v>
      </c>
      <c r="G4038" s="248">
        <v>11321.153099991399</v>
      </c>
      <c r="H4038" s="248">
        <v>11607.099399999999</v>
      </c>
      <c r="I4038"/>
      <c r="J4038"/>
      <c r="K4038"/>
      <c r="L4038"/>
      <c r="M4038"/>
    </row>
    <row r="4039" spans="3:13" hidden="1" outlineLevel="1" x14ac:dyDescent="0.2">
      <c r="C4039" s="139">
        <v>11130</v>
      </c>
      <c r="D4039" s="248">
        <v>11171.8340999998</v>
      </c>
      <c r="E4039" s="248">
        <v>10976.4485999999</v>
      </c>
      <c r="F4039" s="248">
        <v>11171.1936999999</v>
      </c>
      <c r="G4039" s="248">
        <v>11331.3340999914</v>
      </c>
      <c r="H4039" s="248">
        <v>11617.537399999999</v>
      </c>
      <c r="I4039"/>
      <c r="J4039"/>
      <c r="K4039"/>
      <c r="L4039"/>
      <c r="M4039"/>
    </row>
    <row r="4040" spans="3:13" hidden="1" outlineLevel="1" x14ac:dyDescent="0.2">
      <c r="C4040" s="139">
        <v>11140</v>
      </c>
      <c r="D4040" s="248">
        <v>11181.981099999801</v>
      </c>
      <c r="E4040" s="248">
        <v>10986.310599999901</v>
      </c>
      <c r="F4040" s="248">
        <v>11181.2306999999</v>
      </c>
      <c r="G4040" s="248">
        <v>11341.5150999914</v>
      </c>
      <c r="H4040" s="248">
        <v>11627.975399999999</v>
      </c>
      <c r="I4040"/>
      <c r="J4040"/>
      <c r="K4040"/>
      <c r="L4040"/>
      <c r="M4040"/>
    </row>
    <row r="4041" spans="3:13" hidden="1" outlineLevel="1" x14ac:dyDescent="0.2">
      <c r="C4041" s="139">
        <v>11150</v>
      </c>
      <c r="D4041" s="248">
        <v>11192.1280999998</v>
      </c>
      <c r="E4041" s="248">
        <v>10996.1725999999</v>
      </c>
      <c r="F4041" s="248">
        <v>11191.2676999999</v>
      </c>
      <c r="G4041" s="248">
        <v>11351.696099991401</v>
      </c>
      <c r="H4041" s="248">
        <v>11638.413399999999</v>
      </c>
      <c r="I4041"/>
      <c r="J4041"/>
      <c r="K4041"/>
      <c r="L4041"/>
      <c r="M4041"/>
    </row>
    <row r="4042" spans="3:13" hidden="1" outlineLevel="1" x14ac:dyDescent="0.2">
      <c r="C4042" s="139">
        <v>11160</v>
      </c>
      <c r="D4042" s="248">
        <v>11202.275099999801</v>
      </c>
      <c r="E4042" s="248">
        <v>11006.034599999801</v>
      </c>
      <c r="F4042" s="248">
        <v>11201.304699999901</v>
      </c>
      <c r="G4042" s="248">
        <v>11361.8770999914</v>
      </c>
      <c r="H4042" s="248">
        <v>11648.8514</v>
      </c>
      <c r="I4042"/>
      <c r="J4042"/>
      <c r="K4042"/>
      <c r="L4042"/>
      <c r="M4042"/>
    </row>
    <row r="4043" spans="3:13" hidden="1" outlineLevel="1" x14ac:dyDescent="0.2">
      <c r="C4043" s="139">
        <v>11170</v>
      </c>
      <c r="D4043" s="248">
        <v>11212.4220999998</v>
      </c>
      <c r="E4043" s="248">
        <v>11015.8965999999</v>
      </c>
      <c r="F4043" s="248">
        <v>11211.341699999901</v>
      </c>
      <c r="G4043" s="248">
        <v>11372.0580999914</v>
      </c>
      <c r="H4043" s="248">
        <v>11659.2894</v>
      </c>
      <c r="I4043"/>
      <c r="J4043"/>
      <c r="K4043"/>
      <c r="L4043"/>
      <c r="M4043"/>
    </row>
    <row r="4044" spans="3:13" hidden="1" outlineLevel="1" x14ac:dyDescent="0.2">
      <c r="C4044" s="139">
        <v>11180</v>
      </c>
      <c r="D4044" s="248">
        <v>11222.569099999801</v>
      </c>
      <c r="E4044" s="248">
        <v>11025.758599999899</v>
      </c>
      <c r="F4044" s="248">
        <v>11221.378699999899</v>
      </c>
      <c r="G4044" s="248">
        <v>11382.239099991401</v>
      </c>
      <c r="H4044" s="248">
        <v>11669.7274</v>
      </c>
      <c r="I4044"/>
      <c r="J4044"/>
      <c r="K4044"/>
      <c r="L4044"/>
      <c r="M4044"/>
    </row>
    <row r="4045" spans="3:13" hidden="1" outlineLevel="1" x14ac:dyDescent="0.2">
      <c r="C4045" s="139">
        <v>11190</v>
      </c>
      <c r="D4045" s="248">
        <v>11232.7160999998</v>
      </c>
      <c r="E4045" s="248">
        <v>11035.6205999998</v>
      </c>
      <c r="F4045" s="248">
        <v>11231.4156999999</v>
      </c>
      <c r="G4045" s="248">
        <v>11392.420099991399</v>
      </c>
      <c r="H4045" s="248">
        <v>11680.1654</v>
      </c>
      <c r="I4045"/>
      <c r="J4045"/>
      <c r="K4045"/>
      <c r="L4045"/>
      <c r="M4045"/>
    </row>
    <row r="4046" spans="3:13" hidden="1" outlineLevel="1" x14ac:dyDescent="0.2">
      <c r="C4046" s="139">
        <v>11200</v>
      </c>
      <c r="D4046" s="248">
        <v>11242.8630999998</v>
      </c>
      <c r="E4046" s="248">
        <v>11045.482599999899</v>
      </c>
      <c r="F4046" s="248">
        <v>11241.4526999999</v>
      </c>
      <c r="G4046" s="248">
        <v>11402.6010999914</v>
      </c>
      <c r="H4046" s="248">
        <v>11690.6034</v>
      </c>
      <c r="I4046"/>
      <c r="J4046"/>
      <c r="K4046"/>
      <c r="L4046"/>
      <c r="M4046"/>
    </row>
    <row r="4047" spans="3:13" hidden="1" outlineLevel="1" x14ac:dyDescent="0.2">
      <c r="C4047" s="139">
        <v>11210</v>
      </c>
      <c r="D4047" s="248">
        <v>11253.010099999799</v>
      </c>
      <c r="E4047" s="248">
        <v>11055.3445999999</v>
      </c>
      <c r="F4047" s="248">
        <v>11251.4896999999</v>
      </c>
      <c r="G4047" s="248">
        <v>11412.7820999913</v>
      </c>
      <c r="H4047" s="248">
        <v>11701.0414</v>
      </c>
      <c r="I4047"/>
      <c r="J4047"/>
      <c r="K4047"/>
      <c r="L4047"/>
      <c r="M4047"/>
    </row>
    <row r="4048" spans="3:13" hidden="1" outlineLevel="1" x14ac:dyDescent="0.2">
      <c r="C4048" s="139">
        <v>11220</v>
      </c>
      <c r="D4048" s="248">
        <v>11263.1570999998</v>
      </c>
      <c r="E4048" s="248">
        <v>11065.206599999899</v>
      </c>
      <c r="F4048" s="248">
        <v>11261.5266999999</v>
      </c>
      <c r="G4048" s="248">
        <v>11422.963099991301</v>
      </c>
      <c r="H4048" s="248">
        <v>11711.4794</v>
      </c>
      <c r="I4048"/>
      <c r="J4048"/>
      <c r="K4048"/>
      <c r="L4048"/>
      <c r="M4048"/>
    </row>
    <row r="4049" spans="3:13" hidden="1" outlineLevel="1" x14ac:dyDescent="0.2">
      <c r="C4049" s="139">
        <v>11230</v>
      </c>
      <c r="D4049" s="248">
        <v>11273.304099999799</v>
      </c>
      <c r="E4049" s="248">
        <v>11075.0685999998</v>
      </c>
      <c r="F4049" s="248">
        <v>11271.563699999901</v>
      </c>
      <c r="G4049" s="248">
        <v>11433.144099991299</v>
      </c>
      <c r="H4049" s="248">
        <v>11721.9174</v>
      </c>
      <c r="I4049"/>
      <c r="J4049"/>
      <c r="K4049"/>
      <c r="L4049"/>
      <c r="M4049"/>
    </row>
    <row r="4050" spans="3:13" hidden="1" outlineLevel="1" x14ac:dyDescent="0.2">
      <c r="C4050" s="139">
        <v>11240</v>
      </c>
      <c r="D4050" s="248">
        <v>11283.4510999998</v>
      </c>
      <c r="E4050" s="248">
        <v>11084.9305999999</v>
      </c>
      <c r="F4050" s="248">
        <v>11281.600699999901</v>
      </c>
      <c r="G4050" s="248">
        <v>11443.3250999913</v>
      </c>
      <c r="H4050" s="248">
        <v>11732.3554</v>
      </c>
      <c r="I4050"/>
      <c r="J4050"/>
      <c r="K4050"/>
      <c r="L4050"/>
      <c r="M4050"/>
    </row>
    <row r="4051" spans="3:13" hidden="1" outlineLevel="1" x14ac:dyDescent="0.2">
      <c r="C4051" s="139">
        <v>11250</v>
      </c>
      <c r="D4051" s="248">
        <v>11293.598099999799</v>
      </c>
      <c r="E4051" s="248">
        <v>11094.792599999901</v>
      </c>
      <c r="F4051" s="248">
        <v>11291.637699999899</v>
      </c>
      <c r="G4051" s="248">
        <v>11453.5060999913</v>
      </c>
      <c r="H4051" s="248">
        <v>11742.7934</v>
      </c>
      <c r="I4051"/>
      <c r="J4051"/>
      <c r="K4051"/>
      <c r="L4051"/>
      <c r="M4051"/>
    </row>
    <row r="4052" spans="3:13" hidden="1" outlineLevel="1" x14ac:dyDescent="0.2">
      <c r="C4052" s="139">
        <v>11260</v>
      </c>
      <c r="D4052" s="248">
        <v>11303.7450999998</v>
      </c>
      <c r="E4052" s="248">
        <v>11104.6545999998</v>
      </c>
      <c r="F4052" s="248">
        <v>11301.6746999999</v>
      </c>
      <c r="G4052" s="248">
        <v>11463.687099991301</v>
      </c>
      <c r="H4052" s="248">
        <v>11753.231400000001</v>
      </c>
      <c r="I4052"/>
      <c r="J4052"/>
      <c r="K4052"/>
      <c r="L4052"/>
      <c r="M4052"/>
    </row>
    <row r="4053" spans="3:13" hidden="1" outlineLevel="1" x14ac:dyDescent="0.2">
      <c r="C4053" s="139">
        <v>11270</v>
      </c>
      <c r="D4053" s="248">
        <v>11313.892099999801</v>
      </c>
      <c r="E4053" s="248">
        <v>11114.516599999801</v>
      </c>
      <c r="F4053" s="248">
        <v>11311.7116999999</v>
      </c>
      <c r="G4053" s="248">
        <v>11473.868099991299</v>
      </c>
      <c r="H4053" s="248">
        <v>11763.669400000001</v>
      </c>
      <c r="I4053"/>
      <c r="J4053"/>
      <c r="K4053"/>
      <c r="L4053"/>
      <c r="M4053"/>
    </row>
    <row r="4054" spans="3:13" hidden="1" outlineLevel="1" x14ac:dyDescent="0.2">
      <c r="C4054" s="139">
        <v>11280</v>
      </c>
      <c r="D4054" s="248">
        <v>11324.0390999998</v>
      </c>
      <c r="E4054" s="248">
        <v>11124.3785999999</v>
      </c>
      <c r="F4054" s="248">
        <v>11321.7486999999</v>
      </c>
      <c r="G4054" s="248">
        <v>11484.0490999913</v>
      </c>
      <c r="H4054" s="248">
        <v>11774.107400000001</v>
      </c>
      <c r="I4054"/>
      <c r="J4054"/>
      <c r="K4054"/>
      <c r="L4054"/>
      <c r="M4054"/>
    </row>
    <row r="4055" spans="3:13" hidden="1" outlineLevel="1" x14ac:dyDescent="0.2">
      <c r="C4055" s="139">
        <v>11290</v>
      </c>
      <c r="D4055" s="248">
        <v>11334.186099999801</v>
      </c>
      <c r="E4055" s="248">
        <v>11134.240599999899</v>
      </c>
      <c r="F4055" s="248">
        <v>11331.7856999999</v>
      </c>
      <c r="G4055" s="248">
        <v>11494.2300999913</v>
      </c>
      <c r="H4055" s="248">
        <v>11784.545400000001</v>
      </c>
      <c r="I4055"/>
      <c r="J4055"/>
      <c r="K4055"/>
      <c r="L4055"/>
      <c r="M4055"/>
    </row>
    <row r="4056" spans="3:13" hidden="1" outlineLevel="1" x14ac:dyDescent="0.2">
      <c r="C4056" s="139">
        <v>11300</v>
      </c>
      <c r="D4056" s="248">
        <v>11344.3330999998</v>
      </c>
      <c r="E4056" s="248">
        <v>11144.1025999998</v>
      </c>
      <c r="F4056" s="248">
        <v>11341.822699999901</v>
      </c>
      <c r="G4056" s="248">
        <v>11504.411099991299</v>
      </c>
      <c r="H4056" s="248">
        <v>11794.983399999999</v>
      </c>
      <c r="I4056"/>
      <c r="J4056"/>
      <c r="K4056"/>
      <c r="L4056"/>
      <c r="M4056"/>
    </row>
    <row r="4057" spans="3:13" hidden="1" outlineLevel="1" x14ac:dyDescent="0.2">
      <c r="C4057" s="139">
        <v>11310</v>
      </c>
      <c r="D4057" s="248">
        <v>11354.480099999801</v>
      </c>
      <c r="E4057" s="248">
        <v>11153.964599999899</v>
      </c>
      <c r="F4057" s="248">
        <v>11351.859699999901</v>
      </c>
      <c r="G4057" s="248">
        <v>11514.5920999912</v>
      </c>
      <c r="H4057" s="248">
        <v>11805.421399999999</v>
      </c>
      <c r="I4057"/>
      <c r="J4057"/>
      <c r="K4057"/>
      <c r="L4057"/>
      <c r="M4057"/>
    </row>
    <row r="4058" spans="3:13" hidden="1" outlineLevel="1" x14ac:dyDescent="0.2">
      <c r="C4058" s="139">
        <v>11320</v>
      </c>
      <c r="D4058" s="248">
        <v>11364.6270999998</v>
      </c>
      <c r="E4058" s="248">
        <v>11163.8265999999</v>
      </c>
      <c r="F4058" s="248">
        <v>11361.896699999899</v>
      </c>
      <c r="G4058" s="248">
        <v>11524.7730999912</v>
      </c>
      <c r="H4058" s="248">
        <v>11815.859399999999</v>
      </c>
      <c r="I4058"/>
      <c r="J4058"/>
      <c r="K4058"/>
      <c r="L4058"/>
      <c r="M4058"/>
    </row>
    <row r="4059" spans="3:13" hidden="1" outlineLevel="1" x14ac:dyDescent="0.2">
      <c r="C4059" s="139">
        <v>11330</v>
      </c>
      <c r="D4059" s="248">
        <v>11374.7740999998</v>
      </c>
      <c r="E4059" s="248">
        <v>11173.688599999799</v>
      </c>
      <c r="F4059" s="248">
        <v>11371.9336999999</v>
      </c>
      <c r="G4059" s="248">
        <v>11534.954099991201</v>
      </c>
      <c r="H4059" s="248">
        <v>11826.297399999999</v>
      </c>
      <c r="I4059"/>
      <c r="J4059"/>
      <c r="K4059"/>
      <c r="L4059"/>
      <c r="M4059"/>
    </row>
    <row r="4060" spans="3:13" hidden="1" outlineLevel="1" x14ac:dyDescent="0.2">
      <c r="C4060" s="139">
        <v>11340</v>
      </c>
      <c r="D4060" s="248">
        <v>11384.921099999799</v>
      </c>
      <c r="E4060" s="248">
        <v>11183.5505999998</v>
      </c>
      <c r="F4060" s="248">
        <v>11381.9706999999</v>
      </c>
      <c r="G4060" s="248">
        <v>11545.135099991199</v>
      </c>
      <c r="H4060" s="248">
        <v>11836.7354</v>
      </c>
      <c r="I4060"/>
      <c r="J4060"/>
      <c r="K4060"/>
      <c r="L4060"/>
      <c r="M4060"/>
    </row>
    <row r="4061" spans="3:13" hidden="1" outlineLevel="1" x14ac:dyDescent="0.2">
      <c r="C4061" s="139">
        <v>11350</v>
      </c>
      <c r="D4061" s="248">
        <v>11395.0680999998</v>
      </c>
      <c r="E4061" s="248">
        <v>11193.4125999999</v>
      </c>
      <c r="F4061" s="248">
        <v>11392.0076999999</v>
      </c>
      <c r="G4061" s="248">
        <v>11555.3160999912</v>
      </c>
      <c r="H4061" s="248">
        <v>11847.1734</v>
      </c>
      <c r="I4061"/>
      <c r="J4061"/>
      <c r="K4061"/>
      <c r="L4061"/>
      <c r="M4061"/>
    </row>
    <row r="4062" spans="3:13" hidden="1" outlineLevel="1" x14ac:dyDescent="0.2">
      <c r="C4062" s="139">
        <v>11360</v>
      </c>
      <c r="D4062" s="248">
        <v>11405.215099999799</v>
      </c>
      <c r="E4062" s="248">
        <v>11203.274599999901</v>
      </c>
      <c r="F4062" s="248">
        <v>11402.0446999999</v>
      </c>
      <c r="G4062" s="248">
        <v>11565.4970999912</v>
      </c>
      <c r="H4062" s="248">
        <v>11857.6114</v>
      </c>
      <c r="I4062"/>
      <c r="J4062"/>
      <c r="K4062"/>
      <c r="L4062"/>
      <c r="M4062"/>
    </row>
    <row r="4063" spans="3:13" hidden="1" outlineLevel="1" x14ac:dyDescent="0.2">
      <c r="C4063" s="139">
        <v>11370</v>
      </c>
      <c r="D4063" s="248">
        <v>11415.3620999998</v>
      </c>
      <c r="E4063" s="248">
        <v>11213.1365999998</v>
      </c>
      <c r="F4063" s="248">
        <v>11412.081699999901</v>
      </c>
      <c r="G4063" s="248">
        <v>11575.678099991201</v>
      </c>
      <c r="H4063" s="248">
        <v>11868.0494</v>
      </c>
      <c r="I4063"/>
      <c r="J4063"/>
      <c r="K4063"/>
      <c r="L4063"/>
      <c r="M4063"/>
    </row>
    <row r="4064" spans="3:13" hidden="1" outlineLevel="1" x14ac:dyDescent="0.2">
      <c r="C4064" s="139">
        <v>11380</v>
      </c>
      <c r="D4064" s="248">
        <v>11425.509099999799</v>
      </c>
      <c r="E4064" s="248">
        <v>11222.998599999801</v>
      </c>
      <c r="F4064" s="248">
        <v>11422.118699999901</v>
      </c>
      <c r="G4064" s="248">
        <v>11585.859099991199</v>
      </c>
      <c r="H4064" s="248">
        <v>11878.4874</v>
      </c>
      <c r="I4064"/>
      <c r="J4064"/>
      <c r="K4064"/>
      <c r="L4064"/>
      <c r="M4064"/>
    </row>
    <row r="4065" spans="3:13" hidden="1" outlineLevel="1" x14ac:dyDescent="0.2">
      <c r="C4065" s="139">
        <v>11390</v>
      </c>
      <c r="D4065" s="248">
        <v>11435.6560999998</v>
      </c>
      <c r="E4065" s="248">
        <v>11232.8605999999</v>
      </c>
      <c r="F4065" s="248">
        <v>11432.155699999899</v>
      </c>
      <c r="G4065" s="248">
        <v>11596.0400999912</v>
      </c>
      <c r="H4065" s="248">
        <v>11888.9254</v>
      </c>
      <c r="I4065"/>
      <c r="J4065"/>
      <c r="K4065"/>
      <c r="L4065"/>
      <c r="M4065"/>
    </row>
    <row r="4066" spans="3:13" hidden="1" outlineLevel="1" x14ac:dyDescent="0.2">
      <c r="C4066" s="139">
        <v>11400</v>
      </c>
      <c r="D4066" s="248">
        <v>11445.803099999801</v>
      </c>
      <c r="E4066" s="248">
        <v>11242.722599999899</v>
      </c>
      <c r="F4066" s="248">
        <v>11442.1926999999</v>
      </c>
      <c r="G4066" s="248">
        <v>11606.2210999911</v>
      </c>
      <c r="H4066" s="248">
        <v>11899.3634</v>
      </c>
      <c r="I4066"/>
      <c r="J4066"/>
      <c r="K4066"/>
      <c r="L4066"/>
      <c r="M4066"/>
    </row>
    <row r="4067" spans="3:13" hidden="1" outlineLevel="1" x14ac:dyDescent="0.2">
      <c r="C4067" s="139">
        <v>11410</v>
      </c>
      <c r="D4067" s="248">
        <v>11455.9500999998</v>
      </c>
      <c r="E4067" s="248">
        <v>11252.5845999998</v>
      </c>
      <c r="F4067" s="248">
        <v>11452.2296999999</v>
      </c>
      <c r="G4067" s="248">
        <v>11616.402099991101</v>
      </c>
      <c r="H4067" s="248">
        <v>11909.8014</v>
      </c>
      <c r="I4067"/>
      <c r="J4067"/>
      <c r="K4067"/>
      <c r="L4067"/>
      <c r="M4067"/>
    </row>
    <row r="4068" spans="3:13" hidden="1" outlineLevel="1" x14ac:dyDescent="0.2">
      <c r="C4068" s="139">
        <v>11420</v>
      </c>
      <c r="D4068" s="248">
        <v>11466.097099999801</v>
      </c>
      <c r="E4068" s="248">
        <v>11262.446599999799</v>
      </c>
      <c r="F4068" s="248">
        <v>11462.2666999999</v>
      </c>
      <c r="G4068" s="248">
        <v>11626.5830999911</v>
      </c>
      <c r="H4068" s="248">
        <v>11920.2394</v>
      </c>
      <c r="I4068"/>
      <c r="J4068"/>
      <c r="K4068"/>
      <c r="L4068"/>
      <c r="M4068"/>
    </row>
    <row r="4069" spans="3:13" hidden="1" outlineLevel="1" x14ac:dyDescent="0.2">
      <c r="C4069" s="139">
        <v>11430</v>
      </c>
      <c r="D4069" s="248">
        <v>11476.2440999998</v>
      </c>
      <c r="E4069" s="248">
        <v>11272.3085999998</v>
      </c>
      <c r="F4069" s="248">
        <v>11472.3036999999</v>
      </c>
      <c r="G4069" s="248">
        <v>11636.7640999911</v>
      </c>
      <c r="H4069" s="248">
        <v>11930.6774</v>
      </c>
      <c r="I4069"/>
      <c r="J4069"/>
      <c r="K4069"/>
      <c r="L4069"/>
      <c r="M4069"/>
    </row>
    <row r="4070" spans="3:13" hidden="1" outlineLevel="1" x14ac:dyDescent="0.2">
      <c r="C4070" s="139">
        <v>11440</v>
      </c>
      <c r="D4070" s="248">
        <v>11486.391099999801</v>
      </c>
      <c r="E4070" s="248">
        <v>11282.170599999799</v>
      </c>
      <c r="F4070" s="248">
        <v>11482.340699999901</v>
      </c>
      <c r="G4070" s="248">
        <v>11646.945099991101</v>
      </c>
      <c r="H4070" s="248">
        <v>11941.115400000001</v>
      </c>
      <c r="I4070"/>
      <c r="J4070"/>
      <c r="K4070"/>
      <c r="L4070"/>
      <c r="M4070"/>
    </row>
    <row r="4071" spans="3:13" hidden="1" outlineLevel="1" x14ac:dyDescent="0.2">
      <c r="C4071" s="139">
        <v>11450</v>
      </c>
      <c r="D4071" s="248">
        <v>11496.5380999998</v>
      </c>
      <c r="E4071" s="248">
        <v>11292.0325999998</v>
      </c>
      <c r="F4071" s="248">
        <v>11492.377699999901</v>
      </c>
      <c r="G4071" s="248">
        <v>11657.126099991099</v>
      </c>
      <c r="H4071" s="248">
        <v>11951.553400000001</v>
      </c>
      <c r="I4071"/>
      <c r="J4071"/>
      <c r="K4071"/>
      <c r="L4071"/>
      <c r="M4071"/>
    </row>
    <row r="4072" spans="3:13" hidden="1" outlineLevel="1" x14ac:dyDescent="0.2">
      <c r="C4072" s="139">
        <v>11460</v>
      </c>
      <c r="D4072" s="248">
        <v>11506.685099999801</v>
      </c>
      <c r="E4072" s="248">
        <v>11301.8945999998</v>
      </c>
      <c r="F4072" s="248">
        <v>11502.414699999899</v>
      </c>
      <c r="G4072" s="248">
        <v>11667.3070999911</v>
      </c>
      <c r="H4072" s="248">
        <v>11961.991400000001</v>
      </c>
      <c r="I4072"/>
      <c r="J4072"/>
      <c r="K4072"/>
      <c r="L4072"/>
      <c r="M4072"/>
    </row>
    <row r="4073" spans="3:13" hidden="1" outlineLevel="1" x14ac:dyDescent="0.2">
      <c r="C4073" s="139">
        <v>11470</v>
      </c>
      <c r="D4073" s="248">
        <v>11516.8320999998</v>
      </c>
      <c r="E4073" s="248">
        <v>11311.756599999801</v>
      </c>
      <c r="F4073" s="248">
        <v>11512.4516999999</v>
      </c>
      <c r="G4073" s="248">
        <v>11677.4880999911</v>
      </c>
      <c r="H4073" s="248">
        <v>11972.429400000001</v>
      </c>
      <c r="I4073"/>
      <c r="J4073"/>
      <c r="K4073"/>
      <c r="L4073"/>
      <c r="M4073"/>
    </row>
    <row r="4074" spans="3:13" hidden="1" outlineLevel="1" x14ac:dyDescent="0.2">
      <c r="C4074" s="139">
        <v>11480</v>
      </c>
      <c r="D4074" s="248">
        <v>11526.9790999998</v>
      </c>
      <c r="E4074" s="248">
        <v>11321.6185999998</v>
      </c>
      <c r="F4074" s="248">
        <v>11522.4886999999</v>
      </c>
      <c r="G4074" s="248">
        <v>11687.669099991101</v>
      </c>
      <c r="H4074" s="248">
        <v>11982.867399999999</v>
      </c>
      <c r="I4074"/>
      <c r="J4074"/>
      <c r="K4074"/>
      <c r="L4074"/>
      <c r="M4074"/>
    </row>
    <row r="4075" spans="3:13" hidden="1" outlineLevel="1" x14ac:dyDescent="0.2">
      <c r="C4075" s="139">
        <v>11490</v>
      </c>
      <c r="D4075" s="248">
        <v>11537.126099999799</v>
      </c>
      <c r="E4075" s="248">
        <v>11331.480599999801</v>
      </c>
      <c r="F4075" s="248">
        <v>11532.5256999999</v>
      </c>
      <c r="G4075" s="248">
        <v>11697.850099991099</v>
      </c>
      <c r="H4075" s="248">
        <v>11993.305399999999</v>
      </c>
      <c r="I4075"/>
      <c r="J4075"/>
      <c r="K4075"/>
      <c r="L4075"/>
      <c r="M4075"/>
    </row>
    <row r="4076" spans="3:13" hidden="1" outlineLevel="1" x14ac:dyDescent="0.2">
      <c r="C4076" s="139">
        <v>11500</v>
      </c>
      <c r="D4076" s="248">
        <v>11547.2730999998</v>
      </c>
      <c r="E4076" s="248">
        <v>11341.3425999998</v>
      </c>
      <c r="F4076" s="248">
        <v>11542.5626999999</v>
      </c>
      <c r="G4076" s="248">
        <v>11708.031099991</v>
      </c>
      <c r="H4076" s="248">
        <v>12003.743399999999</v>
      </c>
      <c r="I4076"/>
      <c r="J4076"/>
      <c r="K4076"/>
      <c r="L4076"/>
      <c r="M4076"/>
    </row>
    <row r="4077" spans="3:13" hidden="1" outlineLevel="1" x14ac:dyDescent="0.2">
      <c r="C4077" s="139">
        <v>11510</v>
      </c>
      <c r="D4077" s="248">
        <v>11557.420099999799</v>
      </c>
      <c r="E4077" s="248">
        <v>11351.204599999801</v>
      </c>
      <c r="F4077" s="248">
        <v>11552.599699999901</v>
      </c>
      <c r="G4077" s="248">
        <v>11718.212099991</v>
      </c>
      <c r="H4077" s="248">
        <v>12014.181399999999</v>
      </c>
      <c r="I4077"/>
      <c r="J4077"/>
      <c r="K4077"/>
      <c r="L4077"/>
      <c r="M4077"/>
    </row>
    <row r="4078" spans="3:13" hidden="1" outlineLevel="1" x14ac:dyDescent="0.2">
      <c r="C4078" s="139">
        <v>11520</v>
      </c>
      <c r="D4078" s="248">
        <v>11567.5670999998</v>
      </c>
      <c r="E4078" s="248">
        <v>11361.0665999998</v>
      </c>
      <c r="F4078" s="248">
        <v>11562.636699999901</v>
      </c>
      <c r="G4078" s="248">
        <v>11728.393099991001</v>
      </c>
      <c r="H4078" s="248">
        <v>12024.6194</v>
      </c>
      <c r="I4078"/>
      <c r="J4078"/>
      <c r="K4078"/>
      <c r="L4078"/>
      <c r="M4078"/>
    </row>
    <row r="4079" spans="3:13" hidden="1" outlineLevel="1" x14ac:dyDescent="0.2">
      <c r="C4079" s="139">
        <v>11530</v>
      </c>
      <c r="D4079" s="248">
        <v>11577.714099999799</v>
      </c>
      <c r="E4079" s="248">
        <v>11370.928599999799</v>
      </c>
      <c r="F4079" s="248">
        <v>11572.673699999899</v>
      </c>
      <c r="G4079" s="248">
        <v>11738.574099990999</v>
      </c>
      <c r="H4079" s="248">
        <v>12035.0574</v>
      </c>
      <c r="I4079"/>
      <c r="J4079"/>
      <c r="K4079"/>
      <c r="L4079"/>
      <c r="M4079"/>
    </row>
    <row r="4080" spans="3:13" hidden="1" outlineLevel="1" x14ac:dyDescent="0.2">
      <c r="C4080" s="139">
        <v>11540</v>
      </c>
      <c r="D4080" s="248">
        <v>11587.8610999998</v>
      </c>
      <c r="E4080" s="248">
        <v>11380.7905999998</v>
      </c>
      <c r="F4080" s="248">
        <v>11582.7106999999</v>
      </c>
      <c r="G4080" s="248">
        <v>11748.755099991</v>
      </c>
      <c r="H4080" s="248">
        <v>12045.4954</v>
      </c>
      <c r="I4080"/>
      <c r="J4080"/>
      <c r="K4080"/>
      <c r="L4080"/>
      <c r="M4080"/>
    </row>
    <row r="4081" spans="3:13" hidden="1" outlineLevel="1" x14ac:dyDescent="0.2">
      <c r="C4081" s="139">
        <v>11550</v>
      </c>
      <c r="D4081" s="248">
        <v>11598.008099999801</v>
      </c>
      <c r="E4081" s="248">
        <v>11390.652599999799</v>
      </c>
      <c r="F4081" s="248">
        <v>11592.7476999999</v>
      </c>
      <c r="G4081" s="248">
        <v>11758.936099991</v>
      </c>
      <c r="H4081" s="248">
        <v>12055.9334</v>
      </c>
      <c r="I4081"/>
      <c r="J4081"/>
      <c r="K4081"/>
      <c r="L4081"/>
      <c r="M4081"/>
    </row>
    <row r="4082" spans="3:13" hidden="1" outlineLevel="1" x14ac:dyDescent="0.2">
      <c r="C4082" s="139">
        <v>11560</v>
      </c>
      <c r="D4082" s="248">
        <v>11608.1550999998</v>
      </c>
      <c r="E4082" s="248">
        <v>11400.5145999998</v>
      </c>
      <c r="F4082" s="248">
        <v>11602.7846999999</v>
      </c>
      <c r="G4082" s="248">
        <v>11769.117099990999</v>
      </c>
      <c r="H4082" s="248">
        <v>12066.3714</v>
      </c>
      <c r="I4082"/>
      <c r="J4082"/>
      <c r="K4082"/>
      <c r="L4082"/>
      <c r="M4082"/>
    </row>
    <row r="4083" spans="3:13" hidden="1" outlineLevel="1" x14ac:dyDescent="0.2">
      <c r="C4083" s="139">
        <v>11570</v>
      </c>
      <c r="D4083" s="248">
        <v>11618.302099999801</v>
      </c>
      <c r="E4083" s="248">
        <v>11410.3765999998</v>
      </c>
      <c r="F4083" s="248">
        <v>11612.8216999999</v>
      </c>
      <c r="G4083" s="248">
        <v>11779.298099991</v>
      </c>
      <c r="H4083" s="248">
        <v>12076.8094</v>
      </c>
      <c r="I4083"/>
      <c r="J4083"/>
      <c r="K4083"/>
      <c r="L4083"/>
      <c r="M4083"/>
    </row>
    <row r="4084" spans="3:13" hidden="1" outlineLevel="1" x14ac:dyDescent="0.2">
      <c r="C4084" s="139">
        <v>11580</v>
      </c>
      <c r="D4084" s="248">
        <v>11628.4490999998</v>
      </c>
      <c r="E4084" s="248">
        <v>11420.2385999998</v>
      </c>
      <c r="F4084" s="248">
        <v>11622.858699999901</v>
      </c>
      <c r="G4084" s="248">
        <v>11789.479099991</v>
      </c>
      <c r="H4084" s="248">
        <v>12087.2474</v>
      </c>
      <c r="I4084"/>
      <c r="J4084"/>
      <c r="K4084"/>
      <c r="L4084"/>
      <c r="M4084"/>
    </row>
    <row r="4085" spans="3:13" hidden="1" outlineLevel="1" x14ac:dyDescent="0.2">
      <c r="C4085" s="139">
        <v>11590</v>
      </c>
      <c r="D4085" s="248">
        <v>11638.596099999801</v>
      </c>
      <c r="E4085" s="248">
        <v>11430.1005999998</v>
      </c>
      <c r="F4085" s="248">
        <v>11632.895699999901</v>
      </c>
      <c r="G4085" s="248">
        <v>11799.660099990901</v>
      </c>
      <c r="H4085" s="248">
        <v>12097.6854</v>
      </c>
      <c r="I4085"/>
      <c r="J4085"/>
      <c r="K4085"/>
      <c r="L4085"/>
      <c r="M4085"/>
    </row>
    <row r="4086" spans="3:13" hidden="1" outlineLevel="1" x14ac:dyDescent="0.2">
      <c r="C4086" s="139">
        <v>11600</v>
      </c>
      <c r="D4086" s="248">
        <v>11648.7430999998</v>
      </c>
      <c r="E4086" s="248">
        <v>11439.962599999801</v>
      </c>
      <c r="F4086" s="248">
        <v>11642.932699999899</v>
      </c>
      <c r="G4086" s="248">
        <v>11809.841099990899</v>
      </c>
      <c r="H4086" s="248">
        <v>12108.1234</v>
      </c>
      <c r="I4086"/>
      <c r="J4086"/>
      <c r="K4086"/>
      <c r="L4086"/>
      <c r="M4086"/>
    </row>
    <row r="4087" spans="3:13" hidden="1" outlineLevel="1" x14ac:dyDescent="0.2">
      <c r="C4087" s="139">
        <v>11610</v>
      </c>
      <c r="D4087" s="248">
        <v>11658.8900999998</v>
      </c>
      <c r="E4087" s="248">
        <v>11449.8245999998</v>
      </c>
      <c r="F4087" s="248">
        <v>11652.9696999999</v>
      </c>
      <c r="G4087" s="248">
        <v>11820.0220999909</v>
      </c>
      <c r="H4087" s="248">
        <v>12118.561400000001</v>
      </c>
      <c r="I4087"/>
      <c r="J4087"/>
      <c r="K4087"/>
      <c r="L4087"/>
      <c r="M4087"/>
    </row>
    <row r="4088" spans="3:13" hidden="1" outlineLevel="1" x14ac:dyDescent="0.2">
      <c r="C4088" s="139">
        <v>11620</v>
      </c>
      <c r="D4088" s="248">
        <v>11669.037099999799</v>
      </c>
      <c r="E4088" s="248">
        <v>11459.686599999801</v>
      </c>
      <c r="F4088" s="248">
        <v>11663.0066999999</v>
      </c>
      <c r="G4088" s="248">
        <v>11830.2030999909</v>
      </c>
      <c r="H4088" s="248">
        <v>12128.999400000001</v>
      </c>
      <c r="I4088"/>
      <c r="J4088"/>
      <c r="K4088"/>
      <c r="L4088"/>
      <c r="M4088"/>
    </row>
    <row r="4089" spans="3:13" hidden="1" outlineLevel="1" x14ac:dyDescent="0.2">
      <c r="C4089" s="139">
        <v>11630</v>
      </c>
      <c r="D4089" s="248">
        <v>11679.1840999998</v>
      </c>
      <c r="E4089" s="248">
        <v>11469.5485999998</v>
      </c>
      <c r="F4089" s="248">
        <v>11673.0436999999</v>
      </c>
      <c r="G4089" s="248">
        <v>11840.384099990901</v>
      </c>
      <c r="H4089" s="248">
        <v>12139.437400000001</v>
      </c>
      <c r="I4089"/>
      <c r="J4089"/>
      <c r="K4089"/>
      <c r="L4089"/>
      <c r="M4089"/>
    </row>
    <row r="4090" spans="3:13" hidden="1" outlineLevel="1" x14ac:dyDescent="0.2">
      <c r="C4090" s="139">
        <v>11640</v>
      </c>
      <c r="D4090" s="248">
        <v>11689.331099999799</v>
      </c>
      <c r="E4090" s="248">
        <v>11479.410599999799</v>
      </c>
      <c r="F4090" s="248">
        <v>11683.0806999999</v>
      </c>
      <c r="G4090" s="248">
        <v>11850.565099990899</v>
      </c>
      <c r="H4090" s="248">
        <v>12149.875400000001</v>
      </c>
      <c r="I4090"/>
      <c r="J4090"/>
      <c r="K4090"/>
      <c r="L4090"/>
      <c r="M4090"/>
    </row>
    <row r="4091" spans="3:13" hidden="1" outlineLevel="1" x14ac:dyDescent="0.2">
      <c r="C4091" s="139">
        <v>11650</v>
      </c>
      <c r="D4091" s="248">
        <v>11699.4780999998</v>
      </c>
      <c r="E4091" s="248">
        <v>11489.2725999998</v>
      </c>
      <c r="F4091" s="248">
        <v>11693.117699999901</v>
      </c>
      <c r="G4091" s="248">
        <v>11860.7460999909</v>
      </c>
      <c r="H4091" s="248">
        <v>12160.313399999999</v>
      </c>
      <c r="I4091"/>
      <c r="J4091"/>
      <c r="K4091"/>
      <c r="L4091"/>
      <c r="M4091"/>
    </row>
    <row r="4092" spans="3:13" hidden="1" outlineLevel="1" x14ac:dyDescent="0.2">
      <c r="C4092" s="139">
        <v>11660</v>
      </c>
      <c r="D4092" s="248">
        <v>11709.625099999799</v>
      </c>
      <c r="E4092" s="248">
        <v>11499.134599999799</v>
      </c>
      <c r="F4092" s="248">
        <v>11703.154699999899</v>
      </c>
      <c r="G4092" s="248">
        <v>11870.9270999909</v>
      </c>
      <c r="H4092" s="248">
        <v>12170.751399999999</v>
      </c>
      <c r="I4092"/>
      <c r="J4092"/>
      <c r="K4092"/>
      <c r="L4092"/>
      <c r="M4092"/>
    </row>
    <row r="4093" spans="3:13" hidden="1" outlineLevel="1" x14ac:dyDescent="0.2">
      <c r="C4093" s="139">
        <v>11670</v>
      </c>
      <c r="D4093" s="248">
        <v>11719.7720999998</v>
      </c>
      <c r="E4093" s="248">
        <v>11508.9965999998</v>
      </c>
      <c r="F4093" s="248">
        <v>11713.191699999899</v>
      </c>
      <c r="G4093" s="248">
        <v>11881.108099990901</v>
      </c>
      <c r="H4093" s="248">
        <v>12181.189399999999</v>
      </c>
      <c r="I4093"/>
      <c r="J4093"/>
      <c r="K4093"/>
      <c r="L4093"/>
      <c r="M4093"/>
    </row>
    <row r="4094" spans="3:13" hidden="1" outlineLevel="1" x14ac:dyDescent="0.2">
      <c r="C4094" s="139">
        <v>11680</v>
      </c>
      <c r="D4094" s="248">
        <v>11729.919099999801</v>
      </c>
      <c r="E4094" s="248">
        <v>11518.858599999799</v>
      </c>
      <c r="F4094" s="248">
        <v>11723.2286999999</v>
      </c>
      <c r="G4094" s="248">
        <v>11891.2890999909</v>
      </c>
      <c r="H4094" s="248">
        <v>12191.627399999999</v>
      </c>
      <c r="I4094"/>
      <c r="J4094"/>
      <c r="K4094"/>
      <c r="L4094"/>
      <c r="M4094"/>
    </row>
    <row r="4095" spans="3:13" hidden="1" outlineLevel="1" x14ac:dyDescent="0.2">
      <c r="C4095" s="139">
        <v>11690</v>
      </c>
      <c r="D4095" s="248">
        <v>11740.0660999998</v>
      </c>
      <c r="E4095" s="248">
        <v>11528.7205999998</v>
      </c>
      <c r="F4095" s="248">
        <v>11733.2656999999</v>
      </c>
      <c r="G4095" s="248">
        <v>11901.4700999908</v>
      </c>
      <c r="H4095" s="248">
        <v>12202.065399999999</v>
      </c>
      <c r="I4095"/>
      <c r="J4095"/>
      <c r="K4095"/>
      <c r="L4095"/>
      <c r="M4095"/>
    </row>
    <row r="4096" spans="3:13" hidden="1" outlineLevel="1" x14ac:dyDescent="0.2">
      <c r="C4096" s="139">
        <v>11700</v>
      </c>
      <c r="D4096" s="248">
        <v>11750.213099999801</v>
      </c>
      <c r="E4096" s="248">
        <v>11538.5825999998</v>
      </c>
      <c r="F4096" s="248">
        <v>11743.3026999999</v>
      </c>
      <c r="G4096" s="248">
        <v>11911.651099990801</v>
      </c>
      <c r="H4096" s="248">
        <v>12212.5034</v>
      </c>
      <c r="I4096"/>
      <c r="J4096"/>
      <c r="K4096"/>
      <c r="L4096"/>
      <c r="M4096"/>
    </row>
    <row r="4097" spans="3:13" hidden="1" outlineLevel="1" x14ac:dyDescent="0.2">
      <c r="C4097" s="139">
        <v>11710</v>
      </c>
      <c r="D4097" s="248">
        <v>11760.3600999998</v>
      </c>
      <c r="E4097" s="248">
        <v>11548.444599999801</v>
      </c>
      <c r="F4097" s="248">
        <v>11753.3396999999</v>
      </c>
      <c r="G4097" s="248">
        <v>11921.832099990799</v>
      </c>
      <c r="H4097" s="248">
        <v>12222.9414</v>
      </c>
      <c r="I4097"/>
      <c r="J4097"/>
      <c r="K4097"/>
      <c r="L4097"/>
      <c r="M4097"/>
    </row>
    <row r="4098" spans="3:13" hidden="1" outlineLevel="1" x14ac:dyDescent="0.2">
      <c r="C4098" s="139">
        <v>11720</v>
      </c>
      <c r="D4098" s="248">
        <v>11770.507099999801</v>
      </c>
      <c r="E4098" s="248">
        <v>11558.3065999998</v>
      </c>
      <c r="F4098" s="248">
        <v>11763.376699999901</v>
      </c>
      <c r="G4098" s="248">
        <v>11932.0130999908</v>
      </c>
      <c r="H4098" s="248">
        <v>12233.3794</v>
      </c>
      <c r="I4098"/>
      <c r="J4098"/>
      <c r="K4098"/>
      <c r="L4098"/>
      <c r="M4098"/>
    </row>
    <row r="4099" spans="3:13" hidden="1" outlineLevel="1" x14ac:dyDescent="0.2">
      <c r="C4099" s="139">
        <v>11730</v>
      </c>
      <c r="D4099" s="248">
        <v>11780.6540999998</v>
      </c>
      <c r="E4099" s="248">
        <v>11568.168599999801</v>
      </c>
      <c r="F4099" s="248">
        <v>11773.413699999899</v>
      </c>
      <c r="G4099" s="248">
        <v>11942.1940999908</v>
      </c>
      <c r="H4099" s="248">
        <v>12243.8174</v>
      </c>
      <c r="I4099"/>
      <c r="J4099"/>
      <c r="K4099"/>
      <c r="L4099"/>
      <c r="M4099"/>
    </row>
    <row r="4100" spans="3:13" hidden="1" outlineLevel="1" x14ac:dyDescent="0.2">
      <c r="C4100" s="139">
        <v>11740</v>
      </c>
      <c r="D4100" s="248">
        <v>11790.8010999998</v>
      </c>
      <c r="E4100" s="248">
        <v>11578.0305999998</v>
      </c>
      <c r="F4100" s="248">
        <v>11783.450699999899</v>
      </c>
      <c r="G4100" s="248">
        <v>11952.375099990801</v>
      </c>
      <c r="H4100" s="248">
        <v>12254.2554</v>
      </c>
      <c r="I4100"/>
      <c r="J4100"/>
      <c r="K4100"/>
      <c r="L4100"/>
      <c r="M4100"/>
    </row>
    <row r="4101" spans="3:13" hidden="1" outlineLevel="1" x14ac:dyDescent="0.2">
      <c r="C4101" s="139">
        <v>11750</v>
      </c>
      <c r="D4101" s="248">
        <v>11800.9480999998</v>
      </c>
      <c r="E4101" s="248">
        <v>11587.892599999799</v>
      </c>
      <c r="F4101" s="248">
        <v>11793.4876999999</v>
      </c>
      <c r="G4101" s="248">
        <v>11962.556099990799</v>
      </c>
      <c r="H4101" s="248">
        <v>12264.6934</v>
      </c>
      <c r="I4101"/>
      <c r="J4101"/>
      <c r="K4101"/>
      <c r="L4101"/>
      <c r="M4101"/>
    </row>
    <row r="4102" spans="3:13" hidden="1" outlineLevel="1" x14ac:dyDescent="0.2">
      <c r="C4102" s="139">
        <v>11760</v>
      </c>
      <c r="D4102" s="248">
        <v>11811.0950999998</v>
      </c>
      <c r="E4102" s="248">
        <v>11597.7545999998</v>
      </c>
      <c r="F4102" s="248">
        <v>11803.5246999999</v>
      </c>
      <c r="G4102" s="248">
        <v>11972.7370999908</v>
      </c>
      <c r="H4102" s="248">
        <v>12275.1314</v>
      </c>
      <c r="I4102"/>
      <c r="J4102"/>
      <c r="K4102"/>
      <c r="L4102"/>
      <c r="M4102"/>
    </row>
    <row r="4103" spans="3:13" hidden="1" outlineLevel="1" x14ac:dyDescent="0.2">
      <c r="C4103" s="139">
        <v>11770</v>
      </c>
      <c r="D4103" s="248">
        <v>11821.242099999799</v>
      </c>
      <c r="E4103" s="248">
        <v>11607.616599999799</v>
      </c>
      <c r="F4103" s="248">
        <v>11813.5616999999</v>
      </c>
      <c r="G4103" s="248">
        <v>11982.9180999908</v>
      </c>
      <c r="H4103" s="248">
        <v>12285.5694</v>
      </c>
      <c r="I4103"/>
      <c r="J4103"/>
      <c r="K4103"/>
      <c r="L4103"/>
      <c r="M4103"/>
    </row>
    <row r="4104" spans="3:13" hidden="1" outlineLevel="1" x14ac:dyDescent="0.2">
      <c r="C4104" s="139">
        <v>11780</v>
      </c>
      <c r="D4104" s="248">
        <v>11831.3890999998</v>
      </c>
      <c r="E4104" s="248">
        <v>11617.4785999998</v>
      </c>
      <c r="F4104" s="248">
        <v>11823.5986999999</v>
      </c>
      <c r="G4104" s="248">
        <v>11993.099099990701</v>
      </c>
      <c r="H4104" s="248">
        <v>12296.0074</v>
      </c>
      <c r="I4104"/>
      <c r="J4104"/>
      <c r="K4104"/>
      <c r="L4104"/>
      <c r="M4104"/>
    </row>
    <row r="4105" spans="3:13" hidden="1" outlineLevel="1" x14ac:dyDescent="0.2">
      <c r="C4105" s="139">
        <v>11790</v>
      </c>
      <c r="D4105" s="248">
        <v>11841.536099999799</v>
      </c>
      <c r="E4105" s="248">
        <v>11627.340599999799</v>
      </c>
      <c r="F4105" s="248">
        <v>11833.635699999901</v>
      </c>
      <c r="G4105" s="248">
        <v>12003.280099990699</v>
      </c>
      <c r="H4105" s="248">
        <v>12306.445400000001</v>
      </c>
      <c r="I4105"/>
      <c r="J4105"/>
      <c r="K4105"/>
      <c r="L4105"/>
      <c r="M4105"/>
    </row>
    <row r="4106" spans="3:13" hidden="1" outlineLevel="1" x14ac:dyDescent="0.2">
      <c r="C4106" s="139">
        <v>11800</v>
      </c>
      <c r="D4106" s="248">
        <v>11851.6830999998</v>
      </c>
      <c r="E4106" s="248">
        <v>11637.2025999998</v>
      </c>
      <c r="F4106" s="248">
        <v>11843.672699999899</v>
      </c>
      <c r="G4106" s="248">
        <v>12013.4610999907</v>
      </c>
      <c r="H4106" s="248">
        <v>12316.883400000001</v>
      </c>
      <c r="I4106"/>
      <c r="J4106"/>
      <c r="K4106"/>
      <c r="L4106"/>
      <c r="M4106"/>
    </row>
    <row r="4107" spans="3:13" hidden="1" outlineLevel="1" x14ac:dyDescent="0.2">
      <c r="C4107" s="139">
        <v>11810</v>
      </c>
      <c r="D4107" s="248">
        <v>11861.830099999799</v>
      </c>
      <c r="E4107" s="248">
        <v>11647.0645999998</v>
      </c>
      <c r="F4107" s="248">
        <v>11853.709699999899</v>
      </c>
      <c r="G4107" s="248">
        <v>12023.6420999907</v>
      </c>
      <c r="H4107" s="248">
        <v>12327.321400000001</v>
      </c>
      <c r="I4107"/>
      <c r="J4107"/>
      <c r="K4107"/>
      <c r="L4107"/>
      <c r="M4107"/>
    </row>
    <row r="4108" spans="3:13" hidden="1" outlineLevel="1" x14ac:dyDescent="0.2">
      <c r="C4108" s="139">
        <v>11820</v>
      </c>
      <c r="D4108" s="248">
        <v>11871.9770999998</v>
      </c>
      <c r="E4108" s="248">
        <v>11656.926599999801</v>
      </c>
      <c r="F4108" s="248">
        <v>11863.7466999999</v>
      </c>
      <c r="G4108" s="248">
        <v>12033.823099990699</v>
      </c>
      <c r="H4108" s="248">
        <v>12337.759400000001</v>
      </c>
      <c r="I4108"/>
      <c r="J4108"/>
      <c r="K4108"/>
      <c r="L4108"/>
      <c r="M4108"/>
    </row>
    <row r="4109" spans="3:13" hidden="1" outlineLevel="1" x14ac:dyDescent="0.2">
      <c r="C4109" s="139">
        <v>11830</v>
      </c>
      <c r="D4109" s="248">
        <v>11882.124099999801</v>
      </c>
      <c r="E4109" s="248">
        <v>11666.7885999998</v>
      </c>
      <c r="F4109" s="248">
        <v>11873.7836999999</v>
      </c>
      <c r="G4109" s="248">
        <v>12044.0040999907</v>
      </c>
      <c r="H4109" s="248">
        <v>12348.197399999999</v>
      </c>
      <c r="I4109"/>
      <c r="J4109"/>
      <c r="K4109"/>
      <c r="L4109"/>
      <c r="M4109"/>
    </row>
    <row r="4110" spans="3:13" hidden="1" outlineLevel="1" x14ac:dyDescent="0.2">
      <c r="C4110" s="139">
        <v>11840</v>
      </c>
      <c r="D4110" s="248">
        <v>11892.2710999998</v>
      </c>
      <c r="E4110" s="248">
        <v>11676.650599999801</v>
      </c>
      <c r="F4110" s="248">
        <v>11883.8206999999</v>
      </c>
      <c r="G4110" s="248">
        <v>12054.1850999907</v>
      </c>
      <c r="H4110" s="248">
        <v>12358.635399999999</v>
      </c>
      <c r="I4110"/>
      <c r="J4110"/>
      <c r="K4110"/>
      <c r="L4110"/>
      <c r="M4110"/>
    </row>
    <row r="4111" spans="3:13" hidden="1" outlineLevel="1" x14ac:dyDescent="0.2">
      <c r="C4111" s="139">
        <v>11850</v>
      </c>
      <c r="D4111" s="248">
        <v>11902.418099999801</v>
      </c>
      <c r="E4111" s="248">
        <v>11686.5125999998</v>
      </c>
      <c r="F4111" s="248">
        <v>11893.8576999999</v>
      </c>
      <c r="G4111" s="248">
        <v>12064.366099990701</v>
      </c>
      <c r="H4111" s="248">
        <v>12369.073399999999</v>
      </c>
      <c r="I4111"/>
      <c r="J4111"/>
      <c r="K4111"/>
      <c r="L4111"/>
      <c r="M4111"/>
    </row>
    <row r="4112" spans="3:13" hidden="1" outlineLevel="1" x14ac:dyDescent="0.2">
      <c r="C4112" s="139">
        <v>11860</v>
      </c>
      <c r="D4112" s="248">
        <v>11912.5650999998</v>
      </c>
      <c r="E4112" s="248">
        <v>11696.374599999799</v>
      </c>
      <c r="F4112" s="248">
        <v>11903.894699999901</v>
      </c>
      <c r="G4112" s="248">
        <v>12074.547099990699</v>
      </c>
      <c r="H4112" s="248">
        <v>12379.511399999999</v>
      </c>
      <c r="I4112"/>
      <c r="J4112"/>
      <c r="K4112"/>
      <c r="L4112"/>
      <c r="M4112"/>
    </row>
    <row r="4113" spans="3:13" hidden="1" outlineLevel="1" x14ac:dyDescent="0.2">
      <c r="C4113" s="139">
        <v>11870</v>
      </c>
      <c r="D4113" s="248">
        <v>11922.712099999801</v>
      </c>
      <c r="E4113" s="248">
        <v>11706.2365999998</v>
      </c>
      <c r="F4113" s="248">
        <v>11913.931699999899</v>
      </c>
      <c r="G4113" s="248">
        <v>12084.7280999907</v>
      </c>
      <c r="H4113" s="248">
        <v>12389.9494</v>
      </c>
      <c r="I4113"/>
      <c r="J4113"/>
      <c r="K4113"/>
      <c r="L4113"/>
      <c r="M4113"/>
    </row>
    <row r="4114" spans="3:13" hidden="1" outlineLevel="1" x14ac:dyDescent="0.2">
      <c r="C4114" s="139">
        <v>11880</v>
      </c>
      <c r="D4114" s="248">
        <v>11932.8590999998</v>
      </c>
      <c r="E4114" s="248">
        <v>11716.098599999799</v>
      </c>
      <c r="F4114" s="248">
        <v>11923.968699999899</v>
      </c>
      <c r="G4114" s="248">
        <v>12094.9090999906</v>
      </c>
      <c r="H4114" s="248">
        <v>12400.3874</v>
      </c>
      <c r="I4114"/>
      <c r="J4114"/>
      <c r="K4114"/>
      <c r="L4114"/>
      <c r="M4114"/>
    </row>
    <row r="4115" spans="3:13" hidden="1" outlineLevel="1" x14ac:dyDescent="0.2">
      <c r="C4115" s="139">
        <v>11890</v>
      </c>
      <c r="D4115" s="248">
        <v>11943.0060999998</v>
      </c>
      <c r="E4115" s="248">
        <v>11725.9605999998</v>
      </c>
      <c r="F4115" s="248">
        <v>11934.0056999999</v>
      </c>
      <c r="G4115" s="248">
        <v>12105.090099990601</v>
      </c>
      <c r="H4115" s="248">
        <v>12410.8254</v>
      </c>
      <c r="I4115"/>
      <c r="J4115"/>
      <c r="K4115"/>
      <c r="L4115"/>
      <c r="M4115"/>
    </row>
    <row r="4116" spans="3:13" hidden="1" outlineLevel="1" x14ac:dyDescent="0.2">
      <c r="C4116" s="139">
        <v>11900</v>
      </c>
      <c r="D4116" s="248">
        <v>11953.153099999799</v>
      </c>
      <c r="E4116" s="248">
        <v>11735.822599999799</v>
      </c>
      <c r="F4116" s="248">
        <v>11944.0426999999</v>
      </c>
      <c r="G4116" s="248">
        <v>12115.271099990599</v>
      </c>
      <c r="H4116" s="248">
        <v>12421.2634</v>
      </c>
      <c r="I4116"/>
      <c r="J4116"/>
      <c r="K4116"/>
      <c r="L4116"/>
      <c r="M4116"/>
    </row>
    <row r="4117" spans="3:13" hidden="1" outlineLevel="1" x14ac:dyDescent="0.2">
      <c r="C4117" s="139">
        <v>11910</v>
      </c>
      <c r="D4117" s="248">
        <v>11963.3000999998</v>
      </c>
      <c r="E4117" s="248">
        <v>11745.6845999998</v>
      </c>
      <c r="F4117" s="248">
        <v>11954.0796999999</v>
      </c>
      <c r="G4117" s="248">
        <v>12125.4520999906</v>
      </c>
      <c r="H4117" s="248">
        <v>12431.7014</v>
      </c>
      <c r="I4117"/>
      <c r="J4117"/>
      <c r="K4117"/>
      <c r="L4117"/>
      <c r="M4117"/>
    </row>
    <row r="4118" spans="3:13" hidden="1" outlineLevel="1" x14ac:dyDescent="0.2">
      <c r="C4118" s="139">
        <v>11920</v>
      </c>
      <c r="D4118" s="248">
        <v>11973.447099999799</v>
      </c>
      <c r="E4118" s="248">
        <v>11755.5465999998</v>
      </c>
      <c r="F4118" s="248">
        <v>11964.1166999999</v>
      </c>
      <c r="G4118" s="248">
        <v>12135.6330999906</v>
      </c>
      <c r="H4118" s="248">
        <v>12442.1394</v>
      </c>
      <c r="I4118"/>
      <c r="J4118"/>
      <c r="K4118"/>
      <c r="L4118"/>
      <c r="M4118"/>
    </row>
    <row r="4119" spans="3:13" hidden="1" outlineLevel="1" x14ac:dyDescent="0.2">
      <c r="C4119" s="139">
        <v>11930</v>
      </c>
      <c r="D4119" s="248">
        <v>11983.5940999998</v>
      </c>
      <c r="E4119" s="248">
        <v>11765.408599999801</v>
      </c>
      <c r="F4119" s="248">
        <v>11974.153699999901</v>
      </c>
      <c r="G4119" s="248">
        <v>12145.814099990601</v>
      </c>
      <c r="H4119" s="248">
        <v>12452.5774</v>
      </c>
      <c r="I4119"/>
      <c r="J4119"/>
      <c r="K4119"/>
      <c r="L4119"/>
      <c r="M4119"/>
    </row>
    <row r="4120" spans="3:13" hidden="1" outlineLevel="1" x14ac:dyDescent="0.2">
      <c r="C4120" s="139">
        <v>11940</v>
      </c>
      <c r="D4120" s="248">
        <v>11993.741099999799</v>
      </c>
      <c r="E4120" s="248">
        <v>11775.2705999998</v>
      </c>
      <c r="F4120" s="248">
        <v>11984.190699999899</v>
      </c>
      <c r="G4120" s="248">
        <v>12155.9950999906</v>
      </c>
      <c r="H4120" s="248">
        <v>12463.0154</v>
      </c>
      <c r="I4120"/>
      <c r="J4120"/>
      <c r="K4120"/>
      <c r="L4120"/>
      <c r="M4120"/>
    </row>
    <row r="4121" spans="3:13" hidden="1" outlineLevel="1" x14ac:dyDescent="0.2">
      <c r="C4121" s="139">
        <v>11950</v>
      </c>
      <c r="D4121" s="248">
        <v>12003.8880999998</v>
      </c>
      <c r="E4121" s="248">
        <v>11785.132599999801</v>
      </c>
      <c r="F4121" s="248">
        <v>11994.227699999899</v>
      </c>
      <c r="G4121" s="248">
        <v>12166.1760999906</v>
      </c>
      <c r="H4121" s="248">
        <v>12473.4534</v>
      </c>
      <c r="I4121"/>
      <c r="J4121"/>
      <c r="K4121"/>
      <c r="L4121"/>
      <c r="M4121"/>
    </row>
    <row r="4122" spans="3:13" hidden="1" outlineLevel="1" x14ac:dyDescent="0.2">
      <c r="C4122" s="139">
        <v>11960</v>
      </c>
      <c r="D4122" s="248">
        <v>12014.035099999801</v>
      </c>
      <c r="E4122" s="248">
        <v>11794.9945999998</v>
      </c>
      <c r="F4122" s="248">
        <v>12004.2646999999</v>
      </c>
      <c r="G4122" s="248">
        <v>12176.357099990601</v>
      </c>
      <c r="H4122" s="248">
        <v>12483.8914</v>
      </c>
      <c r="I4122"/>
      <c r="J4122"/>
      <c r="K4122"/>
      <c r="L4122"/>
      <c r="M4122"/>
    </row>
    <row r="4123" spans="3:13" hidden="1" outlineLevel="1" x14ac:dyDescent="0.2">
      <c r="C4123" s="139">
        <v>11970</v>
      </c>
      <c r="D4123" s="248">
        <v>12024.1820999998</v>
      </c>
      <c r="E4123" s="248">
        <v>11804.856599999801</v>
      </c>
      <c r="F4123" s="248">
        <v>12014.3016999999</v>
      </c>
      <c r="G4123" s="248">
        <v>12186.538099990599</v>
      </c>
      <c r="H4123" s="248">
        <v>12494.329400000001</v>
      </c>
      <c r="I4123"/>
      <c r="J4123"/>
      <c r="K4123"/>
      <c r="L4123"/>
      <c r="M4123"/>
    </row>
    <row r="4124" spans="3:13" hidden="1" outlineLevel="1" x14ac:dyDescent="0.2">
      <c r="C4124" s="139">
        <v>11980</v>
      </c>
      <c r="D4124" s="248">
        <v>12034.329099999801</v>
      </c>
      <c r="E4124" s="248">
        <v>11814.7185999998</v>
      </c>
      <c r="F4124" s="248">
        <v>12024.3386999999</v>
      </c>
      <c r="G4124" s="248">
        <v>12196.7190999905</v>
      </c>
      <c r="H4124" s="248">
        <v>12504.767400000001</v>
      </c>
      <c r="I4124"/>
      <c r="J4124"/>
      <c r="K4124"/>
      <c r="L4124"/>
      <c r="M4124"/>
    </row>
    <row r="4125" spans="3:13" hidden="1" outlineLevel="1" x14ac:dyDescent="0.2">
      <c r="C4125" s="139">
        <v>11990</v>
      </c>
      <c r="D4125" s="248">
        <v>12044.4760999998</v>
      </c>
      <c r="E4125" s="248">
        <v>11824.580599999799</v>
      </c>
      <c r="F4125" s="248">
        <v>12034.3756999999</v>
      </c>
      <c r="G4125" s="248">
        <v>12206.9000999905</v>
      </c>
      <c r="H4125" s="248">
        <v>12515.205400000001</v>
      </c>
      <c r="I4125"/>
      <c r="J4125"/>
      <c r="K4125"/>
      <c r="L4125"/>
      <c r="M4125"/>
    </row>
    <row r="4126" spans="3:13" hidden="1" outlineLevel="1" x14ac:dyDescent="0.2">
      <c r="C4126" s="139">
        <v>12000</v>
      </c>
      <c r="D4126" s="248">
        <v>12054.623099999801</v>
      </c>
      <c r="E4126" s="248">
        <v>11834.4425999998</v>
      </c>
      <c r="F4126" s="248">
        <v>12044.412699999901</v>
      </c>
      <c r="G4126" s="248">
        <v>12217.081099990501</v>
      </c>
      <c r="H4126" s="248">
        <v>12525.643400000001</v>
      </c>
      <c r="I4126"/>
      <c r="J4126"/>
      <c r="K4126"/>
      <c r="L4126"/>
      <c r="M4126"/>
    </row>
    <row r="4127" spans="3:13" hidden="1" outlineLevel="1" x14ac:dyDescent="0.2">
      <c r="C4127" s="139">
        <v>12010</v>
      </c>
      <c r="D4127" s="248">
        <v>12064.7700999998</v>
      </c>
      <c r="E4127" s="248">
        <v>11844.304599999799</v>
      </c>
      <c r="F4127" s="248">
        <v>12054.449699999899</v>
      </c>
      <c r="G4127" s="248">
        <v>12227.262099990499</v>
      </c>
      <c r="H4127" s="248">
        <v>12536.081399999999</v>
      </c>
      <c r="I4127"/>
      <c r="J4127"/>
      <c r="K4127"/>
      <c r="L4127"/>
      <c r="M4127"/>
    </row>
    <row r="4128" spans="3:13" hidden="1" outlineLevel="1" x14ac:dyDescent="0.2">
      <c r="C4128" s="139">
        <v>12020</v>
      </c>
      <c r="D4128" s="248">
        <v>12074.9170999998</v>
      </c>
      <c r="E4128" s="248">
        <v>11854.1665999998</v>
      </c>
      <c r="F4128" s="248">
        <v>12064.486699999899</v>
      </c>
      <c r="G4128" s="248">
        <v>12237.4430999905</v>
      </c>
      <c r="H4128" s="248">
        <v>12546.519399999999</v>
      </c>
      <c r="I4128"/>
      <c r="J4128"/>
      <c r="K4128"/>
      <c r="L4128"/>
      <c r="M4128"/>
    </row>
    <row r="4129" spans="3:13" hidden="1" outlineLevel="1" x14ac:dyDescent="0.2">
      <c r="C4129" s="139">
        <v>12030</v>
      </c>
      <c r="D4129" s="248">
        <v>12085.0640999998</v>
      </c>
      <c r="E4129" s="248">
        <v>11864.0285999998</v>
      </c>
      <c r="F4129" s="248">
        <v>12074.5236999999</v>
      </c>
      <c r="G4129" s="248">
        <v>12247.6240999905</v>
      </c>
      <c r="H4129" s="248">
        <v>12556.957399999999</v>
      </c>
      <c r="I4129"/>
      <c r="J4129"/>
      <c r="K4129"/>
      <c r="L4129"/>
      <c r="M4129"/>
    </row>
    <row r="4130" spans="3:13" hidden="1" outlineLevel="1" x14ac:dyDescent="0.2">
      <c r="C4130" s="139">
        <v>12040</v>
      </c>
      <c r="D4130" s="248">
        <v>12095.2110999998</v>
      </c>
      <c r="E4130" s="248">
        <v>11873.890599999801</v>
      </c>
      <c r="F4130" s="248">
        <v>12084.5606999999</v>
      </c>
      <c r="G4130" s="248">
        <v>12257.805099990501</v>
      </c>
      <c r="H4130" s="248">
        <v>12567.395399999999</v>
      </c>
      <c r="I4130"/>
      <c r="J4130"/>
      <c r="K4130"/>
      <c r="L4130"/>
      <c r="M4130"/>
    </row>
    <row r="4131" spans="3:13" hidden="1" outlineLevel="1" x14ac:dyDescent="0.2">
      <c r="C4131" s="139">
        <v>12050</v>
      </c>
      <c r="D4131" s="248">
        <v>12105.358099999799</v>
      </c>
      <c r="E4131" s="248">
        <v>11883.7525999998</v>
      </c>
      <c r="F4131" s="248">
        <v>12094.5976999999</v>
      </c>
      <c r="G4131" s="248">
        <v>12267.986099990499</v>
      </c>
      <c r="H4131" s="248">
        <v>12577.8334</v>
      </c>
      <c r="I4131"/>
      <c r="J4131"/>
      <c r="K4131"/>
      <c r="L4131"/>
      <c r="M4131"/>
    </row>
    <row r="4132" spans="3:13" hidden="1" outlineLevel="1" x14ac:dyDescent="0.2">
      <c r="C4132" s="139">
        <v>12060</v>
      </c>
      <c r="D4132" s="248">
        <v>12115.5050999998</v>
      </c>
      <c r="E4132" s="248">
        <v>11893.614599999801</v>
      </c>
      <c r="F4132" s="248">
        <v>12104.6346999999</v>
      </c>
      <c r="G4132" s="248">
        <v>12278.1670999905</v>
      </c>
      <c r="H4132" s="248">
        <v>12588.2714</v>
      </c>
      <c r="I4132"/>
      <c r="J4132"/>
      <c r="K4132"/>
      <c r="L4132"/>
      <c r="M4132"/>
    </row>
    <row r="4133" spans="3:13" hidden="1" outlineLevel="1" x14ac:dyDescent="0.2">
      <c r="C4133" s="139">
        <v>12070</v>
      </c>
      <c r="D4133" s="248">
        <v>12125.652099999799</v>
      </c>
      <c r="E4133" s="248">
        <v>11903.4765999998</v>
      </c>
      <c r="F4133" s="248">
        <v>12114.671699999901</v>
      </c>
      <c r="G4133" s="248">
        <v>12288.3480999904</v>
      </c>
      <c r="H4133" s="248">
        <v>12598.7094</v>
      </c>
      <c r="I4133"/>
      <c r="J4133"/>
      <c r="K4133"/>
      <c r="L4133"/>
      <c r="M4133"/>
    </row>
    <row r="4134" spans="3:13" hidden="1" outlineLevel="1" x14ac:dyDescent="0.2">
      <c r="C4134" s="139">
        <v>12080</v>
      </c>
      <c r="D4134" s="248">
        <v>12135.7990999998</v>
      </c>
      <c r="E4134" s="248">
        <v>11913.338599999801</v>
      </c>
      <c r="F4134" s="248">
        <v>12124.708699999899</v>
      </c>
      <c r="G4134" s="248">
        <v>12298.529099990399</v>
      </c>
      <c r="H4134" s="248">
        <v>12609.1474</v>
      </c>
      <c r="I4134"/>
      <c r="J4134"/>
      <c r="K4134"/>
      <c r="L4134"/>
      <c r="M4134"/>
    </row>
    <row r="4135" spans="3:13" hidden="1" outlineLevel="1" x14ac:dyDescent="0.2">
      <c r="C4135" s="139">
        <v>12090</v>
      </c>
      <c r="D4135" s="248">
        <v>12145.946099999799</v>
      </c>
      <c r="E4135" s="248">
        <v>11923.2005999998</v>
      </c>
      <c r="F4135" s="248">
        <v>12134.745699999899</v>
      </c>
      <c r="G4135" s="248">
        <v>12308.7100999904</v>
      </c>
      <c r="H4135" s="248">
        <v>12619.5854</v>
      </c>
      <c r="I4135"/>
      <c r="J4135"/>
      <c r="K4135"/>
      <c r="L4135"/>
      <c r="M4135"/>
    </row>
    <row r="4136" spans="3:13" hidden="1" outlineLevel="1" x14ac:dyDescent="0.2">
      <c r="C4136" s="139">
        <v>12100</v>
      </c>
      <c r="D4136" s="248">
        <v>12156.0930999998</v>
      </c>
      <c r="E4136" s="248">
        <v>11933.062599999799</v>
      </c>
      <c r="F4136" s="248">
        <v>12144.7826999999</v>
      </c>
      <c r="G4136" s="248">
        <v>12318.8910999904</v>
      </c>
      <c r="H4136" s="248">
        <v>12630.0234</v>
      </c>
      <c r="I4136"/>
      <c r="J4136"/>
      <c r="K4136"/>
      <c r="L4136"/>
      <c r="M4136"/>
    </row>
    <row r="4137" spans="3:13" hidden="1" outlineLevel="1" x14ac:dyDescent="0.2">
      <c r="C4137" s="139">
        <v>12110</v>
      </c>
      <c r="D4137" s="248">
        <v>12166.240099999801</v>
      </c>
      <c r="E4137" s="248">
        <v>11942.9245999998</v>
      </c>
      <c r="F4137" s="248">
        <v>12154.8196999999</v>
      </c>
      <c r="G4137" s="248">
        <v>12329.072099990401</v>
      </c>
      <c r="H4137" s="248">
        <v>12640.4614</v>
      </c>
      <c r="I4137"/>
      <c r="J4137"/>
      <c r="K4137"/>
      <c r="L4137"/>
      <c r="M4137"/>
    </row>
    <row r="4138" spans="3:13" hidden="1" outlineLevel="1" x14ac:dyDescent="0.2">
      <c r="C4138" s="139">
        <v>12120</v>
      </c>
      <c r="D4138" s="248">
        <v>12176.3870999998</v>
      </c>
      <c r="E4138" s="248">
        <v>11952.786599999799</v>
      </c>
      <c r="F4138" s="248">
        <v>12164.8566999999</v>
      </c>
      <c r="G4138" s="248">
        <v>12339.253099990399</v>
      </c>
      <c r="H4138" s="248">
        <v>12650.8994</v>
      </c>
      <c r="I4138"/>
      <c r="J4138"/>
      <c r="K4138"/>
      <c r="L4138"/>
      <c r="M4138"/>
    </row>
    <row r="4139" spans="3:13" hidden="1" outlineLevel="1" x14ac:dyDescent="0.2">
      <c r="C4139" s="139">
        <v>12130</v>
      </c>
      <c r="D4139" s="248">
        <v>12186.534099999801</v>
      </c>
      <c r="E4139" s="248">
        <v>11962.6485999998</v>
      </c>
      <c r="F4139" s="248">
        <v>12174.8936999999</v>
      </c>
      <c r="G4139" s="248">
        <v>12349.4340999904</v>
      </c>
      <c r="H4139" s="248">
        <v>12661.3374</v>
      </c>
      <c r="I4139"/>
      <c r="J4139"/>
      <c r="K4139"/>
      <c r="L4139"/>
      <c r="M4139"/>
    </row>
    <row r="4140" spans="3:13" hidden="1" outlineLevel="1" x14ac:dyDescent="0.2">
      <c r="C4140" s="139">
        <v>12140</v>
      </c>
      <c r="D4140" s="248">
        <v>12196.6810999998</v>
      </c>
      <c r="E4140" s="248">
        <v>11972.5105999998</v>
      </c>
      <c r="F4140" s="248">
        <v>12184.930699999901</v>
      </c>
      <c r="G4140" s="248">
        <v>12359.6150999904</v>
      </c>
      <c r="H4140" s="248">
        <v>12671.7754</v>
      </c>
      <c r="I4140"/>
      <c r="J4140"/>
      <c r="K4140"/>
      <c r="L4140"/>
      <c r="M4140"/>
    </row>
    <row r="4141" spans="3:13" hidden="1" outlineLevel="1" x14ac:dyDescent="0.2">
      <c r="C4141" s="139">
        <v>12150</v>
      </c>
      <c r="D4141" s="248">
        <v>12206.828099999801</v>
      </c>
      <c r="E4141" s="248">
        <v>11982.372599999801</v>
      </c>
      <c r="F4141" s="248">
        <v>12194.967699999899</v>
      </c>
      <c r="G4141" s="248">
        <v>12369.796099990401</v>
      </c>
      <c r="H4141" s="248">
        <v>12682.213400000001</v>
      </c>
      <c r="I4141"/>
      <c r="J4141"/>
      <c r="K4141"/>
      <c r="L4141"/>
      <c r="M4141"/>
    </row>
    <row r="4142" spans="3:13" hidden="1" outlineLevel="1" x14ac:dyDescent="0.2">
      <c r="C4142" s="139">
        <v>12160</v>
      </c>
      <c r="D4142" s="248">
        <v>12216.9750999998</v>
      </c>
      <c r="E4142" s="248">
        <v>11992.2345999998</v>
      </c>
      <c r="F4142" s="248">
        <v>12205.004699999899</v>
      </c>
      <c r="G4142" s="248">
        <v>12379.977099990399</v>
      </c>
      <c r="H4142" s="248">
        <v>12692.651400000001</v>
      </c>
      <c r="I4142"/>
      <c r="J4142"/>
      <c r="K4142"/>
      <c r="L4142"/>
      <c r="M4142"/>
    </row>
    <row r="4143" spans="3:13" hidden="1" outlineLevel="1" x14ac:dyDescent="0.2">
      <c r="C4143" s="139">
        <v>12170</v>
      </c>
      <c r="D4143" s="248">
        <v>12227.1220999998</v>
      </c>
      <c r="E4143" s="248">
        <v>12002.096599999801</v>
      </c>
      <c r="F4143" s="248">
        <v>12215.0416999999</v>
      </c>
      <c r="G4143" s="248">
        <v>12390.1580999903</v>
      </c>
      <c r="H4143" s="248">
        <v>12703.089400000001</v>
      </c>
      <c r="I4143"/>
      <c r="J4143"/>
      <c r="K4143"/>
      <c r="L4143"/>
      <c r="M4143"/>
    </row>
    <row r="4144" spans="3:13" hidden="1" outlineLevel="1" x14ac:dyDescent="0.2">
      <c r="C4144" s="139">
        <v>12180</v>
      </c>
      <c r="D4144" s="248">
        <v>12237.269099999799</v>
      </c>
      <c r="E4144" s="248">
        <v>12011.9585999998</v>
      </c>
      <c r="F4144" s="248">
        <v>12225.0786999999</v>
      </c>
      <c r="G4144" s="248">
        <v>12400.3390999903</v>
      </c>
      <c r="H4144" s="248">
        <v>12713.527400000001</v>
      </c>
      <c r="I4144"/>
      <c r="J4144"/>
      <c r="K4144"/>
      <c r="L4144"/>
      <c r="M4144"/>
    </row>
    <row r="4145" spans="3:13" hidden="1" outlineLevel="1" x14ac:dyDescent="0.2">
      <c r="C4145" s="139">
        <v>12190</v>
      </c>
      <c r="D4145" s="248">
        <v>12247.4160999998</v>
      </c>
      <c r="E4145" s="248">
        <v>12021.820599999801</v>
      </c>
      <c r="F4145" s="248">
        <v>12235.1156999999</v>
      </c>
      <c r="G4145" s="248">
        <v>12410.520099990301</v>
      </c>
      <c r="H4145" s="248">
        <v>12723.965399999999</v>
      </c>
      <c r="I4145"/>
      <c r="J4145"/>
      <c r="K4145"/>
      <c r="L4145"/>
      <c r="M4145"/>
    </row>
    <row r="4146" spans="3:13" hidden="1" outlineLevel="1" x14ac:dyDescent="0.2">
      <c r="C4146" s="139">
        <v>12200</v>
      </c>
      <c r="D4146" s="248">
        <v>12257.563099999799</v>
      </c>
      <c r="E4146" s="248">
        <v>12031.6825999998</v>
      </c>
      <c r="F4146" s="248">
        <v>12245.152699999901</v>
      </c>
      <c r="G4146" s="248">
        <v>12420.7010999903</v>
      </c>
      <c r="H4146" s="248">
        <v>12734.403399999999</v>
      </c>
      <c r="I4146"/>
      <c r="J4146"/>
      <c r="K4146"/>
      <c r="L4146"/>
      <c r="M4146"/>
    </row>
    <row r="4147" spans="3:13" hidden="1" outlineLevel="1" x14ac:dyDescent="0.2">
      <c r="C4147" s="139">
        <v>12210</v>
      </c>
      <c r="D4147" s="248">
        <v>12267.7100999998</v>
      </c>
      <c r="E4147" s="248">
        <v>12041.544599999799</v>
      </c>
      <c r="F4147" s="248">
        <v>12255.189699999901</v>
      </c>
      <c r="G4147" s="248">
        <v>12430.8820999903</v>
      </c>
      <c r="H4147" s="248">
        <v>12744.841399999999</v>
      </c>
      <c r="I4147"/>
      <c r="J4147"/>
      <c r="K4147"/>
      <c r="L4147"/>
      <c r="M4147"/>
    </row>
    <row r="4148" spans="3:13" hidden="1" outlineLevel="1" x14ac:dyDescent="0.2">
      <c r="C4148" s="139">
        <v>12220</v>
      </c>
      <c r="D4148" s="248">
        <v>12277.857099999799</v>
      </c>
      <c r="E4148" s="248">
        <v>12051.4065999998</v>
      </c>
      <c r="F4148" s="248">
        <v>12265.226699999899</v>
      </c>
      <c r="G4148" s="248">
        <v>12441.063099990301</v>
      </c>
      <c r="H4148" s="248">
        <v>12755.279399999999</v>
      </c>
      <c r="I4148"/>
      <c r="J4148"/>
      <c r="K4148"/>
      <c r="L4148"/>
      <c r="M4148"/>
    </row>
    <row r="4149" spans="3:13" hidden="1" outlineLevel="1" x14ac:dyDescent="0.2">
      <c r="C4149" s="139">
        <v>12230</v>
      </c>
      <c r="D4149" s="248">
        <v>12288.0040999998</v>
      </c>
      <c r="E4149" s="248">
        <v>12061.268599999799</v>
      </c>
      <c r="F4149" s="248">
        <v>12275.263699999899</v>
      </c>
      <c r="G4149" s="248">
        <v>12451.244099990299</v>
      </c>
      <c r="H4149" s="248">
        <v>12765.7174</v>
      </c>
      <c r="I4149"/>
      <c r="J4149"/>
      <c r="K4149"/>
      <c r="L4149"/>
      <c r="M4149"/>
    </row>
    <row r="4150" spans="3:13" hidden="1" outlineLevel="1" x14ac:dyDescent="0.2">
      <c r="C4150" s="139">
        <v>12240</v>
      </c>
      <c r="D4150" s="248">
        <v>12298.151099999801</v>
      </c>
      <c r="E4150" s="248">
        <v>12071.1305999998</v>
      </c>
      <c r="F4150" s="248">
        <v>12285.3006999999</v>
      </c>
      <c r="G4150" s="248">
        <v>12461.4250999903</v>
      </c>
      <c r="H4150" s="248">
        <v>12776.1554</v>
      </c>
      <c r="I4150"/>
      <c r="J4150"/>
      <c r="K4150"/>
      <c r="L4150"/>
      <c r="M4150"/>
    </row>
    <row r="4151" spans="3:13" hidden="1" outlineLevel="1" x14ac:dyDescent="0.2">
      <c r="C4151" s="139">
        <v>12250</v>
      </c>
      <c r="D4151" s="248">
        <v>12308.2980999998</v>
      </c>
      <c r="E4151" s="248">
        <v>12080.992599999799</v>
      </c>
      <c r="F4151" s="248">
        <v>12295.3376999999</v>
      </c>
      <c r="G4151" s="248">
        <v>12471.6060999903</v>
      </c>
      <c r="H4151" s="248">
        <v>12786.5934</v>
      </c>
      <c r="I4151"/>
      <c r="J4151"/>
      <c r="K4151"/>
      <c r="L4151"/>
      <c r="M4151"/>
    </row>
    <row r="4152" spans="3:13" hidden="1" outlineLevel="1" x14ac:dyDescent="0.2">
      <c r="C4152" s="139">
        <v>12260</v>
      </c>
      <c r="D4152" s="248">
        <v>12318.445099999801</v>
      </c>
      <c r="E4152" s="248">
        <v>12090.8545999998</v>
      </c>
      <c r="F4152" s="248">
        <v>12305.3746999999</v>
      </c>
      <c r="G4152" s="248">
        <v>12481.787099990201</v>
      </c>
      <c r="H4152" s="248">
        <v>12797.0314</v>
      </c>
      <c r="I4152"/>
      <c r="J4152"/>
      <c r="K4152"/>
      <c r="L4152"/>
      <c r="M4152"/>
    </row>
    <row r="4153" spans="3:13" hidden="1" outlineLevel="1" x14ac:dyDescent="0.2">
      <c r="C4153" s="139">
        <v>12270</v>
      </c>
      <c r="D4153" s="248">
        <v>12328.5920999998</v>
      </c>
      <c r="E4153" s="248">
        <v>12100.7165999998</v>
      </c>
      <c r="F4153" s="248">
        <v>12315.411699999901</v>
      </c>
      <c r="G4153" s="248">
        <v>12491.968099990199</v>
      </c>
      <c r="H4153" s="248">
        <v>12807.4694</v>
      </c>
      <c r="I4153"/>
      <c r="J4153"/>
      <c r="K4153"/>
      <c r="L4153"/>
      <c r="M4153"/>
    </row>
    <row r="4154" spans="3:13" hidden="1" outlineLevel="1" x14ac:dyDescent="0.2">
      <c r="C4154" s="139">
        <v>12280</v>
      </c>
      <c r="D4154" s="248">
        <v>12338.739099999801</v>
      </c>
      <c r="E4154" s="248">
        <v>12110.578599999801</v>
      </c>
      <c r="F4154" s="248">
        <v>12325.448699999901</v>
      </c>
      <c r="G4154" s="248">
        <v>12502.1490999902</v>
      </c>
      <c r="H4154" s="248">
        <v>12817.9074</v>
      </c>
      <c r="I4154"/>
      <c r="J4154"/>
      <c r="K4154"/>
      <c r="L4154"/>
      <c r="M4154"/>
    </row>
    <row r="4155" spans="3:13" hidden="1" outlineLevel="1" x14ac:dyDescent="0.2">
      <c r="C4155" s="139">
        <v>12290</v>
      </c>
      <c r="D4155" s="248">
        <v>12348.8860999998</v>
      </c>
      <c r="E4155" s="248">
        <v>12120.4405999998</v>
      </c>
      <c r="F4155" s="248">
        <v>12335.485699999899</v>
      </c>
      <c r="G4155" s="248">
        <v>12512.3300999902</v>
      </c>
      <c r="H4155" s="248">
        <v>12828.3454</v>
      </c>
      <c r="I4155"/>
      <c r="J4155"/>
      <c r="K4155"/>
      <c r="L4155"/>
      <c r="M4155"/>
    </row>
    <row r="4156" spans="3:13" hidden="1" outlineLevel="1" x14ac:dyDescent="0.2">
      <c r="C4156" s="139">
        <v>12300</v>
      </c>
      <c r="D4156" s="248">
        <v>12359.0330999998</v>
      </c>
      <c r="E4156" s="248">
        <v>12130.302599999801</v>
      </c>
      <c r="F4156" s="248">
        <v>12345.522699999899</v>
      </c>
      <c r="G4156" s="248">
        <v>12522.511099990201</v>
      </c>
      <c r="H4156" s="248">
        <v>12838.7834</v>
      </c>
      <c r="I4156"/>
      <c r="J4156"/>
      <c r="K4156"/>
      <c r="L4156"/>
      <c r="M4156"/>
    </row>
    <row r="4157" spans="3:13" hidden="1" outlineLevel="1" x14ac:dyDescent="0.2">
      <c r="C4157" s="139">
        <v>12310</v>
      </c>
      <c r="D4157" s="248">
        <v>12369.180099999799</v>
      </c>
      <c r="E4157" s="248">
        <v>12140.1645999998</v>
      </c>
      <c r="F4157" s="248">
        <v>12355.5596999999</v>
      </c>
      <c r="G4157" s="248">
        <v>12532.692099990199</v>
      </c>
      <c r="H4157" s="248">
        <v>12849.2214</v>
      </c>
      <c r="I4157"/>
      <c r="J4157"/>
      <c r="K4157"/>
      <c r="L4157"/>
      <c r="M4157"/>
    </row>
    <row r="4158" spans="3:13" hidden="1" outlineLevel="1" x14ac:dyDescent="0.2">
      <c r="C4158" s="139">
        <v>12320</v>
      </c>
      <c r="D4158" s="248">
        <v>12379.3270999998</v>
      </c>
      <c r="E4158" s="248">
        <v>12150.026599999799</v>
      </c>
      <c r="F4158" s="248">
        <v>12365.5966999999</v>
      </c>
      <c r="G4158" s="248">
        <v>12542.8730999902</v>
      </c>
      <c r="H4158" s="248">
        <v>12859.6594</v>
      </c>
      <c r="I4158"/>
      <c r="J4158"/>
      <c r="K4158"/>
      <c r="L4158"/>
      <c r="M4158"/>
    </row>
    <row r="4159" spans="3:13" hidden="1" outlineLevel="1" x14ac:dyDescent="0.2">
      <c r="C4159" s="139">
        <v>12330</v>
      </c>
      <c r="D4159" s="248">
        <v>12389.474099999799</v>
      </c>
      <c r="E4159" s="248">
        <v>12159.8885999998</v>
      </c>
      <c r="F4159" s="248">
        <v>12375.6336999999</v>
      </c>
      <c r="G4159" s="248">
        <v>12553.0540999902</v>
      </c>
      <c r="H4159" s="248">
        <v>12870.097400000001</v>
      </c>
      <c r="I4159"/>
      <c r="J4159"/>
      <c r="K4159"/>
      <c r="L4159"/>
      <c r="M4159"/>
    </row>
    <row r="4160" spans="3:13" hidden="1" outlineLevel="1" x14ac:dyDescent="0.2">
      <c r="C4160" s="139">
        <v>12340</v>
      </c>
      <c r="D4160" s="248">
        <v>12399.6210999998</v>
      </c>
      <c r="E4160" s="248">
        <v>12169.750599999799</v>
      </c>
      <c r="F4160" s="248">
        <v>12385.670699999901</v>
      </c>
      <c r="G4160" s="248">
        <v>12563.235099990199</v>
      </c>
      <c r="H4160" s="248">
        <v>12880.535400000001</v>
      </c>
      <c r="I4160"/>
      <c r="J4160"/>
      <c r="K4160"/>
      <c r="L4160"/>
      <c r="M4160"/>
    </row>
    <row r="4161" spans="3:13" hidden="1" outlineLevel="1" x14ac:dyDescent="0.2">
      <c r="C4161" s="139">
        <v>12350</v>
      </c>
      <c r="D4161" s="248">
        <v>12409.768099999799</v>
      </c>
      <c r="E4161" s="248">
        <v>12179.6125999998</v>
      </c>
      <c r="F4161" s="248">
        <v>12395.707699999901</v>
      </c>
      <c r="G4161" s="248">
        <v>12573.4160999902</v>
      </c>
      <c r="H4161" s="248">
        <v>12890.973400000001</v>
      </c>
      <c r="I4161"/>
      <c r="J4161"/>
      <c r="K4161"/>
      <c r="L4161"/>
      <c r="M4161"/>
    </row>
    <row r="4162" spans="3:13" hidden="1" outlineLevel="1" x14ac:dyDescent="0.2">
      <c r="C4162" s="139">
        <v>12360</v>
      </c>
      <c r="D4162" s="248">
        <v>12419.9150999998</v>
      </c>
      <c r="E4162" s="248">
        <v>12189.474599999799</v>
      </c>
      <c r="F4162" s="248">
        <v>12405.744699999899</v>
      </c>
      <c r="G4162" s="248">
        <v>12583.5970999901</v>
      </c>
      <c r="H4162" s="248">
        <v>12901.411400000001</v>
      </c>
      <c r="I4162"/>
      <c r="J4162"/>
      <c r="K4162"/>
      <c r="L4162"/>
      <c r="M4162"/>
    </row>
    <row r="4163" spans="3:13" hidden="1" outlineLevel="1" x14ac:dyDescent="0.2">
      <c r="C4163" s="139">
        <v>12370</v>
      </c>
      <c r="D4163" s="248">
        <v>12430.062099999799</v>
      </c>
      <c r="E4163" s="248">
        <v>12199.3365999998</v>
      </c>
      <c r="F4163" s="248">
        <v>12415.7816999999</v>
      </c>
      <c r="G4163" s="248">
        <v>12593.778099990101</v>
      </c>
      <c r="H4163" s="248">
        <v>12911.849399999999</v>
      </c>
      <c r="I4163"/>
      <c r="J4163"/>
      <c r="K4163"/>
      <c r="L4163"/>
      <c r="M4163"/>
    </row>
    <row r="4164" spans="3:13" hidden="1" outlineLevel="1" x14ac:dyDescent="0.2">
      <c r="C4164" s="139">
        <v>12380</v>
      </c>
      <c r="D4164" s="248">
        <v>12440.2090999998</v>
      </c>
      <c r="E4164" s="248">
        <v>12209.1985999998</v>
      </c>
      <c r="F4164" s="248">
        <v>12425.8186999999</v>
      </c>
      <c r="G4164" s="248">
        <v>12603.959099990099</v>
      </c>
      <c r="H4164" s="248">
        <v>12922.287399999999</v>
      </c>
      <c r="I4164"/>
      <c r="J4164"/>
      <c r="K4164"/>
      <c r="L4164"/>
      <c r="M4164"/>
    </row>
    <row r="4165" spans="3:13" hidden="1" outlineLevel="1" x14ac:dyDescent="0.2">
      <c r="C4165" s="139">
        <v>12390</v>
      </c>
      <c r="D4165" s="248">
        <v>12450.356099999801</v>
      </c>
      <c r="E4165" s="248">
        <v>12219.060599999801</v>
      </c>
      <c r="F4165" s="248">
        <v>12435.8556999999</v>
      </c>
      <c r="G4165" s="248">
        <v>12614.1400999901</v>
      </c>
      <c r="H4165" s="248">
        <v>12932.725399999999</v>
      </c>
      <c r="I4165"/>
      <c r="J4165"/>
      <c r="K4165"/>
      <c r="L4165"/>
      <c r="M4165"/>
    </row>
    <row r="4166" spans="3:13" hidden="1" outlineLevel="1" x14ac:dyDescent="0.2">
      <c r="C4166" s="139">
        <v>12400</v>
      </c>
      <c r="D4166" s="248">
        <v>12460.5030999998</v>
      </c>
      <c r="E4166" s="248">
        <v>12228.9225999998</v>
      </c>
      <c r="F4166" s="248">
        <v>12445.8926999999</v>
      </c>
      <c r="G4166" s="248">
        <v>12624.3210999901</v>
      </c>
      <c r="H4166" s="248">
        <v>12943.163399999999</v>
      </c>
      <c r="I4166"/>
      <c r="J4166"/>
      <c r="K4166"/>
      <c r="L4166"/>
      <c r="M4166"/>
    </row>
    <row r="4167" spans="3:13" hidden="1" outlineLevel="1" x14ac:dyDescent="0.2">
      <c r="C4167" s="139">
        <v>12410</v>
      </c>
      <c r="D4167" s="248">
        <v>12470.650099999801</v>
      </c>
      <c r="E4167" s="248">
        <v>12238.784599999801</v>
      </c>
      <c r="F4167" s="248">
        <v>12455.929699999901</v>
      </c>
      <c r="G4167" s="248">
        <v>12634.502099990101</v>
      </c>
      <c r="H4167" s="248">
        <v>12953.6014</v>
      </c>
      <c r="I4167"/>
      <c r="J4167"/>
      <c r="K4167"/>
      <c r="L4167"/>
      <c r="M4167"/>
    </row>
    <row r="4168" spans="3:13" hidden="1" outlineLevel="1" x14ac:dyDescent="0.2">
      <c r="C4168" s="139">
        <v>12420</v>
      </c>
      <c r="D4168" s="248">
        <v>12480.7970999998</v>
      </c>
      <c r="E4168" s="248">
        <v>12248.6465999998</v>
      </c>
      <c r="F4168" s="248">
        <v>12465.966699999901</v>
      </c>
      <c r="G4168" s="248">
        <v>12644.683099990099</v>
      </c>
      <c r="H4168" s="248">
        <v>12964.0394</v>
      </c>
      <c r="I4168"/>
      <c r="J4168"/>
      <c r="K4168"/>
      <c r="L4168"/>
      <c r="M4168"/>
    </row>
    <row r="4169" spans="3:13" hidden="1" outlineLevel="1" x14ac:dyDescent="0.2">
      <c r="C4169" s="139">
        <v>12430</v>
      </c>
      <c r="D4169" s="248">
        <v>12490.944099999801</v>
      </c>
      <c r="E4169" s="248">
        <v>12258.508599999799</v>
      </c>
      <c r="F4169" s="248">
        <v>12476.003699999899</v>
      </c>
      <c r="G4169" s="248">
        <v>12654.8640999901</v>
      </c>
      <c r="H4169" s="248">
        <v>12974.4774</v>
      </c>
      <c r="I4169"/>
      <c r="J4169"/>
      <c r="K4169"/>
      <c r="L4169"/>
      <c r="M4169"/>
    </row>
    <row r="4170" spans="3:13" hidden="1" outlineLevel="1" x14ac:dyDescent="0.2">
      <c r="C4170" s="139">
        <v>12440</v>
      </c>
      <c r="D4170" s="248">
        <v>12501.0910999998</v>
      </c>
      <c r="E4170" s="248">
        <v>12268.3705999998</v>
      </c>
      <c r="F4170" s="248">
        <v>12486.0406999999</v>
      </c>
      <c r="G4170" s="248">
        <v>12665.0450999901</v>
      </c>
      <c r="H4170" s="248">
        <v>12984.9154</v>
      </c>
      <c r="I4170"/>
      <c r="J4170"/>
      <c r="K4170"/>
      <c r="L4170"/>
      <c r="M4170"/>
    </row>
    <row r="4171" spans="3:13" hidden="1" outlineLevel="1" x14ac:dyDescent="0.2">
      <c r="C4171" s="139">
        <v>12450</v>
      </c>
      <c r="D4171" s="248">
        <v>12511.2380999998</v>
      </c>
      <c r="E4171" s="248">
        <v>12278.232599999799</v>
      </c>
      <c r="F4171" s="248">
        <v>12496.0776999999</v>
      </c>
      <c r="G4171" s="248">
        <v>12675.226099990001</v>
      </c>
      <c r="H4171" s="248">
        <v>12995.3534</v>
      </c>
      <c r="I4171"/>
      <c r="J4171"/>
      <c r="K4171"/>
      <c r="L4171"/>
      <c r="M4171"/>
    </row>
    <row r="4172" spans="3:13" hidden="1" outlineLevel="1" x14ac:dyDescent="0.2">
      <c r="C4172" s="139">
        <v>12460</v>
      </c>
      <c r="D4172" s="248">
        <v>12521.385099999799</v>
      </c>
      <c r="E4172" s="248">
        <v>12288.0945999998</v>
      </c>
      <c r="F4172" s="248">
        <v>12506.1146999999</v>
      </c>
      <c r="G4172" s="248">
        <v>12685.40709999</v>
      </c>
      <c r="H4172" s="248">
        <v>13005.7914</v>
      </c>
      <c r="I4172"/>
      <c r="J4172"/>
      <c r="K4172"/>
      <c r="L4172"/>
      <c r="M4172"/>
    </row>
    <row r="4173" spans="3:13" hidden="1" outlineLevel="1" x14ac:dyDescent="0.2">
      <c r="C4173" s="139">
        <v>12470</v>
      </c>
      <c r="D4173" s="248">
        <v>12531.5320999998</v>
      </c>
      <c r="E4173" s="248">
        <v>12297.956599999799</v>
      </c>
      <c r="F4173" s="248">
        <v>12516.1516999999</v>
      </c>
      <c r="G4173" s="248">
        <v>12695.58809999</v>
      </c>
      <c r="H4173" s="248">
        <v>13016.2294</v>
      </c>
      <c r="I4173"/>
      <c r="J4173"/>
      <c r="K4173"/>
      <c r="L4173"/>
      <c r="M4173"/>
    </row>
    <row r="4174" spans="3:13" hidden="1" outlineLevel="1" x14ac:dyDescent="0.2">
      <c r="C4174" s="139">
        <v>12480</v>
      </c>
      <c r="D4174" s="248">
        <v>12541.679099999799</v>
      </c>
      <c r="E4174" s="248">
        <v>12307.8185999998</v>
      </c>
      <c r="F4174" s="248">
        <v>12526.188699999901</v>
      </c>
      <c r="G4174" s="248">
        <v>12705.769099990001</v>
      </c>
      <c r="H4174" s="248">
        <v>13026.6674</v>
      </c>
      <c r="I4174"/>
      <c r="J4174"/>
      <c r="K4174"/>
      <c r="L4174"/>
      <c r="M4174"/>
    </row>
    <row r="4175" spans="3:13" hidden="1" outlineLevel="1" x14ac:dyDescent="0.2">
      <c r="C4175" s="139">
        <v>12490</v>
      </c>
      <c r="D4175" s="248">
        <v>12551.8260999998</v>
      </c>
      <c r="E4175" s="248">
        <v>12317.6805999998</v>
      </c>
      <c r="F4175" s="248">
        <v>12536.225699999901</v>
      </c>
      <c r="G4175" s="248">
        <v>12715.950099989999</v>
      </c>
      <c r="H4175" s="248">
        <v>13037.1054</v>
      </c>
      <c r="I4175"/>
      <c r="J4175"/>
      <c r="K4175"/>
      <c r="L4175"/>
      <c r="M4175"/>
    </row>
    <row r="4176" spans="3:13" hidden="1" outlineLevel="1" x14ac:dyDescent="0.2">
      <c r="C4176" s="139">
        <v>12500</v>
      </c>
      <c r="D4176" s="248">
        <v>12561.973099999799</v>
      </c>
      <c r="E4176" s="248">
        <v>12327.542599999801</v>
      </c>
      <c r="F4176" s="248">
        <v>12546.262699999899</v>
      </c>
      <c r="G4176" s="248">
        <v>12726.13109999</v>
      </c>
      <c r="H4176" s="248">
        <v>13047.5434</v>
      </c>
      <c r="I4176"/>
      <c r="J4176"/>
      <c r="K4176"/>
      <c r="L4176"/>
      <c r="M4176"/>
    </row>
    <row r="4177" spans="3:13" hidden="1" outlineLevel="1" x14ac:dyDescent="0.2">
      <c r="C4177" s="139">
        <v>12510</v>
      </c>
      <c r="D4177" s="248">
        <v>12572.1200999998</v>
      </c>
      <c r="E4177" s="248">
        <v>12337.4045999998</v>
      </c>
      <c r="F4177" s="248">
        <v>12556.2996999999</v>
      </c>
      <c r="G4177" s="248">
        <v>12736.31209999</v>
      </c>
      <c r="H4177" s="248">
        <v>13057.981400000001</v>
      </c>
      <c r="I4177"/>
      <c r="J4177"/>
      <c r="K4177"/>
      <c r="L4177"/>
      <c r="M4177"/>
    </row>
    <row r="4178" spans="3:13" hidden="1" outlineLevel="1" x14ac:dyDescent="0.2">
      <c r="C4178" s="139">
        <v>12520</v>
      </c>
      <c r="D4178" s="248">
        <v>12582.267099999801</v>
      </c>
      <c r="E4178" s="248">
        <v>12347.266599999801</v>
      </c>
      <c r="F4178" s="248">
        <v>12566.3366999999</v>
      </c>
      <c r="G4178" s="248">
        <v>12746.493099990001</v>
      </c>
      <c r="H4178" s="248">
        <v>13068.419400000001</v>
      </c>
      <c r="I4178"/>
      <c r="J4178"/>
      <c r="K4178"/>
      <c r="L4178"/>
      <c r="M4178"/>
    </row>
    <row r="4179" spans="3:13" hidden="1" outlineLevel="1" x14ac:dyDescent="0.2">
      <c r="C4179" s="139">
        <v>12530</v>
      </c>
      <c r="D4179" s="248">
        <v>12592.4140999998</v>
      </c>
      <c r="E4179" s="248">
        <v>12357.1285999998</v>
      </c>
      <c r="F4179" s="248">
        <v>12576.3736999999</v>
      </c>
      <c r="G4179" s="248">
        <v>12756.674099989999</v>
      </c>
      <c r="H4179" s="248">
        <v>13078.857400000001</v>
      </c>
      <c r="I4179"/>
      <c r="J4179"/>
      <c r="K4179"/>
      <c r="L4179"/>
      <c r="M4179"/>
    </row>
    <row r="4180" spans="3:13" hidden="1" outlineLevel="1" x14ac:dyDescent="0.2">
      <c r="C4180" s="139">
        <v>12540</v>
      </c>
      <c r="D4180" s="248">
        <v>12602.561099999801</v>
      </c>
      <c r="E4180" s="248">
        <v>12366.990599999801</v>
      </c>
      <c r="F4180" s="248">
        <v>12586.4106999999</v>
      </c>
      <c r="G4180" s="248">
        <v>12766.85509999</v>
      </c>
      <c r="H4180" s="248">
        <v>13089.295400000001</v>
      </c>
      <c r="I4180"/>
      <c r="J4180"/>
      <c r="K4180"/>
      <c r="L4180"/>
      <c r="M4180"/>
    </row>
    <row r="4181" spans="3:13" hidden="1" outlineLevel="1" x14ac:dyDescent="0.2">
      <c r="C4181" s="139">
        <v>12550</v>
      </c>
      <c r="D4181" s="248">
        <v>12612.7080999998</v>
      </c>
      <c r="E4181" s="248">
        <v>12376.8525999998</v>
      </c>
      <c r="F4181" s="248">
        <v>12596.447699999901</v>
      </c>
      <c r="G4181" s="248">
        <v>12777.0360999899</v>
      </c>
      <c r="H4181" s="248">
        <v>13099.733399999999</v>
      </c>
      <c r="I4181"/>
      <c r="J4181"/>
      <c r="K4181"/>
      <c r="L4181"/>
      <c r="M4181"/>
    </row>
    <row r="4182" spans="3:13" hidden="1" outlineLevel="1" x14ac:dyDescent="0.2">
      <c r="C4182" s="139">
        <v>12560</v>
      </c>
      <c r="D4182" s="248">
        <v>12622.855099999801</v>
      </c>
      <c r="E4182" s="248">
        <v>12386.714599999799</v>
      </c>
      <c r="F4182" s="248">
        <v>12606.484699999901</v>
      </c>
      <c r="G4182" s="248">
        <v>12787.217099989901</v>
      </c>
      <c r="H4182" s="248">
        <v>13110.171399999999</v>
      </c>
      <c r="I4182"/>
      <c r="J4182"/>
      <c r="K4182"/>
      <c r="L4182"/>
      <c r="M4182"/>
    </row>
    <row r="4183" spans="3:13" hidden="1" outlineLevel="1" x14ac:dyDescent="0.2">
      <c r="C4183" s="139">
        <v>12570</v>
      </c>
      <c r="D4183" s="248">
        <v>12633.0020999998</v>
      </c>
      <c r="E4183" s="248">
        <v>12396.5765999998</v>
      </c>
      <c r="F4183" s="248">
        <v>12616.521699999899</v>
      </c>
      <c r="G4183" s="248">
        <v>12797.398099989899</v>
      </c>
      <c r="H4183" s="248">
        <v>13120.609399999999</v>
      </c>
      <c r="I4183"/>
      <c r="J4183"/>
      <c r="K4183"/>
      <c r="L4183"/>
      <c r="M4183"/>
    </row>
    <row r="4184" spans="3:13" hidden="1" outlineLevel="1" x14ac:dyDescent="0.2">
      <c r="C4184" s="139">
        <v>12580</v>
      </c>
      <c r="D4184" s="248">
        <v>12643.1490999998</v>
      </c>
      <c r="E4184" s="248">
        <v>12406.438599999799</v>
      </c>
      <c r="F4184" s="248">
        <v>12626.5586999999</v>
      </c>
      <c r="G4184" s="248">
        <v>12807.5790999899</v>
      </c>
      <c r="H4184" s="248">
        <v>13131.047399999999</v>
      </c>
      <c r="I4184"/>
      <c r="J4184"/>
      <c r="K4184"/>
      <c r="L4184"/>
      <c r="M4184"/>
    </row>
    <row r="4185" spans="3:13" hidden="1" outlineLevel="1" x14ac:dyDescent="0.2">
      <c r="C4185" s="139">
        <v>12590</v>
      </c>
      <c r="D4185" s="248">
        <v>12653.296099999799</v>
      </c>
      <c r="E4185" s="248">
        <v>12416.3005999998</v>
      </c>
      <c r="F4185" s="248">
        <v>12636.5956999999</v>
      </c>
      <c r="G4185" s="248">
        <v>12817.7600999899</v>
      </c>
      <c r="H4185" s="248">
        <v>13141.4854</v>
      </c>
      <c r="I4185"/>
      <c r="J4185"/>
      <c r="K4185"/>
      <c r="L4185"/>
      <c r="M4185"/>
    </row>
    <row r="4186" spans="3:13" hidden="1" outlineLevel="1" x14ac:dyDescent="0.2">
      <c r="C4186" s="139">
        <v>12600</v>
      </c>
      <c r="D4186" s="248">
        <v>12663.4430999998</v>
      </c>
      <c r="E4186" s="248">
        <v>12426.1625999998</v>
      </c>
      <c r="F4186" s="248">
        <v>12646.6326999999</v>
      </c>
      <c r="G4186" s="248">
        <v>12827.941099989899</v>
      </c>
      <c r="H4186" s="248">
        <v>13151.9234</v>
      </c>
      <c r="I4186"/>
      <c r="J4186"/>
      <c r="K4186"/>
      <c r="L4186"/>
      <c r="M4186"/>
    </row>
    <row r="4187" spans="3:13" hidden="1" outlineLevel="1" x14ac:dyDescent="0.2">
      <c r="C4187" s="139">
        <v>12610</v>
      </c>
      <c r="D4187" s="248">
        <v>12673.590099999799</v>
      </c>
      <c r="E4187" s="248">
        <v>12436.024599999801</v>
      </c>
      <c r="F4187" s="248">
        <v>12656.6696999999</v>
      </c>
      <c r="G4187" s="248">
        <v>12838.1220999899</v>
      </c>
      <c r="H4187" s="248">
        <v>13162.3614</v>
      </c>
      <c r="I4187"/>
      <c r="J4187"/>
      <c r="K4187"/>
      <c r="L4187"/>
      <c r="M4187"/>
    </row>
    <row r="4188" spans="3:13" hidden="1" outlineLevel="1" x14ac:dyDescent="0.2">
      <c r="C4188" s="139">
        <v>12620</v>
      </c>
      <c r="D4188" s="248">
        <v>12683.7370999998</v>
      </c>
      <c r="E4188" s="248">
        <v>12445.8865999998</v>
      </c>
      <c r="F4188" s="248">
        <v>12666.706699999901</v>
      </c>
      <c r="G4188" s="248">
        <v>12848.3030999899</v>
      </c>
      <c r="H4188" s="248">
        <v>13172.7994</v>
      </c>
      <c r="I4188"/>
      <c r="J4188"/>
      <c r="K4188"/>
      <c r="L4188"/>
      <c r="M4188"/>
    </row>
    <row r="4189" spans="3:13" hidden="1" outlineLevel="1" x14ac:dyDescent="0.2">
      <c r="C4189" s="139">
        <v>12630</v>
      </c>
      <c r="D4189" s="248">
        <v>12693.884099999799</v>
      </c>
      <c r="E4189" s="248">
        <v>12455.748599999801</v>
      </c>
      <c r="F4189" s="248">
        <v>12676.743699999901</v>
      </c>
      <c r="G4189" s="248">
        <v>12858.484099989901</v>
      </c>
      <c r="H4189" s="248">
        <v>13183.2374</v>
      </c>
      <c r="I4189"/>
      <c r="J4189"/>
      <c r="K4189"/>
      <c r="L4189"/>
      <c r="M4189"/>
    </row>
    <row r="4190" spans="3:13" hidden="1" outlineLevel="1" x14ac:dyDescent="0.2">
      <c r="C4190" s="139">
        <v>12640</v>
      </c>
      <c r="D4190" s="248">
        <v>12704.0310999998</v>
      </c>
      <c r="E4190" s="248">
        <v>12465.6105999998</v>
      </c>
      <c r="F4190" s="248">
        <v>12686.780699999899</v>
      </c>
      <c r="G4190" s="248">
        <v>12868.665099989899</v>
      </c>
      <c r="H4190" s="248">
        <v>13193.6754</v>
      </c>
      <c r="I4190"/>
      <c r="J4190"/>
      <c r="K4190"/>
      <c r="L4190"/>
      <c r="M4190"/>
    </row>
    <row r="4191" spans="3:13" hidden="1" outlineLevel="1" x14ac:dyDescent="0.2">
      <c r="C4191" s="139">
        <v>12650</v>
      </c>
      <c r="D4191" s="248">
        <v>12714.178099999801</v>
      </c>
      <c r="E4191" s="248">
        <v>12475.472599999801</v>
      </c>
      <c r="F4191" s="248">
        <v>12696.8176999999</v>
      </c>
      <c r="G4191" s="248">
        <v>12878.8460999898</v>
      </c>
      <c r="H4191" s="248">
        <v>13204.1134</v>
      </c>
      <c r="I4191"/>
      <c r="J4191"/>
      <c r="K4191"/>
      <c r="L4191"/>
      <c r="M4191"/>
    </row>
    <row r="4192" spans="3:13" hidden="1" outlineLevel="1" x14ac:dyDescent="0.2">
      <c r="C4192" s="139">
        <v>12660</v>
      </c>
      <c r="D4192" s="248">
        <v>12724.3250999998</v>
      </c>
      <c r="E4192" s="248">
        <v>12485.3345999998</v>
      </c>
      <c r="F4192" s="248">
        <v>12706.8546999999</v>
      </c>
      <c r="G4192" s="248">
        <v>12889.0270999898</v>
      </c>
      <c r="H4192" s="248">
        <v>13214.5514</v>
      </c>
      <c r="I4192"/>
      <c r="J4192"/>
      <c r="K4192"/>
      <c r="L4192"/>
      <c r="M4192"/>
    </row>
    <row r="4193" spans="3:13" hidden="1" outlineLevel="1" x14ac:dyDescent="0.2">
      <c r="C4193" s="139">
        <v>12670</v>
      </c>
      <c r="D4193" s="248">
        <v>12734.472099999801</v>
      </c>
      <c r="E4193" s="248">
        <v>12495.196599999799</v>
      </c>
      <c r="F4193" s="248">
        <v>12716.8916999999</v>
      </c>
      <c r="G4193" s="248">
        <v>12899.208099989801</v>
      </c>
      <c r="H4193" s="248">
        <v>13224.9894</v>
      </c>
      <c r="I4193"/>
      <c r="J4193"/>
      <c r="K4193"/>
      <c r="L4193"/>
      <c r="M4193"/>
    </row>
    <row r="4194" spans="3:13" hidden="1" outlineLevel="1" x14ac:dyDescent="0.2">
      <c r="C4194" s="139">
        <v>12680</v>
      </c>
      <c r="D4194" s="248">
        <v>12744.6190999998</v>
      </c>
      <c r="E4194" s="248">
        <v>12505.0585999998</v>
      </c>
      <c r="F4194" s="248">
        <v>12726.9286999999</v>
      </c>
      <c r="G4194" s="248">
        <v>12909.389099989799</v>
      </c>
      <c r="H4194" s="248">
        <v>13235.4274</v>
      </c>
      <c r="I4194"/>
      <c r="J4194"/>
      <c r="K4194"/>
      <c r="L4194"/>
      <c r="M4194"/>
    </row>
    <row r="4195" spans="3:13" hidden="1" outlineLevel="1" x14ac:dyDescent="0.2">
      <c r="C4195" s="139">
        <v>12690</v>
      </c>
      <c r="D4195" s="248">
        <v>12754.766099999801</v>
      </c>
      <c r="E4195" s="248">
        <v>12514.920599999799</v>
      </c>
      <c r="F4195" s="248">
        <v>12736.965699999901</v>
      </c>
      <c r="G4195" s="248">
        <v>12919.5700999898</v>
      </c>
      <c r="H4195" s="248">
        <v>13245.865400000001</v>
      </c>
      <c r="I4195"/>
      <c r="J4195"/>
      <c r="K4195"/>
      <c r="L4195"/>
      <c r="M4195"/>
    </row>
    <row r="4196" spans="3:13" hidden="1" outlineLevel="1" x14ac:dyDescent="0.2">
      <c r="C4196" s="139">
        <v>12700</v>
      </c>
      <c r="D4196" s="248">
        <v>12764.9130999998</v>
      </c>
      <c r="E4196" s="248">
        <v>12524.7825999998</v>
      </c>
      <c r="F4196" s="248">
        <v>12747.002699999901</v>
      </c>
      <c r="G4196" s="248">
        <v>12929.7510999898</v>
      </c>
      <c r="H4196" s="248">
        <v>13256.303400000001</v>
      </c>
      <c r="I4196"/>
      <c r="J4196"/>
      <c r="K4196"/>
      <c r="L4196"/>
      <c r="M4196"/>
    </row>
    <row r="4197" spans="3:13" hidden="1" outlineLevel="1" x14ac:dyDescent="0.2">
      <c r="C4197" s="139">
        <v>12710</v>
      </c>
      <c r="D4197" s="248">
        <v>12775.060099999801</v>
      </c>
      <c r="E4197" s="248">
        <v>12534.6445999998</v>
      </c>
      <c r="F4197" s="248">
        <v>12757.039699999899</v>
      </c>
      <c r="G4197" s="248">
        <v>12939.932099989799</v>
      </c>
      <c r="H4197" s="248">
        <v>13266.741400000001</v>
      </c>
      <c r="I4197"/>
      <c r="J4197"/>
      <c r="K4197"/>
      <c r="L4197"/>
      <c r="M4197"/>
    </row>
    <row r="4198" spans="3:13" hidden="1" outlineLevel="1" x14ac:dyDescent="0.2">
      <c r="C4198" s="139">
        <v>12720</v>
      </c>
      <c r="D4198" s="248">
        <v>12785.2070999998</v>
      </c>
      <c r="E4198" s="248">
        <v>12544.506599999801</v>
      </c>
      <c r="F4198" s="248">
        <v>12767.0766999999</v>
      </c>
      <c r="G4198" s="248">
        <v>12950.1130999898</v>
      </c>
      <c r="H4198" s="248">
        <v>13277.179400000001</v>
      </c>
      <c r="I4198"/>
      <c r="J4198"/>
      <c r="K4198"/>
      <c r="L4198"/>
      <c r="M4198"/>
    </row>
    <row r="4199" spans="3:13" hidden="1" outlineLevel="1" x14ac:dyDescent="0.2">
      <c r="C4199" s="139">
        <v>12730</v>
      </c>
      <c r="D4199" s="248">
        <v>12795.3540999998</v>
      </c>
      <c r="E4199" s="248">
        <v>12554.3685999998</v>
      </c>
      <c r="F4199" s="248">
        <v>12777.1136999999</v>
      </c>
      <c r="G4199" s="248">
        <v>12960.2940999898</v>
      </c>
      <c r="H4199" s="248">
        <v>13287.617399999999</v>
      </c>
      <c r="I4199"/>
      <c r="J4199"/>
      <c r="K4199"/>
      <c r="L4199"/>
      <c r="M4199"/>
    </row>
    <row r="4200" spans="3:13" hidden="1" outlineLevel="1" x14ac:dyDescent="0.2">
      <c r="C4200" s="139">
        <v>12740</v>
      </c>
      <c r="D4200" s="248">
        <v>12805.501099999799</v>
      </c>
      <c r="E4200" s="248">
        <v>12564.230599999801</v>
      </c>
      <c r="F4200" s="248">
        <v>12787.1506999999</v>
      </c>
      <c r="G4200" s="248">
        <v>12970.475099989701</v>
      </c>
      <c r="H4200" s="248">
        <v>13298.055399999999</v>
      </c>
      <c r="I4200"/>
      <c r="J4200"/>
      <c r="K4200"/>
      <c r="L4200"/>
      <c r="M4200"/>
    </row>
    <row r="4201" spans="3:13" hidden="1" outlineLevel="1" x14ac:dyDescent="0.2">
      <c r="C4201" s="139">
        <v>12750</v>
      </c>
      <c r="D4201" s="248">
        <v>12815.6480999998</v>
      </c>
      <c r="E4201" s="248">
        <v>12574.0925999998</v>
      </c>
      <c r="F4201" s="248">
        <v>12797.1876999999</v>
      </c>
      <c r="G4201" s="248">
        <v>12980.656099989699</v>
      </c>
      <c r="H4201" s="248">
        <v>13308.493399999999</v>
      </c>
      <c r="I4201"/>
      <c r="J4201"/>
      <c r="K4201"/>
      <c r="L4201"/>
      <c r="M4201"/>
    </row>
    <row r="4202" spans="3:13" hidden="1" outlineLevel="1" x14ac:dyDescent="0.2">
      <c r="C4202" s="139">
        <v>12760</v>
      </c>
      <c r="D4202" s="248">
        <v>12825.795099999799</v>
      </c>
      <c r="E4202" s="248">
        <v>12583.954599999801</v>
      </c>
      <c r="F4202" s="248">
        <v>12807.224699999901</v>
      </c>
      <c r="G4202" s="248">
        <v>12990.8370999897</v>
      </c>
      <c r="H4202" s="248">
        <v>13318.931399999999</v>
      </c>
      <c r="I4202"/>
      <c r="J4202"/>
      <c r="K4202"/>
      <c r="L4202"/>
      <c r="M4202"/>
    </row>
    <row r="4203" spans="3:13" hidden="1" outlineLevel="1" x14ac:dyDescent="0.2">
      <c r="C4203" s="139">
        <v>12770</v>
      </c>
      <c r="D4203" s="248">
        <v>12835.9420999998</v>
      </c>
      <c r="E4203" s="248">
        <v>12593.8165999998</v>
      </c>
      <c r="F4203" s="248">
        <v>12817.261699999901</v>
      </c>
      <c r="G4203" s="248">
        <v>13001.0180999897</v>
      </c>
      <c r="H4203" s="248">
        <v>13329.3694</v>
      </c>
      <c r="I4203"/>
      <c r="J4203"/>
      <c r="K4203"/>
      <c r="L4203"/>
      <c r="M4203"/>
    </row>
    <row r="4204" spans="3:13" hidden="1" outlineLevel="1" x14ac:dyDescent="0.2">
      <c r="C4204" s="139">
        <v>12780</v>
      </c>
      <c r="D4204" s="248">
        <v>12846.089099999799</v>
      </c>
      <c r="E4204" s="248">
        <v>12603.678599999799</v>
      </c>
      <c r="F4204" s="248">
        <v>12827.298699999899</v>
      </c>
      <c r="G4204" s="248">
        <v>13011.199099989701</v>
      </c>
      <c r="H4204" s="248">
        <v>13339.8074</v>
      </c>
      <c r="I4204"/>
      <c r="J4204"/>
      <c r="K4204"/>
      <c r="L4204"/>
      <c r="M4204"/>
    </row>
    <row r="4205" spans="3:13" hidden="1" outlineLevel="1" x14ac:dyDescent="0.2">
      <c r="C4205" s="139">
        <v>12790</v>
      </c>
      <c r="D4205" s="248">
        <v>12856.2360999998</v>
      </c>
      <c r="E4205" s="248">
        <v>12613.5405999998</v>
      </c>
      <c r="F4205" s="248">
        <v>12837.3356999999</v>
      </c>
      <c r="G4205" s="248">
        <v>13021.380099989699</v>
      </c>
      <c r="H4205" s="248">
        <v>13350.2454</v>
      </c>
      <c r="I4205"/>
      <c r="J4205"/>
      <c r="K4205"/>
      <c r="L4205"/>
      <c r="M4205"/>
    </row>
    <row r="4206" spans="3:13" hidden="1" outlineLevel="1" x14ac:dyDescent="0.2">
      <c r="C4206" s="139">
        <v>12800</v>
      </c>
      <c r="D4206" s="248">
        <v>12866.383099999801</v>
      </c>
      <c r="E4206" s="248">
        <v>12623.402599999799</v>
      </c>
      <c r="F4206" s="248">
        <v>12847.3726999999</v>
      </c>
      <c r="G4206" s="248">
        <v>13031.5610999897</v>
      </c>
      <c r="H4206" s="248">
        <v>13360.6834</v>
      </c>
      <c r="I4206"/>
      <c r="J4206"/>
      <c r="K4206"/>
      <c r="L4206"/>
      <c r="M4206"/>
    </row>
    <row r="4207" spans="3:13" hidden="1" outlineLevel="1" x14ac:dyDescent="0.2">
      <c r="C4207" s="139">
        <v>12810</v>
      </c>
      <c r="D4207" s="248">
        <v>12876.5300999998</v>
      </c>
      <c r="E4207" s="248">
        <v>12633.2645999998</v>
      </c>
      <c r="F4207" s="248">
        <v>12857.4096999999</v>
      </c>
      <c r="G4207" s="248">
        <v>13041.7420999897</v>
      </c>
      <c r="H4207" s="248">
        <v>13371.1214</v>
      </c>
      <c r="I4207"/>
      <c r="J4207"/>
      <c r="K4207"/>
      <c r="L4207"/>
      <c r="M4207"/>
    </row>
    <row r="4208" spans="3:13" hidden="1" outlineLevel="1" x14ac:dyDescent="0.2">
      <c r="C4208" s="139">
        <v>12820</v>
      </c>
      <c r="D4208" s="248">
        <v>12886.677099999801</v>
      </c>
      <c r="E4208" s="248">
        <v>12643.1265999998</v>
      </c>
      <c r="F4208" s="248">
        <v>12867.4466999999</v>
      </c>
      <c r="G4208" s="248">
        <v>13051.923099989701</v>
      </c>
      <c r="H4208" s="248">
        <v>13381.5594</v>
      </c>
      <c r="I4208"/>
      <c r="J4208"/>
      <c r="K4208"/>
      <c r="L4208"/>
      <c r="M4208"/>
    </row>
    <row r="4209" spans="3:13" hidden="1" outlineLevel="1" x14ac:dyDescent="0.2">
      <c r="C4209" s="139">
        <v>12830</v>
      </c>
      <c r="D4209" s="248">
        <v>12896.8240999998</v>
      </c>
      <c r="E4209" s="248">
        <v>12652.9885999998</v>
      </c>
      <c r="F4209" s="248">
        <v>12877.483699999901</v>
      </c>
      <c r="G4209" s="248">
        <v>13062.1040999897</v>
      </c>
      <c r="H4209" s="248">
        <v>13391.9974</v>
      </c>
      <c r="I4209"/>
      <c r="J4209"/>
      <c r="K4209"/>
      <c r="L4209"/>
      <c r="M4209"/>
    </row>
    <row r="4210" spans="3:13" hidden="1" outlineLevel="1" x14ac:dyDescent="0.2">
      <c r="C4210" s="139">
        <v>12840</v>
      </c>
      <c r="D4210" s="248">
        <v>12906.971099999801</v>
      </c>
      <c r="E4210" s="248">
        <v>12662.8505999998</v>
      </c>
      <c r="F4210" s="248">
        <v>12887.520699999901</v>
      </c>
      <c r="G4210" s="248">
        <v>13072.2850999896</v>
      </c>
      <c r="H4210" s="248">
        <v>13402.4354</v>
      </c>
      <c r="I4210"/>
      <c r="J4210"/>
      <c r="K4210"/>
      <c r="L4210"/>
      <c r="M4210"/>
    </row>
    <row r="4211" spans="3:13" hidden="1" outlineLevel="1" x14ac:dyDescent="0.2">
      <c r="C4211" s="139">
        <v>12850</v>
      </c>
      <c r="D4211" s="248">
        <v>12917.1180999998</v>
      </c>
      <c r="E4211" s="248">
        <v>12672.712599999801</v>
      </c>
      <c r="F4211" s="248">
        <v>12897.557699999899</v>
      </c>
      <c r="G4211" s="248">
        <v>13082.4660999896</v>
      </c>
      <c r="H4211" s="248">
        <v>13412.8734</v>
      </c>
      <c r="I4211"/>
      <c r="J4211"/>
      <c r="K4211"/>
      <c r="L4211"/>
      <c r="M4211"/>
    </row>
    <row r="4212" spans="3:13" hidden="1" outlineLevel="1" x14ac:dyDescent="0.2">
      <c r="C4212" s="139">
        <v>12860</v>
      </c>
      <c r="D4212" s="248">
        <v>12927.2650999997</v>
      </c>
      <c r="E4212" s="248">
        <v>12682.5745999998</v>
      </c>
      <c r="F4212" s="248">
        <v>12907.5946999999</v>
      </c>
      <c r="G4212" s="248">
        <v>13092.647099989599</v>
      </c>
      <c r="H4212" s="248">
        <v>13423.311400000001</v>
      </c>
      <c r="I4212"/>
      <c r="J4212"/>
      <c r="K4212"/>
      <c r="L4212"/>
      <c r="M4212"/>
    </row>
    <row r="4213" spans="3:13" hidden="1" outlineLevel="1" x14ac:dyDescent="0.2">
      <c r="C4213" s="139">
        <v>12870</v>
      </c>
      <c r="D4213" s="248">
        <v>12937.412099999699</v>
      </c>
      <c r="E4213" s="248">
        <v>12692.436599999801</v>
      </c>
      <c r="F4213" s="248">
        <v>12917.6316999999</v>
      </c>
      <c r="G4213" s="248">
        <v>13102.8280999896</v>
      </c>
      <c r="H4213" s="248">
        <v>13433.749400000001</v>
      </c>
      <c r="I4213"/>
      <c r="J4213"/>
      <c r="K4213"/>
      <c r="L4213"/>
      <c r="M4213"/>
    </row>
    <row r="4214" spans="3:13" hidden="1" outlineLevel="1" x14ac:dyDescent="0.2">
      <c r="C4214" s="139">
        <v>12880</v>
      </c>
      <c r="D4214" s="248">
        <v>12947.5590999997</v>
      </c>
      <c r="E4214" s="248">
        <v>12702.2985999998</v>
      </c>
      <c r="F4214" s="248">
        <v>12927.6686999999</v>
      </c>
      <c r="G4214" s="248">
        <v>13113.0090999896</v>
      </c>
      <c r="H4214" s="248">
        <v>13444.187400000001</v>
      </c>
      <c r="I4214"/>
      <c r="J4214"/>
      <c r="K4214"/>
      <c r="L4214"/>
      <c r="M4214"/>
    </row>
    <row r="4215" spans="3:13" hidden="1" outlineLevel="1" x14ac:dyDescent="0.2">
      <c r="C4215" s="139">
        <v>12890</v>
      </c>
      <c r="D4215" s="248">
        <v>12957.706099999699</v>
      </c>
      <c r="E4215" s="248">
        <v>12712.160599999799</v>
      </c>
      <c r="F4215" s="248">
        <v>12937.7056999999</v>
      </c>
      <c r="G4215" s="248">
        <v>13123.190099989601</v>
      </c>
      <c r="H4215" s="248">
        <v>13454.625400000001</v>
      </c>
      <c r="I4215"/>
      <c r="J4215"/>
      <c r="K4215"/>
      <c r="L4215"/>
      <c r="M4215"/>
    </row>
    <row r="4216" spans="3:13" hidden="1" outlineLevel="1" x14ac:dyDescent="0.2">
      <c r="C4216" s="139">
        <v>12900</v>
      </c>
      <c r="D4216" s="248">
        <v>12967.8530999997</v>
      </c>
      <c r="E4216" s="248">
        <v>12722.0225999998</v>
      </c>
      <c r="F4216" s="248">
        <v>12947.742699999901</v>
      </c>
      <c r="G4216" s="248">
        <v>13133.371099989599</v>
      </c>
      <c r="H4216" s="248">
        <v>13465.063399999999</v>
      </c>
      <c r="I4216"/>
      <c r="J4216"/>
      <c r="K4216"/>
      <c r="L4216"/>
      <c r="M4216"/>
    </row>
    <row r="4217" spans="3:13" hidden="1" outlineLevel="1" x14ac:dyDescent="0.2">
      <c r="C4217" s="139">
        <v>12910</v>
      </c>
      <c r="D4217" s="248">
        <v>12978.000099999699</v>
      </c>
      <c r="E4217" s="248">
        <v>12731.884599999799</v>
      </c>
      <c r="F4217" s="248">
        <v>12957.779699999899</v>
      </c>
      <c r="G4217" s="248">
        <v>13143.5520999896</v>
      </c>
      <c r="H4217" s="248">
        <v>13475.501399999999</v>
      </c>
      <c r="I4217"/>
      <c r="J4217"/>
      <c r="K4217"/>
      <c r="L4217"/>
      <c r="M4217"/>
    </row>
    <row r="4218" spans="3:13" hidden="1" outlineLevel="1" x14ac:dyDescent="0.2">
      <c r="C4218" s="139">
        <v>12920</v>
      </c>
      <c r="D4218" s="248">
        <v>12988.1470999997</v>
      </c>
      <c r="E4218" s="248">
        <v>12741.7465999998</v>
      </c>
      <c r="F4218" s="248">
        <v>12967.816699999899</v>
      </c>
      <c r="G4218" s="248">
        <v>13153.7330999896</v>
      </c>
      <c r="H4218" s="248">
        <v>13485.939399999999</v>
      </c>
      <c r="I4218"/>
      <c r="J4218"/>
      <c r="K4218"/>
      <c r="L4218"/>
      <c r="M4218"/>
    </row>
    <row r="4219" spans="3:13" hidden="1" outlineLevel="1" x14ac:dyDescent="0.2">
      <c r="C4219" s="139">
        <v>12930</v>
      </c>
      <c r="D4219" s="248">
        <v>12998.294099999701</v>
      </c>
      <c r="E4219" s="248">
        <v>12751.608599999799</v>
      </c>
      <c r="F4219" s="248">
        <v>12977.8536999999</v>
      </c>
      <c r="G4219" s="248">
        <v>13163.914099989601</v>
      </c>
      <c r="H4219" s="248">
        <v>13496.377399999999</v>
      </c>
      <c r="I4219"/>
      <c r="J4219"/>
      <c r="K4219"/>
      <c r="L4219"/>
      <c r="M4219"/>
    </row>
    <row r="4220" spans="3:13" hidden="1" outlineLevel="1" x14ac:dyDescent="0.2">
      <c r="C4220" s="139">
        <v>12940</v>
      </c>
      <c r="D4220" s="248">
        <v>13008.4410999997</v>
      </c>
      <c r="E4220" s="248">
        <v>12761.4705999998</v>
      </c>
      <c r="F4220" s="248">
        <v>12987.8906999999</v>
      </c>
      <c r="G4220" s="248">
        <v>13174.095099989499</v>
      </c>
      <c r="H4220" s="248">
        <v>13506.815399999999</v>
      </c>
      <c r="I4220"/>
      <c r="J4220"/>
      <c r="K4220"/>
      <c r="L4220"/>
      <c r="M4220"/>
    </row>
    <row r="4221" spans="3:13" hidden="1" outlineLevel="1" x14ac:dyDescent="0.2">
      <c r="C4221" s="139">
        <v>12950</v>
      </c>
      <c r="D4221" s="248">
        <v>13018.588099999701</v>
      </c>
      <c r="E4221" s="248">
        <v>12771.3325999998</v>
      </c>
      <c r="F4221" s="248">
        <v>12997.9276999999</v>
      </c>
      <c r="G4221" s="248">
        <v>13184.2760999895</v>
      </c>
      <c r="H4221" s="248">
        <v>13517.2534</v>
      </c>
      <c r="I4221"/>
      <c r="J4221"/>
      <c r="K4221"/>
      <c r="L4221"/>
      <c r="M4221"/>
    </row>
    <row r="4222" spans="3:13" hidden="1" outlineLevel="1" x14ac:dyDescent="0.2">
      <c r="C4222" s="139">
        <v>12960</v>
      </c>
      <c r="D4222" s="248">
        <v>13028.7350999997</v>
      </c>
      <c r="E4222" s="248">
        <v>12781.194599999801</v>
      </c>
      <c r="F4222" s="248">
        <v>13007.9646999999</v>
      </c>
      <c r="G4222" s="248">
        <v>13194.4570999895</v>
      </c>
      <c r="H4222" s="248">
        <v>13527.6914</v>
      </c>
      <c r="I4222"/>
      <c r="J4222"/>
      <c r="K4222"/>
      <c r="L4222"/>
      <c r="M4222"/>
    </row>
    <row r="4223" spans="3:13" hidden="1" outlineLevel="1" x14ac:dyDescent="0.2">
      <c r="C4223" s="139">
        <v>12970</v>
      </c>
      <c r="D4223" s="248">
        <v>13038.882099999701</v>
      </c>
      <c r="E4223" s="248">
        <v>12791.0565999998</v>
      </c>
      <c r="F4223" s="248">
        <v>13018.001699999901</v>
      </c>
      <c r="G4223" s="248">
        <v>13204.638099989499</v>
      </c>
      <c r="H4223" s="248">
        <v>13538.1294</v>
      </c>
      <c r="I4223"/>
      <c r="J4223"/>
      <c r="K4223"/>
      <c r="L4223"/>
      <c r="M4223"/>
    </row>
    <row r="4224" spans="3:13" hidden="1" outlineLevel="1" x14ac:dyDescent="0.2">
      <c r="C4224" s="139">
        <v>12980</v>
      </c>
      <c r="D4224" s="248">
        <v>13049.0290999997</v>
      </c>
      <c r="E4224" s="248">
        <v>12800.918599999801</v>
      </c>
      <c r="F4224" s="248">
        <v>13028.038699999899</v>
      </c>
      <c r="G4224" s="248">
        <v>13214.8190999895</v>
      </c>
      <c r="H4224" s="248">
        <v>13548.5674</v>
      </c>
      <c r="I4224"/>
      <c r="J4224"/>
      <c r="K4224"/>
      <c r="L4224"/>
      <c r="M4224"/>
    </row>
    <row r="4225" spans="3:13" hidden="1" outlineLevel="1" x14ac:dyDescent="0.2">
      <c r="C4225" s="139">
        <v>12990</v>
      </c>
      <c r="D4225" s="248">
        <v>13059.1760999997</v>
      </c>
      <c r="E4225" s="248">
        <v>12810.7805999998</v>
      </c>
      <c r="F4225" s="248">
        <v>13038.075699999899</v>
      </c>
      <c r="G4225" s="248">
        <v>13225.0000999895</v>
      </c>
      <c r="H4225" s="248">
        <v>13559.0054</v>
      </c>
      <c r="I4225"/>
      <c r="J4225"/>
      <c r="K4225"/>
      <c r="L4225"/>
      <c r="M4225"/>
    </row>
    <row r="4226" spans="3:13" hidden="1" outlineLevel="1" x14ac:dyDescent="0.2">
      <c r="C4226" s="139">
        <v>13000</v>
      </c>
      <c r="D4226" s="248">
        <v>13069.323099999699</v>
      </c>
      <c r="E4226" s="248">
        <v>12820.642599999799</v>
      </c>
      <c r="F4226" s="248">
        <v>13048.1126999999</v>
      </c>
      <c r="G4226" s="248">
        <v>13235.181099989501</v>
      </c>
      <c r="H4226" s="248">
        <v>13569.4434</v>
      </c>
      <c r="I4226"/>
      <c r="J4226"/>
      <c r="K4226"/>
      <c r="L4226"/>
      <c r="M4226"/>
    </row>
    <row r="4227" spans="3:13" hidden="1" outlineLevel="1" x14ac:dyDescent="0.2">
      <c r="C4227" s="139">
        <v>13010</v>
      </c>
      <c r="D4227" s="248">
        <v>13079.4700999997</v>
      </c>
      <c r="E4227" s="248">
        <v>12830.5045999998</v>
      </c>
      <c r="F4227" s="248">
        <v>13058.1496999999</v>
      </c>
      <c r="G4227" s="248">
        <v>13245.362099989499</v>
      </c>
      <c r="H4227" s="248">
        <v>13579.8814</v>
      </c>
      <c r="I4227"/>
      <c r="J4227"/>
      <c r="K4227"/>
      <c r="L4227"/>
      <c r="M4227"/>
    </row>
    <row r="4228" spans="3:13" hidden="1" outlineLevel="1" x14ac:dyDescent="0.2">
      <c r="C4228" s="139">
        <v>13020</v>
      </c>
      <c r="D4228" s="248">
        <v>13089.617099999699</v>
      </c>
      <c r="E4228" s="248">
        <v>12840.366599999799</v>
      </c>
      <c r="F4228" s="248">
        <v>13068.1866999999</v>
      </c>
      <c r="G4228" s="248">
        <v>13255.5430999895</v>
      </c>
      <c r="H4228" s="248">
        <v>13590.3194</v>
      </c>
      <c r="I4228"/>
      <c r="J4228"/>
      <c r="K4228"/>
      <c r="L4228"/>
      <c r="M4228"/>
    </row>
    <row r="4229" spans="3:13" hidden="1" outlineLevel="1" x14ac:dyDescent="0.2">
      <c r="C4229" s="139">
        <v>13030</v>
      </c>
      <c r="D4229" s="248">
        <v>13099.7640999997</v>
      </c>
      <c r="E4229" s="248">
        <v>12850.2285999998</v>
      </c>
      <c r="F4229" s="248">
        <v>13078.2236999999</v>
      </c>
      <c r="G4229" s="248">
        <v>13265.7240999894</v>
      </c>
      <c r="H4229" s="248">
        <v>13600.7574</v>
      </c>
      <c r="I4229"/>
      <c r="J4229"/>
      <c r="K4229"/>
      <c r="L4229"/>
      <c r="M4229"/>
    </row>
    <row r="4230" spans="3:13" hidden="1" outlineLevel="1" x14ac:dyDescent="0.2">
      <c r="C4230" s="139">
        <v>13040</v>
      </c>
      <c r="D4230" s="248">
        <v>13109.911099999699</v>
      </c>
      <c r="E4230" s="248">
        <v>12860.090599999799</v>
      </c>
      <c r="F4230" s="248">
        <v>13088.260699999901</v>
      </c>
      <c r="G4230" s="248">
        <v>13275.905099989401</v>
      </c>
      <c r="H4230" s="248">
        <v>13611.195400000001</v>
      </c>
      <c r="I4230"/>
      <c r="J4230"/>
      <c r="K4230"/>
      <c r="L4230"/>
      <c r="M4230"/>
    </row>
    <row r="4231" spans="3:13" hidden="1" outlineLevel="1" x14ac:dyDescent="0.2">
      <c r="C4231" s="139">
        <v>13050</v>
      </c>
      <c r="D4231" s="248">
        <v>13120.0580999997</v>
      </c>
      <c r="E4231" s="248">
        <v>12869.9525999998</v>
      </c>
      <c r="F4231" s="248">
        <v>13098.297699999899</v>
      </c>
      <c r="G4231" s="248">
        <v>13286.086099989399</v>
      </c>
      <c r="H4231" s="248">
        <v>13621.633400000001</v>
      </c>
      <c r="I4231"/>
      <c r="J4231"/>
      <c r="K4231"/>
      <c r="L4231"/>
      <c r="M4231"/>
    </row>
    <row r="4232" spans="3:13" hidden="1" outlineLevel="1" x14ac:dyDescent="0.2">
      <c r="C4232" s="139">
        <v>13060</v>
      </c>
      <c r="D4232" s="248">
        <v>13130.205099999701</v>
      </c>
      <c r="E4232" s="248">
        <v>12879.8145999998</v>
      </c>
      <c r="F4232" s="248">
        <v>13108.334699999899</v>
      </c>
      <c r="G4232" s="248">
        <v>13296.2670999894</v>
      </c>
      <c r="H4232" s="248">
        <v>13632.071400000001</v>
      </c>
      <c r="I4232"/>
      <c r="J4232"/>
      <c r="K4232"/>
      <c r="L4232"/>
      <c r="M4232"/>
    </row>
    <row r="4233" spans="3:13" hidden="1" outlineLevel="1" x14ac:dyDescent="0.2">
      <c r="C4233" s="139">
        <v>13070</v>
      </c>
      <c r="D4233" s="248">
        <v>13140.3520999997</v>
      </c>
      <c r="E4233" s="248">
        <v>12889.676599999801</v>
      </c>
      <c r="F4233" s="248">
        <v>13118.3716999999</v>
      </c>
      <c r="G4233" s="248">
        <v>13306.4480999894</v>
      </c>
      <c r="H4233" s="248">
        <v>13642.509400000001</v>
      </c>
      <c r="I4233"/>
      <c r="J4233"/>
      <c r="K4233"/>
      <c r="L4233"/>
      <c r="M4233"/>
    </row>
    <row r="4234" spans="3:13" hidden="1" outlineLevel="1" x14ac:dyDescent="0.2">
      <c r="C4234" s="139">
        <v>13080</v>
      </c>
      <c r="D4234" s="248">
        <v>13150.499099999701</v>
      </c>
      <c r="E4234" s="248">
        <v>12899.5385999998</v>
      </c>
      <c r="F4234" s="248">
        <v>13128.4086999999</v>
      </c>
      <c r="G4234" s="248">
        <v>13316.629099989401</v>
      </c>
      <c r="H4234" s="248">
        <v>13652.947399999999</v>
      </c>
      <c r="I4234"/>
      <c r="J4234"/>
      <c r="K4234"/>
      <c r="L4234"/>
      <c r="M4234"/>
    </row>
    <row r="4235" spans="3:13" hidden="1" outlineLevel="1" x14ac:dyDescent="0.2">
      <c r="C4235" s="139">
        <v>13090</v>
      </c>
      <c r="D4235" s="248">
        <v>13160.6460999997</v>
      </c>
      <c r="E4235" s="248">
        <v>12909.400599999801</v>
      </c>
      <c r="F4235" s="248">
        <v>13138.4456999999</v>
      </c>
      <c r="G4235" s="248">
        <v>13326.8100999894</v>
      </c>
      <c r="H4235" s="248">
        <v>13663.385399999999</v>
      </c>
      <c r="I4235"/>
      <c r="J4235"/>
      <c r="K4235"/>
      <c r="L4235"/>
      <c r="M4235"/>
    </row>
    <row r="4236" spans="3:13" hidden="1" outlineLevel="1" x14ac:dyDescent="0.2">
      <c r="C4236" s="139">
        <v>13100</v>
      </c>
      <c r="D4236" s="248">
        <v>13170.793099999701</v>
      </c>
      <c r="E4236" s="248">
        <v>12919.2625999998</v>
      </c>
      <c r="F4236" s="248">
        <v>13148.4826999999</v>
      </c>
      <c r="G4236" s="248">
        <v>13336.9910999894</v>
      </c>
      <c r="H4236" s="248">
        <v>13673.823399999999</v>
      </c>
      <c r="I4236"/>
      <c r="J4236"/>
      <c r="K4236"/>
      <c r="L4236"/>
      <c r="M4236"/>
    </row>
    <row r="4237" spans="3:13" hidden="1" outlineLevel="1" x14ac:dyDescent="0.2">
      <c r="C4237" s="139">
        <v>13110</v>
      </c>
      <c r="D4237" s="248">
        <v>13180.9400999997</v>
      </c>
      <c r="E4237" s="248">
        <v>12929.124599999799</v>
      </c>
      <c r="F4237" s="248">
        <v>13158.519699999901</v>
      </c>
      <c r="G4237" s="248">
        <v>13347.172099989401</v>
      </c>
      <c r="H4237" s="248">
        <v>13684.261399999999</v>
      </c>
      <c r="I4237"/>
      <c r="J4237"/>
      <c r="K4237"/>
      <c r="L4237"/>
      <c r="M4237"/>
    </row>
    <row r="4238" spans="3:13" hidden="1" outlineLevel="1" x14ac:dyDescent="0.2">
      <c r="C4238" s="139">
        <v>13120</v>
      </c>
      <c r="D4238" s="248">
        <v>13191.087099999701</v>
      </c>
      <c r="E4238" s="248">
        <v>12938.9865999998</v>
      </c>
      <c r="F4238" s="248">
        <v>13168.556699999899</v>
      </c>
      <c r="G4238" s="248">
        <v>13357.353099989399</v>
      </c>
      <c r="H4238" s="248">
        <v>13694.6994</v>
      </c>
      <c r="I4238"/>
      <c r="J4238"/>
      <c r="K4238"/>
      <c r="L4238"/>
      <c r="M4238"/>
    </row>
    <row r="4239" spans="3:13" hidden="1" outlineLevel="1" x14ac:dyDescent="0.2">
      <c r="C4239" s="139">
        <v>13130</v>
      </c>
      <c r="D4239" s="248">
        <v>13201.2340999997</v>
      </c>
      <c r="E4239" s="248">
        <v>12948.848599999799</v>
      </c>
      <c r="F4239" s="248">
        <v>13178.593699999899</v>
      </c>
      <c r="G4239" s="248">
        <v>13367.5340999893</v>
      </c>
      <c r="H4239" s="248">
        <v>13705.1374</v>
      </c>
      <c r="I4239"/>
      <c r="J4239"/>
      <c r="K4239"/>
      <c r="L4239"/>
      <c r="M4239"/>
    </row>
    <row r="4240" spans="3:13" hidden="1" outlineLevel="1" x14ac:dyDescent="0.2">
      <c r="C4240" s="139">
        <v>13140</v>
      </c>
      <c r="D4240" s="248">
        <v>13211.3810999997</v>
      </c>
      <c r="E4240" s="248">
        <v>12958.7105999998</v>
      </c>
      <c r="F4240" s="248">
        <v>13188.6306999999</v>
      </c>
      <c r="G4240" s="248">
        <v>13377.7150999893</v>
      </c>
      <c r="H4240" s="248">
        <v>13715.5754</v>
      </c>
      <c r="I4240"/>
      <c r="J4240"/>
      <c r="K4240"/>
      <c r="L4240"/>
      <c r="M4240"/>
    </row>
    <row r="4241" spans="3:13" hidden="1" outlineLevel="1" x14ac:dyDescent="0.2">
      <c r="C4241" s="139">
        <v>13150</v>
      </c>
      <c r="D4241" s="248">
        <v>13221.528099999699</v>
      </c>
      <c r="E4241" s="248">
        <v>12968.572599999799</v>
      </c>
      <c r="F4241" s="248">
        <v>13198.6676999999</v>
      </c>
      <c r="G4241" s="248">
        <v>13387.896099989301</v>
      </c>
      <c r="H4241" s="248">
        <v>13726.0134</v>
      </c>
      <c r="I4241"/>
      <c r="J4241"/>
      <c r="K4241"/>
      <c r="L4241"/>
      <c r="M4241"/>
    </row>
    <row r="4242" spans="3:13" hidden="1" outlineLevel="1" x14ac:dyDescent="0.2">
      <c r="C4242" s="139">
        <v>13160</v>
      </c>
      <c r="D4242" s="248">
        <v>13231.6750999997</v>
      </c>
      <c r="E4242" s="248">
        <v>12978.4345999998</v>
      </c>
      <c r="F4242" s="248">
        <v>13208.7046999999</v>
      </c>
      <c r="G4242" s="248">
        <v>13398.077099989299</v>
      </c>
      <c r="H4242" s="248">
        <v>13736.4514</v>
      </c>
      <c r="I4242"/>
      <c r="J4242"/>
      <c r="K4242"/>
      <c r="L4242"/>
      <c r="M4242"/>
    </row>
    <row r="4243" spans="3:13" hidden="1" outlineLevel="1" x14ac:dyDescent="0.2">
      <c r="C4243" s="139">
        <v>13170</v>
      </c>
      <c r="D4243" s="248">
        <v>13241.822099999699</v>
      </c>
      <c r="E4243" s="248">
        <v>12988.2965999998</v>
      </c>
      <c r="F4243" s="248">
        <v>13218.7416999999</v>
      </c>
      <c r="G4243" s="248">
        <v>13408.2580999893</v>
      </c>
      <c r="H4243" s="248">
        <v>13746.8894</v>
      </c>
      <c r="I4243"/>
      <c r="J4243"/>
      <c r="K4243"/>
      <c r="L4243"/>
      <c r="M4243"/>
    </row>
    <row r="4244" spans="3:13" hidden="1" outlineLevel="1" x14ac:dyDescent="0.2">
      <c r="C4244" s="139">
        <v>13180</v>
      </c>
      <c r="D4244" s="248">
        <v>13251.9690999997</v>
      </c>
      <c r="E4244" s="248">
        <v>12998.158599999801</v>
      </c>
      <c r="F4244" s="248">
        <v>13228.778699999901</v>
      </c>
      <c r="G4244" s="248">
        <v>13418.4390999893</v>
      </c>
      <c r="H4244" s="248">
        <v>13757.3274</v>
      </c>
      <c r="I4244"/>
      <c r="J4244"/>
      <c r="K4244"/>
      <c r="L4244"/>
      <c r="M4244"/>
    </row>
    <row r="4245" spans="3:13" hidden="1" outlineLevel="1" x14ac:dyDescent="0.2">
      <c r="C4245" s="139">
        <v>13190</v>
      </c>
      <c r="D4245" s="248">
        <v>13262.116099999699</v>
      </c>
      <c r="E4245" s="248">
        <v>13008.0205999998</v>
      </c>
      <c r="F4245" s="248">
        <v>13238.815699999899</v>
      </c>
      <c r="G4245" s="248">
        <v>13428.620099989301</v>
      </c>
      <c r="H4245" s="248">
        <v>13767.7654</v>
      </c>
      <c r="I4245"/>
      <c r="J4245"/>
      <c r="K4245"/>
      <c r="L4245"/>
      <c r="M4245"/>
    </row>
    <row r="4246" spans="3:13" hidden="1" outlineLevel="1" x14ac:dyDescent="0.2">
      <c r="C4246" s="139">
        <v>13200</v>
      </c>
      <c r="D4246" s="248">
        <v>13272.2630999997</v>
      </c>
      <c r="E4246" s="248">
        <v>13017.882599999801</v>
      </c>
      <c r="F4246" s="248">
        <v>13248.852699999899</v>
      </c>
      <c r="G4246" s="248">
        <v>13438.801099989299</v>
      </c>
      <c r="H4246" s="248">
        <v>13778.2034</v>
      </c>
      <c r="I4246"/>
      <c r="J4246"/>
      <c r="K4246"/>
      <c r="L4246"/>
      <c r="M4246"/>
    </row>
    <row r="4247" spans="3:13" hidden="1" outlineLevel="1" x14ac:dyDescent="0.2">
      <c r="C4247" s="139">
        <v>13210</v>
      </c>
      <c r="D4247" s="248">
        <v>13282.410099999701</v>
      </c>
      <c r="E4247" s="248">
        <v>13027.7445999998</v>
      </c>
      <c r="F4247" s="248">
        <v>13258.8896999999</v>
      </c>
      <c r="G4247" s="248">
        <v>13448.9820999893</v>
      </c>
      <c r="H4247" s="248">
        <v>13788.6414</v>
      </c>
      <c r="I4247"/>
      <c r="J4247"/>
      <c r="K4247"/>
      <c r="L4247"/>
      <c r="M4247"/>
    </row>
    <row r="4248" spans="3:13" hidden="1" outlineLevel="1" x14ac:dyDescent="0.2">
      <c r="C4248" s="139">
        <v>13220</v>
      </c>
      <c r="D4248" s="248">
        <v>13292.5570999997</v>
      </c>
      <c r="E4248" s="248">
        <v>13037.606599999801</v>
      </c>
      <c r="F4248" s="248">
        <v>13268.9266999999</v>
      </c>
      <c r="G4248" s="248">
        <v>13459.1630999893</v>
      </c>
      <c r="H4248" s="248">
        <v>13799.079400000001</v>
      </c>
      <c r="I4248"/>
      <c r="J4248"/>
      <c r="K4248"/>
      <c r="L4248"/>
      <c r="M4248"/>
    </row>
    <row r="4249" spans="3:13" hidden="1" outlineLevel="1" x14ac:dyDescent="0.2">
      <c r="C4249" s="139">
        <v>13230</v>
      </c>
      <c r="D4249" s="248">
        <v>13302.704099999701</v>
      </c>
      <c r="E4249" s="248">
        <v>13047.4685999998</v>
      </c>
      <c r="F4249" s="248">
        <v>13278.9636999999</v>
      </c>
      <c r="G4249" s="248">
        <v>13469.344099989199</v>
      </c>
      <c r="H4249" s="248">
        <v>13809.517400000001</v>
      </c>
      <c r="I4249"/>
      <c r="J4249"/>
      <c r="K4249"/>
      <c r="L4249"/>
      <c r="M4249"/>
    </row>
    <row r="4250" spans="3:13" hidden="1" outlineLevel="1" x14ac:dyDescent="0.2">
      <c r="C4250" s="139">
        <v>13240</v>
      </c>
      <c r="D4250" s="248">
        <v>13312.8510999997</v>
      </c>
      <c r="E4250" s="248">
        <v>13057.330599999799</v>
      </c>
      <c r="F4250" s="248">
        <v>13289.0006999999</v>
      </c>
      <c r="G4250" s="248">
        <v>13479.5250999892</v>
      </c>
      <c r="H4250" s="248">
        <v>13819.955400000001</v>
      </c>
      <c r="I4250"/>
      <c r="J4250"/>
      <c r="K4250"/>
      <c r="L4250"/>
      <c r="M4250"/>
    </row>
    <row r="4251" spans="3:13" hidden="1" outlineLevel="1" x14ac:dyDescent="0.2">
      <c r="C4251" s="139">
        <v>13250</v>
      </c>
      <c r="D4251" s="248">
        <v>13322.998099999701</v>
      </c>
      <c r="E4251" s="248">
        <v>13067.1925999998</v>
      </c>
      <c r="F4251" s="248">
        <v>13299.037699999901</v>
      </c>
      <c r="G4251" s="248">
        <v>13489.7060999892</v>
      </c>
      <c r="H4251" s="248">
        <v>13830.393400000001</v>
      </c>
      <c r="I4251"/>
      <c r="J4251"/>
      <c r="K4251"/>
      <c r="L4251"/>
      <c r="M4251"/>
    </row>
    <row r="4252" spans="3:13" hidden="1" outlineLevel="1" x14ac:dyDescent="0.2">
      <c r="C4252" s="139">
        <v>13260</v>
      </c>
      <c r="D4252" s="248">
        <v>13333.1450999997</v>
      </c>
      <c r="E4252" s="248">
        <v>13077.054599999799</v>
      </c>
      <c r="F4252" s="248">
        <v>13309.074699999899</v>
      </c>
      <c r="G4252" s="248">
        <v>13499.887099989201</v>
      </c>
      <c r="H4252" s="248">
        <v>13840.831399999999</v>
      </c>
      <c r="I4252"/>
      <c r="J4252"/>
      <c r="K4252"/>
      <c r="L4252"/>
      <c r="M4252"/>
    </row>
    <row r="4253" spans="3:13" hidden="1" outlineLevel="1" x14ac:dyDescent="0.2">
      <c r="C4253" s="139">
        <v>13270</v>
      </c>
      <c r="D4253" s="248">
        <v>13343.2920999997</v>
      </c>
      <c r="E4253" s="248">
        <v>13086.9165999998</v>
      </c>
      <c r="F4253" s="248">
        <v>13319.111699999899</v>
      </c>
      <c r="G4253" s="248">
        <v>13510.068099989199</v>
      </c>
      <c r="H4253" s="248">
        <v>13851.269399999999</v>
      </c>
      <c r="I4253"/>
      <c r="J4253"/>
      <c r="K4253"/>
      <c r="L4253"/>
      <c r="M4253"/>
    </row>
    <row r="4254" spans="3:13" hidden="1" outlineLevel="1" x14ac:dyDescent="0.2">
      <c r="C4254" s="139">
        <v>13280</v>
      </c>
      <c r="D4254" s="248">
        <v>13353.439099999699</v>
      </c>
      <c r="E4254" s="248">
        <v>13096.7785999998</v>
      </c>
      <c r="F4254" s="248">
        <v>13329.1486999999</v>
      </c>
      <c r="G4254" s="248">
        <v>13520.2490999892</v>
      </c>
      <c r="H4254" s="248">
        <v>13861.707399999999</v>
      </c>
      <c r="I4254"/>
      <c r="J4254"/>
      <c r="K4254"/>
      <c r="L4254"/>
      <c r="M4254"/>
    </row>
    <row r="4255" spans="3:13" hidden="1" outlineLevel="1" x14ac:dyDescent="0.2">
      <c r="C4255" s="139">
        <v>13290</v>
      </c>
      <c r="D4255" s="248">
        <v>13363.5860999997</v>
      </c>
      <c r="E4255" s="248">
        <v>13106.640599999801</v>
      </c>
      <c r="F4255" s="248">
        <v>13339.1856999999</v>
      </c>
      <c r="G4255" s="248">
        <v>13530.4300999892</v>
      </c>
      <c r="H4255" s="248">
        <v>13872.145399999999</v>
      </c>
      <c r="I4255"/>
      <c r="J4255"/>
      <c r="K4255"/>
      <c r="L4255"/>
      <c r="M4255"/>
    </row>
    <row r="4256" spans="3:13" hidden="1" outlineLevel="1" x14ac:dyDescent="0.2">
      <c r="C4256" s="139">
        <v>13300</v>
      </c>
      <c r="D4256" s="248">
        <v>13373.733099999699</v>
      </c>
      <c r="E4256" s="248">
        <v>13116.5025999998</v>
      </c>
      <c r="F4256" s="248">
        <v>13349.2226999999</v>
      </c>
      <c r="G4256" s="248">
        <v>13540.611099989201</v>
      </c>
      <c r="H4256" s="248">
        <v>13882.5834</v>
      </c>
      <c r="I4256"/>
      <c r="J4256"/>
      <c r="K4256"/>
      <c r="L4256"/>
      <c r="M4256"/>
    </row>
    <row r="4257" spans="3:13" hidden="1" outlineLevel="1" x14ac:dyDescent="0.2">
      <c r="C4257" s="139">
        <v>13310</v>
      </c>
      <c r="D4257" s="248">
        <v>13383.8800999997</v>
      </c>
      <c r="E4257" s="248">
        <v>13126.364599999801</v>
      </c>
      <c r="F4257" s="248">
        <v>13359.2596999999</v>
      </c>
      <c r="G4257" s="248">
        <v>13550.792099989199</v>
      </c>
      <c r="H4257" s="248">
        <v>13893.0214</v>
      </c>
      <c r="I4257"/>
      <c r="J4257"/>
      <c r="K4257"/>
      <c r="L4257"/>
      <c r="M4257"/>
    </row>
    <row r="4258" spans="3:13" hidden="1" outlineLevel="1" x14ac:dyDescent="0.2">
      <c r="C4258" s="139">
        <v>13320</v>
      </c>
      <c r="D4258" s="248">
        <v>13394.027099999699</v>
      </c>
      <c r="E4258" s="248">
        <v>13136.2265999998</v>
      </c>
      <c r="F4258" s="248">
        <v>13369.296699999901</v>
      </c>
      <c r="G4258" s="248">
        <v>13560.9730999891</v>
      </c>
      <c r="H4258" s="248">
        <v>13903.4594</v>
      </c>
      <c r="I4258"/>
      <c r="J4258"/>
      <c r="K4258"/>
      <c r="L4258"/>
      <c r="M4258"/>
    </row>
    <row r="4259" spans="3:13" hidden="1" outlineLevel="1" x14ac:dyDescent="0.2">
      <c r="C4259" s="139">
        <v>13330</v>
      </c>
      <c r="D4259" s="248">
        <v>13404.1740999997</v>
      </c>
      <c r="E4259" s="248">
        <v>13146.088599999801</v>
      </c>
      <c r="F4259" s="248">
        <v>13379.333699999899</v>
      </c>
      <c r="G4259" s="248">
        <v>13571.1540999891</v>
      </c>
      <c r="H4259" s="248">
        <v>13913.8974</v>
      </c>
      <c r="I4259"/>
      <c r="J4259"/>
      <c r="K4259"/>
      <c r="L4259"/>
      <c r="M4259"/>
    </row>
    <row r="4260" spans="3:13" hidden="1" outlineLevel="1" x14ac:dyDescent="0.2">
      <c r="C4260" s="139">
        <v>13340</v>
      </c>
      <c r="D4260" s="248">
        <v>13414.321099999701</v>
      </c>
      <c r="E4260" s="248">
        <v>13155.9505999998</v>
      </c>
      <c r="F4260" s="248">
        <v>13389.370699999899</v>
      </c>
      <c r="G4260" s="248">
        <v>13581.335099989101</v>
      </c>
      <c r="H4260" s="248">
        <v>13924.3354</v>
      </c>
      <c r="I4260"/>
      <c r="J4260"/>
      <c r="K4260"/>
      <c r="L4260"/>
      <c r="M4260"/>
    </row>
    <row r="4261" spans="3:13" hidden="1" outlineLevel="1" x14ac:dyDescent="0.2">
      <c r="C4261" s="139">
        <v>13350</v>
      </c>
      <c r="D4261" s="248">
        <v>13424.4680999997</v>
      </c>
      <c r="E4261" s="248">
        <v>13165.812599999799</v>
      </c>
      <c r="F4261" s="248">
        <v>13399.4076999999</v>
      </c>
      <c r="G4261" s="248">
        <v>13591.5160999891</v>
      </c>
      <c r="H4261" s="248">
        <v>13934.7734</v>
      </c>
      <c r="I4261"/>
      <c r="J4261"/>
      <c r="K4261"/>
      <c r="L4261"/>
      <c r="M4261"/>
    </row>
    <row r="4262" spans="3:13" hidden="1" outlineLevel="1" x14ac:dyDescent="0.2">
      <c r="C4262" s="139">
        <v>13360</v>
      </c>
      <c r="D4262" s="248">
        <v>13434.615099999701</v>
      </c>
      <c r="E4262" s="248">
        <v>13175.6745999998</v>
      </c>
      <c r="F4262" s="248">
        <v>13409.4446999999</v>
      </c>
      <c r="G4262" s="248">
        <v>13601.6970999891</v>
      </c>
      <c r="H4262" s="248">
        <v>13945.2114</v>
      </c>
      <c r="I4262"/>
      <c r="J4262"/>
      <c r="K4262"/>
      <c r="L4262"/>
      <c r="M4262"/>
    </row>
    <row r="4263" spans="3:13" hidden="1" outlineLevel="1" x14ac:dyDescent="0.2">
      <c r="C4263" s="139">
        <v>13370</v>
      </c>
      <c r="D4263" s="248">
        <v>13444.7620999997</v>
      </c>
      <c r="E4263" s="248">
        <v>13185.536599999799</v>
      </c>
      <c r="F4263" s="248">
        <v>13419.4816999999</v>
      </c>
      <c r="G4263" s="248">
        <v>13611.878099989101</v>
      </c>
      <c r="H4263" s="248">
        <v>13955.6494</v>
      </c>
      <c r="I4263"/>
      <c r="J4263"/>
      <c r="K4263"/>
      <c r="L4263"/>
      <c r="M4263"/>
    </row>
    <row r="4264" spans="3:13" hidden="1" outlineLevel="1" x14ac:dyDescent="0.2">
      <c r="C4264" s="139">
        <v>13380</v>
      </c>
      <c r="D4264" s="248">
        <v>13454.909099999701</v>
      </c>
      <c r="E4264" s="248">
        <v>13195.3985999998</v>
      </c>
      <c r="F4264" s="248">
        <v>13429.5186999999</v>
      </c>
      <c r="G4264" s="248">
        <v>13622.059099989099</v>
      </c>
      <c r="H4264" s="248">
        <v>13966.0874</v>
      </c>
      <c r="I4264"/>
      <c r="J4264"/>
      <c r="K4264"/>
      <c r="L4264"/>
      <c r="M4264"/>
    </row>
    <row r="4265" spans="3:13" hidden="1" outlineLevel="1" x14ac:dyDescent="0.2">
      <c r="C4265" s="139">
        <v>13390</v>
      </c>
      <c r="D4265" s="248">
        <v>13465.0560999997</v>
      </c>
      <c r="E4265" s="248">
        <v>13205.2605999998</v>
      </c>
      <c r="F4265" s="248">
        <v>13439.555699999901</v>
      </c>
      <c r="G4265" s="248">
        <v>13632.2400999891</v>
      </c>
      <c r="H4265" s="248">
        <v>13976.5254</v>
      </c>
      <c r="I4265"/>
      <c r="J4265"/>
      <c r="K4265"/>
      <c r="L4265"/>
      <c r="M4265"/>
    </row>
    <row r="4266" spans="3:13" hidden="1" outlineLevel="1" x14ac:dyDescent="0.2">
      <c r="C4266" s="139">
        <v>13400</v>
      </c>
      <c r="D4266" s="248">
        <v>13475.2030999997</v>
      </c>
      <c r="E4266" s="248">
        <v>13215.122599999801</v>
      </c>
      <c r="F4266" s="248">
        <v>13449.592699999899</v>
      </c>
      <c r="G4266" s="248">
        <v>13642.4210999891</v>
      </c>
      <c r="H4266" s="248">
        <v>13986.963400000001</v>
      </c>
      <c r="I4266"/>
      <c r="J4266"/>
      <c r="K4266"/>
      <c r="L4266"/>
      <c r="M4266"/>
    </row>
    <row r="4267" spans="3:13" hidden="1" outlineLevel="1" x14ac:dyDescent="0.2">
      <c r="C4267" s="139">
        <v>13410</v>
      </c>
      <c r="D4267" s="248">
        <v>13485.3500999997</v>
      </c>
      <c r="E4267" s="248">
        <v>13224.9845999998</v>
      </c>
      <c r="F4267" s="248">
        <v>13459.629699999899</v>
      </c>
      <c r="G4267" s="248">
        <v>13652.602099989101</v>
      </c>
      <c r="H4267" s="248">
        <v>13997.401400000001</v>
      </c>
      <c r="I4267"/>
      <c r="J4267"/>
      <c r="K4267"/>
      <c r="L4267"/>
      <c r="M4267"/>
    </row>
    <row r="4268" spans="3:13" hidden="1" outlineLevel="1" x14ac:dyDescent="0.2">
      <c r="C4268" s="139">
        <v>13420</v>
      </c>
      <c r="D4268" s="248">
        <v>13495.4970999997</v>
      </c>
      <c r="E4268" s="248">
        <v>13234.846599999801</v>
      </c>
      <c r="F4268" s="248">
        <v>13469.6666999999</v>
      </c>
      <c r="G4268" s="248">
        <v>13662.783099988999</v>
      </c>
      <c r="H4268" s="248">
        <v>14007.839400000001</v>
      </c>
      <c r="I4268"/>
      <c r="J4268"/>
      <c r="K4268"/>
      <c r="L4268"/>
      <c r="M4268"/>
    </row>
    <row r="4269" spans="3:13" hidden="1" outlineLevel="1" x14ac:dyDescent="0.2">
      <c r="C4269" s="139">
        <v>13430</v>
      </c>
      <c r="D4269" s="248">
        <v>13505.644099999699</v>
      </c>
      <c r="E4269" s="248">
        <v>13244.7085999998</v>
      </c>
      <c r="F4269" s="248">
        <v>13479.7036999999</v>
      </c>
      <c r="G4269" s="248">
        <v>13672.964099989</v>
      </c>
      <c r="H4269" s="248">
        <v>14018.277400000001</v>
      </c>
      <c r="I4269"/>
      <c r="J4269"/>
      <c r="K4269"/>
      <c r="L4269"/>
      <c r="M4269"/>
    </row>
    <row r="4270" spans="3:13" hidden="1" outlineLevel="1" x14ac:dyDescent="0.2">
      <c r="C4270" s="139">
        <v>13440</v>
      </c>
      <c r="D4270" s="248">
        <v>13515.7910999997</v>
      </c>
      <c r="E4270" s="248">
        <v>13254.570599999801</v>
      </c>
      <c r="F4270" s="248">
        <v>13489.7406999999</v>
      </c>
      <c r="G4270" s="248">
        <v>13683.145099989</v>
      </c>
      <c r="H4270" s="248">
        <v>14028.715399999999</v>
      </c>
      <c r="I4270"/>
      <c r="J4270"/>
      <c r="K4270"/>
      <c r="L4270"/>
      <c r="M4270"/>
    </row>
    <row r="4271" spans="3:13" hidden="1" outlineLevel="1" x14ac:dyDescent="0.2">
      <c r="C4271" s="139">
        <v>13450</v>
      </c>
      <c r="D4271" s="248">
        <v>13525.938099999699</v>
      </c>
      <c r="E4271" s="248">
        <v>13264.4325999998</v>
      </c>
      <c r="F4271" s="248">
        <v>13499.777699999901</v>
      </c>
      <c r="G4271" s="248">
        <v>13693.326099989001</v>
      </c>
      <c r="H4271" s="248">
        <v>14039.153399999999</v>
      </c>
      <c r="I4271"/>
      <c r="J4271"/>
      <c r="K4271"/>
      <c r="L4271"/>
      <c r="M4271"/>
    </row>
    <row r="4272" spans="3:13" hidden="1" outlineLevel="1" x14ac:dyDescent="0.2">
      <c r="C4272" s="139">
        <v>13460</v>
      </c>
      <c r="D4272" s="248">
        <v>13536.0850999997</v>
      </c>
      <c r="E4272" s="248">
        <v>13274.294599999799</v>
      </c>
      <c r="F4272" s="248">
        <v>13509.814699999901</v>
      </c>
      <c r="G4272" s="248">
        <v>13703.507099988999</v>
      </c>
      <c r="H4272" s="248">
        <v>14049.591399999999</v>
      </c>
      <c r="I4272"/>
      <c r="J4272"/>
      <c r="K4272"/>
      <c r="L4272"/>
      <c r="M4272"/>
    </row>
    <row r="4273" spans="3:13" hidden="1" outlineLevel="1" x14ac:dyDescent="0.2">
      <c r="C4273" s="139">
        <v>13470</v>
      </c>
      <c r="D4273" s="248">
        <v>13546.232099999699</v>
      </c>
      <c r="E4273" s="248">
        <v>13284.1565999998</v>
      </c>
      <c r="F4273" s="248">
        <v>13519.851699999899</v>
      </c>
      <c r="G4273" s="248">
        <v>13713.688099989</v>
      </c>
      <c r="H4273" s="248">
        <v>14060.029399999999</v>
      </c>
      <c r="I4273"/>
      <c r="J4273"/>
      <c r="K4273"/>
      <c r="L4273"/>
      <c r="M4273"/>
    </row>
    <row r="4274" spans="3:13" hidden="1" outlineLevel="1" x14ac:dyDescent="0.2">
      <c r="C4274" s="139">
        <v>13480</v>
      </c>
      <c r="D4274" s="248">
        <v>13556.3790999997</v>
      </c>
      <c r="E4274" s="248">
        <v>13294.018599999799</v>
      </c>
      <c r="F4274" s="248">
        <v>13529.888699999899</v>
      </c>
      <c r="G4274" s="248">
        <v>13723.869099989</v>
      </c>
      <c r="H4274" s="248">
        <v>14070.4674</v>
      </c>
      <c r="I4274"/>
      <c r="J4274"/>
      <c r="K4274"/>
      <c r="L4274"/>
      <c r="M4274"/>
    </row>
    <row r="4275" spans="3:13" hidden="1" outlineLevel="1" x14ac:dyDescent="0.2">
      <c r="C4275" s="139">
        <v>13490</v>
      </c>
      <c r="D4275" s="248">
        <v>13566.526099999701</v>
      </c>
      <c r="E4275" s="248">
        <v>13303.8805999998</v>
      </c>
      <c r="F4275" s="248">
        <v>13539.9256999999</v>
      </c>
      <c r="G4275" s="248">
        <v>13734.050099988999</v>
      </c>
      <c r="H4275" s="248">
        <v>14080.9054</v>
      </c>
      <c r="I4275"/>
      <c r="J4275"/>
      <c r="K4275"/>
      <c r="L4275"/>
      <c r="M4275"/>
    </row>
    <row r="4276" spans="3:13" hidden="1" outlineLevel="1" x14ac:dyDescent="0.2">
      <c r="C4276" s="139">
        <v>13500</v>
      </c>
      <c r="D4276" s="248">
        <v>13576.6730999997</v>
      </c>
      <c r="E4276" s="248">
        <v>13313.742599999799</v>
      </c>
      <c r="F4276" s="248">
        <v>13549.9626999999</v>
      </c>
      <c r="G4276" s="248">
        <v>13744.231099989</v>
      </c>
      <c r="H4276" s="248">
        <v>14091.3434</v>
      </c>
      <c r="I4276"/>
      <c r="J4276"/>
      <c r="K4276"/>
      <c r="L4276"/>
      <c r="M4276"/>
    </row>
    <row r="4277" spans="3:13" hidden="1" outlineLevel="1" x14ac:dyDescent="0.2">
      <c r="C4277" s="139">
        <v>13510</v>
      </c>
      <c r="D4277" s="248">
        <v>13586.820099999701</v>
      </c>
      <c r="E4277" s="248">
        <v>13323.6045999998</v>
      </c>
      <c r="F4277" s="248">
        <v>13559.9996999999</v>
      </c>
      <c r="G4277" s="248">
        <v>13754.4120999889</v>
      </c>
      <c r="H4277" s="248">
        <v>14101.7814</v>
      </c>
      <c r="I4277"/>
      <c r="J4277"/>
      <c r="K4277"/>
      <c r="L4277"/>
      <c r="M4277"/>
    </row>
    <row r="4278" spans="3:13" hidden="1" outlineLevel="1" x14ac:dyDescent="0.2">
      <c r="C4278" s="139">
        <v>13520</v>
      </c>
      <c r="D4278" s="248">
        <v>13596.9670999997</v>
      </c>
      <c r="E4278" s="248">
        <v>13333.4665999998</v>
      </c>
      <c r="F4278" s="248">
        <v>13570.036699999901</v>
      </c>
      <c r="G4278" s="248">
        <v>13764.593099988901</v>
      </c>
      <c r="H4278" s="248">
        <v>14112.2194</v>
      </c>
      <c r="I4278"/>
      <c r="J4278"/>
      <c r="K4278"/>
      <c r="L4278"/>
      <c r="M4278"/>
    </row>
    <row r="4279" spans="3:13" hidden="1" outlineLevel="1" x14ac:dyDescent="0.2">
      <c r="C4279" s="139">
        <v>13530</v>
      </c>
      <c r="D4279" s="248">
        <v>13607.114099999701</v>
      </c>
      <c r="E4279" s="248">
        <v>13343.328599999801</v>
      </c>
      <c r="F4279" s="248">
        <v>13580.073699999901</v>
      </c>
      <c r="G4279" s="248">
        <v>13774.774099988899</v>
      </c>
      <c r="H4279" s="248">
        <v>14122.6574</v>
      </c>
      <c r="I4279"/>
      <c r="J4279"/>
      <c r="K4279"/>
      <c r="L4279"/>
      <c r="M4279"/>
    </row>
    <row r="4280" spans="3:13" hidden="1" outlineLevel="1" x14ac:dyDescent="0.2">
      <c r="C4280" s="139">
        <v>13540</v>
      </c>
      <c r="D4280" s="248">
        <v>13617.2610999997</v>
      </c>
      <c r="E4280" s="248">
        <v>13353.1905999998</v>
      </c>
      <c r="F4280" s="248">
        <v>13590.110699999899</v>
      </c>
      <c r="G4280" s="248">
        <v>13784.9550999889</v>
      </c>
      <c r="H4280" s="248">
        <v>14133.0954</v>
      </c>
      <c r="I4280"/>
      <c r="J4280"/>
      <c r="K4280"/>
      <c r="L4280"/>
      <c r="M4280"/>
    </row>
    <row r="4281" spans="3:13" hidden="1" outlineLevel="1" x14ac:dyDescent="0.2">
      <c r="C4281" s="139">
        <v>13550</v>
      </c>
      <c r="D4281" s="248">
        <v>13627.4080999997</v>
      </c>
      <c r="E4281" s="248">
        <v>13363.052599999801</v>
      </c>
      <c r="F4281" s="248">
        <v>13600.147699999899</v>
      </c>
      <c r="G4281" s="248">
        <v>13795.1360999889</v>
      </c>
      <c r="H4281" s="248">
        <v>14143.5334</v>
      </c>
      <c r="I4281"/>
      <c r="J4281"/>
      <c r="K4281"/>
      <c r="L4281"/>
      <c r="M4281"/>
    </row>
    <row r="4282" spans="3:13" hidden="1" outlineLevel="1" x14ac:dyDescent="0.2">
      <c r="C4282" s="139">
        <v>13560</v>
      </c>
      <c r="D4282" s="248">
        <v>13637.555099999699</v>
      </c>
      <c r="E4282" s="248">
        <v>13372.9145999998</v>
      </c>
      <c r="F4282" s="248">
        <v>13610.1846999999</v>
      </c>
      <c r="G4282" s="248">
        <v>13805.317099988901</v>
      </c>
      <c r="H4282" s="248">
        <v>14153.9714</v>
      </c>
      <c r="I4282"/>
      <c r="J4282"/>
      <c r="K4282"/>
      <c r="L4282"/>
      <c r="M4282"/>
    </row>
    <row r="4283" spans="3:13" hidden="1" outlineLevel="1" x14ac:dyDescent="0.2">
      <c r="C4283" s="139">
        <v>13570</v>
      </c>
      <c r="D4283" s="248">
        <v>13647.7020999997</v>
      </c>
      <c r="E4283" s="248">
        <v>13382.776599999799</v>
      </c>
      <c r="F4283" s="248">
        <v>13620.2216999999</v>
      </c>
      <c r="G4283" s="248">
        <v>13815.498099988899</v>
      </c>
      <c r="H4283" s="248">
        <v>14164.4094</v>
      </c>
      <c r="I4283"/>
      <c r="J4283"/>
      <c r="K4283"/>
      <c r="L4283"/>
      <c r="M4283"/>
    </row>
    <row r="4284" spans="3:13" hidden="1" outlineLevel="1" x14ac:dyDescent="0.2">
      <c r="C4284" s="139">
        <v>13580</v>
      </c>
      <c r="D4284" s="248">
        <v>13657.849099999699</v>
      </c>
      <c r="E4284" s="248">
        <v>13392.6385999998</v>
      </c>
      <c r="F4284" s="248">
        <v>13630.2586999999</v>
      </c>
      <c r="G4284" s="248">
        <v>13825.6790999889</v>
      </c>
      <c r="H4284" s="248">
        <v>14174.847400000001</v>
      </c>
      <c r="I4284"/>
      <c r="J4284"/>
      <c r="K4284"/>
      <c r="L4284"/>
      <c r="M4284"/>
    </row>
    <row r="4285" spans="3:13" hidden="1" outlineLevel="1" x14ac:dyDescent="0.2">
      <c r="C4285" s="139">
        <v>13590</v>
      </c>
      <c r="D4285" s="248">
        <v>13667.9960999997</v>
      </c>
      <c r="E4285" s="248">
        <v>13402.500599999799</v>
      </c>
      <c r="F4285" s="248">
        <v>13640.295699999901</v>
      </c>
      <c r="G4285" s="248">
        <v>13835.8600999889</v>
      </c>
      <c r="H4285" s="248">
        <v>14185.285400000001</v>
      </c>
      <c r="I4285"/>
      <c r="J4285"/>
      <c r="K4285"/>
      <c r="L4285"/>
      <c r="M4285"/>
    </row>
    <row r="4286" spans="3:13" hidden="1" outlineLevel="1" x14ac:dyDescent="0.2">
      <c r="C4286" s="139">
        <v>13600</v>
      </c>
      <c r="D4286" s="248">
        <v>13678.143099999699</v>
      </c>
      <c r="E4286" s="248">
        <v>13412.3625999998</v>
      </c>
      <c r="F4286" s="248">
        <v>13650.332699999901</v>
      </c>
      <c r="G4286" s="248">
        <v>13846.041099988901</v>
      </c>
      <c r="H4286" s="248">
        <v>14195.723400000001</v>
      </c>
      <c r="I4286"/>
      <c r="J4286"/>
      <c r="K4286"/>
      <c r="L4286"/>
      <c r="M4286"/>
    </row>
    <row r="4287" spans="3:13" hidden="1" outlineLevel="1" x14ac:dyDescent="0.2">
      <c r="C4287" s="139">
        <v>13610</v>
      </c>
      <c r="D4287" s="248">
        <v>13688.2900999997</v>
      </c>
      <c r="E4287" s="248">
        <v>13422.224599999799</v>
      </c>
      <c r="F4287" s="248">
        <v>13660.369699999899</v>
      </c>
      <c r="G4287" s="248">
        <v>13856.2220999888</v>
      </c>
      <c r="H4287" s="248">
        <v>14206.161400000001</v>
      </c>
      <c r="I4287"/>
      <c r="J4287"/>
      <c r="K4287"/>
      <c r="L4287"/>
      <c r="M4287"/>
    </row>
    <row r="4288" spans="3:13" hidden="1" outlineLevel="1" x14ac:dyDescent="0.2">
      <c r="C4288" s="139">
        <v>13620</v>
      </c>
      <c r="D4288" s="248">
        <v>13698.437099999701</v>
      </c>
      <c r="E4288" s="248">
        <v>13432.0865999998</v>
      </c>
      <c r="F4288" s="248">
        <v>13670.4066999999</v>
      </c>
      <c r="G4288" s="248">
        <v>13866.4030999888</v>
      </c>
      <c r="H4288" s="248">
        <v>14216.599399999999</v>
      </c>
      <c r="I4288"/>
      <c r="J4288"/>
      <c r="K4288"/>
      <c r="L4288"/>
      <c r="M4288"/>
    </row>
    <row r="4289" spans="3:13" hidden="1" outlineLevel="1" x14ac:dyDescent="0.2">
      <c r="C4289" s="139">
        <v>13630</v>
      </c>
      <c r="D4289" s="248">
        <v>13708.5840999997</v>
      </c>
      <c r="E4289" s="248">
        <v>13441.9485999998</v>
      </c>
      <c r="F4289" s="248">
        <v>13680.4436999999</v>
      </c>
      <c r="G4289" s="248">
        <v>13876.584099988801</v>
      </c>
      <c r="H4289" s="248">
        <v>14227.037399999999</v>
      </c>
      <c r="I4289"/>
      <c r="J4289"/>
      <c r="K4289"/>
      <c r="L4289"/>
      <c r="M4289"/>
    </row>
    <row r="4290" spans="3:13" hidden="1" outlineLevel="1" x14ac:dyDescent="0.2">
      <c r="C4290" s="139">
        <v>13640</v>
      </c>
      <c r="D4290" s="248">
        <v>13718.731099999701</v>
      </c>
      <c r="E4290" s="248">
        <v>13451.810599999801</v>
      </c>
      <c r="F4290" s="248">
        <v>13690.4806999999</v>
      </c>
      <c r="G4290" s="248">
        <v>13886.765099988799</v>
      </c>
      <c r="H4290" s="248">
        <v>14237.475399999999</v>
      </c>
      <c r="I4290"/>
      <c r="J4290"/>
      <c r="K4290"/>
      <c r="L4290"/>
      <c r="M4290"/>
    </row>
    <row r="4291" spans="3:13" hidden="1" outlineLevel="1" x14ac:dyDescent="0.2">
      <c r="C4291" s="139">
        <v>13650</v>
      </c>
      <c r="D4291" s="248">
        <v>13728.8780999997</v>
      </c>
      <c r="E4291" s="248">
        <v>13461.6725999998</v>
      </c>
      <c r="F4291" s="248">
        <v>13700.5176999999</v>
      </c>
      <c r="G4291" s="248">
        <v>13896.9460999888</v>
      </c>
      <c r="H4291" s="248">
        <v>14247.913399999999</v>
      </c>
      <c r="I4291"/>
      <c r="J4291"/>
      <c r="K4291"/>
      <c r="L4291"/>
      <c r="M4291"/>
    </row>
    <row r="4292" spans="3:13" hidden="1" outlineLevel="1" x14ac:dyDescent="0.2">
      <c r="C4292" s="139">
        <v>13660</v>
      </c>
      <c r="D4292" s="248">
        <v>13739.025099999701</v>
      </c>
      <c r="E4292" s="248">
        <v>13471.534599999801</v>
      </c>
      <c r="F4292" s="248">
        <v>13710.554699999901</v>
      </c>
      <c r="G4292" s="248">
        <v>13907.1270999888</v>
      </c>
      <c r="H4292" s="248">
        <v>14258.3514</v>
      </c>
      <c r="I4292"/>
      <c r="J4292"/>
      <c r="K4292"/>
      <c r="L4292"/>
      <c r="M4292"/>
    </row>
    <row r="4293" spans="3:13" hidden="1" outlineLevel="1" x14ac:dyDescent="0.2">
      <c r="C4293" s="139">
        <v>13670</v>
      </c>
      <c r="D4293" s="248">
        <v>13749.1720999997</v>
      </c>
      <c r="E4293" s="248">
        <v>13481.3965999998</v>
      </c>
      <c r="F4293" s="248">
        <v>13720.591699999901</v>
      </c>
      <c r="G4293" s="248">
        <v>13917.308099988801</v>
      </c>
      <c r="H4293" s="248">
        <v>14268.7894</v>
      </c>
      <c r="I4293"/>
      <c r="J4293"/>
      <c r="K4293"/>
      <c r="L4293"/>
      <c r="M4293"/>
    </row>
    <row r="4294" spans="3:13" hidden="1" outlineLevel="1" x14ac:dyDescent="0.2">
      <c r="C4294" s="139">
        <v>13680</v>
      </c>
      <c r="D4294" s="248">
        <v>13759.3190999997</v>
      </c>
      <c r="E4294" s="248">
        <v>13491.258599999799</v>
      </c>
      <c r="F4294" s="248">
        <v>13730.628699999899</v>
      </c>
      <c r="G4294" s="248">
        <v>13927.489099988799</v>
      </c>
      <c r="H4294" s="248">
        <v>14279.2274</v>
      </c>
      <c r="I4294"/>
      <c r="J4294"/>
      <c r="K4294"/>
      <c r="L4294"/>
      <c r="M4294"/>
    </row>
    <row r="4295" spans="3:13" hidden="1" outlineLevel="1" x14ac:dyDescent="0.2">
      <c r="C4295" s="139">
        <v>13690</v>
      </c>
      <c r="D4295" s="248">
        <v>13769.4660999997</v>
      </c>
      <c r="E4295" s="248">
        <v>13501.1205999998</v>
      </c>
      <c r="F4295" s="248">
        <v>13740.6656999999</v>
      </c>
      <c r="G4295" s="248">
        <v>13937.6700999888</v>
      </c>
      <c r="H4295" s="248">
        <v>14289.6654</v>
      </c>
      <c r="I4295"/>
      <c r="J4295"/>
      <c r="K4295"/>
      <c r="L4295"/>
      <c r="M4295"/>
    </row>
    <row r="4296" spans="3:13" hidden="1" outlineLevel="1" x14ac:dyDescent="0.2">
      <c r="C4296" s="139">
        <v>13700</v>
      </c>
      <c r="D4296" s="248">
        <v>13779.6130999997</v>
      </c>
      <c r="E4296" s="248">
        <v>13510.982599999799</v>
      </c>
      <c r="F4296" s="248">
        <v>13750.7026999999</v>
      </c>
      <c r="G4296" s="248">
        <v>13947.8510999888</v>
      </c>
      <c r="H4296" s="248">
        <v>14300.1034</v>
      </c>
      <c r="I4296"/>
      <c r="J4296"/>
      <c r="K4296"/>
      <c r="L4296"/>
      <c r="M4296"/>
    </row>
    <row r="4297" spans="3:13" hidden="1" outlineLevel="1" x14ac:dyDescent="0.2">
      <c r="C4297" s="139">
        <v>13710</v>
      </c>
      <c r="D4297" s="248">
        <v>13789.760099999699</v>
      </c>
      <c r="E4297" s="248">
        <v>13520.8445999998</v>
      </c>
      <c r="F4297" s="248">
        <v>13760.7396999999</v>
      </c>
      <c r="G4297" s="248">
        <v>13958.032099988701</v>
      </c>
      <c r="H4297" s="248">
        <v>14310.5414</v>
      </c>
      <c r="I4297"/>
      <c r="J4297"/>
      <c r="K4297"/>
      <c r="L4297"/>
      <c r="M4297"/>
    </row>
    <row r="4298" spans="3:13" hidden="1" outlineLevel="1" x14ac:dyDescent="0.2">
      <c r="C4298" s="139">
        <v>13720</v>
      </c>
      <c r="D4298" s="248">
        <v>13799.9070999997</v>
      </c>
      <c r="E4298" s="248">
        <v>13530.706599999799</v>
      </c>
      <c r="F4298" s="248">
        <v>13770.7766999999</v>
      </c>
      <c r="G4298" s="248">
        <v>13968.213099988699</v>
      </c>
      <c r="H4298" s="248">
        <v>14320.9794</v>
      </c>
      <c r="I4298"/>
      <c r="J4298"/>
      <c r="K4298"/>
      <c r="L4298"/>
      <c r="M4298"/>
    </row>
    <row r="4299" spans="3:13" hidden="1" outlineLevel="1" x14ac:dyDescent="0.2">
      <c r="C4299" s="139">
        <v>13730</v>
      </c>
      <c r="D4299" s="248">
        <v>13810.054099999699</v>
      </c>
      <c r="E4299" s="248">
        <v>13540.5685999998</v>
      </c>
      <c r="F4299" s="248">
        <v>13780.813699999901</v>
      </c>
      <c r="G4299" s="248">
        <v>13978.3940999887</v>
      </c>
      <c r="H4299" s="248">
        <v>14331.4174</v>
      </c>
      <c r="I4299"/>
      <c r="J4299"/>
      <c r="K4299"/>
      <c r="L4299"/>
      <c r="M4299"/>
    </row>
    <row r="4300" spans="3:13" hidden="1" outlineLevel="1" x14ac:dyDescent="0.2">
      <c r="C4300" s="139">
        <v>13740</v>
      </c>
      <c r="D4300" s="248">
        <v>13820.2010999997</v>
      </c>
      <c r="E4300" s="248">
        <v>13550.4305999998</v>
      </c>
      <c r="F4300" s="248">
        <v>13790.850699999901</v>
      </c>
      <c r="G4300" s="248">
        <v>13988.5750999887</v>
      </c>
      <c r="H4300" s="248">
        <v>14341.8554</v>
      </c>
      <c r="I4300"/>
      <c r="J4300"/>
      <c r="K4300"/>
      <c r="L4300"/>
      <c r="M4300"/>
    </row>
    <row r="4301" spans="3:13" hidden="1" outlineLevel="1" x14ac:dyDescent="0.2">
      <c r="C4301" s="139">
        <v>13750</v>
      </c>
      <c r="D4301" s="248">
        <v>13830.348099999699</v>
      </c>
      <c r="E4301" s="248">
        <v>13560.292599999801</v>
      </c>
      <c r="F4301" s="248">
        <v>13800.887699999899</v>
      </c>
      <c r="G4301" s="248">
        <v>13998.756099988699</v>
      </c>
      <c r="H4301" s="248">
        <v>14352.2934</v>
      </c>
      <c r="I4301"/>
      <c r="J4301"/>
      <c r="K4301"/>
      <c r="L4301"/>
      <c r="M4301"/>
    </row>
    <row r="4302" spans="3:13" hidden="1" outlineLevel="1" x14ac:dyDescent="0.2">
      <c r="C4302" s="139">
        <v>13760</v>
      </c>
      <c r="D4302" s="248">
        <v>13840.4950999997</v>
      </c>
      <c r="E4302" s="248">
        <v>13570.1545999998</v>
      </c>
      <c r="F4302" s="248">
        <v>13810.9246999999</v>
      </c>
      <c r="G4302" s="248">
        <v>14008.9370999887</v>
      </c>
      <c r="H4302" s="248">
        <v>14362.731400000001</v>
      </c>
      <c r="I4302"/>
      <c r="J4302"/>
      <c r="K4302"/>
      <c r="L4302"/>
      <c r="M4302"/>
    </row>
    <row r="4303" spans="3:13" hidden="1" outlineLevel="1" x14ac:dyDescent="0.2">
      <c r="C4303" s="139">
        <v>13770</v>
      </c>
      <c r="D4303" s="248">
        <v>13850.642099999701</v>
      </c>
      <c r="E4303" s="248">
        <v>13580.016599999801</v>
      </c>
      <c r="F4303" s="248">
        <v>13820.9616999999</v>
      </c>
      <c r="G4303" s="248">
        <v>14019.1180999887</v>
      </c>
      <c r="H4303" s="248">
        <v>14373.169400000001</v>
      </c>
      <c r="I4303"/>
      <c r="J4303"/>
      <c r="K4303"/>
      <c r="L4303"/>
      <c r="M4303"/>
    </row>
    <row r="4304" spans="3:13" hidden="1" outlineLevel="1" x14ac:dyDescent="0.2">
      <c r="C4304" s="139">
        <v>13780</v>
      </c>
      <c r="D4304" s="248">
        <v>13860.7890999997</v>
      </c>
      <c r="E4304" s="248">
        <v>13589.8785999998</v>
      </c>
      <c r="F4304" s="248">
        <v>13830.9986999999</v>
      </c>
      <c r="G4304" s="248">
        <v>14029.299099988701</v>
      </c>
      <c r="H4304" s="248">
        <v>14383.607400000001</v>
      </c>
      <c r="I4304"/>
      <c r="J4304"/>
      <c r="K4304"/>
      <c r="L4304"/>
      <c r="M4304"/>
    </row>
    <row r="4305" spans="3:13" hidden="1" outlineLevel="1" x14ac:dyDescent="0.2">
      <c r="C4305" s="139">
        <v>13790</v>
      </c>
      <c r="D4305" s="248">
        <v>13870.936099999701</v>
      </c>
      <c r="E4305" s="248">
        <v>13599.740599999801</v>
      </c>
      <c r="F4305" s="248">
        <v>13841.0356999999</v>
      </c>
      <c r="G4305" s="248">
        <v>14039.480099988699</v>
      </c>
      <c r="H4305" s="248">
        <v>14394.045400000001</v>
      </c>
      <c r="I4305"/>
      <c r="J4305"/>
      <c r="K4305"/>
      <c r="L4305"/>
      <c r="M4305"/>
    </row>
    <row r="4306" spans="3:13" hidden="1" outlineLevel="1" x14ac:dyDescent="0.2">
      <c r="C4306" s="139">
        <v>13800</v>
      </c>
      <c r="D4306" s="248">
        <v>13881.0830999997</v>
      </c>
      <c r="E4306" s="248">
        <v>13609.6025999998</v>
      </c>
      <c r="F4306" s="248">
        <v>13851.072699999901</v>
      </c>
      <c r="G4306" s="248">
        <v>14049.6610999886</v>
      </c>
      <c r="H4306" s="248">
        <v>14404.483399999999</v>
      </c>
      <c r="I4306"/>
      <c r="J4306"/>
      <c r="K4306"/>
      <c r="L4306"/>
      <c r="M4306"/>
    </row>
    <row r="4307" spans="3:13" hidden="1" outlineLevel="1" x14ac:dyDescent="0.2">
      <c r="C4307" s="139">
        <v>13810</v>
      </c>
      <c r="D4307" s="248">
        <v>13891.230099999701</v>
      </c>
      <c r="E4307" s="248">
        <v>13619.464599999799</v>
      </c>
      <c r="F4307" s="248">
        <v>13861.109699999901</v>
      </c>
      <c r="G4307" s="248">
        <v>14059.8420999886</v>
      </c>
      <c r="H4307" s="248">
        <v>14414.921399999999</v>
      </c>
      <c r="I4307"/>
      <c r="J4307"/>
      <c r="K4307"/>
      <c r="L4307"/>
      <c r="M4307"/>
    </row>
    <row r="4308" spans="3:13" hidden="1" outlineLevel="1" x14ac:dyDescent="0.2">
      <c r="C4308" s="139">
        <v>13820</v>
      </c>
      <c r="D4308" s="248">
        <v>13901.3770999997</v>
      </c>
      <c r="E4308" s="248">
        <v>13629.3265999998</v>
      </c>
      <c r="F4308" s="248">
        <v>13871.146699999899</v>
      </c>
      <c r="G4308" s="248">
        <v>14070.023099988601</v>
      </c>
      <c r="H4308" s="248">
        <v>14425.359399999999</v>
      </c>
      <c r="I4308"/>
      <c r="J4308"/>
      <c r="K4308"/>
      <c r="L4308"/>
      <c r="M4308"/>
    </row>
    <row r="4309" spans="3:13" hidden="1" outlineLevel="1" x14ac:dyDescent="0.2">
      <c r="C4309" s="139">
        <v>13830</v>
      </c>
      <c r="D4309" s="248">
        <v>13911.5240999997</v>
      </c>
      <c r="E4309" s="248">
        <v>13639.188599999799</v>
      </c>
      <c r="F4309" s="248">
        <v>13881.1836999999</v>
      </c>
      <c r="G4309" s="248">
        <v>14080.204099988599</v>
      </c>
      <c r="H4309" s="248">
        <v>14435.797399999999</v>
      </c>
      <c r="I4309"/>
      <c r="J4309"/>
      <c r="K4309"/>
      <c r="L4309"/>
      <c r="M4309"/>
    </row>
    <row r="4310" spans="3:13" hidden="1" outlineLevel="1" x14ac:dyDescent="0.2">
      <c r="C4310" s="139">
        <v>13840</v>
      </c>
      <c r="D4310" s="248">
        <v>13921.671099999699</v>
      </c>
      <c r="E4310" s="248">
        <v>13649.0505999998</v>
      </c>
      <c r="F4310" s="248">
        <v>13891.2206999999</v>
      </c>
      <c r="G4310" s="248">
        <v>14090.3850999886</v>
      </c>
      <c r="H4310" s="248">
        <v>14446.2354</v>
      </c>
      <c r="I4310"/>
      <c r="J4310"/>
      <c r="K4310"/>
      <c r="L4310"/>
      <c r="M4310"/>
    </row>
    <row r="4311" spans="3:13" hidden="1" outlineLevel="1" x14ac:dyDescent="0.2">
      <c r="C4311" s="139">
        <v>13850</v>
      </c>
      <c r="D4311" s="248">
        <v>13931.8180999997</v>
      </c>
      <c r="E4311" s="248">
        <v>13658.9125999998</v>
      </c>
      <c r="F4311" s="248">
        <v>13901.2576999999</v>
      </c>
      <c r="G4311" s="248">
        <v>14100.5660999886</v>
      </c>
      <c r="H4311" s="248">
        <v>14456.6734</v>
      </c>
      <c r="I4311"/>
      <c r="J4311"/>
      <c r="K4311"/>
      <c r="L4311"/>
      <c r="M4311"/>
    </row>
    <row r="4312" spans="3:13" hidden="1" outlineLevel="1" x14ac:dyDescent="0.2">
      <c r="C4312" s="139">
        <v>13860</v>
      </c>
      <c r="D4312" s="248">
        <v>13941.965099999699</v>
      </c>
      <c r="E4312" s="248">
        <v>13668.774599999801</v>
      </c>
      <c r="F4312" s="248">
        <v>13911.2946999999</v>
      </c>
      <c r="G4312" s="248">
        <v>14110.747099988601</v>
      </c>
      <c r="H4312" s="248">
        <v>14467.1114</v>
      </c>
      <c r="I4312"/>
      <c r="J4312"/>
      <c r="K4312"/>
      <c r="L4312"/>
      <c r="M4312"/>
    </row>
    <row r="4313" spans="3:13" hidden="1" outlineLevel="1" x14ac:dyDescent="0.2">
      <c r="C4313" s="139">
        <v>13870</v>
      </c>
      <c r="D4313" s="248">
        <v>13952.1120999997</v>
      </c>
      <c r="E4313" s="248">
        <v>13678.6365999998</v>
      </c>
      <c r="F4313" s="248">
        <v>13921.331699999901</v>
      </c>
      <c r="G4313" s="248">
        <v>14120.9280999886</v>
      </c>
      <c r="H4313" s="248">
        <v>14477.5494</v>
      </c>
      <c r="I4313"/>
      <c r="J4313"/>
      <c r="K4313"/>
      <c r="L4313"/>
      <c r="M4313"/>
    </row>
    <row r="4314" spans="3:13" hidden="1" outlineLevel="1" x14ac:dyDescent="0.2">
      <c r="C4314" s="139">
        <v>13880</v>
      </c>
      <c r="D4314" s="248">
        <v>13962.259099999699</v>
      </c>
      <c r="E4314" s="248">
        <v>13688.498599999801</v>
      </c>
      <c r="F4314" s="248">
        <v>13931.368699999901</v>
      </c>
      <c r="G4314" s="248">
        <v>14131.1090999886</v>
      </c>
      <c r="H4314" s="248">
        <v>14487.9874</v>
      </c>
      <c r="I4314"/>
      <c r="J4314"/>
      <c r="K4314"/>
      <c r="L4314"/>
      <c r="M4314"/>
    </row>
    <row r="4315" spans="3:13" hidden="1" outlineLevel="1" x14ac:dyDescent="0.2">
      <c r="C4315" s="139">
        <v>13890</v>
      </c>
      <c r="D4315" s="248">
        <v>13972.4060999997</v>
      </c>
      <c r="E4315" s="248">
        <v>13698.3605999998</v>
      </c>
      <c r="F4315" s="248">
        <v>13941.405699999899</v>
      </c>
      <c r="G4315" s="248">
        <v>14141.290099988601</v>
      </c>
      <c r="H4315" s="248">
        <v>14498.4254</v>
      </c>
      <c r="I4315"/>
      <c r="J4315"/>
      <c r="K4315"/>
      <c r="L4315"/>
      <c r="M4315"/>
    </row>
    <row r="4316" spans="3:13" hidden="1" outlineLevel="1" x14ac:dyDescent="0.2">
      <c r="C4316" s="139">
        <v>13900</v>
      </c>
      <c r="D4316" s="248">
        <v>13982.553099999701</v>
      </c>
      <c r="E4316" s="248">
        <v>13708.222599999801</v>
      </c>
      <c r="F4316" s="248">
        <v>13951.4426999999</v>
      </c>
      <c r="G4316" s="248">
        <v>14151.471099988499</v>
      </c>
      <c r="H4316" s="248">
        <v>14508.8634</v>
      </c>
      <c r="I4316"/>
      <c r="J4316"/>
      <c r="K4316"/>
      <c r="L4316"/>
      <c r="M4316"/>
    </row>
    <row r="4317" spans="3:13" hidden="1" outlineLevel="1" x14ac:dyDescent="0.2">
      <c r="C4317" s="139">
        <v>13910</v>
      </c>
      <c r="D4317" s="248">
        <v>13992.7000999997</v>
      </c>
      <c r="E4317" s="248">
        <v>13718.0845999998</v>
      </c>
      <c r="F4317" s="248">
        <v>13961.4796999999</v>
      </c>
      <c r="G4317" s="248">
        <v>14161.6520999885</v>
      </c>
      <c r="H4317" s="248">
        <v>14519.3014</v>
      </c>
      <c r="I4317"/>
      <c r="J4317"/>
      <c r="K4317"/>
      <c r="L4317"/>
      <c r="M4317"/>
    </row>
    <row r="4318" spans="3:13" hidden="1" outlineLevel="1" x14ac:dyDescent="0.2">
      <c r="C4318" s="139">
        <v>13920</v>
      </c>
      <c r="D4318" s="248">
        <v>14002.847099999701</v>
      </c>
      <c r="E4318" s="248">
        <v>13727.946599999799</v>
      </c>
      <c r="F4318" s="248">
        <v>13971.5166999999</v>
      </c>
      <c r="G4318" s="248">
        <v>14171.8330999885</v>
      </c>
      <c r="H4318" s="248">
        <v>14529.7394</v>
      </c>
      <c r="I4318"/>
      <c r="J4318"/>
      <c r="K4318"/>
      <c r="L4318"/>
      <c r="M4318"/>
    </row>
    <row r="4319" spans="3:13" hidden="1" outlineLevel="1" x14ac:dyDescent="0.2">
      <c r="C4319" s="139">
        <v>13930</v>
      </c>
      <c r="D4319" s="248">
        <v>14012.9940999997</v>
      </c>
      <c r="E4319" s="248">
        <v>13737.8085999998</v>
      </c>
      <c r="F4319" s="248">
        <v>13981.5536999999</v>
      </c>
      <c r="G4319" s="248">
        <v>14182.014099988501</v>
      </c>
      <c r="H4319" s="248">
        <v>14540.1774</v>
      </c>
      <c r="I4319"/>
      <c r="J4319"/>
      <c r="K4319"/>
      <c r="L4319"/>
      <c r="M4319"/>
    </row>
    <row r="4320" spans="3:13" hidden="1" outlineLevel="1" x14ac:dyDescent="0.2">
      <c r="C4320" s="139">
        <v>13940</v>
      </c>
      <c r="D4320" s="248">
        <v>14023.141099999701</v>
      </c>
      <c r="E4320" s="248">
        <v>13747.670599999799</v>
      </c>
      <c r="F4320" s="248">
        <v>13991.590699999901</v>
      </c>
      <c r="G4320" s="248">
        <v>14192.195099988499</v>
      </c>
      <c r="H4320" s="248">
        <v>14550.615400000001</v>
      </c>
      <c r="I4320"/>
      <c r="J4320"/>
      <c r="K4320"/>
      <c r="L4320"/>
      <c r="M4320"/>
    </row>
    <row r="4321" spans="2:13" hidden="1" outlineLevel="1" x14ac:dyDescent="0.2">
      <c r="C4321" s="139">
        <v>13950</v>
      </c>
      <c r="D4321" s="248">
        <v>14033.2880999997</v>
      </c>
      <c r="E4321" s="248">
        <v>13757.5325999998</v>
      </c>
      <c r="F4321" s="248">
        <v>14001.627699999901</v>
      </c>
      <c r="G4321" s="248">
        <v>14202.3760999885</v>
      </c>
      <c r="H4321" s="248">
        <v>14561.053400000001</v>
      </c>
      <c r="I4321"/>
      <c r="J4321"/>
      <c r="K4321"/>
      <c r="L4321"/>
      <c r="M4321"/>
    </row>
    <row r="4322" spans="2:13" hidden="1" outlineLevel="1" x14ac:dyDescent="0.2">
      <c r="C4322" s="139">
        <v>13960</v>
      </c>
      <c r="D4322" s="248">
        <v>14043.4350999997</v>
      </c>
      <c r="E4322" s="248">
        <v>13767.3945999998</v>
      </c>
      <c r="F4322" s="248">
        <v>14011.664699999899</v>
      </c>
      <c r="G4322" s="248">
        <v>14212.5570999885</v>
      </c>
      <c r="H4322" s="248">
        <v>14571.491400000001</v>
      </c>
      <c r="I4322"/>
      <c r="J4322"/>
      <c r="K4322"/>
      <c r="L4322"/>
      <c r="M4322"/>
    </row>
    <row r="4323" spans="2:13" hidden="1" outlineLevel="1" x14ac:dyDescent="0.2">
      <c r="C4323" s="139">
        <v>13970</v>
      </c>
      <c r="D4323" s="248">
        <v>14053.582099999699</v>
      </c>
      <c r="E4323" s="248">
        <v>13777.256599999801</v>
      </c>
      <c r="F4323" s="248">
        <v>14021.7016999999</v>
      </c>
      <c r="G4323" s="248">
        <v>14222.738099988501</v>
      </c>
      <c r="H4323" s="248">
        <v>14581.929400000001</v>
      </c>
      <c r="I4323"/>
      <c r="J4323"/>
      <c r="K4323"/>
      <c r="L4323"/>
      <c r="M4323"/>
    </row>
    <row r="4324" spans="2:13" hidden="1" outlineLevel="1" x14ac:dyDescent="0.2">
      <c r="C4324" s="139">
        <v>13980</v>
      </c>
      <c r="D4324" s="248">
        <v>14063.7290999997</v>
      </c>
      <c r="E4324" s="248">
        <v>13787.1185999998</v>
      </c>
      <c r="F4324" s="248">
        <v>14031.7386999999</v>
      </c>
      <c r="G4324" s="248">
        <v>14232.9190999885</v>
      </c>
      <c r="H4324" s="248">
        <v>14592.367399999999</v>
      </c>
      <c r="I4324"/>
      <c r="J4324"/>
      <c r="K4324"/>
      <c r="L4324"/>
      <c r="M4324"/>
    </row>
    <row r="4325" spans="2:13" hidden="1" outlineLevel="1" x14ac:dyDescent="0.2">
      <c r="C4325" s="139">
        <v>13990</v>
      </c>
      <c r="D4325" s="248">
        <v>14073.876099999699</v>
      </c>
      <c r="E4325" s="248">
        <v>13796.980599999801</v>
      </c>
      <c r="F4325" s="248">
        <v>14041.7756999999</v>
      </c>
      <c r="G4325" s="248">
        <v>14243.1000999884</v>
      </c>
      <c r="H4325" s="248">
        <v>14602.805399999999</v>
      </c>
      <c r="I4325"/>
      <c r="J4325"/>
      <c r="K4325"/>
      <c r="L4325"/>
      <c r="M4325"/>
    </row>
    <row r="4326" spans="2:13" collapsed="1" x14ac:dyDescent="0.2">
      <c r="C4326" s="139">
        <v>14000</v>
      </c>
      <c r="D4326" s="248">
        <v>14084.0230999997</v>
      </c>
      <c r="E4326" s="248">
        <v>13806.8425999998</v>
      </c>
      <c r="F4326" s="248">
        <v>14051.8126999999</v>
      </c>
      <c r="G4326" s="248">
        <v>14253.2810999884</v>
      </c>
      <c r="H4326" s="248">
        <v>14613.243399999999</v>
      </c>
      <c r="I4326"/>
      <c r="J4326"/>
      <c r="K4326"/>
      <c r="L4326"/>
      <c r="M4326"/>
    </row>
    <row r="4327" spans="2:13" x14ac:dyDescent="0.2">
      <c r="C4327" s="88" t="s">
        <v>1265</v>
      </c>
      <c r="D4327"/>
      <c r="E4327"/>
      <c r="F4327"/>
      <c r="G4327"/>
      <c r="H4327"/>
      <c r="I4327" s="88" t="s">
        <v>1266</v>
      </c>
      <c r="J4327" s="4"/>
      <c r="K4327" s="4"/>
      <c r="L4327" s="4"/>
      <c r="M4327"/>
    </row>
    <row r="4328" spans="2:13" x14ac:dyDescent="0.2">
      <c r="C4328" s="4"/>
      <c r="D4328" s="4"/>
      <c r="E4328" s="4"/>
      <c r="F4328" s="4"/>
      <c r="G4328" s="4"/>
      <c r="H4328" s="4"/>
      <c r="I4328" s="4"/>
      <c r="J4328" s="4"/>
      <c r="K4328" s="4"/>
      <c r="L4328" s="4"/>
      <c r="M4328"/>
    </row>
    <row r="4329" spans="2:13" x14ac:dyDescent="0.2">
      <c r="C4329" s="4"/>
      <c r="D4329" s="4"/>
      <c r="E4329" s="4"/>
      <c r="F4329" s="4"/>
      <c r="G4329" s="4"/>
      <c r="H4329" s="4"/>
      <c r="I4329" s="4"/>
      <c r="J4329" s="4"/>
      <c r="K4329" s="4"/>
      <c r="L4329" s="4"/>
    </row>
    <row r="4330" spans="2:13" ht="15.75" x14ac:dyDescent="0.2">
      <c r="B4330" s="52" t="s">
        <v>1306</v>
      </c>
      <c r="D4330" s="4"/>
      <c r="E4330" s="4"/>
      <c r="F4330" s="4"/>
      <c r="G4330" s="4"/>
      <c r="H4330" s="4"/>
      <c r="I4330" s="4"/>
      <c r="J4330" s="4"/>
      <c r="K4330" s="4"/>
      <c r="L4330" s="4"/>
    </row>
    <row r="4331" spans="2:13" x14ac:dyDescent="0.2">
      <c r="C4331" s="4"/>
      <c r="D4331" s="4"/>
      <c r="E4331" s="4"/>
      <c r="F4331" s="4"/>
      <c r="G4331" s="4"/>
      <c r="H4331" s="4"/>
      <c r="I4331" s="4"/>
      <c r="J4331" s="4"/>
      <c r="K4331" s="4"/>
      <c r="L4331" s="4"/>
    </row>
    <row r="4332" spans="2:13" x14ac:dyDescent="0.2">
      <c r="C4332" s="91">
        <f>8*16</f>
        <v>128</v>
      </c>
      <c r="D4332" s="88" t="s">
        <v>1261</v>
      </c>
      <c r="E4332" s="4"/>
      <c r="F4332" s="4"/>
      <c r="G4332" s="4"/>
      <c r="H4332" s="4"/>
      <c r="I4332" s="4"/>
      <c r="J4332" s="4"/>
      <c r="K4332" s="4"/>
      <c r="L4332" s="4"/>
    </row>
    <row r="4333" spans="2:13" x14ac:dyDescent="0.2">
      <c r="C4333" s="4"/>
      <c r="D4333" s="4"/>
      <c r="E4333" s="4"/>
      <c r="F4333" s="4"/>
      <c r="G4333" s="4"/>
      <c r="H4333" s="4"/>
      <c r="I4333" s="4"/>
      <c r="J4333" s="4"/>
      <c r="K4333" s="4"/>
      <c r="L4333" s="4"/>
    </row>
    <row r="4334" spans="2:13" ht="96" x14ac:dyDescent="0.2">
      <c r="C4334" s="231" t="s">
        <v>1270</v>
      </c>
      <c r="D4334" s="231" t="s">
        <v>1268</v>
      </c>
      <c r="E4334" s="231" t="s">
        <v>1269</v>
      </c>
      <c r="F4334" s="231" t="s">
        <v>921</v>
      </c>
      <c r="G4334" s="231" t="s">
        <v>916</v>
      </c>
      <c r="H4334" s="231" t="s">
        <v>917</v>
      </c>
      <c r="I4334" s="231" t="s">
        <v>918</v>
      </c>
      <c r="J4334" s="231" t="s">
        <v>919</v>
      </c>
      <c r="K4334" s="231" t="s">
        <v>920</v>
      </c>
      <c r="L4334" s="4"/>
      <c r="M4334" s="231" t="s">
        <v>1305</v>
      </c>
    </row>
    <row r="4335" spans="2:13" x14ac:dyDescent="0.2">
      <c r="C4335" s="139">
        <v>0</v>
      </c>
      <c r="D4335" s="240">
        <v>0</v>
      </c>
      <c r="E4335" s="240">
        <v>0</v>
      </c>
      <c r="F4335" s="240">
        <v>0</v>
      </c>
      <c r="G4335" s="240">
        <v>0</v>
      </c>
      <c r="H4335" s="240">
        <v>0</v>
      </c>
      <c r="I4335" s="240">
        <v>0</v>
      </c>
      <c r="J4335" s="240">
        <v>0</v>
      </c>
      <c r="K4335" s="240">
        <v>0</v>
      </c>
      <c r="L4335" s="4"/>
      <c r="M4335" s="241">
        <f t="array" ref="M4335:M4847">INDEX(Erlang.Table.R99.Carriers.3G,,MATCH(UMTS.blocking.probability,Erlang.Table.Header,0))</f>
        <v>0</v>
      </c>
    </row>
    <row r="4336" spans="2:13" hidden="1" outlineLevel="1" x14ac:dyDescent="0.2">
      <c r="C4336" s="28">
        <f>C4335+1/128</f>
        <v>7.8125E-3</v>
      </c>
      <c r="D4336" s="28">
        <f t="shared" ref="D4336:D4399" si="0">C4336*Channels.per.carrier</f>
        <v>1</v>
      </c>
      <c r="E4336" s="28">
        <f t="shared" ref="E4336:E4399" si="1">D4336-C4336*R99.CE.signalling</f>
        <v>0.875</v>
      </c>
      <c r="F4336" s="28">
        <f t="shared" ref="F4336:F4399" si="2">E4336/(1+Release99.soft.handover+Release99.softer.handover)</f>
        <v>0.67307692307692302</v>
      </c>
      <c r="G4336" s="28">
        <f>INDEX(D$10:D$4326,MATCH($F4336,$C$10:$C$4326,1))</f>
        <v>6.0000000000000006E-4</v>
      </c>
      <c r="H4336" s="28">
        <f t="shared" ref="H4336:K4336" si="3">INDEX(E$10:E$4326,MATCH($F4336,$C$10:$C$4326,1))</f>
        <v>6.0600000000000011E-3</v>
      </c>
      <c r="I4336" s="28">
        <f t="shared" si="3"/>
        <v>1.2240000000000001E-2</v>
      </c>
      <c r="J4336" s="28">
        <f t="shared" si="3"/>
        <v>1.8539999999999997E-2</v>
      </c>
      <c r="K4336" s="28">
        <f t="shared" si="3"/>
        <v>3.1559999999999998E-2</v>
      </c>
      <c r="L4336" s="4"/>
      <c r="M4336" s="241">
        <v>1.2240000000000001E-2</v>
      </c>
    </row>
    <row r="4337" spans="3:13" hidden="1" outlineLevel="1" x14ac:dyDescent="0.2">
      <c r="C4337" s="28">
        <f t="shared" ref="C4337:C4400" si="4">C4336+1/128</f>
        <v>1.5625E-2</v>
      </c>
      <c r="D4337" s="28">
        <f t="shared" si="0"/>
        <v>2</v>
      </c>
      <c r="E4337" s="28">
        <f t="shared" si="1"/>
        <v>1.75</v>
      </c>
      <c r="F4337" s="28">
        <f t="shared" si="2"/>
        <v>1.346153846153846</v>
      </c>
      <c r="G4337" s="28">
        <f t="shared" ref="G4337:G4400" si="5">INDEX(D$10:D$4326,MATCH($F4337,$C$10:$C$4326,1))</f>
        <v>1.444E-2</v>
      </c>
      <c r="H4337" s="28">
        <f t="shared" ref="H4337:H4400" si="6">INDEX(E$10:E$4326,MATCH($F4337,$C$10:$C$4326,1))</f>
        <v>5.2850000000000008E-2</v>
      </c>
      <c r="I4337" s="28">
        <f t="shared" ref="I4337:I4400" si="7">INDEX(F$10:F$4326,MATCH($F4337,$C$10:$C$4326,1))</f>
        <v>8.1330000000000013E-2</v>
      </c>
      <c r="J4337" s="28">
        <f t="shared" ref="J4337:J4400" si="8">INDEX(G$10:G$4326,MATCH($F4337,$C$10:$C$4326,1))</f>
        <v>0.10611000000000001</v>
      </c>
      <c r="K4337" s="28">
        <f t="shared" ref="K4337:K4400" si="9">INDEX(H$10:H$4326,MATCH($F4337,$C$10:$C$4326,1))</f>
        <v>0.15120999999999998</v>
      </c>
      <c r="L4337" s="4"/>
      <c r="M4337" s="241">
        <v>8.1330000000000013E-2</v>
      </c>
    </row>
    <row r="4338" spans="3:13" hidden="1" outlineLevel="1" x14ac:dyDescent="0.2">
      <c r="C4338" s="28">
        <f t="shared" si="4"/>
        <v>2.34375E-2</v>
      </c>
      <c r="D4338" s="28">
        <f t="shared" si="0"/>
        <v>3</v>
      </c>
      <c r="E4338" s="28">
        <f t="shared" si="1"/>
        <v>2.625</v>
      </c>
      <c r="F4338" s="28">
        <f t="shared" si="2"/>
        <v>2.0192307692307692</v>
      </c>
      <c r="G4338" s="28">
        <f t="shared" si="5"/>
        <v>4.58E-2</v>
      </c>
      <c r="H4338" s="28">
        <f t="shared" si="6"/>
        <v>0.15260000000000001</v>
      </c>
      <c r="I4338" s="28">
        <f t="shared" si="7"/>
        <v>0.2235</v>
      </c>
      <c r="J4338" s="28">
        <f t="shared" si="8"/>
        <v>0.28160000000000002</v>
      </c>
      <c r="K4338" s="28">
        <f t="shared" si="9"/>
        <v>0.38129999999999997</v>
      </c>
      <c r="L4338" s="4"/>
      <c r="M4338" s="241">
        <v>0.2235</v>
      </c>
    </row>
    <row r="4339" spans="3:13" hidden="1" outlineLevel="1" x14ac:dyDescent="0.2">
      <c r="C4339" s="28">
        <f t="shared" si="4"/>
        <v>3.125E-2</v>
      </c>
      <c r="D4339" s="28">
        <f t="shared" si="0"/>
        <v>4</v>
      </c>
      <c r="E4339" s="28">
        <f t="shared" si="1"/>
        <v>3.5</v>
      </c>
      <c r="F4339" s="28">
        <f t="shared" si="2"/>
        <v>2.6923076923076921</v>
      </c>
      <c r="G4339" s="28">
        <f t="shared" si="5"/>
        <v>0.13459999999999997</v>
      </c>
      <c r="H4339" s="28">
        <f t="shared" si="6"/>
        <v>0.33434000000000003</v>
      </c>
      <c r="I4339" s="28">
        <f t="shared" si="7"/>
        <v>0.45072000000000007</v>
      </c>
      <c r="J4339" s="28">
        <f t="shared" si="8"/>
        <v>0.54169999999999996</v>
      </c>
      <c r="K4339" s="28">
        <f t="shared" si="9"/>
        <v>0.69216000000000011</v>
      </c>
      <c r="L4339" s="4"/>
      <c r="M4339" s="241">
        <v>0.45072000000000007</v>
      </c>
    </row>
    <row r="4340" spans="3:13" hidden="1" outlineLevel="1" x14ac:dyDescent="0.2">
      <c r="C4340" s="28">
        <f t="shared" si="4"/>
        <v>3.90625E-2</v>
      </c>
      <c r="D4340" s="28">
        <f t="shared" si="0"/>
        <v>5</v>
      </c>
      <c r="E4340" s="28">
        <f t="shared" si="1"/>
        <v>4.375</v>
      </c>
      <c r="F4340" s="28">
        <f t="shared" si="2"/>
        <v>3.3653846153846154</v>
      </c>
      <c r="G4340" s="28">
        <f t="shared" si="5"/>
        <v>0.26745000000000002</v>
      </c>
      <c r="H4340" s="28">
        <f t="shared" si="6"/>
        <v>0.57967000000000002</v>
      </c>
      <c r="I4340" s="28">
        <f t="shared" si="7"/>
        <v>0.74922999999999995</v>
      </c>
      <c r="J4340" s="28">
        <f t="shared" si="8"/>
        <v>0.87823999999999991</v>
      </c>
      <c r="K4340" s="28">
        <f t="shared" si="9"/>
        <v>1.0869599999999999</v>
      </c>
      <c r="L4340" s="4"/>
      <c r="M4340" s="241">
        <v>0.74922999999999995</v>
      </c>
    </row>
    <row r="4341" spans="3:13" hidden="1" outlineLevel="1" x14ac:dyDescent="0.2">
      <c r="C4341" s="28">
        <f t="shared" si="4"/>
        <v>4.6875E-2</v>
      </c>
      <c r="D4341" s="28">
        <f t="shared" si="0"/>
        <v>6</v>
      </c>
      <c r="E4341" s="28">
        <f t="shared" si="1"/>
        <v>5.25</v>
      </c>
      <c r="F4341" s="28">
        <f t="shared" si="2"/>
        <v>4.0384615384615383</v>
      </c>
      <c r="G4341" s="28">
        <f t="shared" si="5"/>
        <v>0.43930000000000002</v>
      </c>
      <c r="H4341" s="28">
        <f t="shared" si="6"/>
        <v>0.86939999999999995</v>
      </c>
      <c r="I4341" s="28">
        <f t="shared" si="7"/>
        <v>1.0923</v>
      </c>
      <c r="J4341" s="28">
        <f t="shared" si="8"/>
        <v>1.2588999999999999</v>
      </c>
      <c r="K4341" s="28">
        <f t="shared" si="9"/>
        <v>1.5246</v>
      </c>
      <c r="L4341" s="4"/>
      <c r="M4341" s="241">
        <v>1.0923</v>
      </c>
    </row>
    <row r="4342" spans="3:13" hidden="1" outlineLevel="1" x14ac:dyDescent="0.2">
      <c r="C4342" s="28">
        <f t="shared" si="4"/>
        <v>5.46875E-2</v>
      </c>
      <c r="D4342" s="28">
        <f t="shared" si="0"/>
        <v>7</v>
      </c>
      <c r="E4342" s="28">
        <f t="shared" si="1"/>
        <v>6.125</v>
      </c>
      <c r="F4342" s="28">
        <f t="shared" si="2"/>
        <v>4.7115384615384617</v>
      </c>
      <c r="G4342" s="28">
        <f t="shared" si="5"/>
        <v>0.66525999999999985</v>
      </c>
      <c r="H4342" s="28">
        <f t="shared" si="6"/>
        <v>1.2133799999999997</v>
      </c>
      <c r="I4342" s="28">
        <f t="shared" si="7"/>
        <v>1.4876600000000006</v>
      </c>
      <c r="J4342" s="28">
        <f t="shared" si="8"/>
        <v>1.6903100000000004</v>
      </c>
      <c r="K4342" s="28">
        <f t="shared" si="9"/>
        <v>2.0103300000000002</v>
      </c>
      <c r="L4342" s="4"/>
      <c r="M4342" s="241">
        <v>1.4876600000000006</v>
      </c>
    </row>
    <row r="4343" spans="3:13" hidden="1" outlineLevel="1" x14ac:dyDescent="0.2">
      <c r="C4343" s="28">
        <f t="shared" si="4"/>
        <v>6.25E-2</v>
      </c>
      <c r="D4343" s="28">
        <f t="shared" si="0"/>
        <v>8</v>
      </c>
      <c r="E4343" s="28">
        <f t="shared" si="1"/>
        <v>7</v>
      </c>
      <c r="F4343" s="28">
        <f t="shared" si="2"/>
        <v>5.3846153846153841</v>
      </c>
      <c r="G4343" s="28">
        <f t="shared" si="5"/>
        <v>0.87723999999999991</v>
      </c>
      <c r="H4343" s="28">
        <f t="shared" si="6"/>
        <v>1.5252600000000003</v>
      </c>
      <c r="I4343" s="28">
        <f t="shared" si="7"/>
        <v>1.8427399999999998</v>
      </c>
      <c r="J4343" s="28">
        <f t="shared" si="8"/>
        <v>2.0755699999999999</v>
      </c>
      <c r="K4343" s="28">
        <f t="shared" si="9"/>
        <v>2.4410400000000005</v>
      </c>
      <c r="L4343" s="4"/>
      <c r="M4343" s="241">
        <v>1.8427399999999998</v>
      </c>
    </row>
    <row r="4344" spans="3:13" hidden="1" outlineLevel="1" x14ac:dyDescent="0.2">
      <c r="C4344" s="28">
        <f t="shared" si="4"/>
        <v>7.03125E-2</v>
      </c>
      <c r="D4344" s="28">
        <f t="shared" si="0"/>
        <v>9</v>
      </c>
      <c r="E4344" s="28">
        <f t="shared" si="1"/>
        <v>7.875</v>
      </c>
      <c r="F4344" s="28">
        <f t="shared" si="2"/>
        <v>6.0576923076923075</v>
      </c>
      <c r="G4344" s="28">
        <f t="shared" si="5"/>
        <v>1.1458999999999999</v>
      </c>
      <c r="H4344" s="28">
        <f t="shared" si="6"/>
        <v>1.909</v>
      </c>
      <c r="I4344" s="28">
        <f t="shared" si="7"/>
        <v>2.2759</v>
      </c>
      <c r="J4344" s="28">
        <f t="shared" si="8"/>
        <v>2.5430999999999999</v>
      </c>
      <c r="K4344" s="28">
        <f t="shared" si="9"/>
        <v>2.9603000000000002</v>
      </c>
      <c r="L4344" s="4"/>
      <c r="M4344" s="241">
        <v>2.2759</v>
      </c>
    </row>
    <row r="4345" spans="3:13" hidden="1" outlineLevel="1" x14ac:dyDescent="0.2">
      <c r="C4345" s="28">
        <f t="shared" si="4"/>
        <v>7.8125E-2</v>
      </c>
      <c r="D4345" s="28">
        <f t="shared" si="0"/>
        <v>10</v>
      </c>
      <c r="E4345" s="28">
        <f t="shared" si="1"/>
        <v>8.75</v>
      </c>
      <c r="F4345" s="28">
        <f t="shared" si="2"/>
        <v>6.7307692307692308</v>
      </c>
      <c r="G4345" s="28">
        <f t="shared" si="5"/>
        <v>1.4487899999999994</v>
      </c>
      <c r="H4345" s="28">
        <f t="shared" si="6"/>
        <v>2.3233300000000003</v>
      </c>
      <c r="I4345" s="28">
        <f t="shared" si="7"/>
        <v>2.7375499999999997</v>
      </c>
      <c r="J4345" s="28">
        <f t="shared" si="8"/>
        <v>3.0377200000000011</v>
      </c>
      <c r="K4345" s="28">
        <f t="shared" si="9"/>
        <v>3.5045500000000001</v>
      </c>
      <c r="L4345" s="4"/>
      <c r="M4345" s="241">
        <v>2.7375499999999997</v>
      </c>
    </row>
    <row r="4346" spans="3:13" hidden="1" outlineLevel="1" x14ac:dyDescent="0.2">
      <c r="C4346" s="28">
        <f t="shared" si="4"/>
        <v>8.59375E-2</v>
      </c>
      <c r="D4346" s="28">
        <f t="shared" si="0"/>
        <v>11</v>
      </c>
      <c r="E4346" s="28">
        <f t="shared" si="1"/>
        <v>9.625</v>
      </c>
      <c r="F4346" s="28">
        <f t="shared" si="2"/>
        <v>7.4038461538461533</v>
      </c>
      <c r="G4346" s="28">
        <f t="shared" si="5"/>
        <v>1.7676799999999997</v>
      </c>
      <c r="H4346" s="28">
        <f t="shared" si="6"/>
        <v>2.7515799999999997</v>
      </c>
      <c r="I4346" s="28">
        <f t="shared" si="7"/>
        <v>3.2120800000000007</v>
      </c>
      <c r="J4346" s="28">
        <f t="shared" si="8"/>
        <v>3.5444199999999997</v>
      </c>
      <c r="K4346" s="28">
        <f t="shared" si="9"/>
        <v>4.0598799999999997</v>
      </c>
      <c r="L4346" s="4"/>
      <c r="M4346" s="241">
        <v>3.2120800000000007</v>
      </c>
    </row>
    <row r="4347" spans="3:13" hidden="1" outlineLevel="1" x14ac:dyDescent="0.2">
      <c r="C4347" s="28">
        <f t="shared" si="4"/>
        <v>9.375E-2</v>
      </c>
      <c r="D4347" s="28">
        <f t="shared" si="0"/>
        <v>12</v>
      </c>
      <c r="E4347" s="28">
        <f t="shared" si="1"/>
        <v>10.5</v>
      </c>
      <c r="F4347" s="28">
        <f t="shared" si="2"/>
        <v>8.0769230769230766</v>
      </c>
      <c r="G4347" s="28">
        <f t="shared" si="5"/>
        <v>2.0512999999999999</v>
      </c>
      <c r="H4347" s="28">
        <f t="shared" si="6"/>
        <v>3.1276000000000002</v>
      </c>
      <c r="I4347" s="28">
        <f t="shared" si="7"/>
        <v>3.6271</v>
      </c>
      <c r="J4347" s="28">
        <f t="shared" si="8"/>
        <v>3.9864999999999999</v>
      </c>
      <c r="K4347" s="28">
        <f t="shared" si="9"/>
        <v>4.5430000000000001</v>
      </c>
      <c r="L4347" s="4"/>
      <c r="M4347" s="241">
        <v>3.6271</v>
      </c>
    </row>
    <row r="4348" spans="3:13" hidden="1" outlineLevel="1" x14ac:dyDescent="0.2">
      <c r="C4348" s="28">
        <f t="shared" si="4"/>
        <v>0.1015625</v>
      </c>
      <c r="D4348" s="28">
        <f t="shared" si="0"/>
        <v>13</v>
      </c>
      <c r="E4348" s="28">
        <f t="shared" si="1"/>
        <v>11.375</v>
      </c>
      <c r="F4348" s="28">
        <f t="shared" si="2"/>
        <v>8.75</v>
      </c>
      <c r="G4348" s="28">
        <f t="shared" si="5"/>
        <v>2.4056399999999991</v>
      </c>
      <c r="H4348" s="28">
        <f t="shared" si="6"/>
        <v>3.5860300000000005</v>
      </c>
      <c r="I4348" s="28">
        <f t="shared" si="7"/>
        <v>4.1294199999999996</v>
      </c>
      <c r="J4348" s="28">
        <f t="shared" si="8"/>
        <v>4.5194799999999979</v>
      </c>
      <c r="K4348" s="28">
        <f t="shared" si="9"/>
        <v>5.122040000000001</v>
      </c>
      <c r="L4348" s="4"/>
      <c r="M4348" s="241">
        <v>4.1294199999999996</v>
      </c>
    </row>
    <row r="4349" spans="3:13" hidden="1" outlineLevel="1" x14ac:dyDescent="0.2">
      <c r="C4349" s="28">
        <f t="shared" si="4"/>
        <v>0.109375</v>
      </c>
      <c r="D4349" s="28">
        <f t="shared" si="0"/>
        <v>14</v>
      </c>
      <c r="E4349" s="28">
        <f t="shared" si="1"/>
        <v>12.25</v>
      </c>
      <c r="F4349" s="28">
        <f t="shared" si="2"/>
        <v>9.4230769230769234</v>
      </c>
      <c r="G4349" s="28">
        <f t="shared" si="5"/>
        <v>2.7712999999999992</v>
      </c>
      <c r="H4349" s="28">
        <f t="shared" si="6"/>
        <v>4.0539800000000001</v>
      </c>
      <c r="I4349" s="28">
        <f t="shared" si="7"/>
        <v>4.6404199999999989</v>
      </c>
      <c r="J4349" s="28">
        <f t="shared" si="8"/>
        <v>5.0604999999999993</v>
      </c>
      <c r="K4349" s="28">
        <f t="shared" si="9"/>
        <v>5.7084000000000001</v>
      </c>
      <c r="L4349" s="4"/>
      <c r="M4349" s="241">
        <v>4.6404199999999989</v>
      </c>
    </row>
    <row r="4350" spans="3:13" hidden="1" outlineLevel="1" x14ac:dyDescent="0.2">
      <c r="C4350" s="28">
        <f t="shared" si="4"/>
        <v>0.1171875</v>
      </c>
      <c r="D4350" s="28">
        <f t="shared" si="0"/>
        <v>15</v>
      </c>
      <c r="E4350" s="28">
        <f t="shared" si="1"/>
        <v>13.125</v>
      </c>
      <c r="F4350" s="28">
        <f t="shared" si="2"/>
        <v>10.096153846153845</v>
      </c>
      <c r="G4350" s="28">
        <f t="shared" si="5"/>
        <v>3.0920000000000001</v>
      </c>
      <c r="H4350" s="28">
        <f t="shared" si="6"/>
        <v>4.4611999999999998</v>
      </c>
      <c r="I4350" s="28">
        <f t="shared" si="7"/>
        <v>5.0839999999999996</v>
      </c>
      <c r="J4350" s="28">
        <f t="shared" si="8"/>
        <v>5.5293999999999999</v>
      </c>
      <c r="K4350" s="28">
        <f t="shared" si="9"/>
        <v>6.2157</v>
      </c>
      <c r="L4350" s="4"/>
      <c r="M4350" s="241">
        <v>5.0839999999999996</v>
      </c>
    </row>
    <row r="4351" spans="3:13" hidden="1" outlineLevel="1" x14ac:dyDescent="0.2">
      <c r="C4351" s="28">
        <f t="shared" si="4"/>
        <v>0.125</v>
      </c>
      <c r="D4351" s="28">
        <f t="shared" si="0"/>
        <v>16</v>
      </c>
      <c r="E4351" s="28">
        <f t="shared" si="1"/>
        <v>14</v>
      </c>
      <c r="F4351" s="28">
        <f t="shared" si="2"/>
        <v>10.769230769230768</v>
      </c>
      <c r="G4351" s="28">
        <f t="shared" si="5"/>
        <v>3.4833699999999994</v>
      </c>
      <c r="H4351" s="28">
        <f t="shared" si="6"/>
        <v>4.950289999999999</v>
      </c>
      <c r="I4351" s="28">
        <f t="shared" si="7"/>
        <v>5.6142500000000011</v>
      </c>
      <c r="J4351" s="28">
        <f t="shared" si="8"/>
        <v>6.0884200000000002</v>
      </c>
      <c r="K4351" s="28">
        <f t="shared" si="9"/>
        <v>6.8181900000000022</v>
      </c>
      <c r="L4351" s="4"/>
      <c r="M4351" s="241">
        <v>5.6142500000000011</v>
      </c>
    </row>
    <row r="4352" spans="3:13" hidden="1" outlineLevel="1" x14ac:dyDescent="0.2">
      <c r="C4352" s="28">
        <f t="shared" si="4"/>
        <v>0.1328125</v>
      </c>
      <c r="D4352" s="28">
        <f t="shared" si="0"/>
        <v>17</v>
      </c>
      <c r="E4352" s="28">
        <f t="shared" si="1"/>
        <v>14.875</v>
      </c>
      <c r="F4352" s="28">
        <f t="shared" si="2"/>
        <v>11.442307692307692</v>
      </c>
      <c r="G4352" s="28">
        <f t="shared" si="5"/>
        <v>3.8832200000000001</v>
      </c>
      <c r="H4352" s="28">
        <f t="shared" si="6"/>
        <v>5.4463399999999993</v>
      </c>
      <c r="I4352" s="28">
        <f t="shared" si="7"/>
        <v>6.150780000000001</v>
      </c>
      <c r="J4352" s="28">
        <f t="shared" si="8"/>
        <v>6.6531999999999991</v>
      </c>
      <c r="K4352" s="28">
        <f t="shared" si="9"/>
        <v>7.4258799999999994</v>
      </c>
      <c r="L4352" s="4"/>
      <c r="M4352" s="241">
        <v>6.150780000000001</v>
      </c>
    </row>
    <row r="4353" spans="3:13" hidden="1" outlineLevel="1" x14ac:dyDescent="0.2">
      <c r="C4353" s="28">
        <f t="shared" si="4"/>
        <v>0.140625</v>
      </c>
      <c r="D4353" s="28">
        <f t="shared" si="0"/>
        <v>18</v>
      </c>
      <c r="E4353" s="28">
        <f t="shared" si="1"/>
        <v>15.75</v>
      </c>
      <c r="F4353" s="28">
        <f t="shared" si="2"/>
        <v>12.115384615384615</v>
      </c>
      <c r="G4353" s="28">
        <f t="shared" si="5"/>
        <v>4.2913100000000002</v>
      </c>
      <c r="H4353" s="28">
        <f t="shared" si="6"/>
        <v>5.9491200000000006</v>
      </c>
      <c r="I4353" s="28">
        <f t="shared" si="7"/>
        <v>6.6933800000000003</v>
      </c>
      <c r="J4353" s="28">
        <f t="shared" si="8"/>
        <v>7.2235700000000005</v>
      </c>
      <c r="K4353" s="28">
        <f t="shared" si="9"/>
        <v>8.0385799999999996</v>
      </c>
      <c r="L4353" s="4"/>
      <c r="M4353" s="241">
        <v>6.6933800000000003</v>
      </c>
    </row>
    <row r="4354" spans="3:13" hidden="1" outlineLevel="1" x14ac:dyDescent="0.2">
      <c r="C4354" s="28">
        <f t="shared" si="4"/>
        <v>0.1484375</v>
      </c>
      <c r="D4354" s="28">
        <f t="shared" si="0"/>
        <v>19</v>
      </c>
      <c r="E4354" s="28">
        <f t="shared" si="1"/>
        <v>16.625</v>
      </c>
      <c r="F4354" s="28">
        <f t="shared" si="2"/>
        <v>12.788461538461538</v>
      </c>
      <c r="G4354" s="28">
        <f t="shared" si="5"/>
        <v>4.6507700000000023</v>
      </c>
      <c r="H4354" s="28">
        <f t="shared" si="6"/>
        <v>6.3878400000000024</v>
      </c>
      <c r="I4354" s="28">
        <f t="shared" si="7"/>
        <v>7.1654600000000022</v>
      </c>
      <c r="J4354" s="28">
        <f t="shared" si="8"/>
        <v>7.7189900000000033</v>
      </c>
      <c r="K4354" s="28">
        <f t="shared" si="9"/>
        <v>8.569460000000003</v>
      </c>
      <c r="L4354" s="4"/>
      <c r="M4354" s="241">
        <v>7.1654600000000022</v>
      </c>
    </row>
    <row r="4355" spans="3:13" hidden="1" outlineLevel="1" x14ac:dyDescent="0.2">
      <c r="C4355" s="28">
        <f t="shared" si="4"/>
        <v>0.15625</v>
      </c>
      <c r="D4355" s="28">
        <f t="shared" si="0"/>
        <v>20</v>
      </c>
      <c r="E4355" s="28">
        <f t="shared" si="1"/>
        <v>17.5</v>
      </c>
      <c r="F4355" s="28">
        <f t="shared" si="2"/>
        <v>13.461538461538462</v>
      </c>
      <c r="G4355" s="28">
        <f t="shared" si="5"/>
        <v>5.076859999999999</v>
      </c>
      <c r="H4355" s="28">
        <f t="shared" si="6"/>
        <v>6.9049999999999985</v>
      </c>
      <c r="I4355" s="28">
        <f t="shared" si="7"/>
        <v>7.7210200000000011</v>
      </c>
      <c r="J4355" s="28">
        <f t="shared" si="8"/>
        <v>8.3014199999999985</v>
      </c>
      <c r="K4355" s="28">
        <f t="shared" si="9"/>
        <v>9.1927400000000024</v>
      </c>
      <c r="L4355" s="4"/>
      <c r="M4355" s="241">
        <v>7.7210200000000011</v>
      </c>
    </row>
    <row r="4356" spans="3:13" hidden="1" outlineLevel="1" x14ac:dyDescent="0.2">
      <c r="C4356" s="28">
        <f t="shared" si="4"/>
        <v>0.1640625</v>
      </c>
      <c r="D4356" s="28">
        <f t="shared" si="0"/>
        <v>21</v>
      </c>
      <c r="E4356" s="28">
        <f t="shared" si="1"/>
        <v>18.375</v>
      </c>
      <c r="F4356" s="28">
        <f t="shared" si="2"/>
        <v>14.134615384615383</v>
      </c>
      <c r="G4356" s="28">
        <f t="shared" si="5"/>
        <v>5.5094799999999999</v>
      </c>
      <c r="H4356" s="28">
        <f t="shared" si="6"/>
        <v>7.4273300000000004</v>
      </c>
      <c r="I4356" s="28">
        <f t="shared" si="7"/>
        <v>8.2812300000000008</v>
      </c>
      <c r="J4356" s="28">
        <f t="shared" si="8"/>
        <v>8.8881499999999996</v>
      </c>
      <c r="K4356" s="28">
        <f t="shared" si="9"/>
        <v>9.81982</v>
      </c>
      <c r="L4356" s="4"/>
      <c r="M4356" s="241">
        <v>8.2812300000000008</v>
      </c>
    </row>
    <row r="4357" spans="3:13" hidden="1" outlineLevel="1" x14ac:dyDescent="0.2">
      <c r="C4357" s="28">
        <f t="shared" si="4"/>
        <v>0.171875</v>
      </c>
      <c r="D4357" s="28">
        <f t="shared" si="0"/>
        <v>22</v>
      </c>
      <c r="E4357" s="28">
        <f t="shared" si="1"/>
        <v>19.25</v>
      </c>
      <c r="F4357" s="28">
        <f t="shared" si="2"/>
        <v>14.807692307692307</v>
      </c>
      <c r="G4357" s="28">
        <f t="shared" si="5"/>
        <v>5.9510400000000017</v>
      </c>
      <c r="H4357" s="28">
        <f t="shared" si="6"/>
        <v>7.9567400000000026</v>
      </c>
      <c r="I4357" s="28">
        <f t="shared" si="7"/>
        <v>8.8477400000000035</v>
      </c>
      <c r="J4357" s="28">
        <f t="shared" si="8"/>
        <v>9.4806999999999988</v>
      </c>
      <c r="K4357" s="28">
        <f t="shared" si="9"/>
        <v>10.452060000000001</v>
      </c>
      <c r="L4357" s="4"/>
      <c r="M4357" s="241">
        <v>8.8477400000000035</v>
      </c>
    </row>
    <row r="4358" spans="3:13" hidden="1" outlineLevel="1" x14ac:dyDescent="0.2">
      <c r="C4358" s="28">
        <f t="shared" si="4"/>
        <v>0.1796875</v>
      </c>
      <c r="D4358" s="28">
        <f t="shared" si="0"/>
        <v>23</v>
      </c>
      <c r="E4358" s="28">
        <f t="shared" si="1"/>
        <v>20.125</v>
      </c>
      <c r="F4358" s="28">
        <f t="shared" si="2"/>
        <v>15.48076923076923</v>
      </c>
      <c r="G4358" s="28">
        <f t="shared" si="5"/>
        <v>6.3349199999999994</v>
      </c>
      <c r="H4358" s="28">
        <f t="shared" si="6"/>
        <v>8.4148000000000032</v>
      </c>
      <c r="I4358" s="28">
        <f t="shared" si="7"/>
        <v>9.3371200000000005</v>
      </c>
      <c r="J4358" s="28">
        <f t="shared" si="8"/>
        <v>9.9920800000000032</v>
      </c>
      <c r="K4358" s="28">
        <f t="shared" si="9"/>
        <v>10.997059999999998</v>
      </c>
      <c r="L4358" s="4"/>
      <c r="M4358" s="241">
        <v>9.3371200000000005</v>
      </c>
    </row>
    <row r="4359" spans="3:13" hidden="1" outlineLevel="1" x14ac:dyDescent="0.2">
      <c r="C4359" s="28">
        <f t="shared" si="4"/>
        <v>0.1875</v>
      </c>
      <c r="D4359" s="28">
        <f t="shared" si="0"/>
        <v>24</v>
      </c>
      <c r="E4359" s="28">
        <f t="shared" si="1"/>
        <v>21</v>
      </c>
      <c r="F4359" s="28">
        <f t="shared" si="2"/>
        <v>16.153846153846153</v>
      </c>
      <c r="G4359" s="28">
        <f t="shared" si="5"/>
        <v>6.7871600000000001</v>
      </c>
      <c r="H4359" s="28">
        <f t="shared" si="6"/>
        <v>8.9526599999999998</v>
      </c>
      <c r="I4359" s="28">
        <f t="shared" si="7"/>
        <v>9.9111399999999996</v>
      </c>
      <c r="J4359" s="28">
        <f t="shared" si="8"/>
        <v>10.59151</v>
      </c>
      <c r="K4359" s="28">
        <f t="shared" si="9"/>
        <v>11.63537</v>
      </c>
      <c r="L4359" s="4"/>
      <c r="M4359" s="241">
        <v>9.9111399999999996</v>
      </c>
    </row>
    <row r="4360" spans="3:13" hidden="1" outlineLevel="1" x14ac:dyDescent="0.2">
      <c r="C4360" s="28">
        <f t="shared" si="4"/>
        <v>0.1953125</v>
      </c>
      <c r="D4360" s="28">
        <f t="shared" si="0"/>
        <v>25</v>
      </c>
      <c r="E4360" s="28">
        <f t="shared" si="1"/>
        <v>21.875</v>
      </c>
      <c r="F4360" s="28">
        <f t="shared" si="2"/>
        <v>16.826923076923077</v>
      </c>
      <c r="G4360" s="28">
        <f t="shared" si="5"/>
        <v>7.246780000000002</v>
      </c>
      <c r="H4360" s="28">
        <f t="shared" si="6"/>
        <v>9.4962799999999987</v>
      </c>
      <c r="I4360" s="28">
        <f t="shared" si="7"/>
        <v>10.490319999999995</v>
      </c>
      <c r="J4360" s="28">
        <f t="shared" si="8"/>
        <v>11.195679999999994</v>
      </c>
      <c r="K4360" s="28">
        <f t="shared" si="9"/>
        <v>12.277760000000002</v>
      </c>
      <c r="L4360" s="4"/>
      <c r="M4360" s="241">
        <v>10.490319999999995</v>
      </c>
    </row>
    <row r="4361" spans="3:13" hidden="1" outlineLevel="1" x14ac:dyDescent="0.2">
      <c r="C4361" s="28">
        <f t="shared" si="4"/>
        <v>0.203125</v>
      </c>
      <c r="D4361" s="28">
        <f t="shared" si="0"/>
        <v>26</v>
      </c>
      <c r="E4361" s="28">
        <f t="shared" si="1"/>
        <v>22.75</v>
      </c>
      <c r="F4361" s="28">
        <f t="shared" si="2"/>
        <v>17.5</v>
      </c>
      <c r="G4361" s="28">
        <f t="shared" si="5"/>
        <v>7.711999999999998</v>
      </c>
      <c r="H4361" s="28">
        <f t="shared" si="6"/>
        <v>10.044250000000003</v>
      </c>
      <c r="I4361" s="28">
        <f t="shared" si="7"/>
        <v>11.073350000000001</v>
      </c>
      <c r="J4361" s="28">
        <f t="shared" si="8"/>
        <v>11.803349999999996</v>
      </c>
      <c r="K4361" s="28">
        <f t="shared" si="9"/>
        <v>12.923249999999999</v>
      </c>
      <c r="L4361" s="4"/>
      <c r="M4361" s="241">
        <v>11.073350000000001</v>
      </c>
    </row>
    <row r="4362" spans="3:13" hidden="1" outlineLevel="1" x14ac:dyDescent="0.2">
      <c r="C4362" s="28">
        <f t="shared" si="4"/>
        <v>0.2109375</v>
      </c>
      <c r="D4362" s="28">
        <f t="shared" si="0"/>
        <v>27</v>
      </c>
      <c r="E4362" s="28">
        <f t="shared" si="1"/>
        <v>23.625</v>
      </c>
      <c r="F4362" s="28">
        <f t="shared" si="2"/>
        <v>18.173076923076923</v>
      </c>
      <c r="G4362" s="28">
        <f t="shared" si="5"/>
        <v>8.1136999999999997</v>
      </c>
      <c r="H4362" s="28">
        <f t="shared" si="6"/>
        <v>10.516220000000001</v>
      </c>
      <c r="I4362" s="28">
        <f t="shared" si="7"/>
        <v>11.57511</v>
      </c>
      <c r="J4362" s="28">
        <f t="shared" si="8"/>
        <v>12.32606</v>
      </c>
      <c r="K4362" s="28">
        <f t="shared" si="9"/>
        <v>13.478149999999999</v>
      </c>
      <c r="L4362" s="4"/>
      <c r="M4362" s="241">
        <v>11.57511</v>
      </c>
    </row>
    <row r="4363" spans="3:13" hidden="1" outlineLevel="1" x14ac:dyDescent="0.2">
      <c r="C4363" s="28">
        <f t="shared" si="4"/>
        <v>0.21875</v>
      </c>
      <c r="D4363" s="28">
        <f t="shared" si="0"/>
        <v>28</v>
      </c>
      <c r="E4363" s="28">
        <f t="shared" si="1"/>
        <v>24.5</v>
      </c>
      <c r="F4363" s="28">
        <f t="shared" si="2"/>
        <v>18.846153846153847</v>
      </c>
      <c r="G4363" s="28">
        <f t="shared" si="5"/>
        <v>8.5883000000000003</v>
      </c>
      <c r="H4363" s="28">
        <f t="shared" si="6"/>
        <v>11.071459999999995</v>
      </c>
      <c r="I4363" s="28">
        <f t="shared" si="7"/>
        <v>12.164580000000004</v>
      </c>
      <c r="J4363" s="28">
        <f t="shared" si="8"/>
        <v>12.939679999999997</v>
      </c>
      <c r="K4363" s="28">
        <f t="shared" si="9"/>
        <v>14.1288</v>
      </c>
      <c r="L4363" s="4"/>
      <c r="M4363" s="241">
        <v>12.164580000000004</v>
      </c>
    </row>
    <row r="4364" spans="3:13" hidden="1" outlineLevel="1" x14ac:dyDescent="0.2">
      <c r="C4364" s="28">
        <f t="shared" si="4"/>
        <v>0.2265625</v>
      </c>
      <c r="D4364" s="28">
        <f t="shared" si="0"/>
        <v>29</v>
      </c>
      <c r="E4364" s="28">
        <f t="shared" si="1"/>
        <v>25.375</v>
      </c>
      <c r="F4364" s="28">
        <f t="shared" si="2"/>
        <v>19.51923076923077</v>
      </c>
      <c r="G4364" s="28">
        <f t="shared" si="5"/>
        <v>9.0676999999999968</v>
      </c>
      <c r="H4364" s="28">
        <f t="shared" si="6"/>
        <v>11.63035</v>
      </c>
      <c r="I4364" s="28">
        <f t="shared" si="7"/>
        <v>12.757249999999997</v>
      </c>
      <c r="J4364" s="28">
        <f t="shared" si="8"/>
        <v>13.556200000000004</v>
      </c>
      <c r="K4364" s="28">
        <f t="shared" si="9"/>
        <v>14.782000000000002</v>
      </c>
      <c r="L4364" s="4"/>
      <c r="M4364" s="241">
        <v>12.757249999999997</v>
      </c>
    </row>
    <row r="4365" spans="3:13" hidden="1" outlineLevel="1" x14ac:dyDescent="0.2">
      <c r="C4365" s="28">
        <f t="shared" si="4"/>
        <v>0.234375</v>
      </c>
      <c r="D4365" s="28">
        <f t="shared" si="0"/>
        <v>30</v>
      </c>
      <c r="E4365" s="28">
        <f t="shared" si="1"/>
        <v>26.25</v>
      </c>
      <c r="F4365" s="28">
        <f t="shared" si="2"/>
        <v>20.19230769230769</v>
      </c>
      <c r="G4365" s="28">
        <f t="shared" si="5"/>
        <v>9.4811200000000007</v>
      </c>
      <c r="H4365" s="28">
        <f t="shared" si="6"/>
        <v>12.111319999999999</v>
      </c>
      <c r="I4365" s="28">
        <f t="shared" si="7"/>
        <v>13.26695</v>
      </c>
      <c r="J4365" s="28">
        <f t="shared" si="8"/>
        <v>14.08619</v>
      </c>
      <c r="K4365" s="28">
        <f t="shared" si="9"/>
        <v>15.343220000000001</v>
      </c>
      <c r="L4365" s="4"/>
      <c r="M4365" s="241">
        <v>13.26695</v>
      </c>
    </row>
    <row r="4366" spans="3:13" hidden="1" outlineLevel="1" x14ac:dyDescent="0.2">
      <c r="C4366" s="28">
        <f t="shared" si="4"/>
        <v>0.2421875</v>
      </c>
      <c r="D4366" s="28">
        <f t="shared" si="0"/>
        <v>31</v>
      </c>
      <c r="E4366" s="28">
        <f t="shared" si="1"/>
        <v>27.125</v>
      </c>
      <c r="F4366" s="28">
        <f t="shared" si="2"/>
        <v>20.865384615384613</v>
      </c>
      <c r="G4366" s="28">
        <f t="shared" si="5"/>
        <v>9.9684600000000039</v>
      </c>
      <c r="H4366" s="28">
        <f t="shared" si="6"/>
        <v>12.676359999999995</v>
      </c>
      <c r="I4366" s="28">
        <f t="shared" si="7"/>
        <v>13.865099999999998</v>
      </c>
      <c r="J4366" s="28">
        <f t="shared" si="8"/>
        <v>14.707719999999997</v>
      </c>
      <c r="K4366" s="28">
        <f t="shared" si="9"/>
        <v>16.000660000000003</v>
      </c>
      <c r="L4366" s="4"/>
      <c r="M4366" s="241">
        <v>13.865099999999998</v>
      </c>
    </row>
    <row r="4367" spans="3:13" hidden="1" outlineLevel="1" x14ac:dyDescent="0.2">
      <c r="C4367" s="28">
        <f t="shared" si="4"/>
        <v>0.25</v>
      </c>
      <c r="D4367" s="28">
        <f t="shared" si="0"/>
        <v>32</v>
      </c>
      <c r="E4367" s="28">
        <f t="shared" si="1"/>
        <v>28</v>
      </c>
      <c r="F4367" s="28">
        <f t="shared" si="2"/>
        <v>21.538461538461537</v>
      </c>
      <c r="G4367" s="28">
        <f t="shared" si="5"/>
        <v>10.459899999999998</v>
      </c>
      <c r="H4367" s="28">
        <f t="shared" si="6"/>
        <v>13.244550000000002</v>
      </c>
      <c r="I4367" s="28">
        <f t="shared" si="7"/>
        <v>14.465950000000003</v>
      </c>
      <c r="J4367" s="28">
        <f t="shared" si="8"/>
        <v>15.331700000000003</v>
      </c>
      <c r="K4367" s="28">
        <f t="shared" si="9"/>
        <v>16.660249999999994</v>
      </c>
      <c r="L4367" s="4"/>
      <c r="M4367" s="241">
        <v>14.465950000000003</v>
      </c>
    </row>
    <row r="4368" spans="3:13" hidden="1" outlineLevel="1" x14ac:dyDescent="0.2">
      <c r="C4368" s="28">
        <f t="shared" si="4"/>
        <v>0.2578125</v>
      </c>
      <c r="D4368" s="28">
        <f t="shared" si="0"/>
        <v>33</v>
      </c>
      <c r="E4368" s="28">
        <f t="shared" si="1"/>
        <v>28.875</v>
      </c>
      <c r="F4368" s="28">
        <f t="shared" si="2"/>
        <v>22.21153846153846</v>
      </c>
      <c r="G4368" s="28">
        <f t="shared" si="5"/>
        <v>10.954499999999999</v>
      </c>
      <c r="H4368" s="28">
        <f t="shared" si="6"/>
        <v>13.815140000000001</v>
      </c>
      <c r="I4368" s="28">
        <f t="shared" si="7"/>
        <v>15.068899999999999</v>
      </c>
      <c r="J4368" s="28">
        <f t="shared" si="8"/>
        <v>15.95758</v>
      </c>
      <c r="K4368" s="28">
        <f t="shared" si="9"/>
        <v>17.321500000000004</v>
      </c>
      <c r="L4368" s="4"/>
      <c r="M4368" s="241">
        <v>15.068899999999999</v>
      </c>
    </row>
    <row r="4369" spans="3:13" hidden="1" outlineLevel="1" x14ac:dyDescent="0.2">
      <c r="C4369" s="28">
        <f t="shared" si="4"/>
        <v>0.265625</v>
      </c>
      <c r="D4369" s="28">
        <f t="shared" si="0"/>
        <v>34</v>
      </c>
      <c r="E4369" s="28">
        <f t="shared" si="1"/>
        <v>29.75</v>
      </c>
      <c r="F4369" s="28">
        <f t="shared" si="2"/>
        <v>22.884615384615383</v>
      </c>
      <c r="G4369" s="28">
        <f t="shared" si="5"/>
        <v>11.381700000000006</v>
      </c>
      <c r="H4369" s="28">
        <f t="shared" si="6"/>
        <v>14.306660000000003</v>
      </c>
      <c r="I4369" s="28">
        <f t="shared" si="7"/>
        <v>15.587900000000005</v>
      </c>
      <c r="J4369" s="28">
        <f t="shared" si="8"/>
        <v>16.496019999999994</v>
      </c>
      <c r="K4369" s="28">
        <f t="shared" si="9"/>
        <v>17.890000000000011</v>
      </c>
      <c r="L4369" s="4"/>
      <c r="M4369" s="241">
        <v>15.587900000000005</v>
      </c>
    </row>
    <row r="4370" spans="3:13" hidden="1" outlineLevel="1" x14ac:dyDescent="0.2">
      <c r="C4370" s="28">
        <f t="shared" si="4"/>
        <v>0.2734375</v>
      </c>
      <c r="D4370" s="28">
        <f t="shared" si="0"/>
        <v>35</v>
      </c>
      <c r="E4370" s="28">
        <f t="shared" si="1"/>
        <v>30.625</v>
      </c>
      <c r="F4370" s="28">
        <f t="shared" si="2"/>
        <v>23.557692307692307</v>
      </c>
      <c r="G4370" s="28">
        <f t="shared" si="5"/>
        <v>11.883649999999996</v>
      </c>
      <c r="H4370" s="28">
        <f t="shared" si="6"/>
        <v>14.882749999999998</v>
      </c>
      <c r="I4370" s="28">
        <f t="shared" si="7"/>
        <v>16.195750000000004</v>
      </c>
      <c r="J4370" s="28">
        <f t="shared" si="8"/>
        <v>17.126350000000002</v>
      </c>
      <c r="K4370" s="28">
        <f t="shared" si="9"/>
        <v>18.555100000000007</v>
      </c>
      <c r="L4370" s="4"/>
      <c r="M4370" s="241">
        <v>16.195750000000004</v>
      </c>
    </row>
    <row r="4371" spans="3:13" hidden="1" outlineLevel="1" x14ac:dyDescent="0.2">
      <c r="C4371" s="28">
        <f t="shared" si="4"/>
        <v>0.28125</v>
      </c>
      <c r="D4371" s="28">
        <f t="shared" si="0"/>
        <v>36</v>
      </c>
      <c r="E4371" s="28">
        <f t="shared" si="1"/>
        <v>31.5</v>
      </c>
      <c r="F4371" s="28">
        <f t="shared" si="2"/>
        <v>24.23076923076923</v>
      </c>
      <c r="G4371" s="28">
        <f t="shared" si="5"/>
        <v>12.2432</v>
      </c>
      <c r="H4371" s="28">
        <f t="shared" si="6"/>
        <v>15.295</v>
      </c>
      <c r="I4371" s="28">
        <f t="shared" si="7"/>
        <v>16.630600000000001</v>
      </c>
      <c r="J4371" s="28">
        <f t="shared" si="8"/>
        <v>17.577200000000001</v>
      </c>
      <c r="K4371" s="28">
        <f t="shared" si="9"/>
        <v>19.0307</v>
      </c>
      <c r="L4371" s="4"/>
      <c r="M4371" s="241">
        <v>16.630600000000001</v>
      </c>
    </row>
    <row r="4372" spans="3:13" hidden="1" outlineLevel="1" x14ac:dyDescent="0.2">
      <c r="C4372" s="28">
        <f t="shared" si="4"/>
        <v>0.2890625</v>
      </c>
      <c r="D4372" s="28">
        <f t="shared" si="0"/>
        <v>37</v>
      </c>
      <c r="E4372" s="28">
        <f t="shared" si="1"/>
        <v>32.375</v>
      </c>
      <c r="F4372" s="28">
        <f t="shared" si="2"/>
        <v>24.903846153846153</v>
      </c>
      <c r="G4372" s="28">
        <f t="shared" si="5"/>
        <v>12.2432</v>
      </c>
      <c r="H4372" s="28">
        <f t="shared" si="6"/>
        <v>15.295</v>
      </c>
      <c r="I4372" s="28">
        <f t="shared" si="7"/>
        <v>16.630600000000001</v>
      </c>
      <c r="J4372" s="28">
        <f t="shared" si="8"/>
        <v>17.577200000000001</v>
      </c>
      <c r="K4372" s="28">
        <f t="shared" si="9"/>
        <v>19.0307</v>
      </c>
      <c r="L4372" s="4"/>
      <c r="M4372" s="241">
        <v>16.630600000000001</v>
      </c>
    </row>
    <row r="4373" spans="3:13" hidden="1" outlineLevel="1" x14ac:dyDescent="0.2">
      <c r="C4373" s="28">
        <f t="shared" si="4"/>
        <v>0.296875</v>
      </c>
      <c r="D4373" s="28">
        <f t="shared" si="0"/>
        <v>38</v>
      </c>
      <c r="E4373" s="28">
        <f t="shared" si="1"/>
        <v>33.25</v>
      </c>
      <c r="F4373" s="28">
        <f t="shared" si="2"/>
        <v>25.576923076923077</v>
      </c>
      <c r="G4373" s="28">
        <f t="shared" si="5"/>
        <v>12.9689</v>
      </c>
      <c r="H4373" s="28">
        <f t="shared" si="6"/>
        <v>16.124600000000001</v>
      </c>
      <c r="I4373" s="28">
        <f t="shared" si="7"/>
        <v>17.5046</v>
      </c>
      <c r="J4373" s="28">
        <f t="shared" si="8"/>
        <v>18.482800000000001</v>
      </c>
      <c r="K4373" s="28">
        <f t="shared" si="9"/>
        <v>19.985299999999999</v>
      </c>
      <c r="L4373" s="4"/>
      <c r="M4373" s="241">
        <v>17.5046</v>
      </c>
    </row>
    <row r="4374" spans="3:13" hidden="1" outlineLevel="1" x14ac:dyDescent="0.2">
      <c r="C4374" s="28">
        <f t="shared" si="4"/>
        <v>0.3046875</v>
      </c>
      <c r="D4374" s="28">
        <f t="shared" si="0"/>
        <v>39</v>
      </c>
      <c r="E4374" s="28">
        <f t="shared" si="1"/>
        <v>34.125</v>
      </c>
      <c r="F4374" s="28">
        <f t="shared" si="2"/>
        <v>26.25</v>
      </c>
      <c r="G4374" s="28">
        <f t="shared" si="5"/>
        <v>13.700799999999999</v>
      </c>
      <c r="H4374" s="28">
        <f t="shared" si="6"/>
        <v>16.9588</v>
      </c>
      <c r="I4374" s="28">
        <f t="shared" si="7"/>
        <v>18.3828</v>
      </c>
      <c r="J4374" s="28">
        <f t="shared" si="8"/>
        <v>19.392199999999999</v>
      </c>
      <c r="K4374" s="28">
        <f t="shared" si="9"/>
        <v>20.943000000000001</v>
      </c>
      <c r="L4374" s="4"/>
      <c r="M4374" s="241">
        <v>18.3828</v>
      </c>
    </row>
    <row r="4375" spans="3:13" hidden="1" outlineLevel="1" x14ac:dyDescent="0.2">
      <c r="C4375" s="28">
        <f t="shared" si="4"/>
        <v>0.3125</v>
      </c>
      <c r="D4375" s="28">
        <f t="shared" si="0"/>
        <v>40</v>
      </c>
      <c r="E4375" s="28">
        <f t="shared" si="1"/>
        <v>35</v>
      </c>
      <c r="F4375" s="28">
        <f t="shared" si="2"/>
        <v>26.923076923076923</v>
      </c>
      <c r="G4375" s="28">
        <f t="shared" si="5"/>
        <v>13.700799999999999</v>
      </c>
      <c r="H4375" s="28">
        <f t="shared" si="6"/>
        <v>16.9588</v>
      </c>
      <c r="I4375" s="28">
        <f t="shared" si="7"/>
        <v>18.3828</v>
      </c>
      <c r="J4375" s="28">
        <f t="shared" si="8"/>
        <v>19.392199999999999</v>
      </c>
      <c r="K4375" s="28">
        <f t="shared" si="9"/>
        <v>20.943000000000001</v>
      </c>
      <c r="L4375" s="4"/>
      <c r="M4375" s="241">
        <v>18.3828</v>
      </c>
    </row>
    <row r="4376" spans="3:13" hidden="1" outlineLevel="1" x14ac:dyDescent="0.2">
      <c r="C4376" s="28">
        <f t="shared" si="4"/>
        <v>0.3203125</v>
      </c>
      <c r="D4376" s="28">
        <f t="shared" si="0"/>
        <v>41</v>
      </c>
      <c r="E4376" s="28">
        <f t="shared" si="1"/>
        <v>35.875</v>
      </c>
      <c r="F4376" s="28">
        <f t="shared" si="2"/>
        <v>27.596153846153847</v>
      </c>
      <c r="G4376" s="28">
        <f t="shared" si="5"/>
        <v>14.438499999999999</v>
      </c>
      <c r="H4376" s="28">
        <f t="shared" si="6"/>
        <v>17.7974</v>
      </c>
      <c r="I4376" s="28">
        <f t="shared" si="7"/>
        <v>19.264800000000001</v>
      </c>
      <c r="J4376" s="28">
        <f t="shared" si="8"/>
        <v>20.305</v>
      </c>
      <c r="K4376" s="28">
        <f t="shared" si="9"/>
        <v>21.903700000000001</v>
      </c>
      <c r="L4376" s="4"/>
      <c r="M4376" s="241">
        <v>19.264800000000001</v>
      </c>
    </row>
    <row r="4377" spans="3:13" hidden="1" outlineLevel="1" x14ac:dyDescent="0.2">
      <c r="C4377" s="28">
        <f t="shared" si="4"/>
        <v>0.328125</v>
      </c>
      <c r="D4377" s="28">
        <f t="shared" si="0"/>
        <v>42</v>
      </c>
      <c r="E4377" s="28">
        <f t="shared" si="1"/>
        <v>36.75</v>
      </c>
      <c r="F4377" s="28">
        <f t="shared" si="2"/>
        <v>28.269230769230766</v>
      </c>
      <c r="G4377" s="28">
        <f t="shared" si="5"/>
        <v>15.181800000000001</v>
      </c>
      <c r="H4377" s="28">
        <f t="shared" si="6"/>
        <v>18.6402</v>
      </c>
      <c r="I4377" s="28">
        <f t="shared" si="7"/>
        <v>20.150400000000001</v>
      </c>
      <c r="J4377" s="28">
        <f t="shared" si="8"/>
        <v>21.2211</v>
      </c>
      <c r="K4377" s="28">
        <f t="shared" si="9"/>
        <v>22.8672</v>
      </c>
      <c r="L4377" s="4"/>
      <c r="M4377" s="241">
        <v>20.150400000000001</v>
      </c>
    </row>
    <row r="4378" spans="3:13" hidden="1" outlineLevel="1" x14ac:dyDescent="0.2">
      <c r="C4378" s="28">
        <f t="shared" si="4"/>
        <v>0.3359375</v>
      </c>
      <c r="D4378" s="28">
        <f t="shared" si="0"/>
        <v>43</v>
      </c>
      <c r="E4378" s="28">
        <f t="shared" si="1"/>
        <v>37.625</v>
      </c>
      <c r="F4378" s="28">
        <f t="shared" si="2"/>
        <v>28.94230769230769</v>
      </c>
      <c r="G4378" s="28">
        <f t="shared" si="5"/>
        <v>15.181800000000001</v>
      </c>
      <c r="H4378" s="28">
        <f t="shared" si="6"/>
        <v>18.6402</v>
      </c>
      <c r="I4378" s="28">
        <f t="shared" si="7"/>
        <v>20.150400000000001</v>
      </c>
      <c r="J4378" s="28">
        <f t="shared" si="8"/>
        <v>21.2211</v>
      </c>
      <c r="K4378" s="28">
        <f t="shared" si="9"/>
        <v>22.8672</v>
      </c>
      <c r="L4378" s="4"/>
      <c r="M4378" s="241">
        <v>20.150400000000001</v>
      </c>
    </row>
    <row r="4379" spans="3:13" hidden="1" outlineLevel="1" x14ac:dyDescent="0.2">
      <c r="C4379" s="28">
        <f t="shared" si="4"/>
        <v>0.34375</v>
      </c>
      <c r="D4379" s="28">
        <f t="shared" si="0"/>
        <v>44</v>
      </c>
      <c r="E4379" s="28">
        <f t="shared" si="1"/>
        <v>38.5</v>
      </c>
      <c r="F4379" s="28">
        <f t="shared" si="2"/>
        <v>29.615384615384613</v>
      </c>
      <c r="G4379" s="28">
        <f t="shared" si="5"/>
        <v>15.930400000000001</v>
      </c>
      <c r="H4379" s="28">
        <f t="shared" si="6"/>
        <v>19.486899999999999</v>
      </c>
      <c r="I4379" s="28">
        <f t="shared" si="7"/>
        <v>21.039400000000001</v>
      </c>
      <c r="J4379" s="28">
        <f t="shared" si="8"/>
        <v>22.1402</v>
      </c>
      <c r="K4379" s="28">
        <f t="shared" si="9"/>
        <v>23.833300000000001</v>
      </c>
      <c r="L4379" s="4"/>
      <c r="M4379" s="241">
        <v>21.039400000000001</v>
      </c>
    </row>
    <row r="4380" spans="3:13" hidden="1" outlineLevel="1" x14ac:dyDescent="0.2">
      <c r="C4380" s="28">
        <f t="shared" si="4"/>
        <v>0.3515625</v>
      </c>
      <c r="D4380" s="28">
        <f t="shared" si="0"/>
        <v>45</v>
      </c>
      <c r="E4380" s="28">
        <f t="shared" si="1"/>
        <v>39.375</v>
      </c>
      <c r="F4380" s="28">
        <f t="shared" si="2"/>
        <v>30.288461538461537</v>
      </c>
      <c r="G4380" s="28">
        <f t="shared" si="5"/>
        <v>16.683900000000001</v>
      </c>
      <c r="H4380" s="28">
        <f t="shared" si="6"/>
        <v>20.337299999999999</v>
      </c>
      <c r="I4380" s="28">
        <f t="shared" si="7"/>
        <v>21.9316</v>
      </c>
      <c r="J4380" s="28">
        <f t="shared" si="8"/>
        <v>23.0623</v>
      </c>
      <c r="K4380" s="28">
        <f t="shared" si="9"/>
        <v>24.8018</v>
      </c>
      <c r="L4380" s="4"/>
      <c r="M4380" s="241">
        <v>21.9316</v>
      </c>
    </row>
    <row r="4381" spans="3:13" hidden="1" outlineLevel="1" x14ac:dyDescent="0.2">
      <c r="C4381" s="28">
        <f t="shared" si="4"/>
        <v>0.359375</v>
      </c>
      <c r="D4381" s="28">
        <f t="shared" si="0"/>
        <v>46</v>
      </c>
      <c r="E4381" s="28">
        <f t="shared" si="1"/>
        <v>40.25</v>
      </c>
      <c r="F4381" s="28">
        <f t="shared" si="2"/>
        <v>30.96153846153846</v>
      </c>
      <c r="G4381" s="28">
        <f t="shared" si="5"/>
        <v>16.683900000000001</v>
      </c>
      <c r="H4381" s="28">
        <f t="shared" si="6"/>
        <v>20.337299999999999</v>
      </c>
      <c r="I4381" s="28">
        <f t="shared" si="7"/>
        <v>21.9316</v>
      </c>
      <c r="J4381" s="28">
        <f t="shared" si="8"/>
        <v>23.0623</v>
      </c>
      <c r="K4381" s="28">
        <f t="shared" si="9"/>
        <v>24.8018</v>
      </c>
      <c r="L4381" s="4"/>
      <c r="M4381" s="241">
        <v>21.9316</v>
      </c>
    </row>
    <row r="4382" spans="3:13" hidden="1" outlineLevel="1" x14ac:dyDescent="0.2">
      <c r="C4382" s="28">
        <f t="shared" si="4"/>
        <v>0.3671875</v>
      </c>
      <c r="D4382" s="28">
        <f t="shared" si="0"/>
        <v>47</v>
      </c>
      <c r="E4382" s="28">
        <f t="shared" si="1"/>
        <v>41.125</v>
      </c>
      <c r="F4382" s="28">
        <f t="shared" si="2"/>
        <v>31.634615384615383</v>
      </c>
      <c r="G4382" s="28">
        <f t="shared" si="5"/>
        <v>17.442</v>
      </c>
      <c r="H4382" s="28">
        <f t="shared" si="6"/>
        <v>21.191099999999999</v>
      </c>
      <c r="I4382" s="28">
        <f t="shared" si="7"/>
        <v>22.826799999999999</v>
      </c>
      <c r="J4382" s="28">
        <f t="shared" si="8"/>
        <v>23.987100000000002</v>
      </c>
      <c r="K4382" s="28">
        <f t="shared" si="9"/>
        <v>25.7727</v>
      </c>
      <c r="L4382" s="4"/>
      <c r="M4382" s="241">
        <v>22.826799999999999</v>
      </c>
    </row>
    <row r="4383" spans="3:13" hidden="1" outlineLevel="1" x14ac:dyDescent="0.2">
      <c r="C4383" s="28">
        <f t="shared" si="4"/>
        <v>0.375</v>
      </c>
      <c r="D4383" s="28">
        <f t="shared" si="0"/>
        <v>48</v>
      </c>
      <c r="E4383" s="28">
        <f t="shared" si="1"/>
        <v>42</v>
      </c>
      <c r="F4383" s="28">
        <f t="shared" si="2"/>
        <v>32.307692307692307</v>
      </c>
      <c r="G4383" s="28">
        <f t="shared" si="5"/>
        <v>18.204699999999999</v>
      </c>
      <c r="H4383" s="28">
        <f t="shared" si="6"/>
        <v>22.048300000000001</v>
      </c>
      <c r="I4383" s="28">
        <f t="shared" si="7"/>
        <v>23.724900000000002</v>
      </c>
      <c r="J4383" s="28">
        <f t="shared" si="8"/>
        <v>24.914400000000001</v>
      </c>
      <c r="K4383" s="28">
        <f t="shared" si="9"/>
        <v>26.745699999999999</v>
      </c>
      <c r="L4383" s="4"/>
      <c r="M4383" s="241">
        <v>23.724900000000002</v>
      </c>
    </row>
    <row r="4384" spans="3:13" hidden="1" outlineLevel="1" x14ac:dyDescent="0.2">
      <c r="C4384" s="28">
        <f t="shared" si="4"/>
        <v>0.3828125</v>
      </c>
      <c r="D4384" s="28">
        <f t="shared" si="0"/>
        <v>49</v>
      </c>
      <c r="E4384" s="28">
        <f t="shared" si="1"/>
        <v>42.875</v>
      </c>
      <c r="F4384" s="28">
        <f t="shared" si="2"/>
        <v>32.980769230769226</v>
      </c>
      <c r="G4384" s="28">
        <f t="shared" si="5"/>
        <v>18.204699999999999</v>
      </c>
      <c r="H4384" s="28">
        <f t="shared" si="6"/>
        <v>22.048300000000001</v>
      </c>
      <c r="I4384" s="28">
        <f t="shared" si="7"/>
        <v>23.724900000000002</v>
      </c>
      <c r="J4384" s="28">
        <f t="shared" si="8"/>
        <v>24.914400000000001</v>
      </c>
      <c r="K4384" s="28">
        <f t="shared" si="9"/>
        <v>26.745699999999999</v>
      </c>
      <c r="L4384" s="4"/>
      <c r="M4384" s="241">
        <v>23.724900000000002</v>
      </c>
    </row>
    <row r="4385" spans="3:13" hidden="1" outlineLevel="1" x14ac:dyDescent="0.2">
      <c r="C4385" s="28">
        <f t="shared" si="4"/>
        <v>0.390625</v>
      </c>
      <c r="D4385" s="28">
        <f t="shared" si="0"/>
        <v>50</v>
      </c>
      <c r="E4385" s="28">
        <f t="shared" si="1"/>
        <v>43.75</v>
      </c>
      <c r="F4385" s="28">
        <f t="shared" si="2"/>
        <v>33.653846153846153</v>
      </c>
      <c r="G4385" s="28">
        <f t="shared" si="5"/>
        <v>18.971599999999999</v>
      </c>
      <c r="H4385" s="28">
        <f t="shared" si="6"/>
        <v>22.9087</v>
      </c>
      <c r="I4385" s="28">
        <f t="shared" si="7"/>
        <v>24.625699999999998</v>
      </c>
      <c r="J4385" s="28">
        <f t="shared" si="8"/>
        <v>25.844200000000001</v>
      </c>
      <c r="K4385" s="28">
        <f t="shared" si="9"/>
        <v>27.720800000000001</v>
      </c>
      <c r="L4385" s="4"/>
      <c r="M4385" s="241">
        <v>24.625699999999998</v>
      </c>
    </row>
    <row r="4386" spans="3:13" hidden="1" outlineLevel="1" x14ac:dyDescent="0.2">
      <c r="C4386" s="28">
        <f t="shared" si="4"/>
        <v>0.3984375</v>
      </c>
      <c r="D4386" s="28">
        <f t="shared" si="0"/>
        <v>51</v>
      </c>
      <c r="E4386" s="28">
        <f t="shared" si="1"/>
        <v>44.625</v>
      </c>
      <c r="F4386" s="28">
        <f t="shared" si="2"/>
        <v>34.326923076923073</v>
      </c>
      <c r="G4386" s="28">
        <f t="shared" si="5"/>
        <v>19.742599999999999</v>
      </c>
      <c r="H4386" s="28">
        <f t="shared" si="6"/>
        <v>23.771999999999998</v>
      </c>
      <c r="I4386" s="28">
        <f t="shared" si="7"/>
        <v>25.5291</v>
      </c>
      <c r="J4386" s="28">
        <f t="shared" si="8"/>
        <v>26.776299999999999</v>
      </c>
      <c r="K4386" s="28">
        <f t="shared" si="9"/>
        <v>28.697800000000001</v>
      </c>
      <c r="L4386" s="4"/>
      <c r="M4386" s="241">
        <v>25.5291</v>
      </c>
    </row>
    <row r="4387" spans="3:13" hidden="1" outlineLevel="1" x14ac:dyDescent="0.2">
      <c r="C4387" s="28">
        <f t="shared" si="4"/>
        <v>0.40625</v>
      </c>
      <c r="D4387" s="28">
        <f t="shared" si="0"/>
        <v>52</v>
      </c>
      <c r="E4387" s="28">
        <f t="shared" si="1"/>
        <v>45.5</v>
      </c>
      <c r="F4387" s="28">
        <f t="shared" si="2"/>
        <v>35</v>
      </c>
      <c r="G4387" s="28">
        <f t="shared" si="5"/>
        <v>20.517399999999999</v>
      </c>
      <c r="H4387" s="28">
        <f t="shared" si="6"/>
        <v>24.638100000000001</v>
      </c>
      <c r="I4387" s="28">
        <f t="shared" si="7"/>
        <v>26.434899999999999</v>
      </c>
      <c r="J4387" s="28">
        <f t="shared" si="8"/>
        <v>27.710599999999999</v>
      </c>
      <c r="K4387" s="28">
        <f t="shared" si="9"/>
        <v>29.6767</v>
      </c>
      <c r="L4387" s="4"/>
      <c r="M4387" s="241">
        <v>26.434899999999999</v>
      </c>
    </row>
    <row r="4388" spans="3:13" hidden="1" outlineLevel="1" x14ac:dyDescent="0.2">
      <c r="C4388" s="28">
        <f t="shared" si="4"/>
        <v>0.4140625</v>
      </c>
      <c r="D4388" s="28">
        <f t="shared" si="0"/>
        <v>53</v>
      </c>
      <c r="E4388" s="28">
        <f t="shared" si="1"/>
        <v>46.375</v>
      </c>
      <c r="F4388" s="28">
        <f t="shared" si="2"/>
        <v>35.67307692307692</v>
      </c>
      <c r="G4388" s="28">
        <f t="shared" si="5"/>
        <v>20.517399999999999</v>
      </c>
      <c r="H4388" s="28">
        <f t="shared" si="6"/>
        <v>24.638100000000001</v>
      </c>
      <c r="I4388" s="28">
        <f t="shared" si="7"/>
        <v>26.434899999999999</v>
      </c>
      <c r="J4388" s="28">
        <f t="shared" si="8"/>
        <v>27.710599999999999</v>
      </c>
      <c r="K4388" s="28">
        <f t="shared" si="9"/>
        <v>29.6767</v>
      </c>
      <c r="L4388" s="4"/>
      <c r="M4388" s="241">
        <v>26.434899999999999</v>
      </c>
    </row>
    <row r="4389" spans="3:13" hidden="1" outlineLevel="1" x14ac:dyDescent="0.2">
      <c r="C4389" s="28">
        <f t="shared" si="4"/>
        <v>0.421875</v>
      </c>
      <c r="D4389" s="28">
        <f t="shared" si="0"/>
        <v>54</v>
      </c>
      <c r="E4389" s="28">
        <f t="shared" si="1"/>
        <v>47.25</v>
      </c>
      <c r="F4389" s="28">
        <f t="shared" si="2"/>
        <v>36.346153846153847</v>
      </c>
      <c r="G4389" s="28">
        <f t="shared" si="5"/>
        <v>21.295999999999999</v>
      </c>
      <c r="H4389" s="28">
        <f t="shared" si="6"/>
        <v>25.507000000000001</v>
      </c>
      <c r="I4389" s="28">
        <f t="shared" si="7"/>
        <v>27.3431</v>
      </c>
      <c r="J4389" s="28">
        <f t="shared" si="8"/>
        <v>28.646999999999998</v>
      </c>
      <c r="K4389" s="28">
        <f t="shared" si="9"/>
        <v>30.657299999999999</v>
      </c>
      <c r="L4389" s="4"/>
      <c r="M4389" s="241">
        <v>27.3431</v>
      </c>
    </row>
    <row r="4390" spans="3:13" hidden="1" outlineLevel="1" x14ac:dyDescent="0.2">
      <c r="C4390" s="28">
        <f t="shared" si="4"/>
        <v>0.4296875</v>
      </c>
      <c r="D4390" s="28">
        <f t="shared" si="0"/>
        <v>55</v>
      </c>
      <c r="E4390" s="28">
        <f t="shared" si="1"/>
        <v>48.125</v>
      </c>
      <c r="F4390" s="28">
        <f t="shared" si="2"/>
        <v>37.019230769230766</v>
      </c>
      <c r="G4390" s="28">
        <f t="shared" si="5"/>
        <v>22.078099999999999</v>
      </c>
      <c r="H4390" s="28">
        <f t="shared" si="6"/>
        <v>26.378499999999999</v>
      </c>
      <c r="I4390" s="28">
        <f t="shared" si="7"/>
        <v>28.253599999999999</v>
      </c>
      <c r="J4390" s="28">
        <f t="shared" si="8"/>
        <v>29.5854</v>
      </c>
      <c r="K4390" s="28">
        <f t="shared" si="9"/>
        <v>31.639600000000002</v>
      </c>
      <c r="L4390" s="4"/>
      <c r="M4390" s="241">
        <v>28.253599999999999</v>
      </c>
    </row>
    <row r="4391" spans="3:13" hidden="1" outlineLevel="1" x14ac:dyDescent="0.2">
      <c r="C4391" s="28">
        <f t="shared" si="4"/>
        <v>0.4375</v>
      </c>
      <c r="D4391" s="28">
        <f t="shared" si="0"/>
        <v>56</v>
      </c>
      <c r="E4391" s="28">
        <f t="shared" si="1"/>
        <v>49</v>
      </c>
      <c r="F4391" s="28">
        <f t="shared" si="2"/>
        <v>37.692307692307693</v>
      </c>
      <c r="G4391" s="28">
        <f t="shared" si="5"/>
        <v>22.078099999999999</v>
      </c>
      <c r="H4391" s="28">
        <f t="shared" si="6"/>
        <v>26.378499999999999</v>
      </c>
      <c r="I4391" s="28">
        <f t="shared" si="7"/>
        <v>28.253599999999999</v>
      </c>
      <c r="J4391" s="28">
        <f t="shared" si="8"/>
        <v>29.5854</v>
      </c>
      <c r="K4391" s="28">
        <f t="shared" si="9"/>
        <v>31.639600000000002</v>
      </c>
      <c r="L4391" s="4"/>
      <c r="M4391" s="241">
        <v>28.253599999999999</v>
      </c>
    </row>
    <row r="4392" spans="3:13" hidden="1" outlineLevel="1" x14ac:dyDescent="0.2">
      <c r="C4392" s="28">
        <f t="shared" si="4"/>
        <v>0.4453125</v>
      </c>
      <c r="D4392" s="28">
        <f t="shared" si="0"/>
        <v>57</v>
      </c>
      <c r="E4392" s="28">
        <f t="shared" si="1"/>
        <v>49.875</v>
      </c>
      <c r="F4392" s="28">
        <f t="shared" si="2"/>
        <v>38.365384615384613</v>
      </c>
      <c r="G4392" s="28">
        <f t="shared" si="5"/>
        <v>22.863600000000002</v>
      </c>
      <c r="H4392" s="28">
        <f t="shared" si="6"/>
        <v>27.252500000000001</v>
      </c>
      <c r="I4392" s="28">
        <f t="shared" si="7"/>
        <v>29.1661</v>
      </c>
      <c r="J4392" s="28">
        <f t="shared" si="8"/>
        <v>30.525700000000001</v>
      </c>
      <c r="K4392" s="28">
        <f t="shared" si="9"/>
        <v>32.623600000000003</v>
      </c>
      <c r="L4392" s="4"/>
      <c r="M4392" s="241">
        <v>29.1661</v>
      </c>
    </row>
    <row r="4393" spans="3:13" hidden="1" outlineLevel="1" x14ac:dyDescent="0.2">
      <c r="C4393" s="28">
        <f t="shared" si="4"/>
        <v>0.453125</v>
      </c>
      <c r="D4393" s="28">
        <f t="shared" si="0"/>
        <v>58</v>
      </c>
      <c r="E4393" s="28">
        <f t="shared" si="1"/>
        <v>50.75</v>
      </c>
      <c r="F4393" s="28">
        <f t="shared" si="2"/>
        <v>39.03846153846154</v>
      </c>
      <c r="G4393" s="28">
        <f t="shared" si="5"/>
        <v>23.6523</v>
      </c>
      <c r="H4393" s="28">
        <f t="shared" si="6"/>
        <v>28.128799999999998</v>
      </c>
      <c r="I4393" s="28">
        <f t="shared" si="7"/>
        <v>30.0808</v>
      </c>
      <c r="J4393" s="28">
        <f t="shared" si="8"/>
        <v>31.4679</v>
      </c>
      <c r="K4393" s="28">
        <f t="shared" si="9"/>
        <v>33.609000000000002</v>
      </c>
      <c r="L4393" s="4"/>
      <c r="M4393" s="241">
        <v>30.0808</v>
      </c>
    </row>
    <row r="4394" spans="3:13" hidden="1" outlineLevel="1" x14ac:dyDescent="0.2">
      <c r="C4394" s="28">
        <f t="shared" si="4"/>
        <v>0.4609375</v>
      </c>
      <c r="D4394" s="28">
        <f t="shared" si="0"/>
        <v>59</v>
      </c>
      <c r="E4394" s="28">
        <f t="shared" si="1"/>
        <v>51.625</v>
      </c>
      <c r="F4394" s="28">
        <f t="shared" si="2"/>
        <v>39.71153846153846</v>
      </c>
      <c r="G4394" s="28">
        <f t="shared" si="5"/>
        <v>23.6523</v>
      </c>
      <c r="H4394" s="28">
        <f t="shared" si="6"/>
        <v>28.128799999999998</v>
      </c>
      <c r="I4394" s="28">
        <f t="shared" si="7"/>
        <v>30.0808</v>
      </c>
      <c r="J4394" s="28">
        <f t="shared" si="8"/>
        <v>31.4679</v>
      </c>
      <c r="K4394" s="28">
        <f t="shared" si="9"/>
        <v>33.609000000000002</v>
      </c>
      <c r="L4394" s="4"/>
      <c r="M4394" s="241">
        <v>30.0808</v>
      </c>
    </row>
    <row r="4395" spans="3:13" hidden="1" outlineLevel="1" x14ac:dyDescent="0.2">
      <c r="C4395" s="28">
        <f t="shared" si="4"/>
        <v>0.46875</v>
      </c>
      <c r="D4395" s="28">
        <f t="shared" si="0"/>
        <v>60</v>
      </c>
      <c r="E4395" s="28">
        <f t="shared" si="1"/>
        <v>52.5</v>
      </c>
      <c r="F4395" s="28">
        <f t="shared" si="2"/>
        <v>40.38461538461538</v>
      </c>
      <c r="G4395" s="28">
        <f t="shared" si="5"/>
        <v>24.444199999999999</v>
      </c>
      <c r="H4395" s="28">
        <f t="shared" si="6"/>
        <v>29.007400000000001</v>
      </c>
      <c r="I4395" s="28">
        <f t="shared" si="7"/>
        <v>30.997299999999999</v>
      </c>
      <c r="J4395" s="28">
        <f t="shared" si="8"/>
        <v>32.411799999999999</v>
      </c>
      <c r="K4395" s="28">
        <f t="shared" si="9"/>
        <v>34.595999999999997</v>
      </c>
      <c r="L4395" s="4"/>
      <c r="M4395" s="241">
        <v>30.997299999999999</v>
      </c>
    </row>
    <row r="4396" spans="3:13" hidden="1" outlineLevel="1" x14ac:dyDescent="0.2">
      <c r="C4396" s="28">
        <f t="shared" si="4"/>
        <v>0.4765625</v>
      </c>
      <c r="D4396" s="28">
        <f t="shared" si="0"/>
        <v>61</v>
      </c>
      <c r="E4396" s="28">
        <f t="shared" si="1"/>
        <v>53.375</v>
      </c>
      <c r="F4396" s="28">
        <f t="shared" si="2"/>
        <v>41.057692307692307</v>
      </c>
      <c r="G4396" s="28">
        <f t="shared" si="5"/>
        <v>25.239100000000001</v>
      </c>
      <c r="H4396" s="28">
        <f t="shared" si="6"/>
        <v>29.888200000000001</v>
      </c>
      <c r="I4396" s="28">
        <f t="shared" si="7"/>
        <v>31.915800000000001</v>
      </c>
      <c r="J4396" s="28">
        <f t="shared" si="8"/>
        <v>33.357399999999998</v>
      </c>
      <c r="K4396" s="28">
        <f t="shared" si="9"/>
        <v>35.584299999999999</v>
      </c>
      <c r="L4396" s="4"/>
      <c r="M4396" s="241">
        <v>31.915800000000001</v>
      </c>
    </row>
    <row r="4397" spans="3:13" hidden="1" outlineLevel="1" x14ac:dyDescent="0.2">
      <c r="C4397" s="28">
        <f t="shared" si="4"/>
        <v>0.484375</v>
      </c>
      <c r="D4397" s="28">
        <f t="shared" si="0"/>
        <v>62</v>
      </c>
      <c r="E4397" s="28">
        <f t="shared" si="1"/>
        <v>54.25</v>
      </c>
      <c r="F4397" s="28">
        <f t="shared" si="2"/>
        <v>41.730769230769226</v>
      </c>
      <c r="G4397" s="28">
        <f t="shared" si="5"/>
        <v>25.239100000000001</v>
      </c>
      <c r="H4397" s="28">
        <f t="shared" si="6"/>
        <v>29.888200000000001</v>
      </c>
      <c r="I4397" s="28">
        <f t="shared" si="7"/>
        <v>31.915800000000001</v>
      </c>
      <c r="J4397" s="28">
        <f t="shared" si="8"/>
        <v>33.357399999999998</v>
      </c>
      <c r="K4397" s="28">
        <f t="shared" si="9"/>
        <v>35.584299999999999</v>
      </c>
      <c r="L4397" s="4"/>
      <c r="M4397" s="241">
        <v>31.915800000000001</v>
      </c>
    </row>
    <row r="4398" spans="3:13" hidden="1" outlineLevel="1" x14ac:dyDescent="0.2">
      <c r="C4398" s="28">
        <f t="shared" si="4"/>
        <v>0.4921875</v>
      </c>
      <c r="D4398" s="28">
        <f t="shared" si="0"/>
        <v>63</v>
      </c>
      <c r="E4398" s="28">
        <f t="shared" si="1"/>
        <v>55.125</v>
      </c>
      <c r="F4398" s="28">
        <f t="shared" si="2"/>
        <v>42.403846153846153</v>
      </c>
      <c r="G4398" s="28">
        <f t="shared" si="5"/>
        <v>26.036899999999999</v>
      </c>
      <c r="H4398" s="28">
        <f t="shared" si="6"/>
        <v>30.7712</v>
      </c>
      <c r="I4398" s="28">
        <f t="shared" si="7"/>
        <v>32.835999999999999</v>
      </c>
      <c r="J4398" s="28">
        <f t="shared" si="8"/>
        <v>34.304600000000001</v>
      </c>
      <c r="K4398" s="28">
        <f t="shared" si="9"/>
        <v>36.573900000000002</v>
      </c>
      <c r="L4398" s="4"/>
      <c r="M4398" s="241">
        <v>32.835999999999999</v>
      </c>
    </row>
    <row r="4399" spans="3:13" hidden="1" outlineLevel="1" x14ac:dyDescent="0.2">
      <c r="C4399" s="28">
        <f t="shared" si="4"/>
        <v>0.5</v>
      </c>
      <c r="D4399" s="28">
        <f t="shared" si="0"/>
        <v>64</v>
      </c>
      <c r="E4399" s="28">
        <f t="shared" si="1"/>
        <v>56</v>
      </c>
      <c r="F4399" s="28">
        <f t="shared" si="2"/>
        <v>43.076923076923073</v>
      </c>
      <c r="G4399" s="28">
        <f t="shared" si="5"/>
        <v>26.837399999999999</v>
      </c>
      <c r="H4399" s="28">
        <f t="shared" si="6"/>
        <v>31.656099999999999</v>
      </c>
      <c r="I4399" s="28">
        <f t="shared" si="7"/>
        <v>33.758000000000003</v>
      </c>
      <c r="J4399" s="28">
        <f t="shared" si="8"/>
        <v>35.253300000000003</v>
      </c>
      <c r="K4399" s="28">
        <f t="shared" si="9"/>
        <v>37.564799999999998</v>
      </c>
      <c r="L4399" s="4"/>
      <c r="M4399" s="241">
        <v>33.758000000000003</v>
      </c>
    </row>
    <row r="4400" spans="3:13" hidden="1" outlineLevel="1" x14ac:dyDescent="0.2">
      <c r="C4400" s="28">
        <f t="shared" si="4"/>
        <v>0.5078125</v>
      </c>
      <c r="D4400" s="28">
        <f t="shared" ref="D4400:D4463" si="10">C4400*Channels.per.carrier</f>
        <v>65</v>
      </c>
      <c r="E4400" s="28">
        <f t="shared" ref="E4400:E4463" si="11">D4400-C4400*R99.CE.signalling</f>
        <v>56.875</v>
      </c>
      <c r="F4400" s="28">
        <f t="shared" ref="F4400:F4463" si="12">E4400/(1+Release99.soft.handover+Release99.softer.handover)</f>
        <v>43.75</v>
      </c>
      <c r="G4400" s="28">
        <f t="shared" si="5"/>
        <v>26.837399999999999</v>
      </c>
      <c r="H4400" s="28">
        <f t="shared" si="6"/>
        <v>31.656099999999999</v>
      </c>
      <c r="I4400" s="28">
        <f t="shared" si="7"/>
        <v>33.758000000000003</v>
      </c>
      <c r="J4400" s="28">
        <f t="shared" si="8"/>
        <v>35.253300000000003</v>
      </c>
      <c r="K4400" s="28">
        <f t="shared" si="9"/>
        <v>37.564799999999998</v>
      </c>
      <c r="L4400" s="4"/>
      <c r="M4400" s="241">
        <v>33.758000000000003</v>
      </c>
    </row>
    <row r="4401" spans="3:13" hidden="1" outlineLevel="1" x14ac:dyDescent="0.2">
      <c r="C4401" s="28">
        <f t="shared" ref="C4401:C4464" si="13">C4400+1/128</f>
        <v>0.515625</v>
      </c>
      <c r="D4401" s="28">
        <f t="shared" si="10"/>
        <v>66</v>
      </c>
      <c r="E4401" s="28">
        <f t="shared" si="11"/>
        <v>57.75</v>
      </c>
      <c r="F4401" s="28">
        <f t="shared" si="12"/>
        <v>44.42307692307692</v>
      </c>
      <c r="G4401" s="28">
        <f t="shared" ref="G4401:G4464" si="14">INDEX(D$10:D$4326,MATCH($F4401,$C$10:$C$4326,1))</f>
        <v>27.640699999999999</v>
      </c>
      <c r="H4401" s="28">
        <f t="shared" ref="H4401:H4464" si="15">INDEX(E$10:E$4326,MATCH($F4401,$C$10:$C$4326,1))</f>
        <v>32.542999999999999</v>
      </c>
      <c r="I4401" s="28">
        <f t="shared" ref="I4401:I4464" si="16">INDEX(F$10:F$4326,MATCH($F4401,$C$10:$C$4326,1))</f>
        <v>34.681600000000003</v>
      </c>
      <c r="J4401" s="28">
        <f t="shared" ref="J4401:J4464" si="17">INDEX(G$10:G$4326,MATCH($F4401,$C$10:$C$4326,1))</f>
        <v>36.203499999999998</v>
      </c>
      <c r="K4401" s="28">
        <f t="shared" ref="K4401:K4464" si="18">INDEX(H$10:H$4326,MATCH($F4401,$C$10:$C$4326,1))</f>
        <v>38.557000000000002</v>
      </c>
      <c r="L4401" s="4"/>
      <c r="M4401" s="241">
        <v>34.681600000000003</v>
      </c>
    </row>
    <row r="4402" spans="3:13" hidden="1" outlineLevel="1" x14ac:dyDescent="0.2">
      <c r="C4402" s="28">
        <f t="shared" si="13"/>
        <v>0.5234375</v>
      </c>
      <c r="D4402" s="28">
        <f t="shared" si="10"/>
        <v>67</v>
      </c>
      <c r="E4402" s="28">
        <f t="shared" si="11"/>
        <v>58.625</v>
      </c>
      <c r="F4402" s="28">
        <f t="shared" si="12"/>
        <v>45.096153846153847</v>
      </c>
      <c r="G4402" s="28">
        <f t="shared" si="14"/>
        <v>28.4466</v>
      </c>
      <c r="H4402" s="28">
        <f t="shared" si="15"/>
        <v>33.431699999999999</v>
      </c>
      <c r="I4402" s="28">
        <f t="shared" si="16"/>
        <v>35.606900000000003</v>
      </c>
      <c r="J4402" s="28">
        <f t="shared" si="17"/>
        <v>37.155099999999997</v>
      </c>
      <c r="K4402" s="28">
        <f t="shared" si="18"/>
        <v>39.5503</v>
      </c>
      <c r="L4402" s="4"/>
      <c r="M4402" s="241">
        <v>35.606900000000003</v>
      </c>
    </row>
    <row r="4403" spans="3:13" hidden="1" outlineLevel="1" x14ac:dyDescent="0.2">
      <c r="C4403" s="28">
        <f t="shared" si="13"/>
        <v>0.53125</v>
      </c>
      <c r="D4403" s="28">
        <f t="shared" si="10"/>
        <v>68</v>
      </c>
      <c r="E4403" s="28">
        <f t="shared" si="11"/>
        <v>59.5</v>
      </c>
      <c r="F4403" s="28">
        <f t="shared" si="12"/>
        <v>45.769230769230766</v>
      </c>
      <c r="G4403" s="28">
        <f t="shared" si="14"/>
        <v>28.4466</v>
      </c>
      <c r="H4403" s="28">
        <f t="shared" si="15"/>
        <v>33.431699999999999</v>
      </c>
      <c r="I4403" s="28">
        <f t="shared" si="16"/>
        <v>35.606900000000003</v>
      </c>
      <c r="J4403" s="28">
        <f t="shared" si="17"/>
        <v>37.155099999999997</v>
      </c>
      <c r="K4403" s="28">
        <f t="shared" si="18"/>
        <v>39.5503</v>
      </c>
      <c r="L4403" s="4"/>
      <c r="M4403" s="241">
        <v>35.606900000000003</v>
      </c>
    </row>
    <row r="4404" spans="3:13" hidden="1" outlineLevel="1" x14ac:dyDescent="0.2">
      <c r="C4404" s="28">
        <f t="shared" si="13"/>
        <v>0.5390625</v>
      </c>
      <c r="D4404" s="28">
        <f t="shared" si="10"/>
        <v>69</v>
      </c>
      <c r="E4404" s="28">
        <f t="shared" si="11"/>
        <v>60.375</v>
      </c>
      <c r="F4404" s="28">
        <f t="shared" si="12"/>
        <v>46.442307692307693</v>
      </c>
      <c r="G4404" s="28">
        <f t="shared" si="14"/>
        <v>29.254899999999999</v>
      </c>
      <c r="H4404" s="28">
        <f t="shared" si="15"/>
        <v>34.322299999999998</v>
      </c>
      <c r="I4404" s="28">
        <f t="shared" si="16"/>
        <v>36.533700000000003</v>
      </c>
      <c r="J4404" s="28">
        <f t="shared" si="17"/>
        <v>38.1081</v>
      </c>
      <c r="K4404" s="28">
        <f t="shared" si="18"/>
        <v>40.544699999999999</v>
      </c>
      <c r="L4404" s="4"/>
      <c r="M4404" s="241">
        <v>36.533700000000003</v>
      </c>
    </row>
    <row r="4405" spans="3:13" hidden="1" outlineLevel="1" x14ac:dyDescent="0.2">
      <c r="C4405" s="28">
        <f t="shared" si="13"/>
        <v>0.546875</v>
      </c>
      <c r="D4405" s="28">
        <f t="shared" si="10"/>
        <v>70</v>
      </c>
      <c r="E4405" s="28">
        <f t="shared" si="11"/>
        <v>61.25</v>
      </c>
      <c r="F4405" s="28">
        <f t="shared" si="12"/>
        <v>47.115384615384613</v>
      </c>
      <c r="G4405" s="28">
        <f t="shared" si="14"/>
        <v>30.0657</v>
      </c>
      <c r="H4405" s="28">
        <f t="shared" si="15"/>
        <v>35.214599999999997</v>
      </c>
      <c r="I4405" s="28">
        <f t="shared" si="16"/>
        <v>37.4619</v>
      </c>
      <c r="J4405" s="28">
        <f t="shared" si="17"/>
        <v>39.062399999999997</v>
      </c>
      <c r="K4405" s="28">
        <f t="shared" si="18"/>
        <v>41.540300000000002</v>
      </c>
      <c r="L4405" s="4"/>
      <c r="M4405" s="241">
        <v>37.4619</v>
      </c>
    </row>
    <row r="4406" spans="3:13" hidden="1" outlineLevel="1" x14ac:dyDescent="0.2">
      <c r="C4406" s="28">
        <f t="shared" si="13"/>
        <v>0.5546875</v>
      </c>
      <c r="D4406" s="28">
        <f t="shared" si="10"/>
        <v>71</v>
      </c>
      <c r="E4406" s="28">
        <f t="shared" si="11"/>
        <v>62.125</v>
      </c>
      <c r="F4406" s="28">
        <f t="shared" si="12"/>
        <v>47.78846153846154</v>
      </c>
      <c r="G4406" s="28">
        <f t="shared" si="14"/>
        <v>30.0657</v>
      </c>
      <c r="H4406" s="28">
        <f t="shared" si="15"/>
        <v>35.214599999999997</v>
      </c>
      <c r="I4406" s="28">
        <f t="shared" si="16"/>
        <v>37.4619</v>
      </c>
      <c r="J4406" s="28">
        <f t="shared" si="17"/>
        <v>39.062399999999997</v>
      </c>
      <c r="K4406" s="28">
        <f t="shared" si="18"/>
        <v>41.540300000000002</v>
      </c>
      <c r="L4406" s="4"/>
      <c r="M4406" s="241">
        <v>37.4619</v>
      </c>
    </row>
    <row r="4407" spans="3:13" hidden="1" outlineLevel="1" x14ac:dyDescent="0.2">
      <c r="C4407" s="28">
        <f t="shared" si="13"/>
        <v>0.5625</v>
      </c>
      <c r="D4407" s="28">
        <f t="shared" si="10"/>
        <v>72</v>
      </c>
      <c r="E4407" s="28">
        <f t="shared" si="11"/>
        <v>63</v>
      </c>
      <c r="F4407" s="28">
        <f t="shared" si="12"/>
        <v>48.46153846153846</v>
      </c>
      <c r="G4407" s="28">
        <f t="shared" si="14"/>
        <v>30.878900000000002</v>
      </c>
      <c r="H4407" s="28">
        <f t="shared" si="15"/>
        <v>36.108600000000003</v>
      </c>
      <c r="I4407" s="28">
        <f t="shared" si="16"/>
        <v>38.391599999999997</v>
      </c>
      <c r="J4407" s="28">
        <f t="shared" si="17"/>
        <v>40.018000000000001</v>
      </c>
      <c r="K4407" s="28">
        <f t="shared" si="18"/>
        <v>42.536900000000003</v>
      </c>
      <c r="L4407" s="4"/>
      <c r="M4407" s="241">
        <v>38.391599999999997</v>
      </c>
    </row>
    <row r="4408" spans="3:13" hidden="1" outlineLevel="1" x14ac:dyDescent="0.2">
      <c r="C4408" s="28">
        <f t="shared" si="13"/>
        <v>0.5703125</v>
      </c>
      <c r="D4408" s="28">
        <f t="shared" si="10"/>
        <v>73</v>
      </c>
      <c r="E4408" s="28">
        <f t="shared" si="11"/>
        <v>63.875</v>
      </c>
      <c r="F4408" s="28">
        <f t="shared" si="12"/>
        <v>49.13461538461538</v>
      </c>
      <c r="G4408" s="28">
        <f t="shared" si="14"/>
        <v>31.694299999999998</v>
      </c>
      <c r="H4408" s="28">
        <f t="shared" si="15"/>
        <v>37.004199999999997</v>
      </c>
      <c r="I4408" s="28">
        <f t="shared" si="16"/>
        <v>39.322699999999998</v>
      </c>
      <c r="J4408" s="28">
        <f t="shared" si="17"/>
        <v>40.974699999999999</v>
      </c>
      <c r="K4408" s="28">
        <f t="shared" si="18"/>
        <v>43.534500000000001</v>
      </c>
      <c r="M4408" s="241">
        <v>39.322699999999998</v>
      </c>
    </row>
    <row r="4409" spans="3:13" hidden="1" outlineLevel="1" x14ac:dyDescent="0.2">
      <c r="C4409" s="28">
        <f t="shared" si="13"/>
        <v>0.578125</v>
      </c>
      <c r="D4409" s="28">
        <f t="shared" si="10"/>
        <v>74</v>
      </c>
      <c r="E4409" s="28">
        <f t="shared" si="11"/>
        <v>64.75</v>
      </c>
      <c r="F4409" s="28">
        <f t="shared" si="12"/>
        <v>49.807692307692307</v>
      </c>
      <c r="G4409" s="28">
        <f t="shared" si="14"/>
        <v>31.694299999999998</v>
      </c>
      <c r="H4409" s="28">
        <f t="shared" si="15"/>
        <v>37.004199999999997</v>
      </c>
      <c r="I4409" s="28">
        <f t="shared" si="16"/>
        <v>39.322699999999998</v>
      </c>
      <c r="J4409" s="28">
        <f t="shared" si="17"/>
        <v>40.974699999999999</v>
      </c>
      <c r="K4409" s="28">
        <f t="shared" si="18"/>
        <v>43.534500000000001</v>
      </c>
      <c r="M4409" s="241">
        <v>39.322699999999998</v>
      </c>
    </row>
    <row r="4410" spans="3:13" hidden="1" outlineLevel="1" x14ac:dyDescent="0.2">
      <c r="C4410" s="28">
        <f t="shared" si="13"/>
        <v>0.5859375</v>
      </c>
      <c r="D4410" s="28">
        <f t="shared" si="10"/>
        <v>75</v>
      </c>
      <c r="E4410" s="28">
        <f t="shared" si="11"/>
        <v>65.625</v>
      </c>
      <c r="F4410" s="28">
        <f t="shared" si="12"/>
        <v>50.480769230769226</v>
      </c>
      <c r="G4410" s="28">
        <f t="shared" si="14"/>
        <v>32.511800000000001</v>
      </c>
      <c r="H4410" s="28">
        <f t="shared" si="15"/>
        <v>37.901400000000002</v>
      </c>
      <c r="I4410" s="28">
        <f t="shared" si="16"/>
        <v>40.255200000000002</v>
      </c>
      <c r="J4410" s="28">
        <f t="shared" si="17"/>
        <v>41.932699999999997</v>
      </c>
      <c r="K4410" s="28">
        <f t="shared" si="18"/>
        <v>44.533000000000001</v>
      </c>
      <c r="M4410" s="241">
        <v>40.255200000000002</v>
      </c>
    </row>
    <row r="4411" spans="3:13" hidden="1" outlineLevel="1" x14ac:dyDescent="0.2">
      <c r="C4411" s="28">
        <f t="shared" si="13"/>
        <v>0.59375</v>
      </c>
      <c r="D4411" s="28">
        <f t="shared" si="10"/>
        <v>76</v>
      </c>
      <c r="E4411" s="28">
        <f t="shared" si="11"/>
        <v>66.5</v>
      </c>
      <c r="F4411" s="28">
        <f t="shared" si="12"/>
        <v>51.153846153846153</v>
      </c>
      <c r="G4411" s="28">
        <f t="shared" si="14"/>
        <v>33.331600000000002</v>
      </c>
      <c r="H4411" s="28">
        <f t="shared" si="15"/>
        <v>38.8001</v>
      </c>
      <c r="I4411" s="28">
        <f t="shared" si="16"/>
        <v>41.188800000000001</v>
      </c>
      <c r="J4411" s="28">
        <f t="shared" si="17"/>
        <v>42.8919</v>
      </c>
      <c r="K4411" s="28">
        <f t="shared" si="18"/>
        <v>45.532499999999999</v>
      </c>
      <c r="M4411" s="241">
        <v>41.188800000000001</v>
      </c>
    </row>
    <row r="4412" spans="3:13" hidden="1" outlineLevel="1" x14ac:dyDescent="0.2">
      <c r="C4412" s="28">
        <f t="shared" si="13"/>
        <v>0.6015625</v>
      </c>
      <c r="D4412" s="28">
        <f t="shared" si="10"/>
        <v>77</v>
      </c>
      <c r="E4412" s="28">
        <f t="shared" si="11"/>
        <v>67.375</v>
      </c>
      <c r="F4412" s="28">
        <f t="shared" si="12"/>
        <v>51.826923076923073</v>
      </c>
      <c r="G4412" s="28">
        <f t="shared" si="14"/>
        <v>33.331600000000002</v>
      </c>
      <c r="H4412" s="28">
        <f t="shared" si="15"/>
        <v>38.8001</v>
      </c>
      <c r="I4412" s="28">
        <f t="shared" si="16"/>
        <v>41.188800000000001</v>
      </c>
      <c r="J4412" s="28">
        <f t="shared" si="17"/>
        <v>42.8919</v>
      </c>
      <c r="K4412" s="28">
        <f t="shared" si="18"/>
        <v>45.532499999999999</v>
      </c>
      <c r="M4412" s="241">
        <v>41.188800000000001</v>
      </c>
    </row>
    <row r="4413" spans="3:13" hidden="1" outlineLevel="1" x14ac:dyDescent="0.2">
      <c r="C4413" s="28">
        <f t="shared" si="13"/>
        <v>0.609375</v>
      </c>
      <c r="D4413" s="28">
        <f t="shared" si="10"/>
        <v>78</v>
      </c>
      <c r="E4413" s="28">
        <f t="shared" si="11"/>
        <v>68.25</v>
      </c>
      <c r="F4413" s="28">
        <f t="shared" si="12"/>
        <v>52.5</v>
      </c>
      <c r="G4413" s="28">
        <f t="shared" si="14"/>
        <v>34.153399999999998</v>
      </c>
      <c r="H4413" s="28">
        <f t="shared" si="15"/>
        <v>39.700299999999999</v>
      </c>
      <c r="I4413" s="28">
        <f t="shared" si="16"/>
        <v>42.123800000000003</v>
      </c>
      <c r="J4413" s="28">
        <f t="shared" si="17"/>
        <v>43.8521</v>
      </c>
      <c r="K4413" s="28">
        <f t="shared" si="18"/>
        <v>46.533000000000001</v>
      </c>
      <c r="M4413" s="241">
        <v>42.123800000000003</v>
      </c>
    </row>
    <row r="4414" spans="3:13" hidden="1" outlineLevel="1" x14ac:dyDescent="0.2">
      <c r="C4414" s="28">
        <f t="shared" si="13"/>
        <v>0.6171875</v>
      </c>
      <c r="D4414" s="28">
        <f t="shared" si="10"/>
        <v>79</v>
      </c>
      <c r="E4414" s="28">
        <f t="shared" si="11"/>
        <v>69.125</v>
      </c>
      <c r="F4414" s="28">
        <f t="shared" si="12"/>
        <v>53.17307692307692</v>
      </c>
      <c r="G4414" s="28">
        <f t="shared" si="14"/>
        <v>34.9771</v>
      </c>
      <c r="H4414" s="28">
        <f t="shared" si="15"/>
        <v>40.601900000000001</v>
      </c>
      <c r="I4414" s="28">
        <f t="shared" si="16"/>
        <v>43.06</v>
      </c>
      <c r="J4414" s="28">
        <f t="shared" si="17"/>
        <v>44.813400000000001</v>
      </c>
      <c r="K4414" s="28">
        <f t="shared" si="18"/>
        <v>47.534300000000002</v>
      </c>
      <c r="M4414" s="241">
        <v>43.06</v>
      </c>
    </row>
    <row r="4415" spans="3:13" hidden="1" outlineLevel="1" x14ac:dyDescent="0.2">
      <c r="C4415" s="28">
        <f t="shared" si="13"/>
        <v>0.625</v>
      </c>
      <c r="D4415" s="28">
        <f t="shared" si="10"/>
        <v>80</v>
      </c>
      <c r="E4415" s="28">
        <f t="shared" si="11"/>
        <v>70</v>
      </c>
      <c r="F4415" s="28">
        <f t="shared" si="12"/>
        <v>53.846153846153847</v>
      </c>
      <c r="G4415" s="28">
        <f t="shared" si="14"/>
        <v>34.9771</v>
      </c>
      <c r="H4415" s="28">
        <f t="shared" si="15"/>
        <v>40.601900000000001</v>
      </c>
      <c r="I4415" s="28">
        <f t="shared" si="16"/>
        <v>43.06</v>
      </c>
      <c r="J4415" s="28">
        <f t="shared" si="17"/>
        <v>44.813400000000001</v>
      </c>
      <c r="K4415" s="28">
        <f t="shared" si="18"/>
        <v>47.534300000000002</v>
      </c>
      <c r="M4415" s="241">
        <v>43.06</v>
      </c>
    </row>
    <row r="4416" spans="3:13" hidden="1" outlineLevel="1" x14ac:dyDescent="0.2">
      <c r="C4416" s="28">
        <f t="shared" si="13"/>
        <v>0.6328125</v>
      </c>
      <c r="D4416" s="28">
        <f t="shared" si="10"/>
        <v>81</v>
      </c>
      <c r="E4416" s="28">
        <f t="shared" si="11"/>
        <v>70.875</v>
      </c>
      <c r="F4416" s="28">
        <f t="shared" si="12"/>
        <v>54.519230769230766</v>
      </c>
      <c r="G4416" s="28">
        <f t="shared" si="14"/>
        <v>35.802799999999998</v>
      </c>
      <c r="H4416" s="28">
        <f t="shared" si="15"/>
        <v>41.504899999999999</v>
      </c>
      <c r="I4416" s="28">
        <f t="shared" si="16"/>
        <v>43.997300000000003</v>
      </c>
      <c r="J4416" s="28">
        <f t="shared" si="17"/>
        <v>45.775700000000001</v>
      </c>
      <c r="K4416" s="28">
        <f t="shared" si="18"/>
        <v>48.5364</v>
      </c>
      <c r="M4416" s="241">
        <v>43.997300000000003</v>
      </c>
    </row>
    <row r="4417" spans="3:13" hidden="1" outlineLevel="1" x14ac:dyDescent="0.2">
      <c r="C4417" s="28">
        <f t="shared" si="13"/>
        <v>0.640625</v>
      </c>
      <c r="D4417" s="28">
        <f t="shared" si="10"/>
        <v>82</v>
      </c>
      <c r="E4417" s="28">
        <f t="shared" si="11"/>
        <v>71.75</v>
      </c>
      <c r="F4417" s="28">
        <f t="shared" si="12"/>
        <v>55.192307692307693</v>
      </c>
      <c r="G4417" s="28">
        <f t="shared" si="14"/>
        <v>36.630499999999998</v>
      </c>
      <c r="H4417" s="28">
        <f t="shared" si="15"/>
        <v>42.409199999999998</v>
      </c>
      <c r="I4417" s="28">
        <f t="shared" si="16"/>
        <v>44.9358</v>
      </c>
      <c r="J4417" s="28">
        <f t="shared" si="17"/>
        <v>46.739100000000001</v>
      </c>
      <c r="K4417" s="28">
        <f t="shared" si="18"/>
        <v>49.539400000000001</v>
      </c>
      <c r="M4417" s="241">
        <v>44.9358</v>
      </c>
    </row>
    <row r="4418" spans="3:13" hidden="1" outlineLevel="1" x14ac:dyDescent="0.2">
      <c r="C4418" s="28">
        <f t="shared" si="13"/>
        <v>0.6484375</v>
      </c>
      <c r="D4418" s="28">
        <f t="shared" si="10"/>
        <v>83</v>
      </c>
      <c r="E4418" s="28">
        <f t="shared" si="11"/>
        <v>72.625</v>
      </c>
      <c r="F4418" s="28">
        <f t="shared" si="12"/>
        <v>55.865384615384613</v>
      </c>
      <c r="G4418" s="28">
        <f t="shared" si="14"/>
        <v>36.630499999999998</v>
      </c>
      <c r="H4418" s="28">
        <f t="shared" si="15"/>
        <v>42.409199999999998</v>
      </c>
      <c r="I4418" s="28">
        <f t="shared" si="16"/>
        <v>44.9358</v>
      </c>
      <c r="J4418" s="28">
        <f t="shared" si="17"/>
        <v>46.739100000000001</v>
      </c>
      <c r="K4418" s="28">
        <f t="shared" si="18"/>
        <v>49.539400000000001</v>
      </c>
      <c r="M4418" s="241">
        <v>44.9358</v>
      </c>
    </row>
    <row r="4419" spans="3:13" hidden="1" outlineLevel="1" x14ac:dyDescent="0.2">
      <c r="C4419" s="28">
        <f t="shared" si="13"/>
        <v>0.65625</v>
      </c>
      <c r="D4419" s="28">
        <f t="shared" si="10"/>
        <v>84</v>
      </c>
      <c r="E4419" s="28">
        <f t="shared" si="11"/>
        <v>73.5</v>
      </c>
      <c r="F4419" s="28">
        <f t="shared" si="12"/>
        <v>56.538461538461533</v>
      </c>
      <c r="G4419" s="28">
        <f t="shared" si="14"/>
        <v>37.459899999999998</v>
      </c>
      <c r="H4419" s="28">
        <f t="shared" si="15"/>
        <v>43.314900000000002</v>
      </c>
      <c r="I4419" s="28">
        <f t="shared" si="16"/>
        <v>45.875399999999999</v>
      </c>
      <c r="J4419" s="28">
        <f t="shared" si="17"/>
        <v>47.703400000000002</v>
      </c>
      <c r="K4419" s="28">
        <f t="shared" si="18"/>
        <v>50.543100000000003</v>
      </c>
      <c r="M4419" s="241">
        <v>45.875399999999999</v>
      </c>
    </row>
    <row r="4420" spans="3:13" hidden="1" outlineLevel="1" x14ac:dyDescent="0.2">
      <c r="C4420" s="28">
        <f t="shared" si="13"/>
        <v>0.6640625</v>
      </c>
      <c r="D4420" s="28">
        <f t="shared" si="10"/>
        <v>85</v>
      </c>
      <c r="E4420" s="28">
        <f t="shared" si="11"/>
        <v>74.375</v>
      </c>
      <c r="F4420" s="28">
        <f t="shared" si="12"/>
        <v>57.21153846153846</v>
      </c>
      <c r="G4420" s="28">
        <f t="shared" si="14"/>
        <v>38.2911</v>
      </c>
      <c r="H4420" s="28">
        <f t="shared" si="15"/>
        <v>44.221800000000002</v>
      </c>
      <c r="I4420" s="28">
        <f t="shared" si="16"/>
        <v>46.816000000000003</v>
      </c>
      <c r="J4420" s="28">
        <f t="shared" si="17"/>
        <v>48.668599999999998</v>
      </c>
      <c r="K4420" s="28">
        <f t="shared" si="18"/>
        <v>51.547699999999999</v>
      </c>
      <c r="M4420" s="241">
        <v>46.816000000000003</v>
      </c>
    </row>
    <row r="4421" spans="3:13" hidden="1" outlineLevel="1" x14ac:dyDescent="0.2">
      <c r="C4421" s="28">
        <f t="shared" si="13"/>
        <v>0.671875</v>
      </c>
      <c r="D4421" s="28">
        <f t="shared" si="10"/>
        <v>86</v>
      </c>
      <c r="E4421" s="28">
        <f t="shared" si="11"/>
        <v>75.25</v>
      </c>
      <c r="F4421" s="28">
        <f t="shared" si="12"/>
        <v>57.88461538461538</v>
      </c>
      <c r="G4421" s="28">
        <f t="shared" si="14"/>
        <v>38.2911</v>
      </c>
      <c r="H4421" s="28">
        <f t="shared" si="15"/>
        <v>44.221800000000002</v>
      </c>
      <c r="I4421" s="28">
        <f t="shared" si="16"/>
        <v>46.816000000000003</v>
      </c>
      <c r="J4421" s="28">
        <f t="shared" si="17"/>
        <v>48.668599999999998</v>
      </c>
      <c r="K4421" s="28">
        <f t="shared" si="18"/>
        <v>51.547699999999999</v>
      </c>
      <c r="M4421" s="241">
        <v>46.816000000000003</v>
      </c>
    </row>
    <row r="4422" spans="3:13" hidden="1" outlineLevel="1" x14ac:dyDescent="0.2">
      <c r="C4422" s="28">
        <f t="shared" si="13"/>
        <v>0.6796875</v>
      </c>
      <c r="D4422" s="28">
        <f t="shared" si="10"/>
        <v>87</v>
      </c>
      <c r="E4422" s="28">
        <f t="shared" si="11"/>
        <v>76.125</v>
      </c>
      <c r="F4422" s="28">
        <f t="shared" si="12"/>
        <v>58.557692307692307</v>
      </c>
      <c r="G4422" s="28">
        <f t="shared" si="14"/>
        <v>39.124099999999999</v>
      </c>
      <c r="H4422" s="28">
        <f t="shared" si="15"/>
        <v>45.129899999999999</v>
      </c>
      <c r="I4422" s="28">
        <f t="shared" si="16"/>
        <v>47.7577</v>
      </c>
      <c r="J4422" s="28">
        <f t="shared" si="17"/>
        <v>49.634799999999998</v>
      </c>
      <c r="K4422" s="28">
        <f t="shared" si="18"/>
        <v>52.552999999999997</v>
      </c>
      <c r="M4422" s="241">
        <v>47.7577</v>
      </c>
    </row>
    <row r="4423" spans="3:13" hidden="1" outlineLevel="1" x14ac:dyDescent="0.2">
      <c r="C4423" s="28">
        <f t="shared" si="13"/>
        <v>0.6875</v>
      </c>
      <c r="D4423" s="28">
        <f t="shared" si="10"/>
        <v>88</v>
      </c>
      <c r="E4423" s="28">
        <f t="shared" si="11"/>
        <v>77</v>
      </c>
      <c r="F4423" s="28">
        <f t="shared" si="12"/>
        <v>59.230769230769226</v>
      </c>
      <c r="G4423" s="28">
        <f t="shared" si="14"/>
        <v>39.9587</v>
      </c>
      <c r="H4423" s="28">
        <f t="shared" si="15"/>
        <v>46.039200000000001</v>
      </c>
      <c r="I4423" s="28">
        <f t="shared" si="16"/>
        <v>48.700400000000002</v>
      </c>
      <c r="J4423" s="28">
        <f t="shared" si="17"/>
        <v>50.601900000000001</v>
      </c>
      <c r="K4423" s="28">
        <f t="shared" si="18"/>
        <v>53.558900000000001</v>
      </c>
      <c r="M4423" s="241">
        <v>48.700400000000002</v>
      </c>
    </row>
    <row r="4424" spans="3:13" hidden="1" outlineLevel="1" x14ac:dyDescent="0.2">
      <c r="C4424" s="28">
        <f t="shared" si="13"/>
        <v>0.6953125</v>
      </c>
      <c r="D4424" s="28">
        <f t="shared" si="10"/>
        <v>89</v>
      </c>
      <c r="E4424" s="28">
        <f t="shared" si="11"/>
        <v>77.875</v>
      </c>
      <c r="F4424" s="28">
        <f t="shared" si="12"/>
        <v>59.903846153846153</v>
      </c>
      <c r="G4424" s="28">
        <f t="shared" si="14"/>
        <v>39.9587</v>
      </c>
      <c r="H4424" s="28">
        <f t="shared" si="15"/>
        <v>46.039200000000001</v>
      </c>
      <c r="I4424" s="28">
        <f t="shared" si="16"/>
        <v>48.700400000000002</v>
      </c>
      <c r="J4424" s="28">
        <f t="shared" si="17"/>
        <v>50.601900000000001</v>
      </c>
      <c r="K4424" s="28">
        <f t="shared" si="18"/>
        <v>53.558900000000001</v>
      </c>
      <c r="M4424" s="241">
        <v>48.700400000000002</v>
      </c>
    </row>
    <row r="4425" spans="3:13" hidden="1" outlineLevel="1" x14ac:dyDescent="0.2">
      <c r="C4425" s="28">
        <f t="shared" si="13"/>
        <v>0.703125</v>
      </c>
      <c r="D4425" s="28">
        <f t="shared" si="10"/>
        <v>90</v>
      </c>
      <c r="E4425" s="28">
        <f t="shared" si="11"/>
        <v>78.75</v>
      </c>
      <c r="F4425" s="28">
        <f t="shared" si="12"/>
        <v>60.576923076923073</v>
      </c>
      <c r="G4425" s="28">
        <f t="shared" si="14"/>
        <v>40.795000000000002</v>
      </c>
      <c r="H4425" s="28">
        <f t="shared" si="15"/>
        <v>46.9497</v>
      </c>
      <c r="I4425" s="28">
        <f t="shared" si="16"/>
        <v>49.644100000000002</v>
      </c>
      <c r="J4425" s="28">
        <f t="shared" si="17"/>
        <v>51.569800000000001</v>
      </c>
      <c r="K4425" s="28">
        <f t="shared" si="18"/>
        <v>54.565600000000003</v>
      </c>
      <c r="M4425" s="241">
        <v>49.644100000000002</v>
      </c>
    </row>
    <row r="4426" spans="3:13" hidden="1" outlineLevel="1" x14ac:dyDescent="0.2">
      <c r="C4426" s="28">
        <f t="shared" si="13"/>
        <v>0.7109375</v>
      </c>
      <c r="D4426" s="28">
        <f t="shared" si="10"/>
        <v>91</v>
      </c>
      <c r="E4426" s="28">
        <f t="shared" si="11"/>
        <v>79.625</v>
      </c>
      <c r="F4426" s="28">
        <f t="shared" si="12"/>
        <v>61.25</v>
      </c>
      <c r="G4426" s="28">
        <f t="shared" si="14"/>
        <v>41.632899999999999</v>
      </c>
      <c r="H4426" s="28">
        <f t="shared" si="15"/>
        <v>47.8613</v>
      </c>
      <c r="I4426" s="28">
        <f t="shared" si="16"/>
        <v>50.588700000000003</v>
      </c>
      <c r="J4426" s="28">
        <f t="shared" si="17"/>
        <v>52.538499999999999</v>
      </c>
      <c r="K4426" s="28">
        <f t="shared" si="18"/>
        <v>55.573</v>
      </c>
      <c r="M4426" s="241">
        <v>50.588700000000003</v>
      </c>
    </row>
    <row r="4427" spans="3:13" hidden="1" outlineLevel="1" x14ac:dyDescent="0.2">
      <c r="C4427" s="28">
        <f t="shared" si="13"/>
        <v>0.71875</v>
      </c>
      <c r="D4427" s="28">
        <f t="shared" si="10"/>
        <v>92</v>
      </c>
      <c r="E4427" s="28">
        <f t="shared" si="11"/>
        <v>80.5</v>
      </c>
      <c r="F4427" s="28">
        <f t="shared" si="12"/>
        <v>61.92307692307692</v>
      </c>
      <c r="G4427" s="28">
        <f t="shared" si="14"/>
        <v>41.632899999999999</v>
      </c>
      <c r="H4427" s="28">
        <f t="shared" si="15"/>
        <v>47.8613</v>
      </c>
      <c r="I4427" s="28">
        <f t="shared" si="16"/>
        <v>50.588700000000003</v>
      </c>
      <c r="J4427" s="28">
        <f t="shared" si="17"/>
        <v>52.538499999999999</v>
      </c>
      <c r="K4427" s="28">
        <f t="shared" si="18"/>
        <v>55.573</v>
      </c>
      <c r="M4427" s="241">
        <v>50.588700000000003</v>
      </c>
    </row>
    <row r="4428" spans="3:13" hidden="1" outlineLevel="1" x14ac:dyDescent="0.2">
      <c r="C4428" s="28">
        <f t="shared" si="13"/>
        <v>0.7265625</v>
      </c>
      <c r="D4428" s="28">
        <f t="shared" si="10"/>
        <v>93</v>
      </c>
      <c r="E4428" s="28">
        <f t="shared" si="11"/>
        <v>81.375</v>
      </c>
      <c r="F4428" s="28">
        <f t="shared" si="12"/>
        <v>62.596153846153847</v>
      </c>
      <c r="G4428" s="28">
        <f t="shared" si="14"/>
        <v>42.472299999999997</v>
      </c>
      <c r="H4428" s="28">
        <f t="shared" si="15"/>
        <v>48.774000000000001</v>
      </c>
      <c r="I4428" s="28">
        <f t="shared" si="16"/>
        <v>51.534199999999998</v>
      </c>
      <c r="J4428" s="28">
        <f t="shared" si="17"/>
        <v>53.508099999999999</v>
      </c>
      <c r="K4428" s="28">
        <f t="shared" si="18"/>
        <v>56.581000000000003</v>
      </c>
      <c r="M4428" s="241">
        <v>51.534199999999998</v>
      </c>
    </row>
    <row r="4429" spans="3:13" hidden="1" outlineLevel="1" x14ac:dyDescent="0.2">
      <c r="C4429" s="28">
        <f t="shared" si="13"/>
        <v>0.734375</v>
      </c>
      <c r="D4429" s="28">
        <f t="shared" si="10"/>
        <v>94</v>
      </c>
      <c r="E4429" s="28">
        <f t="shared" si="11"/>
        <v>82.25</v>
      </c>
      <c r="F4429" s="28">
        <f t="shared" si="12"/>
        <v>63.269230769230766</v>
      </c>
      <c r="G4429" s="28">
        <f t="shared" si="14"/>
        <v>43.313299999999998</v>
      </c>
      <c r="H4429" s="28">
        <f t="shared" si="15"/>
        <v>49.687800000000003</v>
      </c>
      <c r="I4429" s="28">
        <f t="shared" si="16"/>
        <v>52.480699999999999</v>
      </c>
      <c r="J4429" s="28">
        <f t="shared" si="17"/>
        <v>54.478400000000001</v>
      </c>
      <c r="K4429" s="28">
        <f t="shared" si="18"/>
        <v>57.589599999999997</v>
      </c>
      <c r="M4429" s="241">
        <v>52.480699999999999</v>
      </c>
    </row>
    <row r="4430" spans="3:13" hidden="1" outlineLevel="1" x14ac:dyDescent="0.2">
      <c r="C4430" s="28">
        <f t="shared" si="13"/>
        <v>0.7421875</v>
      </c>
      <c r="D4430" s="28">
        <f t="shared" si="10"/>
        <v>95</v>
      </c>
      <c r="E4430" s="28">
        <f t="shared" si="11"/>
        <v>83.125</v>
      </c>
      <c r="F4430" s="28">
        <f t="shared" si="12"/>
        <v>63.942307692307693</v>
      </c>
      <c r="G4430" s="28">
        <f t="shared" si="14"/>
        <v>43.313299999999998</v>
      </c>
      <c r="H4430" s="28">
        <f t="shared" si="15"/>
        <v>49.687800000000003</v>
      </c>
      <c r="I4430" s="28">
        <f t="shared" si="16"/>
        <v>52.480699999999999</v>
      </c>
      <c r="J4430" s="28">
        <f t="shared" si="17"/>
        <v>54.478400000000001</v>
      </c>
      <c r="K4430" s="28">
        <f t="shared" si="18"/>
        <v>57.589599999999997</v>
      </c>
      <c r="M4430" s="241">
        <v>52.480699999999999</v>
      </c>
    </row>
    <row r="4431" spans="3:13" hidden="1" outlineLevel="1" x14ac:dyDescent="0.2">
      <c r="C4431" s="28">
        <f t="shared" si="13"/>
        <v>0.75</v>
      </c>
      <c r="D4431" s="28">
        <f t="shared" si="10"/>
        <v>96</v>
      </c>
      <c r="E4431" s="28">
        <f t="shared" si="11"/>
        <v>84</v>
      </c>
      <c r="F4431" s="28">
        <f t="shared" si="12"/>
        <v>64.615384615384613</v>
      </c>
      <c r="G4431" s="28">
        <f t="shared" si="14"/>
        <v>44.155700000000003</v>
      </c>
      <c r="H4431" s="28">
        <f t="shared" si="15"/>
        <v>50.602600000000002</v>
      </c>
      <c r="I4431" s="28">
        <f t="shared" si="16"/>
        <v>53.427999999999997</v>
      </c>
      <c r="J4431" s="28">
        <f t="shared" si="17"/>
        <v>55.449599999999997</v>
      </c>
      <c r="K4431" s="28">
        <f t="shared" si="18"/>
        <v>58.598999999999997</v>
      </c>
      <c r="M4431" s="241">
        <v>53.427999999999997</v>
      </c>
    </row>
    <row r="4432" spans="3:13" hidden="1" outlineLevel="1" x14ac:dyDescent="0.2">
      <c r="C4432" s="28">
        <f t="shared" si="13"/>
        <v>0.7578125</v>
      </c>
      <c r="D4432" s="28">
        <f t="shared" si="10"/>
        <v>97</v>
      </c>
      <c r="E4432" s="28">
        <f t="shared" si="11"/>
        <v>84.875</v>
      </c>
      <c r="F4432" s="28">
        <f t="shared" si="12"/>
        <v>65.288461538461533</v>
      </c>
      <c r="G4432" s="28">
        <f t="shared" si="14"/>
        <v>44.999499999999998</v>
      </c>
      <c r="H4432" s="28">
        <f t="shared" si="15"/>
        <v>51.518500000000003</v>
      </c>
      <c r="I4432" s="28">
        <f t="shared" si="16"/>
        <v>54.376199999999997</v>
      </c>
      <c r="J4432" s="28">
        <f t="shared" si="17"/>
        <v>56.421500000000002</v>
      </c>
      <c r="K4432" s="28">
        <f t="shared" si="18"/>
        <v>59.608899999999998</v>
      </c>
      <c r="M4432" s="241">
        <v>54.376199999999997</v>
      </c>
    </row>
    <row r="4433" spans="3:13" hidden="1" outlineLevel="1" x14ac:dyDescent="0.2">
      <c r="C4433" s="28">
        <f t="shared" si="13"/>
        <v>0.765625</v>
      </c>
      <c r="D4433" s="28">
        <f t="shared" si="10"/>
        <v>98</v>
      </c>
      <c r="E4433" s="28">
        <f t="shared" si="11"/>
        <v>85.75</v>
      </c>
      <c r="F4433" s="28">
        <f t="shared" si="12"/>
        <v>65.961538461538453</v>
      </c>
      <c r="G4433" s="28">
        <f t="shared" si="14"/>
        <v>44.999499999999998</v>
      </c>
      <c r="H4433" s="28">
        <f t="shared" si="15"/>
        <v>51.518500000000003</v>
      </c>
      <c r="I4433" s="28">
        <f t="shared" si="16"/>
        <v>54.376199999999997</v>
      </c>
      <c r="J4433" s="28">
        <f t="shared" si="17"/>
        <v>56.421500000000002</v>
      </c>
      <c r="K4433" s="28">
        <f t="shared" si="18"/>
        <v>59.608899999999998</v>
      </c>
      <c r="M4433" s="241">
        <v>54.376199999999997</v>
      </c>
    </row>
    <row r="4434" spans="3:13" hidden="1" outlineLevel="1" x14ac:dyDescent="0.2">
      <c r="C4434" s="28">
        <f t="shared" si="13"/>
        <v>0.7734375</v>
      </c>
      <c r="D4434" s="28">
        <f t="shared" si="10"/>
        <v>99</v>
      </c>
      <c r="E4434" s="28">
        <f t="shared" si="11"/>
        <v>86.625</v>
      </c>
      <c r="F4434" s="28">
        <f t="shared" si="12"/>
        <v>66.634615384615387</v>
      </c>
      <c r="G4434" s="28">
        <f t="shared" si="14"/>
        <v>45.844799999999999</v>
      </c>
      <c r="H4434" s="28">
        <f t="shared" si="15"/>
        <v>52.435299999999998</v>
      </c>
      <c r="I4434" s="28">
        <f t="shared" si="16"/>
        <v>55.325200000000002</v>
      </c>
      <c r="J4434" s="28">
        <f t="shared" si="17"/>
        <v>57.393999999999998</v>
      </c>
      <c r="K4434" s="28">
        <f t="shared" si="18"/>
        <v>60.619300000000003</v>
      </c>
      <c r="M4434" s="241">
        <v>55.325200000000002</v>
      </c>
    </row>
    <row r="4435" spans="3:13" hidden="1" outlineLevel="1" x14ac:dyDescent="0.2">
      <c r="C4435" s="28">
        <f t="shared" si="13"/>
        <v>0.78125</v>
      </c>
      <c r="D4435" s="28">
        <f t="shared" si="10"/>
        <v>100</v>
      </c>
      <c r="E4435" s="28">
        <f t="shared" si="11"/>
        <v>87.5</v>
      </c>
      <c r="F4435" s="28">
        <f t="shared" si="12"/>
        <v>67.307692307692307</v>
      </c>
      <c r="G4435" s="28">
        <f t="shared" si="14"/>
        <v>46.691499999999998</v>
      </c>
      <c r="H4435" s="28">
        <f t="shared" si="15"/>
        <v>53.353099999999998</v>
      </c>
      <c r="I4435" s="28">
        <f t="shared" si="16"/>
        <v>56.274999999999999</v>
      </c>
      <c r="J4435" s="28">
        <f t="shared" si="17"/>
        <v>58.3673</v>
      </c>
      <c r="K4435" s="28">
        <f t="shared" si="18"/>
        <v>61.630400000000002</v>
      </c>
      <c r="M4435" s="241">
        <v>56.274999999999999</v>
      </c>
    </row>
    <row r="4436" spans="3:13" hidden="1" outlineLevel="1" x14ac:dyDescent="0.2">
      <c r="C4436" s="28">
        <f t="shared" si="13"/>
        <v>0.7890625</v>
      </c>
      <c r="D4436" s="28">
        <f t="shared" si="10"/>
        <v>101</v>
      </c>
      <c r="E4436" s="28">
        <f t="shared" si="11"/>
        <v>88.375</v>
      </c>
      <c r="F4436" s="28">
        <f t="shared" si="12"/>
        <v>67.980769230769226</v>
      </c>
      <c r="G4436" s="28">
        <f t="shared" si="14"/>
        <v>46.691499999999998</v>
      </c>
      <c r="H4436" s="28">
        <f t="shared" si="15"/>
        <v>53.353099999999998</v>
      </c>
      <c r="I4436" s="28">
        <f t="shared" si="16"/>
        <v>56.274999999999999</v>
      </c>
      <c r="J4436" s="28">
        <f t="shared" si="17"/>
        <v>58.3673</v>
      </c>
      <c r="K4436" s="28">
        <f t="shared" si="18"/>
        <v>61.630400000000002</v>
      </c>
      <c r="M4436" s="241">
        <v>56.274999999999999</v>
      </c>
    </row>
    <row r="4437" spans="3:13" hidden="1" outlineLevel="1" x14ac:dyDescent="0.2">
      <c r="C4437" s="28">
        <f t="shared" si="13"/>
        <v>0.796875</v>
      </c>
      <c r="D4437" s="28">
        <f t="shared" si="10"/>
        <v>102</v>
      </c>
      <c r="E4437" s="28">
        <f t="shared" si="11"/>
        <v>89.25</v>
      </c>
      <c r="F4437" s="28">
        <f t="shared" si="12"/>
        <v>68.653846153846146</v>
      </c>
      <c r="G4437" s="28">
        <f t="shared" si="14"/>
        <v>47.539499999999997</v>
      </c>
      <c r="H4437" s="28">
        <f t="shared" si="15"/>
        <v>54.271799999999999</v>
      </c>
      <c r="I4437" s="28">
        <f t="shared" si="16"/>
        <v>57.2256</v>
      </c>
      <c r="J4437" s="28">
        <f t="shared" si="17"/>
        <v>59.341299999999997</v>
      </c>
      <c r="K4437" s="28">
        <f t="shared" si="18"/>
        <v>62.6419</v>
      </c>
      <c r="M4437" s="241">
        <v>57.2256</v>
      </c>
    </row>
    <row r="4438" spans="3:13" hidden="1" outlineLevel="1" x14ac:dyDescent="0.2">
      <c r="C4438" s="28">
        <f t="shared" si="13"/>
        <v>0.8046875</v>
      </c>
      <c r="D4438" s="28">
        <f t="shared" si="10"/>
        <v>103</v>
      </c>
      <c r="E4438" s="28">
        <f t="shared" si="11"/>
        <v>90.125</v>
      </c>
      <c r="F4438" s="28">
        <f t="shared" si="12"/>
        <v>69.32692307692308</v>
      </c>
      <c r="G4438" s="28">
        <f t="shared" si="14"/>
        <v>48.3889</v>
      </c>
      <c r="H4438" s="28">
        <f t="shared" si="15"/>
        <v>55.191499999999998</v>
      </c>
      <c r="I4438" s="28">
        <f t="shared" si="16"/>
        <v>58.177</v>
      </c>
      <c r="J4438" s="28">
        <f t="shared" si="17"/>
        <v>60.316000000000003</v>
      </c>
      <c r="K4438" s="28">
        <f t="shared" si="18"/>
        <v>63.654200000000003</v>
      </c>
      <c r="M4438" s="241">
        <v>58.177</v>
      </c>
    </row>
    <row r="4439" spans="3:13" hidden="1" outlineLevel="1" x14ac:dyDescent="0.2">
      <c r="C4439" s="28">
        <f t="shared" si="13"/>
        <v>0.8125</v>
      </c>
      <c r="D4439" s="28">
        <f t="shared" si="10"/>
        <v>104</v>
      </c>
      <c r="E4439" s="28">
        <f t="shared" si="11"/>
        <v>91</v>
      </c>
      <c r="F4439" s="28">
        <f t="shared" si="12"/>
        <v>70</v>
      </c>
      <c r="G4439" s="28">
        <f t="shared" si="14"/>
        <v>49.2395</v>
      </c>
      <c r="H4439" s="28">
        <f t="shared" si="15"/>
        <v>56.112099999999998</v>
      </c>
      <c r="I4439" s="28">
        <f t="shared" si="16"/>
        <v>59.129100000000001</v>
      </c>
      <c r="J4439" s="28">
        <f t="shared" si="17"/>
        <v>61.291400000000003</v>
      </c>
      <c r="K4439" s="28">
        <f t="shared" si="18"/>
        <v>64.666799999999995</v>
      </c>
      <c r="M4439" s="241">
        <v>59.129100000000001</v>
      </c>
    </row>
    <row r="4440" spans="3:13" hidden="1" outlineLevel="1" x14ac:dyDescent="0.2">
      <c r="C4440" s="28">
        <f t="shared" si="13"/>
        <v>0.8203125</v>
      </c>
      <c r="D4440" s="28">
        <f t="shared" si="10"/>
        <v>105</v>
      </c>
      <c r="E4440" s="28">
        <f t="shared" si="11"/>
        <v>91.875</v>
      </c>
      <c r="F4440" s="28">
        <f t="shared" si="12"/>
        <v>70.67307692307692</v>
      </c>
      <c r="G4440" s="28">
        <f t="shared" si="14"/>
        <v>49.2395</v>
      </c>
      <c r="H4440" s="28">
        <f t="shared" si="15"/>
        <v>56.112099999999998</v>
      </c>
      <c r="I4440" s="28">
        <f t="shared" si="16"/>
        <v>59.129100000000001</v>
      </c>
      <c r="J4440" s="28">
        <f t="shared" si="17"/>
        <v>61.291400000000003</v>
      </c>
      <c r="K4440" s="28">
        <f t="shared" si="18"/>
        <v>64.666799999999995</v>
      </c>
      <c r="M4440" s="241">
        <v>59.129100000000001</v>
      </c>
    </row>
    <row r="4441" spans="3:13" hidden="1" outlineLevel="1" x14ac:dyDescent="0.2">
      <c r="C4441" s="28">
        <f t="shared" si="13"/>
        <v>0.828125</v>
      </c>
      <c r="D4441" s="28">
        <f t="shared" si="10"/>
        <v>106</v>
      </c>
      <c r="E4441" s="28">
        <f t="shared" si="11"/>
        <v>92.75</v>
      </c>
      <c r="F4441" s="28">
        <f t="shared" si="12"/>
        <v>71.34615384615384</v>
      </c>
      <c r="G4441" s="28">
        <f t="shared" si="14"/>
        <v>50.091299999999997</v>
      </c>
      <c r="H4441" s="28">
        <f t="shared" si="15"/>
        <v>57.033499999999997</v>
      </c>
      <c r="I4441" s="28">
        <f t="shared" si="16"/>
        <v>60.082000000000001</v>
      </c>
      <c r="J4441" s="28">
        <f t="shared" si="17"/>
        <v>62.267299999999999</v>
      </c>
      <c r="K4441" s="28">
        <f t="shared" si="18"/>
        <v>65.680000000000007</v>
      </c>
      <c r="M4441" s="241">
        <v>60.082000000000001</v>
      </c>
    </row>
    <row r="4442" spans="3:13" hidden="1" outlineLevel="1" x14ac:dyDescent="0.2">
      <c r="C4442" s="28">
        <f t="shared" si="13"/>
        <v>0.8359375</v>
      </c>
      <c r="D4442" s="28">
        <f t="shared" si="10"/>
        <v>107</v>
      </c>
      <c r="E4442" s="28">
        <f t="shared" si="11"/>
        <v>93.625</v>
      </c>
      <c r="F4442" s="28">
        <f t="shared" si="12"/>
        <v>72.019230769230774</v>
      </c>
      <c r="G4442" s="28">
        <f t="shared" si="14"/>
        <v>50.944400000000002</v>
      </c>
      <c r="H4442" s="28">
        <f t="shared" si="15"/>
        <v>57.955800000000004</v>
      </c>
      <c r="I4442" s="28">
        <f t="shared" si="16"/>
        <v>61.035499999999999</v>
      </c>
      <c r="J4442" s="28">
        <f t="shared" si="17"/>
        <v>63.243899999999996</v>
      </c>
      <c r="K4442" s="28">
        <f t="shared" si="18"/>
        <v>66.693700000000007</v>
      </c>
      <c r="M4442" s="241">
        <v>61.035499999999999</v>
      </c>
    </row>
    <row r="4443" spans="3:13" hidden="1" outlineLevel="1" x14ac:dyDescent="0.2">
      <c r="C4443" s="28">
        <f t="shared" si="13"/>
        <v>0.84375</v>
      </c>
      <c r="D4443" s="28">
        <f t="shared" si="10"/>
        <v>108</v>
      </c>
      <c r="E4443" s="28">
        <f t="shared" si="11"/>
        <v>94.5</v>
      </c>
      <c r="F4443" s="28">
        <f t="shared" si="12"/>
        <v>72.692307692307693</v>
      </c>
      <c r="G4443" s="28">
        <f t="shared" si="14"/>
        <v>50.944400000000002</v>
      </c>
      <c r="H4443" s="28">
        <f t="shared" si="15"/>
        <v>57.955800000000004</v>
      </c>
      <c r="I4443" s="28">
        <f t="shared" si="16"/>
        <v>61.035499999999999</v>
      </c>
      <c r="J4443" s="28">
        <f t="shared" si="17"/>
        <v>63.243899999999996</v>
      </c>
      <c r="K4443" s="28">
        <f t="shared" si="18"/>
        <v>66.693700000000007</v>
      </c>
      <c r="M4443" s="241">
        <v>61.035499999999999</v>
      </c>
    </row>
    <row r="4444" spans="3:13" hidden="1" outlineLevel="1" x14ac:dyDescent="0.2">
      <c r="C4444" s="28">
        <f t="shared" si="13"/>
        <v>0.8515625</v>
      </c>
      <c r="D4444" s="28">
        <f t="shared" si="10"/>
        <v>109</v>
      </c>
      <c r="E4444" s="28">
        <f t="shared" si="11"/>
        <v>95.375</v>
      </c>
      <c r="F4444" s="28">
        <f t="shared" si="12"/>
        <v>73.365384615384613</v>
      </c>
      <c r="G4444" s="28">
        <f t="shared" si="14"/>
        <v>51.798699999999997</v>
      </c>
      <c r="H4444" s="28">
        <f t="shared" si="15"/>
        <v>58.878900000000002</v>
      </c>
      <c r="I4444" s="28">
        <f t="shared" si="16"/>
        <v>61.989800000000002</v>
      </c>
      <c r="J4444" s="28">
        <f t="shared" si="17"/>
        <v>64.221100000000007</v>
      </c>
      <c r="K4444" s="28">
        <f t="shared" si="18"/>
        <v>67.707899999999995</v>
      </c>
      <c r="M4444" s="241">
        <v>61.989800000000002</v>
      </c>
    </row>
    <row r="4445" spans="3:13" hidden="1" outlineLevel="1" x14ac:dyDescent="0.2">
      <c r="C4445" s="28">
        <f t="shared" si="13"/>
        <v>0.859375</v>
      </c>
      <c r="D4445" s="28">
        <f t="shared" si="10"/>
        <v>110</v>
      </c>
      <c r="E4445" s="28">
        <f t="shared" si="11"/>
        <v>96.25</v>
      </c>
      <c r="F4445" s="28">
        <f t="shared" si="12"/>
        <v>74.038461538461533</v>
      </c>
      <c r="G4445" s="28">
        <f t="shared" si="14"/>
        <v>52.654200000000003</v>
      </c>
      <c r="H4445" s="28">
        <f t="shared" si="15"/>
        <v>59.802900000000001</v>
      </c>
      <c r="I4445" s="28">
        <f t="shared" si="16"/>
        <v>62.944800000000001</v>
      </c>
      <c r="J4445" s="28">
        <f t="shared" si="17"/>
        <v>65.198899999999995</v>
      </c>
      <c r="K4445" s="28">
        <f t="shared" si="18"/>
        <v>68.722499999999997</v>
      </c>
      <c r="M4445" s="241">
        <v>62.944800000000001</v>
      </c>
    </row>
    <row r="4446" spans="3:13" hidden="1" outlineLevel="1" x14ac:dyDescent="0.2">
      <c r="C4446" s="28">
        <f t="shared" si="13"/>
        <v>0.8671875</v>
      </c>
      <c r="D4446" s="28">
        <f t="shared" si="10"/>
        <v>111</v>
      </c>
      <c r="E4446" s="28">
        <f t="shared" si="11"/>
        <v>97.125</v>
      </c>
      <c r="F4446" s="28">
        <f t="shared" si="12"/>
        <v>74.711538461538453</v>
      </c>
      <c r="G4446" s="28">
        <f t="shared" si="14"/>
        <v>52.654200000000003</v>
      </c>
      <c r="H4446" s="28">
        <f t="shared" si="15"/>
        <v>59.802900000000001</v>
      </c>
      <c r="I4446" s="28">
        <f t="shared" si="16"/>
        <v>62.944800000000001</v>
      </c>
      <c r="J4446" s="28">
        <f t="shared" si="17"/>
        <v>65.198899999999995</v>
      </c>
      <c r="K4446" s="28">
        <f t="shared" si="18"/>
        <v>68.722499999999997</v>
      </c>
      <c r="M4446" s="241">
        <v>62.944800000000001</v>
      </c>
    </row>
    <row r="4447" spans="3:13" hidden="1" outlineLevel="1" x14ac:dyDescent="0.2">
      <c r="C4447" s="28">
        <f t="shared" si="13"/>
        <v>0.875</v>
      </c>
      <c r="D4447" s="28">
        <f t="shared" si="10"/>
        <v>112</v>
      </c>
      <c r="E4447" s="28">
        <f t="shared" si="11"/>
        <v>98</v>
      </c>
      <c r="F4447" s="28">
        <f t="shared" si="12"/>
        <v>75.384615384615387</v>
      </c>
      <c r="G4447" s="28">
        <f t="shared" si="14"/>
        <v>53.510800000000003</v>
      </c>
      <c r="H4447" s="28">
        <f t="shared" si="15"/>
        <v>60.727600000000002</v>
      </c>
      <c r="I4447" s="28">
        <f t="shared" si="16"/>
        <v>63.900399999999998</v>
      </c>
      <c r="J4447" s="28">
        <f t="shared" si="17"/>
        <v>66.177300000000002</v>
      </c>
      <c r="K4447" s="28">
        <f t="shared" si="18"/>
        <v>69.737700000000004</v>
      </c>
      <c r="M4447" s="241">
        <v>63.900399999999998</v>
      </c>
    </row>
    <row r="4448" spans="3:13" hidden="1" outlineLevel="1" x14ac:dyDescent="0.2">
      <c r="C4448" s="28">
        <f t="shared" si="13"/>
        <v>0.8828125</v>
      </c>
      <c r="D4448" s="28">
        <f t="shared" si="10"/>
        <v>113</v>
      </c>
      <c r="E4448" s="28">
        <f t="shared" si="11"/>
        <v>98.875</v>
      </c>
      <c r="F4448" s="28">
        <f t="shared" si="12"/>
        <v>76.057692307692307</v>
      </c>
      <c r="G4448" s="28">
        <f t="shared" si="14"/>
        <v>54.368499999999997</v>
      </c>
      <c r="H4448" s="28">
        <f t="shared" si="15"/>
        <v>61.653100000000002</v>
      </c>
      <c r="I4448" s="28">
        <f t="shared" si="16"/>
        <v>64.856700000000004</v>
      </c>
      <c r="J4448" s="28">
        <f t="shared" si="17"/>
        <v>67.156300000000002</v>
      </c>
      <c r="K4448" s="28">
        <f t="shared" si="18"/>
        <v>70.753299999999996</v>
      </c>
      <c r="M4448" s="241">
        <v>64.856700000000004</v>
      </c>
    </row>
    <row r="4449" spans="3:13" hidden="1" outlineLevel="1" x14ac:dyDescent="0.2">
      <c r="C4449" s="28">
        <f t="shared" si="13"/>
        <v>0.890625</v>
      </c>
      <c r="D4449" s="28">
        <f t="shared" si="10"/>
        <v>114</v>
      </c>
      <c r="E4449" s="28">
        <f t="shared" si="11"/>
        <v>99.75</v>
      </c>
      <c r="F4449" s="28">
        <f t="shared" si="12"/>
        <v>76.730769230769226</v>
      </c>
      <c r="G4449" s="28">
        <f t="shared" si="14"/>
        <v>54.368499999999997</v>
      </c>
      <c r="H4449" s="28">
        <f t="shared" si="15"/>
        <v>61.653100000000002</v>
      </c>
      <c r="I4449" s="28">
        <f t="shared" si="16"/>
        <v>64.856700000000004</v>
      </c>
      <c r="J4449" s="28">
        <f t="shared" si="17"/>
        <v>67.156300000000002</v>
      </c>
      <c r="K4449" s="28">
        <f t="shared" si="18"/>
        <v>70.753299999999996</v>
      </c>
      <c r="M4449" s="241">
        <v>64.856700000000004</v>
      </c>
    </row>
    <row r="4450" spans="3:13" hidden="1" outlineLevel="1" x14ac:dyDescent="0.2">
      <c r="C4450" s="28">
        <f t="shared" si="13"/>
        <v>0.8984375</v>
      </c>
      <c r="D4450" s="28">
        <f t="shared" si="10"/>
        <v>115</v>
      </c>
      <c r="E4450" s="28">
        <f t="shared" si="11"/>
        <v>100.625</v>
      </c>
      <c r="F4450" s="28">
        <f t="shared" si="12"/>
        <v>77.403846153846146</v>
      </c>
      <c r="G4450" s="28">
        <f t="shared" si="14"/>
        <v>55.227400000000003</v>
      </c>
      <c r="H4450" s="28">
        <f t="shared" si="15"/>
        <v>62.5794</v>
      </c>
      <c r="I4450" s="28">
        <f t="shared" si="16"/>
        <v>65.813599999999994</v>
      </c>
      <c r="J4450" s="28">
        <f t="shared" si="17"/>
        <v>68.1357</v>
      </c>
      <c r="K4450" s="28">
        <f t="shared" si="18"/>
        <v>71.769300000000001</v>
      </c>
      <c r="M4450" s="241">
        <v>65.813599999999994</v>
      </c>
    </row>
    <row r="4451" spans="3:13" hidden="1" outlineLevel="1" x14ac:dyDescent="0.2">
      <c r="C4451" s="28">
        <f t="shared" si="13"/>
        <v>0.90625</v>
      </c>
      <c r="D4451" s="28">
        <f t="shared" si="10"/>
        <v>116</v>
      </c>
      <c r="E4451" s="28">
        <f t="shared" si="11"/>
        <v>101.5</v>
      </c>
      <c r="F4451" s="28">
        <f t="shared" si="12"/>
        <v>78.07692307692308</v>
      </c>
      <c r="G4451" s="28">
        <f t="shared" si="14"/>
        <v>56.087299999999999</v>
      </c>
      <c r="H4451" s="28">
        <f t="shared" si="15"/>
        <v>63.506500000000003</v>
      </c>
      <c r="I4451" s="28">
        <f t="shared" si="16"/>
        <v>66.771199999999993</v>
      </c>
      <c r="J4451" s="28">
        <f t="shared" si="17"/>
        <v>69.115799999999993</v>
      </c>
      <c r="K4451" s="28">
        <f t="shared" si="18"/>
        <v>72.785700000000006</v>
      </c>
      <c r="M4451" s="241">
        <v>66.771199999999993</v>
      </c>
    </row>
    <row r="4452" spans="3:13" hidden="1" outlineLevel="1" x14ac:dyDescent="0.2">
      <c r="C4452" s="28">
        <f t="shared" si="13"/>
        <v>0.9140625</v>
      </c>
      <c r="D4452" s="28">
        <f t="shared" si="10"/>
        <v>117</v>
      </c>
      <c r="E4452" s="28">
        <f t="shared" si="11"/>
        <v>102.375</v>
      </c>
      <c r="F4452" s="28">
        <f t="shared" si="12"/>
        <v>78.75</v>
      </c>
      <c r="G4452" s="28">
        <f t="shared" si="14"/>
        <v>56.087299999999999</v>
      </c>
      <c r="H4452" s="28">
        <f t="shared" si="15"/>
        <v>63.506500000000003</v>
      </c>
      <c r="I4452" s="28">
        <f t="shared" si="16"/>
        <v>66.771199999999993</v>
      </c>
      <c r="J4452" s="28">
        <f t="shared" si="17"/>
        <v>69.115799999999993</v>
      </c>
      <c r="K4452" s="28">
        <f t="shared" si="18"/>
        <v>72.785700000000006</v>
      </c>
      <c r="M4452" s="241">
        <v>66.771199999999993</v>
      </c>
    </row>
    <row r="4453" spans="3:13" hidden="1" outlineLevel="1" x14ac:dyDescent="0.2">
      <c r="C4453" s="28">
        <f t="shared" si="13"/>
        <v>0.921875</v>
      </c>
      <c r="D4453" s="28">
        <f t="shared" si="10"/>
        <v>118</v>
      </c>
      <c r="E4453" s="28">
        <f t="shared" si="11"/>
        <v>103.25</v>
      </c>
      <c r="F4453" s="28">
        <f t="shared" si="12"/>
        <v>79.42307692307692</v>
      </c>
      <c r="G4453" s="28">
        <f t="shared" si="14"/>
        <v>56.948300000000003</v>
      </c>
      <c r="H4453" s="28">
        <f t="shared" si="15"/>
        <v>64.434299999999993</v>
      </c>
      <c r="I4453" s="28">
        <f t="shared" si="16"/>
        <v>67.729299999999995</v>
      </c>
      <c r="J4453" s="28">
        <f t="shared" si="17"/>
        <v>70.096400000000003</v>
      </c>
      <c r="K4453" s="28">
        <f t="shared" si="18"/>
        <v>73.802599999999998</v>
      </c>
      <c r="M4453" s="241">
        <v>67.729299999999995</v>
      </c>
    </row>
    <row r="4454" spans="3:13" hidden="1" outlineLevel="1" x14ac:dyDescent="0.2">
      <c r="C4454" s="28">
        <f t="shared" si="13"/>
        <v>0.9296875</v>
      </c>
      <c r="D4454" s="28">
        <f t="shared" si="10"/>
        <v>119</v>
      </c>
      <c r="E4454" s="28">
        <f t="shared" si="11"/>
        <v>104.125</v>
      </c>
      <c r="F4454" s="28">
        <f t="shared" si="12"/>
        <v>80.09615384615384</v>
      </c>
      <c r="G4454" s="28">
        <f t="shared" si="14"/>
        <v>57.810400000000001</v>
      </c>
      <c r="H4454" s="28">
        <f t="shared" si="15"/>
        <v>65.362700000000004</v>
      </c>
      <c r="I4454" s="28">
        <f t="shared" si="16"/>
        <v>68.688100000000006</v>
      </c>
      <c r="J4454" s="28">
        <f t="shared" si="17"/>
        <v>71.077500000000001</v>
      </c>
      <c r="K4454" s="28">
        <f t="shared" si="18"/>
        <v>74.819900000000004</v>
      </c>
      <c r="M4454" s="241">
        <v>68.688100000000006</v>
      </c>
    </row>
    <row r="4455" spans="3:13" hidden="1" outlineLevel="1" x14ac:dyDescent="0.2">
      <c r="C4455" s="28">
        <f t="shared" si="13"/>
        <v>0.9375</v>
      </c>
      <c r="D4455" s="28">
        <f t="shared" si="10"/>
        <v>120</v>
      </c>
      <c r="E4455" s="28">
        <f t="shared" si="11"/>
        <v>105</v>
      </c>
      <c r="F4455" s="28">
        <f t="shared" si="12"/>
        <v>80.769230769230759</v>
      </c>
      <c r="G4455" s="28">
        <f t="shared" si="14"/>
        <v>57.810400000000001</v>
      </c>
      <c r="H4455" s="28">
        <f t="shared" si="15"/>
        <v>65.362700000000004</v>
      </c>
      <c r="I4455" s="28">
        <f t="shared" si="16"/>
        <v>68.688100000000006</v>
      </c>
      <c r="J4455" s="28">
        <f t="shared" si="17"/>
        <v>71.077500000000001</v>
      </c>
      <c r="K4455" s="28">
        <f t="shared" si="18"/>
        <v>74.819900000000004</v>
      </c>
      <c r="M4455" s="241">
        <v>68.688100000000006</v>
      </c>
    </row>
    <row r="4456" spans="3:13" hidden="1" outlineLevel="1" x14ac:dyDescent="0.2">
      <c r="C4456" s="28">
        <f t="shared" si="13"/>
        <v>0.9453125</v>
      </c>
      <c r="D4456" s="28">
        <f t="shared" si="10"/>
        <v>121</v>
      </c>
      <c r="E4456" s="28">
        <f t="shared" si="11"/>
        <v>105.875</v>
      </c>
      <c r="F4456" s="28">
        <f t="shared" si="12"/>
        <v>81.442307692307693</v>
      </c>
      <c r="G4456" s="28">
        <f t="shared" si="14"/>
        <v>58.673400000000001</v>
      </c>
      <c r="H4456" s="28">
        <f t="shared" si="15"/>
        <v>66.291899999999998</v>
      </c>
      <c r="I4456" s="28">
        <f t="shared" si="16"/>
        <v>69.647400000000005</v>
      </c>
      <c r="J4456" s="28">
        <f t="shared" si="17"/>
        <v>72.059100000000001</v>
      </c>
      <c r="K4456" s="28">
        <f t="shared" si="18"/>
        <v>75.837599999999995</v>
      </c>
      <c r="M4456" s="241">
        <v>69.647400000000005</v>
      </c>
    </row>
    <row r="4457" spans="3:13" hidden="1" outlineLevel="1" x14ac:dyDescent="0.2">
      <c r="C4457" s="28">
        <f t="shared" si="13"/>
        <v>0.953125</v>
      </c>
      <c r="D4457" s="28">
        <f t="shared" si="10"/>
        <v>122</v>
      </c>
      <c r="E4457" s="28">
        <f t="shared" si="11"/>
        <v>106.75</v>
      </c>
      <c r="F4457" s="28">
        <f t="shared" si="12"/>
        <v>82.115384615384613</v>
      </c>
      <c r="G4457" s="28">
        <f t="shared" si="14"/>
        <v>59.537500000000001</v>
      </c>
      <c r="H4457" s="28">
        <f t="shared" si="15"/>
        <v>67.221900000000005</v>
      </c>
      <c r="I4457" s="28">
        <f t="shared" si="16"/>
        <v>70.607399999999998</v>
      </c>
      <c r="J4457" s="28">
        <f t="shared" si="17"/>
        <v>73.041200000000003</v>
      </c>
      <c r="K4457" s="28">
        <f t="shared" si="18"/>
        <v>76.855699999999999</v>
      </c>
      <c r="M4457" s="241">
        <v>70.607399999999998</v>
      </c>
    </row>
    <row r="4458" spans="3:13" hidden="1" outlineLevel="1" x14ac:dyDescent="0.2">
      <c r="C4458" s="28">
        <f t="shared" si="13"/>
        <v>0.9609375</v>
      </c>
      <c r="D4458" s="28">
        <f t="shared" si="10"/>
        <v>123</v>
      </c>
      <c r="E4458" s="28">
        <f t="shared" si="11"/>
        <v>107.625</v>
      </c>
      <c r="F4458" s="28">
        <f t="shared" si="12"/>
        <v>82.788461538461533</v>
      </c>
      <c r="G4458" s="28">
        <f t="shared" si="14"/>
        <v>59.537500000000001</v>
      </c>
      <c r="H4458" s="28">
        <f t="shared" si="15"/>
        <v>67.221900000000005</v>
      </c>
      <c r="I4458" s="28">
        <f t="shared" si="16"/>
        <v>70.607399999999998</v>
      </c>
      <c r="J4458" s="28">
        <f t="shared" si="17"/>
        <v>73.041200000000003</v>
      </c>
      <c r="K4458" s="28">
        <f t="shared" si="18"/>
        <v>76.855699999999999</v>
      </c>
      <c r="M4458" s="241">
        <v>70.607399999999998</v>
      </c>
    </row>
    <row r="4459" spans="3:13" hidden="1" outlineLevel="1" x14ac:dyDescent="0.2">
      <c r="C4459" s="28">
        <f t="shared" si="13"/>
        <v>0.96875</v>
      </c>
      <c r="D4459" s="28">
        <f t="shared" si="10"/>
        <v>124</v>
      </c>
      <c r="E4459" s="28">
        <f t="shared" si="11"/>
        <v>108.5</v>
      </c>
      <c r="F4459" s="28">
        <f t="shared" si="12"/>
        <v>83.461538461538453</v>
      </c>
      <c r="G4459" s="28">
        <f t="shared" si="14"/>
        <v>60.402500000000003</v>
      </c>
      <c r="H4459" s="28">
        <f t="shared" si="15"/>
        <v>68.152500000000003</v>
      </c>
      <c r="I4459" s="28">
        <f t="shared" si="16"/>
        <v>71.567800000000005</v>
      </c>
      <c r="J4459" s="28">
        <f t="shared" si="17"/>
        <v>74.023799999999994</v>
      </c>
      <c r="K4459" s="28">
        <f t="shared" si="18"/>
        <v>77.874200000000002</v>
      </c>
      <c r="M4459" s="241">
        <v>71.567800000000005</v>
      </c>
    </row>
    <row r="4460" spans="3:13" hidden="1" outlineLevel="1" x14ac:dyDescent="0.2">
      <c r="C4460" s="28">
        <f t="shared" si="13"/>
        <v>0.9765625</v>
      </c>
      <c r="D4460" s="28">
        <f t="shared" si="10"/>
        <v>125</v>
      </c>
      <c r="E4460" s="28">
        <f t="shared" si="11"/>
        <v>109.375</v>
      </c>
      <c r="F4460" s="28">
        <f t="shared" si="12"/>
        <v>84.134615384615387</v>
      </c>
      <c r="G4460" s="28">
        <f t="shared" si="14"/>
        <v>61.268500000000003</v>
      </c>
      <c r="H4460" s="28">
        <f t="shared" si="15"/>
        <v>69.083699999999993</v>
      </c>
      <c r="I4460" s="28">
        <f t="shared" si="16"/>
        <v>72.528800000000004</v>
      </c>
      <c r="J4460" s="28">
        <f t="shared" si="17"/>
        <v>75.006900000000002</v>
      </c>
      <c r="K4460" s="28">
        <f t="shared" si="18"/>
        <v>78.893000000000001</v>
      </c>
      <c r="M4460" s="241">
        <v>72.528800000000004</v>
      </c>
    </row>
    <row r="4461" spans="3:13" hidden="1" outlineLevel="1" x14ac:dyDescent="0.2">
      <c r="C4461" s="28">
        <f t="shared" si="13"/>
        <v>0.984375</v>
      </c>
      <c r="D4461" s="28">
        <f t="shared" si="10"/>
        <v>126</v>
      </c>
      <c r="E4461" s="28">
        <f t="shared" si="11"/>
        <v>110.25</v>
      </c>
      <c r="F4461" s="28">
        <f t="shared" si="12"/>
        <v>84.807692307692307</v>
      </c>
      <c r="G4461" s="28">
        <f t="shared" si="14"/>
        <v>61.268500000000003</v>
      </c>
      <c r="H4461" s="28">
        <f t="shared" si="15"/>
        <v>69.083699999999993</v>
      </c>
      <c r="I4461" s="28">
        <f t="shared" si="16"/>
        <v>72.528800000000004</v>
      </c>
      <c r="J4461" s="28">
        <f t="shared" si="17"/>
        <v>75.006900000000002</v>
      </c>
      <c r="K4461" s="28">
        <f t="shared" si="18"/>
        <v>78.893000000000001</v>
      </c>
      <c r="M4461" s="241">
        <v>72.528800000000004</v>
      </c>
    </row>
    <row r="4462" spans="3:13" hidden="1" outlineLevel="1" x14ac:dyDescent="0.2">
      <c r="C4462" s="28">
        <f t="shared" si="13"/>
        <v>0.9921875</v>
      </c>
      <c r="D4462" s="28">
        <f t="shared" si="10"/>
        <v>127</v>
      </c>
      <c r="E4462" s="28">
        <f t="shared" si="11"/>
        <v>111.125</v>
      </c>
      <c r="F4462" s="28">
        <f t="shared" si="12"/>
        <v>85.480769230769226</v>
      </c>
      <c r="G4462" s="28">
        <f t="shared" si="14"/>
        <v>62.135399999999997</v>
      </c>
      <c r="H4462" s="28">
        <f t="shared" si="15"/>
        <v>70.015600000000006</v>
      </c>
      <c r="I4462" s="28">
        <f t="shared" si="16"/>
        <v>73.490399999999994</v>
      </c>
      <c r="J4462" s="28">
        <f t="shared" si="17"/>
        <v>75.990499999999997</v>
      </c>
      <c r="K4462" s="28">
        <f t="shared" si="18"/>
        <v>79.912199999999999</v>
      </c>
      <c r="M4462" s="241">
        <v>73.490399999999994</v>
      </c>
    </row>
    <row r="4463" spans="3:13" hidden="1" outlineLevel="1" x14ac:dyDescent="0.2">
      <c r="C4463" s="28">
        <f t="shared" si="13"/>
        <v>1</v>
      </c>
      <c r="D4463" s="28">
        <f t="shared" si="10"/>
        <v>128</v>
      </c>
      <c r="E4463" s="28">
        <f t="shared" si="11"/>
        <v>112</v>
      </c>
      <c r="F4463" s="28">
        <f t="shared" si="12"/>
        <v>86.153846153846146</v>
      </c>
      <c r="G4463" s="28">
        <f t="shared" si="14"/>
        <v>63.003300000000003</v>
      </c>
      <c r="H4463" s="28">
        <f t="shared" si="15"/>
        <v>70.948099999999997</v>
      </c>
      <c r="I4463" s="28">
        <f t="shared" si="16"/>
        <v>74.452500000000001</v>
      </c>
      <c r="J4463" s="28">
        <f t="shared" si="17"/>
        <v>76.974400000000003</v>
      </c>
      <c r="K4463" s="28">
        <f t="shared" si="18"/>
        <v>80.931899999999999</v>
      </c>
      <c r="M4463" s="241">
        <v>74.452500000000001</v>
      </c>
    </row>
    <row r="4464" spans="3:13" hidden="1" outlineLevel="1" x14ac:dyDescent="0.2">
      <c r="C4464" s="28">
        <f t="shared" si="13"/>
        <v>1.0078125</v>
      </c>
      <c r="D4464" s="28">
        <f t="shared" ref="D4464:D4527" si="19">C4464*Channels.per.carrier</f>
        <v>129</v>
      </c>
      <c r="E4464" s="28">
        <f t="shared" ref="E4464:E4527" si="20">D4464-C4464*R99.CE.signalling</f>
        <v>112.875</v>
      </c>
      <c r="F4464" s="28">
        <f t="shared" ref="F4464:F4527" si="21">E4464/(1+Release99.soft.handover+Release99.softer.handover)</f>
        <v>86.82692307692308</v>
      </c>
      <c r="G4464" s="28">
        <f t="shared" si="14"/>
        <v>63.003300000000003</v>
      </c>
      <c r="H4464" s="28">
        <f t="shared" si="15"/>
        <v>70.948099999999997</v>
      </c>
      <c r="I4464" s="28">
        <f t="shared" si="16"/>
        <v>74.452500000000001</v>
      </c>
      <c r="J4464" s="28">
        <f t="shared" si="17"/>
        <v>76.974400000000003</v>
      </c>
      <c r="K4464" s="28">
        <f t="shared" si="18"/>
        <v>80.931899999999999</v>
      </c>
      <c r="M4464" s="241">
        <v>74.452500000000001</v>
      </c>
    </row>
    <row r="4465" spans="3:13" hidden="1" outlineLevel="1" x14ac:dyDescent="0.2">
      <c r="C4465" s="28">
        <f t="shared" ref="C4465:C4528" si="22">C4464+1/128</f>
        <v>1.015625</v>
      </c>
      <c r="D4465" s="28">
        <f t="shared" si="19"/>
        <v>130</v>
      </c>
      <c r="E4465" s="28">
        <f t="shared" si="20"/>
        <v>113.75</v>
      </c>
      <c r="F4465" s="28">
        <f t="shared" si="21"/>
        <v>87.5</v>
      </c>
      <c r="G4465" s="28">
        <f t="shared" ref="G4465:G4528" si="23">INDEX(D$10:D$4326,MATCH($F4465,$C$10:$C$4326,1))</f>
        <v>63.872100000000003</v>
      </c>
      <c r="H4465" s="28">
        <f t="shared" ref="H4465:H4528" si="24">INDEX(E$10:E$4326,MATCH($F4465,$C$10:$C$4326,1))</f>
        <v>71.881200000000007</v>
      </c>
      <c r="I4465" s="28">
        <f t="shared" ref="I4465:I4528" si="25">INDEX(F$10:F$4326,MATCH($F4465,$C$10:$C$4326,1))</f>
        <v>75.415099999999995</v>
      </c>
      <c r="J4465" s="28">
        <f t="shared" ref="J4465:J4528" si="26">INDEX(G$10:G$4326,MATCH($F4465,$C$10:$C$4326,1))</f>
        <v>77.9589</v>
      </c>
      <c r="K4465" s="28">
        <f t="shared" ref="K4465:K4528" si="27">INDEX(H$10:H$4326,MATCH($F4465,$C$10:$C$4326,1))</f>
        <v>81.951800000000006</v>
      </c>
      <c r="M4465" s="241">
        <v>75.415099999999995</v>
      </c>
    </row>
    <row r="4466" spans="3:13" hidden="1" outlineLevel="1" x14ac:dyDescent="0.2">
      <c r="C4466" s="28">
        <f t="shared" si="22"/>
        <v>1.0234375</v>
      </c>
      <c r="D4466" s="28">
        <f t="shared" si="19"/>
        <v>131</v>
      </c>
      <c r="E4466" s="28">
        <f t="shared" si="20"/>
        <v>114.625</v>
      </c>
      <c r="F4466" s="28">
        <f t="shared" si="21"/>
        <v>88.17307692307692</v>
      </c>
      <c r="G4466" s="28">
        <f t="shared" si="23"/>
        <v>64.741699999999994</v>
      </c>
      <c r="H4466" s="28">
        <f t="shared" si="24"/>
        <v>72.814999999999998</v>
      </c>
      <c r="I4466" s="28">
        <f t="shared" si="25"/>
        <v>76.378299999999996</v>
      </c>
      <c r="J4466" s="28">
        <f t="shared" si="26"/>
        <v>78.943799999999996</v>
      </c>
      <c r="K4466" s="28">
        <f t="shared" si="27"/>
        <v>82.972099999999998</v>
      </c>
      <c r="M4466" s="241">
        <v>76.378299999999996</v>
      </c>
    </row>
    <row r="4467" spans="3:13" hidden="1" outlineLevel="1" x14ac:dyDescent="0.2">
      <c r="C4467" s="28">
        <f t="shared" si="22"/>
        <v>1.03125</v>
      </c>
      <c r="D4467" s="28">
        <f t="shared" si="19"/>
        <v>132</v>
      </c>
      <c r="E4467" s="28">
        <f t="shared" si="20"/>
        <v>115.5</v>
      </c>
      <c r="F4467" s="28">
        <f t="shared" si="21"/>
        <v>88.84615384615384</v>
      </c>
      <c r="G4467" s="28">
        <f t="shared" si="23"/>
        <v>64.741699999999994</v>
      </c>
      <c r="H4467" s="28">
        <f t="shared" si="24"/>
        <v>72.814999999999998</v>
      </c>
      <c r="I4467" s="28">
        <f t="shared" si="25"/>
        <v>76.378299999999996</v>
      </c>
      <c r="J4467" s="28">
        <f t="shared" si="26"/>
        <v>78.943799999999996</v>
      </c>
      <c r="K4467" s="28">
        <f t="shared" si="27"/>
        <v>82.972099999999998</v>
      </c>
      <c r="M4467" s="241">
        <v>76.378299999999996</v>
      </c>
    </row>
    <row r="4468" spans="3:13" hidden="1" outlineLevel="1" x14ac:dyDescent="0.2">
      <c r="C4468" s="28">
        <f t="shared" si="22"/>
        <v>1.0390625</v>
      </c>
      <c r="D4468" s="28">
        <f t="shared" si="19"/>
        <v>133</v>
      </c>
      <c r="E4468" s="28">
        <f t="shared" si="20"/>
        <v>116.375</v>
      </c>
      <c r="F4468" s="28">
        <f t="shared" si="21"/>
        <v>89.519230769230759</v>
      </c>
      <c r="G4468" s="28">
        <f t="shared" si="23"/>
        <v>65.612300000000005</v>
      </c>
      <c r="H4468" s="28">
        <f t="shared" si="24"/>
        <v>73.749300000000005</v>
      </c>
      <c r="I4468" s="28">
        <f t="shared" si="25"/>
        <v>77.341800000000006</v>
      </c>
      <c r="J4468" s="28">
        <f t="shared" si="26"/>
        <v>79.929199999999994</v>
      </c>
      <c r="K4468" s="28">
        <f t="shared" si="27"/>
        <v>83.992699999999999</v>
      </c>
      <c r="M4468" s="241">
        <v>77.341800000000006</v>
      </c>
    </row>
    <row r="4469" spans="3:13" hidden="1" outlineLevel="1" x14ac:dyDescent="0.2">
      <c r="C4469" s="28">
        <f t="shared" si="22"/>
        <v>1.046875</v>
      </c>
      <c r="D4469" s="28">
        <f t="shared" si="19"/>
        <v>134</v>
      </c>
      <c r="E4469" s="28">
        <f t="shared" si="20"/>
        <v>117.25</v>
      </c>
      <c r="F4469" s="28">
        <f t="shared" si="21"/>
        <v>90.192307692307693</v>
      </c>
      <c r="G4469" s="28">
        <f t="shared" si="23"/>
        <v>66.483599999999996</v>
      </c>
      <c r="H4469" s="28">
        <f t="shared" si="24"/>
        <v>74.684299999999993</v>
      </c>
      <c r="I4469" s="28">
        <f t="shared" si="25"/>
        <v>78.305999999999997</v>
      </c>
      <c r="J4469" s="28">
        <f t="shared" si="26"/>
        <v>80.914900000000003</v>
      </c>
      <c r="K4469" s="28">
        <f t="shared" si="27"/>
        <v>85.0137</v>
      </c>
      <c r="M4469" s="241">
        <v>78.305999999999997</v>
      </c>
    </row>
    <row r="4470" spans="3:13" hidden="1" outlineLevel="1" x14ac:dyDescent="0.2">
      <c r="C4470" s="28">
        <f t="shared" si="22"/>
        <v>1.0546875</v>
      </c>
      <c r="D4470" s="28">
        <f t="shared" si="19"/>
        <v>135</v>
      </c>
      <c r="E4470" s="28">
        <f t="shared" si="20"/>
        <v>118.125</v>
      </c>
      <c r="F4470" s="28">
        <f t="shared" si="21"/>
        <v>90.865384615384613</v>
      </c>
      <c r="G4470" s="28">
        <f t="shared" si="23"/>
        <v>66.483599999999996</v>
      </c>
      <c r="H4470" s="28">
        <f t="shared" si="24"/>
        <v>74.684299999999993</v>
      </c>
      <c r="I4470" s="28">
        <f t="shared" si="25"/>
        <v>78.305999999999997</v>
      </c>
      <c r="J4470" s="28">
        <f t="shared" si="26"/>
        <v>80.914900000000003</v>
      </c>
      <c r="K4470" s="28">
        <f t="shared" si="27"/>
        <v>85.0137</v>
      </c>
      <c r="M4470" s="241">
        <v>78.305999999999997</v>
      </c>
    </row>
    <row r="4471" spans="3:13" hidden="1" outlineLevel="1" x14ac:dyDescent="0.2">
      <c r="C4471" s="28">
        <f t="shared" si="22"/>
        <v>1.0625</v>
      </c>
      <c r="D4471" s="28">
        <f t="shared" si="19"/>
        <v>136</v>
      </c>
      <c r="E4471" s="28">
        <f t="shared" si="20"/>
        <v>119</v>
      </c>
      <c r="F4471" s="28">
        <f t="shared" si="21"/>
        <v>91.538461538461533</v>
      </c>
      <c r="G4471" s="28">
        <f t="shared" si="23"/>
        <v>67.355900000000005</v>
      </c>
      <c r="H4471" s="28">
        <f t="shared" si="24"/>
        <v>75.619900000000001</v>
      </c>
      <c r="I4471" s="28">
        <f t="shared" si="25"/>
        <v>79.270499999999998</v>
      </c>
      <c r="J4471" s="28">
        <f t="shared" si="26"/>
        <v>81.9011</v>
      </c>
      <c r="K4471" s="28">
        <f t="shared" si="27"/>
        <v>86.034999999999997</v>
      </c>
      <c r="M4471" s="241">
        <v>79.270499999999998</v>
      </c>
    </row>
    <row r="4472" spans="3:13" hidden="1" outlineLevel="1" x14ac:dyDescent="0.2">
      <c r="C4472" s="28">
        <f t="shared" si="22"/>
        <v>1.0703125</v>
      </c>
      <c r="D4472" s="28">
        <f t="shared" si="19"/>
        <v>137</v>
      </c>
      <c r="E4472" s="28">
        <f t="shared" si="20"/>
        <v>119.875</v>
      </c>
      <c r="F4472" s="28">
        <f t="shared" si="21"/>
        <v>92.211538461538453</v>
      </c>
      <c r="G4472" s="28">
        <f t="shared" si="23"/>
        <v>68.228999999999999</v>
      </c>
      <c r="H4472" s="28">
        <f t="shared" si="24"/>
        <v>76.555999999999997</v>
      </c>
      <c r="I4472" s="28">
        <f t="shared" si="25"/>
        <v>80.235600000000005</v>
      </c>
      <c r="J4472" s="28">
        <f t="shared" si="26"/>
        <v>82.887600000000006</v>
      </c>
      <c r="K4472" s="28">
        <f t="shared" si="27"/>
        <v>87.056600000000003</v>
      </c>
      <c r="M4472" s="241">
        <v>80.235600000000005</v>
      </c>
    </row>
    <row r="4473" spans="3:13" hidden="1" outlineLevel="1" x14ac:dyDescent="0.2">
      <c r="C4473" s="28">
        <f t="shared" si="22"/>
        <v>1.078125</v>
      </c>
      <c r="D4473" s="28">
        <f t="shared" si="19"/>
        <v>138</v>
      </c>
      <c r="E4473" s="28">
        <f t="shared" si="20"/>
        <v>120.75</v>
      </c>
      <c r="F4473" s="28">
        <f t="shared" si="21"/>
        <v>92.884615384615387</v>
      </c>
      <c r="G4473" s="28">
        <f t="shared" si="23"/>
        <v>68.228999999999999</v>
      </c>
      <c r="H4473" s="28">
        <f t="shared" si="24"/>
        <v>76.555999999999997</v>
      </c>
      <c r="I4473" s="28">
        <f t="shared" si="25"/>
        <v>80.235600000000005</v>
      </c>
      <c r="J4473" s="28">
        <f t="shared" si="26"/>
        <v>82.887600000000006</v>
      </c>
      <c r="K4473" s="28">
        <f t="shared" si="27"/>
        <v>87.056600000000003</v>
      </c>
      <c r="M4473" s="241">
        <v>80.235600000000005</v>
      </c>
    </row>
    <row r="4474" spans="3:13" hidden="1" outlineLevel="1" x14ac:dyDescent="0.2">
      <c r="C4474" s="28">
        <f t="shared" si="22"/>
        <v>1.0859375</v>
      </c>
      <c r="D4474" s="28">
        <f t="shared" si="19"/>
        <v>139</v>
      </c>
      <c r="E4474" s="28">
        <f t="shared" si="20"/>
        <v>121.625</v>
      </c>
      <c r="F4474" s="28">
        <f t="shared" si="21"/>
        <v>93.557692307692307</v>
      </c>
      <c r="G4474" s="28">
        <f t="shared" si="23"/>
        <v>69.102900000000005</v>
      </c>
      <c r="H4474" s="28">
        <f t="shared" si="24"/>
        <v>77.492699999999999</v>
      </c>
      <c r="I4474" s="28">
        <f t="shared" si="25"/>
        <v>81.201099999999997</v>
      </c>
      <c r="J4474" s="28">
        <f t="shared" si="26"/>
        <v>83.874600000000001</v>
      </c>
      <c r="K4474" s="28">
        <f t="shared" si="27"/>
        <v>88.078599999999994</v>
      </c>
      <c r="M4474" s="241">
        <v>81.201099999999997</v>
      </c>
    </row>
    <row r="4475" spans="3:13" hidden="1" outlineLevel="1" x14ac:dyDescent="0.2">
      <c r="C4475" s="28">
        <f t="shared" si="22"/>
        <v>1.09375</v>
      </c>
      <c r="D4475" s="28">
        <f t="shared" si="19"/>
        <v>140</v>
      </c>
      <c r="E4475" s="28">
        <f t="shared" si="20"/>
        <v>122.5</v>
      </c>
      <c r="F4475" s="28">
        <f t="shared" si="21"/>
        <v>94.230769230769226</v>
      </c>
      <c r="G4475" s="28">
        <f t="shared" si="23"/>
        <v>69.977599999999995</v>
      </c>
      <c r="H4475" s="28">
        <f t="shared" si="24"/>
        <v>78.4298</v>
      </c>
      <c r="I4475" s="28">
        <f t="shared" si="25"/>
        <v>82.167000000000002</v>
      </c>
      <c r="J4475" s="28">
        <f t="shared" si="26"/>
        <v>84.861999999999995</v>
      </c>
      <c r="K4475" s="28">
        <f t="shared" si="27"/>
        <v>89.100800000000007</v>
      </c>
      <c r="M4475" s="241">
        <v>82.167000000000002</v>
      </c>
    </row>
    <row r="4476" spans="3:13" hidden="1" outlineLevel="1" x14ac:dyDescent="0.2">
      <c r="C4476" s="28">
        <f t="shared" si="22"/>
        <v>1.1015625</v>
      </c>
      <c r="D4476" s="28">
        <f t="shared" si="19"/>
        <v>141</v>
      </c>
      <c r="E4476" s="28">
        <f t="shared" si="20"/>
        <v>123.375</v>
      </c>
      <c r="F4476" s="28">
        <f t="shared" si="21"/>
        <v>94.903846153846146</v>
      </c>
      <c r="G4476" s="28">
        <f t="shared" si="23"/>
        <v>69.977599999999995</v>
      </c>
      <c r="H4476" s="28">
        <f t="shared" si="24"/>
        <v>78.4298</v>
      </c>
      <c r="I4476" s="28">
        <f t="shared" si="25"/>
        <v>82.167000000000002</v>
      </c>
      <c r="J4476" s="28">
        <f t="shared" si="26"/>
        <v>84.861999999999995</v>
      </c>
      <c r="K4476" s="28">
        <f t="shared" si="27"/>
        <v>89.100800000000007</v>
      </c>
      <c r="M4476" s="241">
        <v>82.167000000000002</v>
      </c>
    </row>
    <row r="4477" spans="3:13" hidden="1" outlineLevel="1" x14ac:dyDescent="0.2">
      <c r="C4477" s="28">
        <f t="shared" si="22"/>
        <v>1.109375</v>
      </c>
      <c r="D4477" s="28">
        <f t="shared" si="19"/>
        <v>142</v>
      </c>
      <c r="E4477" s="28">
        <f t="shared" si="20"/>
        <v>124.25</v>
      </c>
      <c r="F4477" s="28">
        <f t="shared" si="21"/>
        <v>95.57692307692308</v>
      </c>
      <c r="G4477" s="28">
        <f t="shared" si="23"/>
        <v>70.853099999999998</v>
      </c>
      <c r="H4477" s="28">
        <f t="shared" si="24"/>
        <v>79.367599999999996</v>
      </c>
      <c r="I4477" s="28">
        <f t="shared" si="25"/>
        <v>83.133499999999998</v>
      </c>
      <c r="J4477" s="28">
        <f t="shared" si="26"/>
        <v>85.849599999999995</v>
      </c>
      <c r="K4477" s="28">
        <f t="shared" si="27"/>
        <v>90.1233</v>
      </c>
      <c r="M4477" s="241">
        <v>83.133499999999998</v>
      </c>
    </row>
    <row r="4478" spans="3:13" hidden="1" outlineLevel="1" x14ac:dyDescent="0.2">
      <c r="C4478" s="28">
        <f t="shared" si="22"/>
        <v>1.1171875</v>
      </c>
      <c r="D4478" s="28">
        <f t="shared" si="19"/>
        <v>143</v>
      </c>
      <c r="E4478" s="28">
        <f t="shared" si="20"/>
        <v>125.125</v>
      </c>
      <c r="F4478" s="28">
        <f t="shared" si="21"/>
        <v>96.25</v>
      </c>
      <c r="G4478" s="28">
        <f t="shared" si="23"/>
        <v>71.729399999999998</v>
      </c>
      <c r="H4478" s="28">
        <f t="shared" si="24"/>
        <v>80.305899999999994</v>
      </c>
      <c r="I4478" s="28">
        <f t="shared" si="25"/>
        <v>84.100300000000004</v>
      </c>
      <c r="J4478" s="28">
        <f t="shared" si="26"/>
        <v>86.837800000000001</v>
      </c>
      <c r="K4478" s="28">
        <f t="shared" si="27"/>
        <v>91.146100000000004</v>
      </c>
      <c r="M4478" s="241">
        <v>84.100300000000004</v>
      </c>
    </row>
    <row r="4479" spans="3:13" hidden="1" outlineLevel="1" x14ac:dyDescent="0.2">
      <c r="C4479" s="28">
        <f t="shared" si="22"/>
        <v>1.125</v>
      </c>
      <c r="D4479" s="28">
        <f t="shared" si="19"/>
        <v>144</v>
      </c>
      <c r="E4479" s="28">
        <f t="shared" si="20"/>
        <v>126</v>
      </c>
      <c r="F4479" s="28">
        <f t="shared" si="21"/>
        <v>96.92307692307692</v>
      </c>
      <c r="G4479" s="28">
        <f t="shared" si="23"/>
        <v>71.729399999999998</v>
      </c>
      <c r="H4479" s="28">
        <f t="shared" si="24"/>
        <v>80.305899999999994</v>
      </c>
      <c r="I4479" s="28">
        <f t="shared" si="25"/>
        <v>84.100300000000004</v>
      </c>
      <c r="J4479" s="28">
        <f t="shared" si="26"/>
        <v>86.837800000000001</v>
      </c>
      <c r="K4479" s="28">
        <f t="shared" si="27"/>
        <v>91.146100000000004</v>
      </c>
      <c r="M4479" s="241">
        <v>84.100300000000004</v>
      </c>
    </row>
    <row r="4480" spans="3:13" hidden="1" outlineLevel="1" x14ac:dyDescent="0.2">
      <c r="C4480" s="28">
        <f t="shared" si="22"/>
        <v>1.1328125</v>
      </c>
      <c r="D4480" s="28">
        <f t="shared" si="19"/>
        <v>145</v>
      </c>
      <c r="E4480" s="28">
        <f t="shared" si="20"/>
        <v>126.875</v>
      </c>
      <c r="F4480" s="28">
        <f t="shared" si="21"/>
        <v>97.59615384615384</v>
      </c>
      <c r="G4480" s="28">
        <f t="shared" si="23"/>
        <v>72.606399999999994</v>
      </c>
      <c r="H4480" s="28">
        <f t="shared" si="24"/>
        <v>81.244699999999995</v>
      </c>
      <c r="I4480" s="28">
        <f t="shared" si="25"/>
        <v>85.067599999999999</v>
      </c>
      <c r="J4480" s="28">
        <f t="shared" si="26"/>
        <v>87.8262</v>
      </c>
      <c r="K4480" s="28">
        <f t="shared" si="27"/>
        <v>92.169200000000004</v>
      </c>
      <c r="M4480" s="241">
        <v>85.067599999999999</v>
      </c>
    </row>
    <row r="4481" spans="3:13" hidden="1" outlineLevel="1" x14ac:dyDescent="0.2">
      <c r="C4481" s="28">
        <f t="shared" si="22"/>
        <v>1.140625</v>
      </c>
      <c r="D4481" s="28">
        <f t="shared" si="19"/>
        <v>146</v>
      </c>
      <c r="E4481" s="28">
        <f t="shared" si="20"/>
        <v>127.75</v>
      </c>
      <c r="F4481" s="28">
        <f t="shared" si="21"/>
        <v>98.269230769230759</v>
      </c>
      <c r="G4481" s="28">
        <f t="shared" si="23"/>
        <v>73.484200000000001</v>
      </c>
      <c r="H4481" s="28">
        <f t="shared" si="24"/>
        <v>82.183999999999997</v>
      </c>
      <c r="I4481" s="28">
        <f t="shared" si="25"/>
        <v>86.035300000000007</v>
      </c>
      <c r="J4481" s="28">
        <f t="shared" si="26"/>
        <v>88.815200000000004</v>
      </c>
      <c r="K4481" s="28">
        <f t="shared" si="27"/>
        <v>93.192700000000002</v>
      </c>
      <c r="M4481" s="241">
        <v>86.035300000000007</v>
      </c>
    </row>
    <row r="4482" spans="3:13" hidden="1" outlineLevel="1" x14ac:dyDescent="0.2">
      <c r="C4482" s="28">
        <f t="shared" si="22"/>
        <v>1.1484375</v>
      </c>
      <c r="D4482" s="28">
        <f t="shared" si="19"/>
        <v>147</v>
      </c>
      <c r="E4482" s="28">
        <f t="shared" si="20"/>
        <v>128.625</v>
      </c>
      <c r="F4482" s="28">
        <f t="shared" si="21"/>
        <v>98.942307692307693</v>
      </c>
      <c r="G4482" s="28">
        <f t="shared" si="23"/>
        <v>73.484200000000001</v>
      </c>
      <c r="H4482" s="28">
        <f t="shared" si="24"/>
        <v>82.183999999999997</v>
      </c>
      <c r="I4482" s="28">
        <f t="shared" si="25"/>
        <v>86.035300000000007</v>
      </c>
      <c r="J4482" s="28">
        <f t="shared" si="26"/>
        <v>88.815200000000004</v>
      </c>
      <c r="K4482" s="28">
        <f t="shared" si="27"/>
        <v>93.192700000000002</v>
      </c>
      <c r="M4482" s="241">
        <v>86.035300000000007</v>
      </c>
    </row>
    <row r="4483" spans="3:13" hidden="1" outlineLevel="1" x14ac:dyDescent="0.2">
      <c r="C4483" s="28">
        <f t="shared" si="22"/>
        <v>1.15625</v>
      </c>
      <c r="D4483" s="28">
        <f t="shared" si="19"/>
        <v>148</v>
      </c>
      <c r="E4483" s="28">
        <f t="shared" si="20"/>
        <v>129.5</v>
      </c>
      <c r="F4483" s="28">
        <f t="shared" si="21"/>
        <v>99.615384615384613</v>
      </c>
      <c r="G4483" s="28">
        <f t="shared" si="23"/>
        <v>74.362700000000004</v>
      </c>
      <c r="H4483" s="28">
        <f t="shared" si="24"/>
        <v>83.123800000000003</v>
      </c>
      <c r="I4483" s="28">
        <f t="shared" si="25"/>
        <v>87.003500000000003</v>
      </c>
      <c r="J4483" s="28">
        <f t="shared" si="26"/>
        <v>89.804400000000001</v>
      </c>
      <c r="K4483" s="28">
        <f t="shared" si="27"/>
        <v>94.216300000000004</v>
      </c>
      <c r="M4483" s="241">
        <v>87.003500000000003</v>
      </c>
    </row>
    <row r="4484" spans="3:13" hidden="1" outlineLevel="1" x14ac:dyDescent="0.2">
      <c r="C4484" s="28">
        <f t="shared" si="22"/>
        <v>1.1640625</v>
      </c>
      <c r="D4484" s="28">
        <f t="shared" si="19"/>
        <v>149</v>
      </c>
      <c r="E4484" s="28">
        <f t="shared" si="20"/>
        <v>130.375</v>
      </c>
      <c r="F4484" s="28">
        <f t="shared" si="21"/>
        <v>100.28846153846153</v>
      </c>
      <c r="G4484" s="28">
        <f t="shared" si="23"/>
        <v>75.242000000000004</v>
      </c>
      <c r="H4484" s="28">
        <f t="shared" si="24"/>
        <v>84.064099999999996</v>
      </c>
      <c r="I4484" s="28">
        <f t="shared" si="25"/>
        <v>0</v>
      </c>
      <c r="J4484" s="28">
        <f t="shared" si="26"/>
        <v>90.793899999999994</v>
      </c>
      <c r="K4484" s="28">
        <f t="shared" si="27"/>
        <v>95.240300000000005</v>
      </c>
      <c r="M4484" s="241">
        <v>0</v>
      </c>
    </row>
    <row r="4485" spans="3:13" hidden="1" outlineLevel="1" x14ac:dyDescent="0.2">
      <c r="C4485" s="28">
        <f t="shared" si="22"/>
        <v>1.171875</v>
      </c>
      <c r="D4485" s="28">
        <f t="shared" si="19"/>
        <v>150</v>
      </c>
      <c r="E4485" s="28">
        <f t="shared" si="20"/>
        <v>131.25</v>
      </c>
      <c r="F4485" s="28">
        <f t="shared" si="21"/>
        <v>100.96153846153845</v>
      </c>
      <c r="G4485" s="28">
        <f t="shared" si="23"/>
        <v>75.242000000000004</v>
      </c>
      <c r="H4485" s="28">
        <f t="shared" si="24"/>
        <v>84.064099999999996</v>
      </c>
      <c r="I4485" s="28">
        <f t="shared" si="25"/>
        <v>0</v>
      </c>
      <c r="J4485" s="28">
        <f t="shared" si="26"/>
        <v>90.793899999999994</v>
      </c>
      <c r="K4485" s="28">
        <f t="shared" si="27"/>
        <v>95.240300000000005</v>
      </c>
      <c r="M4485" s="241">
        <v>0</v>
      </c>
    </row>
    <row r="4486" spans="3:13" hidden="1" outlineLevel="1" x14ac:dyDescent="0.2">
      <c r="C4486" s="28">
        <f t="shared" si="22"/>
        <v>1.1796875</v>
      </c>
      <c r="D4486" s="28">
        <f t="shared" si="19"/>
        <v>151</v>
      </c>
      <c r="E4486" s="28">
        <f t="shared" si="20"/>
        <v>132.125</v>
      </c>
      <c r="F4486" s="28">
        <f t="shared" si="21"/>
        <v>101.63461538461539</v>
      </c>
      <c r="G4486" s="28">
        <f t="shared" si="23"/>
        <v>76.121899999999997</v>
      </c>
      <c r="H4486" s="28">
        <f t="shared" si="24"/>
        <v>85.004999999999995</v>
      </c>
      <c r="I4486" s="28">
        <f t="shared" si="25"/>
        <v>88.940899999999999</v>
      </c>
      <c r="J4486" s="28">
        <f t="shared" si="26"/>
        <v>91.783900000000003</v>
      </c>
      <c r="K4486" s="28">
        <f t="shared" si="27"/>
        <v>96.264600000000002</v>
      </c>
      <c r="M4486" s="241">
        <v>88.940899999999999</v>
      </c>
    </row>
    <row r="4487" spans="3:13" hidden="1" outlineLevel="1" x14ac:dyDescent="0.2">
      <c r="C4487" s="28">
        <f t="shared" si="22"/>
        <v>1.1875</v>
      </c>
      <c r="D4487" s="28">
        <f t="shared" si="19"/>
        <v>152</v>
      </c>
      <c r="E4487" s="28">
        <f t="shared" si="20"/>
        <v>133</v>
      </c>
      <c r="F4487" s="28">
        <f t="shared" si="21"/>
        <v>102.30769230769231</v>
      </c>
      <c r="G4487" s="28">
        <f t="shared" si="23"/>
        <v>77.002700000000004</v>
      </c>
      <c r="H4487" s="28">
        <f t="shared" si="24"/>
        <v>85.946299999999994</v>
      </c>
      <c r="I4487" s="28">
        <f t="shared" si="25"/>
        <v>89.910200000000003</v>
      </c>
      <c r="J4487" s="28">
        <f t="shared" si="26"/>
        <v>92.774000000000001</v>
      </c>
      <c r="K4487" s="28">
        <f t="shared" si="27"/>
        <v>97.289100000000005</v>
      </c>
      <c r="M4487" s="241">
        <v>89.910200000000003</v>
      </c>
    </row>
    <row r="4488" spans="3:13" hidden="1" outlineLevel="1" x14ac:dyDescent="0.2">
      <c r="C4488" s="28">
        <f t="shared" si="22"/>
        <v>1.1953125</v>
      </c>
      <c r="D4488" s="28">
        <f t="shared" si="19"/>
        <v>153</v>
      </c>
      <c r="E4488" s="28">
        <f t="shared" si="20"/>
        <v>133.875</v>
      </c>
      <c r="F4488" s="28">
        <f t="shared" si="21"/>
        <v>102.98076923076923</v>
      </c>
      <c r="G4488" s="28">
        <f t="shared" si="23"/>
        <v>77.002700000000004</v>
      </c>
      <c r="H4488" s="28">
        <f t="shared" si="24"/>
        <v>85.946299999999994</v>
      </c>
      <c r="I4488" s="28">
        <f t="shared" si="25"/>
        <v>89.910200000000003</v>
      </c>
      <c r="J4488" s="28">
        <f t="shared" si="26"/>
        <v>92.774000000000001</v>
      </c>
      <c r="K4488" s="28">
        <f t="shared" si="27"/>
        <v>97.289100000000005</v>
      </c>
      <c r="M4488" s="241">
        <v>89.910200000000003</v>
      </c>
    </row>
    <row r="4489" spans="3:13" hidden="1" outlineLevel="1" x14ac:dyDescent="0.2">
      <c r="C4489" s="28">
        <f t="shared" si="22"/>
        <v>1.203125</v>
      </c>
      <c r="D4489" s="28">
        <f t="shared" si="19"/>
        <v>154</v>
      </c>
      <c r="E4489" s="28">
        <f t="shared" si="20"/>
        <v>134.75</v>
      </c>
      <c r="F4489" s="28">
        <f t="shared" si="21"/>
        <v>103.65384615384615</v>
      </c>
      <c r="G4489" s="28">
        <f t="shared" si="23"/>
        <v>77.884</v>
      </c>
      <c r="H4489" s="28">
        <f t="shared" si="24"/>
        <v>86.888000000000005</v>
      </c>
      <c r="I4489" s="28">
        <f t="shared" si="25"/>
        <v>90.879900000000006</v>
      </c>
      <c r="J4489" s="28">
        <f t="shared" si="26"/>
        <v>93.764700000000005</v>
      </c>
      <c r="K4489" s="28">
        <f t="shared" si="27"/>
        <v>98.313800000000001</v>
      </c>
      <c r="M4489" s="241">
        <v>90.879900000000006</v>
      </c>
    </row>
    <row r="4490" spans="3:13" hidden="1" outlineLevel="1" x14ac:dyDescent="0.2">
      <c r="C4490" s="28">
        <f t="shared" si="22"/>
        <v>1.2109375</v>
      </c>
      <c r="D4490" s="28">
        <f t="shared" si="19"/>
        <v>155</v>
      </c>
      <c r="E4490" s="28">
        <f t="shared" si="20"/>
        <v>135.625</v>
      </c>
      <c r="F4490" s="28">
        <f t="shared" si="21"/>
        <v>104.32692307692308</v>
      </c>
      <c r="G4490" s="28">
        <f t="shared" si="23"/>
        <v>78.766000000000005</v>
      </c>
      <c r="H4490" s="28">
        <f t="shared" si="24"/>
        <v>87.830200000000005</v>
      </c>
      <c r="I4490" s="28">
        <f t="shared" si="25"/>
        <v>91.850099999999998</v>
      </c>
      <c r="J4490" s="28">
        <f t="shared" si="26"/>
        <v>94.755499999999998</v>
      </c>
      <c r="K4490" s="28">
        <f t="shared" si="27"/>
        <v>99.338899999999995</v>
      </c>
      <c r="M4490" s="241">
        <v>91.850099999999998</v>
      </c>
    </row>
    <row r="4491" spans="3:13" hidden="1" outlineLevel="1" x14ac:dyDescent="0.2">
      <c r="C4491" s="28">
        <f t="shared" si="22"/>
        <v>1.21875</v>
      </c>
      <c r="D4491" s="28">
        <f t="shared" si="19"/>
        <v>156</v>
      </c>
      <c r="E4491" s="28">
        <f t="shared" si="20"/>
        <v>136.5</v>
      </c>
      <c r="F4491" s="28">
        <f t="shared" si="21"/>
        <v>105</v>
      </c>
      <c r="G4491" s="28">
        <f t="shared" si="23"/>
        <v>79.648799999999994</v>
      </c>
      <c r="H4491" s="28">
        <f t="shared" si="24"/>
        <v>88.772900000000007</v>
      </c>
      <c r="I4491" s="28">
        <f t="shared" si="25"/>
        <v>92.820599999999999</v>
      </c>
      <c r="J4491" s="28">
        <f t="shared" si="26"/>
        <v>95.746799999999993</v>
      </c>
      <c r="K4491" s="28">
        <f t="shared" si="27"/>
        <v>100.3642</v>
      </c>
      <c r="M4491" s="241">
        <v>92.820599999999999</v>
      </c>
    </row>
    <row r="4492" spans="3:13" hidden="1" outlineLevel="1" x14ac:dyDescent="0.2">
      <c r="C4492" s="28">
        <f t="shared" si="22"/>
        <v>1.2265625</v>
      </c>
      <c r="D4492" s="28">
        <f t="shared" si="19"/>
        <v>157</v>
      </c>
      <c r="E4492" s="28">
        <f t="shared" si="20"/>
        <v>137.375</v>
      </c>
      <c r="F4492" s="28">
        <f t="shared" si="21"/>
        <v>105.67307692307692</v>
      </c>
      <c r="G4492" s="28">
        <f t="shared" si="23"/>
        <v>79.648799999999994</v>
      </c>
      <c r="H4492" s="28">
        <f t="shared" si="24"/>
        <v>88.772900000000007</v>
      </c>
      <c r="I4492" s="28">
        <f t="shared" si="25"/>
        <v>92.820599999999999</v>
      </c>
      <c r="J4492" s="28">
        <f t="shared" si="26"/>
        <v>95.746799999999993</v>
      </c>
      <c r="K4492" s="28">
        <f t="shared" si="27"/>
        <v>100.3642</v>
      </c>
      <c r="L4492" s="4"/>
      <c r="M4492" s="241">
        <v>92.820599999999999</v>
      </c>
    </row>
    <row r="4493" spans="3:13" hidden="1" outlineLevel="1" x14ac:dyDescent="0.2">
      <c r="C4493" s="28">
        <f t="shared" si="22"/>
        <v>1.234375</v>
      </c>
      <c r="D4493" s="28">
        <f t="shared" si="19"/>
        <v>158</v>
      </c>
      <c r="E4493" s="28">
        <f t="shared" si="20"/>
        <v>138.25</v>
      </c>
      <c r="F4493" s="28">
        <f t="shared" si="21"/>
        <v>106.34615384615384</v>
      </c>
      <c r="G4493" s="28">
        <f t="shared" si="23"/>
        <v>80.532200000000003</v>
      </c>
      <c r="H4493" s="28">
        <f t="shared" si="24"/>
        <v>89.715999999999994</v>
      </c>
      <c r="I4493" s="28">
        <f t="shared" si="25"/>
        <v>93.791300000000007</v>
      </c>
      <c r="J4493" s="28">
        <f t="shared" si="26"/>
        <v>96.738299999999995</v>
      </c>
      <c r="K4493" s="28">
        <f t="shared" si="27"/>
        <v>101.3896</v>
      </c>
      <c r="L4493" s="4"/>
      <c r="M4493" s="241">
        <v>93.791300000000007</v>
      </c>
    </row>
    <row r="4494" spans="3:13" hidden="1" outlineLevel="1" x14ac:dyDescent="0.2">
      <c r="C4494" s="28">
        <f t="shared" si="22"/>
        <v>1.2421875</v>
      </c>
      <c r="D4494" s="28">
        <f t="shared" si="19"/>
        <v>159</v>
      </c>
      <c r="E4494" s="28">
        <f t="shared" si="20"/>
        <v>139.125</v>
      </c>
      <c r="F4494" s="28">
        <f t="shared" si="21"/>
        <v>107.01923076923076</v>
      </c>
      <c r="G4494" s="28">
        <f t="shared" si="23"/>
        <v>81.416300000000007</v>
      </c>
      <c r="H4494" s="28">
        <f t="shared" si="24"/>
        <v>90.659700000000001</v>
      </c>
      <c r="I4494" s="28">
        <f t="shared" si="25"/>
        <v>94.762500000000003</v>
      </c>
      <c r="J4494" s="28">
        <f t="shared" si="26"/>
        <v>97.730099999999993</v>
      </c>
      <c r="K4494" s="28">
        <f t="shared" si="27"/>
        <v>102.41549999999999</v>
      </c>
      <c r="L4494" s="4"/>
      <c r="M4494" s="241">
        <v>94.762500000000003</v>
      </c>
    </row>
    <row r="4495" spans="3:13" hidden="1" outlineLevel="1" x14ac:dyDescent="0.2">
      <c r="C4495" s="28">
        <f t="shared" si="22"/>
        <v>1.25</v>
      </c>
      <c r="D4495" s="28">
        <f t="shared" si="19"/>
        <v>160</v>
      </c>
      <c r="E4495" s="28">
        <f t="shared" si="20"/>
        <v>140</v>
      </c>
      <c r="F4495" s="28">
        <f t="shared" si="21"/>
        <v>107.69230769230769</v>
      </c>
      <c r="G4495" s="28">
        <f t="shared" si="23"/>
        <v>81.416300000000007</v>
      </c>
      <c r="H4495" s="28">
        <f t="shared" si="24"/>
        <v>90.659700000000001</v>
      </c>
      <c r="I4495" s="28">
        <f t="shared" si="25"/>
        <v>94.762500000000003</v>
      </c>
      <c r="J4495" s="28">
        <f t="shared" si="26"/>
        <v>97.730099999999993</v>
      </c>
      <c r="K4495" s="28">
        <f t="shared" si="27"/>
        <v>102.41549999999999</v>
      </c>
      <c r="L4495" s="4"/>
      <c r="M4495" s="241">
        <v>94.762500000000003</v>
      </c>
    </row>
    <row r="4496" spans="3:13" hidden="1" outlineLevel="1" x14ac:dyDescent="0.2">
      <c r="C4496" s="28">
        <f t="shared" si="22"/>
        <v>1.2578125</v>
      </c>
      <c r="D4496" s="28">
        <f t="shared" si="19"/>
        <v>161</v>
      </c>
      <c r="E4496" s="28">
        <f t="shared" si="20"/>
        <v>140.875</v>
      </c>
      <c r="F4496" s="28">
        <f t="shared" si="21"/>
        <v>108.36538461538461</v>
      </c>
      <c r="G4496" s="28">
        <f t="shared" si="23"/>
        <v>82.301000000000002</v>
      </c>
      <c r="H4496" s="28">
        <f t="shared" si="24"/>
        <v>91.6036</v>
      </c>
      <c r="I4496" s="28">
        <f t="shared" si="25"/>
        <v>95.734200000000001</v>
      </c>
      <c r="J4496" s="28">
        <f t="shared" si="26"/>
        <v>98.722399999999993</v>
      </c>
      <c r="K4496" s="28">
        <f t="shared" si="27"/>
        <v>103.4415</v>
      </c>
      <c r="L4496" s="4"/>
      <c r="M4496" s="241">
        <v>95.734200000000001</v>
      </c>
    </row>
    <row r="4497" spans="3:13" hidden="1" outlineLevel="1" x14ac:dyDescent="0.2">
      <c r="C4497" s="28">
        <f t="shared" si="22"/>
        <v>1.265625</v>
      </c>
      <c r="D4497" s="28">
        <f t="shared" si="19"/>
        <v>162</v>
      </c>
      <c r="E4497" s="28">
        <f t="shared" si="20"/>
        <v>141.75</v>
      </c>
      <c r="F4497" s="28">
        <f t="shared" si="21"/>
        <v>109.03846153846153</v>
      </c>
      <c r="G4497" s="28">
        <f t="shared" si="23"/>
        <v>83.186300000000003</v>
      </c>
      <c r="H4497" s="28">
        <f t="shared" si="24"/>
        <v>92.548100000000005</v>
      </c>
      <c r="I4497" s="28">
        <f t="shared" si="25"/>
        <v>96.706100000000006</v>
      </c>
      <c r="J4497" s="28">
        <f t="shared" si="26"/>
        <v>99.714799999999997</v>
      </c>
      <c r="K4497" s="28">
        <f t="shared" si="27"/>
        <v>104.46769999999999</v>
      </c>
      <c r="L4497" s="4"/>
      <c r="M4497" s="241">
        <v>96.706100000000006</v>
      </c>
    </row>
    <row r="4498" spans="3:13" hidden="1" outlineLevel="1" x14ac:dyDescent="0.2">
      <c r="C4498" s="28">
        <f t="shared" si="22"/>
        <v>1.2734375</v>
      </c>
      <c r="D4498" s="28">
        <f t="shared" si="19"/>
        <v>163</v>
      </c>
      <c r="E4498" s="28">
        <f t="shared" si="20"/>
        <v>142.625</v>
      </c>
      <c r="F4498" s="28">
        <f t="shared" si="21"/>
        <v>109.71153846153845</v>
      </c>
      <c r="G4498" s="28">
        <f t="shared" si="23"/>
        <v>83.186300000000003</v>
      </c>
      <c r="H4498" s="28">
        <f t="shared" si="24"/>
        <v>92.548100000000005</v>
      </c>
      <c r="I4498" s="28">
        <f t="shared" si="25"/>
        <v>96.706100000000006</v>
      </c>
      <c r="J4498" s="28">
        <f t="shared" si="26"/>
        <v>99.714799999999997</v>
      </c>
      <c r="K4498" s="28">
        <f t="shared" si="27"/>
        <v>104.46769999999999</v>
      </c>
      <c r="L4498" s="4"/>
      <c r="M4498" s="241">
        <v>96.706100000000006</v>
      </c>
    </row>
    <row r="4499" spans="3:13" hidden="1" outlineLevel="1" x14ac:dyDescent="0.2">
      <c r="C4499" s="28">
        <f t="shared" si="22"/>
        <v>1.28125</v>
      </c>
      <c r="D4499" s="28">
        <f t="shared" si="19"/>
        <v>164</v>
      </c>
      <c r="E4499" s="28">
        <f t="shared" si="20"/>
        <v>143.5</v>
      </c>
      <c r="F4499" s="28">
        <f t="shared" si="21"/>
        <v>110.38461538461539</v>
      </c>
      <c r="G4499" s="28">
        <f t="shared" si="23"/>
        <v>84.072299999999998</v>
      </c>
      <c r="H4499" s="28">
        <f t="shared" si="24"/>
        <v>93.492999999999995</v>
      </c>
      <c r="I4499" s="28">
        <f t="shared" si="25"/>
        <v>97.678299999999993</v>
      </c>
      <c r="J4499" s="28">
        <f t="shared" si="26"/>
        <v>100.7077</v>
      </c>
      <c r="K4499" s="28">
        <f t="shared" si="27"/>
        <v>105.4941</v>
      </c>
      <c r="L4499" s="4"/>
      <c r="M4499" s="241">
        <v>97.678299999999993</v>
      </c>
    </row>
    <row r="4500" spans="3:13" hidden="1" outlineLevel="1" x14ac:dyDescent="0.2">
      <c r="C4500" s="28">
        <f t="shared" si="22"/>
        <v>1.2890625</v>
      </c>
      <c r="D4500" s="28">
        <f t="shared" si="19"/>
        <v>165</v>
      </c>
      <c r="E4500" s="28">
        <f t="shared" si="20"/>
        <v>144.375</v>
      </c>
      <c r="F4500" s="28">
        <f t="shared" si="21"/>
        <v>111.05769230769231</v>
      </c>
      <c r="G4500" s="28">
        <f t="shared" si="23"/>
        <v>84.958799999999997</v>
      </c>
      <c r="H4500" s="28">
        <f t="shared" si="24"/>
        <v>94.438199999999995</v>
      </c>
      <c r="I4500" s="28">
        <f t="shared" si="25"/>
        <v>98.650899999999993</v>
      </c>
      <c r="J4500" s="28">
        <f t="shared" si="26"/>
        <v>101.7007</v>
      </c>
      <c r="K4500" s="28">
        <f t="shared" si="27"/>
        <v>106.52079999999999</v>
      </c>
      <c r="L4500" s="4"/>
      <c r="M4500" s="241">
        <v>98.650899999999993</v>
      </c>
    </row>
    <row r="4501" spans="3:13" hidden="1" outlineLevel="1" x14ac:dyDescent="0.2">
      <c r="C4501" s="28">
        <f t="shared" si="22"/>
        <v>1.296875</v>
      </c>
      <c r="D4501" s="28">
        <f t="shared" si="19"/>
        <v>166</v>
      </c>
      <c r="E4501" s="28">
        <f t="shared" si="20"/>
        <v>145.25</v>
      </c>
      <c r="F4501" s="28">
        <f t="shared" si="21"/>
        <v>111.73076923076923</v>
      </c>
      <c r="G4501" s="28">
        <f t="shared" si="23"/>
        <v>84.958799999999997</v>
      </c>
      <c r="H4501" s="28">
        <f t="shared" si="24"/>
        <v>94.438199999999995</v>
      </c>
      <c r="I4501" s="28">
        <f t="shared" si="25"/>
        <v>98.650899999999993</v>
      </c>
      <c r="J4501" s="28">
        <f t="shared" si="26"/>
        <v>101.7007</v>
      </c>
      <c r="K4501" s="28">
        <f t="shared" si="27"/>
        <v>106.52079999999999</v>
      </c>
      <c r="L4501" s="4"/>
      <c r="M4501" s="241">
        <v>98.650899999999993</v>
      </c>
    </row>
    <row r="4502" spans="3:13" hidden="1" outlineLevel="1" x14ac:dyDescent="0.2">
      <c r="C4502" s="28">
        <f t="shared" si="22"/>
        <v>1.3046875</v>
      </c>
      <c r="D4502" s="28">
        <f t="shared" si="19"/>
        <v>167</v>
      </c>
      <c r="E4502" s="28">
        <f t="shared" si="20"/>
        <v>146.125</v>
      </c>
      <c r="F4502" s="28">
        <f t="shared" si="21"/>
        <v>112.40384615384615</v>
      </c>
      <c r="G4502" s="28">
        <f t="shared" si="23"/>
        <v>85.846100000000007</v>
      </c>
      <c r="H4502" s="28">
        <f t="shared" si="24"/>
        <v>95.383899999999997</v>
      </c>
      <c r="I4502" s="28">
        <f t="shared" si="25"/>
        <v>99.623900000000006</v>
      </c>
      <c r="J4502" s="28">
        <f t="shared" si="26"/>
        <v>102.694</v>
      </c>
      <c r="K4502" s="28">
        <f t="shared" si="27"/>
        <v>107.5478</v>
      </c>
      <c r="L4502" s="4"/>
      <c r="M4502" s="241">
        <v>99.623900000000006</v>
      </c>
    </row>
    <row r="4503" spans="3:13" hidden="1" outlineLevel="1" x14ac:dyDescent="0.2">
      <c r="C4503" s="28">
        <f t="shared" si="22"/>
        <v>1.3125</v>
      </c>
      <c r="D4503" s="28">
        <f t="shared" si="19"/>
        <v>168</v>
      </c>
      <c r="E4503" s="28">
        <f t="shared" si="20"/>
        <v>147</v>
      </c>
      <c r="F4503" s="28">
        <f t="shared" si="21"/>
        <v>113.07692307692307</v>
      </c>
      <c r="G4503" s="28">
        <f t="shared" si="23"/>
        <v>86.733800000000002</v>
      </c>
      <c r="H4503" s="28">
        <f t="shared" si="24"/>
        <v>96.330100000000002</v>
      </c>
      <c r="I4503" s="28">
        <f t="shared" si="25"/>
        <v>100.59699999999999</v>
      </c>
      <c r="J4503" s="28">
        <f t="shared" si="26"/>
        <v>103.68770000000001</v>
      </c>
      <c r="K4503" s="28">
        <f t="shared" si="27"/>
        <v>108.5748</v>
      </c>
      <c r="L4503" s="4"/>
      <c r="M4503" s="241">
        <v>100.59699999999999</v>
      </c>
    </row>
    <row r="4504" spans="3:13" hidden="1" outlineLevel="1" x14ac:dyDescent="0.2">
      <c r="C4504" s="28">
        <f t="shared" si="22"/>
        <v>1.3203125</v>
      </c>
      <c r="D4504" s="28">
        <f t="shared" si="19"/>
        <v>169</v>
      </c>
      <c r="E4504" s="28">
        <f t="shared" si="20"/>
        <v>147.875</v>
      </c>
      <c r="F4504" s="28">
        <f t="shared" si="21"/>
        <v>113.75</v>
      </c>
      <c r="G4504" s="28">
        <f t="shared" si="23"/>
        <v>86.733800000000002</v>
      </c>
      <c r="H4504" s="28">
        <f t="shared" si="24"/>
        <v>96.330100000000002</v>
      </c>
      <c r="I4504" s="28">
        <f t="shared" si="25"/>
        <v>100.59699999999999</v>
      </c>
      <c r="J4504" s="28">
        <f t="shared" si="26"/>
        <v>103.68770000000001</v>
      </c>
      <c r="K4504" s="28">
        <f t="shared" si="27"/>
        <v>108.5748</v>
      </c>
      <c r="L4504" s="4"/>
      <c r="M4504" s="241">
        <v>100.59699999999999</v>
      </c>
    </row>
    <row r="4505" spans="3:13" hidden="1" outlineLevel="1" x14ac:dyDescent="0.2">
      <c r="C4505" s="28">
        <f t="shared" si="22"/>
        <v>1.328125</v>
      </c>
      <c r="D4505" s="28">
        <f t="shared" si="19"/>
        <v>170</v>
      </c>
      <c r="E4505" s="28">
        <f t="shared" si="20"/>
        <v>148.75</v>
      </c>
      <c r="F4505" s="28">
        <f t="shared" si="21"/>
        <v>114.42307692307692</v>
      </c>
      <c r="G4505" s="28">
        <f t="shared" si="23"/>
        <v>87.622200000000007</v>
      </c>
      <c r="H4505" s="28">
        <f t="shared" si="24"/>
        <v>97.276499999999999</v>
      </c>
      <c r="I4505" s="28">
        <f t="shared" si="25"/>
        <v>101.5707</v>
      </c>
      <c r="J4505" s="28">
        <f t="shared" si="26"/>
        <v>104.6816</v>
      </c>
      <c r="K4505" s="28">
        <f t="shared" si="27"/>
        <v>109.6022</v>
      </c>
      <c r="L4505" s="4"/>
      <c r="M4505" s="241">
        <v>101.5707</v>
      </c>
    </row>
    <row r="4506" spans="3:13" hidden="1" outlineLevel="1" x14ac:dyDescent="0.2">
      <c r="C4506" s="28">
        <f t="shared" si="22"/>
        <v>1.3359375</v>
      </c>
      <c r="D4506" s="28">
        <f t="shared" si="19"/>
        <v>171</v>
      </c>
      <c r="E4506" s="28">
        <f t="shared" si="20"/>
        <v>149.625</v>
      </c>
      <c r="F4506" s="28">
        <f t="shared" si="21"/>
        <v>115.09615384615384</v>
      </c>
      <c r="G4506" s="28">
        <f t="shared" si="23"/>
        <v>88.511099999999999</v>
      </c>
      <c r="H4506" s="28">
        <f t="shared" si="24"/>
        <v>98.223500000000001</v>
      </c>
      <c r="I4506" s="28">
        <f t="shared" si="25"/>
        <v>102.5446</v>
      </c>
      <c r="J4506" s="28">
        <f t="shared" si="26"/>
        <v>105.67570000000001</v>
      </c>
      <c r="K4506" s="28">
        <f t="shared" si="27"/>
        <v>110.6297</v>
      </c>
      <c r="L4506" s="4"/>
      <c r="M4506" s="241">
        <v>102.5446</v>
      </c>
    </row>
    <row r="4507" spans="3:13" hidden="1" outlineLevel="1" x14ac:dyDescent="0.2">
      <c r="C4507" s="28">
        <f t="shared" si="22"/>
        <v>1.34375</v>
      </c>
      <c r="D4507" s="28">
        <f t="shared" si="19"/>
        <v>172</v>
      </c>
      <c r="E4507" s="28">
        <f t="shared" si="20"/>
        <v>150.5</v>
      </c>
      <c r="F4507" s="28">
        <f t="shared" si="21"/>
        <v>115.76923076923076</v>
      </c>
      <c r="G4507" s="28">
        <f t="shared" si="23"/>
        <v>88.511099999999999</v>
      </c>
      <c r="H4507" s="28">
        <f t="shared" si="24"/>
        <v>98.223500000000001</v>
      </c>
      <c r="I4507" s="28">
        <f t="shared" si="25"/>
        <v>102.5446</v>
      </c>
      <c r="J4507" s="28">
        <f t="shared" si="26"/>
        <v>105.67570000000001</v>
      </c>
      <c r="K4507" s="28">
        <f t="shared" si="27"/>
        <v>110.6297</v>
      </c>
      <c r="L4507" s="4"/>
      <c r="M4507" s="241">
        <v>102.5446</v>
      </c>
    </row>
    <row r="4508" spans="3:13" hidden="1" outlineLevel="1" x14ac:dyDescent="0.2">
      <c r="C4508" s="28">
        <f t="shared" si="22"/>
        <v>1.3515625</v>
      </c>
      <c r="D4508" s="28">
        <f t="shared" si="19"/>
        <v>173</v>
      </c>
      <c r="E4508" s="28">
        <f t="shared" si="20"/>
        <v>151.375</v>
      </c>
      <c r="F4508" s="28">
        <f t="shared" si="21"/>
        <v>116.44230769230769</v>
      </c>
      <c r="G4508" s="28">
        <f t="shared" si="23"/>
        <v>89.400700000000001</v>
      </c>
      <c r="H4508" s="28">
        <f t="shared" si="24"/>
        <v>99.1708</v>
      </c>
      <c r="I4508" s="28">
        <f t="shared" si="25"/>
        <v>103.5188</v>
      </c>
      <c r="J4508" s="28">
        <f t="shared" si="26"/>
        <v>106.67010000000001</v>
      </c>
      <c r="K4508" s="28">
        <f t="shared" si="27"/>
        <v>111.6576</v>
      </c>
      <c r="L4508" s="4"/>
      <c r="M4508" s="241">
        <v>103.5188</v>
      </c>
    </row>
    <row r="4509" spans="3:13" hidden="1" outlineLevel="1" x14ac:dyDescent="0.2">
      <c r="C4509" s="28">
        <f t="shared" si="22"/>
        <v>1.359375</v>
      </c>
      <c r="D4509" s="28">
        <f t="shared" si="19"/>
        <v>174</v>
      </c>
      <c r="E4509" s="28">
        <f t="shared" si="20"/>
        <v>152.25</v>
      </c>
      <c r="F4509" s="28">
        <f t="shared" si="21"/>
        <v>117.11538461538461</v>
      </c>
      <c r="G4509" s="28">
        <f t="shared" si="23"/>
        <v>90.290800000000004</v>
      </c>
      <c r="H4509" s="28">
        <f t="shared" si="24"/>
        <v>100.1183</v>
      </c>
      <c r="I4509" s="28">
        <f t="shared" si="25"/>
        <v>104.4933</v>
      </c>
      <c r="J4509" s="28">
        <f t="shared" si="26"/>
        <v>107.6649</v>
      </c>
      <c r="K4509" s="28">
        <f t="shared" si="27"/>
        <v>112.6855</v>
      </c>
      <c r="L4509" s="4"/>
      <c r="M4509" s="241">
        <v>104.4933</v>
      </c>
    </row>
    <row r="4510" spans="3:13" hidden="1" outlineLevel="1" x14ac:dyDescent="0.2">
      <c r="C4510" s="28">
        <f t="shared" si="22"/>
        <v>1.3671875</v>
      </c>
      <c r="D4510" s="28">
        <f t="shared" si="19"/>
        <v>175</v>
      </c>
      <c r="E4510" s="28">
        <f t="shared" si="20"/>
        <v>153.125</v>
      </c>
      <c r="F4510" s="28">
        <f t="shared" si="21"/>
        <v>117.78846153846153</v>
      </c>
      <c r="G4510" s="28">
        <f t="shared" si="23"/>
        <v>90.290800000000004</v>
      </c>
      <c r="H4510" s="28">
        <f t="shared" si="24"/>
        <v>100.1183</v>
      </c>
      <c r="I4510" s="28">
        <f t="shared" si="25"/>
        <v>104.4933</v>
      </c>
      <c r="J4510" s="28">
        <f t="shared" si="26"/>
        <v>107.6649</v>
      </c>
      <c r="K4510" s="28">
        <f t="shared" si="27"/>
        <v>112.6855</v>
      </c>
      <c r="L4510" s="4"/>
      <c r="M4510" s="241">
        <v>104.4933</v>
      </c>
    </row>
    <row r="4511" spans="3:13" hidden="1" outlineLevel="1" x14ac:dyDescent="0.2">
      <c r="C4511" s="28">
        <f t="shared" si="22"/>
        <v>1.375</v>
      </c>
      <c r="D4511" s="28">
        <f t="shared" si="19"/>
        <v>176</v>
      </c>
      <c r="E4511" s="28">
        <f t="shared" si="20"/>
        <v>154</v>
      </c>
      <c r="F4511" s="28">
        <f t="shared" si="21"/>
        <v>118.46153846153845</v>
      </c>
      <c r="G4511" s="28">
        <f t="shared" si="23"/>
        <v>91.181600000000003</v>
      </c>
      <c r="H4511" s="28">
        <f t="shared" si="24"/>
        <v>101.0665</v>
      </c>
      <c r="I4511" s="28">
        <f t="shared" si="25"/>
        <v>105.46810000000001</v>
      </c>
      <c r="J4511" s="28">
        <f t="shared" si="26"/>
        <v>108.6598</v>
      </c>
      <c r="K4511" s="28">
        <f t="shared" si="27"/>
        <v>113.7137</v>
      </c>
      <c r="L4511" s="4"/>
      <c r="M4511" s="241">
        <v>105.46810000000001</v>
      </c>
    </row>
    <row r="4512" spans="3:13" hidden="1" outlineLevel="1" x14ac:dyDescent="0.2">
      <c r="C4512" s="28">
        <f t="shared" si="22"/>
        <v>1.3828125</v>
      </c>
      <c r="D4512" s="28">
        <f t="shared" si="19"/>
        <v>177</v>
      </c>
      <c r="E4512" s="28">
        <f t="shared" si="20"/>
        <v>154.875</v>
      </c>
      <c r="F4512" s="28">
        <f t="shared" si="21"/>
        <v>119.13461538461539</v>
      </c>
      <c r="G4512" s="28">
        <f t="shared" si="23"/>
        <v>92.072800000000001</v>
      </c>
      <c r="H4512" s="28">
        <f t="shared" si="24"/>
        <v>102.0149</v>
      </c>
      <c r="I4512" s="28">
        <f t="shared" si="25"/>
        <v>106.4434</v>
      </c>
      <c r="J4512" s="28">
        <f t="shared" si="26"/>
        <v>109.6551</v>
      </c>
      <c r="K4512" s="28">
        <f t="shared" si="27"/>
        <v>114.74209999999999</v>
      </c>
      <c r="L4512" s="4"/>
      <c r="M4512" s="241">
        <v>106.4434</v>
      </c>
    </row>
    <row r="4513" spans="3:13" hidden="1" outlineLevel="1" x14ac:dyDescent="0.2">
      <c r="C4513" s="28">
        <f t="shared" si="22"/>
        <v>1.390625</v>
      </c>
      <c r="D4513" s="28">
        <f t="shared" si="19"/>
        <v>178</v>
      </c>
      <c r="E4513" s="28">
        <f t="shared" si="20"/>
        <v>155.75</v>
      </c>
      <c r="F4513" s="28">
        <f t="shared" si="21"/>
        <v>119.80769230769231</v>
      </c>
      <c r="G4513" s="28">
        <f t="shared" si="23"/>
        <v>92.072800000000001</v>
      </c>
      <c r="H4513" s="28">
        <f t="shared" si="24"/>
        <v>102.0149</v>
      </c>
      <c r="I4513" s="28">
        <f t="shared" si="25"/>
        <v>106.4434</v>
      </c>
      <c r="J4513" s="28">
        <f t="shared" si="26"/>
        <v>109.6551</v>
      </c>
      <c r="K4513" s="28">
        <f t="shared" si="27"/>
        <v>114.74209999999999</v>
      </c>
      <c r="L4513" s="4"/>
      <c r="M4513" s="241">
        <v>106.4434</v>
      </c>
    </row>
    <row r="4514" spans="3:13" hidden="1" outlineLevel="1" x14ac:dyDescent="0.2">
      <c r="C4514" s="28">
        <f t="shared" si="22"/>
        <v>1.3984375</v>
      </c>
      <c r="D4514" s="28">
        <f t="shared" si="19"/>
        <v>179</v>
      </c>
      <c r="E4514" s="28">
        <f t="shared" si="20"/>
        <v>156.625</v>
      </c>
      <c r="F4514" s="28">
        <f t="shared" si="21"/>
        <v>120.48076923076923</v>
      </c>
      <c r="G4514" s="28">
        <f t="shared" si="23"/>
        <v>92.964399999999998</v>
      </c>
      <c r="H4514" s="28">
        <f t="shared" si="24"/>
        <v>102.9635</v>
      </c>
      <c r="I4514" s="28">
        <f t="shared" si="25"/>
        <v>107.4187</v>
      </c>
      <c r="J4514" s="28">
        <f t="shared" si="26"/>
        <v>110.65049999999999</v>
      </c>
      <c r="K4514" s="28">
        <f t="shared" si="27"/>
        <v>115.7706</v>
      </c>
      <c r="L4514" s="4"/>
      <c r="M4514" s="241">
        <v>107.4187</v>
      </c>
    </row>
    <row r="4515" spans="3:13" hidden="1" outlineLevel="1" x14ac:dyDescent="0.2">
      <c r="C4515" s="28">
        <f t="shared" si="22"/>
        <v>1.40625</v>
      </c>
      <c r="D4515" s="28">
        <f t="shared" si="19"/>
        <v>180</v>
      </c>
      <c r="E4515" s="28">
        <f t="shared" si="20"/>
        <v>157.5</v>
      </c>
      <c r="F4515" s="28">
        <f t="shared" si="21"/>
        <v>121.15384615384615</v>
      </c>
      <c r="G4515" s="28">
        <f t="shared" si="23"/>
        <v>93.856800000000007</v>
      </c>
      <c r="H4515" s="28">
        <f t="shared" si="24"/>
        <v>103.9127</v>
      </c>
      <c r="I4515" s="28">
        <f t="shared" si="25"/>
        <v>108.3946</v>
      </c>
      <c r="J4515" s="28">
        <f t="shared" si="26"/>
        <v>111.6465</v>
      </c>
      <c r="K4515" s="28">
        <f t="shared" si="27"/>
        <v>116.7993</v>
      </c>
      <c r="L4515" s="4"/>
      <c r="M4515" s="241">
        <v>108.3946</v>
      </c>
    </row>
    <row r="4516" spans="3:13" hidden="1" outlineLevel="1" x14ac:dyDescent="0.2">
      <c r="C4516" s="28">
        <f t="shared" si="22"/>
        <v>1.4140625</v>
      </c>
      <c r="D4516" s="28">
        <f t="shared" si="19"/>
        <v>181</v>
      </c>
      <c r="E4516" s="28">
        <f t="shared" si="20"/>
        <v>158.375</v>
      </c>
      <c r="F4516" s="28">
        <f t="shared" si="21"/>
        <v>121.82692307692307</v>
      </c>
      <c r="G4516" s="28">
        <f t="shared" si="23"/>
        <v>93.856800000000007</v>
      </c>
      <c r="H4516" s="28">
        <f t="shared" si="24"/>
        <v>103.9127</v>
      </c>
      <c r="I4516" s="28">
        <f t="shared" si="25"/>
        <v>108.3946</v>
      </c>
      <c r="J4516" s="28">
        <f t="shared" si="26"/>
        <v>111.6465</v>
      </c>
      <c r="K4516" s="28">
        <f t="shared" si="27"/>
        <v>116.7993</v>
      </c>
      <c r="L4516" s="4"/>
      <c r="M4516" s="241">
        <v>108.3946</v>
      </c>
    </row>
    <row r="4517" spans="3:13" hidden="1" outlineLevel="1" x14ac:dyDescent="0.2">
      <c r="C4517" s="28">
        <f t="shared" si="22"/>
        <v>1.421875</v>
      </c>
      <c r="D4517" s="28">
        <f t="shared" si="19"/>
        <v>182</v>
      </c>
      <c r="E4517" s="28">
        <f t="shared" si="20"/>
        <v>159.25</v>
      </c>
      <c r="F4517" s="28">
        <f t="shared" si="21"/>
        <v>122.5</v>
      </c>
      <c r="G4517" s="28">
        <f t="shared" si="23"/>
        <v>94.749700000000004</v>
      </c>
      <c r="H4517" s="28">
        <f t="shared" si="24"/>
        <v>104.8622</v>
      </c>
      <c r="I4517" s="28">
        <f t="shared" si="25"/>
        <v>109.37050000000001</v>
      </c>
      <c r="J4517" s="28">
        <f t="shared" si="26"/>
        <v>112.6425</v>
      </c>
      <c r="K4517" s="28">
        <f t="shared" si="27"/>
        <v>117.8283</v>
      </c>
      <c r="L4517" s="4"/>
      <c r="M4517" s="241">
        <v>109.37050000000001</v>
      </c>
    </row>
    <row r="4518" spans="3:13" hidden="1" outlineLevel="1" x14ac:dyDescent="0.2">
      <c r="C4518" s="28">
        <f t="shared" si="22"/>
        <v>1.4296875</v>
      </c>
      <c r="D4518" s="28">
        <f t="shared" si="19"/>
        <v>183</v>
      </c>
      <c r="E4518" s="28">
        <f t="shared" si="20"/>
        <v>160.125</v>
      </c>
      <c r="F4518" s="28">
        <f t="shared" si="21"/>
        <v>123.17307692307692</v>
      </c>
      <c r="G4518" s="28">
        <f t="shared" si="23"/>
        <v>95.643000000000001</v>
      </c>
      <c r="H4518" s="28">
        <f t="shared" si="24"/>
        <v>105.8121</v>
      </c>
      <c r="I4518" s="28">
        <f t="shared" si="25"/>
        <v>110.34699999999999</v>
      </c>
      <c r="J4518" s="28">
        <f t="shared" si="26"/>
        <v>113.63849999999999</v>
      </c>
      <c r="K4518" s="28">
        <f t="shared" si="27"/>
        <v>118.8575</v>
      </c>
      <c r="L4518" s="4"/>
      <c r="M4518" s="241">
        <v>110.34699999999999</v>
      </c>
    </row>
    <row r="4519" spans="3:13" hidden="1" outlineLevel="1" x14ac:dyDescent="0.2">
      <c r="C4519" s="28">
        <f t="shared" si="22"/>
        <v>1.4375</v>
      </c>
      <c r="D4519" s="28">
        <f t="shared" si="19"/>
        <v>184</v>
      </c>
      <c r="E4519" s="28">
        <f t="shared" si="20"/>
        <v>161</v>
      </c>
      <c r="F4519" s="28">
        <f t="shared" si="21"/>
        <v>123.84615384615384</v>
      </c>
      <c r="G4519" s="28">
        <f t="shared" si="23"/>
        <v>95.643000000000001</v>
      </c>
      <c r="H4519" s="28">
        <f t="shared" si="24"/>
        <v>105.8121</v>
      </c>
      <c r="I4519" s="28">
        <f t="shared" si="25"/>
        <v>110.34699999999999</v>
      </c>
      <c r="J4519" s="28">
        <f t="shared" si="26"/>
        <v>113.63849999999999</v>
      </c>
      <c r="K4519" s="28">
        <f t="shared" si="27"/>
        <v>118.8575</v>
      </c>
      <c r="L4519" s="4"/>
      <c r="M4519" s="241">
        <v>110.34699999999999</v>
      </c>
    </row>
    <row r="4520" spans="3:13" hidden="1" outlineLevel="1" x14ac:dyDescent="0.2">
      <c r="C4520" s="28">
        <f t="shared" si="22"/>
        <v>1.4453125</v>
      </c>
      <c r="D4520" s="28">
        <f t="shared" si="19"/>
        <v>185</v>
      </c>
      <c r="E4520" s="28">
        <f t="shared" si="20"/>
        <v>161.875</v>
      </c>
      <c r="F4520" s="28">
        <f t="shared" si="21"/>
        <v>124.51923076923076</v>
      </c>
      <c r="G4520" s="28">
        <f t="shared" si="23"/>
        <v>96.536900000000003</v>
      </c>
      <c r="H4520" s="28">
        <f t="shared" si="24"/>
        <v>106.76220000000001</v>
      </c>
      <c r="I4520" s="28">
        <f t="shared" si="25"/>
        <v>111.3236</v>
      </c>
      <c r="J4520" s="28">
        <f t="shared" si="26"/>
        <v>114.63500000000001</v>
      </c>
      <c r="K4520" s="28">
        <f t="shared" si="27"/>
        <v>119.8867</v>
      </c>
      <c r="L4520" s="4"/>
      <c r="M4520" s="241">
        <v>111.3236</v>
      </c>
    </row>
    <row r="4521" spans="3:13" hidden="1" outlineLevel="1" x14ac:dyDescent="0.2">
      <c r="C4521" s="28">
        <f t="shared" si="22"/>
        <v>1.453125</v>
      </c>
      <c r="D4521" s="28">
        <f t="shared" si="19"/>
        <v>186</v>
      </c>
      <c r="E4521" s="28">
        <f t="shared" si="20"/>
        <v>162.75</v>
      </c>
      <c r="F4521" s="28">
        <f t="shared" si="21"/>
        <v>125.19230769230769</v>
      </c>
      <c r="G4521" s="28">
        <f t="shared" si="23"/>
        <v>97.431299999999993</v>
      </c>
      <c r="H4521" s="28">
        <f t="shared" si="24"/>
        <v>107.7129</v>
      </c>
      <c r="I4521" s="28">
        <f t="shared" si="25"/>
        <v>112.30029999999999</v>
      </c>
      <c r="J4521" s="28">
        <f t="shared" si="26"/>
        <v>115.6317</v>
      </c>
      <c r="K4521" s="28">
        <f t="shared" si="27"/>
        <v>120.9162</v>
      </c>
      <c r="L4521" s="4"/>
      <c r="M4521" s="241">
        <v>112.30029999999999</v>
      </c>
    </row>
    <row r="4522" spans="3:13" hidden="1" outlineLevel="1" x14ac:dyDescent="0.2">
      <c r="C4522" s="28">
        <f t="shared" si="22"/>
        <v>1.4609375</v>
      </c>
      <c r="D4522" s="28">
        <f t="shared" si="19"/>
        <v>187</v>
      </c>
      <c r="E4522" s="28">
        <f t="shared" si="20"/>
        <v>163.625</v>
      </c>
      <c r="F4522" s="28">
        <f t="shared" si="21"/>
        <v>125.86538461538461</v>
      </c>
      <c r="G4522" s="28">
        <f t="shared" si="23"/>
        <v>97.431299999999993</v>
      </c>
      <c r="H4522" s="28">
        <f t="shared" si="24"/>
        <v>107.7129</v>
      </c>
      <c r="I4522" s="28">
        <f t="shared" si="25"/>
        <v>112.30029999999999</v>
      </c>
      <c r="J4522" s="28">
        <f t="shared" si="26"/>
        <v>115.6317</v>
      </c>
      <c r="K4522" s="28">
        <f t="shared" si="27"/>
        <v>120.9162</v>
      </c>
      <c r="L4522" s="4"/>
      <c r="M4522" s="241">
        <v>112.30029999999999</v>
      </c>
    </row>
    <row r="4523" spans="3:13" hidden="1" outlineLevel="1" x14ac:dyDescent="0.2">
      <c r="C4523" s="28">
        <f t="shared" si="22"/>
        <v>1.46875</v>
      </c>
      <c r="D4523" s="28">
        <f t="shared" si="19"/>
        <v>188</v>
      </c>
      <c r="E4523" s="28">
        <f t="shared" si="20"/>
        <v>164.5</v>
      </c>
      <c r="F4523" s="28">
        <f t="shared" si="21"/>
        <v>126.53846153846153</v>
      </c>
      <c r="G4523" s="28">
        <f t="shared" si="23"/>
        <v>98.326099999999997</v>
      </c>
      <c r="H4523" s="28">
        <f t="shared" si="24"/>
        <v>108.66370000000001</v>
      </c>
      <c r="I4523" s="28">
        <f t="shared" si="25"/>
        <v>113.2775</v>
      </c>
      <c r="J4523" s="28">
        <f t="shared" si="26"/>
        <v>116.62860000000001</v>
      </c>
      <c r="K4523" s="28">
        <f t="shared" si="27"/>
        <v>121.9461</v>
      </c>
      <c r="L4523" s="4"/>
      <c r="M4523" s="241">
        <v>113.2775</v>
      </c>
    </row>
    <row r="4524" spans="3:13" hidden="1" outlineLevel="1" x14ac:dyDescent="0.2">
      <c r="C4524" s="28">
        <f t="shared" si="22"/>
        <v>1.4765625</v>
      </c>
      <c r="D4524" s="28">
        <f t="shared" si="19"/>
        <v>189</v>
      </c>
      <c r="E4524" s="28">
        <f t="shared" si="20"/>
        <v>165.375</v>
      </c>
      <c r="F4524" s="28">
        <f t="shared" si="21"/>
        <v>127.21153846153845</v>
      </c>
      <c r="G4524" s="28">
        <f t="shared" si="23"/>
        <v>99.221500000000006</v>
      </c>
      <c r="H4524" s="28">
        <f t="shared" si="24"/>
        <v>109.6148</v>
      </c>
      <c r="I4524" s="28">
        <f t="shared" si="25"/>
        <v>114.255</v>
      </c>
      <c r="J4524" s="28">
        <f t="shared" si="26"/>
        <v>117.6259</v>
      </c>
      <c r="K4524" s="28">
        <f t="shared" si="27"/>
        <v>122.9759</v>
      </c>
      <c r="L4524" s="4"/>
      <c r="M4524" s="241">
        <v>114.255</v>
      </c>
    </row>
    <row r="4525" spans="3:13" hidden="1" outlineLevel="1" x14ac:dyDescent="0.2">
      <c r="C4525" s="28">
        <f t="shared" si="22"/>
        <v>1.484375</v>
      </c>
      <c r="D4525" s="28">
        <f t="shared" si="19"/>
        <v>190</v>
      </c>
      <c r="E4525" s="28">
        <f t="shared" si="20"/>
        <v>166.25</v>
      </c>
      <c r="F4525" s="28">
        <f t="shared" si="21"/>
        <v>127.88461538461539</v>
      </c>
      <c r="G4525" s="28">
        <f t="shared" si="23"/>
        <v>99.221500000000006</v>
      </c>
      <c r="H4525" s="28">
        <f t="shared" si="24"/>
        <v>109.6148</v>
      </c>
      <c r="I4525" s="28">
        <f t="shared" si="25"/>
        <v>114.255</v>
      </c>
      <c r="J4525" s="28">
        <f t="shared" si="26"/>
        <v>117.6259</v>
      </c>
      <c r="K4525" s="28">
        <f t="shared" si="27"/>
        <v>122.9759</v>
      </c>
      <c r="L4525" s="4"/>
      <c r="M4525" s="241">
        <v>114.255</v>
      </c>
    </row>
    <row r="4526" spans="3:13" hidden="1" outlineLevel="1" x14ac:dyDescent="0.2">
      <c r="C4526" s="28">
        <f t="shared" si="22"/>
        <v>1.4921875</v>
      </c>
      <c r="D4526" s="28">
        <f t="shared" si="19"/>
        <v>191</v>
      </c>
      <c r="E4526" s="28">
        <f t="shared" si="20"/>
        <v>167.125</v>
      </c>
      <c r="F4526" s="28">
        <f t="shared" si="21"/>
        <v>128.55769230769229</v>
      </c>
      <c r="G4526" s="28">
        <f t="shared" si="23"/>
        <v>100.1173</v>
      </c>
      <c r="H4526" s="28">
        <f t="shared" si="24"/>
        <v>110.5665</v>
      </c>
      <c r="I4526" s="28">
        <f t="shared" si="25"/>
        <v>115.2325</v>
      </c>
      <c r="J4526" s="28">
        <f t="shared" si="26"/>
        <v>118.6234</v>
      </c>
      <c r="K4526" s="28">
        <f t="shared" si="27"/>
        <v>124.0057</v>
      </c>
      <c r="L4526" s="4"/>
      <c r="M4526" s="241">
        <v>115.2325</v>
      </c>
    </row>
    <row r="4527" spans="3:13" hidden="1" outlineLevel="1" x14ac:dyDescent="0.2">
      <c r="C4527" s="28">
        <f t="shared" si="22"/>
        <v>1.5</v>
      </c>
      <c r="D4527" s="28">
        <f t="shared" si="19"/>
        <v>192</v>
      </c>
      <c r="E4527" s="28">
        <f t="shared" si="20"/>
        <v>168</v>
      </c>
      <c r="F4527" s="28">
        <f t="shared" si="21"/>
        <v>129.23076923076923</v>
      </c>
      <c r="G4527" s="28">
        <f t="shared" si="23"/>
        <v>101.01390000000001</v>
      </c>
      <c r="H4527" s="28">
        <f t="shared" si="24"/>
        <v>111.51819999999999</v>
      </c>
      <c r="I4527" s="28">
        <f t="shared" si="25"/>
        <v>116.2105</v>
      </c>
      <c r="J4527" s="28">
        <f t="shared" si="26"/>
        <v>119.621</v>
      </c>
      <c r="K4527" s="28">
        <f t="shared" si="27"/>
        <v>125.036</v>
      </c>
      <c r="L4527" s="4"/>
      <c r="M4527" s="241">
        <v>116.2105</v>
      </c>
    </row>
    <row r="4528" spans="3:13" hidden="1" outlineLevel="1" x14ac:dyDescent="0.2">
      <c r="C4528" s="28">
        <f t="shared" si="22"/>
        <v>1.5078125</v>
      </c>
      <c r="D4528" s="28">
        <f t="shared" ref="D4528:D4591" si="28">C4528*Channels.per.carrier</f>
        <v>193</v>
      </c>
      <c r="E4528" s="28">
        <f t="shared" ref="E4528:E4591" si="29">D4528-C4528*R99.CE.signalling</f>
        <v>168.875</v>
      </c>
      <c r="F4528" s="28">
        <f t="shared" ref="F4528:F4591" si="30">E4528/(1+Release99.soft.handover+Release99.softer.handover)</f>
        <v>129.90384615384616</v>
      </c>
      <c r="G4528" s="28">
        <f t="shared" si="23"/>
        <v>101.01390000000001</v>
      </c>
      <c r="H4528" s="28">
        <f t="shared" si="24"/>
        <v>111.51819999999999</v>
      </c>
      <c r="I4528" s="28">
        <f t="shared" si="25"/>
        <v>116.2105</v>
      </c>
      <c r="J4528" s="28">
        <f t="shared" si="26"/>
        <v>119.621</v>
      </c>
      <c r="K4528" s="28">
        <f t="shared" si="27"/>
        <v>125.036</v>
      </c>
      <c r="L4528" s="4"/>
      <c r="M4528" s="241">
        <v>116.2105</v>
      </c>
    </row>
    <row r="4529" spans="3:13" hidden="1" outlineLevel="1" x14ac:dyDescent="0.2">
      <c r="C4529" s="28">
        <f t="shared" ref="C4529:C4592" si="31">C4528+1/128</f>
        <v>1.515625</v>
      </c>
      <c r="D4529" s="28">
        <f t="shared" si="28"/>
        <v>194</v>
      </c>
      <c r="E4529" s="28">
        <f t="shared" si="29"/>
        <v>169.75</v>
      </c>
      <c r="F4529" s="28">
        <f t="shared" si="30"/>
        <v>130.57692307692307</v>
      </c>
      <c r="G4529" s="28">
        <f t="shared" ref="G4529:G4592" si="32">INDEX(D$10:D$4326,MATCH($F4529,$C$10:$C$4326,1))</f>
        <v>101.91079999999999</v>
      </c>
      <c r="H4529" s="28">
        <f t="shared" ref="H4529:H4592" si="33">INDEX(E$10:E$4326,MATCH($F4529,$C$10:$C$4326,1))</f>
        <v>112.4704</v>
      </c>
      <c r="I4529" s="28">
        <f t="shared" ref="I4529:I4592" si="34">INDEX(F$10:F$4326,MATCH($F4529,$C$10:$C$4326,1))</f>
        <v>117.1888</v>
      </c>
      <c r="J4529" s="28">
        <f t="shared" ref="J4529:J4592" si="35">INDEX(G$10:G$4326,MATCH($F4529,$C$10:$C$4326,1))</f>
        <v>120.6187</v>
      </c>
      <c r="K4529" s="28">
        <f t="shared" ref="K4529:K4592" si="36">INDEX(H$10:H$4326,MATCH($F4529,$C$10:$C$4326,1))</f>
        <v>126.0663</v>
      </c>
      <c r="L4529" s="4"/>
      <c r="M4529" s="241">
        <v>117.1888</v>
      </c>
    </row>
    <row r="4530" spans="3:13" hidden="1" outlineLevel="1" x14ac:dyDescent="0.2">
      <c r="C4530" s="28">
        <f t="shared" si="31"/>
        <v>1.5234375</v>
      </c>
      <c r="D4530" s="28">
        <f t="shared" si="28"/>
        <v>195</v>
      </c>
      <c r="E4530" s="28">
        <f t="shared" si="29"/>
        <v>170.625</v>
      </c>
      <c r="F4530" s="28">
        <f t="shared" si="30"/>
        <v>131.25</v>
      </c>
      <c r="G4530" s="28">
        <f t="shared" si="32"/>
        <v>102.8079</v>
      </c>
      <c r="H4530" s="28">
        <f t="shared" si="33"/>
        <v>113.423</v>
      </c>
      <c r="I4530" s="28">
        <f t="shared" si="34"/>
        <v>118.16719999999999</v>
      </c>
      <c r="J4530" s="28">
        <f t="shared" si="35"/>
        <v>121.6168</v>
      </c>
      <c r="K4530" s="28">
        <f t="shared" si="36"/>
        <v>127.09699999999999</v>
      </c>
      <c r="L4530" s="4"/>
      <c r="M4530" s="241">
        <v>118.16719999999999</v>
      </c>
    </row>
    <row r="4531" spans="3:13" hidden="1" outlineLevel="1" x14ac:dyDescent="0.2">
      <c r="C4531" s="28">
        <f t="shared" si="31"/>
        <v>1.53125</v>
      </c>
      <c r="D4531" s="28">
        <f t="shared" si="28"/>
        <v>196</v>
      </c>
      <c r="E4531" s="28">
        <f t="shared" si="29"/>
        <v>171.5</v>
      </c>
      <c r="F4531" s="28">
        <f t="shared" si="30"/>
        <v>131.92307692307691</v>
      </c>
      <c r="G4531" s="28">
        <f t="shared" si="32"/>
        <v>102.8079</v>
      </c>
      <c r="H4531" s="28">
        <f t="shared" si="33"/>
        <v>113.423</v>
      </c>
      <c r="I4531" s="28">
        <f t="shared" si="34"/>
        <v>118.16719999999999</v>
      </c>
      <c r="J4531" s="28">
        <f t="shared" si="35"/>
        <v>121.6168</v>
      </c>
      <c r="K4531" s="28">
        <f t="shared" si="36"/>
        <v>127.09699999999999</v>
      </c>
      <c r="L4531" s="4"/>
      <c r="M4531" s="241">
        <v>118.16719999999999</v>
      </c>
    </row>
    <row r="4532" spans="3:13" hidden="1" outlineLevel="1" x14ac:dyDescent="0.2">
      <c r="C4532" s="28">
        <f t="shared" si="31"/>
        <v>1.5390625</v>
      </c>
      <c r="D4532" s="28">
        <f t="shared" si="28"/>
        <v>197</v>
      </c>
      <c r="E4532" s="28">
        <f t="shared" si="29"/>
        <v>172.375</v>
      </c>
      <c r="F4532" s="28">
        <f t="shared" si="30"/>
        <v>132.59615384615384</v>
      </c>
      <c r="G4532" s="28">
        <f t="shared" si="32"/>
        <v>103.70569999999999</v>
      </c>
      <c r="H4532" s="28">
        <f t="shared" si="33"/>
        <v>114.37569999999999</v>
      </c>
      <c r="I4532" s="28">
        <f t="shared" si="34"/>
        <v>119.146</v>
      </c>
      <c r="J4532" s="28">
        <f t="shared" si="35"/>
        <v>122.6151</v>
      </c>
      <c r="K4532" s="28">
        <f t="shared" si="36"/>
        <v>128.1277</v>
      </c>
      <c r="L4532" s="4"/>
      <c r="M4532" s="241">
        <v>119.146</v>
      </c>
    </row>
    <row r="4533" spans="3:13" hidden="1" outlineLevel="1" x14ac:dyDescent="0.2">
      <c r="C4533" s="28">
        <f t="shared" si="31"/>
        <v>1.546875</v>
      </c>
      <c r="D4533" s="28">
        <f t="shared" si="28"/>
        <v>198</v>
      </c>
      <c r="E4533" s="28">
        <f t="shared" si="29"/>
        <v>173.25</v>
      </c>
      <c r="F4533" s="28">
        <f t="shared" si="30"/>
        <v>133.26923076923077</v>
      </c>
      <c r="G4533" s="28">
        <f t="shared" si="32"/>
        <v>104.604</v>
      </c>
      <c r="H4533" s="28">
        <f t="shared" si="33"/>
        <v>115.32899999999999</v>
      </c>
      <c r="I4533" s="28">
        <f t="shared" si="34"/>
        <v>120.125</v>
      </c>
      <c r="J4533" s="28">
        <f t="shared" si="35"/>
        <v>123.61360000000001</v>
      </c>
      <c r="K4533" s="28">
        <f t="shared" si="36"/>
        <v>129.1584</v>
      </c>
      <c r="L4533" s="4"/>
      <c r="M4533" s="241">
        <v>120.125</v>
      </c>
    </row>
    <row r="4534" spans="3:13" hidden="1" outlineLevel="1" x14ac:dyDescent="0.2">
      <c r="C4534" s="28">
        <f t="shared" si="31"/>
        <v>1.5546875</v>
      </c>
      <c r="D4534" s="28">
        <f t="shared" si="28"/>
        <v>199</v>
      </c>
      <c r="E4534" s="28">
        <f t="shared" si="29"/>
        <v>174.125</v>
      </c>
      <c r="F4534" s="28">
        <f t="shared" si="30"/>
        <v>133.94230769230768</v>
      </c>
      <c r="G4534" s="28">
        <f t="shared" si="32"/>
        <v>104.604</v>
      </c>
      <c r="H4534" s="28">
        <f t="shared" si="33"/>
        <v>115.32899999999999</v>
      </c>
      <c r="I4534" s="28">
        <f t="shared" si="34"/>
        <v>120.125</v>
      </c>
      <c r="J4534" s="28">
        <f t="shared" si="35"/>
        <v>123.61360000000001</v>
      </c>
      <c r="K4534" s="28">
        <f t="shared" si="36"/>
        <v>129.1584</v>
      </c>
      <c r="L4534" s="4"/>
      <c r="M4534" s="241">
        <v>120.125</v>
      </c>
    </row>
    <row r="4535" spans="3:13" hidden="1" outlineLevel="1" x14ac:dyDescent="0.2">
      <c r="C4535" s="28">
        <f t="shared" si="31"/>
        <v>1.5625</v>
      </c>
      <c r="D4535" s="28">
        <f t="shared" si="28"/>
        <v>200</v>
      </c>
      <c r="E4535" s="28">
        <f t="shared" si="29"/>
        <v>175</v>
      </c>
      <c r="F4535" s="28">
        <f t="shared" si="30"/>
        <v>134.61538461538461</v>
      </c>
      <c r="G4535" s="28">
        <f t="shared" si="32"/>
        <v>105.5027</v>
      </c>
      <c r="H4535" s="28">
        <f t="shared" si="33"/>
        <v>116.2822</v>
      </c>
      <c r="I4535" s="28">
        <f t="shared" si="34"/>
        <v>121.1041</v>
      </c>
      <c r="J4535" s="28">
        <f t="shared" si="35"/>
        <v>124.6122</v>
      </c>
      <c r="K4535" s="28">
        <f t="shared" si="36"/>
        <v>130.18960000000001</v>
      </c>
      <c r="L4535" s="4"/>
      <c r="M4535" s="241">
        <v>121.1041</v>
      </c>
    </row>
    <row r="4536" spans="3:13" hidden="1" outlineLevel="1" x14ac:dyDescent="0.2">
      <c r="C4536" s="28">
        <f t="shared" si="31"/>
        <v>1.5703125</v>
      </c>
      <c r="D4536" s="28">
        <f t="shared" si="28"/>
        <v>201</v>
      </c>
      <c r="E4536" s="28">
        <f t="shared" si="29"/>
        <v>175.875</v>
      </c>
      <c r="F4536" s="28">
        <f t="shared" si="30"/>
        <v>135.28846153846155</v>
      </c>
      <c r="G4536" s="28">
        <f t="shared" si="32"/>
        <v>106.402</v>
      </c>
      <c r="H4536" s="28">
        <f t="shared" si="33"/>
        <v>117.236</v>
      </c>
      <c r="I4536" s="28">
        <f t="shared" si="34"/>
        <v>122.0836</v>
      </c>
      <c r="J4536" s="28">
        <f t="shared" si="35"/>
        <v>125.6112</v>
      </c>
      <c r="K4536" s="28">
        <f t="shared" si="36"/>
        <v>131.22069999999999</v>
      </c>
      <c r="L4536" s="4"/>
      <c r="M4536" s="241">
        <v>122.0836</v>
      </c>
    </row>
    <row r="4537" spans="3:13" hidden="1" outlineLevel="1" x14ac:dyDescent="0.2">
      <c r="C4537" s="28">
        <f t="shared" si="31"/>
        <v>1.578125</v>
      </c>
      <c r="D4537" s="28">
        <f t="shared" si="28"/>
        <v>202</v>
      </c>
      <c r="E4537" s="28">
        <f t="shared" si="29"/>
        <v>176.75</v>
      </c>
      <c r="F4537" s="28">
        <f t="shared" si="30"/>
        <v>135.96153846153845</v>
      </c>
      <c r="G4537" s="28">
        <f t="shared" si="32"/>
        <v>106.402</v>
      </c>
      <c r="H4537" s="28">
        <f t="shared" si="33"/>
        <v>117.236</v>
      </c>
      <c r="I4537" s="28">
        <f t="shared" si="34"/>
        <v>122.0836</v>
      </c>
      <c r="J4537" s="28">
        <f t="shared" si="35"/>
        <v>125.6112</v>
      </c>
      <c r="K4537" s="28">
        <f t="shared" si="36"/>
        <v>131.22069999999999</v>
      </c>
      <c r="L4537" s="4"/>
      <c r="M4537" s="241">
        <v>122.0836</v>
      </c>
    </row>
    <row r="4538" spans="3:13" hidden="1" outlineLevel="1" x14ac:dyDescent="0.2">
      <c r="C4538" s="28">
        <f t="shared" si="31"/>
        <v>1.5859375</v>
      </c>
      <c r="D4538" s="28">
        <f t="shared" si="28"/>
        <v>203</v>
      </c>
      <c r="E4538" s="28">
        <f t="shared" si="29"/>
        <v>177.625</v>
      </c>
      <c r="F4538" s="28">
        <f t="shared" si="30"/>
        <v>136.63461538461539</v>
      </c>
      <c r="G4538" s="28">
        <f t="shared" si="32"/>
        <v>107.3015</v>
      </c>
      <c r="H4538" s="28">
        <f t="shared" si="33"/>
        <v>118.19</v>
      </c>
      <c r="I4538" s="28">
        <f t="shared" si="34"/>
        <v>123.0634</v>
      </c>
      <c r="J4538" s="28">
        <f t="shared" si="35"/>
        <v>126.6104</v>
      </c>
      <c r="K4538" s="28">
        <f t="shared" si="36"/>
        <v>132.25210000000001</v>
      </c>
      <c r="L4538" s="4"/>
      <c r="M4538" s="241">
        <v>123.0634</v>
      </c>
    </row>
    <row r="4539" spans="3:13" hidden="1" outlineLevel="1" x14ac:dyDescent="0.2">
      <c r="C4539" s="28">
        <f t="shared" si="31"/>
        <v>1.59375</v>
      </c>
      <c r="D4539" s="28">
        <f t="shared" si="28"/>
        <v>204</v>
      </c>
      <c r="E4539" s="28">
        <f t="shared" si="29"/>
        <v>178.5</v>
      </c>
      <c r="F4539" s="28">
        <f t="shared" si="30"/>
        <v>137.30769230769229</v>
      </c>
      <c r="G4539" s="28">
        <f t="shared" si="32"/>
        <v>108.2015</v>
      </c>
      <c r="H4539" s="28">
        <f t="shared" si="33"/>
        <v>119.1443</v>
      </c>
      <c r="I4539" s="28">
        <f t="shared" si="34"/>
        <v>124.0432</v>
      </c>
      <c r="J4539" s="28">
        <f t="shared" si="35"/>
        <v>127.60980000000001</v>
      </c>
      <c r="K4539" s="28">
        <f t="shared" si="36"/>
        <v>133.28360000000001</v>
      </c>
      <c r="L4539" s="4"/>
      <c r="M4539" s="241">
        <v>124.0432</v>
      </c>
    </row>
    <row r="4540" spans="3:13" hidden="1" outlineLevel="1" x14ac:dyDescent="0.2">
      <c r="C4540" s="28">
        <f t="shared" si="31"/>
        <v>1.6015625</v>
      </c>
      <c r="D4540" s="28">
        <f t="shared" si="28"/>
        <v>205</v>
      </c>
      <c r="E4540" s="28">
        <f t="shared" si="29"/>
        <v>179.375</v>
      </c>
      <c r="F4540" s="28">
        <f t="shared" si="30"/>
        <v>137.98076923076923</v>
      </c>
      <c r="G4540" s="28">
        <f t="shared" si="32"/>
        <v>108.2015</v>
      </c>
      <c r="H4540" s="28">
        <f t="shared" si="33"/>
        <v>119.1443</v>
      </c>
      <c r="I4540" s="28">
        <f t="shared" si="34"/>
        <v>124.0432</v>
      </c>
      <c r="J4540" s="28">
        <f t="shared" si="35"/>
        <v>127.60980000000001</v>
      </c>
      <c r="K4540" s="28">
        <f t="shared" si="36"/>
        <v>133.28360000000001</v>
      </c>
      <c r="L4540" s="4"/>
      <c r="M4540" s="241">
        <v>124.0432</v>
      </c>
    </row>
    <row r="4541" spans="3:13" hidden="1" outlineLevel="1" x14ac:dyDescent="0.2">
      <c r="C4541" s="28">
        <f t="shared" si="31"/>
        <v>1.609375</v>
      </c>
      <c r="D4541" s="28">
        <f t="shared" si="28"/>
        <v>206</v>
      </c>
      <c r="E4541" s="28">
        <f t="shared" si="29"/>
        <v>180.25</v>
      </c>
      <c r="F4541" s="28">
        <f t="shared" si="30"/>
        <v>138.65384615384616</v>
      </c>
      <c r="G4541" s="28">
        <f t="shared" si="32"/>
        <v>109.10209999999999</v>
      </c>
      <c r="H4541" s="28">
        <f t="shared" si="33"/>
        <v>120.0989</v>
      </c>
      <c r="I4541" s="28">
        <f t="shared" si="34"/>
        <v>125.0234</v>
      </c>
      <c r="J4541" s="28">
        <f t="shared" si="35"/>
        <v>128.60919999999999</v>
      </c>
      <c r="K4541" s="28">
        <f t="shared" si="36"/>
        <v>134.3151</v>
      </c>
      <c r="L4541" s="4"/>
      <c r="M4541" s="241">
        <v>125.0234</v>
      </c>
    </row>
    <row r="4542" spans="3:13" hidden="1" outlineLevel="1" x14ac:dyDescent="0.2">
      <c r="C4542" s="28">
        <f t="shared" si="31"/>
        <v>1.6171875</v>
      </c>
      <c r="D4542" s="28">
        <f t="shared" si="28"/>
        <v>207</v>
      </c>
      <c r="E4542" s="28">
        <f t="shared" si="29"/>
        <v>181.125</v>
      </c>
      <c r="F4542" s="28">
        <f t="shared" si="30"/>
        <v>139.32692307692307</v>
      </c>
      <c r="G4542" s="28">
        <f t="shared" si="32"/>
        <v>110.003</v>
      </c>
      <c r="H4542" s="28">
        <f t="shared" si="33"/>
        <v>121.0538</v>
      </c>
      <c r="I4542" s="28">
        <f t="shared" si="34"/>
        <v>126.0039</v>
      </c>
      <c r="J4542" s="28">
        <f t="shared" si="35"/>
        <v>129.60900000000001</v>
      </c>
      <c r="K4542" s="28">
        <f t="shared" si="36"/>
        <v>135.34700000000001</v>
      </c>
      <c r="L4542" s="4"/>
      <c r="M4542" s="241">
        <v>126.0039</v>
      </c>
    </row>
    <row r="4543" spans="3:13" hidden="1" outlineLevel="1" x14ac:dyDescent="0.2">
      <c r="C4543" s="28">
        <f t="shared" si="31"/>
        <v>1.625</v>
      </c>
      <c r="D4543" s="28">
        <f t="shared" si="28"/>
        <v>208</v>
      </c>
      <c r="E4543" s="28">
        <f t="shared" si="29"/>
        <v>182</v>
      </c>
      <c r="F4543" s="28">
        <f t="shared" si="30"/>
        <v>140</v>
      </c>
      <c r="G4543" s="28">
        <f t="shared" si="32"/>
        <v>110.9044</v>
      </c>
      <c r="H4543" s="28">
        <f t="shared" si="33"/>
        <v>122.0091</v>
      </c>
      <c r="I4543" s="28">
        <f t="shared" si="34"/>
        <v>126.9846</v>
      </c>
      <c r="J4543" s="28">
        <f t="shared" si="35"/>
        <v>130.6087</v>
      </c>
      <c r="K4543" s="28">
        <f t="shared" si="36"/>
        <v>136.37899999999999</v>
      </c>
      <c r="L4543" s="4"/>
      <c r="M4543" s="241">
        <v>126.9846</v>
      </c>
    </row>
    <row r="4544" spans="3:13" hidden="1" outlineLevel="1" x14ac:dyDescent="0.2">
      <c r="C4544" s="28">
        <f t="shared" si="31"/>
        <v>1.6328125</v>
      </c>
      <c r="D4544" s="28">
        <f t="shared" si="28"/>
        <v>209</v>
      </c>
      <c r="E4544" s="28">
        <f t="shared" si="29"/>
        <v>182.875</v>
      </c>
      <c r="F4544" s="28">
        <f t="shared" si="30"/>
        <v>140.67307692307691</v>
      </c>
      <c r="G4544" s="28">
        <f t="shared" si="32"/>
        <v>110.9044</v>
      </c>
      <c r="H4544" s="28">
        <f t="shared" si="33"/>
        <v>122.0091</v>
      </c>
      <c r="I4544" s="28">
        <f t="shared" si="34"/>
        <v>126.9846</v>
      </c>
      <c r="J4544" s="28">
        <f t="shared" si="35"/>
        <v>130.6087</v>
      </c>
      <c r="K4544" s="28">
        <f t="shared" si="36"/>
        <v>136.37899999999999</v>
      </c>
      <c r="L4544" s="4"/>
      <c r="M4544" s="241">
        <v>126.9846</v>
      </c>
    </row>
    <row r="4545" spans="3:13" hidden="1" outlineLevel="1" x14ac:dyDescent="0.2">
      <c r="C4545" s="28">
        <f t="shared" si="31"/>
        <v>1.640625</v>
      </c>
      <c r="D4545" s="28">
        <f t="shared" si="28"/>
        <v>210</v>
      </c>
      <c r="E4545" s="28">
        <f t="shared" si="29"/>
        <v>183.75</v>
      </c>
      <c r="F4545" s="28">
        <f t="shared" si="30"/>
        <v>141.34615384615384</v>
      </c>
      <c r="G4545" s="28">
        <f t="shared" si="32"/>
        <v>111.806</v>
      </c>
      <c r="H4545" s="28">
        <f t="shared" si="33"/>
        <v>122.9645</v>
      </c>
      <c r="I4545" s="28">
        <f t="shared" si="34"/>
        <v>127.9653</v>
      </c>
      <c r="J4545" s="28">
        <f t="shared" si="35"/>
        <v>131.60890000000001</v>
      </c>
      <c r="K4545" s="28">
        <f t="shared" si="36"/>
        <v>137.4109</v>
      </c>
      <c r="L4545" s="4"/>
      <c r="M4545" s="241">
        <v>127.9653</v>
      </c>
    </row>
    <row r="4546" spans="3:13" hidden="1" outlineLevel="1" x14ac:dyDescent="0.2">
      <c r="C4546" s="28">
        <f t="shared" si="31"/>
        <v>1.6484375</v>
      </c>
      <c r="D4546" s="28">
        <f t="shared" si="28"/>
        <v>211</v>
      </c>
      <c r="E4546" s="28">
        <f t="shared" si="29"/>
        <v>184.625</v>
      </c>
      <c r="F4546" s="28">
        <f t="shared" si="30"/>
        <v>142.01923076923077</v>
      </c>
      <c r="G4546" s="28">
        <f t="shared" si="32"/>
        <v>112.7084</v>
      </c>
      <c r="H4546" s="28">
        <f t="shared" si="33"/>
        <v>123.92019999999999</v>
      </c>
      <c r="I4546" s="28">
        <f t="shared" si="34"/>
        <v>128.94630000000001</v>
      </c>
      <c r="J4546" s="28">
        <f t="shared" si="35"/>
        <v>132.60919999999999</v>
      </c>
      <c r="K4546" s="28">
        <f t="shared" si="36"/>
        <v>138.44309999999999</v>
      </c>
      <c r="L4546" s="4"/>
      <c r="M4546" s="241">
        <v>128.94630000000001</v>
      </c>
    </row>
    <row r="4547" spans="3:13" hidden="1" outlineLevel="1" x14ac:dyDescent="0.2">
      <c r="C4547" s="28">
        <f t="shared" si="31"/>
        <v>1.65625</v>
      </c>
      <c r="D4547" s="28">
        <f t="shared" si="28"/>
        <v>212</v>
      </c>
      <c r="E4547" s="28">
        <f t="shared" si="29"/>
        <v>185.5</v>
      </c>
      <c r="F4547" s="28">
        <f t="shared" si="30"/>
        <v>142.69230769230768</v>
      </c>
      <c r="G4547" s="28">
        <f t="shared" si="32"/>
        <v>112.7084</v>
      </c>
      <c r="H4547" s="28">
        <f t="shared" si="33"/>
        <v>123.92019999999999</v>
      </c>
      <c r="I4547" s="28">
        <f t="shared" si="34"/>
        <v>128.94630000000001</v>
      </c>
      <c r="J4547" s="28">
        <f t="shared" si="35"/>
        <v>132.60919999999999</v>
      </c>
      <c r="K4547" s="28">
        <f t="shared" si="36"/>
        <v>138.44309999999999</v>
      </c>
      <c r="L4547" s="4"/>
      <c r="M4547" s="241">
        <v>128.94630000000001</v>
      </c>
    </row>
    <row r="4548" spans="3:13" hidden="1" outlineLevel="1" x14ac:dyDescent="0.2">
      <c r="C4548" s="28">
        <f t="shared" si="31"/>
        <v>1.6640625</v>
      </c>
      <c r="D4548" s="28">
        <f t="shared" si="28"/>
        <v>213</v>
      </c>
      <c r="E4548" s="28">
        <f t="shared" si="29"/>
        <v>186.375</v>
      </c>
      <c r="F4548" s="28">
        <f t="shared" si="30"/>
        <v>143.36538461538461</v>
      </c>
      <c r="G4548" s="28">
        <f t="shared" si="32"/>
        <v>113.611</v>
      </c>
      <c r="H4548" s="28">
        <f t="shared" si="33"/>
        <v>124.87609999999999</v>
      </c>
      <c r="I4548" s="28">
        <f t="shared" si="34"/>
        <v>129.92769999999999</v>
      </c>
      <c r="J4548" s="28">
        <f t="shared" si="35"/>
        <v>133.6096</v>
      </c>
      <c r="K4548" s="28">
        <f t="shared" si="36"/>
        <v>139.47559999999999</v>
      </c>
      <c r="L4548" s="4"/>
      <c r="M4548" s="241">
        <v>129.92769999999999</v>
      </c>
    </row>
    <row r="4549" spans="3:13" hidden="1" outlineLevel="1" x14ac:dyDescent="0.2">
      <c r="C4549" s="28">
        <f t="shared" si="31"/>
        <v>1.671875</v>
      </c>
      <c r="D4549" s="28">
        <f t="shared" si="28"/>
        <v>214</v>
      </c>
      <c r="E4549" s="28">
        <f t="shared" si="29"/>
        <v>187.25</v>
      </c>
      <c r="F4549" s="28">
        <f t="shared" si="30"/>
        <v>144.03846153846155</v>
      </c>
      <c r="G4549" s="28">
        <f t="shared" si="32"/>
        <v>114.51390000000001</v>
      </c>
      <c r="H4549" s="28">
        <f t="shared" si="33"/>
        <v>125.8323</v>
      </c>
      <c r="I4549" s="28">
        <f t="shared" si="34"/>
        <v>130.90940000000001</v>
      </c>
      <c r="J4549" s="28">
        <f t="shared" si="35"/>
        <v>134.6104</v>
      </c>
      <c r="K4549" s="28">
        <f t="shared" si="36"/>
        <v>140.50810000000001</v>
      </c>
      <c r="L4549" s="4"/>
      <c r="M4549" s="241">
        <v>130.90940000000001</v>
      </c>
    </row>
    <row r="4550" spans="3:13" hidden="1" outlineLevel="1" x14ac:dyDescent="0.2">
      <c r="C4550" s="28">
        <f t="shared" si="31"/>
        <v>1.6796875</v>
      </c>
      <c r="D4550" s="28">
        <f t="shared" si="28"/>
        <v>215</v>
      </c>
      <c r="E4550" s="28">
        <f t="shared" si="29"/>
        <v>188.125</v>
      </c>
      <c r="F4550" s="28">
        <f t="shared" si="30"/>
        <v>144.71153846153845</v>
      </c>
      <c r="G4550" s="28">
        <f t="shared" si="32"/>
        <v>114.51390000000001</v>
      </c>
      <c r="H4550" s="28">
        <f t="shared" si="33"/>
        <v>125.8323</v>
      </c>
      <c r="I4550" s="28">
        <f t="shared" si="34"/>
        <v>130.90940000000001</v>
      </c>
      <c r="J4550" s="28">
        <f t="shared" si="35"/>
        <v>134.6104</v>
      </c>
      <c r="K4550" s="28">
        <f t="shared" si="36"/>
        <v>140.50810000000001</v>
      </c>
      <c r="L4550" s="4"/>
      <c r="M4550" s="241">
        <v>130.90940000000001</v>
      </c>
    </row>
    <row r="4551" spans="3:13" hidden="1" outlineLevel="1" x14ac:dyDescent="0.2">
      <c r="C4551" s="28">
        <f t="shared" si="31"/>
        <v>1.6875</v>
      </c>
      <c r="D4551" s="28">
        <f t="shared" si="28"/>
        <v>216</v>
      </c>
      <c r="E4551" s="28">
        <f t="shared" si="29"/>
        <v>189</v>
      </c>
      <c r="F4551" s="28">
        <f t="shared" si="30"/>
        <v>145.38461538461539</v>
      </c>
      <c r="G4551" s="28">
        <f t="shared" si="32"/>
        <v>115.4173</v>
      </c>
      <c r="H4551" s="28">
        <f t="shared" si="33"/>
        <v>126.7891</v>
      </c>
      <c r="I4551" s="28">
        <f t="shared" si="34"/>
        <v>131.89089999999999</v>
      </c>
      <c r="J4551" s="28">
        <f t="shared" si="35"/>
        <v>135.6113</v>
      </c>
      <c r="K4551" s="28">
        <f t="shared" si="36"/>
        <v>141.54089999999999</v>
      </c>
      <c r="L4551" s="4"/>
      <c r="M4551" s="241">
        <v>131.89089999999999</v>
      </c>
    </row>
    <row r="4552" spans="3:13" hidden="1" outlineLevel="1" x14ac:dyDescent="0.2">
      <c r="C4552" s="28">
        <f t="shared" si="31"/>
        <v>1.6953125</v>
      </c>
      <c r="D4552" s="28">
        <f t="shared" si="28"/>
        <v>217</v>
      </c>
      <c r="E4552" s="28">
        <f t="shared" si="29"/>
        <v>189.875</v>
      </c>
      <c r="F4552" s="28">
        <f t="shared" si="30"/>
        <v>146.05769230769229</v>
      </c>
      <c r="G4552" s="28">
        <f t="shared" si="32"/>
        <v>116.32129999999999</v>
      </c>
      <c r="H4552" s="28">
        <f t="shared" si="33"/>
        <v>127.7457</v>
      </c>
      <c r="I4552" s="28">
        <f t="shared" si="34"/>
        <v>132.87289999999999</v>
      </c>
      <c r="J4552" s="28">
        <f t="shared" si="35"/>
        <v>136.6123</v>
      </c>
      <c r="K4552" s="28">
        <f t="shared" si="36"/>
        <v>142.5735</v>
      </c>
      <c r="L4552" s="4"/>
      <c r="M4552" s="241">
        <v>132.87289999999999</v>
      </c>
    </row>
    <row r="4553" spans="3:13" hidden="1" outlineLevel="1" x14ac:dyDescent="0.2">
      <c r="C4553" s="28">
        <f t="shared" si="31"/>
        <v>1.703125</v>
      </c>
      <c r="D4553" s="28">
        <f t="shared" si="28"/>
        <v>218</v>
      </c>
      <c r="E4553" s="28">
        <f t="shared" si="29"/>
        <v>190.75</v>
      </c>
      <c r="F4553" s="28">
        <f t="shared" si="30"/>
        <v>146.73076923076923</v>
      </c>
      <c r="G4553" s="28">
        <f t="shared" si="32"/>
        <v>116.32129999999999</v>
      </c>
      <c r="H4553" s="28">
        <f t="shared" si="33"/>
        <v>127.7457</v>
      </c>
      <c r="I4553" s="28">
        <f t="shared" si="34"/>
        <v>132.87289999999999</v>
      </c>
      <c r="J4553" s="28">
        <f t="shared" si="35"/>
        <v>136.6123</v>
      </c>
      <c r="K4553" s="28">
        <f t="shared" si="36"/>
        <v>142.5735</v>
      </c>
      <c r="L4553" s="4"/>
      <c r="M4553" s="241">
        <v>132.87289999999999</v>
      </c>
    </row>
    <row r="4554" spans="3:13" hidden="1" outlineLevel="1" x14ac:dyDescent="0.2">
      <c r="C4554" s="28">
        <f t="shared" si="31"/>
        <v>1.7109375</v>
      </c>
      <c r="D4554" s="28">
        <f t="shared" si="28"/>
        <v>219</v>
      </c>
      <c r="E4554" s="28">
        <f t="shared" si="29"/>
        <v>191.625</v>
      </c>
      <c r="F4554" s="28">
        <f t="shared" si="30"/>
        <v>147.40384615384616</v>
      </c>
      <c r="G4554" s="28">
        <f t="shared" si="32"/>
        <v>117.22539999999999</v>
      </c>
      <c r="H4554" s="28">
        <f t="shared" si="33"/>
        <v>128.7028</v>
      </c>
      <c r="I4554" s="28">
        <f t="shared" si="34"/>
        <v>133.85509999999999</v>
      </c>
      <c r="J4554" s="28">
        <f t="shared" si="35"/>
        <v>137.61330000000001</v>
      </c>
      <c r="K4554" s="28">
        <f t="shared" si="36"/>
        <v>143.60640000000001</v>
      </c>
      <c r="L4554" s="4"/>
      <c r="M4554" s="241">
        <v>133.85509999999999</v>
      </c>
    </row>
    <row r="4555" spans="3:13" hidden="1" outlineLevel="1" x14ac:dyDescent="0.2">
      <c r="C4555" s="28">
        <f t="shared" si="31"/>
        <v>1.71875</v>
      </c>
      <c r="D4555" s="28">
        <f t="shared" si="28"/>
        <v>220</v>
      </c>
      <c r="E4555" s="28">
        <f t="shared" si="29"/>
        <v>192.5</v>
      </c>
      <c r="F4555" s="28">
        <f t="shared" si="30"/>
        <v>148.07692307692307</v>
      </c>
      <c r="G4555" s="28">
        <f t="shared" si="32"/>
        <v>118.1302</v>
      </c>
      <c r="H4555" s="28">
        <f t="shared" si="33"/>
        <v>129.6602</v>
      </c>
      <c r="I4555" s="28">
        <f t="shared" si="34"/>
        <v>134.8374</v>
      </c>
      <c r="J4555" s="28">
        <f t="shared" si="35"/>
        <v>138.6146</v>
      </c>
      <c r="K4555" s="28">
        <f t="shared" si="36"/>
        <v>144.6395</v>
      </c>
      <c r="L4555" s="4"/>
      <c r="M4555" s="241">
        <v>134.8374</v>
      </c>
    </row>
    <row r="4556" spans="3:13" hidden="1" outlineLevel="1" x14ac:dyDescent="0.2">
      <c r="C4556" s="28">
        <f t="shared" si="31"/>
        <v>1.7265625</v>
      </c>
      <c r="D4556" s="28">
        <f t="shared" si="28"/>
        <v>221</v>
      </c>
      <c r="E4556" s="28">
        <f t="shared" si="29"/>
        <v>193.375</v>
      </c>
      <c r="F4556" s="28">
        <f t="shared" si="30"/>
        <v>148.75</v>
      </c>
      <c r="G4556" s="28">
        <f t="shared" si="32"/>
        <v>118.1302</v>
      </c>
      <c r="H4556" s="28">
        <f t="shared" si="33"/>
        <v>129.6602</v>
      </c>
      <c r="I4556" s="28">
        <f t="shared" si="34"/>
        <v>134.8374</v>
      </c>
      <c r="J4556" s="28">
        <f t="shared" si="35"/>
        <v>138.6146</v>
      </c>
      <c r="K4556" s="28">
        <f t="shared" si="36"/>
        <v>144.6395</v>
      </c>
      <c r="L4556" s="4"/>
      <c r="M4556" s="241">
        <v>134.8374</v>
      </c>
    </row>
    <row r="4557" spans="3:13" hidden="1" outlineLevel="1" x14ac:dyDescent="0.2">
      <c r="C4557" s="28">
        <f t="shared" si="31"/>
        <v>1.734375</v>
      </c>
      <c r="D4557" s="28">
        <f t="shared" si="28"/>
        <v>222</v>
      </c>
      <c r="E4557" s="28">
        <f t="shared" si="29"/>
        <v>194.25</v>
      </c>
      <c r="F4557" s="28">
        <f t="shared" si="30"/>
        <v>149.42307692307691</v>
      </c>
      <c r="G4557" s="28">
        <f t="shared" si="32"/>
        <v>119.0352</v>
      </c>
      <c r="H4557" s="28">
        <f t="shared" si="33"/>
        <v>130.61779999999999</v>
      </c>
      <c r="I4557" s="28">
        <f t="shared" si="34"/>
        <v>135.82</v>
      </c>
      <c r="J4557" s="28">
        <f t="shared" si="35"/>
        <v>139.6163</v>
      </c>
      <c r="K4557" s="28">
        <f t="shared" si="36"/>
        <v>145.6728</v>
      </c>
      <c r="L4557" s="4"/>
      <c r="M4557" s="241">
        <v>135.82</v>
      </c>
    </row>
    <row r="4558" spans="3:13" hidden="1" outlineLevel="1" x14ac:dyDescent="0.2">
      <c r="C4558" s="28">
        <f t="shared" si="31"/>
        <v>1.7421875</v>
      </c>
      <c r="D4558" s="28">
        <f t="shared" si="28"/>
        <v>223</v>
      </c>
      <c r="E4558" s="28">
        <f t="shared" si="29"/>
        <v>195.125</v>
      </c>
      <c r="F4558" s="28">
        <f t="shared" si="30"/>
        <v>150.09615384615384</v>
      </c>
      <c r="G4558" s="28">
        <f t="shared" si="32"/>
        <v>119.9405</v>
      </c>
      <c r="H4558" s="28">
        <f t="shared" si="33"/>
        <v>131.57570000000001</v>
      </c>
      <c r="I4558" s="28">
        <f t="shared" si="34"/>
        <v>136.80279999999999</v>
      </c>
      <c r="J4558" s="28">
        <f t="shared" si="35"/>
        <v>140.61799999999999</v>
      </c>
      <c r="K4558" s="28">
        <f t="shared" si="36"/>
        <v>146.70599999999999</v>
      </c>
      <c r="L4558" s="4"/>
      <c r="M4558" s="241">
        <v>136.80279999999999</v>
      </c>
    </row>
    <row r="4559" spans="3:13" hidden="1" outlineLevel="1" x14ac:dyDescent="0.2">
      <c r="C4559" s="28">
        <f t="shared" si="31"/>
        <v>1.75</v>
      </c>
      <c r="D4559" s="28">
        <f t="shared" si="28"/>
        <v>224</v>
      </c>
      <c r="E4559" s="28">
        <f t="shared" si="29"/>
        <v>196</v>
      </c>
      <c r="F4559" s="28">
        <f t="shared" si="30"/>
        <v>150.76923076923077</v>
      </c>
      <c r="G4559" s="28">
        <f t="shared" si="32"/>
        <v>119.9405</v>
      </c>
      <c r="H4559" s="28">
        <f t="shared" si="33"/>
        <v>131.57570000000001</v>
      </c>
      <c r="I4559" s="28">
        <f t="shared" si="34"/>
        <v>136.80279999999999</v>
      </c>
      <c r="J4559" s="28">
        <f t="shared" si="35"/>
        <v>140.61799999999999</v>
      </c>
      <c r="K4559" s="28">
        <f t="shared" si="36"/>
        <v>146.70599999999999</v>
      </c>
      <c r="L4559" s="4"/>
      <c r="M4559" s="241">
        <v>136.80279999999999</v>
      </c>
    </row>
    <row r="4560" spans="3:13" hidden="1" outlineLevel="1" x14ac:dyDescent="0.2">
      <c r="C4560" s="28">
        <f t="shared" si="31"/>
        <v>1.7578125</v>
      </c>
      <c r="D4560" s="28">
        <f t="shared" si="28"/>
        <v>225</v>
      </c>
      <c r="E4560" s="28">
        <f t="shared" si="29"/>
        <v>196.875</v>
      </c>
      <c r="F4560" s="28">
        <f t="shared" si="30"/>
        <v>151.44230769230768</v>
      </c>
      <c r="G4560" s="28">
        <f t="shared" si="32"/>
        <v>120.84610000000001</v>
      </c>
      <c r="H4560" s="28">
        <f t="shared" si="33"/>
        <v>132.5335</v>
      </c>
      <c r="I4560" s="28">
        <f t="shared" si="34"/>
        <v>137.78569999999999</v>
      </c>
      <c r="J4560" s="28">
        <f t="shared" si="35"/>
        <v>141.62</v>
      </c>
      <c r="K4560" s="28">
        <f t="shared" si="36"/>
        <v>147.73929999999999</v>
      </c>
      <c r="L4560" s="4"/>
      <c r="M4560" s="241">
        <v>137.78569999999999</v>
      </c>
    </row>
    <row r="4561" spans="3:13" hidden="1" outlineLevel="1" x14ac:dyDescent="0.2">
      <c r="C4561" s="28">
        <f t="shared" si="31"/>
        <v>1.765625</v>
      </c>
      <c r="D4561" s="28">
        <f t="shared" si="28"/>
        <v>226</v>
      </c>
      <c r="E4561" s="28">
        <f t="shared" si="29"/>
        <v>197.75</v>
      </c>
      <c r="F4561" s="28">
        <f t="shared" si="30"/>
        <v>152.11538461538461</v>
      </c>
      <c r="G4561" s="28">
        <f t="shared" si="32"/>
        <v>121.7522</v>
      </c>
      <c r="H4561" s="28">
        <f t="shared" si="33"/>
        <v>133.49209999999999</v>
      </c>
      <c r="I4561" s="28">
        <f t="shared" si="34"/>
        <v>138.7689</v>
      </c>
      <c r="J4561" s="28">
        <f t="shared" si="35"/>
        <v>142.62190000000001</v>
      </c>
      <c r="K4561" s="28">
        <f t="shared" si="36"/>
        <v>148.7731</v>
      </c>
      <c r="L4561" s="4"/>
      <c r="M4561" s="241">
        <v>138.7689</v>
      </c>
    </row>
    <row r="4562" spans="3:13" hidden="1" outlineLevel="1" x14ac:dyDescent="0.2">
      <c r="C4562" s="28">
        <f t="shared" si="31"/>
        <v>1.7734375</v>
      </c>
      <c r="D4562" s="28">
        <f t="shared" si="28"/>
        <v>227</v>
      </c>
      <c r="E4562" s="28">
        <f t="shared" si="29"/>
        <v>198.625</v>
      </c>
      <c r="F4562" s="28">
        <f t="shared" si="30"/>
        <v>152.78846153846155</v>
      </c>
      <c r="G4562" s="28">
        <f t="shared" si="32"/>
        <v>121.7522</v>
      </c>
      <c r="H4562" s="28">
        <f t="shared" si="33"/>
        <v>133.49209999999999</v>
      </c>
      <c r="I4562" s="28">
        <f t="shared" si="34"/>
        <v>138.7689</v>
      </c>
      <c r="J4562" s="28">
        <f t="shared" si="35"/>
        <v>142.62190000000001</v>
      </c>
      <c r="K4562" s="28">
        <f t="shared" si="36"/>
        <v>148.7731</v>
      </c>
      <c r="L4562" s="4"/>
      <c r="M4562" s="241">
        <v>138.7689</v>
      </c>
    </row>
    <row r="4563" spans="3:13" hidden="1" outlineLevel="1" x14ac:dyDescent="0.2">
      <c r="C4563" s="28">
        <f t="shared" si="31"/>
        <v>1.78125</v>
      </c>
      <c r="D4563" s="28">
        <f t="shared" si="28"/>
        <v>228</v>
      </c>
      <c r="E4563" s="28">
        <f t="shared" si="29"/>
        <v>199.5</v>
      </c>
      <c r="F4563" s="28">
        <f t="shared" si="30"/>
        <v>153.46153846153845</v>
      </c>
      <c r="G4563" s="28">
        <f t="shared" si="32"/>
        <v>122.6589</v>
      </c>
      <c r="H4563" s="28">
        <f t="shared" si="33"/>
        <v>134.45060000000001</v>
      </c>
      <c r="I4563" s="28">
        <f t="shared" si="34"/>
        <v>139.75219999999999</v>
      </c>
      <c r="J4563" s="28">
        <f t="shared" si="35"/>
        <v>143.6241</v>
      </c>
      <c r="K4563" s="28">
        <f t="shared" si="36"/>
        <v>149.80670000000001</v>
      </c>
      <c r="L4563" s="4"/>
      <c r="M4563" s="241">
        <v>139.75219999999999</v>
      </c>
    </row>
    <row r="4564" spans="3:13" hidden="1" outlineLevel="1" x14ac:dyDescent="0.2">
      <c r="C4564" s="28">
        <f t="shared" si="31"/>
        <v>1.7890625</v>
      </c>
      <c r="D4564" s="28">
        <f t="shared" si="28"/>
        <v>229</v>
      </c>
      <c r="E4564" s="28">
        <f t="shared" si="29"/>
        <v>200.375</v>
      </c>
      <c r="F4564" s="28">
        <f t="shared" si="30"/>
        <v>154.13461538461539</v>
      </c>
      <c r="G4564" s="28">
        <f t="shared" si="32"/>
        <v>123.56570000000001</v>
      </c>
      <c r="H4564" s="28">
        <f t="shared" si="33"/>
        <v>135.4093</v>
      </c>
      <c r="I4564" s="28">
        <f t="shared" si="34"/>
        <v>140.73580000000001</v>
      </c>
      <c r="J4564" s="28">
        <f t="shared" si="35"/>
        <v>144.6266</v>
      </c>
      <c r="K4564" s="28">
        <f t="shared" si="36"/>
        <v>150.84049999999999</v>
      </c>
      <c r="M4564" s="241">
        <v>140.73580000000001</v>
      </c>
    </row>
    <row r="4565" spans="3:13" hidden="1" outlineLevel="1" x14ac:dyDescent="0.2">
      <c r="C4565" s="28">
        <f t="shared" si="31"/>
        <v>1.796875</v>
      </c>
      <c r="D4565" s="28">
        <f t="shared" si="28"/>
        <v>230</v>
      </c>
      <c r="E4565" s="28">
        <f t="shared" si="29"/>
        <v>201.25</v>
      </c>
      <c r="F4565" s="28">
        <f t="shared" si="30"/>
        <v>154.80769230769229</v>
      </c>
      <c r="G4565" s="28">
        <f t="shared" si="32"/>
        <v>123.56570000000001</v>
      </c>
      <c r="H4565" s="28">
        <f t="shared" si="33"/>
        <v>135.4093</v>
      </c>
      <c r="I4565" s="28">
        <f t="shared" si="34"/>
        <v>140.73580000000001</v>
      </c>
      <c r="J4565" s="28">
        <f t="shared" si="35"/>
        <v>144.6266</v>
      </c>
      <c r="K4565" s="28">
        <f t="shared" si="36"/>
        <v>150.84049999999999</v>
      </c>
      <c r="M4565" s="241">
        <v>140.73580000000001</v>
      </c>
    </row>
    <row r="4566" spans="3:13" hidden="1" outlineLevel="1" x14ac:dyDescent="0.2">
      <c r="C4566" s="28">
        <f t="shared" si="31"/>
        <v>1.8046875</v>
      </c>
      <c r="D4566" s="28">
        <f t="shared" si="28"/>
        <v>231</v>
      </c>
      <c r="E4566" s="28">
        <f t="shared" si="29"/>
        <v>202.125</v>
      </c>
      <c r="F4566" s="28">
        <f t="shared" si="30"/>
        <v>155.48076923076923</v>
      </c>
      <c r="G4566" s="28">
        <f t="shared" si="32"/>
        <v>124.4731</v>
      </c>
      <c r="H4566" s="28">
        <f t="shared" si="33"/>
        <v>136.36840000000001</v>
      </c>
      <c r="I4566" s="28">
        <f t="shared" si="34"/>
        <v>141.71969999999999</v>
      </c>
      <c r="J4566" s="28">
        <f t="shared" si="35"/>
        <v>145.62899999999999</v>
      </c>
      <c r="K4566" s="28">
        <f t="shared" si="36"/>
        <v>151.87440000000001</v>
      </c>
      <c r="M4566" s="241">
        <v>141.71969999999999</v>
      </c>
    </row>
    <row r="4567" spans="3:13" hidden="1" outlineLevel="1" x14ac:dyDescent="0.2">
      <c r="C4567" s="28">
        <f t="shared" si="31"/>
        <v>1.8125</v>
      </c>
      <c r="D4567" s="28">
        <f t="shared" si="28"/>
        <v>232</v>
      </c>
      <c r="E4567" s="28">
        <f t="shared" si="29"/>
        <v>203</v>
      </c>
      <c r="F4567" s="28">
        <f t="shared" si="30"/>
        <v>156.15384615384616</v>
      </c>
      <c r="G4567" s="28">
        <f t="shared" si="32"/>
        <v>125.3805</v>
      </c>
      <c r="H4567" s="28">
        <f t="shared" si="33"/>
        <v>137.32759999999999</v>
      </c>
      <c r="I4567" s="28">
        <f t="shared" si="34"/>
        <v>142.7037</v>
      </c>
      <c r="J4567" s="28">
        <f t="shared" si="35"/>
        <v>146.6319</v>
      </c>
      <c r="K4567" s="28">
        <f t="shared" si="36"/>
        <v>152.9083</v>
      </c>
      <c r="M4567" s="241">
        <v>142.7037</v>
      </c>
    </row>
    <row r="4568" spans="3:13" hidden="1" outlineLevel="1" x14ac:dyDescent="0.2">
      <c r="C4568" s="28">
        <f t="shared" si="31"/>
        <v>1.8203125</v>
      </c>
      <c r="D4568" s="28">
        <f t="shared" si="28"/>
        <v>233</v>
      </c>
      <c r="E4568" s="28">
        <f t="shared" si="29"/>
        <v>203.875</v>
      </c>
      <c r="F4568" s="28">
        <f t="shared" si="30"/>
        <v>156.82692307692307</v>
      </c>
      <c r="G4568" s="28">
        <f t="shared" si="32"/>
        <v>125.3805</v>
      </c>
      <c r="H4568" s="28">
        <f t="shared" si="33"/>
        <v>137.32759999999999</v>
      </c>
      <c r="I4568" s="28">
        <f t="shared" si="34"/>
        <v>142.7037</v>
      </c>
      <c r="J4568" s="28">
        <f t="shared" si="35"/>
        <v>146.6319</v>
      </c>
      <c r="K4568" s="28">
        <f t="shared" si="36"/>
        <v>152.9083</v>
      </c>
      <c r="M4568" s="241">
        <v>142.7037</v>
      </c>
    </row>
    <row r="4569" spans="3:13" hidden="1" outlineLevel="1" x14ac:dyDescent="0.2">
      <c r="C4569" s="28">
        <f t="shared" si="31"/>
        <v>1.828125</v>
      </c>
      <c r="D4569" s="28">
        <f t="shared" si="28"/>
        <v>234</v>
      </c>
      <c r="E4569" s="28">
        <f t="shared" si="29"/>
        <v>204.75</v>
      </c>
      <c r="F4569" s="28">
        <f t="shared" si="30"/>
        <v>157.5</v>
      </c>
      <c r="G4569" s="28">
        <f t="shared" si="32"/>
        <v>126.2885</v>
      </c>
      <c r="H4569" s="28">
        <f t="shared" si="33"/>
        <v>138.28729999999999</v>
      </c>
      <c r="I4569" s="28">
        <f t="shared" si="34"/>
        <v>143.6876</v>
      </c>
      <c r="J4569" s="28">
        <f t="shared" si="35"/>
        <v>147.63470000000001</v>
      </c>
      <c r="K4569" s="28">
        <f t="shared" si="36"/>
        <v>153.9427</v>
      </c>
      <c r="M4569" s="241">
        <v>143.6876</v>
      </c>
    </row>
    <row r="4570" spans="3:13" hidden="1" outlineLevel="1" x14ac:dyDescent="0.2">
      <c r="C4570" s="28">
        <f t="shared" si="31"/>
        <v>1.8359375</v>
      </c>
      <c r="D4570" s="28">
        <f t="shared" si="28"/>
        <v>235</v>
      </c>
      <c r="E4570" s="28">
        <f t="shared" si="29"/>
        <v>205.625</v>
      </c>
      <c r="F4570" s="28">
        <f t="shared" si="30"/>
        <v>158.17307692307691</v>
      </c>
      <c r="G4570" s="28">
        <f t="shared" si="32"/>
        <v>127.1968</v>
      </c>
      <c r="H4570" s="28">
        <f t="shared" si="33"/>
        <v>139.24709999999999</v>
      </c>
      <c r="I4570" s="28">
        <f t="shared" si="34"/>
        <v>144.6722</v>
      </c>
      <c r="J4570" s="28">
        <f t="shared" si="35"/>
        <v>148.6378</v>
      </c>
      <c r="K4570" s="28">
        <f t="shared" si="36"/>
        <v>154.9769</v>
      </c>
      <c r="M4570" s="241">
        <v>144.6722</v>
      </c>
    </row>
    <row r="4571" spans="3:13" hidden="1" outlineLevel="1" x14ac:dyDescent="0.2">
      <c r="C4571" s="28">
        <f t="shared" si="31"/>
        <v>1.84375</v>
      </c>
      <c r="D4571" s="28">
        <f t="shared" si="28"/>
        <v>236</v>
      </c>
      <c r="E4571" s="28">
        <f t="shared" si="29"/>
        <v>206.5</v>
      </c>
      <c r="F4571" s="28">
        <f t="shared" si="30"/>
        <v>158.84615384615384</v>
      </c>
      <c r="G4571" s="28">
        <f t="shared" si="32"/>
        <v>127.1968</v>
      </c>
      <c r="H4571" s="28">
        <f t="shared" si="33"/>
        <v>139.24709999999999</v>
      </c>
      <c r="I4571" s="28">
        <f t="shared" si="34"/>
        <v>144.6722</v>
      </c>
      <c r="J4571" s="28">
        <f t="shared" si="35"/>
        <v>148.6378</v>
      </c>
      <c r="K4571" s="28">
        <f t="shared" si="36"/>
        <v>154.9769</v>
      </c>
      <c r="M4571" s="241">
        <v>144.6722</v>
      </c>
    </row>
    <row r="4572" spans="3:13" hidden="1" outlineLevel="1" x14ac:dyDescent="0.2">
      <c r="C4572" s="28">
        <f t="shared" si="31"/>
        <v>1.8515625</v>
      </c>
      <c r="D4572" s="28">
        <f t="shared" si="28"/>
        <v>237</v>
      </c>
      <c r="E4572" s="28">
        <f t="shared" si="29"/>
        <v>207.375</v>
      </c>
      <c r="F4572" s="28">
        <f t="shared" si="30"/>
        <v>159.51923076923077</v>
      </c>
      <c r="G4572" s="28">
        <f t="shared" si="32"/>
        <v>128.1053</v>
      </c>
      <c r="H4572" s="28">
        <f t="shared" si="33"/>
        <v>140.20689999999999</v>
      </c>
      <c r="I4572" s="28">
        <f t="shared" si="34"/>
        <v>145.6566</v>
      </c>
      <c r="J4572" s="28">
        <f t="shared" si="35"/>
        <v>149.64099999999999</v>
      </c>
      <c r="K4572" s="28">
        <f t="shared" si="36"/>
        <v>156.01140000000001</v>
      </c>
      <c r="M4572" s="241">
        <v>145.6566</v>
      </c>
    </row>
    <row r="4573" spans="3:13" hidden="1" outlineLevel="1" x14ac:dyDescent="0.2">
      <c r="C4573" s="28">
        <f t="shared" si="31"/>
        <v>1.859375</v>
      </c>
      <c r="D4573" s="28">
        <f t="shared" si="28"/>
        <v>238</v>
      </c>
      <c r="E4573" s="28">
        <f t="shared" si="29"/>
        <v>208.25</v>
      </c>
      <c r="F4573" s="28">
        <f t="shared" si="30"/>
        <v>160.19230769230768</v>
      </c>
      <c r="G4573" s="28">
        <f t="shared" si="32"/>
        <v>129.01439999999999</v>
      </c>
      <c r="H4573" s="28">
        <f t="shared" si="33"/>
        <v>141.1671</v>
      </c>
      <c r="I4573" s="28">
        <f t="shared" si="34"/>
        <v>146.64109999999999</v>
      </c>
      <c r="J4573" s="28">
        <f t="shared" si="35"/>
        <v>150.64410000000001</v>
      </c>
      <c r="K4573" s="28">
        <f t="shared" si="36"/>
        <v>157.04570000000001</v>
      </c>
      <c r="M4573" s="241">
        <v>146.64109999999999</v>
      </c>
    </row>
    <row r="4574" spans="3:13" hidden="1" outlineLevel="1" x14ac:dyDescent="0.2">
      <c r="C4574" s="28">
        <f t="shared" si="31"/>
        <v>1.8671875</v>
      </c>
      <c r="D4574" s="28">
        <f t="shared" si="28"/>
        <v>239</v>
      </c>
      <c r="E4574" s="28">
        <f t="shared" si="29"/>
        <v>209.125</v>
      </c>
      <c r="F4574" s="28">
        <f t="shared" si="30"/>
        <v>160.86538461538461</v>
      </c>
      <c r="G4574" s="28">
        <f t="shared" si="32"/>
        <v>129.01439999999999</v>
      </c>
      <c r="H4574" s="28">
        <f t="shared" si="33"/>
        <v>141.1671</v>
      </c>
      <c r="I4574" s="28">
        <f t="shared" si="34"/>
        <v>146.64109999999999</v>
      </c>
      <c r="J4574" s="28">
        <f t="shared" si="35"/>
        <v>150.64410000000001</v>
      </c>
      <c r="K4574" s="28">
        <f t="shared" si="36"/>
        <v>157.04570000000001</v>
      </c>
      <c r="M4574" s="241">
        <v>146.64109999999999</v>
      </c>
    </row>
    <row r="4575" spans="3:13" hidden="1" outlineLevel="1" x14ac:dyDescent="0.2">
      <c r="C4575" s="28">
        <f t="shared" si="31"/>
        <v>1.875</v>
      </c>
      <c r="D4575" s="28">
        <f t="shared" si="28"/>
        <v>240</v>
      </c>
      <c r="E4575" s="28">
        <f t="shared" si="29"/>
        <v>210</v>
      </c>
      <c r="F4575" s="28">
        <f t="shared" si="30"/>
        <v>161.53846153846152</v>
      </c>
      <c r="G4575" s="28">
        <f t="shared" si="32"/>
        <v>129.92359999999999</v>
      </c>
      <c r="H4575" s="28">
        <f t="shared" si="33"/>
        <v>142.1277</v>
      </c>
      <c r="I4575" s="28">
        <f t="shared" si="34"/>
        <v>147.62610000000001</v>
      </c>
      <c r="J4575" s="28">
        <f t="shared" si="35"/>
        <v>151.64760000000001</v>
      </c>
      <c r="K4575" s="28">
        <f t="shared" si="36"/>
        <v>158.0804</v>
      </c>
      <c r="M4575" s="241">
        <v>147.62610000000001</v>
      </c>
    </row>
    <row r="4576" spans="3:13" hidden="1" outlineLevel="1" x14ac:dyDescent="0.2">
      <c r="C4576" s="28">
        <f t="shared" si="31"/>
        <v>1.8828125</v>
      </c>
      <c r="D4576" s="28">
        <f t="shared" si="28"/>
        <v>241</v>
      </c>
      <c r="E4576" s="28">
        <f t="shared" si="29"/>
        <v>210.875</v>
      </c>
      <c r="F4576" s="28">
        <f t="shared" si="30"/>
        <v>162.21153846153845</v>
      </c>
      <c r="G4576" s="28">
        <f t="shared" si="32"/>
        <v>130.83349999999999</v>
      </c>
      <c r="H4576" s="28">
        <f t="shared" si="33"/>
        <v>143.08840000000001</v>
      </c>
      <c r="I4576" s="28">
        <f t="shared" si="34"/>
        <v>148.61099999999999</v>
      </c>
      <c r="J4576" s="28">
        <f t="shared" si="35"/>
        <v>152.65129999999999</v>
      </c>
      <c r="K4576" s="28">
        <f t="shared" si="36"/>
        <v>159.11510000000001</v>
      </c>
      <c r="M4576" s="241">
        <v>148.61099999999999</v>
      </c>
    </row>
    <row r="4577" spans="3:13" hidden="1" outlineLevel="1" x14ac:dyDescent="0.2">
      <c r="C4577" s="28">
        <f t="shared" si="31"/>
        <v>1.890625</v>
      </c>
      <c r="D4577" s="28">
        <f t="shared" si="28"/>
        <v>242</v>
      </c>
      <c r="E4577" s="28">
        <f t="shared" si="29"/>
        <v>211.75</v>
      </c>
      <c r="F4577" s="28">
        <f t="shared" si="30"/>
        <v>162.88461538461539</v>
      </c>
      <c r="G4577" s="28">
        <f t="shared" si="32"/>
        <v>130.83349999999999</v>
      </c>
      <c r="H4577" s="28">
        <f t="shared" si="33"/>
        <v>143.08840000000001</v>
      </c>
      <c r="I4577" s="28">
        <f t="shared" si="34"/>
        <v>148.61099999999999</v>
      </c>
      <c r="J4577" s="28">
        <f t="shared" si="35"/>
        <v>152.65129999999999</v>
      </c>
      <c r="K4577" s="28">
        <f t="shared" si="36"/>
        <v>159.11510000000001</v>
      </c>
      <c r="M4577" s="241">
        <v>148.61099999999999</v>
      </c>
    </row>
    <row r="4578" spans="3:13" hidden="1" outlineLevel="1" x14ac:dyDescent="0.2">
      <c r="C4578" s="28">
        <f t="shared" si="31"/>
        <v>1.8984375</v>
      </c>
      <c r="D4578" s="28">
        <f t="shared" si="28"/>
        <v>243</v>
      </c>
      <c r="E4578" s="28">
        <f t="shared" si="29"/>
        <v>212.625</v>
      </c>
      <c r="F4578" s="28">
        <f t="shared" si="30"/>
        <v>163.55769230769229</v>
      </c>
      <c r="G4578" s="28">
        <f t="shared" si="32"/>
        <v>131.74340000000001</v>
      </c>
      <c r="H4578" s="28">
        <f t="shared" si="33"/>
        <v>144.04910000000001</v>
      </c>
      <c r="I4578" s="28">
        <f t="shared" si="34"/>
        <v>149.59639999999999</v>
      </c>
      <c r="J4578" s="28">
        <f t="shared" si="35"/>
        <v>153.65520000000001</v>
      </c>
      <c r="K4578" s="28">
        <f t="shared" si="36"/>
        <v>160.15020000000001</v>
      </c>
      <c r="M4578" s="241">
        <v>149.59639999999999</v>
      </c>
    </row>
    <row r="4579" spans="3:13" hidden="1" outlineLevel="1" x14ac:dyDescent="0.2">
      <c r="C4579" s="28">
        <f t="shared" si="31"/>
        <v>1.90625</v>
      </c>
      <c r="D4579" s="28">
        <f t="shared" si="28"/>
        <v>244</v>
      </c>
      <c r="E4579" s="28">
        <f t="shared" si="29"/>
        <v>213.5</v>
      </c>
      <c r="F4579" s="28">
        <f t="shared" si="30"/>
        <v>164.23076923076923</v>
      </c>
      <c r="G4579" s="28">
        <f t="shared" si="32"/>
        <v>132.65389999999999</v>
      </c>
      <c r="H4579" s="28">
        <f t="shared" si="33"/>
        <v>145.01009999999999</v>
      </c>
      <c r="I4579" s="28">
        <f t="shared" si="34"/>
        <v>150.58179999999999</v>
      </c>
      <c r="J4579" s="28">
        <f t="shared" si="35"/>
        <v>154.65889999999999</v>
      </c>
      <c r="K4579" s="28">
        <f t="shared" si="36"/>
        <v>161.1849</v>
      </c>
      <c r="M4579" s="241">
        <v>150.58179999999999</v>
      </c>
    </row>
    <row r="4580" spans="3:13" hidden="1" outlineLevel="1" x14ac:dyDescent="0.2">
      <c r="C4580" s="28">
        <f t="shared" si="31"/>
        <v>1.9140625</v>
      </c>
      <c r="D4580" s="28">
        <f t="shared" si="28"/>
        <v>245</v>
      </c>
      <c r="E4580" s="28">
        <f t="shared" si="29"/>
        <v>214.375</v>
      </c>
      <c r="F4580" s="28">
        <f t="shared" si="30"/>
        <v>164.90384615384616</v>
      </c>
      <c r="G4580" s="28">
        <f t="shared" si="32"/>
        <v>132.65389999999999</v>
      </c>
      <c r="H4580" s="28">
        <f t="shared" si="33"/>
        <v>145.01009999999999</v>
      </c>
      <c r="I4580" s="28">
        <f t="shared" si="34"/>
        <v>150.58179999999999</v>
      </c>
      <c r="J4580" s="28">
        <f t="shared" si="35"/>
        <v>154.65889999999999</v>
      </c>
      <c r="K4580" s="28">
        <f t="shared" si="36"/>
        <v>161.1849</v>
      </c>
      <c r="M4580" s="241">
        <v>150.58179999999999</v>
      </c>
    </row>
    <row r="4581" spans="3:13" hidden="1" outlineLevel="1" x14ac:dyDescent="0.2">
      <c r="C4581" s="28">
        <f t="shared" si="31"/>
        <v>1.921875</v>
      </c>
      <c r="D4581" s="28">
        <f t="shared" si="28"/>
        <v>246</v>
      </c>
      <c r="E4581" s="28">
        <f t="shared" si="29"/>
        <v>215.25</v>
      </c>
      <c r="F4581" s="28">
        <f t="shared" si="30"/>
        <v>165.57692307692307</v>
      </c>
      <c r="G4581" s="28">
        <f t="shared" si="32"/>
        <v>133.56450000000001</v>
      </c>
      <c r="H4581" s="28">
        <f t="shared" si="33"/>
        <v>145.97139999999999</v>
      </c>
      <c r="I4581" s="28">
        <f t="shared" si="34"/>
        <v>151.56729999999999</v>
      </c>
      <c r="J4581" s="28">
        <f t="shared" si="35"/>
        <v>155.66300000000001</v>
      </c>
      <c r="K4581" s="28">
        <f t="shared" si="36"/>
        <v>162.22</v>
      </c>
      <c r="M4581" s="241">
        <v>151.56729999999999</v>
      </c>
    </row>
    <row r="4582" spans="3:13" hidden="1" outlineLevel="1" x14ac:dyDescent="0.2">
      <c r="C4582" s="28">
        <f t="shared" si="31"/>
        <v>1.9296875</v>
      </c>
      <c r="D4582" s="28">
        <f t="shared" si="28"/>
        <v>247</v>
      </c>
      <c r="E4582" s="28">
        <f t="shared" si="29"/>
        <v>216.125</v>
      </c>
      <c r="F4582" s="28">
        <f t="shared" si="30"/>
        <v>166.25</v>
      </c>
      <c r="G4582" s="28">
        <f t="shared" si="32"/>
        <v>134.47559999999999</v>
      </c>
      <c r="H4582" s="28">
        <f t="shared" si="33"/>
        <v>146.93299999999999</v>
      </c>
      <c r="I4582" s="28">
        <f t="shared" si="34"/>
        <v>152.553</v>
      </c>
      <c r="J4582" s="28">
        <f t="shared" si="35"/>
        <v>156.66720000000001</v>
      </c>
      <c r="K4582" s="28">
        <f t="shared" si="36"/>
        <v>163.25540000000001</v>
      </c>
      <c r="M4582" s="241">
        <v>152.553</v>
      </c>
    </row>
    <row r="4583" spans="3:13" hidden="1" outlineLevel="1" x14ac:dyDescent="0.2">
      <c r="C4583" s="28">
        <f t="shared" si="31"/>
        <v>1.9375</v>
      </c>
      <c r="D4583" s="28">
        <f t="shared" si="28"/>
        <v>248</v>
      </c>
      <c r="E4583" s="28">
        <f t="shared" si="29"/>
        <v>217</v>
      </c>
      <c r="F4583" s="28">
        <f t="shared" si="30"/>
        <v>166.92307692307691</v>
      </c>
      <c r="G4583" s="28">
        <f t="shared" si="32"/>
        <v>134.47559999999999</v>
      </c>
      <c r="H4583" s="28">
        <f t="shared" si="33"/>
        <v>146.93299999999999</v>
      </c>
      <c r="I4583" s="28">
        <f t="shared" si="34"/>
        <v>152.553</v>
      </c>
      <c r="J4583" s="28">
        <f t="shared" si="35"/>
        <v>156.66720000000001</v>
      </c>
      <c r="K4583" s="28">
        <f t="shared" si="36"/>
        <v>163.25540000000001</v>
      </c>
      <c r="M4583" s="241">
        <v>152.553</v>
      </c>
    </row>
    <row r="4584" spans="3:13" hidden="1" outlineLevel="1" x14ac:dyDescent="0.2">
      <c r="C4584" s="28">
        <f t="shared" si="31"/>
        <v>1.9453125</v>
      </c>
      <c r="D4584" s="28">
        <f t="shared" si="28"/>
        <v>249</v>
      </c>
      <c r="E4584" s="28">
        <f t="shared" si="29"/>
        <v>217.875</v>
      </c>
      <c r="F4584" s="28">
        <f t="shared" si="30"/>
        <v>167.59615384615384</v>
      </c>
      <c r="G4584" s="28">
        <f t="shared" si="32"/>
        <v>135.387</v>
      </c>
      <c r="H4584" s="28">
        <f t="shared" si="33"/>
        <v>147.89490000000001</v>
      </c>
      <c r="I4584" s="28">
        <f t="shared" si="34"/>
        <v>153.53890000000001</v>
      </c>
      <c r="J4584" s="28">
        <f t="shared" si="35"/>
        <v>157.67179999999999</v>
      </c>
      <c r="K4584" s="28">
        <f t="shared" si="36"/>
        <v>164.29040000000001</v>
      </c>
      <c r="M4584" s="241">
        <v>153.53890000000001</v>
      </c>
    </row>
    <row r="4585" spans="3:13" hidden="1" outlineLevel="1" x14ac:dyDescent="0.2">
      <c r="C4585" s="28">
        <f t="shared" si="31"/>
        <v>1.953125</v>
      </c>
      <c r="D4585" s="28">
        <f t="shared" si="28"/>
        <v>250</v>
      </c>
      <c r="E4585" s="28">
        <f t="shared" si="29"/>
        <v>218.75</v>
      </c>
      <c r="F4585" s="28">
        <f t="shared" si="30"/>
        <v>168.26923076923077</v>
      </c>
      <c r="G4585" s="28">
        <f t="shared" si="32"/>
        <v>136.29859999999999</v>
      </c>
      <c r="H4585" s="28">
        <f t="shared" si="33"/>
        <v>148.85679999999999</v>
      </c>
      <c r="I4585" s="28">
        <f t="shared" si="34"/>
        <v>154.5249</v>
      </c>
      <c r="J4585" s="28">
        <f t="shared" si="35"/>
        <v>158.67619999999999</v>
      </c>
      <c r="K4585" s="28">
        <f t="shared" si="36"/>
        <v>165.32579999999999</v>
      </c>
      <c r="M4585" s="241">
        <v>154.5249</v>
      </c>
    </row>
    <row r="4586" spans="3:13" hidden="1" outlineLevel="1" x14ac:dyDescent="0.2">
      <c r="C4586" s="28">
        <f t="shared" si="31"/>
        <v>1.9609375</v>
      </c>
      <c r="D4586" s="28">
        <f t="shared" si="28"/>
        <v>251</v>
      </c>
      <c r="E4586" s="28">
        <f t="shared" si="29"/>
        <v>219.625</v>
      </c>
      <c r="F4586" s="28">
        <f t="shared" si="30"/>
        <v>168.94230769230768</v>
      </c>
      <c r="G4586" s="28">
        <f t="shared" si="32"/>
        <v>136.29859999999999</v>
      </c>
      <c r="H4586" s="28">
        <f t="shared" si="33"/>
        <v>148.85679999999999</v>
      </c>
      <c r="I4586" s="28">
        <f t="shared" si="34"/>
        <v>154.5249</v>
      </c>
      <c r="J4586" s="28">
        <f t="shared" si="35"/>
        <v>158.67619999999999</v>
      </c>
      <c r="K4586" s="28">
        <f t="shared" si="36"/>
        <v>165.32579999999999</v>
      </c>
      <c r="M4586" s="241">
        <v>154.5249</v>
      </c>
    </row>
    <row r="4587" spans="3:13" hidden="1" outlineLevel="1" x14ac:dyDescent="0.2">
      <c r="C4587" s="28">
        <f t="shared" si="31"/>
        <v>1.96875</v>
      </c>
      <c r="D4587" s="28">
        <f t="shared" si="28"/>
        <v>252</v>
      </c>
      <c r="E4587" s="28">
        <f t="shared" si="29"/>
        <v>220.5</v>
      </c>
      <c r="F4587" s="28">
        <f t="shared" si="30"/>
        <v>169.61538461538461</v>
      </c>
      <c r="G4587" s="28">
        <f t="shared" si="32"/>
        <v>137.2105</v>
      </c>
      <c r="H4587" s="28">
        <f t="shared" si="33"/>
        <v>149.81890000000001</v>
      </c>
      <c r="I4587" s="28">
        <f t="shared" si="34"/>
        <v>155.5111</v>
      </c>
      <c r="J4587" s="28">
        <f t="shared" si="35"/>
        <v>159.6806</v>
      </c>
      <c r="K4587" s="28">
        <f t="shared" si="36"/>
        <v>166.36150000000001</v>
      </c>
      <c r="M4587" s="241">
        <v>155.5111</v>
      </c>
    </row>
    <row r="4588" spans="3:13" hidden="1" outlineLevel="1" x14ac:dyDescent="0.2">
      <c r="C4588" s="28">
        <f t="shared" si="31"/>
        <v>1.9765625</v>
      </c>
      <c r="D4588" s="28">
        <f t="shared" si="28"/>
        <v>253</v>
      </c>
      <c r="E4588" s="28">
        <f t="shared" si="29"/>
        <v>221.375</v>
      </c>
      <c r="F4588" s="28">
        <f t="shared" si="30"/>
        <v>170.28846153846152</v>
      </c>
      <c r="G4588" s="28">
        <f t="shared" si="32"/>
        <v>138.12260000000001</v>
      </c>
      <c r="H4588" s="28">
        <f t="shared" si="33"/>
        <v>150.78129999999999</v>
      </c>
      <c r="I4588" s="28">
        <f t="shared" si="34"/>
        <v>156.49780000000001</v>
      </c>
      <c r="J4588" s="28">
        <f t="shared" si="35"/>
        <v>160.68549999999999</v>
      </c>
      <c r="K4588" s="28">
        <f t="shared" si="36"/>
        <v>167.39709999999999</v>
      </c>
      <c r="M4588" s="241">
        <v>156.49780000000001</v>
      </c>
    </row>
    <row r="4589" spans="3:13" hidden="1" outlineLevel="1" x14ac:dyDescent="0.2">
      <c r="C4589" s="28">
        <f t="shared" si="31"/>
        <v>1.984375</v>
      </c>
      <c r="D4589" s="28">
        <f t="shared" si="28"/>
        <v>254</v>
      </c>
      <c r="E4589" s="28">
        <f t="shared" si="29"/>
        <v>222.25</v>
      </c>
      <c r="F4589" s="28">
        <f t="shared" si="30"/>
        <v>170.96153846153845</v>
      </c>
      <c r="G4589" s="28">
        <f t="shared" si="32"/>
        <v>138.12260000000001</v>
      </c>
      <c r="H4589" s="28">
        <f t="shared" si="33"/>
        <v>150.78129999999999</v>
      </c>
      <c r="I4589" s="28">
        <f t="shared" si="34"/>
        <v>156.49780000000001</v>
      </c>
      <c r="J4589" s="28">
        <f t="shared" si="35"/>
        <v>160.68549999999999</v>
      </c>
      <c r="K4589" s="28">
        <f t="shared" si="36"/>
        <v>167.39709999999999</v>
      </c>
      <c r="M4589" s="241">
        <v>156.49780000000001</v>
      </c>
    </row>
    <row r="4590" spans="3:13" hidden="1" outlineLevel="1" x14ac:dyDescent="0.2">
      <c r="C4590" s="28">
        <f t="shared" si="31"/>
        <v>1.9921875</v>
      </c>
      <c r="D4590" s="28">
        <f t="shared" si="28"/>
        <v>255</v>
      </c>
      <c r="E4590" s="28">
        <f t="shared" si="29"/>
        <v>223.125</v>
      </c>
      <c r="F4590" s="28">
        <f t="shared" si="30"/>
        <v>171.63461538461539</v>
      </c>
      <c r="G4590" s="28">
        <f t="shared" si="32"/>
        <v>139.0352</v>
      </c>
      <c r="H4590" s="28">
        <f t="shared" si="33"/>
        <v>151.7439</v>
      </c>
      <c r="I4590" s="28">
        <f t="shared" si="34"/>
        <v>157.48419999999999</v>
      </c>
      <c r="J4590" s="28">
        <f t="shared" si="35"/>
        <v>161.69030000000001</v>
      </c>
      <c r="K4590" s="28">
        <f t="shared" si="36"/>
        <v>168.43270000000001</v>
      </c>
      <c r="M4590" s="241">
        <v>157.48419999999999</v>
      </c>
    </row>
    <row r="4591" spans="3:13" hidden="1" outlineLevel="1" x14ac:dyDescent="0.2">
      <c r="C4591" s="28">
        <f t="shared" si="31"/>
        <v>2</v>
      </c>
      <c r="D4591" s="28">
        <f t="shared" si="28"/>
        <v>256</v>
      </c>
      <c r="E4591" s="28">
        <f t="shared" si="29"/>
        <v>224</v>
      </c>
      <c r="F4591" s="28">
        <f t="shared" si="30"/>
        <v>172.30769230769229</v>
      </c>
      <c r="G4591" s="28">
        <f t="shared" si="32"/>
        <v>139.94829999999999</v>
      </c>
      <c r="H4591" s="28">
        <f t="shared" si="33"/>
        <v>152.7064</v>
      </c>
      <c r="I4591" s="28">
        <f t="shared" si="34"/>
        <v>158.4708</v>
      </c>
      <c r="J4591" s="28">
        <f t="shared" si="35"/>
        <v>162.69560000000001</v>
      </c>
      <c r="K4591" s="28">
        <f t="shared" si="36"/>
        <v>169.46850000000001</v>
      </c>
      <c r="M4591" s="241">
        <v>158.4708</v>
      </c>
    </row>
    <row r="4592" spans="3:13" hidden="1" outlineLevel="1" x14ac:dyDescent="0.2">
      <c r="C4592" s="28">
        <f t="shared" si="31"/>
        <v>2.0078125</v>
      </c>
      <c r="D4592" s="28">
        <f t="shared" ref="D4592:D4655" si="37">C4592*Channels.per.carrier</f>
        <v>257</v>
      </c>
      <c r="E4592" s="28">
        <f t="shared" ref="E4592:E4655" si="38">D4592-C4592*R99.CE.signalling</f>
        <v>224.875</v>
      </c>
      <c r="F4592" s="28">
        <f t="shared" ref="F4592:F4655" si="39">E4592/(1+Release99.soft.handover+Release99.softer.handover)</f>
        <v>172.98076923076923</v>
      </c>
      <c r="G4592" s="28">
        <f t="shared" si="32"/>
        <v>139.94829999999999</v>
      </c>
      <c r="H4592" s="28">
        <f t="shared" si="33"/>
        <v>152.7064</v>
      </c>
      <c r="I4592" s="28">
        <f t="shared" si="34"/>
        <v>158.4708</v>
      </c>
      <c r="J4592" s="28">
        <f t="shared" si="35"/>
        <v>162.69560000000001</v>
      </c>
      <c r="K4592" s="28">
        <f t="shared" si="36"/>
        <v>169.46850000000001</v>
      </c>
      <c r="M4592" s="241">
        <v>158.4708</v>
      </c>
    </row>
    <row r="4593" spans="3:13" hidden="1" outlineLevel="1" x14ac:dyDescent="0.2">
      <c r="C4593" s="28">
        <f t="shared" ref="C4593:C4656" si="40">C4592+1/128</f>
        <v>2.015625</v>
      </c>
      <c r="D4593" s="28">
        <f t="shared" si="37"/>
        <v>258</v>
      </c>
      <c r="E4593" s="28">
        <f t="shared" si="38"/>
        <v>225.75</v>
      </c>
      <c r="F4593" s="28">
        <f t="shared" si="39"/>
        <v>173.65384615384616</v>
      </c>
      <c r="G4593" s="28">
        <f t="shared" ref="G4593:G4656" si="41">INDEX(D$10:D$4326,MATCH($F4593,$C$10:$C$4326,1))</f>
        <v>140.8613</v>
      </c>
      <c r="H4593" s="28">
        <f t="shared" ref="H4593:H4656" si="42">INDEX(E$10:E$4326,MATCH($F4593,$C$10:$C$4326,1))</f>
        <v>153.6695</v>
      </c>
      <c r="I4593" s="28">
        <f t="shared" ref="I4593:I4656" si="43">INDEX(F$10:F$4326,MATCH($F4593,$C$10:$C$4326,1))</f>
        <v>159.45779999999999</v>
      </c>
      <c r="J4593" s="28">
        <f t="shared" ref="J4593:J4656" si="44">INDEX(G$10:G$4326,MATCH($F4593,$C$10:$C$4326,1))</f>
        <v>163.70060000000001</v>
      </c>
      <c r="K4593" s="28">
        <f t="shared" ref="K4593:K4656" si="45">INDEX(H$10:H$4326,MATCH($F4593,$C$10:$C$4326,1))</f>
        <v>170.5043</v>
      </c>
      <c r="M4593" s="241">
        <v>159.45779999999999</v>
      </c>
    </row>
    <row r="4594" spans="3:13" hidden="1" outlineLevel="1" x14ac:dyDescent="0.2">
      <c r="C4594" s="28">
        <f t="shared" si="40"/>
        <v>2.0234375</v>
      </c>
      <c r="D4594" s="28">
        <f t="shared" si="37"/>
        <v>259</v>
      </c>
      <c r="E4594" s="28">
        <f t="shared" si="38"/>
        <v>226.625</v>
      </c>
      <c r="F4594" s="28">
        <f t="shared" si="39"/>
        <v>174.32692307692307</v>
      </c>
      <c r="G4594" s="28">
        <f t="shared" si="41"/>
        <v>141.7747</v>
      </c>
      <c r="H4594" s="28">
        <f t="shared" si="42"/>
        <v>154.6327</v>
      </c>
      <c r="I4594" s="28">
        <f t="shared" si="43"/>
        <v>160.44489999999999</v>
      </c>
      <c r="J4594" s="28">
        <f t="shared" si="44"/>
        <v>164.70590000000001</v>
      </c>
      <c r="K4594" s="28">
        <f t="shared" si="45"/>
        <v>171.5403</v>
      </c>
      <c r="M4594" s="241">
        <v>160.44489999999999</v>
      </c>
    </row>
    <row r="4595" spans="3:13" hidden="1" outlineLevel="1" x14ac:dyDescent="0.2">
      <c r="C4595" s="28">
        <f t="shared" si="40"/>
        <v>2.03125</v>
      </c>
      <c r="D4595" s="28">
        <f t="shared" si="37"/>
        <v>260</v>
      </c>
      <c r="E4595" s="28">
        <f t="shared" si="38"/>
        <v>227.5</v>
      </c>
      <c r="F4595" s="28">
        <f t="shared" si="39"/>
        <v>175</v>
      </c>
      <c r="G4595" s="28">
        <f t="shared" si="41"/>
        <v>142.68870000000001</v>
      </c>
      <c r="H4595" s="28">
        <f t="shared" si="42"/>
        <v>155.5959</v>
      </c>
      <c r="I4595" s="28">
        <f t="shared" si="43"/>
        <v>161.43209999999999</v>
      </c>
      <c r="J4595" s="28">
        <f t="shared" si="44"/>
        <v>165.71119999999999</v>
      </c>
      <c r="K4595" s="28">
        <f t="shared" si="45"/>
        <v>172.57650000000001</v>
      </c>
      <c r="M4595" s="241">
        <v>161.43209999999999</v>
      </c>
    </row>
    <row r="4596" spans="3:13" hidden="1" outlineLevel="1" x14ac:dyDescent="0.2">
      <c r="C4596" s="28">
        <f t="shared" si="40"/>
        <v>2.0390625</v>
      </c>
      <c r="D4596" s="28">
        <f t="shared" si="37"/>
        <v>261</v>
      </c>
      <c r="E4596" s="28">
        <f t="shared" si="38"/>
        <v>228.375</v>
      </c>
      <c r="F4596" s="28">
        <f t="shared" si="39"/>
        <v>175.67307692307691</v>
      </c>
      <c r="G4596" s="28">
        <f t="shared" si="41"/>
        <v>142.68870000000001</v>
      </c>
      <c r="H4596" s="28">
        <f t="shared" si="42"/>
        <v>155.5959</v>
      </c>
      <c r="I4596" s="28">
        <f t="shared" si="43"/>
        <v>161.43209999999999</v>
      </c>
      <c r="J4596" s="28">
        <f t="shared" si="44"/>
        <v>165.71119999999999</v>
      </c>
      <c r="K4596" s="28">
        <f t="shared" si="45"/>
        <v>172.57650000000001</v>
      </c>
      <c r="M4596" s="241">
        <v>161.43209999999999</v>
      </c>
    </row>
    <row r="4597" spans="3:13" hidden="1" outlineLevel="1" x14ac:dyDescent="0.2">
      <c r="C4597" s="28">
        <f t="shared" si="40"/>
        <v>2.046875</v>
      </c>
      <c r="D4597" s="28">
        <f t="shared" si="37"/>
        <v>262</v>
      </c>
      <c r="E4597" s="28">
        <f t="shared" si="38"/>
        <v>229.25</v>
      </c>
      <c r="F4597" s="28">
        <f t="shared" si="39"/>
        <v>176.34615384615384</v>
      </c>
      <c r="G4597" s="28">
        <f t="shared" si="41"/>
        <v>143.6027</v>
      </c>
      <c r="H4597" s="28">
        <f t="shared" si="42"/>
        <v>156.55950000000001</v>
      </c>
      <c r="I4597" s="28">
        <f t="shared" si="43"/>
        <v>162.4194</v>
      </c>
      <c r="J4597" s="28">
        <f t="shared" si="44"/>
        <v>166.71690000000001</v>
      </c>
      <c r="K4597" s="28">
        <f t="shared" si="45"/>
        <v>173.61269999999999</v>
      </c>
      <c r="M4597" s="241">
        <v>162.4194</v>
      </c>
    </row>
    <row r="4598" spans="3:13" hidden="1" outlineLevel="1" x14ac:dyDescent="0.2">
      <c r="C4598" s="28">
        <f t="shared" si="40"/>
        <v>2.0546875</v>
      </c>
      <c r="D4598" s="28">
        <f t="shared" si="37"/>
        <v>263</v>
      </c>
      <c r="E4598" s="28">
        <f t="shared" si="38"/>
        <v>230.125</v>
      </c>
      <c r="F4598" s="28">
        <f t="shared" si="39"/>
        <v>177.01923076923077</v>
      </c>
      <c r="G4598" s="28">
        <f t="shared" si="41"/>
        <v>144.5172</v>
      </c>
      <c r="H4598" s="28">
        <f t="shared" si="42"/>
        <v>157.52330000000001</v>
      </c>
      <c r="I4598" s="28">
        <f t="shared" si="43"/>
        <v>163.40700000000001</v>
      </c>
      <c r="J4598" s="28">
        <f t="shared" si="44"/>
        <v>167.7226</v>
      </c>
      <c r="K4598" s="28">
        <f t="shared" si="45"/>
        <v>174.6491</v>
      </c>
      <c r="M4598" s="241">
        <v>163.40700000000001</v>
      </c>
    </row>
    <row r="4599" spans="3:13" hidden="1" outlineLevel="1" x14ac:dyDescent="0.2">
      <c r="C4599" s="28">
        <f t="shared" si="40"/>
        <v>2.0625</v>
      </c>
      <c r="D4599" s="28">
        <f t="shared" si="37"/>
        <v>264</v>
      </c>
      <c r="E4599" s="28">
        <f t="shared" si="38"/>
        <v>231</v>
      </c>
      <c r="F4599" s="28">
        <f t="shared" si="39"/>
        <v>177.69230769230768</v>
      </c>
      <c r="G4599" s="28">
        <f t="shared" si="41"/>
        <v>144.5172</v>
      </c>
      <c r="H4599" s="28">
        <f t="shared" si="42"/>
        <v>157.52330000000001</v>
      </c>
      <c r="I4599" s="28">
        <f t="shared" si="43"/>
        <v>163.40700000000001</v>
      </c>
      <c r="J4599" s="28">
        <f t="shared" si="44"/>
        <v>167.7226</v>
      </c>
      <c r="K4599" s="28">
        <f t="shared" si="45"/>
        <v>174.6491</v>
      </c>
      <c r="M4599" s="241">
        <v>163.40700000000001</v>
      </c>
    </row>
    <row r="4600" spans="3:13" hidden="1" outlineLevel="1" x14ac:dyDescent="0.2">
      <c r="C4600" s="28">
        <f t="shared" si="40"/>
        <v>2.0703125</v>
      </c>
      <c r="D4600" s="28">
        <f t="shared" si="37"/>
        <v>265</v>
      </c>
      <c r="E4600" s="28">
        <f t="shared" si="38"/>
        <v>231.875</v>
      </c>
      <c r="F4600" s="28">
        <f t="shared" si="39"/>
        <v>178.36538461538461</v>
      </c>
      <c r="G4600" s="28">
        <f t="shared" si="41"/>
        <v>145.43180000000001</v>
      </c>
      <c r="H4600" s="28">
        <f t="shared" si="42"/>
        <v>158.4873</v>
      </c>
      <c r="I4600" s="28">
        <f t="shared" si="43"/>
        <v>164.39439999999999</v>
      </c>
      <c r="J4600" s="28">
        <f t="shared" si="44"/>
        <v>168.7285</v>
      </c>
      <c r="K4600" s="28">
        <f t="shared" si="45"/>
        <v>175.68539999999999</v>
      </c>
      <c r="M4600" s="241">
        <v>164.39439999999999</v>
      </c>
    </row>
    <row r="4601" spans="3:13" hidden="1" outlineLevel="1" x14ac:dyDescent="0.2">
      <c r="C4601" s="28">
        <f t="shared" si="40"/>
        <v>2.078125</v>
      </c>
      <c r="D4601" s="28">
        <f t="shared" si="37"/>
        <v>266</v>
      </c>
      <c r="E4601" s="28">
        <f t="shared" si="38"/>
        <v>232.75</v>
      </c>
      <c r="F4601" s="28">
        <f t="shared" si="39"/>
        <v>179.03846153846152</v>
      </c>
      <c r="G4601" s="28">
        <f t="shared" si="41"/>
        <v>146.34690000000001</v>
      </c>
      <c r="H4601" s="28">
        <f t="shared" si="42"/>
        <v>159.45140000000001</v>
      </c>
      <c r="I4601" s="28">
        <f t="shared" si="43"/>
        <v>165.38210000000001</v>
      </c>
      <c r="J4601" s="28">
        <f t="shared" si="44"/>
        <v>169.7345</v>
      </c>
      <c r="K4601" s="28">
        <f t="shared" si="45"/>
        <v>176.72190000000001</v>
      </c>
      <c r="M4601" s="241">
        <v>165.38210000000001</v>
      </c>
    </row>
    <row r="4602" spans="3:13" hidden="1" outlineLevel="1" x14ac:dyDescent="0.2">
      <c r="C4602" s="28">
        <f t="shared" si="40"/>
        <v>2.0859375</v>
      </c>
      <c r="D4602" s="28">
        <f t="shared" si="37"/>
        <v>267</v>
      </c>
      <c r="E4602" s="28">
        <f t="shared" si="38"/>
        <v>233.625</v>
      </c>
      <c r="F4602" s="28">
        <f t="shared" si="39"/>
        <v>179.71153846153845</v>
      </c>
      <c r="G4602" s="28">
        <f t="shared" si="41"/>
        <v>146.34690000000001</v>
      </c>
      <c r="H4602" s="28">
        <f t="shared" si="42"/>
        <v>159.45140000000001</v>
      </c>
      <c r="I4602" s="28">
        <f t="shared" si="43"/>
        <v>165.38210000000001</v>
      </c>
      <c r="J4602" s="28">
        <f t="shared" si="44"/>
        <v>169.7345</v>
      </c>
      <c r="K4602" s="28">
        <f t="shared" si="45"/>
        <v>176.72190000000001</v>
      </c>
      <c r="M4602" s="241">
        <v>165.38210000000001</v>
      </c>
    </row>
    <row r="4603" spans="3:13" hidden="1" outlineLevel="1" x14ac:dyDescent="0.2">
      <c r="C4603" s="28">
        <f t="shared" si="40"/>
        <v>2.09375</v>
      </c>
      <c r="D4603" s="28">
        <f t="shared" si="37"/>
        <v>268</v>
      </c>
      <c r="E4603" s="28">
        <f t="shared" si="38"/>
        <v>234.5</v>
      </c>
      <c r="F4603" s="28">
        <f t="shared" si="39"/>
        <v>180.38461538461539</v>
      </c>
      <c r="G4603" s="28">
        <f t="shared" si="41"/>
        <v>147.2619</v>
      </c>
      <c r="H4603" s="28">
        <f t="shared" si="42"/>
        <v>160.41569999999999</v>
      </c>
      <c r="I4603" s="28">
        <f t="shared" si="43"/>
        <v>166.37029999999999</v>
      </c>
      <c r="J4603" s="28">
        <f t="shared" si="44"/>
        <v>170.74039999999999</v>
      </c>
      <c r="K4603" s="28">
        <f t="shared" si="45"/>
        <v>177.75829999999999</v>
      </c>
      <c r="M4603" s="241">
        <v>166.37029999999999</v>
      </c>
    </row>
    <row r="4604" spans="3:13" hidden="1" outlineLevel="1" x14ac:dyDescent="0.2">
      <c r="C4604" s="28">
        <f t="shared" si="40"/>
        <v>2.1015625</v>
      </c>
      <c r="D4604" s="28">
        <f t="shared" si="37"/>
        <v>269</v>
      </c>
      <c r="E4604" s="28">
        <f t="shared" si="38"/>
        <v>235.375</v>
      </c>
      <c r="F4604" s="28">
        <f t="shared" si="39"/>
        <v>181.05769230769229</v>
      </c>
      <c r="G4604" s="28">
        <f t="shared" si="41"/>
        <v>148.17779999999999</v>
      </c>
      <c r="H4604" s="28">
        <f t="shared" si="42"/>
        <v>161.3801</v>
      </c>
      <c r="I4604" s="28">
        <f t="shared" si="43"/>
        <v>167.35839999999999</v>
      </c>
      <c r="J4604" s="28">
        <f t="shared" si="44"/>
        <v>171.7466</v>
      </c>
      <c r="K4604" s="28">
        <f t="shared" si="45"/>
        <v>178.79480000000001</v>
      </c>
      <c r="M4604" s="241">
        <v>167.35839999999999</v>
      </c>
    </row>
    <row r="4605" spans="3:13" hidden="1" outlineLevel="1" x14ac:dyDescent="0.2">
      <c r="C4605" s="28">
        <f t="shared" si="40"/>
        <v>2.109375</v>
      </c>
      <c r="D4605" s="28">
        <f t="shared" si="37"/>
        <v>270</v>
      </c>
      <c r="E4605" s="28">
        <f t="shared" si="38"/>
        <v>236.25</v>
      </c>
      <c r="F4605" s="28">
        <f t="shared" si="39"/>
        <v>181.73076923076923</v>
      </c>
      <c r="G4605" s="28">
        <f t="shared" si="41"/>
        <v>148.17779999999999</v>
      </c>
      <c r="H4605" s="28">
        <f t="shared" si="42"/>
        <v>161.3801</v>
      </c>
      <c r="I4605" s="28">
        <f t="shared" si="43"/>
        <v>167.35839999999999</v>
      </c>
      <c r="J4605" s="28">
        <f t="shared" si="44"/>
        <v>171.7466</v>
      </c>
      <c r="K4605" s="28">
        <f t="shared" si="45"/>
        <v>178.79480000000001</v>
      </c>
      <c r="M4605" s="241">
        <v>167.35839999999999</v>
      </c>
    </row>
    <row r="4606" spans="3:13" hidden="1" outlineLevel="1" x14ac:dyDescent="0.2">
      <c r="C4606" s="28">
        <f t="shared" si="40"/>
        <v>2.1171875</v>
      </c>
      <c r="D4606" s="28">
        <f t="shared" si="37"/>
        <v>271</v>
      </c>
      <c r="E4606" s="28">
        <f t="shared" si="38"/>
        <v>237.125</v>
      </c>
      <c r="F4606" s="28">
        <f t="shared" si="39"/>
        <v>182.40384615384616</v>
      </c>
      <c r="G4606" s="28">
        <f t="shared" si="41"/>
        <v>149.09360000000001</v>
      </c>
      <c r="H4606" s="28">
        <f t="shared" si="42"/>
        <v>162.34460000000001</v>
      </c>
      <c r="I4606" s="28">
        <f t="shared" si="43"/>
        <v>168.3466</v>
      </c>
      <c r="J4606" s="28">
        <f t="shared" si="44"/>
        <v>172.75280000000001</v>
      </c>
      <c r="K4606" s="28">
        <f t="shared" si="45"/>
        <v>179.83160000000001</v>
      </c>
      <c r="M4606" s="241">
        <v>168.3466</v>
      </c>
    </row>
    <row r="4607" spans="3:13" hidden="1" outlineLevel="1" x14ac:dyDescent="0.2">
      <c r="C4607" s="28">
        <f t="shared" si="40"/>
        <v>2.125</v>
      </c>
      <c r="D4607" s="28">
        <f t="shared" si="37"/>
        <v>272</v>
      </c>
      <c r="E4607" s="28">
        <f t="shared" si="38"/>
        <v>238</v>
      </c>
      <c r="F4607" s="28">
        <f t="shared" si="39"/>
        <v>183.07692307692307</v>
      </c>
      <c r="G4607" s="28">
        <f t="shared" si="41"/>
        <v>150.0095</v>
      </c>
      <c r="H4607" s="28">
        <f t="shared" si="42"/>
        <v>163.30950000000001</v>
      </c>
      <c r="I4607" s="28">
        <f t="shared" si="43"/>
        <v>169.33510000000001</v>
      </c>
      <c r="J4607" s="28">
        <f t="shared" si="44"/>
        <v>173.75919999999999</v>
      </c>
      <c r="K4607" s="28">
        <f t="shared" si="45"/>
        <v>180.86859999999999</v>
      </c>
      <c r="M4607" s="241">
        <v>169.33510000000001</v>
      </c>
    </row>
    <row r="4608" spans="3:13" hidden="1" outlineLevel="1" x14ac:dyDescent="0.2">
      <c r="C4608" s="28">
        <f t="shared" si="40"/>
        <v>2.1328125</v>
      </c>
      <c r="D4608" s="28">
        <f t="shared" si="37"/>
        <v>273</v>
      </c>
      <c r="E4608" s="28">
        <f t="shared" si="38"/>
        <v>238.875</v>
      </c>
      <c r="F4608" s="28">
        <f t="shared" si="39"/>
        <v>183.75</v>
      </c>
      <c r="G4608" s="28">
        <f t="shared" si="41"/>
        <v>150.0095</v>
      </c>
      <c r="H4608" s="28">
        <f t="shared" si="42"/>
        <v>163.30950000000001</v>
      </c>
      <c r="I4608" s="28">
        <f t="shared" si="43"/>
        <v>169.33510000000001</v>
      </c>
      <c r="J4608" s="28">
        <f t="shared" si="44"/>
        <v>173.75919999999999</v>
      </c>
      <c r="K4608" s="28">
        <f t="shared" si="45"/>
        <v>180.86859999999999</v>
      </c>
      <c r="M4608" s="241">
        <v>169.33510000000001</v>
      </c>
    </row>
    <row r="4609" spans="3:13" hidden="1" outlineLevel="1" x14ac:dyDescent="0.2">
      <c r="C4609" s="28">
        <f t="shared" si="40"/>
        <v>2.140625</v>
      </c>
      <c r="D4609" s="28">
        <f t="shared" si="37"/>
        <v>274</v>
      </c>
      <c r="E4609" s="28">
        <f t="shared" si="38"/>
        <v>239.75</v>
      </c>
      <c r="F4609" s="28">
        <f t="shared" si="39"/>
        <v>184.42307692307691</v>
      </c>
      <c r="G4609" s="28">
        <f t="shared" si="41"/>
        <v>150.92609999999999</v>
      </c>
      <c r="H4609" s="28">
        <f t="shared" si="42"/>
        <v>164.27459999999999</v>
      </c>
      <c r="I4609" s="28">
        <f t="shared" si="43"/>
        <v>170.3236</v>
      </c>
      <c r="J4609" s="28">
        <f t="shared" si="44"/>
        <v>174.76589999999999</v>
      </c>
      <c r="K4609" s="28">
        <f t="shared" si="45"/>
        <v>181.90520000000001</v>
      </c>
      <c r="M4609" s="241">
        <v>170.3236</v>
      </c>
    </row>
    <row r="4610" spans="3:13" hidden="1" outlineLevel="1" x14ac:dyDescent="0.2">
      <c r="C4610" s="28">
        <f t="shared" si="40"/>
        <v>2.1484375</v>
      </c>
      <c r="D4610" s="28">
        <f t="shared" si="37"/>
        <v>275</v>
      </c>
      <c r="E4610" s="28">
        <f t="shared" si="38"/>
        <v>240.625</v>
      </c>
      <c r="F4610" s="28">
        <f t="shared" si="39"/>
        <v>185.09615384615384</v>
      </c>
      <c r="G4610" s="28">
        <f t="shared" si="41"/>
        <v>151.84270000000001</v>
      </c>
      <c r="H4610" s="28">
        <f t="shared" si="42"/>
        <v>165.2397</v>
      </c>
      <c r="I4610" s="28">
        <f t="shared" si="43"/>
        <v>171.31209999999999</v>
      </c>
      <c r="J4610" s="28">
        <f t="shared" si="44"/>
        <v>175.77250000000001</v>
      </c>
      <c r="K4610" s="28">
        <f t="shared" si="45"/>
        <v>182.9425</v>
      </c>
      <c r="M4610" s="241">
        <v>171.31209999999999</v>
      </c>
    </row>
    <row r="4611" spans="3:13" hidden="1" outlineLevel="1" x14ac:dyDescent="0.2">
      <c r="C4611" s="28">
        <f t="shared" si="40"/>
        <v>2.15625</v>
      </c>
      <c r="D4611" s="28">
        <f t="shared" si="37"/>
        <v>276</v>
      </c>
      <c r="E4611" s="28">
        <f t="shared" si="38"/>
        <v>241.5</v>
      </c>
      <c r="F4611" s="28">
        <f t="shared" si="39"/>
        <v>185.76923076923077</v>
      </c>
      <c r="G4611" s="28">
        <f t="shared" si="41"/>
        <v>151.84270000000001</v>
      </c>
      <c r="H4611" s="28">
        <f t="shared" si="42"/>
        <v>165.2397</v>
      </c>
      <c r="I4611" s="28">
        <f t="shared" si="43"/>
        <v>171.31209999999999</v>
      </c>
      <c r="J4611" s="28">
        <f t="shared" si="44"/>
        <v>175.77250000000001</v>
      </c>
      <c r="K4611" s="28">
        <f t="shared" si="45"/>
        <v>182.9425</v>
      </c>
      <c r="M4611" s="241">
        <v>171.31209999999999</v>
      </c>
    </row>
    <row r="4612" spans="3:13" hidden="1" outlineLevel="1" x14ac:dyDescent="0.2">
      <c r="C4612" s="28">
        <f t="shared" si="40"/>
        <v>2.1640625</v>
      </c>
      <c r="D4612" s="28">
        <f t="shared" si="37"/>
        <v>277</v>
      </c>
      <c r="E4612" s="28">
        <f t="shared" si="38"/>
        <v>242.375</v>
      </c>
      <c r="F4612" s="28">
        <f t="shared" si="39"/>
        <v>186.44230769230768</v>
      </c>
      <c r="G4612" s="28">
        <f t="shared" si="41"/>
        <v>152.75960000000001</v>
      </c>
      <c r="H4612" s="28">
        <f t="shared" si="42"/>
        <v>166.20529999999999</v>
      </c>
      <c r="I4612" s="28">
        <f t="shared" si="43"/>
        <v>172.30090000000001</v>
      </c>
      <c r="J4612" s="28">
        <f t="shared" si="44"/>
        <v>176.77940000000001</v>
      </c>
      <c r="K4612" s="28">
        <f t="shared" si="45"/>
        <v>183.9796</v>
      </c>
      <c r="M4612" s="241">
        <v>172.30090000000001</v>
      </c>
    </row>
    <row r="4613" spans="3:13" hidden="1" outlineLevel="1" x14ac:dyDescent="0.2">
      <c r="C4613" s="28">
        <f t="shared" si="40"/>
        <v>2.171875</v>
      </c>
      <c r="D4613" s="28">
        <f t="shared" si="37"/>
        <v>278</v>
      </c>
      <c r="E4613" s="28">
        <f t="shared" si="38"/>
        <v>243.25</v>
      </c>
      <c r="F4613" s="28">
        <f t="shared" si="39"/>
        <v>187.11538461538461</v>
      </c>
      <c r="G4613" s="28">
        <f t="shared" si="41"/>
        <v>153.67679999999999</v>
      </c>
      <c r="H4613" s="28">
        <f t="shared" si="42"/>
        <v>167.1705</v>
      </c>
      <c r="I4613" s="28">
        <f t="shared" si="43"/>
        <v>173.29</v>
      </c>
      <c r="J4613" s="28">
        <f t="shared" si="44"/>
        <v>177.78620000000001</v>
      </c>
      <c r="K4613" s="28">
        <f t="shared" si="45"/>
        <v>185.01650000000001</v>
      </c>
      <c r="M4613" s="241">
        <v>173.29</v>
      </c>
    </row>
    <row r="4614" spans="3:13" hidden="1" outlineLevel="1" x14ac:dyDescent="0.2">
      <c r="C4614" s="28">
        <f t="shared" si="40"/>
        <v>2.1796875</v>
      </c>
      <c r="D4614" s="28">
        <f t="shared" si="37"/>
        <v>279</v>
      </c>
      <c r="E4614" s="28">
        <f t="shared" si="38"/>
        <v>244.125</v>
      </c>
      <c r="F4614" s="28">
        <f t="shared" si="39"/>
        <v>187.78846153846152</v>
      </c>
      <c r="G4614" s="28">
        <f t="shared" si="41"/>
        <v>153.67679999999999</v>
      </c>
      <c r="H4614" s="28">
        <f t="shared" si="42"/>
        <v>167.1705</v>
      </c>
      <c r="I4614" s="28">
        <f t="shared" si="43"/>
        <v>173.29</v>
      </c>
      <c r="J4614" s="28">
        <f t="shared" si="44"/>
        <v>177.78620000000001</v>
      </c>
      <c r="K4614" s="28">
        <f t="shared" si="45"/>
        <v>185.01650000000001</v>
      </c>
      <c r="M4614" s="241">
        <v>173.29</v>
      </c>
    </row>
    <row r="4615" spans="3:13" hidden="1" outlineLevel="1" x14ac:dyDescent="0.2">
      <c r="C4615" s="28">
        <f t="shared" si="40"/>
        <v>2.1875</v>
      </c>
      <c r="D4615" s="28">
        <f t="shared" si="37"/>
        <v>280</v>
      </c>
      <c r="E4615" s="28">
        <f t="shared" si="38"/>
        <v>245</v>
      </c>
      <c r="F4615" s="28">
        <f t="shared" si="39"/>
        <v>188.46153846153845</v>
      </c>
      <c r="G4615" s="28">
        <f t="shared" si="41"/>
        <v>154.59440000000001</v>
      </c>
      <c r="H4615" s="28">
        <f t="shared" si="42"/>
        <v>168.13659999999999</v>
      </c>
      <c r="I4615" s="28">
        <f t="shared" si="43"/>
        <v>174.2791</v>
      </c>
      <c r="J4615" s="28">
        <f t="shared" si="44"/>
        <v>178.79320000000001</v>
      </c>
      <c r="K4615" s="28">
        <f t="shared" si="45"/>
        <v>186.054</v>
      </c>
      <c r="M4615" s="241">
        <v>174.2791</v>
      </c>
    </row>
    <row r="4616" spans="3:13" hidden="1" outlineLevel="1" x14ac:dyDescent="0.2">
      <c r="C4616" s="28">
        <f t="shared" si="40"/>
        <v>2.1953125</v>
      </c>
      <c r="D4616" s="28">
        <f t="shared" si="37"/>
        <v>281</v>
      </c>
      <c r="E4616" s="28">
        <f t="shared" si="38"/>
        <v>245.875</v>
      </c>
      <c r="F4616" s="28">
        <f t="shared" si="39"/>
        <v>189.13461538461539</v>
      </c>
      <c r="G4616" s="28">
        <f t="shared" si="41"/>
        <v>155.51179999999999</v>
      </c>
      <c r="H4616" s="28">
        <f t="shared" si="42"/>
        <v>169.10230000000001</v>
      </c>
      <c r="I4616" s="28">
        <f t="shared" si="43"/>
        <v>175.2681</v>
      </c>
      <c r="J4616" s="28">
        <f t="shared" si="44"/>
        <v>179.8005</v>
      </c>
      <c r="K4616" s="28">
        <f t="shared" si="45"/>
        <v>187.09119999999999</v>
      </c>
      <c r="M4616" s="241">
        <v>175.2681</v>
      </c>
    </row>
    <row r="4617" spans="3:13" hidden="1" outlineLevel="1" x14ac:dyDescent="0.2">
      <c r="C4617" s="28">
        <f t="shared" si="40"/>
        <v>2.203125</v>
      </c>
      <c r="D4617" s="28">
        <f t="shared" si="37"/>
        <v>282</v>
      </c>
      <c r="E4617" s="28">
        <f t="shared" si="38"/>
        <v>246.75</v>
      </c>
      <c r="F4617" s="28">
        <f t="shared" si="39"/>
        <v>189.80769230769229</v>
      </c>
      <c r="G4617" s="28">
        <f t="shared" si="41"/>
        <v>155.51179999999999</v>
      </c>
      <c r="H4617" s="28">
        <f t="shared" si="42"/>
        <v>169.10230000000001</v>
      </c>
      <c r="I4617" s="28">
        <f t="shared" si="43"/>
        <v>175.2681</v>
      </c>
      <c r="J4617" s="28">
        <f t="shared" si="44"/>
        <v>179.8005</v>
      </c>
      <c r="K4617" s="28">
        <f t="shared" si="45"/>
        <v>187.09119999999999</v>
      </c>
      <c r="M4617" s="241">
        <v>175.2681</v>
      </c>
    </row>
    <row r="4618" spans="3:13" hidden="1" outlineLevel="1" x14ac:dyDescent="0.2">
      <c r="C4618" s="28">
        <f t="shared" si="40"/>
        <v>2.2109375</v>
      </c>
      <c r="D4618" s="28">
        <f t="shared" si="37"/>
        <v>283</v>
      </c>
      <c r="E4618" s="28">
        <f t="shared" si="38"/>
        <v>247.625</v>
      </c>
      <c r="F4618" s="28">
        <f t="shared" si="39"/>
        <v>190.48076923076923</v>
      </c>
      <c r="G4618" s="28">
        <f t="shared" si="41"/>
        <v>156.43</v>
      </c>
      <c r="H4618" s="28">
        <f t="shared" si="42"/>
        <v>170.0684</v>
      </c>
      <c r="I4618" s="28">
        <f t="shared" si="43"/>
        <v>176.25739999999999</v>
      </c>
      <c r="J4618" s="28">
        <f t="shared" si="44"/>
        <v>180.80760000000001</v>
      </c>
      <c r="K4618" s="28">
        <f t="shared" si="45"/>
        <v>188.12889999999999</v>
      </c>
      <c r="M4618" s="241">
        <v>176.25739999999999</v>
      </c>
    </row>
    <row r="4619" spans="3:13" hidden="1" outlineLevel="1" x14ac:dyDescent="0.2">
      <c r="C4619" s="28">
        <f t="shared" si="40"/>
        <v>2.21875</v>
      </c>
      <c r="D4619" s="28">
        <f t="shared" si="37"/>
        <v>284</v>
      </c>
      <c r="E4619" s="28">
        <f t="shared" si="38"/>
        <v>248.5</v>
      </c>
      <c r="F4619" s="28">
        <f t="shared" si="39"/>
        <v>191.15384615384616</v>
      </c>
      <c r="G4619" s="28">
        <f t="shared" si="41"/>
        <v>157.3484</v>
      </c>
      <c r="H4619" s="28">
        <f t="shared" si="42"/>
        <v>171.03450000000001</v>
      </c>
      <c r="I4619" s="28">
        <f t="shared" si="43"/>
        <v>177.24700000000001</v>
      </c>
      <c r="J4619" s="28">
        <f t="shared" si="44"/>
        <v>181.815</v>
      </c>
      <c r="K4619" s="28">
        <f t="shared" si="45"/>
        <v>189.16650000000001</v>
      </c>
      <c r="M4619" s="241">
        <v>177.24700000000001</v>
      </c>
    </row>
    <row r="4620" spans="3:13" hidden="1" outlineLevel="1" x14ac:dyDescent="0.2">
      <c r="C4620" s="28">
        <f t="shared" si="40"/>
        <v>2.2265625</v>
      </c>
      <c r="D4620" s="28">
        <f t="shared" si="37"/>
        <v>285</v>
      </c>
      <c r="E4620" s="28">
        <f t="shared" si="38"/>
        <v>249.375</v>
      </c>
      <c r="F4620" s="28">
        <f t="shared" si="39"/>
        <v>191.82692307692307</v>
      </c>
      <c r="G4620" s="28">
        <f t="shared" si="41"/>
        <v>157.3484</v>
      </c>
      <c r="H4620" s="28">
        <f t="shared" si="42"/>
        <v>171.03450000000001</v>
      </c>
      <c r="I4620" s="28">
        <f t="shared" si="43"/>
        <v>177.24700000000001</v>
      </c>
      <c r="J4620" s="28">
        <f t="shared" si="44"/>
        <v>181.815</v>
      </c>
      <c r="K4620" s="28">
        <f t="shared" si="45"/>
        <v>189.16650000000001</v>
      </c>
      <c r="M4620" s="241">
        <v>177.24700000000001</v>
      </c>
    </row>
    <row r="4621" spans="3:13" hidden="1" outlineLevel="1" x14ac:dyDescent="0.2">
      <c r="C4621" s="28">
        <f t="shared" si="40"/>
        <v>2.234375</v>
      </c>
      <c r="D4621" s="28">
        <f t="shared" si="37"/>
        <v>286</v>
      </c>
      <c r="E4621" s="28">
        <f t="shared" si="38"/>
        <v>250.25</v>
      </c>
      <c r="F4621" s="28">
        <f t="shared" si="39"/>
        <v>192.5</v>
      </c>
      <c r="G4621" s="28">
        <f t="shared" si="41"/>
        <v>158.26669999999999</v>
      </c>
      <c r="H4621" s="28">
        <f t="shared" si="42"/>
        <v>172.001</v>
      </c>
      <c r="I4621" s="28">
        <f t="shared" si="43"/>
        <v>178.23650000000001</v>
      </c>
      <c r="J4621" s="28">
        <f t="shared" si="44"/>
        <v>182.82239999999999</v>
      </c>
      <c r="K4621" s="28">
        <f t="shared" si="45"/>
        <v>190.2037</v>
      </c>
      <c r="M4621" s="241">
        <v>178.23650000000001</v>
      </c>
    </row>
    <row r="4622" spans="3:13" hidden="1" outlineLevel="1" x14ac:dyDescent="0.2">
      <c r="C4622" s="28">
        <f t="shared" si="40"/>
        <v>2.2421875</v>
      </c>
      <c r="D4622" s="28">
        <f t="shared" si="37"/>
        <v>287</v>
      </c>
      <c r="E4622" s="28">
        <f t="shared" si="38"/>
        <v>251.125</v>
      </c>
      <c r="F4622" s="28">
        <f t="shared" si="39"/>
        <v>193.17307692307691</v>
      </c>
      <c r="G4622" s="28">
        <f t="shared" si="41"/>
        <v>159.18559999999999</v>
      </c>
      <c r="H4622" s="28">
        <f t="shared" si="42"/>
        <v>172.9676</v>
      </c>
      <c r="I4622" s="28">
        <f t="shared" si="43"/>
        <v>179.22630000000001</v>
      </c>
      <c r="J4622" s="28">
        <f t="shared" si="44"/>
        <v>183.82980000000001</v>
      </c>
      <c r="K4622" s="28">
        <f t="shared" si="45"/>
        <v>191.2415</v>
      </c>
      <c r="M4622" s="241">
        <v>179.22630000000001</v>
      </c>
    </row>
    <row r="4623" spans="3:13" hidden="1" outlineLevel="1" x14ac:dyDescent="0.2">
      <c r="C4623" s="28">
        <f t="shared" si="40"/>
        <v>2.25</v>
      </c>
      <c r="D4623" s="28">
        <f t="shared" si="37"/>
        <v>288</v>
      </c>
      <c r="E4623" s="28">
        <f t="shared" si="38"/>
        <v>252</v>
      </c>
      <c r="F4623" s="28">
        <f t="shared" si="39"/>
        <v>193.84615384615384</v>
      </c>
      <c r="G4623" s="28">
        <f t="shared" si="41"/>
        <v>159.18559999999999</v>
      </c>
      <c r="H4623" s="28">
        <f t="shared" si="42"/>
        <v>172.9676</v>
      </c>
      <c r="I4623" s="28">
        <f t="shared" si="43"/>
        <v>179.22630000000001</v>
      </c>
      <c r="J4623" s="28">
        <f t="shared" si="44"/>
        <v>183.82980000000001</v>
      </c>
      <c r="K4623" s="28">
        <f t="shared" si="45"/>
        <v>191.2415</v>
      </c>
      <c r="M4623" s="241">
        <v>179.22630000000001</v>
      </c>
    </row>
    <row r="4624" spans="3:13" hidden="1" outlineLevel="1" x14ac:dyDescent="0.2">
      <c r="C4624" s="28">
        <f t="shared" si="40"/>
        <v>2.2578125</v>
      </c>
      <c r="D4624" s="28">
        <f t="shared" si="37"/>
        <v>289</v>
      </c>
      <c r="E4624" s="28">
        <f t="shared" si="38"/>
        <v>252.875</v>
      </c>
      <c r="F4624" s="28">
        <f t="shared" si="39"/>
        <v>194.51923076923077</v>
      </c>
      <c r="G4624" s="28">
        <f t="shared" si="41"/>
        <v>160.1044</v>
      </c>
      <c r="H4624" s="28">
        <f t="shared" si="42"/>
        <v>173.93440000000001</v>
      </c>
      <c r="I4624" s="28">
        <f t="shared" si="43"/>
        <v>180.21639999999999</v>
      </c>
      <c r="J4624" s="28">
        <f t="shared" si="44"/>
        <v>184.83779999999999</v>
      </c>
      <c r="K4624" s="28">
        <f t="shared" si="45"/>
        <v>192.279</v>
      </c>
      <c r="M4624" s="241">
        <v>180.21639999999999</v>
      </c>
    </row>
    <row r="4625" spans="3:13" hidden="1" outlineLevel="1" x14ac:dyDescent="0.2">
      <c r="C4625" s="28">
        <f t="shared" si="40"/>
        <v>2.265625</v>
      </c>
      <c r="D4625" s="28">
        <f t="shared" si="37"/>
        <v>290</v>
      </c>
      <c r="E4625" s="28">
        <f t="shared" si="38"/>
        <v>253.75</v>
      </c>
      <c r="F4625" s="28">
        <f t="shared" si="39"/>
        <v>195.19230769230768</v>
      </c>
      <c r="G4625" s="28">
        <f t="shared" si="41"/>
        <v>161.02369999999999</v>
      </c>
      <c r="H4625" s="28">
        <f t="shared" si="42"/>
        <v>174.90129999999999</v>
      </c>
      <c r="I4625" s="28">
        <f t="shared" si="43"/>
        <v>181.2063</v>
      </c>
      <c r="J4625" s="28">
        <f t="shared" si="44"/>
        <v>185.84559999999999</v>
      </c>
      <c r="K4625" s="28">
        <f t="shared" si="45"/>
        <v>193.31700000000001</v>
      </c>
      <c r="M4625" s="241">
        <v>181.2063</v>
      </c>
    </row>
    <row r="4626" spans="3:13" hidden="1" outlineLevel="1" x14ac:dyDescent="0.2">
      <c r="C4626" s="28">
        <f t="shared" si="40"/>
        <v>2.2734375</v>
      </c>
      <c r="D4626" s="28">
        <f t="shared" si="37"/>
        <v>291</v>
      </c>
      <c r="E4626" s="28">
        <f t="shared" si="38"/>
        <v>254.625</v>
      </c>
      <c r="F4626" s="28">
        <f t="shared" si="39"/>
        <v>195.86538461538461</v>
      </c>
      <c r="G4626" s="28">
        <f t="shared" si="41"/>
        <v>161.02369999999999</v>
      </c>
      <c r="H4626" s="28">
        <f t="shared" si="42"/>
        <v>174.90129999999999</v>
      </c>
      <c r="I4626" s="28">
        <f t="shared" si="43"/>
        <v>181.2063</v>
      </c>
      <c r="J4626" s="28">
        <f t="shared" si="44"/>
        <v>185.84559999999999</v>
      </c>
      <c r="K4626" s="28">
        <f t="shared" si="45"/>
        <v>193.31700000000001</v>
      </c>
      <c r="M4626" s="241">
        <v>181.2063</v>
      </c>
    </row>
    <row r="4627" spans="3:13" hidden="1" outlineLevel="1" x14ac:dyDescent="0.2">
      <c r="C4627" s="28">
        <f t="shared" si="40"/>
        <v>2.28125</v>
      </c>
      <c r="D4627" s="28">
        <f t="shared" si="37"/>
        <v>292</v>
      </c>
      <c r="E4627" s="28">
        <f t="shared" si="38"/>
        <v>255.5</v>
      </c>
      <c r="F4627" s="28">
        <f t="shared" si="39"/>
        <v>196.53846153846152</v>
      </c>
      <c r="G4627" s="28">
        <f t="shared" si="41"/>
        <v>161.94329999999999</v>
      </c>
      <c r="H4627" s="28">
        <f t="shared" si="42"/>
        <v>175.8681</v>
      </c>
      <c r="I4627" s="28">
        <f t="shared" si="43"/>
        <v>182.19649999999999</v>
      </c>
      <c r="J4627" s="28">
        <f t="shared" si="44"/>
        <v>186.85319999999999</v>
      </c>
      <c r="K4627" s="28">
        <f t="shared" si="45"/>
        <v>194.35470000000001</v>
      </c>
      <c r="M4627" s="241">
        <v>182.19649999999999</v>
      </c>
    </row>
    <row r="4628" spans="3:13" hidden="1" outlineLevel="1" x14ac:dyDescent="0.2">
      <c r="C4628" s="28">
        <f t="shared" si="40"/>
        <v>2.2890625</v>
      </c>
      <c r="D4628" s="28">
        <f t="shared" si="37"/>
        <v>293</v>
      </c>
      <c r="E4628" s="28">
        <f t="shared" si="38"/>
        <v>256.375</v>
      </c>
      <c r="F4628" s="28">
        <f t="shared" si="39"/>
        <v>197.21153846153845</v>
      </c>
      <c r="G4628" s="28">
        <f t="shared" si="41"/>
        <v>162.8631</v>
      </c>
      <c r="H4628" s="28">
        <f t="shared" si="42"/>
        <v>176.83529999999999</v>
      </c>
      <c r="I4628" s="28">
        <f t="shared" si="43"/>
        <v>184.17670000000001</v>
      </c>
      <c r="J4628" s="28">
        <f t="shared" si="44"/>
        <v>187.8614</v>
      </c>
      <c r="K4628" s="28">
        <f t="shared" si="45"/>
        <v>195.3929</v>
      </c>
      <c r="M4628" s="241">
        <v>184.17670000000001</v>
      </c>
    </row>
    <row r="4629" spans="3:13" hidden="1" outlineLevel="1" x14ac:dyDescent="0.2">
      <c r="C4629" s="28">
        <f t="shared" si="40"/>
        <v>2.296875</v>
      </c>
      <c r="D4629" s="28">
        <f t="shared" si="37"/>
        <v>294</v>
      </c>
      <c r="E4629" s="28">
        <f t="shared" si="38"/>
        <v>257.25</v>
      </c>
      <c r="F4629" s="28">
        <f t="shared" si="39"/>
        <v>197.88461538461539</v>
      </c>
      <c r="G4629" s="28">
        <f t="shared" si="41"/>
        <v>162.8631</v>
      </c>
      <c r="H4629" s="28">
        <f t="shared" si="42"/>
        <v>176.83529999999999</v>
      </c>
      <c r="I4629" s="28">
        <f t="shared" si="43"/>
        <v>184.17670000000001</v>
      </c>
      <c r="J4629" s="28">
        <f t="shared" si="44"/>
        <v>187.8614</v>
      </c>
      <c r="K4629" s="28">
        <f t="shared" si="45"/>
        <v>195.3929</v>
      </c>
      <c r="M4629" s="241">
        <v>184.17670000000001</v>
      </c>
    </row>
    <row r="4630" spans="3:13" hidden="1" outlineLevel="1" x14ac:dyDescent="0.2">
      <c r="C4630" s="28">
        <f t="shared" si="40"/>
        <v>2.3046875</v>
      </c>
      <c r="D4630" s="28">
        <f t="shared" si="37"/>
        <v>295</v>
      </c>
      <c r="E4630" s="28">
        <f t="shared" si="38"/>
        <v>258.125</v>
      </c>
      <c r="F4630" s="28">
        <f t="shared" si="39"/>
        <v>198.55769230769229</v>
      </c>
      <c r="G4630" s="28">
        <f t="shared" si="41"/>
        <v>163.78309999999999</v>
      </c>
      <c r="H4630" s="28">
        <f t="shared" si="42"/>
        <v>177.80279999999999</v>
      </c>
      <c r="I4630" s="28">
        <f t="shared" si="43"/>
        <v>184.17670000000001</v>
      </c>
      <c r="J4630" s="28">
        <f t="shared" si="44"/>
        <v>188.86940000000001</v>
      </c>
      <c r="K4630" s="28">
        <f t="shared" si="45"/>
        <v>196.4308</v>
      </c>
      <c r="M4630" s="241">
        <v>184.17670000000001</v>
      </c>
    </row>
    <row r="4631" spans="3:13" hidden="1" outlineLevel="1" x14ac:dyDescent="0.2">
      <c r="C4631" s="28">
        <f t="shared" si="40"/>
        <v>2.3125</v>
      </c>
      <c r="D4631" s="28">
        <f t="shared" si="37"/>
        <v>296</v>
      </c>
      <c r="E4631" s="28">
        <f t="shared" si="38"/>
        <v>259</v>
      </c>
      <c r="F4631" s="28">
        <f t="shared" si="39"/>
        <v>199.23076923076923</v>
      </c>
      <c r="G4631" s="28">
        <f t="shared" si="41"/>
        <v>164.70330000000001</v>
      </c>
      <c r="H4631" s="28">
        <f t="shared" si="42"/>
        <v>178.77029999999999</v>
      </c>
      <c r="I4631" s="28">
        <f t="shared" si="43"/>
        <v>185.16759999999999</v>
      </c>
      <c r="J4631" s="28">
        <f t="shared" si="44"/>
        <v>189.87719999999999</v>
      </c>
      <c r="K4631" s="28">
        <f t="shared" si="45"/>
        <v>197.4692</v>
      </c>
      <c r="M4631" s="241">
        <v>185.16759999999999</v>
      </c>
    </row>
    <row r="4632" spans="3:13" hidden="1" outlineLevel="1" x14ac:dyDescent="0.2">
      <c r="C4632" s="28">
        <f t="shared" si="40"/>
        <v>2.3203125</v>
      </c>
      <c r="D4632" s="28">
        <f t="shared" si="37"/>
        <v>297</v>
      </c>
      <c r="E4632" s="28">
        <f t="shared" si="38"/>
        <v>259.875</v>
      </c>
      <c r="F4632" s="28">
        <f t="shared" si="39"/>
        <v>199.90384615384616</v>
      </c>
      <c r="G4632" s="28">
        <f t="shared" si="41"/>
        <v>164.70330000000001</v>
      </c>
      <c r="H4632" s="28">
        <f t="shared" si="42"/>
        <v>178.77029999999999</v>
      </c>
      <c r="I4632" s="28">
        <f t="shared" si="43"/>
        <v>185.16759999999999</v>
      </c>
      <c r="J4632" s="28">
        <f t="shared" si="44"/>
        <v>189.87719999999999</v>
      </c>
      <c r="K4632" s="28">
        <f t="shared" si="45"/>
        <v>197.4692</v>
      </c>
      <c r="M4632" s="241">
        <v>185.16759999999999</v>
      </c>
    </row>
    <row r="4633" spans="3:13" hidden="1" outlineLevel="1" x14ac:dyDescent="0.2">
      <c r="C4633" s="28">
        <f t="shared" si="40"/>
        <v>2.328125</v>
      </c>
      <c r="D4633" s="28">
        <f t="shared" si="37"/>
        <v>298</v>
      </c>
      <c r="E4633" s="28">
        <f t="shared" si="38"/>
        <v>260.75</v>
      </c>
      <c r="F4633" s="28">
        <f t="shared" si="39"/>
        <v>200.57692307692307</v>
      </c>
      <c r="G4633" s="28">
        <f t="shared" si="41"/>
        <v>165.624</v>
      </c>
      <c r="H4633" s="28">
        <f t="shared" si="42"/>
        <v>179.738</v>
      </c>
      <c r="I4633" s="28">
        <f t="shared" si="43"/>
        <v>186.1584</v>
      </c>
      <c r="J4633" s="28">
        <f t="shared" si="44"/>
        <v>190.88550000000001</v>
      </c>
      <c r="K4633" s="28">
        <f t="shared" si="45"/>
        <v>198.50729999999999</v>
      </c>
      <c r="M4633" s="241">
        <v>186.1584</v>
      </c>
    </row>
    <row r="4634" spans="3:13" hidden="1" outlineLevel="1" x14ac:dyDescent="0.2">
      <c r="C4634" s="28">
        <f t="shared" si="40"/>
        <v>2.3359375</v>
      </c>
      <c r="D4634" s="28">
        <f t="shared" si="37"/>
        <v>299</v>
      </c>
      <c r="E4634" s="28">
        <f t="shared" si="38"/>
        <v>261.625</v>
      </c>
      <c r="F4634" s="28">
        <f t="shared" si="39"/>
        <v>201.25</v>
      </c>
      <c r="G4634" s="28">
        <f t="shared" si="41"/>
        <v>166.5446</v>
      </c>
      <c r="H4634" s="28">
        <f t="shared" si="42"/>
        <v>180.70570000000001</v>
      </c>
      <c r="I4634" s="28">
        <f t="shared" si="43"/>
        <v>187.149</v>
      </c>
      <c r="J4634" s="28">
        <f t="shared" si="44"/>
        <v>191.89439999999999</v>
      </c>
      <c r="K4634" s="28">
        <f t="shared" si="45"/>
        <v>199.54589999999999</v>
      </c>
      <c r="M4634" s="241">
        <v>187.149</v>
      </c>
    </row>
    <row r="4635" spans="3:13" hidden="1" outlineLevel="1" x14ac:dyDescent="0.2">
      <c r="C4635" s="28">
        <f t="shared" si="40"/>
        <v>2.34375</v>
      </c>
      <c r="D4635" s="28">
        <f t="shared" si="37"/>
        <v>300</v>
      </c>
      <c r="E4635" s="28">
        <f t="shared" si="38"/>
        <v>262.5</v>
      </c>
      <c r="F4635" s="28">
        <f t="shared" si="39"/>
        <v>201.92307692307691</v>
      </c>
      <c r="G4635" s="28">
        <f t="shared" si="41"/>
        <v>166.5446</v>
      </c>
      <c r="H4635" s="28">
        <f t="shared" si="42"/>
        <v>180.70570000000001</v>
      </c>
      <c r="I4635" s="28">
        <f t="shared" si="43"/>
        <v>187.149</v>
      </c>
      <c r="J4635" s="28">
        <f t="shared" si="44"/>
        <v>191.89439999999999</v>
      </c>
      <c r="K4635" s="28">
        <f t="shared" si="45"/>
        <v>199.54589999999999</v>
      </c>
      <c r="M4635" s="241">
        <v>187.149</v>
      </c>
    </row>
    <row r="4636" spans="3:13" hidden="1" outlineLevel="1" x14ac:dyDescent="0.2">
      <c r="C4636" s="28">
        <f t="shared" si="40"/>
        <v>2.3515625</v>
      </c>
      <c r="D4636" s="28">
        <f t="shared" si="37"/>
        <v>301</v>
      </c>
      <c r="E4636" s="28">
        <f t="shared" si="38"/>
        <v>263.375</v>
      </c>
      <c r="F4636" s="28">
        <f t="shared" si="39"/>
        <v>202.59615384615384</v>
      </c>
      <c r="G4636" s="28">
        <f t="shared" si="41"/>
        <v>167.46559999999999</v>
      </c>
      <c r="H4636" s="28">
        <f t="shared" si="42"/>
        <v>181.6737</v>
      </c>
      <c r="I4636" s="28">
        <f t="shared" si="43"/>
        <v>188.14019999999999</v>
      </c>
      <c r="J4636" s="28">
        <f t="shared" si="44"/>
        <v>192.90299999999999</v>
      </c>
      <c r="K4636" s="28">
        <f t="shared" si="45"/>
        <v>200.58410000000001</v>
      </c>
      <c r="M4636" s="241">
        <v>188.14019999999999</v>
      </c>
    </row>
    <row r="4637" spans="3:13" hidden="1" outlineLevel="1" x14ac:dyDescent="0.2">
      <c r="C4637" s="28">
        <f t="shared" si="40"/>
        <v>2.359375</v>
      </c>
      <c r="D4637" s="28">
        <f t="shared" si="37"/>
        <v>302</v>
      </c>
      <c r="E4637" s="28">
        <f t="shared" si="38"/>
        <v>264.25</v>
      </c>
      <c r="F4637" s="28">
        <f t="shared" si="39"/>
        <v>203.26923076923077</v>
      </c>
      <c r="G4637" s="28">
        <f t="shared" si="41"/>
        <v>168.38679999999999</v>
      </c>
      <c r="H4637" s="28">
        <f t="shared" si="42"/>
        <v>182.64179999999999</v>
      </c>
      <c r="I4637" s="28">
        <f t="shared" si="43"/>
        <v>189.13120000000001</v>
      </c>
      <c r="J4637" s="28">
        <f t="shared" si="44"/>
        <v>193.91139999999999</v>
      </c>
      <c r="K4637" s="28">
        <f t="shared" si="45"/>
        <v>201.62280000000001</v>
      </c>
      <c r="M4637" s="241">
        <v>189.13120000000001</v>
      </c>
    </row>
    <row r="4638" spans="3:13" hidden="1" outlineLevel="1" x14ac:dyDescent="0.2">
      <c r="C4638" s="28">
        <f t="shared" si="40"/>
        <v>2.3671875</v>
      </c>
      <c r="D4638" s="28">
        <f t="shared" si="37"/>
        <v>303</v>
      </c>
      <c r="E4638" s="28">
        <f t="shared" si="38"/>
        <v>265.125</v>
      </c>
      <c r="F4638" s="28">
        <f t="shared" si="39"/>
        <v>203.94230769230768</v>
      </c>
      <c r="G4638" s="28">
        <f t="shared" si="41"/>
        <v>168.38679999999999</v>
      </c>
      <c r="H4638" s="28">
        <f t="shared" si="42"/>
        <v>182.64179999999999</v>
      </c>
      <c r="I4638" s="28">
        <f t="shared" si="43"/>
        <v>189.13120000000001</v>
      </c>
      <c r="J4638" s="28">
        <f t="shared" si="44"/>
        <v>193.91139999999999</v>
      </c>
      <c r="K4638" s="28">
        <f t="shared" si="45"/>
        <v>201.62280000000001</v>
      </c>
      <c r="M4638" s="241">
        <v>189.13120000000001</v>
      </c>
    </row>
    <row r="4639" spans="3:13" hidden="1" outlineLevel="1" x14ac:dyDescent="0.2">
      <c r="C4639" s="28">
        <f t="shared" si="40"/>
        <v>2.375</v>
      </c>
      <c r="D4639" s="28">
        <f t="shared" si="37"/>
        <v>304</v>
      </c>
      <c r="E4639" s="28">
        <f t="shared" si="38"/>
        <v>266</v>
      </c>
      <c r="F4639" s="28">
        <f t="shared" si="39"/>
        <v>204.61538461538461</v>
      </c>
      <c r="G4639" s="28">
        <f t="shared" si="41"/>
        <v>169.30850000000001</v>
      </c>
      <c r="H4639" s="28">
        <f t="shared" si="42"/>
        <v>183.61</v>
      </c>
      <c r="I4639" s="28">
        <f t="shared" si="43"/>
        <v>190.12200000000001</v>
      </c>
      <c r="J4639" s="28">
        <f t="shared" si="44"/>
        <v>194.9204</v>
      </c>
      <c r="K4639" s="28">
        <f t="shared" si="45"/>
        <v>202.6611</v>
      </c>
      <c r="M4639" s="241">
        <v>190.12200000000001</v>
      </c>
    </row>
    <row r="4640" spans="3:13" hidden="1" outlineLevel="1" x14ac:dyDescent="0.2">
      <c r="C4640" s="28">
        <f t="shared" si="40"/>
        <v>2.3828125</v>
      </c>
      <c r="D4640" s="28">
        <f t="shared" si="37"/>
        <v>305</v>
      </c>
      <c r="E4640" s="28">
        <f t="shared" si="38"/>
        <v>266.875</v>
      </c>
      <c r="F4640" s="28">
        <f t="shared" si="39"/>
        <v>205.28846153846152</v>
      </c>
      <c r="G4640" s="28">
        <f t="shared" si="41"/>
        <v>170.22989999999999</v>
      </c>
      <c r="H4640" s="28">
        <f t="shared" si="42"/>
        <v>184.5789</v>
      </c>
      <c r="I4640" s="28">
        <f t="shared" si="43"/>
        <v>191.11340000000001</v>
      </c>
      <c r="J4640" s="28">
        <f t="shared" si="44"/>
        <v>195.929</v>
      </c>
      <c r="K4640" s="28">
        <f t="shared" si="45"/>
        <v>203.69909999999999</v>
      </c>
      <c r="M4640" s="241">
        <v>191.11340000000001</v>
      </c>
    </row>
    <row r="4641" spans="3:13" hidden="1" outlineLevel="1" x14ac:dyDescent="0.2">
      <c r="C4641" s="28">
        <f t="shared" si="40"/>
        <v>2.390625</v>
      </c>
      <c r="D4641" s="28">
        <f t="shared" si="37"/>
        <v>306</v>
      </c>
      <c r="E4641" s="28">
        <f t="shared" si="38"/>
        <v>267.75</v>
      </c>
      <c r="F4641" s="28">
        <f t="shared" si="39"/>
        <v>205.96153846153845</v>
      </c>
      <c r="G4641" s="28">
        <f t="shared" si="41"/>
        <v>170.22989999999999</v>
      </c>
      <c r="H4641" s="28">
        <f t="shared" si="42"/>
        <v>184.5789</v>
      </c>
      <c r="I4641" s="28">
        <f t="shared" si="43"/>
        <v>191.11340000000001</v>
      </c>
      <c r="J4641" s="28">
        <f t="shared" si="44"/>
        <v>195.929</v>
      </c>
      <c r="K4641" s="28">
        <f t="shared" si="45"/>
        <v>203.69909999999999</v>
      </c>
      <c r="M4641" s="241">
        <v>191.11340000000001</v>
      </c>
    </row>
    <row r="4642" spans="3:13" hidden="1" outlineLevel="1" x14ac:dyDescent="0.2">
      <c r="C4642" s="28">
        <f t="shared" si="40"/>
        <v>2.3984375</v>
      </c>
      <c r="D4642" s="28">
        <f t="shared" si="37"/>
        <v>307</v>
      </c>
      <c r="E4642" s="28">
        <f t="shared" si="38"/>
        <v>268.625</v>
      </c>
      <c r="F4642" s="28">
        <f t="shared" si="39"/>
        <v>206.63461538461539</v>
      </c>
      <c r="G4642" s="28">
        <f t="shared" si="41"/>
        <v>171.15190000000001</v>
      </c>
      <c r="H4642" s="28">
        <f t="shared" si="42"/>
        <v>185.54769999999999</v>
      </c>
      <c r="I4642" s="28">
        <f t="shared" si="43"/>
        <v>192.1046</v>
      </c>
      <c r="J4642" s="28">
        <f t="shared" si="44"/>
        <v>196.9374</v>
      </c>
      <c r="K4642" s="28">
        <f t="shared" si="45"/>
        <v>204.73840000000001</v>
      </c>
      <c r="M4642" s="241">
        <v>192.1046</v>
      </c>
    </row>
    <row r="4643" spans="3:13" hidden="1" outlineLevel="1" x14ac:dyDescent="0.2">
      <c r="C4643" s="28">
        <f t="shared" si="40"/>
        <v>2.40625</v>
      </c>
      <c r="D4643" s="28">
        <f t="shared" si="37"/>
        <v>308</v>
      </c>
      <c r="E4643" s="28">
        <f t="shared" si="38"/>
        <v>269.5</v>
      </c>
      <c r="F4643" s="28">
        <f t="shared" si="39"/>
        <v>207.30769230769229</v>
      </c>
      <c r="G4643" s="28">
        <f t="shared" si="41"/>
        <v>172.07429999999999</v>
      </c>
      <c r="H4643" s="28">
        <f t="shared" si="42"/>
        <v>186.5163</v>
      </c>
      <c r="I4643" s="28">
        <f t="shared" si="43"/>
        <v>193.09639999999999</v>
      </c>
      <c r="J4643" s="28">
        <f t="shared" si="44"/>
        <v>197.94710000000001</v>
      </c>
      <c r="K4643" s="28">
        <f t="shared" si="45"/>
        <v>205.7764</v>
      </c>
      <c r="M4643" s="241">
        <v>193.09639999999999</v>
      </c>
    </row>
    <row r="4644" spans="3:13" hidden="1" outlineLevel="1" x14ac:dyDescent="0.2">
      <c r="C4644" s="28">
        <f t="shared" si="40"/>
        <v>2.4140625</v>
      </c>
      <c r="D4644" s="28">
        <f t="shared" si="37"/>
        <v>309</v>
      </c>
      <c r="E4644" s="28">
        <f t="shared" si="38"/>
        <v>270.375</v>
      </c>
      <c r="F4644" s="28">
        <f t="shared" si="39"/>
        <v>207.98076923076923</v>
      </c>
      <c r="G4644" s="28">
        <f t="shared" si="41"/>
        <v>172.07429999999999</v>
      </c>
      <c r="H4644" s="28">
        <f t="shared" si="42"/>
        <v>186.5163</v>
      </c>
      <c r="I4644" s="28">
        <f t="shared" si="43"/>
        <v>193.09639999999999</v>
      </c>
      <c r="J4644" s="28">
        <f t="shared" si="44"/>
        <v>197.94710000000001</v>
      </c>
      <c r="K4644" s="28">
        <f t="shared" si="45"/>
        <v>205.7764</v>
      </c>
      <c r="M4644" s="241">
        <v>193.09639999999999</v>
      </c>
    </row>
    <row r="4645" spans="3:13" hidden="1" outlineLevel="1" x14ac:dyDescent="0.2">
      <c r="C4645" s="28">
        <f t="shared" si="40"/>
        <v>2.421875</v>
      </c>
      <c r="D4645" s="28">
        <f t="shared" si="37"/>
        <v>310</v>
      </c>
      <c r="E4645" s="28">
        <f t="shared" si="38"/>
        <v>271.25</v>
      </c>
      <c r="F4645" s="28">
        <f t="shared" si="39"/>
        <v>208.65384615384616</v>
      </c>
      <c r="G4645" s="28">
        <f t="shared" si="41"/>
        <v>172.99639999999999</v>
      </c>
      <c r="H4645" s="28">
        <f t="shared" si="42"/>
        <v>187.48480000000001</v>
      </c>
      <c r="I4645" s="28">
        <f t="shared" si="43"/>
        <v>194.08789999999999</v>
      </c>
      <c r="J4645" s="28">
        <f t="shared" si="44"/>
        <v>198.95580000000001</v>
      </c>
      <c r="K4645" s="28">
        <f t="shared" si="45"/>
        <v>206.8158</v>
      </c>
      <c r="M4645" s="241">
        <v>194.08789999999999</v>
      </c>
    </row>
    <row r="4646" spans="3:13" hidden="1" outlineLevel="1" x14ac:dyDescent="0.2">
      <c r="C4646" s="28">
        <f t="shared" si="40"/>
        <v>2.4296875</v>
      </c>
      <c r="D4646" s="28">
        <f t="shared" si="37"/>
        <v>311</v>
      </c>
      <c r="E4646" s="28">
        <f t="shared" si="38"/>
        <v>272.125</v>
      </c>
      <c r="F4646" s="28">
        <f t="shared" si="39"/>
        <v>209.32692307692307</v>
      </c>
      <c r="G4646" s="28">
        <f t="shared" si="41"/>
        <v>173.91900000000001</v>
      </c>
      <c r="H4646" s="28">
        <f t="shared" si="42"/>
        <v>188.4539</v>
      </c>
      <c r="I4646" s="28">
        <f t="shared" si="43"/>
        <v>195.07919999999999</v>
      </c>
      <c r="J4646" s="28">
        <f t="shared" si="44"/>
        <v>199.9649</v>
      </c>
      <c r="K4646" s="28">
        <f t="shared" si="45"/>
        <v>207.85470000000001</v>
      </c>
      <c r="M4646" s="241">
        <v>195.07919999999999</v>
      </c>
    </row>
    <row r="4647" spans="3:13" hidden="1" outlineLevel="1" x14ac:dyDescent="0.2">
      <c r="C4647" s="28">
        <f t="shared" si="40"/>
        <v>2.4375</v>
      </c>
      <c r="D4647" s="28">
        <f t="shared" si="37"/>
        <v>312</v>
      </c>
      <c r="E4647" s="28">
        <f t="shared" si="38"/>
        <v>273</v>
      </c>
      <c r="F4647" s="28">
        <f t="shared" si="39"/>
        <v>210</v>
      </c>
      <c r="G4647" s="28">
        <f t="shared" si="41"/>
        <v>174.84209999999999</v>
      </c>
      <c r="H4647" s="28">
        <f t="shared" si="42"/>
        <v>189.4229</v>
      </c>
      <c r="I4647" s="28">
        <f t="shared" si="43"/>
        <v>196.0711</v>
      </c>
      <c r="J4647" s="28">
        <f t="shared" si="44"/>
        <v>200.97460000000001</v>
      </c>
      <c r="K4647" s="28">
        <f t="shared" si="45"/>
        <v>208.89330000000001</v>
      </c>
      <c r="M4647" s="241">
        <v>196.0711</v>
      </c>
    </row>
    <row r="4648" spans="3:13" hidden="1" outlineLevel="1" x14ac:dyDescent="0.2">
      <c r="C4648" s="28">
        <f t="shared" si="40"/>
        <v>2.4453125</v>
      </c>
      <c r="D4648" s="28">
        <f t="shared" si="37"/>
        <v>313</v>
      </c>
      <c r="E4648" s="28">
        <f t="shared" si="38"/>
        <v>273.875</v>
      </c>
      <c r="F4648" s="28">
        <f t="shared" si="39"/>
        <v>210.67307692307691</v>
      </c>
      <c r="G4648" s="28">
        <f t="shared" si="41"/>
        <v>174.84209999999999</v>
      </c>
      <c r="H4648" s="28">
        <f t="shared" si="42"/>
        <v>189.4229</v>
      </c>
      <c r="I4648" s="28">
        <f t="shared" si="43"/>
        <v>196.0711</v>
      </c>
      <c r="J4648" s="28">
        <f t="shared" si="44"/>
        <v>200.97460000000001</v>
      </c>
      <c r="K4648" s="28">
        <f t="shared" si="45"/>
        <v>208.89330000000001</v>
      </c>
      <c r="L4648" s="4"/>
      <c r="M4648" s="241">
        <v>196.0711</v>
      </c>
    </row>
    <row r="4649" spans="3:13" hidden="1" outlineLevel="1" x14ac:dyDescent="0.2">
      <c r="C4649" s="28">
        <f t="shared" si="40"/>
        <v>2.453125</v>
      </c>
      <c r="D4649" s="28">
        <f t="shared" si="37"/>
        <v>314</v>
      </c>
      <c r="E4649" s="28">
        <f t="shared" si="38"/>
        <v>274.75</v>
      </c>
      <c r="F4649" s="28">
        <f t="shared" si="39"/>
        <v>211.34615384615384</v>
      </c>
      <c r="G4649" s="28">
        <f t="shared" si="41"/>
        <v>175.76480000000001</v>
      </c>
      <c r="H4649" s="28">
        <f t="shared" si="42"/>
        <v>190.39250000000001</v>
      </c>
      <c r="I4649" s="28">
        <f t="shared" si="43"/>
        <v>197.06270000000001</v>
      </c>
      <c r="J4649" s="28">
        <f t="shared" si="44"/>
        <v>201.98390000000001</v>
      </c>
      <c r="K4649" s="28">
        <f t="shared" si="45"/>
        <v>209.9323</v>
      </c>
      <c r="L4649" s="4"/>
      <c r="M4649" s="241">
        <v>197.06270000000001</v>
      </c>
    </row>
    <row r="4650" spans="3:13" hidden="1" outlineLevel="1" x14ac:dyDescent="0.2">
      <c r="C4650" s="28">
        <f t="shared" si="40"/>
        <v>2.4609375</v>
      </c>
      <c r="D4650" s="28">
        <f t="shared" si="37"/>
        <v>315</v>
      </c>
      <c r="E4650" s="28">
        <f t="shared" si="38"/>
        <v>275.625</v>
      </c>
      <c r="F4650" s="28">
        <f t="shared" si="39"/>
        <v>212.01923076923077</v>
      </c>
      <c r="G4650" s="28">
        <f t="shared" si="41"/>
        <v>176.6884</v>
      </c>
      <c r="H4650" s="28">
        <f t="shared" si="42"/>
        <v>191.36199999999999</v>
      </c>
      <c r="I4650" s="28">
        <f t="shared" si="43"/>
        <v>198.0549</v>
      </c>
      <c r="J4650" s="28">
        <f t="shared" si="44"/>
        <v>202.99289999999999</v>
      </c>
      <c r="K4650" s="28">
        <f t="shared" si="45"/>
        <v>210.9717</v>
      </c>
      <c r="L4650" s="4"/>
      <c r="M4650" s="241">
        <v>198.0549</v>
      </c>
    </row>
    <row r="4651" spans="3:13" hidden="1" outlineLevel="1" x14ac:dyDescent="0.2">
      <c r="C4651" s="28">
        <f t="shared" si="40"/>
        <v>2.46875</v>
      </c>
      <c r="D4651" s="28">
        <f t="shared" si="37"/>
        <v>316</v>
      </c>
      <c r="E4651" s="28">
        <f t="shared" si="38"/>
        <v>276.5</v>
      </c>
      <c r="F4651" s="28">
        <f t="shared" si="39"/>
        <v>212.69230769230768</v>
      </c>
      <c r="G4651" s="28">
        <f t="shared" si="41"/>
        <v>176.6884</v>
      </c>
      <c r="H4651" s="28">
        <f t="shared" si="42"/>
        <v>191.36199999999999</v>
      </c>
      <c r="I4651" s="28">
        <f t="shared" si="43"/>
        <v>198.0549</v>
      </c>
      <c r="J4651" s="28">
        <f t="shared" si="44"/>
        <v>202.99289999999999</v>
      </c>
      <c r="K4651" s="28">
        <f t="shared" si="45"/>
        <v>210.9717</v>
      </c>
      <c r="L4651" s="4"/>
      <c r="M4651" s="241">
        <v>198.0549</v>
      </c>
    </row>
    <row r="4652" spans="3:13" hidden="1" outlineLevel="1" x14ac:dyDescent="0.2">
      <c r="C4652" s="28">
        <f t="shared" si="40"/>
        <v>2.4765625</v>
      </c>
      <c r="D4652" s="28">
        <f t="shared" si="37"/>
        <v>317</v>
      </c>
      <c r="E4652" s="28">
        <f t="shared" si="38"/>
        <v>277.375</v>
      </c>
      <c r="F4652" s="28">
        <f t="shared" si="39"/>
        <v>213.36538461538461</v>
      </c>
      <c r="G4652" s="28">
        <f t="shared" si="41"/>
        <v>177.61170000000001</v>
      </c>
      <c r="H4652" s="28">
        <f t="shared" si="42"/>
        <v>192.3313</v>
      </c>
      <c r="I4652" s="28">
        <f t="shared" si="43"/>
        <v>199.04679999999999</v>
      </c>
      <c r="J4652" s="28">
        <f t="shared" si="44"/>
        <v>204.00239999999999</v>
      </c>
      <c r="K4652" s="28">
        <f t="shared" si="45"/>
        <v>212.01070000000001</v>
      </c>
      <c r="L4652" s="4"/>
      <c r="M4652" s="241">
        <v>199.04679999999999</v>
      </c>
    </row>
    <row r="4653" spans="3:13" hidden="1" outlineLevel="1" x14ac:dyDescent="0.2">
      <c r="C4653" s="28">
        <f t="shared" si="40"/>
        <v>2.484375</v>
      </c>
      <c r="D4653" s="28">
        <f t="shared" si="37"/>
        <v>318</v>
      </c>
      <c r="E4653" s="28">
        <f t="shared" si="38"/>
        <v>278.25</v>
      </c>
      <c r="F4653" s="28">
        <f t="shared" si="39"/>
        <v>214.03846153846152</v>
      </c>
      <c r="G4653" s="28">
        <f t="shared" si="41"/>
        <v>178.53569999999999</v>
      </c>
      <c r="H4653" s="28">
        <f t="shared" si="42"/>
        <v>193.30119999999999</v>
      </c>
      <c r="I4653" s="28">
        <f t="shared" si="43"/>
        <v>200.0393</v>
      </c>
      <c r="J4653" s="28">
        <f t="shared" si="44"/>
        <v>205.01240000000001</v>
      </c>
      <c r="K4653" s="28">
        <f t="shared" si="45"/>
        <v>213.04939999999999</v>
      </c>
      <c r="L4653" s="4"/>
      <c r="M4653" s="241">
        <v>200.0393</v>
      </c>
    </row>
    <row r="4654" spans="3:13" hidden="1" outlineLevel="1" x14ac:dyDescent="0.2">
      <c r="C4654" s="28">
        <f t="shared" si="40"/>
        <v>2.4921875</v>
      </c>
      <c r="D4654" s="28">
        <f t="shared" si="37"/>
        <v>319</v>
      </c>
      <c r="E4654" s="28">
        <f t="shared" si="38"/>
        <v>279.125</v>
      </c>
      <c r="F4654" s="28">
        <f t="shared" si="39"/>
        <v>214.71153846153845</v>
      </c>
      <c r="G4654" s="28">
        <f t="shared" si="41"/>
        <v>178.53569999999999</v>
      </c>
      <c r="H4654" s="28">
        <f t="shared" si="42"/>
        <v>193.30119999999999</v>
      </c>
      <c r="I4654" s="28">
        <f t="shared" si="43"/>
        <v>200.0393</v>
      </c>
      <c r="J4654" s="28">
        <f t="shared" si="44"/>
        <v>205.01240000000001</v>
      </c>
      <c r="K4654" s="28">
        <f t="shared" si="45"/>
        <v>213.04939999999999</v>
      </c>
      <c r="L4654" s="4"/>
      <c r="M4654" s="241">
        <v>200.0393</v>
      </c>
    </row>
    <row r="4655" spans="3:13" hidden="1" outlineLevel="1" x14ac:dyDescent="0.2">
      <c r="C4655" s="28">
        <f t="shared" si="40"/>
        <v>2.5</v>
      </c>
      <c r="D4655" s="28">
        <f t="shared" si="37"/>
        <v>320</v>
      </c>
      <c r="E4655" s="28">
        <f t="shared" si="38"/>
        <v>280</v>
      </c>
      <c r="F4655" s="28">
        <f t="shared" si="39"/>
        <v>215.38461538461539</v>
      </c>
      <c r="G4655" s="28">
        <f t="shared" si="41"/>
        <v>179.45939999999999</v>
      </c>
      <c r="H4655" s="28">
        <f t="shared" si="42"/>
        <v>194.27090000000001</v>
      </c>
      <c r="I4655" s="28">
        <f t="shared" si="43"/>
        <v>201.03139999999999</v>
      </c>
      <c r="J4655" s="28">
        <f t="shared" si="44"/>
        <v>206.02209999999999</v>
      </c>
      <c r="K4655" s="28">
        <f t="shared" si="45"/>
        <v>214.08920000000001</v>
      </c>
      <c r="L4655" s="4"/>
      <c r="M4655" s="241">
        <v>201.03139999999999</v>
      </c>
    </row>
    <row r="4656" spans="3:13" hidden="1" outlineLevel="1" x14ac:dyDescent="0.2">
      <c r="C4656" s="28">
        <f t="shared" si="40"/>
        <v>2.5078125</v>
      </c>
      <c r="D4656" s="28">
        <f t="shared" ref="D4656:D4719" si="46">C4656*Channels.per.carrier</f>
        <v>321</v>
      </c>
      <c r="E4656" s="28">
        <f t="shared" ref="E4656:E4719" si="47">D4656-C4656*R99.CE.signalling</f>
        <v>280.875</v>
      </c>
      <c r="F4656" s="28">
        <f t="shared" ref="F4656:F4719" si="48">E4656/(1+Release99.soft.handover+Release99.softer.handover)</f>
        <v>216.05769230769229</v>
      </c>
      <c r="G4656" s="28">
        <f t="shared" si="41"/>
        <v>180.3835</v>
      </c>
      <c r="H4656" s="28">
        <f t="shared" si="42"/>
        <v>195.24119999999999</v>
      </c>
      <c r="I4656" s="28">
        <f t="shared" si="43"/>
        <v>202.02420000000001</v>
      </c>
      <c r="J4656" s="28">
        <f t="shared" si="44"/>
        <v>207.03229999999999</v>
      </c>
      <c r="K4656" s="28">
        <f t="shared" si="45"/>
        <v>215.12860000000001</v>
      </c>
      <c r="L4656" s="4"/>
      <c r="M4656" s="241">
        <v>202.02420000000001</v>
      </c>
    </row>
    <row r="4657" spans="3:13" hidden="1" outlineLevel="1" x14ac:dyDescent="0.2">
      <c r="C4657" s="28">
        <f t="shared" ref="C4657:C4720" si="49">C4656+1/128</f>
        <v>2.515625</v>
      </c>
      <c r="D4657" s="28">
        <f t="shared" si="46"/>
        <v>322</v>
      </c>
      <c r="E4657" s="28">
        <f t="shared" si="47"/>
        <v>281.75</v>
      </c>
      <c r="F4657" s="28">
        <f t="shared" si="48"/>
        <v>216.73076923076923</v>
      </c>
      <c r="G4657" s="28">
        <f t="shared" ref="G4657:G4720" si="50">INDEX(D$10:D$4326,MATCH($F4657,$C$10:$C$4326,1))</f>
        <v>180.3835</v>
      </c>
      <c r="H4657" s="28">
        <f t="shared" ref="H4657:H4720" si="51">INDEX(E$10:E$4326,MATCH($F4657,$C$10:$C$4326,1))</f>
        <v>195.24119999999999</v>
      </c>
      <c r="I4657" s="28">
        <f t="shared" ref="I4657:I4720" si="52">INDEX(F$10:F$4326,MATCH($F4657,$C$10:$C$4326,1))</f>
        <v>202.02420000000001</v>
      </c>
      <c r="J4657" s="28">
        <f t="shared" ref="J4657:J4720" si="53">INDEX(G$10:G$4326,MATCH($F4657,$C$10:$C$4326,1))</f>
        <v>207.03229999999999</v>
      </c>
      <c r="K4657" s="28">
        <f t="shared" ref="K4657:K4720" si="54">INDEX(H$10:H$4326,MATCH($F4657,$C$10:$C$4326,1))</f>
        <v>215.12860000000001</v>
      </c>
      <c r="L4657" s="4"/>
      <c r="M4657" s="241">
        <v>202.02420000000001</v>
      </c>
    </row>
    <row r="4658" spans="3:13" hidden="1" outlineLevel="1" x14ac:dyDescent="0.2">
      <c r="C4658" s="28">
        <f t="shared" si="49"/>
        <v>2.5234375</v>
      </c>
      <c r="D4658" s="28">
        <f t="shared" si="46"/>
        <v>323</v>
      </c>
      <c r="E4658" s="28">
        <f t="shared" si="47"/>
        <v>282.625</v>
      </c>
      <c r="F4658" s="28">
        <f t="shared" si="48"/>
        <v>217.40384615384616</v>
      </c>
      <c r="G4658" s="28">
        <f t="shared" si="50"/>
        <v>181.30799999999999</v>
      </c>
      <c r="H4658" s="28">
        <f t="shared" si="51"/>
        <v>196.21129999999999</v>
      </c>
      <c r="I4658" s="28">
        <f t="shared" si="52"/>
        <v>203.01660000000001</v>
      </c>
      <c r="J4658" s="28">
        <f t="shared" si="53"/>
        <v>208.0421</v>
      </c>
      <c r="K4658" s="28">
        <f t="shared" si="54"/>
        <v>216.1677</v>
      </c>
      <c r="L4658" s="4"/>
      <c r="M4658" s="241">
        <v>203.01660000000001</v>
      </c>
    </row>
    <row r="4659" spans="3:13" hidden="1" outlineLevel="1" x14ac:dyDescent="0.2">
      <c r="C4659" s="28">
        <f t="shared" si="49"/>
        <v>2.53125</v>
      </c>
      <c r="D4659" s="28">
        <f t="shared" si="46"/>
        <v>324</v>
      </c>
      <c r="E4659" s="28">
        <f t="shared" si="47"/>
        <v>283.5</v>
      </c>
      <c r="F4659" s="28">
        <f t="shared" si="48"/>
        <v>218.07692307692307</v>
      </c>
      <c r="G4659" s="28">
        <f t="shared" si="50"/>
        <v>182.23249999999999</v>
      </c>
      <c r="H4659" s="28">
        <f t="shared" si="51"/>
        <v>197.18199999999999</v>
      </c>
      <c r="I4659" s="28">
        <f t="shared" si="52"/>
        <v>204.0095</v>
      </c>
      <c r="J4659" s="28">
        <f t="shared" si="53"/>
        <v>209.0515</v>
      </c>
      <c r="K4659" s="28">
        <f t="shared" si="54"/>
        <v>217.2071</v>
      </c>
      <c r="L4659" s="4"/>
      <c r="M4659" s="241">
        <v>204.0095</v>
      </c>
    </row>
    <row r="4660" spans="3:13" hidden="1" outlineLevel="1" x14ac:dyDescent="0.2">
      <c r="C4660" s="28">
        <f t="shared" si="49"/>
        <v>2.5390625</v>
      </c>
      <c r="D4660" s="28">
        <f t="shared" si="46"/>
        <v>325</v>
      </c>
      <c r="E4660" s="28">
        <f t="shared" si="47"/>
        <v>284.375</v>
      </c>
      <c r="F4660" s="28">
        <f t="shared" si="48"/>
        <v>218.75</v>
      </c>
      <c r="G4660" s="28">
        <f t="shared" si="50"/>
        <v>182.23249999999999</v>
      </c>
      <c r="H4660" s="28">
        <f t="shared" si="51"/>
        <v>197.18199999999999</v>
      </c>
      <c r="I4660" s="28">
        <f t="shared" si="52"/>
        <v>204.0095</v>
      </c>
      <c r="J4660" s="28">
        <f t="shared" si="53"/>
        <v>209.0515</v>
      </c>
      <c r="K4660" s="28">
        <f t="shared" si="54"/>
        <v>217.2071</v>
      </c>
      <c r="L4660" s="4"/>
      <c r="M4660" s="241">
        <v>204.0095</v>
      </c>
    </row>
    <row r="4661" spans="3:13" hidden="1" outlineLevel="1" x14ac:dyDescent="0.2">
      <c r="C4661" s="28">
        <f t="shared" si="49"/>
        <v>2.546875</v>
      </c>
      <c r="D4661" s="28">
        <f t="shared" si="46"/>
        <v>326</v>
      </c>
      <c r="E4661" s="28">
        <f t="shared" si="47"/>
        <v>285.25</v>
      </c>
      <c r="F4661" s="28">
        <f t="shared" si="48"/>
        <v>219.42307692307691</v>
      </c>
      <c r="G4661" s="28">
        <f t="shared" si="50"/>
        <v>183.1574</v>
      </c>
      <c r="H4661" s="28">
        <f t="shared" si="51"/>
        <v>198.15170000000001</v>
      </c>
      <c r="I4661" s="28">
        <f t="shared" si="52"/>
        <v>205.00210000000001</v>
      </c>
      <c r="J4661" s="28">
        <f t="shared" si="53"/>
        <v>210.06229999999999</v>
      </c>
      <c r="K4661" s="28">
        <f t="shared" si="54"/>
        <v>218.24690000000001</v>
      </c>
      <c r="L4661" s="4"/>
      <c r="M4661" s="241">
        <v>205.00210000000001</v>
      </c>
    </row>
    <row r="4662" spans="3:13" hidden="1" outlineLevel="1" x14ac:dyDescent="0.2">
      <c r="C4662" s="28">
        <f t="shared" si="49"/>
        <v>2.5546875</v>
      </c>
      <c r="D4662" s="28">
        <f t="shared" si="46"/>
        <v>327</v>
      </c>
      <c r="E4662" s="28">
        <f t="shared" si="47"/>
        <v>286.125</v>
      </c>
      <c r="F4662" s="28">
        <f t="shared" si="48"/>
        <v>220.09615384615384</v>
      </c>
      <c r="G4662" s="28">
        <f t="shared" si="50"/>
        <v>184.0821</v>
      </c>
      <c r="H4662" s="28">
        <f t="shared" si="51"/>
        <v>199.12280000000001</v>
      </c>
      <c r="I4662" s="28">
        <f t="shared" si="52"/>
        <v>205.99529999999999</v>
      </c>
      <c r="J4662" s="28">
        <f t="shared" si="53"/>
        <v>211.0718</v>
      </c>
      <c r="K4662" s="28">
        <f t="shared" si="54"/>
        <v>219.28620000000001</v>
      </c>
      <c r="L4662" s="4"/>
      <c r="M4662" s="241">
        <v>205.99529999999999</v>
      </c>
    </row>
    <row r="4663" spans="3:13" hidden="1" outlineLevel="1" x14ac:dyDescent="0.2">
      <c r="C4663" s="28">
        <f t="shared" si="49"/>
        <v>2.5625</v>
      </c>
      <c r="D4663" s="28">
        <f t="shared" si="46"/>
        <v>328</v>
      </c>
      <c r="E4663" s="28">
        <f t="shared" si="47"/>
        <v>287</v>
      </c>
      <c r="F4663" s="28">
        <f t="shared" si="48"/>
        <v>220.76923076923077</v>
      </c>
      <c r="G4663" s="28">
        <f t="shared" si="50"/>
        <v>184.0821</v>
      </c>
      <c r="H4663" s="28">
        <f t="shared" si="51"/>
        <v>199.12280000000001</v>
      </c>
      <c r="I4663" s="28">
        <f t="shared" si="52"/>
        <v>205.99529999999999</v>
      </c>
      <c r="J4663" s="28">
        <f t="shared" si="53"/>
        <v>211.0718</v>
      </c>
      <c r="K4663" s="28">
        <f t="shared" si="54"/>
        <v>219.28620000000001</v>
      </c>
      <c r="L4663" s="4"/>
      <c r="M4663" s="241">
        <v>205.99529999999999</v>
      </c>
    </row>
    <row r="4664" spans="3:13" hidden="1" outlineLevel="1" x14ac:dyDescent="0.2">
      <c r="C4664" s="28">
        <f t="shared" si="49"/>
        <v>2.5703125</v>
      </c>
      <c r="D4664" s="28">
        <f t="shared" si="46"/>
        <v>329</v>
      </c>
      <c r="E4664" s="28">
        <f t="shared" si="47"/>
        <v>287.875</v>
      </c>
      <c r="F4664" s="28">
        <f t="shared" si="48"/>
        <v>221.44230769230768</v>
      </c>
      <c r="G4664" s="28">
        <f t="shared" si="50"/>
        <v>185.00729999999999</v>
      </c>
      <c r="H4664" s="28">
        <f t="shared" si="51"/>
        <v>200.09370000000001</v>
      </c>
      <c r="I4664" s="28">
        <f t="shared" si="52"/>
        <v>206.9881</v>
      </c>
      <c r="J4664" s="28">
        <f t="shared" si="53"/>
        <v>212.08269999999999</v>
      </c>
      <c r="K4664" s="28">
        <f t="shared" si="54"/>
        <v>220.32599999999999</v>
      </c>
      <c r="L4664" s="4"/>
      <c r="M4664" s="241">
        <v>206.9881</v>
      </c>
    </row>
    <row r="4665" spans="3:13" hidden="1" outlineLevel="1" x14ac:dyDescent="0.2">
      <c r="C4665" s="28">
        <f t="shared" si="49"/>
        <v>2.578125</v>
      </c>
      <c r="D4665" s="28">
        <f t="shared" si="46"/>
        <v>330</v>
      </c>
      <c r="E4665" s="28">
        <f t="shared" si="47"/>
        <v>288.75</v>
      </c>
      <c r="F4665" s="28">
        <f t="shared" si="48"/>
        <v>222.11538461538461</v>
      </c>
      <c r="G4665" s="28">
        <f t="shared" si="50"/>
        <v>185.9325</v>
      </c>
      <c r="H4665" s="28">
        <f t="shared" si="51"/>
        <v>201.0643</v>
      </c>
      <c r="I4665" s="28">
        <f t="shared" si="52"/>
        <v>207.98150000000001</v>
      </c>
      <c r="J4665" s="28">
        <f t="shared" si="53"/>
        <v>213.09309999999999</v>
      </c>
      <c r="K4665" s="28">
        <f t="shared" si="54"/>
        <v>221.36529999999999</v>
      </c>
      <c r="L4665" s="4"/>
      <c r="M4665" s="241">
        <v>207.98150000000001</v>
      </c>
    </row>
    <row r="4666" spans="3:13" hidden="1" outlineLevel="1" x14ac:dyDescent="0.2">
      <c r="C4666" s="28">
        <f t="shared" si="49"/>
        <v>2.5859375</v>
      </c>
      <c r="D4666" s="28">
        <f t="shared" si="46"/>
        <v>331</v>
      </c>
      <c r="E4666" s="28">
        <f t="shared" si="47"/>
        <v>289.625</v>
      </c>
      <c r="F4666" s="28">
        <f t="shared" si="48"/>
        <v>222.78846153846152</v>
      </c>
      <c r="G4666" s="28">
        <f t="shared" si="50"/>
        <v>185.9325</v>
      </c>
      <c r="H4666" s="28">
        <f t="shared" si="51"/>
        <v>201.0643</v>
      </c>
      <c r="I4666" s="28">
        <f t="shared" si="52"/>
        <v>207.98150000000001</v>
      </c>
      <c r="J4666" s="28">
        <f t="shared" si="53"/>
        <v>213.09309999999999</v>
      </c>
      <c r="K4666" s="28">
        <f t="shared" si="54"/>
        <v>221.36529999999999</v>
      </c>
      <c r="L4666" s="4"/>
      <c r="M4666" s="241">
        <v>207.98150000000001</v>
      </c>
    </row>
    <row r="4667" spans="3:13" hidden="1" outlineLevel="1" x14ac:dyDescent="0.2">
      <c r="C4667" s="28">
        <f t="shared" si="49"/>
        <v>2.59375</v>
      </c>
      <c r="D4667" s="28">
        <f t="shared" si="46"/>
        <v>332</v>
      </c>
      <c r="E4667" s="28">
        <f t="shared" si="47"/>
        <v>290.5</v>
      </c>
      <c r="F4667" s="28">
        <f t="shared" si="48"/>
        <v>223.46153846153845</v>
      </c>
      <c r="G4667" s="28">
        <f t="shared" si="50"/>
        <v>186.85849999999999</v>
      </c>
      <c r="H4667" s="28">
        <f t="shared" si="51"/>
        <v>202.03550000000001</v>
      </c>
      <c r="I4667" s="28">
        <f t="shared" si="52"/>
        <v>208.97450000000001</v>
      </c>
      <c r="J4667" s="28">
        <f t="shared" si="53"/>
        <v>214.10319999999999</v>
      </c>
      <c r="K4667" s="28">
        <f t="shared" si="54"/>
        <v>222.405</v>
      </c>
      <c r="L4667" s="4"/>
      <c r="M4667" s="241">
        <v>208.97450000000001</v>
      </c>
    </row>
    <row r="4668" spans="3:13" hidden="1" outlineLevel="1" x14ac:dyDescent="0.2">
      <c r="C4668" s="28">
        <f t="shared" si="49"/>
        <v>2.6015625</v>
      </c>
      <c r="D4668" s="28">
        <f t="shared" si="46"/>
        <v>333</v>
      </c>
      <c r="E4668" s="28">
        <f t="shared" si="47"/>
        <v>291.375</v>
      </c>
      <c r="F4668" s="28">
        <f t="shared" si="48"/>
        <v>224.13461538461539</v>
      </c>
      <c r="G4668" s="28">
        <f t="shared" si="50"/>
        <v>187.78450000000001</v>
      </c>
      <c r="H4668" s="28">
        <f t="shared" si="51"/>
        <v>203.00640000000001</v>
      </c>
      <c r="I4668" s="28">
        <f t="shared" si="52"/>
        <v>209.96799999999999</v>
      </c>
      <c r="J4668" s="28">
        <f t="shared" si="53"/>
        <v>215.11369999999999</v>
      </c>
      <c r="K4668" s="28">
        <f t="shared" si="54"/>
        <v>223.44499999999999</v>
      </c>
      <c r="L4668" s="4"/>
      <c r="M4668" s="241">
        <v>209.96799999999999</v>
      </c>
    </row>
    <row r="4669" spans="3:13" hidden="1" outlineLevel="1" x14ac:dyDescent="0.2">
      <c r="C4669" s="28">
        <f t="shared" si="49"/>
        <v>2.609375</v>
      </c>
      <c r="D4669" s="28">
        <f t="shared" si="46"/>
        <v>334</v>
      </c>
      <c r="E4669" s="28">
        <f t="shared" si="47"/>
        <v>292.25</v>
      </c>
      <c r="F4669" s="28">
        <f t="shared" si="48"/>
        <v>224.80769230769229</v>
      </c>
      <c r="G4669" s="28">
        <f t="shared" si="50"/>
        <v>187.78450000000001</v>
      </c>
      <c r="H4669" s="28">
        <f t="shared" si="51"/>
        <v>203.00640000000001</v>
      </c>
      <c r="I4669" s="28">
        <f t="shared" si="52"/>
        <v>209.96799999999999</v>
      </c>
      <c r="J4669" s="28">
        <f t="shared" si="53"/>
        <v>215.11369999999999</v>
      </c>
      <c r="K4669" s="28">
        <f t="shared" si="54"/>
        <v>223.44499999999999</v>
      </c>
      <c r="L4669" s="4"/>
      <c r="M4669" s="241">
        <v>209.96799999999999</v>
      </c>
    </row>
    <row r="4670" spans="3:13" hidden="1" outlineLevel="1" x14ac:dyDescent="0.2">
      <c r="C4670" s="28">
        <f t="shared" si="49"/>
        <v>2.6171875</v>
      </c>
      <c r="D4670" s="28">
        <f t="shared" si="46"/>
        <v>335</v>
      </c>
      <c r="E4670" s="28">
        <f t="shared" si="47"/>
        <v>293.125</v>
      </c>
      <c r="F4670" s="28">
        <f t="shared" si="48"/>
        <v>225.48076923076923</v>
      </c>
      <c r="G4670" s="28">
        <f t="shared" si="50"/>
        <v>188.71039999999999</v>
      </c>
      <c r="H4670" s="28">
        <f t="shared" si="51"/>
        <v>203.97710000000001</v>
      </c>
      <c r="I4670" s="28">
        <f t="shared" si="52"/>
        <v>210.96109999999999</v>
      </c>
      <c r="J4670" s="28">
        <f t="shared" si="53"/>
        <v>216.12469999999999</v>
      </c>
      <c r="K4670" s="28">
        <f t="shared" si="54"/>
        <v>224.4846</v>
      </c>
      <c r="L4670" s="4"/>
      <c r="M4670" s="241">
        <v>210.96109999999999</v>
      </c>
    </row>
    <row r="4671" spans="3:13" hidden="1" outlineLevel="1" x14ac:dyDescent="0.2">
      <c r="C4671" s="28">
        <f t="shared" si="49"/>
        <v>2.625</v>
      </c>
      <c r="D4671" s="28">
        <f t="shared" si="46"/>
        <v>336</v>
      </c>
      <c r="E4671" s="28">
        <f t="shared" si="47"/>
        <v>294</v>
      </c>
      <c r="F4671" s="28">
        <f t="shared" si="48"/>
        <v>226.15384615384613</v>
      </c>
      <c r="G4671" s="28">
        <f t="shared" si="50"/>
        <v>189.637</v>
      </c>
      <c r="H4671" s="28">
        <f t="shared" si="51"/>
        <v>204.94829999999999</v>
      </c>
      <c r="I4671" s="28">
        <f t="shared" si="52"/>
        <v>211.9547</v>
      </c>
      <c r="J4671" s="28">
        <f t="shared" si="53"/>
        <v>217.1352</v>
      </c>
      <c r="K4671" s="28">
        <f t="shared" si="54"/>
        <v>225.52449999999999</v>
      </c>
      <c r="L4671" s="4"/>
      <c r="M4671" s="241">
        <v>211.9547</v>
      </c>
    </row>
    <row r="4672" spans="3:13" hidden="1" outlineLevel="1" x14ac:dyDescent="0.2">
      <c r="C4672" s="28">
        <f t="shared" si="49"/>
        <v>2.6328125</v>
      </c>
      <c r="D4672" s="28">
        <f t="shared" si="46"/>
        <v>337</v>
      </c>
      <c r="E4672" s="28">
        <f t="shared" si="47"/>
        <v>294.875</v>
      </c>
      <c r="F4672" s="28">
        <f t="shared" si="48"/>
        <v>226.82692307692307</v>
      </c>
      <c r="G4672" s="28">
        <f t="shared" si="50"/>
        <v>189.637</v>
      </c>
      <c r="H4672" s="28">
        <f t="shared" si="51"/>
        <v>204.94829999999999</v>
      </c>
      <c r="I4672" s="28">
        <f t="shared" si="52"/>
        <v>211.9547</v>
      </c>
      <c r="J4672" s="28">
        <f t="shared" si="53"/>
        <v>217.1352</v>
      </c>
      <c r="K4672" s="28">
        <f t="shared" si="54"/>
        <v>225.52449999999999</v>
      </c>
      <c r="L4672" s="4"/>
      <c r="M4672" s="241">
        <v>211.9547</v>
      </c>
    </row>
    <row r="4673" spans="3:13" hidden="1" outlineLevel="1" x14ac:dyDescent="0.2">
      <c r="C4673" s="28">
        <f t="shared" si="49"/>
        <v>2.640625</v>
      </c>
      <c r="D4673" s="28">
        <f t="shared" si="46"/>
        <v>338</v>
      </c>
      <c r="E4673" s="28">
        <f t="shared" si="47"/>
        <v>295.75</v>
      </c>
      <c r="F4673" s="28">
        <f t="shared" si="48"/>
        <v>227.5</v>
      </c>
      <c r="G4673" s="28">
        <f t="shared" si="50"/>
        <v>190.56270000000001</v>
      </c>
      <c r="H4673" s="28">
        <f t="shared" si="51"/>
        <v>205.92009999999999</v>
      </c>
      <c r="I4673" s="28">
        <f t="shared" si="52"/>
        <v>212.94800000000001</v>
      </c>
      <c r="J4673" s="28">
        <f t="shared" si="53"/>
        <v>218.1454</v>
      </c>
      <c r="K4673" s="28">
        <f t="shared" si="54"/>
        <v>226.56489999999999</v>
      </c>
      <c r="L4673" s="4"/>
      <c r="M4673" s="241">
        <v>212.94800000000001</v>
      </c>
    </row>
    <row r="4674" spans="3:13" hidden="1" outlineLevel="1" x14ac:dyDescent="0.2">
      <c r="C4674" s="28">
        <f t="shared" si="49"/>
        <v>2.6484375</v>
      </c>
      <c r="D4674" s="28">
        <f t="shared" si="46"/>
        <v>339</v>
      </c>
      <c r="E4674" s="28">
        <f t="shared" si="47"/>
        <v>296.625</v>
      </c>
      <c r="F4674" s="28">
        <f t="shared" si="48"/>
        <v>228.17307692307691</v>
      </c>
      <c r="G4674" s="28">
        <f t="shared" si="50"/>
        <v>191.49</v>
      </c>
      <c r="H4674" s="28">
        <f t="shared" si="51"/>
        <v>206.89160000000001</v>
      </c>
      <c r="I4674" s="28">
        <f t="shared" si="52"/>
        <v>213.9418</v>
      </c>
      <c r="J4674" s="28">
        <f t="shared" si="53"/>
        <v>219.1568</v>
      </c>
      <c r="K4674" s="28">
        <f t="shared" si="54"/>
        <v>227.60470000000001</v>
      </c>
      <c r="L4674" s="4"/>
      <c r="M4674" s="241">
        <v>213.9418</v>
      </c>
    </row>
    <row r="4675" spans="3:13" hidden="1" outlineLevel="1" x14ac:dyDescent="0.2">
      <c r="C4675" s="28">
        <f t="shared" si="49"/>
        <v>2.65625</v>
      </c>
      <c r="D4675" s="28">
        <f t="shared" si="46"/>
        <v>340</v>
      </c>
      <c r="E4675" s="28">
        <f t="shared" si="47"/>
        <v>297.5</v>
      </c>
      <c r="F4675" s="28">
        <f t="shared" si="48"/>
        <v>228.84615384615384</v>
      </c>
      <c r="G4675" s="28">
        <f t="shared" si="50"/>
        <v>191.49</v>
      </c>
      <c r="H4675" s="28">
        <f t="shared" si="51"/>
        <v>206.89160000000001</v>
      </c>
      <c r="I4675" s="28">
        <f t="shared" si="52"/>
        <v>213.9418</v>
      </c>
      <c r="J4675" s="28">
        <f t="shared" si="53"/>
        <v>219.1568</v>
      </c>
      <c r="K4675" s="28">
        <f t="shared" si="54"/>
        <v>227.60470000000001</v>
      </c>
      <c r="L4675" s="4"/>
      <c r="M4675" s="241">
        <v>213.9418</v>
      </c>
    </row>
    <row r="4676" spans="3:13" hidden="1" outlineLevel="1" x14ac:dyDescent="0.2">
      <c r="C4676" s="28">
        <f t="shared" si="49"/>
        <v>2.6640625</v>
      </c>
      <c r="D4676" s="28">
        <f t="shared" si="46"/>
        <v>341</v>
      </c>
      <c r="E4676" s="28">
        <f t="shared" si="47"/>
        <v>298.375</v>
      </c>
      <c r="F4676" s="28">
        <f t="shared" si="48"/>
        <v>229.51923076923077</v>
      </c>
      <c r="G4676" s="28">
        <f t="shared" si="50"/>
        <v>192.41640000000001</v>
      </c>
      <c r="H4676" s="28">
        <f t="shared" si="51"/>
        <v>207.86359999999999</v>
      </c>
      <c r="I4676" s="28">
        <f t="shared" si="52"/>
        <v>214.93600000000001</v>
      </c>
      <c r="J4676" s="28">
        <f t="shared" si="53"/>
        <v>220.1678</v>
      </c>
      <c r="K4676" s="28">
        <f t="shared" si="54"/>
        <v>228.64490000000001</v>
      </c>
      <c r="L4676" s="4"/>
      <c r="M4676" s="241">
        <v>214.93600000000001</v>
      </c>
    </row>
    <row r="4677" spans="3:13" hidden="1" outlineLevel="1" x14ac:dyDescent="0.2">
      <c r="C4677" s="28">
        <f t="shared" si="49"/>
        <v>2.671875</v>
      </c>
      <c r="D4677" s="28">
        <f t="shared" si="46"/>
        <v>342</v>
      </c>
      <c r="E4677" s="28">
        <f t="shared" si="47"/>
        <v>299.25</v>
      </c>
      <c r="F4677" s="28">
        <f t="shared" si="48"/>
        <v>230.19230769230768</v>
      </c>
      <c r="G4677" s="28">
        <f t="shared" si="50"/>
        <v>193.34350000000001</v>
      </c>
      <c r="H4677" s="28">
        <f t="shared" si="51"/>
        <v>208.83539999999999</v>
      </c>
      <c r="I4677" s="28">
        <f t="shared" si="52"/>
        <v>215.9299</v>
      </c>
      <c r="J4677" s="28">
        <f t="shared" si="53"/>
        <v>221.17840000000001</v>
      </c>
      <c r="K4677" s="28">
        <f t="shared" si="54"/>
        <v>229.68549999999999</v>
      </c>
      <c r="L4677" s="4"/>
      <c r="M4677" s="241">
        <v>215.9299</v>
      </c>
    </row>
    <row r="4678" spans="3:13" hidden="1" outlineLevel="1" x14ac:dyDescent="0.2">
      <c r="C4678" s="28">
        <f t="shared" si="49"/>
        <v>2.6796875</v>
      </c>
      <c r="D4678" s="28">
        <f t="shared" si="46"/>
        <v>343</v>
      </c>
      <c r="E4678" s="28">
        <f t="shared" si="47"/>
        <v>300.125</v>
      </c>
      <c r="F4678" s="28">
        <f t="shared" si="48"/>
        <v>230.86538461538461</v>
      </c>
      <c r="G4678" s="28">
        <f t="shared" si="50"/>
        <v>193.34350000000001</v>
      </c>
      <c r="H4678" s="28">
        <f t="shared" si="51"/>
        <v>208.83539999999999</v>
      </c>
      <c r="I4678" s="28">
        <f t="shared" si="52"/>
        <v>215.9299</v>
      </c>
      <c r="J4678" s="28">
        <f t="shared" si="53"/>
        <v>221.17840000000001</v>
      </c>
      <c r="K4678" s="28">
        <f t="shared" si="54"/>
        <v>229.68549999999999</v>
      </c>
      <c r="L4678" s="4"/>
      <c r="M4678" s="241">
        <v>215.9299</v>
      </c>
    </row>
    <row r="4679" spans="3:13" hidden="1" outlineLevel="1" x14ac:dyDescent="0.2">
      <c r="C4679" s="28">
        <f t="shared" si="49"/>
        <v>2.6875</v>
      </c>
      <c r="D4679" s="28">
        <f t="shared" si="46"/>
        <v>344</v>
      </c>
      <c r="E4679" s="28">
        <f t="shared" si="47"/>
        <v>301</v>
      </c>
      <c r="F4679" s="28">
        <f t="shared" si="48"/>
        <v>231.53846153846152</v>
      </c>
      <c r="G4679" s="28">
        <f t="shared" si="50"/>
        <v>194.2705</v>
      </c>
      <c r="H4679" s="28">
        <f t="shared" si="51"/>
        <v>209.80680000000001</v>
      </c>
      <c r="I4679" s="28">
        <f t="shared" si="52"/>
        <v>216.92330000000001</v>
      </c>
      <c r="J4679" s="28">
        <f t="shared" si="53"/>
        <v>222.18940000000001</v>
      </c>
      <c r="K4679" s="28">
        <f t="shared" si="54"/>
        <v>230.72550000000001</v>
      </c>
      <c r="L4679" s="4"/>
      <c r="M4679" s="241">
        <v>216.92330000000001</v>
      </c>
    </row>
    <row r="4680" spans="3:13" hidden="1" outlineLevel="1" x14ac:dyDescent="0.2">
      <c r="C4680" s="28">
        <f t="shared" si="49"/>
        <v>2.6953125</v>
      </c>
      <c r="D4680" s="28">
        <f t="shared" si="46"/>
        <v>345</v>
      </c>
      <c r="E4680" s="28">
        <f t="shared" si="47"/>
        <v>301.875</v>
      </c>
      <c r="F4680" s="28">
        <f t="shared" si="48"/>
        <v>232.21153846153845</v>
      </c>
      <c r="G4680" s="28">
        <f t="shared" si="50"/>
        <v>195.19820000000001</v>
      </c>
      <c r="H4680" s="28">
        <f t="shared" si="51"/>
        <v>210.77969999999999</v>
      </c>
      <c r="I4680" s="28">
        <f t="shared" si="52"/>
        <v>217.91820000000001</v>
      </c>
      <c r="J4680" s="28">
        <f t="shared" si="53"/>
        <v>223.20079999999999</v>
      </c>
      <c r="K4680" s="28">
        <f t="shared" si="54"/>
        <v>231.76589999999999</v>
      </c>
      <c r="L4680" s="4"/>
      <c r="M4680" s="241">
        <v>217.91820000000001</v>
      </c>
    </row>
    <row r="4681" spans="3:13" hidden="1" outlineLevel="1" x14ac:dyDescent="0.2">
      <c r="C4681" s="28">
        <f t="shared" si="49"/>
        <v>2.703125</v>
      </c>
      <c r="D4681" s="28">
        <f t="shared" si="46"/>
        <v>346</v>
      </c>
      <c r="E4681" s="28">
        <f t="shared" si="47"/>
        <v>302.75</v>
      </c>
      <c r="F4681" s="28">
        <f t="shared" si="48"/>
        <v>232.88461538461539</v>
      </c>
      <c r="G4681" s="28">
        <f t="shared" si="50"/>
        <v>195.19820000000001</v>
      </c>
      <c r="H4681" s="28">
        <f t="shared" si="51"/>
        <v>210.77969999999999</v>
      </c>
      <c r="I4681" s="28">
        <f t="shared" si="52"/>
        <v>217.91820000000001</v>
      </c>
      <c r="J4681" s="28">
        <f t="shared" si="53"/>
        <v>223.20079999999999</v>
      </c>
      <c r="K4681" s="28">
        <f t="shared" si="54"/>
        <v>231.76589999999999</v>
      </c>
      <c r="L4681" s="4"/>
      <c r="M4681" s="241">
        <v>217.91820000000001</v>
      </c>
    </row>
    <row r="4682" spans="3:13" hidden="1" outlineLevel="1" x14ac:dyDescent="0.2">
      <c r="C4682" s="28">
        <f t="shared" si="49"/>
        <v>2.7109375</v>
      </c>
      <c r="D4682" s="28">
        <f t="shared" si="46"/>
        <v>347</v>
      </c>
      <c r="E4682" s="28">
        <f t="shared" si="47"/>
        <v>303.625</v>
      </c>
      <c r="F4682" s="28">
        <f t="shared" si="48"/>
        <v>233.55769230769229</v>
      </c>
      <c r="G4682" s="28">
        <f t="shared" si="50"/>
        <v>196.1258</v>
      </c>
      <c r="H4682" s="28">
        <f t="shared" si="51"/>
        <v>211.75129999999999</v>
      </c>
      <c r="I4682" s="28">
        <f t="shared" si="52"/>
        <v>218.9117</v>
      </c>
      <c r="J4682" s="28">
        <f t="shared" si="53"/>
        <v>224.21170000000001</v>
      </c>
      <c r="K4682" s="28">
        <f t="shared" si="54"/>
        <v>232.8058</v>
      </c>
      <c r="L4682" s="4"/>
      <c r="M4682" s="241">
        <v>218.9117</v>
      </c>
    </row>
    <row r="4683" spans="3:13" hidden="1" outlineLevel="1" x14ac:dyDescent="0.2">
      <c r="C4683" s="28">
        <f t="shared" si="49"/>
        <v>2.71875</v>
      </c>
      <c r="D4683" s="28">
        <f t="shared" si="46"/>
        <v>348</v>
      </c>
      <c r="E4683" s="28">
        <f t="shared" si="47"/>
        <v>304.5</v>
      </c>
      <c r="F4683" s="28">
        <f t="shared" si="48"/>
        <v>234.23076923076923</v>
      </c>
      <c r="G4683" s="28">
        <f t="shared" si="50"/>
        <v>197.0532</v>
      </c>
      <c r="H4683" s="28">
        <f t="shared" si="51"/>
        <v>212.7235</v>
      </c>
      <c r="I4683" s="28">
        <f t="shared" si="52"/>
        <v>219.9066</v>
      </c>
      <c r="J4683" s="28">
        <f t="shared" si="53"/>
        <v>225.22309999999999</v>
      </c>
      <c r="K4683" s="28">
        <f t="shared" si="54"/>
        <v>233.846</v>
      </c>
      <c r="L4683" s="4"/>
      <c r="M4683" s="241">
        <v>219.9066</v>
      </c>
    </row>
    <row r="4684" spans="3:13" hidden="1" outlineLevel="1" x14ac:dyDescent="0.2">
      <c r="C4684" s="28">
        <f t="shared" si="49"/>
        <v>2.7265625</v>
      </c>
      <c r="D4684" s="28">
        <f t="shared" si="46"/>
        <v>349</v>
      </c>
      <c r="E4684" s="28">
        <f t="shared" si="47"/>
        <v>305.375</v>
      </c>
      <c r="F4684" s="28">
        <f t="shared" si="48"/>
        <v>234.90384615384613</v>
      </c>
      <c r="G4684" s="28">
        <f t="shared" si="50"/>
        <v>197.0532</v>
      </c>
      <c r="H4684" s="28">
        <f t="shared" si="51"/>
        <v>212.7235</v>
      </c>
      <c r="I4684" s="28">
        <f t="shared" si="52"/>
        <v>219.9066</v>
      </c>
      <c r="J4684" s="28">
        <f t="shared" si="53"/>
        <v>225.22309999999999</v>
      </c>
      <c r="K4684" s="28">
        <f t="shared" si="54"/>
        <v>233.846</v>
      </c>
      <c r="L4684" s="4"/>
      <c r="M4684" s="241">
        <v>219.9066</v>
      </c>
    </row>
    <row r="4685" spans="3:13" hidden="1" outlineLevel="1" x14ac:dyDescent="0.2">
      <c r="C4685" s="28">
        <f t="shared" si="49"/>
        <v>2.734375</v>
      </c>
      <c r="D4685" s="28">
        <f t="shared" si="46"/>
        <v>350</v>
      </c>
      <c r="E4685" s="28">
        <f t="shared" si="47"/>
        <v>306.25</v>
      </c>
      <c r="F4685" s="28">
        <f t="shared" si="48"/>
        <v>235.57692307692307</v>
      </c>
      <c r="G4685" s="28">
        <f t="shared" si="50"/>
        <v>197.98140000000001</v>
      </c>
      <c r="H4685" s="28">
        <f t="shared" si="51"/>
        <v>213.6962</v>
      </c>
      <c r="I4685" s="28">
        <f t="shared" si="52"/>
        <v>220.90100000000001</v>
      </c>
      <c r="J4685" s="28">
        <f t="shared" si="53"/>
        <v>226.23490000000001</v>
      </c>
      <c r="K4685" s="28">
        <f t="shared" si="54"/>
        <v>234.88659999999999</v>
      </c>
      <c r="L4685" s="4"/>
      <c r="M4685" s="241">
        <v>220.90100000000001</v>
      </c>
    </row>
    <row r="4686" spans="3:13" hidden="1" outlineLevel="1" x14ac:dyDescent="0.2">
      <c r="C4686" s="28">
        <f t="shared" si="49"/>
        <v>2.7421875</v>
      </c>
      <c r="D4686" s="28">
        <f t="shared" si="46"/>
        <v>351</v>
      </c>
      <c r="E4686" s="28">
        <f t="shared" si="47"/>
        <v>307.125</v>
      </c>
      <c r="F4686" s="28">
        <f t="shared" si="48"/>
        <v>236.25</v>
      </c>
      <c r="G4686" s="28">
        <f t="shared" si="50"/>
        <v>198.90975</v>
      </c>
      <c r="H4686" s="28">
        <f t="shared" si="51"/>
        <v>214.6686</v>
      </c>
      <c r="I4686" s="28">
        <f t="shared" si="52"/>
        <v>221.89500000000001</v>
      </c>
      <c r="J4686" s="28">
        <f t="shared" si="53"/>
        <v>227.24619999999999</v>
      </c>
      <c r="K4686" s="28">
        <f t="shared" si="54"/>
        <v>235.92750000000001</v>
      </c>
      <c r="L4686" s="4"/>
      <c r="M4686" s="241">
        <v>221.89500000000001</v>
      </c>
    </row>
    <row r="4687" spans="3:13" hidden="1" outlineLevel="1" x14ac:dyDescent="0.2">
      <c r="C4687" s="28">
        <f t="shared" si="49"/>
        <v>2.75</v>
      </c>
      <c r="D4687" s="28">
        <f t="shared" si="46"/>
        <v>352</v>
      </c>
      <c r="E4687" s="28">
        <f t="shared" si="47"/>
        <v>308</v>
      </c>
      <c r="F4687" s="28">
        <f t="shared" si="48"/>
        <v>236.92307692307691</v>
      </c>
      <c r="G4687" s="28">
        <f t="shared" si="50"/>
        <v>198.90975</v>
      </c>
      <c r="H4687" s="28">
        <f t="shared" si="51"/>
        <v>214.6686</v>
      </c>
      <c r="I4687" s="28">
        <f t="shared" si="52"/>
        <v>221.89500000000001</v>
      </c>
      <c r="J4687" s="28">
        <f t="shared" si="53"/>
        <v>227.24619999999999</v>
      </c>
      <c r="K4687" s="28">
        <f t="shared" si="54"/>
        <v>235.92750000000001</v>
      </c>
      <c r="L4687" s="4"/>
      <c r="M4687" s="241">
        <v>221.89500000000001</v>
      </c>
    </row>
    <row r="4688" spans="3:13" hidden="1" outlineLevel="1" x14ac:dyDescent="0.2">
      <c r="C4688" s="28">
        <f t="shared" si="49"/>
        <v>2.7578125</v>
      </c>
      <c r="D4688" s="28">
        <f t="shared" si="46"/>
        <v>353</v>
      </c>
      <c r="E4688" s="28">
        <f t="shared" si="47"/>
        <v>308.875</v>
      </c>
      <c r="F4688" s="28">
        <f t="shared" si="48"/>
        <v>237.59615384615384</v>
      </c>
      <c r="G4688" s="28">
        <f t="shared" si="50"/>
        <v>199.8381</v>
      </c>
      <c r="H4688" s="28">
        <f t="shared" si="51"/>
        <v>215.64150000000001</v>
      </c>
      <c r="I4688" s="28">
        <f t="shared" si="52"/>
        <v>222.8895</v>
      </c>
      <c r="J4688" s="28">
        <f t="shared" si="53"/>
        <v>228.25800000000001</v>
      </c>
      <c r="K4688" s="28">
        <f t="shared" si="54"/>
        <v>236.96789999999999</v>
      </c>
      <c r="L4688" s="4"/>
      <c r="M4688" s="241">
        <v>222.8895</v>
      </c>
    </row>
    <row r="4689" spans="3:13" hidden="1" outlineLevel="1" x14ac:dyDescent="0.2">
      <c r="C4689" s="28">
        <f t="shared" si="49"/>
        <v>2.765625</v>
      </c>
      <c r="D4689" s="28">
        <f t="shared" si="46"/>
        <v>354</v>
      </c>
      <c r="E4689" s="28">
        <f t="shared" si="47"/>
        <v>309.75</v>
      </c>
      <c r="F4689" s="28">
        <f t="shared" si="48"/>
        <v>238.26923076923077</v>
      </c>
      <c r="G4689" s="28">
        <f t="shared" si="50"/>
        <v>200.76669999999999</v>
      </c>
      <c r="H4689" s="28">
        <f t="shared" si="51"/>
        <v>216.614</v>
      </c>
      <c r="I4689" s="28">
        <f t="shared" si="52"/>
        <v>223.8845</v>
      </c>
      <c r="J4689" s="28">
        <f t="shared" si="53"/>
        <v>229.26920000000001</v>
      </c>
      <c r="K4689" s="28">
        <f t="shared" si="54"/>
        <v>238.00880000000001</v>
      </c>
      <c r="L4689" s="4"/>
      <c r="M4689" s="241">
        <v>223.8845</v>
      </c>
    </row>
    <row r="4690" spans="3:13" hidden="1" outlineLevel="1" x14ac:dyDescent="0.2">
      <c r="C4690" s="28">
        <f t="shared" si="49"/>
        <v>2.7734375</v>
      </c>
      <c r="D4690" s="28">
        <f t="shared" si="46"/>
        <v>355</v>
      </c>
      <c r="E4690" s="28">
        <f t="shared" si="47"/>
        <v>310.625</v>
      </c>
      <c r="F4690" s="28">
        <f t="shared" si="48"/>
        <v>238.94230769230768</v>
      </c>
      <c r="G4690" s="28">
        <f t="shared" si="50"/>
        <v>200.76669999999999</v>
      </c>
      <c r="H4690" s="28">
        <f t="shared" si="51"/>
        <v>216.614</v>
      </c>
      <c r="I4690" s="28">
        <f t="shared" si="52"/>
        <v>223.8845</v>
      </c>
      <c r="J4690" s="28">
        <f t="shared" si="53"/>
        <v>229.26920000000001</v>
      </c>
      <c r="K4690" s="28">
        <f t="shared" si="54"/>
        <v>238.00880000000001</v>
      </c>
      <c r="L4690" s="4"/>
      <c r="M4690" s="241">
        <v>223.8845</v>
      </c>
    </row>
    <row r="4691" spans="3:13" hidden="1" outlineLevel="1" x14ac:dyDescent="0.2">
      <c r="C4691" s="28">
        <f t="shared" si="49"/>
        <v>2.78125</v>
      </c>
      <c r="D4691" s="28">
        <f t="shared" si="46"/>
        <v>356</v>
      </c>
      <c r="E4691" s="28">
        <f t="shared" si="47"/>
        <v>311.5</v>
      </c>
      <c r="F4691" s="28">
        <f t="shared" si="48"/>
        <v>239.61538461538461</v>
      </c>
      <c r="G4691" s="28">
        <f t="shared" si="50"/>
        <v>201.69499999999999</v>
      </c>
      <c r="H4691" s="28">
        <f t="shared" si="51"/>
        <v>217.58709999999999</v>
      </c>
      <c r="I4691" s="28">
        <f t="shared" si="52"/>
        <v>224.87889999999999</v>
      </c>
      <c r="J4691" s="28">
        <f t="shared" si="53"/>
        <v>230.2808</v>
      </c>
      <c r="K4691" s="28">
        <f t="shared" si="54"/>
        <v>239.0489</v>
      </c>
      <c r="L4691" s="4"/>
      <c r="M4691" s="241">
        <v>224.87889999999999</v>
      </c>
    </row>
    <row r="4692" spans="3:13" hidden="1" outlineLevel="1" x14ac:dyDescent="0.2">
      <c r="C4692" s="28">
        <f t="shared" si="49"/>
        <v>2.7890625</v>
      </c>
      <c r="D4692" s="28">
        <f t="shared" si="46"/>
        <v>357</v>
      </c>
      <c r="E4692" s="28">
        <f t="shared" si="47"/>
        <v>312.375</v>
      </c>
      <c r="F4692" s="28">
        <f t="shared" si="48"/>
        <v>240.28846153846152</v>
      </c>
      <c r="G4692" s="28">
        <f t="shared" si="50"/>
        <v>202.6241</v>
      </c>
      <c r="H4692" s="28">
        <f t="shared" si="51"/>
        <v>218.55969999999999</v>
      </c>
      <c r="I4692" s="28">
        <f t="shared" si="52"/>
        <v>225.87389999999999</v>
      </c>
      <c r="J4692" s="28">
        <f t="shared" si="53"/>
        <v>231.2929</v>
      </c>
      <c r="K4692" s="28">
        <f t="shared" si="54"/>
        <v>240.08940000000001</v>
      </c>
      <c r="L4692" s="4"/>
      <c r="M4692" s="241">
        <v>225.87389999999999</v>
      </c>
    </row>
    <row r="4693" spans="3:13" hidden="1" outlineLevel="1" x14ac:dyDescent="0.2">
      <c r="C4693" s="28">
        <f t="shared" si="49"/>
        <v>2.796875</v>
      </c>
      <c r="D4693" s="28">
        <f t="shared" si="46"/>
        <v>358</v>
      </c>
      <c r="E4693" s="28">
        <f t="shared" si="47"/>
        <v>313.25</v>
      </c>
      <c r="F4693" s="28">
        <f t="shared" si="48"/>
        <v>240.96153846153845</v>
      </c>
      <c r="G4693" s="28">
        <f t="shared" si="50"/>
        <v>202.6241</v>
      </c>
      <c r="H4693" s="28">
        <f t="shared" si="51"/>
        <v>218.55969999999999</v>
      </c>
      <c r="I4693" s="28">
        <f t="shared" si="52"/>
        <v>225.87389999999999</v>
      </c>
      <c r="J4693" s="28">
        <f t="shared" si="53"/>
        <v>231.2929</v>
      </c>
      <c r="K4693" s="28">
        <f t="shared" si="54"/>
        <v>240.08940000000001</v>
      </c>
      <c r="L4693" s="4"/>
      <c r="M4693" s="241">
        <v>225.87389999999999</v>
      </c>
    </row>
    <row r="4694" spans="3:13" hidden="1" outlineLevel="1" x14ac:dyDescent="0.2">
      <c r="C4694" s="28">
        <f t="shared" si="49"/>
        <v>2.8046875</v>
      </c>
      <c r="D4694" s="28">
        <f t="shared" si="46"/>
        <v>359</v>
      </c>
      <c r="E4694" s="28">
        <f t="shared" si="47"/>
        <v>314.125</v>
      </c>
      <c r="F4694" s="28">
        <f t="shared" si="48"/>
        <v>241.63461538461539</v>
      </c>
      <c r="G4694" s="28">
        <f t="shared" si="50"/>
        <v>203.55289999999999</v>
      </c>
      <c r="H4694" s="28">
        <f t="shared" si="51"/>
        <v>219.53290000000001</v>
      </c>
      <c r="I4694" s="28">
        <f t="shared" si="52"/>
        <v>226.8683</v>
      </c>
      <c r="J4694" s="28">
        <f t="shared" si="53"/>
        <v>232.30439999999999</v>
      </c>
      <c r="K4694" s="28">
        <f t="shared" si="54"/>
        <v>241.1302</v>
      </c>
      <c r="L4694" s="4"/>
      <c r="M4694" s="241">
        <v>226.8683</v>
      </c>
    </row>
    <row r="4695" spans="3:13" hidden="1" outlineLevel="1" x14ac:dyDescent="0.2">
      <c r="C4695" s="28">
        <f t="shared" si="49"/>
        <v>2.8125</v>
      </c>
      <c r="D4695" s="28">
        <f t="shared" si="46"/>
        <v>360</v>
      </c>
      <c r="E4695" s="28">
        <f t="shared" si="47"/>
        <v>315</v>
      </c>
      <c r="F4695" s="28">
        <f t="shared" si="48"/>
        <v>242.30769230769229</v>
      </c>
      <c r="G4695" s="28">
        <f t="shared" si="50"/>
        <v>204.48240000000001</v>
      </c>
      <c r="H4695" s="28">
        <f t="shared" si="51"/>
        <v>220.50659999999999</v>
      </c>
      <c r="I4695" s="28">
        <f t="shared" si="52"/>
        <v>227.86420000000001</v>
      </c>
      <c r="J4695" s="28">
        <f t="shared" si="53"/>
        <v>233.31630000000001</v>
      </c>
      <c r="K4695" s="28">
        <f t="shared" si="54"/>
        <v>242.17140000000001</v>
      </c>
      <c r="L4695" s="4"/>
      <c r="M4695" s="241">
        <v>227.86420000000001</v>
      </c>
    </row>
    <row r="4696" spans="3:13" hidden="1" outlineLevel="1" x14ac:dyDescent="0.2">
      <c r="C4696" s="28">
        <f t="shared" si="49"/>
        <v>2.8203125</v>
      </c>
      <c r="D4696" s="28">
        <f t="shared" si="46"/>
        <v>361</v>
      </c>
      <c r="E4696" s="28">
        <f t="shared" si="47"/>
        <v>315.875</v>
      </c>
      <c r="F4696" s="28">
        <f t="shared" si="48"/>
        <v>242.98076923076923</v>
      </c>
      <c r="G4696" s="28">
        <f t="shared" si="50"/>
        <v>204.48240000000001</v>
      </c>
      <c r="H4696" s="28">
        <f t="shared" si="51"/>
        <v>220.50659999999999</v>
      </c>
      <c r="I4696" s="28">
        <f t="shared" si="52"/>
        <v>227.86420000000001</v>
      </c>
      <c r="J4696" s="28">
        <f t="shared" si="53"/>
        <v>233.31630000000001</v>
      </c>
      <c r="K4696" s="28">
        <f t="shared" si="54"/>
        <v>242.17140000000001</v>
      </c>
      <c r="L4696" s="4"/>
      <c r="M4696" s="241">
        <v>227.86420000000001</v>
      </c>
    </row>
    <row r="4697" spans="3:13" hidden="1" outlineLevel="1" x14ac:dyDescent="0.2">
      <c r="C4697" s="28">
        <f t="shared" si="49"/>
        <v>2.828125</v>
      </c>
      <c r="D4697" s="28">
        <f t="shared" si="46"/>
        <v>362</v>
      </c>
      <c r="E4697" s="28">
        <f t="shared" si="47"/>
        <v>316.75</v>
      </c>
      <c r="F4697" s="28">
        <f t="shared" si="48"/>
        <v>243.65384615384613</v>
      </c>
      <c r="G4697" s="28">
        <f t="shared" si="50"/>
        <v>205.4118</v>
      </c>
      <c r="H4697" s="28">
        <f t="shared" si="51"/>
        <v>221.47989999999999</v>
      </c>
      <c r="I4697" s="28">
        <f t="shared" si="52"/>
        <v>228.8586</v>
      </c>
      <c r="J4697" s="28">
        <f t="shared" si="53"/>
        <v>234.32859999999999</v>
      </c>
      <c r="K4697" s="28">
        <f t="shared" si="54"/>
        <v>243.21190000000001</v>
      </c>
      <c r="L4697" s="4"/>
      <c r="M4697" s="241">
        <v>228.8586</v>
      </c>
    </row>
    <row r="4698" spans="3:13" hidden="1" outlineLevel="1" x14ac:dyDescent="0.2">
      <c r="C4698" s="28">
        <f t="shared" si="49"/>
        <v>2.8359375</v>
      </c>
      <c r="D4698" s="28">
        <f t="shared" si="46"/>
        <v>363</v>
      </c>
      <c r="E4698" s="28">
        <f t="shared" si="47"/>
        <v>317.625</v>
      </c>
      <c r="F4698" s="28">
        <f t="shared" si="48"/>
        <v>244.32692307692307</v>
      </c>
      <c r="G4698" s="28">
        <f t="shared" si="50"/>
        <v>206.34120000000001</v>
      </c>
      <c r="H4698" s="28">
        <f t="shared" si="51"/>
        <v>222.4537</v>
      </c>
      <c r="I4698" s="28">
        <f t="shared" si="52"/>
        <v>229.8544</v>
      </c>
      <c r="J4698" s="28">
        <f t="shared" si="53"/>
        <v>235.34039999999999</v>
      </c>
      <c r="K4698" s="28">
        <f t="shared" si="54"/>
        <v>244.25370000000001</v>
      </c>
      <c r="L4698" s="4"/>
      <c r="M4698" s="241">
        <v>229.8544</v>
      </c>
    </row>
    <row r="4699" spans="3:13" hidden="1" outlineLevel="1" x14ac:dyDescent="0.2">
      <c r="C4699" s="28">
        <f t="shared" si="49"/>
        <v>2.84375</v>
      </c>
      <c r="D4699" s="28">
        <f t="shared" si="46"/>
        <v>364</v>
      </c>
      <c r="E4699" s="28">
        <f t="shared" si="47"/>
        <v>318.5</v>
      </c>
      <c r="F4699" s="28">
        <f t="shared" si="48"/>
        <v>245</v>
      </c>
      <c r="G4699" s="28">
        <f t="shared" si="50"/>
        <v>207.2706</v>
      </c>
      <c r="H4699" s="28">
        <f t="shared" si="51"/>
        <v>223.4271</v>
      </c>
      <c r="I4699" s="28">
        <f t="shared" si="52"/>
        <v>230.84970000000001</v>
      </c>
      <c r="J4699" s="28">
        <f t="shared" si="53"/>
        <v>236.3526</v>
      </c>
      <c r="K4699" s="28">
        <f t="shared" si="54"/>
        <v>245.2938</v>
      </c>
      <c r="L4699" s="4"/>
      <c r="M4699" s="241">
        <v>230.84970000000001</v>
      </c>
    </row>
    <row r="4700" spans="3:13" hidden="1" outlineLevel="1" x14ac:dyDescent="0.2">
      <c r="C4700" s="28">
        <f t="shared" si="49"/>
        <v>2.8515625</v>
      </c>
      <c r="D4700" s="28">
        <f t="shared" si="46"/>
        <v>365</v>
      </c>
      <c r="E4700" s="28">
        <f t="shared" si="47"/>
        <v>319.375</v>
      </c>
      <c r="F4700" s="28">
        <f t="shared" si="48"/>
        <v>245.67307692307691</v>
      </c>
      <c r="G4700" s="28">
        <f t="shared" si="50"/>
        <v>207.2706</v>
      </c>
      <c r="H4700" s="28">
        <f t="shared" si="51"/>
        <v>223.4271</v>
      </c>
      <c r="I4700" s="28">
        <f t="shared" si="52"/>
        <v>230.84970000000001</v>
      </c>
      <c r="J4700" s="28">
        <f t="shared" si="53"/>
        <v>236.3526</v>
      </c>
      <c r="K4700" s="28">
        <f t="shared" si="54"/>
        <v>245.2938</v>
      </c>
      <c r="L4700" s="4"/>
      <c r="M4700" s="241">
        <v>230.84970000000001</v>
      </c>
    </row>
    <row r="4701" spans="3:13" hidden="1" outlineLevel="1" x14ac:dyDescent="0.2">
      <c r="C4701" s="28">
        <f t="shared" si="49"/>
        <v>2.859375</v>
      </c>
      <c r="D4701" s="28">
        <f t="shared" si="46"/>
        <v>366</v>
      </c>
      <c r="E4701" s="28">
        <f t="shared" si="47"/>
        <v>320.25</v>
      </c>
      <c r="F4701" s="28">
        <f t="shared" si="48"/>
        <v>246.34615384615384</v>
      </c>
      <c r="G4701" s="28">
        <f t="shared" si="50"/>
        <v>208.2011</v>
      </c>
      <c r="H4701" s="28">
        <f t="shared" si="51"/>
        <v>224.40100000000001</v>
      </c>
      <c r="I4701" s="28">
        <f t="shared" si="52"/>
        <v>231.84450000000001</v>
      </c>
      <c r="J4701" s="28">
        <f t="shared" si="53"/>
        <v>237.36519999999999</v>
      </c>
      <c r="K4701" s="28">
        <f t="shared" si="54"/>
        <v>246.33519999999999</v>
      </c>
      <c r="L4701" s="4"/>
      <c r="M4701" s="241">
        <v>231.84450000000001</v>
      </c>
    </row>
    <row r="4702" spans="3:13" hidden="1" outlineLevel="1" x14ac:dyDescent="0.2">
      <c r="C4702" s="28">
        <f t="shared" si="49"/>
        <v>2.8671875</v>
      </c>
      <c r="D4702" s="28">
        <f t="shared" si="46"/>
        <v>367</v>
      </c>
      <c r="E4702" s="28">
        <f t="shared" si="47"/>
        <v>321.125</v>
      </c>
      <c r="F4702" s="28">
        <f t="shared" si="48"/>
        <v>247.01923076923077</v>
      </c>
      <c r="G4702" s="28">
        <f t="shared" si="50"/>
        <v>209.13130000000001</v>
      </c>
      <c r="H4702" s="28">
        <f t="shared" si="51"/>
        <v>225.37440000000001</v>
      </c>
      <c r="I4702" s="28">
        <f t="shared" si="52"/>
        <v>232.83969999999999</v>
      </c>
      <c r="J4702" s="28">
        <f t="shared" si="53"/>
        <v>238.37719999999999</v>
      </c>
      <c r="K4702" s="28">
        <f t="shared" si="54"/>
        <v>247.376</v>
      </c>
      <c r="L4702" s="4"/>
      <c r="M4702" s="241">
        <v>232.83969999999999</v>
      </c>
    </row>
    <row r="4703" spans="3:13" hidden="1" outlineLevel="1" x14ac:dyDescent="0.2">
      <c r="C4703" s="28">
        <f t="shared" si="49"/>
        <v>2.875</v>
      </c>
      <c r="D4703" s="28">
        <f t="shared" si="46"/>
        <v>368</v>
      </c>
      <c r="E4703" s="28">
        <f t="shared" si="47"/>
        <v>322</v>
      </c>
      <c r="F4703" s="28">
        <f t="shared" si="48"/>
        <v>247.69230769230768</v>
      </c>
      <c r="G4703" s="28">
        <f t="shared" si="50"/>
        <v>209.13130000000001</v>
      </c>
      <c r="H4703" s="28">
        <f t="shared" si="51"/>
        <v>225.37440000000001</v>
      </c>
      <c r="I4703" s="28">
        <f t="shared" si="52"/>
        <v>232.83969999999999</v>
      </c>
      <c r="J4703" s="28">
        <f t="shared" si="53"/>
        <v>238.37719999999999</v>
      </c>
      <c r="K4703" s="28">
        <f t="shared" si="54"/>
        <v>247.376</v>
      </c>
      <c r="L4703" s="4"/>
      <c r="M4703" s="241">
        <v>232.83969999999999</v>
      </c>
    </row>
    <row r="4704" spans="3:13" hidden="1" outlineLevel="1" x14ac:dyDescent="0.2">
      <c r="C4704" s="28">
        <f t="shared" si="49"/>
        <v>2.8828125</v>
      </c>
      <c r="D4704" s="28">
        <f t="shared" si="46"/>
        <v>369</v>
      </c>
      <c r="E4704" s="28">
        <f t="shared" si="47"/>
        <v>322.875</v>
      </c>
      <c r="F4704" s="28">
        <f t="shared" si="48"/>
        <v>248.36538461538461</v>
      </c>
      <c r="G4704" s="28">
        <f t="shared" si="50"/>
        <v>210.06120000000001</v>
      </c>
      <c r="H4704" s="28">
        <f t="shared" si="51"/>
        <v>226.34829999999999</v>
      </c>
      <c r="I4704" s="28">
        <f t="shared" si="52"/>
        <v>233.83529999999999</v>
      </c>
      <c r="J4704" s="28">
        <f t="shared" si="53"/>
        <v>239.3896</v>
      </c>
      <c r="K4704" s="28">
        <f t="shared" si="54"/>
        <v>248.4171</v>
      </c>
      <c r="L4704" s="4"/>
      <c r="M4704" s="241">
        <v>233.83529999999999</v>
      </c>
    </row>
    <row r="4705" spans="3:13" hidden="1" outlineLevel="1" x14ac:dyDescent="0.2">
      <c r="C4705" s="28">
        <f t="shared" si="49"/>
        <v>2.890625</v>
      </c>
      <c r="D4705" s="28">
        <f t="shared" si="46"/>
        <v>370</v>
      </c>
      <c r="E4705" s="28">
        <f t="shared" si="47"/>
        <v>323.75</v>
      </c>
      <c r="F4705" s="28">
        <f t="shared" si="48"/>
        <v>249.03846153846152</v>
      </c>
      <c r="G4705" s="28">
        <f t="shared" si="50"/>
        <v>210.99180000000001</v>
      </c>
      <c r="H4705" s="28">
        <f t="shared" si="51"/>
        <v>227.3228</v>
      </c>
      <c r="I4705" s="28">
        <f t="shared" si="52"/>
        <v>234.8314</v>
      </c>
      <c r="J4705" s="28">
        <f t="shared" si="53"/>
        <v>240.4023</v>
      </c>
      <c r="K4705" s="28">
        <f t="shared" si="54"/>
        <v>249.45840000000001</v>
      </c>
      <c r="L4705" s="4"/>
      <c r="M4705" s="241">
        <v>234.8314</v>
      </c>
    </row>
    <row r="4706" spans="3:13" hidden="1" outlineLevel="1" x14ac:dyDescent="0.2">
      <c r="C4706" s="28">
        <f t="shared" si="49"/>
        <v>2.8984375</v>
      </c>
      <c r="D4706" s="28">
        <f t="shared" si="46"/>
        <v>371</v>
      </c>
      <c r="E4706" s="28">
        <f t="shared" si="47"/>
        <v>324.625</v>
      </c>
      <c r="F4706" s="28">
        <f t="shared" si="48"/>
        <v>249.71153846153845</v>
      </c>
      <c r="G4706" s="28">
        <f t="shared" si="50"/>
        <v>210.99180000000001</v>
      </c>
      <c r="H4706" s="28">
        <f t="shared" si="51"/>
        <v>227.3228</v>
      </c>
      <c r="I4706" s="28">
        <f t="shared" si="52"/>
        <v>234.8314</v>
      </c>
      <c r="J4706" s="28">
        <f t="shared" si="53"/>
        <v>240.4023</v>
      </c>
      <c r="K4706" s="28">
        <f t="shared" si="54"/>
        <v>249.45840000000001</v>
      </c>
      <c r="L4706" s="4"/>
      <c r="M4706" s="241">
        <v>234.8314</v>
      </c>
    </row>
    <row r="4707" spans="3:13" hidden="1" outlineLevel="1" x14ac:dyDescent="0.2">
      <c r="C4707" s="28">
        <f t="shared" si="49"/>
        <v>2.90625</v>
      </c>
      <c r="D4707" s="28">
        <f t="shared" si="46"/>
        <v>372</v>
      </c>
      <c r="E4707" s="28">
        <f t="shared" si="47"/>
        <v>325.5</v>
      </c>
      <c r="F4707" s="28">
        <f t="shared" si="48"/>
        <v>250.38461538461539</v>
      </c>
      <c r="G4707" s="28">
        <f t="shared" si="50"/>
        <v>211.92287142857143</v>
      </c>
      <c r="H4707" s="28">
        <f t="shared" si="51"/>
        <v>228.29712857142857</v>
      </c>
      <c r="I4707" s="28">
        <f t="shared" si="52"/>
        <v>235.82722857142858</v>
      </c>
      <c r="J4707" s="28">
        <f t="shared" si="53"/>
        <v>241.41492857142856</v>
      </c>
      <c r="K4707" s="28">
        <f t="shared" si="54"/>
        <v>250.49984285714285</v>
      </c>
      <c r="L4707" s="4"/>
      <c r="M4707" s="241">
        <v>235.82722857142858</v>
      </c>
    </row>
    <row r="4708" spans="3:13" hidden="1" outlineLevel="1" x14ac:dyDescent="0.2">
      <c r="C4708" s="28">
        <f t="shared" si="49"/>
        <v>2.9140625</v>
      </c>
      <c r="D4708" s="28">
        <f t="shared" si="46"/>
        <v>373</v>
      </c>
      <c r="E4708" s="28">
        <f t="shared" si="47"/>
        <v>326.375</v>
      </c>
      <c r="F4708" s="28">
        <f t="shared" si="48"/>
        <v>251.05769230769229</v>
      </c>
      <c r="G4708" s="28">
        <f t="shared" si="50"/>
        <v>212.85394285714284</v>
      </c>
      <c r="H4708" s="28">
        <f t="shared" si="51"/>
        <v>229.27145714285714</v>
      </c>
      <c r="I4708" s="28">
        <f t="shared" si="52"/>
        <v>236.82305714285715</v>
      </c>
      <c r="J4708" s="28">
        <f t="shared" si="53"/>
        <v>242.42755714285713</v>
      </c>
      <c r="K4708" s="28">
        <f t="shared" si="54"/>
        <v>251.54128571428569</v>
      </c>
      <c r="L4708" s="4"/>
      <c r="M4708" s="241">
        <v>236.82305714285715</v>
      </c>
    </row>
    <row r="4709" spans="3:13" hidden="1" outlineLevel="1" x14ac:dyDescent="0.2">
      <c r="C4709" s="28">
        <f t="shared" si="49"/>
        <v>2.921875</v>
      </c>
      <c r="D4709" s="28">
        <f t="shared" si="46"/>
        <v>374</v>
      </c>
      <c r="E4709" s="28">
        <f t="shared" si="47"/>
        <v>327.25</v>
      </c>
      <c r="F4709" s="28">
        <f t="shared" si="48"/>
        <v>251.73076923076923</v>
      </c>
      <c r="G4709" s="28">
        <f t="shared" si="50"/>
        <v>212.85394285714284</v>
      </c>
      <c r="H4709" s="28">
        <f t="shared" si="51"/>
        <v>229.27145714285714</v>
      </c>
      <c r="I4709" s="28">
        <f t="shared" si="52"/>
        <v>236.82305714285715</v>
      </c>
      <c r="J4709" s="28">
        <f t="shared" si="53"/>
        <v>242.42755714285713</v>
      </c>
      <c r="K4709" s="28">
        <f t="shared" si="54"/>
        <v>251.54128571428569</v>
      </c>
      <c r="L4709" s="4"/>
      <c r="M4709" s="241">
        <v>236.82305714285715</v>
      </c>
    </row>
    <row r="4710" spans="3:13" hidden="1" outlineLevel="1" x14ac:dyDescent="0.2">
      <c r="C4710" s="28">
        <f t="shared" si="49"/>
        <v>2.9296875</v>
      </c>
      <c r="D4710" s="28">
        <f t="shared" si="46"/>
        <v>375</v>
      </c>
      <c r="E4710" s="28">
        <f t="shared" si="47"/>
        <v>328.125</v>
      </c>
      <c r="F4710" s="28">
        <f t="shared" si="48"/>
        <v>252.40384615384613</v>
      </c>
      <c r="G4710" s="28">
        <f t="shared" si="50"/>
        <v>213.78501428571425</v>
      </c>
      <c r="H4710" s="28">
        <f t="shared" si="51"/>
        <v>230.24578571428572</v>
      </c>
      <c r="I4710" s="28">
        <f t="shared" si="52"/>
        <v>237.81888571428573</v>
      </c>
      <c r="J4710" s="28">
        <f t="shared" si="53"/>
        <v>243.44018571428569</v>
      </c>
      <c r="K4710" s="28">
        <f t="shared" si="54"/>
        <v>252.58272857142853</v>
      </c>
      <c r="L4710" s="4"/>
      <c r="M4710" s="241">
        <v>237.81888571428573</v>
      </c>
    </row>
    <row r="4711" spans="3:13" hidden="1" outlineLevel="1" x14ac:dyDescent="0.2">
      <c r="C4711" s="28">
        <f t="shared" si="49"/>
        <v>2.9375</v>
      </c>
      <c r="D4711" s="28">
        <f t="shared" si="46"/>
        <v>376</v>
      </c>
      <c r="E4711" s="28">
        <f t="shared" si="47"/>
        <v>329</v>
      </c>
      <c r="F4711" s="28">
        <f t="shared" si="48"/>
        <v>253.07692307692307</v>
      </c>
      <c r="G4711" s="28">
        <f t="shared" si="50"/>
        <v>214.71608571428567</v>
      </c>
      <c r="H4711" s="28">
        <f t="shared" si="51"/>
        <v>231.22011428571429</v>
      </c>
      <c r="I4711" s="28">
        <f t="shared" si="52"/>
        <v>238.8147142857143</v>
      </c>
      <c r="J4711" s="28">
        <f t="shared" si="53"/>
        <v>244.45281428571425</v>
      </c>
      <c r="K4711" s="28">
        <f t="shared" si="54"/>
        <v>253.62417142857137</v>
      </c>
      <c r="L4711" s="4"/>
      <c r="M4711" s="241">
        <v>238.8147142857143</v>
      </c>
    </row>
    <row r="4712" spans="3:13" hidden="1" outlineLevel="1" x14ac:dyDescent="0.2">
      <c r="C4712" s="28">
        <f t="shared" si="49"/>
        <v>2.9453125</v>
      </c>
      <c r="D4712" s="28">
        <f t="shared" si="46"/>
        <v>377</v>
      </c>
      <c r="E4712" s="28">
        <f t="shared" si="47"/>
        <v>329.875</v>
      </c>
      <c r="F4712" s="28">
        <f t="shared" si="48"/>
        <v>253.75</v>
      </c>
      <c r="G4712" s="28">
        <f t="shared" si="50"/>
        <v>214.71608571428567</v>
      </c>
      <c r="H4712" s="28">
        <f t="shared" si="51"/>
        <v>231.22011428571429</v>
      </c>
      <c r="I4712" s="28">
        <f t="shared" si="52"/>
        <v>238.8147142857143</v>
      </c>
      <c r="J4712" s="28">
        <f t="shared" si="53"/>
        <v>244.45281428571425</v>
      </c>
      <c r="K4712" s="28">
        <f t="shared" si="54"/>
        <v>253.62417142857137</v>
      </c>
      <c r="L4712" s="4"/>
      <c r="M4712" s="241">
        <v>238.8147142857143</v>
      </c>
    </row>
    <row r="4713" spans="3:13" hidden="1" outlineLevel="1" x14ac:dyDescent="0.2">
      <c r="C4713" s="28">
        <f t="shared" si="49"/>
        <v>2.953125</v>
      </c>
      <c r="D4713" s="28">
        <f t="shared" si="46"/>
        <v>378</v>
      </c>
      <c r="E4713" s="28">
        <f t="shared" si="47"/>
        <v>330.75</v>
      </c>
      <c r="F4713" s="28">
        <f t="shared" si="48"/>
        <v>254.42307692307691</v>
      </c>
      <c r="G4713" s="28">
        <f t="shared" si="50"/>
        <v>215.64715714285708</v>
      </c>
      <c r="H4713" s="28">
        <f t="shared" si="51"/>
        <v>232.19444285714286</v>
      </c>
      <c r="I4713" s="28">
        <f t="shared" si="52"/>
        <v>239.81054285714288</v>
      </c>
      <c r="J4713" s="28">
        <f t="shared" si="53"/>
        <v>245.46544285714282</v>
      </c>
      <c r="K4713" s="28">
        <f t="shared" si="54"/>
        <v>254.66561428571421</v>
      </c>
      <c r="L4713" s="4"/>
      <c r="M4713" s="241">
        <v>239.81054285714288</v>
      </c>
    </row>
    <row r="4714" spans="3:13" hidden="1" outlineLevel="1" x14ac:dyDescent="0.2">
      <c r="C4714" s="28">
        <f t="shared" si="49"/>
        <v>2.9609375</v>
      </c>
      <c r="D4714" s="28">
        <f t="shared" si="46"/>
        <v>379</v>
      </c>
      <c r="E4714" s="28">
        <f t="shared" si="47"/>
        <v>331.625</v>
      </c>
      <c r="F4714" s="28">
        <f t="shared" si="48"/>
        <v>255.09615384615384</v>
      </c>
      <c r="G4714" s="28">
        <f t="shared" si="50"/>
        <v>216.5782285714285</v>
      </c>
      <c r="H4714" s="28">
        <f t="shared" si="51"/>
        <v>233.16877142857143</v>
      </c>
      <c r="I4714" s="28">
        <f t="shared" si="52"/>
        <v>240.80637142857145</v>
      </c>
      <c r="J4714" s="28">
        <f t="shared" si="53"/>
        <v>246.47807142857138</v>
      </c>
      <c r="K4714" s="28">
        <f t="shared" si="54"/>
        <v>255.70705714285705</v>
      </c>
      <c r="L4714" s="4"/>
      <c r="M4714" s="241">
        <v>240.80637142857145</v>
      </c>
    </row>
    <row r="4715" spans="3:13" hidden="1" outlineLevel="1" x14ac:dyDescent="0.2">
      <c r="C4715" s="28">
        <f t="shared" si="49"/>
        <v>2.96875</v>
      </c>
      <c r="D4715" s="28">
        <f t="shared" si="46"/>
        <v>380</v>
      </c>
      <c r="E4715" s="28">
        <f t="shared" si="47"/>
        <v>332.5</v>
      </c>
      <c r="F4715" s="28">
        <f t="shared" si="48"/>
        <v>255.76923076923077</v>
      </c>
      <c r="G4715" s="28">
        <f t="shared" si="50"/>
        <v>216.5782285714285</v>
      </c>
      <c r="H4715" s="28">
        <f t="shared" si="51"/>
        <v>233.16877142857143</v>
      </c>
      <c r="I4715" s="28">
        <f t="shared" si="52"/>
        <v>240.80637142857145</v>
      </c>
      <c r="J4715" s="28">
        <f t="shared" si="53"/>
        <v>246.47807142857138</v>
      </c>
      <c r="K4715" s="28">
        <f t="shared" si="54"/>
        <v>255.70705714285705</v>
      </c>
      <c r="L4715" s="4"/>
      <c r="M4715" s="241">
        <v>240.80637142857145</v>
      </c>
    </row>
    <row r="4716" spans="3:13" hidden="1" outlineLevel="1" x14ac:dyDescent="0.2">
      <c r="C4716" s="28">
        <f t="shared" si="49"/>
        <v>2.9765625</v>
      </c>
      <c r="D4716" s="28">
        <f t="shared" si="46"/>
        <v>381</v>
      </c>
      <c r="E4716" s="28">
        <f t="shared" si="47"/>
        <v>333.375</v>
      </c>
      <c r="F4716" s="28">
        <f t="shared" si="48"/>
        <v>256.44230769230768</v>
      </c>
      <c r="G4716" s="28">
        <f t="shared" si="50"/>
        <v>217.5093</v>
      </c>
      <c r="H4716" s="28">
        <f t="shared" si="51"/>
        <v>234.1431</v>
      </c>
      <c r="I4716" s="28">
        <f t="shared" si="52"/>
        <v>241.8022</v>
      </c>
      <c r="J4716" s="28">
        <f t="shared" si="53"/>
        <v>247.4907</v>
      </c>
      <c r="K4716" s="28">
        <f t="shared" si="54"/>
        <v>256.74849999999998</v>
      </c>
      <c r="L4716" s="4"/>
      <c r="M4716" s="241">
        <v>241.8022</v>
      </c>
    </row>
    <row r="4717" spans="3:13" hidden="1" outlineLevel="1" x14ac:dyDescent="0.2">
      <c r="C4717" s="28">
        <f t="shared" si="49"/>
        <v>2.984375</v>
      </c>
      <c r="D4717" s="28">
        <f t="shared" si="46"/>
        <v>382</v>
      </c>
      <c r="E4717" s="28">
        <f t="shared" si="47"/>
        <v>334.25</v>
      </c>
      <c r="F4717" s="28">
        <f t="shared" si="48"/>
        <v>257.11538461538458</v>
      </c>
      <c r="G4717" s="28">
        <f t="shared" si="50"/>
        <v>218.44130000000001</v>
      </c>
      <c r="H4717" s="28">
        <f t="shared" si="51"/>
        <v>235.11850000000001</v>
      </c>
      <c r="I4717" s="28">
        <f t="shared" si="52"/>
        <v>242.7987</v>
      </c>
      <c r="J4717" s="28">
        <f t="shared" si="53"/>
        <v>248.50360000000001</v>
      </c>
      <c r="K4717" s="28">
        <f t="shared" si="54"/>
        <v>257.79020000000003</v>
      </c>
      <c r="L4717" s="4"/>
      <c r="M4717" s="241">
        <v>242.7987</v>
      </c>
    </row>
    <row r="4718" spans="3:13" hidden="1" outlineLevel="1" x14ac:dyDescent="0.2">
      <c r="C4718" s="28">
        <f t="shared" si="49"/>
        <v>2.9921875</v>
      </c>
      <c r="D4718" s="28">
        <f t="shared" si="46"/>
        <v>383</v>
      </c>
      <c r="E4718" s="28">
        <f t="shared" si="47"/>
        <v>335.125</v>
      </c>
      <c r="F4718" s="28">
        <f t="shared" si="48"/>
        <v>257.78846153846155</v>
      </c>
      <c r="G4718" s="28">
        <f t="shared" si="50"/>
        <v>218.44130000000001</v>
      </c>
      <c r="H4718" s="28">
        <f t="shared" si="51"/>
        <v>235.11850000000001</v>
      </c>
      <c r="I4718" s="28">
        <f t="shared" si="52"/>
        <v>242.7987</v>
      </c>
      <c r="J4718" s="28">
        <f t="shared" si="53"/>
        <v>248.50360000000001</v>
      </c>
      <c r="K4718" s="28">
        <f t="shared" si="54"/>
        <v>257.79020000000003</v>
      </c>
      <c r="L4718" s="4"/>
      <c r="M4718" s="241">
        <v>242.7987</v>
      </c>
    </row>
    <row r="4719" spans="3:13" hidden="1" outlineLevel="1" x14ac:dyDescent="0.2">
      <c r="C4719" s="28">
        <f t="shared" si="49"/>
        <v>3</v>
      </c>
      <c r="D4719" s="28">
        <f t="shared" si="46"/>
        <v>384</v>
      </c>
      <c r="E4719" s="28">
        <f t="shared" si="47"/>
        <v>336</v>
      </c>
      <c r="F4719" s="28">
        <f t="shared" si="48"/>
        <v>258.46153846153845</v>
      </c>
      <c r="G4719" s="28">
        <f t="shared" si="50"/>
        <v>219.37289999999999</v>
      </c>
      <c r="H4719" s="28">
        <f t="shared" si="51"/>
        <v>236.0934</v>
      </c>
      <c r="I4719" s="28">
        <f t="shared" si="52"/>
        <v>243.79570000000001</v>
      </c>
      <c r="J4719" s="28">
        <f t="shared" si="53"/>
        <v>249.51679999999999</v>
      </c>
      <c r="K4719" s="28">
        <f t="shared" si="54"/>
        <v>258.83120000000002</v>
      </c>
      <c r="L4719" s="4"/>
      <c r="M4719" s="241">
        <v>243.79570000000001</v>
      </c>
    </row>
    <row r="4720" spans="3:13" hidden="1" outlineLevel="1" x14ac:dyDescent="0.2">
      <c r="C4720" s="28">
        <f t="shared" si="49"/>
        <v>3.0078125</v>
      </c>
      <c r="D4720" s="28">
        <f t="shared" ref="D4720:D4783" si="55">C4720*Channels.per.carrier</f>
        <v>385</v>
      </c>
      <c r="E4720" s="28">
        <f t="shared" ref="E4720:E4783" si="56">D4720-C4720*R99.CE.signalling</f>
        <v>336.875</v>
      </c>
      <c r="F4720" s="28">
        <f t="shared" ref="F4720:F4783" si="57">E4720/(1+Release99.soft.handover+Release99.softer.handover)</f>
        <v>259.13461538461536</v>
      </c>
      <c r="G4720" s="28">
        <f t="shared" si="50"/>
        <v>220.30520000000001</v>
      </c>
      <c r="H4720" s="28">
        <f t="shared" si="51"/>
        <v>237.06870000000001</v>
      </c>
      <c r="I4720" s="28">
        <f t="shared" si="52"/>
        <v>244.792</v>
      </c>
      <c r="J4720" s="28">
        <f t="shared" si="53"/>
        <v>250.52930000000001</v>
      </c>
      <c r="K4720" s="28">
        <f t="shared" si="54"/>
        <v>259.8725</v>
      </c>
      <c r="M4720" s="241">
        <v>244.792</v>
      </c>
    </row>
    <row r="4721" spans="3:13" hidden="1" outlineLevel="1" x14ac:dyDescent="0.2">
      <c r="C4721" s="28">
        <f t="shared" ref="C4721:C4784" si="58">C4720+1/128</f>
        <v>3.015625</v>
      </c>
      <c r="D4721" s="28">
        <f t="shared" si="55"/>
        <v>386</v>
      </c>
      <c r="E4721" s="28">
        <f t="shared" si="56"/>
        <v>337.75</v>
      </c>
      <c r="F4721" s="28">
        <f t="shared" si="57"/>
        <v>259.80769230769232</v>
      </c>
      <c r="G4721" s="28">
        <f t="shared" ref="G4721:G4784" si="59">INDEX(D$10:D$4326,MATCH($F4721,$C$10:$C$4326,1))</f>
        <v>220.30520000000001</v>
      </c>
      <c r="H4721" s="28">
        <f t="shared" ref="H4721:H4784" si="60">INDEX(E$10:E$4326,MATCH($F4721,$C$10:$C$4326,1))</f>
        <v>237.06870000000001</v>
      </c>
      <c r="I4721" s="28">
        <f t="shared" ref="I4721:I4784" si="61">INDEX(F$10:F$4326,MATCH($F4721,$C$10:$C$4326,1))</f>
        <v>244.792</v>
      </c>
      <c r="J4721" s="28">
        <f t="shared" ref="J4721:J4784" si="62">INDEX(G$10:G$4326,MATCH($F4721,$C$10:$C$4326,1))</f>
        <v>250.52930000000001</v>
      </c>
      <c r="K4721" s="28">
        <f t="shared" ref="K4721:K4784" si="63">INDEX(H$10:H$4326,MATCH($F4721,$C$10:$C$4326,1))</f>
        <v>259.8725</v>
      </c>
      <c r="M4721" s="241">
        <v>244.792</v>
      </c>
    </row>
    <row r="4722" spans="3:13" hidden="1" outlineLevel="1" x14ac:dyDescent="0.2">
      <c r="C4722" s="28">
        <f t="shared" si="58"/>
        <v>3.0234375</v>
      </c>
      <c r="D4722" s="28">
        <f t="shared" si="55"/>
        <v>387</v>
      </c>
      <c r="E4722" s="28">
        <f t="shared" si="56"/>
        <v>338.625</v>
      </c>
      <c r="F4722" s="28">
        <f t="shared" si="57"/>
        <v>260.48076923076923</v>
      </c>
      <c r="G4722" s="28">
        <f t="shared" si="59"/>
        <v>221.2371</v>
      </c>
      <c r="H4722" s="28">
        <f t="shared" si="60"/>
        <v>238.0436</v>
      </c>
      <c r="I4722" s="28">
        <f t="shared" si="61"/>
        <v>245.78870000000001</v>
      </c>
      <c r="J4722" s="28">
        <f t="shared" si="62"/>
        <v>251.54320000000001</v>
      </c>
      <c r="K4722" s="28">
        <f t="shared" si="63"/>
        <v>260.9151</v>
      </c>
      <c r="M4722" s="241">
        <v>245.78870000000001</v>
      </c>
    </row>
    <row r="4723" spans="3:13" hidden="1" outlineLevel="1" x14ac:dyDescent="0.2">
      <c r="C4723" s="28">
        <f t="shared" si="58"/>
        <v>3.03125</v>
      </c>
      <c r="D4723" s="28">
        <f t="shared" si="55"/>
        <v>388</v>
      </c>
      <c r="E4723" s="28">
        <f t="shared" si="56"/>
        <v>339.5</v>
      </c>
      <c r="F4723" s="28">
        <f t="shared" si="57"/>
        <v>261.15384615384613</v>
      </c>
      <c r="G4723" s="28">
        <f t="shared" si="59"/>
        <v>222.16970000000001</v>
      </c>
      <c r="H4723" s="28">
        <f t="shared" si="60"/>
        <v>239.0188</v>
      </c>
      <c r="I4723" s="28">
        <f t="shared" si="61"/>
        <v>246.78479999999999</v>
      </c>
      <c r="J4723" s="28">
        <f t="shared" si="62"/>
        <v>252.5565</v>
      </c>
      <c r="K4723" s="28">
        <f t="shared" si="63"/>
        <v>261.95699999999999</v>
      </c>
      <c r="M4723" s="241">
        <v>246.78479999999999</v>
      </c>
    </row>
    <row r="4724" spans="3:13" hidden="1" outlineLevel="1" x14ac:dyDescent="0.2">
      <c r="C4724" s="28">
        <f t="shared" si="58"/>
        <v>3.0390625</v>
      </c>
      <c r="D4724" s="28">
        <f t="shared" si="55"/>
        <v>389</v>
      </c>
      <c r="E4724" s="28">
        <f t="shared" si="56"/>
        <v>340.375</v>
      </c>
      <c r="F4724" s="28">
        <f t="shared" si="57"/>
        <v>261.82692307692309</v>
      </c>
      <c r="G4724" s="28">
        <f t="shared" si="59"/>
        <v>222.16970000000001</v>
      </c>
      <c r="H4724" s="28">
        <f t="shared" si="60"/>
        <v>239.0188</v>
      </c>
      <c r="I4724" s="28">
        <f t="shared" si="61"/>
        <v>246.78479999999999</v>
      </c>
      <c r="J4724" s="28">
        <f t="shared" si="62"/>
        <v>252.5565</v>
      </c>
      <c r="K4724" s="28">
        <f t="shared" si="63"/>
        <v>261.95699999999999</v>
      </c>
      <c r="M4724" s="241">
        <v>246.78479999999999</v>
      </c>
    </row>
    <row r="4725" spans="3:13" hidden="1" outlineLevel="1" x14ac:dyDescent="0.2">
      <c r="C4725" s="28">
        <f t="shared" si="58"/>
        <v>3.046875</v>
      </c>
      <c r="D4725" s="28">
        <f t="shared" si="55"/>
        <v>390</v>
      </c>
      <c r="E4725" s="28">
        <f t="shared" si="56"/>
        <v>341.25</v>
      </c>
      <c r="F4725" s="28">
        <f t="shared" si="57"/>
        <v>262.5</v>
      </c>
      <c r="G4725" s="28">
        <f t="shared" si="59"/>
        <v>223.10290000000001</v>
      </c>
      <c r="H4725" s="28">
        <f t="shared" si="60"/>
        <v>239.99459999999999</v>
      </c>
      <c r="I4725" s="28">
        <f t="shared" si="61"/>
        <v>247.78129999999999</v>
      </c>
      <c r="J4725" s="28">
        <f t="shared" si="62"/>
        <v>253.56909999999999</v>
      </c>
      <c r="K4725" s="28">
        <f t="shared" si="63"/>
        <v>262.99799999999999</v>
      </c>
      <c r="M4725" s="241">
        <v>247.78129999999999</v>
      </c>
    </row>
    <row r="4726" spans="3:13" hidden="1" outlineLevel="1" x14ac:dyDescent="0.2">
      <c r="C4726" s="28">
        <f t="shared" si="58"/>
        <v>3.0546875</v>
      </c>
      <c r="D4726" s="28">
        <f t="shared" si="55"/>
        <v>391</v>
      </c>
      <c r="E4726" s="28">
        <f t="shared" si="56"/>
        <v>342.125</v>
      </c>
      <c r="F4726" s="28">
        <f t="shared" si="57"/>
        <v>263.17307692307691</v>
      </c>
      <c r="G4726" s="28">
        <f t="shared" si="59"/>
        <v>224.03569999999999</v>
      </c>
      <c r="H4726" s="28">
        <f t="shared" si="60"/>
        <v>240.96979999999999</v>
      </c>
      <c r="I4726" s="28">
        <f t="shared" si="61"/>
        <v>248.7782</v>
      </c>
      <c r="J4726" s="28">
        <f t="shared" si="62"/>
        <v>254.5831</v>
      </c>
      <c r="K4726" s="28">
        <f t="shared" si="63"/>
        <v>264.04039999999998</v>
      </c>
      <c r="M4726" s="241">
        <v>248.7782</v>
      </c>
    </row>
    <row r="4727" spans="3:13" hidden="1" outlineLevel="1" x14ac:dyDescent="0.2">
      <c r="C4727" s="28">
        <f t="shared" si="58"/>
        <v>3.0625</v>
      </c>
      <c r="D4727" s="28">
        <f t="shared" si="55"/>
        <v>392</v>
      </c>
      <c r="E4727" s="28">
        <f t="shared" si="56"/>
        <v>343</v>
      </c>
      <c r="F4727" s="28">
        <f t="shared" si="57"/>
        <v>263.84615384615381</v>
      </c>
      <c r="G4727" s="28">
        <f t="shared" si="59"/>
        <v>224.03569999999999</v>
      </c>
      <c r="H4727" s="28">
        <f t="shared" si="60"/>
        <v>240.96979999999999</v>
      </c>
      <c r="I4727" s="28">
        <f t="shared" si="61"/>
        <v>248.7782</v>
      </c>
      <c r="J4727" s="28">
        <f t="shared" si="62"/>
        <v>254.5831</v>
      </c>
      <c r="K4727" s="28">
        <f t="shared" si="63"/>
        <v>264.04039999999998</v>
      </c>
      <c r="M4727" s="241">
        <v>248.7782</v>
      </c>
    </row>
    <row r="4728" spans="3:13" hidden="1" outlineLevel="1" x14ac:dyDescent="0.2">
      <c r="C4728" s="28">
        <f t="shared" si="58"/>
        <v>3.0703125</v>
      </c>
      <c r="D4728" s="28">
        <f t="shared" si="55"/>
        <v>393</v>
      </c>
      <c r="E4728" s="28">
        <f t="shared" si="56"/>
        <v>343.875</v>
      </c>
      <c r="F4728" s="28">
        <f t="shared" si="57"/>
        <v>264.51923076923077</v>
      </c>
      <c r="G4728" s="28">
        <f t="shared" si="59"/>
        <v>224.96809999999999</v>
      </c>
      <c r="H4728" s="28">
        <f t="shared" si="60"/>
        <v>241.94540000000001</v>
      </c>
      <c r="I4728" s="28">
        <f t="shared" si="61"/>
        <v>249.77449999999999</v>
      </c>
      <c r="J4728" s="28">
        <f t="shared" si="62"/>
        <v>255.59639999999999</v>
      </c>
      <c r="K4728" s="28">
        <f t="shared" si="63"/>
        <v>265.08210000000003</v>
      </c>
      <c r="M4728" s="241">
        <v>249.77449999999999</v>
      </c>
    </row>
    <row r="4729" spans="3:13" hidden="1" outlineLevel="1" x14ac:dyDescent="0.2">
      <c r="C4729" s="28">
        <f t="shared" si="58"/>
        <v>3.078125</v>
      </c>
      <c r="D4729" s="28">
        <f t="shared" si="55"/>
        <v>394</v>
      </c>
      <c r="E4729" s="28">
        <f t="shared" si="56"/>
        <v>344.75</v>
      </c>
      <c r="F4729" s="28">
        <f t="shared" si="57"/>
        <v>265.19230769230768</v>
      </c>
      <c r="G4729" s="28">
        <f t="shared" si="59"/>
        <v>225.90110000000001</v>
      </c>
      <c r="H4729" s="28">
        <f t="shared" si="60"/>
        <v>242.9205</v>
      </c>
      <c r="I4729" s="28">
        <f t="shared" si="61"/>
        <v>250.7722</v>
      </c>
      <c r="J4729" s="28">
        <f t="shared" si="62"/>
        <v>256.60910000000001</v>
      </c>
      <c r="K4729" s="28">
        <f t="shared" si="63"/>
        <v>266.12400000000002</v>
      </c>
      <c r="M4729" s="241">
        <v>250.7722</v>
      </c>
    </row>
    <row r="4730" spans="3:13" hidden="1" outlineLevel="1" x14ac:dyDescent="0.2">
      <c r="C4730" s="28">
        <f t="shared" si="58"/>
        <v>3.0859375</v>
      </c>
      <c r="D4730" s="28">
        <f t="shared" si="55"/>
        <v>395</v>
      </c>
      <c r="E4730" s="28">
        <f t="shared" si="56"/>
        <v>345.625</v>
      </c>
      <c r="F4730" s="28">
        <f t="shared" si="57"/>
        <v>265.86538461538458</v>
      </c>
      <c r="G4730" s="28">
        <f t="shared" si="59"/>
        <v>225.90110000000001</v>
      </c>
      <c r="H4730" s="28">
        <f t="shared" si="60"/>
        <v>242.9205</v>
      </c>
      <c r="I4730" s="28">
        <f t="shared" si="61"/>
        <v>250.7722</v>
      </c>
      <c r="J4730" s="28">
        <f t="shared" si="62"/>
        <v>256.60910000000001</v>
      </c>
      <c r="K4730" s="28">
        <f t="shared" si="63"/>
        <v>266.12400000000002</v>
      </c>
      <c r="M4730" s="241">
        <v>250.7722</v>
      </c>
    </row>
    <row r="4731" spans="3:13" hidden="1" outlineLevel="1" x14ac:dyDescent="0.2">
      <c r="C4731" s="28">
        <f t="shared" si="58"/>
        <v>3.09375</v>
      </c>
      <c r="D4731" s="28">
        <f t="shared" si="55"/>
        <v>396</v>
      </c>
      <c r="E4731" s="28">
        <f t="shared" si="56"/>
        <v>346.5</v>
      </c>
      <c r="F4731" s="28">
        <f t="shared" si="57"/>
        <v>266.53846153846155</v>
      </c>
      <c r="G4731" s="28">
        <f t="shared" si="59"/>
        <v>226.8348</v>
      </c>
      <c r="H4731" s="28">
        <f t="shared" si="60"/>
        <v>243.89609999999999</v>
      </c>
      <c r="I4731" s="28">
        <f t="shared" si="61"/>
        <v>251.76920000000001</v>
      </c>
      <c r="J4731" s="28">
        <f t="shared" si="62"/>
        <v>257.62310000000002</v>
      </c>
      <c r="K4731" s="28">
        <f t="shared" si="63"/>
        <v>267.1662</v>
      </c>
      <c r="M4731" s="241">
        <v>251.76920000000001</v>
      </c>
    </row>
    <row r="4732" spans="3:13" hidden="1" outlineLevel="1" x14ac:dyDescent="0.2">
      <c r="C4732" s="28">
        <f t="shared" si="58"/>
        <v>3.1015625</v>
      </c>
      <c r="D4732" s="28">
        <f t="shared" si="55"/>
        <v>397</v>
      </c>
      <c r="E4732" s="28">
        <f t="shared" si="56"/>
        <v>347.375</v>
      </c>
      <c r="F4732" s="28">
        <f t="shared" si="57"/>
        <v>267.21153846153845</v>
      </c>
      <c r="G4732" s="28">
        <f t="shared" si="59"/>
        <v>227.768</v>
      </c>
      <c r="H4732" s="28">
        <f t="shared" si="60"/>
        <v>244.87209999999999</v>
      </c>
      <c r="I4732" s="28">
        <f t="shared" si="61"/>
        <v>252.76560000000001</v>
      </c>
      <c r="J4732" s="28">
        <f t="shared" si="62"/>
        <v>258.63639999999998</v>
      </c>
      <c r="K4732" s="28">
        <f t="shared" si="63"/>
        <v>268.20749999999998</v>
      </c>
      <c r="M4732" s="241">
        <v>252.76560000000001</v>
      </c>
    </row>
    <row r="4733" spans="3:13" hidden="1" outlineLevel="1" x14ac:dyDescent="0.2">
      <c r="C4733" s="28">
        <f t="shared" si="58"/>
        <v>3.109375</v>
      </c>
      <c r="D4733" s="28">
        <f t="shared" si="55"/>
        <v>398</v>
      </c>
      <c r="E4733" s="28">
        <f t="shared" si="56"/>
        <v>348.25</v>
      </c>
      <c r="F4733" s="28">
        <f t="shared" si="57"/>
        <v>267.88461538461536</v>
      </c>
      <c r="G4733" s="28">
        <f t="shared" si="59"/>
        <v>227.768</v>
      </c>
      <c r="H4733" s="28">
        <f t="shared" si="60"/>
        <v>244.87209999999999</v>
      </c>
      <c r="I4733" s="28">
        <f t="shared" si="61"/>
        <v>252.76560000000001</v>
      </c>
      <c r="J4733" s="28">
        <f t="shared" si="62"/>
        <v>258.63639999999998</v>
      </c>
      <c r="K4733" s="28">
        <f t="shared" si="63"/>
        <v>268.20749999999998</v>
      </c>
      <c r="M4733" s="241">
        <v>252.76560000000001</v>
      </c>
    </row>
    <row r="4734" spans="3:13" hidden="1" outlineLevel="1" x14ac:dyDescent="0.2">
      <c r="C4734" s="28">
        <f t="shared" si="58"/>
        <v>3.1171875</v>
      </c>
      <c r="D4734" s="28">
        <f t="shared" si="55"/>
        <v>399</v>
      </c>
      <c r="E4734" s="28">
        <f t="shared" si="56"/>
        <v>349.125</v>
      </c>
      <c r="F4734" s="28">
        <f t="shared" si="57"/>
        <v>268.55769230769232</v>
      </c>
      <c r="G4734" s="28">
        <f t="shared" si="59"/>
        <v>228.70179999999999</v>
      </c>
      <c r="H4734" s="28">
        <f t="shared" si="60"/>
        <v>245.8485</v>
      </c>
      <c r="I4734" s="28">
        <f t="shared" si="61"/>
        <v>253.76240000000001</v>
      </c>
      <c r="J4734" s="28">
        <f t="shared" si="62"/>
        <v>259.64999999999998</v>
      </c>
      <c r="K4734" s="28">
        <f t="shared" si="63"/>
        <v>269.25029999999998</v>
      </c>
      <c r="M4734" s="241">
        <v>253.76240000000001</v>
      </c>
    </row>
    <row r="4735" spans="3:13" hidden="1" outlineLevel="1" x14ac:dyDescent="0.2">
      <c r="C4735" s="28">
        <f t="shared" si="58"/>
        <v>3.125</v>
      </c>
      <c r="D4735" s="28">
        <f t="shared" si="55"/>
        <v>400</v>
      </c>
      <c r="E4735" s="28">
        <f t="shared" si="56"/>
        <v>350</v>
      </c>
      <c r="F4735" s="28">
        <f t="shared" si="57"/>
        <v>269.23076923076923</v>
      </c>
      <c r="G4735" s="28">
        <f t="shared" si="59"/>
        <v>229.6352</v>
      </c>
      <c r="H4735" s="28">
        <f t="shared" si="60"/>
        <v>246.82429999999999</v>
      </c>
      <c r="I4735" s="28">
        <f t="shared" si="61"/>
        <v>254.75960000000001</v>
      </c>
      <c r="J4735" s="28">
        <f t="shared" si="62"/>
        <v>260.66399999999999</v>
      </c>
      <c r="K4735" s="28">
        <f t="shared" si="63"/>
        <v>270.29219999999998</v>
      </c>
      <c r="M4735" s="241">
        <v>254.75960000000001</v>
      </c>
    </row>
    <row r="4736" spans="3:13" hidden="1" outlineLevel="1" x14ac:dyDescent="0.2">
      <c r="C4736" s="28">
        <f t="shared" si="58"/>
        <v>3.1328125</v>
      </c>
      <c r="D4736" s="28">
        <f t="shared" si="55"/>
        <v>401</v>
      </c>
      <c r="E4736" s="28">
        <f t="shared" si="56"/>
        <v>350.875</v>
      </c>
      <c r="F4736" s="28">
        <f t="shared" si="57"/>
        <v>269.90384615384613</v>
      </c>
      <c r="G4736" s="28">
        <f t="shared" si="59"/>
        <v>229.6352</v>
      </c>
      <c r="H4736" s="28">
        <f t="shared" si="60"/>
        <v>246.82429999999999</v>
      </c>
      <c r="I4736" s="28">
        <f t="shared" si="61"/>
        <v>254.75960000000001</v>
      </c>
      <c r="J4736" s="28">
        <f t="shared" si="62"/>
        <v>260.66399999999999</v>
      </c>
      <c r="K4736" s="28">
        <f t="shared" si="63"/>
        <v>270.29219999999998</v>
      </c>
      <c r="M4736" s="241">
        <v>254.75960000000001</v>
      </c>
    </row>
    <row r="4737" spans="3:13" hidden="1" outlineLevel="1" x14ac:dyDescent="0.2">
      <c r="C4737" s="28">
        <f t="shared" si="58"/>
        <v>3.140625</v>
      </c>
      <c r="D4737" s="28">
        <f t="shared" si="55"/>
        <v>402</v>
      </c>
      <c r="E4737" s="28">
        <f t="shared" si="56"/>
        <v>351.75</v>
      </c>
      <c r="F4737" s="28">
        <f t="shared" si="57"/>
        <v>270.57692307692309</v>
      </c>
      <c r="G4737" s="28">
        <f t="shared" si="59"/>
        <v>230.5692</v>
      </c>
      <c r="H4737" s="28">
        <f t="shared" si="60"/>
        <v>247.8006</v>
      </c>
      <c r="I4737" s="28">
        <f t="shared" si="61"/>
        <v>255.75710000000001</v>
      </c>
      <c r="J4737" s="28">
        <f t="shared" si="62"/>
        <v>261.6773</v>
      </c>
      <c r="K4737" s="28">
        <f t="shared" si="63"/>
        <v>271.33440000000002</v>
      </c>
      <c r="M4737" s="241">
        <v>255.75710000000001</v>
      </c>
    </row>
    <row r="4738" spans="3:13" hidden="1" outlineLevel="1" x14ac:dyDescent="0.2">
      <c r="C4738" s="28">
        <f t="shared" si="58"/>
        <v>3.1484375</v>
      </c>
      <c r="D4738" s="28">
        <f t="shared" si="55"/>
        <v>403</v>
      </c>
      <c r="E4738" s="28">
        <f t="shared" si="56"/>
        <v>352.625</v>
      </c>
      <c r="F4738" s="28">
        <f t="shared" si="57"/>
        <v>271.25</v>
      </c>
      <c r="G4738" s="28">
        <f t="shared" si="59"/>
        <v>231.50280000000001</v>
      </c>
      <c r="H4738" s="28">
        <f t="shared" si="60"/>
        <v>248.77629999999999</v>
      </c>
      <c r="I4738" s="28">
        <f t="shared" si="61"/>
        <v>256.755</v>
      </c>
      <c r="J4738" s="28">
        <f t="shared" si="62"/>
        <v>262.69099999999997</v>
      </c>
      <c r="K4738" s="28">
        <f t="shared" si="63"/>
        <v>272.37569999999999</v>
      </c>
      <c r="M4738" s="241">
        <v>256.755</v>
      </c>
    </row>
    <row r="4739" spans="3:13" hidden="1" outlineLevel="1" x14ac:dyDescent="0.2">
      <c r="C4739" s="28">
        <f t="shared" si="58"/>
        <v>3.15625</v>
      </c>
      <c r="D4739" s="28">
        <f t="shared" si="55"/>
        <v>404</v>
      </c>
      <c r="E4739" s="28">
        <f t="shared" si="56"/>
        <v>353.5</v>
      </c>
      <c r="F4739" s="28">
        <f t="shared" si="57"/>
        <v>271.92307692307691</v>
      </c>
      <c r="G4739" s="28">
        <f t="shared" si="59"/>
        <v>231.50280000000001</v>
      </c>
      <c r="H4739" s="28">
        <f t="shared" si="60"/>
        <v>248.77629999999999</v>
      </c>
      <c r="I4739" s="28">
        <f t="shared" si="61"/>
        <v>256.755</v>
      </c>
      <c r="J4739" s="28">
        <f t="shared" si="62"/>
        <v>262.69099999999997</v>
      </c>
      <c r="K4739" s="28">
        <f t="shared" si="63"/>
        <v>272.37569999999999</v>
      </c>
      <c r="M4739" s="241">
        <v>256.755</v>
      </c>
    </row>
    <row r="4740" spans="3:13" hidden="1" outlineLevel="1" x14ac:dyDescent="0.2">
      <c r="C4740" s="28">
        <f t="shared" si="58"/>
        <v>3.1640625</v>
      </c>
      <c r="D4740" s="28">
        <f t="shared" si="55"/>
        <v>405</v>
      </c>
      <c r="E4740" s="28">
        <f t="shared" si="56"/>
        <v>354.375</v>
      </c>
      <c r="F4740" s="28">
        <f t="shared" si="57"/>
        <v>272.59615384615381</v>
      </c>
      <c r="G4740" s="28">
        <f t="shared" si="59"/>
        <v>232.43690000000001</v>
      </c>
      <c r="H4740" s="28">
        <f t="shared" si="60"/>
        <v>249.7534</v>
      </c>
      <c r="I4740" s="28">
        <f t="shared" si="61"/>
        <v>257.75220000000002</v>
      </c>
      <c r="J4740" s="28">
        <f t="shared" si="62"/>
        <v>263.70490000000001</v>
      </c>
      <c r="K4740" s="28">
        <f t="shared" si="63"/>
        <v>273.41840000000002</v>
      </c>
      <c r="M4740" s="241">
        <v>257.75220000000002</v>
      </c>
    </row>
    <row r="4741" spans="3:13" hidden="1" outlineLevel="1" x14ac:dyDescent="0.2">
      <c r="C4741" s="28">
        <f t="shared" si="58"/>
        <v>3.171875</v>
      </c>
      <c r="D4741" s="28">
        <f t="shared" si="55"/>
        <v>406</v>
      </c>
      <c r="E4741" s="28">
        <f t="shared" si="56"/>
        <v>355.25</v>
      </c>
      <c r="F4741" s="28">
        <f t="shared" si="57"/>
        <v>273.26923076923077</v>
      </c>
      <c r="G4741" s="28">
        <f t="shared" si="59"/>
        <v>233.3717</v>
      </c>
      <c r="H4741" s="28">
        <f t="shared" si="60"/>
        <v>250.72989999999999</v>
      </c>
      <c r="I4741" s="28">
        <f t="shared" si="61"/>
        <v>258.74979999999999</v>
      </c>
      <c r="J4741" s="28">
        <f t="shared" si="62"/>
        <v>264.7192</v>
      </c>
      <c r="K4741" s="28">
        <f t="shared" si="63"/>
        <v>274.46030000000002</v>
      </c>
      <c r="M4741" s="241">
        <v>258.74979999999999</v>
      </c>
    </row>
    <row r="4742" spans="3:13" hidden="1" outlineLevel="1" x14ac:dyDescent="0.2">
      <c r="C4742" s="28">
        <f t="shared" si="58"/>
        <v>3.1796875</v>
      </c>
      <c r="D4742" s="28">
        <f t="shared" si="55"/>
        <v>407</v>
      </c>
      <c r="E4742" s="28">
        <f t="shared" si="56"/>
        <v>356.125</v>
      </c>
      <c r="F4742" s="28">
        <f t="shared" si="57"/>
        <v>273.94230769230768</v>
      </c>
      <c r="G4742" s="28">
        <f t="shared" si="59"/>
        <v>233.3717</v>
      </c>
      <c r="H4742" s="28">
        <f t="shared" si="60"/>
        <v>250.72989999999999</v>
      </c>
      <c r="I4742" s="28">
        <f t="shared" si="61"/>
        <v>258.74979999999999</v>
      </c>
      <c r="J4742" s="28">
        <f t="shared" si="62"/>
        <v>264.7192</v>
      </c>
      <c r="K4742" s="28">
        <f t="shared" si="63"/>
        <v>274.46030000000002</v>
      </c>
      <c r="M4742" s="241">
        <v>258.74979999999999</v>
      </c>
    </row>
    <row r="4743" spans="3:13" hidden="1" outlineLevel="1" x14ac:dyDescent="0.2">
      <c r="C4743" s="28">
        <f t="shared" si="58"/>
        <v>3.1875</v>
      </c>
      <c r="D4743" s="28">
        <f t="shared" si="55"/>
        <v>408</v>
      </c>
      <c r="E4743" s="28">
        <f t="shared" si="56"/>
        <v>357</v>
      </c>
      <c r="F4743" s="28">
        <f t="shared" si="57"/>
        <v>274.61538461538458</v>
      </c>
      <c r="G4743" s="28">
        <f t="shared" si="59"/>
        <v>234.30590000000001</v>
      </c>
      <c r="H4743" s="28">
        <f t="shared" si="60"/>
        <v>251.70580000000001</v>
      </c>
      <c r="I4743" s="28">
        <f t="shared" si="61"/>
        <v>259.74680000000001</v>
      </c>
      <c r="J4743" s="28">
        <f t="shared" si="62"/>
        <v>265.7328</v>
      </c>
      <c r="K4743" s="28">
        <f t="shared" si="63"/>
        <v>275.5025</v>
      </c>
      <c r="M4743" s="241">
        <v>259.74680000000001</v>
      </c>
    </row>
    <row r="4744" spans="3:13" hidden="1" outlineLevel="1" x14ac:dyDescent="0.2">
      <c r="C4744" s="28">
        <f t="shared" si="58"/>
        <v>3.1953125</v>
      </c>
      <c r="D4744" s="28">
        <f t="shared" si="55"/>
        <v>409</v>
      </c>
      <c r="E4744" s="28">
        <f t="shared" si="56"/>
        <v>357.875</v>
      </c>
      <c r="F4744" s="28">
        <f t="shared" si="57"/>
        <v>275.28846153846155</v>
      </c>
      <c r="G4744" s="28">
        <f t="shared" si="59"/>
        <v>235.2397</v>
      </c>
      <c r="H4744" s="28">
        <f t="shared" si="60"/>
        <v>252.68219999999999</v>
      </c>
      <c r="I4744" s="28">
        <f t="shared" si="61"/>
        <v>260.74400000000003</v>
      </c>
      <c r="J4744" s="28">
        <f t="shared" si="62"/>
        <v>266.74770000000001</v>
      </c>
      <c r="K4744" s="28">
        <f t="shared" si="63"/>
        <v>276.54489999999998</v>
      </c>
      <c r="M4744" s="241">
        <v>260.74400000000003</v>
      </c>
    </row>
    <row r="4745" spans="3:13" hidden="1" outlineLevel="1" x14ac:dyDescent="0.2">
      <c r="C4745" s="28">
        <f t="shared" si="58"/>
        <v>3.203125</v>
      </c>
      <c r="D4745" s="28">
        <f t="shared" si="55"/>
        <v>410</v>
      </c>
      <c r="E4745" s="28">
        <f t="shared" si="56"/>
        <v>358.75</v>
      </c>
      <c r="F4745" s="28">
        <f t="shared" si="57"/>
        <v>275.96153846153845</v>
      </c>
      <c r="G4745" s="28">
        <f t="shared" si="59"/>
        <v>235.2397</v>
      </c>
      <c r="H4745" s="28">
        <f t="shared" si="60"/>
        <v>252.68219999999999</v>
      </c>
      <c r="I4745" s="28">
        <f t="shared" si="61"/>
        <v>260.74400000000003</v>
      </c>
      <c r="J4745" s="28">
        <f t="shared" si="62"/>
        <v>266.74770000000001</v>
      </c>
      <c r="K4745" s="28">
        <f t="shared" si="63"/>
        <v>276.54489999999998</v>
      </c>
      <c r="M4745" s="241">
        <v>260.74400000000003</v>
      </c>
    </row>
    <row r="4746" spans="3:13" hidden="1" outlineLevel="1" x14ac:dyDescent="0.2">
      <c r="C4746" s="28">
        <f t="shared" si="58"/>
        <v>3.2109375</v>
      </c>
      <c r="D4746" s="28">
        <f t="shared" si="55"/>
        <v>411</v>
      </c>
      <c r="E4746" s="28">
        <f t="shared" si="56"/>
        <v>359.625</v>
      </c>
      <c r="F4746" s="28">
        <f t="shared" si="57"/>
        <v>276.63461538461536</v>
      </c>
      <c r="G4746" s="28">
        <f t="shared" si="59"/>
        <v>236.17519999999999</v>
      </c>
      <c r="H4746" s="28">
        <f t="shared" si="60"/>
        <v>253.65889999999999</v>
      </c>
      <c r="I4746" s="28">
        <f t="shared" si="61"/>
        <v>261.74270000000001</v>
      </c>
      <c r="J4746" s="28">
        <f t="shared" si="62"/>
        <v>267.76089999999999</v>
      </c>
      <c r="K4746" s="28">
        <f t="shared" si="63"/>
        <v>277.58749999999998</v>
      </c>
      <c r="M4746" s="241">
        <v>261.74270000000001</v>
      </c>
    </row>
    <row r="4747" spans="3:13" hidden="1" outlineLevel="1" x14ac:dyDescent="0.2">
      <c r="C4747" s="28">
        <f t="shared" si="58"/>
        <v>3.21875</v>
      </c>
      <c r="D4747" s="28">
        <f t="shared" si="55"/>
        <v>412</v>
      </c>
      <c r="E4747" s="28">
        <f t="shared" si="56"/>
        <v>360.5</v>
      </c>
      <c r="F4747" s="28">
        <f t="shared" si="57"/>
        <v>277.30769230769232</v>
      </c>
      <c r="G4747" s="28">
        <f t="shared" si="59"/>
        <v>237.11009999999999</v>
      </c>
      <c r="H4747" s="28">
        <f t="shared" si="60"/>
        <v>254.6361</v>
      </c>
      <c r="I4747" s="28">
        <f t="shared" si="61"/>
        <v>262.73970000000003</v>
      </c>
      <c r="J4747" s="28">
        <f t="shared" si="62"/>
        <v>268.77539999999999</v>
      </c>
      <c r="K4747" s="28">
        <f t="shared" si="63"/>
        <v>278.63049999999998</v>
      </c>
      <c r="M4747" s="241">
        <v>262.73970000000003</v>
      </c>
    </row>
    <row r="4748" spans="3:13" hidden="1" outlineLevel="1" x14ac:dyDescent="0.2">
      <c r="C4748" s="28">
        <f t="shared" si="58"/>
        <v>3.2265625</v>
      </c>
      <c r="D4748" s="28">
        <f t="shared" si="55"/>
        <v>413</v>
      </c>
      <c r="E4748" s="28">
        <f t="shared" si="56"/>
        <v>361.375</v>
      </c>
      <c r="F4748" s="28">
        <f t="shared" si="57"/>
        <v>277.98076923076923</v>
      </c>
      <c r="G4748" s="28">
        <f t="shared" si="59"/>
        <v>237.11009999999999</v>
      </c>
      <c r="H4748" s="28">
        <f t="shared" si="60"/>
        <v>254.6361</v>
      </c>
      <c r="I4748" s="28">
        <f t="shared" si="61"/>
        <v>262.73970000000003</v>
      </c>
      <c r="J4748" s="28">
        <f t="shared" si="62"/>
        <v>268.77539999999999</v>
      </c>
      <c r="K4748" s="28">
        <f t="shared" si="63"/>
        <v>278.63049999999998</v>
      </c>
      <c r="M4748" s="241">
        <v>262.73970000000003</v>
      </c>
    </row>
    <row r="4749" spans="3:13" hidden="1" outlineLevel="1" x14ac:dyDescent="0.2">
      <c r="C4749" s="28">
        <f t="shared" si="58"/>
        <v>3.234375</v>
      </c>
      <c r="D4749" s="28">
        <f t="shared" si="55"/>
        <v>414</v>
      </c>
      <c r="E4749" s="28">
        <f t="shared" si="56"/>
        <v>362.25</v>
      </c>
      <c r="F4749" s="28">
        <f t="shared" si="57"/>
        <v>278.65384615384613</v>
      </c>
      <c r="G4749" s="28">
        <f t="shared" si="59"/>
        <v>238.0446</v>
      </c>
      <c r="H4749" s="28">
        <f t="shared" si="60"/>
        <v>255.61259999999999</v>
      </c>
      <c r="I4749" s="28">
        <f t="shared" si="61"/>
        <v>263.73809999999997</v>
      </c>
      <c r="J4749" s="28">
        <f t="shared" si="62"/>
        <v>269.78919999999999</v>
      </c>
      <c r="K4749" s="28">
        <f t="shared" si="63"/>
        <v>279.67250000000001</v>
      </c>
      <c r="M4749" s="241">
        <v>263.73809999999997</v>
      </c>
    </row>
    <row r="4750" spans="3:13" hidden="1" outlineLevel="1" x14ac:dyDescent="0.2">
      <c r="C4750" s="28">
        <f t="shared" si="58"/>
        <v>3.2421875</v>
      </c>
      <c r="D4750" s="28">
        <f t="shared" si="55"/>
        <v>415</v>
      </c>
      <c r="E4750" s="28">
        <f t="shared" si="56"/>
        <v>363.125</v>
      </c>
      <c r="F4750" s="28">
        <f t="shared" si="57"/>
        <v>279.32692307692309</v>
      </c>
      <c r="G4750" s="28">
        <f t="shared" si="59"/>
        <v>238.9796</v>
      </c>
      <c r="H4750" s="28">
        <f t="shared" si="60"/>
        <v>256.58960000000002</v>
      </c>
      <c r="I4750" s="28">
        <f t="shared" si="61"/>
        <v>264.73570000000001</v>
      </c>
      <c r="J4750" s="28">
        <f t="shared" si="62"/>
        <v>270.80439999999999</v>
      </c>
      <c r="K4750" s="28">
        <f t="shared" si="63"/>
        <v>280.7149</v>
      </c>
      <c r="M4750" s="241">
        <v>264.73570000000001</v>
      </c>
    </row>
    <row r="4751" spans="3:13" hidden="1" outlineLevel="1" x14ac:dyDescent="0.2">
      <c r="C4751" s="28">
        <f t="shared" si="58"/>
        <v>3.25</v>
      </c>
      <c r="D4751" s="28">
        <f t="shared" si="55"/>
        <v>416</v>
      </c>
      <c r="E4751" s="28">
        <f t="shared" si="56"/>
        <v>364</v>
      </c>
      <c r="F4751" s="28">
        <f t="shared" si="57"/>
        <v>280</v>
      </c>
      <c r="G4751" s="28">
        <f t="shared" si="59"/>
        <v>239.9152</v>
      </c>
      <c r="H4751" s="28">
        <f t="shared" si="60"/>
        <v>257.56689999999998</v>
      </c>
      <c r="I4751" s="28">
        <f t="shared" si="61"/>
        <v>265.7337</v>
      </c>
      <c r="J4751" s="28">
        <f t="shared" si="62"/>
        <v>271.81880000000001</v>
      </c>
      <c r="K4751" s="28">
        <f t="shared" si="63"/>
        <v>281.75740000000002</v>
      </c>
      <c r="M4751" s="241">
        <v>265.7337</v>
      </c>
    </row>
    <row r="4752" spans="3:13" hidden="1" outlineLevel="1" x14ac:dyDescent="0.2">
      <c r="C4752" s="28">
        <f t="shared" si="58"/>
        <v>3.2578125</v>
      </c>
      <c r="D4752" s="28">
        <f t="shared" si="55"/>
        <v>417</v>
      </c>
      <c r="E4752" s="28">
        <f t="shared" si="56"/>
        <v>364.875</v>
      </c>
      <c r="F4752" s="28">
        <f t="shared" si="57"/>
        <v>280.67307692307691</v>
      </c>
      <c r="G4752" s="28">
        <f t="shared" si="59"/>
        <v>239.9152</v>
      </c>
      <c r="H4752" s="28">
        <f t="shared" si="60"/>
        <v>257.56689999999998</v>
      </c>
      <c r="I4752" s="28">
        <f t="shared" si="61"/>
        <v>265.7337</v>
      </c>
      <c r="J4752" s="28">
        <f t="shared" si="62"/>
        <v>271.81880000000001</v>
      </c>
      <c r="K4752" s="28">
        <f t="shared" si="63"/>
        <v>281.75740000000002</v>
      </c>
      <c r="M4752" s="241">
        <v>265.7337</v>
      </c>
    </row>
    <row r="4753" spans="3:13" hidden="1" outlineLevel="1" x14ac:dyDescent="0.2">
      <c r="C4753" s="28">
        <f t="shared" si="58"/>
        <v>3.265625</v>
      </c>
      <c r="D4753" s="28">
        <f t="shared" si="55"/>
        <v>418</v>
      </c>
      <c r="E4753" s="28">
        <f t="shared" si="56"/>
        <v>365.75</v>
      </c>
      <c r="F4753" s="28">
        <f t="shared" si="57"/>
        <v>281.34615384615381</v>
      </c>
      <c r="G4753" s="28">
        <f t="shared" si="59"/>
        <v>240.8503</v>
      </c>
      <c r="H4753" s="28">
        <f t="shared" si="60"/>
        <v>258.54360000000003</v>
      </c>
      <c r="I4753" s="28">
        <f t="shared" si="61"/>
        <v>266.7321</v>
      </c>
      <c r="J4753" s="28">
        <f t="shared" si="62"/>
        <v>272.83240000000001</v>
      </c>
      <c r="K4753" s="28">
        <f t="shared" si="63"/>
        <v>282.80029999999999</v>
      </c>
      <c r="M4753" s="241">
        <v>266.7321</v>
      </c>
    </row>
    <row r="4754" spans="3:13" hidden="1" outlineLevel="1" x14ac:dyDescent="0.2">
      <c r="C4754" s="28">
        <f t="shared" si="58"/>
        <v>3.2734375</v>
      </c>
      <c r="D4754" s="28">
        <f t="shared" si="55"/>
        <v>419</v>
      </c>
      <c r="E4754" s="28">
        <f t="shared" si="56"/>
        <v>366.625</v>
      </c>
      <c r="F4754" s="28">
        <f t="shared" si="57"/>
        <v>282.01923076923077</v>
      </c>
      <c r="G4754" s="28">
        <f t="shared" si="59"/>
        <v>241.786</v>
      </c>
      <c r="H4754" s="28">
        <f t="shared" si="60"/>
        <v>259.52069999999998</v>
      </c>
      <c r="I4754" s="28">
        <f t="shared" si="61"/>
        <v>267.72969999999998</v>
      </c>
      <c r="J4754" s="28">
        <f t="shared" si="62"/>
        <v>273.84750000000003</v>
      </c>
      <c r="K4754" s="28">
        <f t="shared" si="63"/>
        <v>283.84219999999999</v>
      </c>
      <c r="M4754" s="241">
        <v>267.72969999999998</v>
      </c>
    </row>
    <row r="4755" spans="3:13" hidden="1" outlineLevel="1" x14ac:dyDescent="0.2">
      <c r="C4755" s="28">
        <f t="shared" si="58"/>
        <v>3.28125</v>
      </c>
      <c r="D4755" s="28">
        <f t="shared" si="55"/>
        <v>420</v>
      </c>
      <c r="E4755" s="28">
        <f t="shared" si="56"/>
        <v>367.5</v>
      </c>
      <c r="F4755" s="28">
        <f t="shared" si="57"/>
        <v>282.69230769230768</v>
      </c>
      <c r="G4755" s="28">
        <f t="shared" si="59"/>
        <v>241.786</v>
      </c>
      <c r="H4755" s="28">
        <f t="shared" si="60"/>
        <v>259.52069999999998</v>
      </c>
      <c r="I4755" s="28">
        <f t="shared" si="61"/>
        <v>267.72969999999998</v>
      </c>
      <c r="J4755" s="28">
        <f t="shared" si="62"/>
        <v>273.84750000000003</v>
      </c>
      <c r="K4755" s="28">
        <f t="shared" si="63"/>
        <v>283.84219999999999</v>
      </c>
      <c r="M4755" s="241">
        <v>267.72969999999998</v>
      </c>
    </row>
    <row r="4756" spans="3:13" hidden="1" outlineLevel="1" x14ac:dyDescent="0.2">
      <c r="C4756" s="28">
        <f t="shared" si="58"/>
        <v>3.2890625</v>
      </c>
      <c r="D4756" s="28">
        <f t="shared" si="55"/>
        <v>421</v>
      </c>
      <c r="E4756" s="28">
        <f t="shared" si="56"/>
        <v>368.375</v>
      </c>
      <c r="F4756" s="28">
        <f t="shared" si="57"/>
        <v>283.36538461538458</v>
      </c>
      <c r="G4756" s="28">
        <f t="shared" si="59"/>
        <v>242.72219999999999</v>
      </c>
      <c r="H4756" s="28">
        <f t="shared" si="60"/>
        <v>260.4982</v>
      </c>
      <c r="I4756" s="28">
        <f t="shared" si="61"/>
        <v>268.72770000000003</v>
      </c>
      <c r="J4756" s="28">
        <f t="shared" si="62"/>
        <v>274.86169999999998</v>
      </c>
      <c r="K4756" s="28">
        <f t="shared" si="63"/>
        <v>284.88549999999998</v>
      </c>
      <c r="M4756" s="241">
        <v>268.72770000000003</v>
      </c>
    </row>
    <row r="4757" spans="3:13" hidden="1" outlineLevel="1" x14ac:dyDescent="0.2">
      <c r="C4757" s="28">
        <f t="shared" si="58"/>
        <v>3.296875</v>
      </c>
      <c r="D4757" s="28">
        <f t="shared" si="55"/>
        <v>422</v>
      </c>
      <c r="E4757" s="28">
        <f t="shared" si="56"/>
        <v>369.25</v>
      </c>
      <c r="F4757" s="28">
        <f t="shared" si="57"/>
        <v>284.03846153846155</v>
      </c>
      <c r="G4757" s="28">
        <f t="shared" si="59"/>
        <v>243.65790000000001</v>
      </c>
      <c r="H4757" s="28">
        <f t="shared" si="60"/>
        <v>261.47609999999997</v>
      </c>
      <c r="I4757" s="28">
        <f t="shared" si="61"/>
        <v>269.726</v>
      </c>
      <c r="J4757" s="28">
        <f t="shared" si="62"/>
        <v>275.87630000000001</v>
      </c>
      <c r="K4757" s="28">
        <f t="shared" si="63"/>
        <v>285.92790000000002</v>
      </c>
      <c r="M4757" s="241">
        <v>269.726</v>
      </c>
    </row>
    <row r="4758" spans="3:13" hidden="1" outlineLevel="1" x14ac:dyDescent="0.2">
      <c r="C4758" s="28">
        <f t="shared" si="58"/>
        <v>3.3046875</v>
      </c>
      <c r="D4758" s="28">
        <f t="shared" si="55"/>
        <v>423</v>
      </c>
      <c r="E4758" s="28">
        <f t="shared" si="56"/>
        <v>370.125</v>
      </c>
      <c r="F4758" s="28">
        <f t="shared" si="57"/>
        <v>284.71153846153845</v>
      </c>
      <c r="G4758" s="28">
        <f t="shared" si="59"/>
        <v>243.65790000000001</v>
      </c>
      <c r="H4758" s="28">
        <f t="shared" si="60"/>
        <v>261.47609999999997</v>
      </c>
      <c r="I4758" s="28">
        <f t="shared" si="61"/>
        <v>269.726</v>
      </c>
      <c r="J4758" s="28">
        <f t="shared" si="62"/>
        <v>275.87630000000001</v>
      </c>
      <c r="K4758" s="28">
        <f t="shared" si="63"/>
        <v>285.92790000000002</v>
      </c>
      <c r="M4758" s="241">
        <v>269.726</v>
      </c>
    </row>
    <row r="4759" spans="3:13" hidden="1" outlineLevel="1" x14ac:dyDescent="0.2">
      <c r="C4759" s="28">
        <f t="shared" si="58"/>
        <v>3.3125</v>
      </c>
      <c r="D4759" s="28">
        <f t="shared" si="55"/>
        <v>424</v>
      </c>
      <c r="E4759" s="28">
        <f t="shared" si="56"/>
        <v>371</v>
      </c>
      <c r="F4759" s="28">
        <f t="shared" si="57"/>
        <v>285.38461538461536</v>
      </c>
      <c r="G4759" s="28">
        <f t="shared" si="59"/>
        <v>244.5941</v>
      </c>
      <c r="H4759" s="28">
        <f t="shared" si="60"/>
        <v>262.45330000000001</v>
      </c>
      <c r="I4759" s="28">
        <f t="shared" si="61"/>
        <v>270.72469999999998</v>
      </c>
      <c r="J4759" s="28">
        <f t="shared" si="62"/>
        <v>276.89120000000003</v>
      </c>
      <c r="K4759" s="28">
        <f t="shared" si="63"/>
        <v>286.97059999999999</v>
      </c>
      <c r="M4759" s="241">
        <v>270.72469999999998</v>
      </c>
    </row>
    <row r="4760" spans="3:13" hidden="1" outlineLevel="1" x14ac:dyDescent="0.2">
      <c r="C4760" s="28">
        <f t="shared" si="58"/>
        <v>3.3203125</v>
      </c>
      <c r="D4760" s="28">
        <f t="shared" si="55"/>
        <v>425</v>
      </c>
      <c r="E4760" s="28">
        <f t="shared" si="56"/>
        <v>371.875</v>
      </c>
      <c r="F4760" s="28">
        <f t="shared" si="57"/>
        <v>286.05769230769232</v>
      </c>
      <c r="G4760" s="28">
        <f t="shared" si="59"/>
        <v>245.52979999999999</v>
      </c>
      <c r="H4760" s="28">
        <f t="shared" si="60"/>
        <v>263.43099999999998</v>
      </c>
      <c r="I4760" s="28">
        <f t="shared" si="61"/>
        <v>271.7226</v>
      </c>
      <c r="J4760" s="28">
        <f t="shared" si="62"/>
        <v>277.90530000000001</v>
      </c>
      <c r="K4760" s="28">
        <f t="shared" si="63"/>
        <v>288.01350000000002</v>
      </c>
      <c r="M4760" s="241">
        <v>271.7226</v>
      </c>
    </row>
    <row r="4761" spans="3:13" hidden="1" outlineLevel="1" x14ac:dyDescent="0.2">
      <c r="C4761" s="28">
        <f t="shared" si="58"/>
        <v>3.328125</v>
      </c>
      <c r="D4761" s="28">
        <f t="shared" si="55"/>
        <v>426</v>
      </c>
      <c r="E4761" s="28">
        <f t="shared" si="56"/>
        <v>372.75</v>
      </c>
      <c r="F4761" s="28">
        <f t="shared" si="57"/>
        <v>286.73076923076923</v>
      </c>
      <c r="G4761" s="28">
        <f t="shared" si="59"/>
        <v>245.52979999999999</v>
      </c>
      <c r="H4761" s="28">
        <f t="shared" si="60"/>
        <v>263.43099999999998</v>
      </c>
      <c r="I4761" s="28">
        <f t="shared" si="61"/>
        <v>271.7226</v>
      </c>
      <c r="J4761" s="28">
        <f t="shared" si="62"/>
        <v>277.90530000000001</v>
      </c>
      <c r="K4761" s="28">
        <f t="shared" si="63"/>
        <v>288.01350000000002</v>
      </c>
      <c r="M4761" s="241">
        <v>271.7226</v>
      </c>
    </row>
    <row r="4762" spans="3:13" hidden="1" outlineLevel="1" x14ac:dyDescent="0.2">
      <c r="C4762" s="28">
        <f t="shared" si="58"/>
        <v>3.3359375</v>
      </c>
      <c r="D4762" s="28">
        <f t="shared" si="55"/>
        <v>427</v>
      </c>
      <c r="E4762" s="28">
        <f t="shared" si="56"/>
        <v>373.625</v>
      </c>
      <c r="F4762" s="28">
        <f t="shared" si="57"/>
        <v>287.40384615384613</v>
      </c>
      <c r="G4762" s="28">
        <f t="shared" si="59"/>
        <v>246.46600000000001</v>
      </c>
      <c r="H4762" s="28">
        <f t="shared" si="60"/>
        <v>264.40899999999999</v>
      </c>
      <c r="I4762" s="28">
        <f t="shared" si="61"/>
        <v>272.7208</v>
      </c>
      <c r="J4762" s="28">
        <f t="shared" si="62"/>
        <v>278.91969999999998</v>
      </c>
      <c r="K4762" s="28">
        <f t="shared" si="63"/>
        <v>289.05669999999998</v>
      </c>
      <c r="M4762" s="241">
        <v>272.7208</v>
      </c>
    </row>
    <row r="4763" spans="3:13" hidden="1" outlineLevel="1" x14ac:dyDescent="0.2">
      <c r="C4763" s="28">
        <f t="shared" si="58"/>
        <v>3.34375</v>
      </c>
      <c r="D4763" s="28">
        <f t="shared" si="55"/>
        <v>428</v>
      </c>
      <c r="E4763" s="28">
        <f t="shared" si="56"/>
        <v>374.5</v>
      </c>
      <c r="F4763" s="28">
        <f t="shared" si="57"/>
        <v>288.07692307692309</v>
      </c>
      <c r="G4763" s="28">
        <f t="shared" si="59"/>
        <v>247.40280000000001</v>
      </c>
      <c r="H4763" s="28">
        <f t="shared" si="60"/>
        <v>265.38630000000001</v>
      </c>
      <c r="I4763" s="28">
        <f t="shared" si="61"/>
        <v>273.71940000000001</v>
      </c>
      <c r="J4763" s="28">
        <f t="shared" si="62"/>
        <v>279.93439999999998</v>
      </c>
      <c r="K4763" s="28">
        <f t="shared" si="63"/>
        <v>290.09890000000001</v>
      </c>
      <c r="M4763" s="241">
        <v>273.71940000000001</v>
      </c>
    </row>
    <row r="4764" spans="3:13" hidden="1" outlineLevel="1" x14ac:dyDescent="0.2">
      <c r="C4764" s="28">
        <f t="shared" si="58"/>
        <v>3.3515625</v>
      </c>
      <c r="D4764" s="28">
        <f t="shared" si="55"/>
        <v>429</v>
      </c>
      <c r="E4764" s="28">
        <f t="shared" si="56"/>
        <v>375.375</v>
      </c>
      <c r="F4764" s="28">
        <f t="shared" si="57"/>
        <v>288.75</v>
      </c>
      <c r="G4764" s="28">
        <f t="shared" si="59"/>
        <v>247.40280000000001</v>
      </c>
      <c r="H4764" s="28">
        <f t="shared" si="60"/>
        <v>265.38630000000001</v>
      </c>
      <c r="I4764" s="28">
        <f t="shared" si="61"/>
        <v>273.71940000000001</v>
      </c>
      <c r="J4764" s="28">
        <f t="shared" si="62"/>
        <v>279.93439999999998</v>
      </c>
      <c r="K4764" s="28">
        <f t="shared" si="63"/>
        <v>290.09890000000001</v>
      </c>
      <c r="M4764" s="241">
        <v>273.71940000000001</v>
      </c>
    </row>
    <row r="4765" spans="3:13" hidden="1" outlineLevel="1" x14ac:dyDescent="0.2">
      <c r="C4765" s="28">
        <f t="shared" si="58"/>
        <v>3.359375</v>
      </c>
      <c r="D4765" s="28">
        <f t="shared" si="55"/>
        <v>430</v>
      </c>
      <c r="E4765" s="28">
        <f t="shared" si="56"/>
        <v>376.25</v>
      </c>
      <c r="F4765" s="28">
        <f t="shared" si="57"/>
        <v>289.42307692307691</v>
      </c>
      <c r="G4765" s="28">
        <f t="shared" si="59"/>
        <v>248.339</v>
      </c>
      <c r="H4765" s="28">
        <f t="shared" si="60"/>
        <v>266.36399999999998</v>
      </c>
      <c r="I4765" s="28">
        <f t="shared" si="61"/>
        <v>274.7183</v>
      </c>
      <c r="J4765" s="28">
        <f t="shared" si="62"/>
        <v>280.94940000000003</v>
      </c>
      <c r="K4765" s="28">
        <f t="shared" si="63"/>
        <v>291.14260000000002</v>
      </c>
      <c r="M4765" s="241">
        <v>274.7183</v>
      </c>
    </row>
    <row r="4766" spans="3:13" hidden="1" outlineLevel="1" x14ac:dyDescent="0.2">
      <c r="C4766" s="28">
        <f t="shared" si="58"/>
        <v>3.3671875</v>
      </c>
      <c r="D4766" s="28">
        <f t="shared" si="55"/>
        <v>431</v>
      </c>
      <c r="E4766" s="28">
        <f t="shared" si="56"/>
        <v>377.125</v>
      </c>
      <c r="F4766" s="28">
        <f t="shared" si="57"/>
        <v>290.09615384615381</v>
      </c>
      <c r="G4766" s="28">
        <f t="shared" si="59"/>
        <v>249.2757</v>
      </c>
      <c r="H4766" s="28">
        <f t="shared" si="60"/>
        <v>267.34210000000002</v>
      </c>
      <c r="I4766" s="28">
        <f t="shared" si="61"/>
        <v>275.7165</v>
      </c>
      <c r="J4766" s="28">
        <f t="shared" si="62"/>
        <v>281.96469999999999</v>
      </c>
      <c r="K4766" s="28">
        <f t="shared" si="63"/>
        <v>292.18529999999998</v>
      </c>
      <c r="M4766" s="241">
        <v>275.7165</v>
      </c>
    </row>
    <row r="4767" spans="3:13" hidden="1" outlineLevel="1" x14ac:dyDescent="0.2">
      <c r="C4767" s="28">
        <f t="shared" si="58"/>
        <v>3.375</v>
      </c>
      <c r="D4767" s="28">
        <f t="shared" si="55"/>
        <v>432</v>
      </c>
      <c r="E4767" s="28">
        <f t="shared" si="56"/>
        <v>378</v>
      </c>
      <c r="F4767" s="28">
        <f t="shared" si="57"/>
        <v>290.76923076923077</v>
      </c>
      <c r="G4767" s="28">
        <f t="shared" si="59"/>
        <v>249.2757</v>
      </c>
      <c r="H4767" s="28">
        <f t="shared" si="60"/>
        <v>267.34210000000002</v>
      </c>
      <c r="I4767" s="28">
        <f t="shared" si="61"/>
        <v>275.7165</v>
      </c>
      <c r="J4767" s="28">
        <f t="shared" si="62"/>
        <v>281.96469999999999</v>
      </c>
      <c r="K4767" s="28">
        <f t="shared" si="63"/>
        <v>292.18529999999998</v>
      </c>
      <c r="M4767" s="241">
        <v>275.7165</v>
      </c>
    </row>
    <row r="4768" spans="3:13" hidden="1" outlineLevel="1" x14ac:dyDescent="0.2">
      <c r="C4768" s="28">
        <f t="shared" si="58"/>
        <v>3.3828125</v>
      </c>
      <c r="D4768" s="28">
        <f t="shared" si="55"/>
        <v>433</v>
      </c>
      <c r="E4768" s="28">
        <f t="shared" si="56"/>
        <v>378.875</v>
      </c>
      <c r="F4768" s="28">
        <f t="shared" si="57"/>
        <v>291.44230769230768</v>
      </c>
      <c r="G4768" s="28">
        <f t="shared" si="59"/>
        <v>250.21190000000001</v>
      </c>
      <c r="H4768" s="28">
        <f t="shared" si="60"/>
        <v>268.32060000000001</v>
      </c>
      <c r="I4768" s="28">
        <f t="shared" si="61"/>
        <v>276.71499999999997</v>
      </c>
      <c r="J4768" s="28">
        <f t="shared" si="62"/>
        <v>282.97910000000002</v>
      </c>
      <c r="K4768" s="28">
        <f t="shared" si="63"/>
        <v>293.22820000000002</v>
      </c>
      <c r="M4768" s="241">
        <v>276.71499999999997</v>
      </c>
    </row>
    <row r="4769" spans="3:13" hidden="1" outlineLevel="1" x14ac:dyDescent="0.2">
      <c r="C4769" s="28">
        <f t="shared" si="58"/>
        <v>3.390625</v>
      </c>
      <c r="D4769" s="28">
        <f t="shared" si="55"/>
        <v>434</v>
      </c>
      <c r="E4769" s="28">
        <f t="shared" si="56"/>
        <v>379.75</v>
      </c>
      <c r="F4769" s="28">
        <f t="shared" si="57"/>
        <v>292.11538461538458</v>
      </c>
      <c r="G4769" s="28">
        <f t="shared" si="59"/>
        <v>251.1497</v>
      </c>
      <c r="H4769" s="28">
        <f t="shared" si="60"/>
        <v>269.29829999999998</v>
      </c>
      <c r="I4769" s="28">
        <f t="shared" si="61"/>
        <v>277.71379999999999</v>
      </c>
      <c r="J4769" s="28">
        <f t="shared" si="62"/>
        <v>283.9939</v>
      </c>
      <c r="K4769" s="28">
        <f t="shared" si="63"/>
        <v>294.27140000000003</v>
      </c>
      <c r="M4769" s="241">
        <v>277.71379999999999</v>
      </c>
    </row>
    <row r="4770" spans="3:13" hidden="1" outlineLevel="1" x14ac:dyDescent="0.2">
      <c r="C4770" s="28">
        <f t="shared" si="58"/>
        <v>3.3984375</v>
      </c>
      <c r="D4770" s="28">
        <f t="shared" si="55"/>
        <v>435</v>
      </c>
      <c r="E4770" s="28">
        <f t="shared" si="56"/>
        <v>380.625</v>
      </c>
      <c r="F4770" s="28">
        <f t="shared" si="57"/>
        <v>292.78846153846155</v>
      </c>
      <c r="G4770" s="28">
        <f t="shared" si="59"/>
        <v>251.1497</v>
      </c>
      <c r="H4770" s="28">
        <f t="shared" si="60"/>
        <v>269.29829999999998</v>
      </c>
      <c r="I4770" s="28">
        <f t="shared" si="61"/>
        <v>277.71379999999999</v>
      </c>
      <c r="J4770" s="28">
        <f t="shared" si="62"/>
        <v>283.9939</v>
      </c>
      <c r="K4770" s="28">
        <f t="shared" si="63"/>
        <v>294.27140000000003</v>
      </c>
      <c r="M4770" s="241">
        <v>277.71379999999999</v>
      </c>
    </row>
    <row r="4771" spans="3:13" hidden="1" outlineLevel="1" x14ac:dyDescent="0.2">
      <c r="C4771" s="28">
        <f t="shared" si="58"/>
        <v>3.40625</v>
      </c>
      <c r="D4771" s="28">
        <f t="shared" si="55"/>
        <v>436</v>
      </c>
      <c r="E4771" s="28">
        <f t="shared" si="56"/>
        <v>381.5</v>
      </c>
      <c r="F4771" s="28">
        <f t="shared" si="57"/>
        <v>293.46153846153845</v>
      </c>
      <c r="G4771" s="28">
        <f t="shared" si="59"/>
        <v>252.08580000000001</v>
      </c>
      <c r="H4771" s="28">
        <f t="shared" si="60"/>
        <v>270.2765</v>
      </c>
      <c r="I4771" s="28">
        <f t="shared" si="61"/>
        <v>278.71289999999999</v>
      </c>
      <c r="J4771" s="28">
        <f t="shared" si="62"/>
        <v>285.00900000000001</v>
      </c>
      <c r="K4771" s="28">
        <f t="shared" si="63"/>
        <v>295.31360000000001</v>
      </c>
      <c r="M4771" s="241">
        <v>278.71289999999999</v>
      </c>
    </row>
    <row r="4772" spans="3:13" hidden="1" outlineLevel="1" x14ac:dyDescent="0.2">
      <c r="C4772" s="28">
        <f t="shared" si="58"/>
        <v>3.4140625</v>
      </c>
      <c r="D4772" s="28">
        <f t="shared" si="55"/>
        <v>437</v>
      </c>
      <c r="E4772" s="28">
        <f t="shared" si="56"/>
        <v>382.375</v>
      </c>
      <c r="F4772" s="28">
        <f t="shared" si="57"/>
        <v>294.13461538461536</v>
      </c>
      <c r="G4772" s="28">
        <f t="shared" si="59"/>
        <v>253.02350000000001</v>
      </c>
      <c r="H4772" s="28">
        <f t="shared" si="60"/>
        <v>271.255</v>
      </c>
      <c r="I4772" s="28">
        <f t="shared" si="61"/>
        <v>279.7124</v>
      </c>
      <c r="J4772" s="28">
        <f t="shared" si="62"/>
        <v>286.02429999999998</v>
      </c>
      <c r="K4772" s="28">
        <f t="shared" si="63"/>
        <v>296.35730000000001</v>
      </c>
      <c r="M4772" s="241">
        <v>279.7124</v>
      </c>
    </row>
    <row r="4773" spans="3:13" hidden="1" outlineLevel="1" x14ac:dyDescent="0.2">
      <c r="C4773" s="28">
        <f t="shared" si="58"/>
        <v>3.421875</v>
      </c>
      <c r="D4773" s="28">
        <f t="shared" si="55"/>
        <v>438</v>
      </c>
      <c r="E4773" s="28">
        <f t="shared" si="56"/>
        <v>383.25</v>
      </c>
      <c r="F4773" s="28">
        <f t="shared" si="57"/>
        <v>294.80769230769232</v>
      </c>
      <c r="G4773" s="28">
        <f t="shared" si="59"/>
        <v>253.02350000000001</v>
      </c>
      <c r="H4773" s="28">
        <f t="shared" si="60"/>
        <v>271.255</v>
      </c>
      <c r="I4773" s="28">
        <f t="shared" si="61"/>
        <v>279.7124</v>
      </c>
      <c r="J4773" s="28">
        <f t="shared" si="62"/>
        <v>286.02429999999998</v>
      </c>
      <c r="K4773" s="28">
        <f t="shared" si="63"/>
        <v>296.35730000000001</v>
      </c>
      <c r="M4773" s="241">
        <v>279.7124</v>
      </c>
    </row>
    <row r="4774" spans="3:13" hidden="1" outlineLevel="1" x14ac:dyDescent="0.2">
      <c r="C4774" s="28">
        <f t="shared" si="58"/>
        <v>3.4296875</v>
      </c>
      <c r="D4774" s="28">
        <f t="shared" si="55"/>
        <v>439</v>
      </c>
      <c r="E4774" s="28">
        <f t="shared" si="56"/>
        <v>384.125</v>
      </c>
      <c r="F4774" s="28">
        <f t="shared" si="57"/>
        <v>295.48076923076923</v>
      </c>
      <c r="G4774" s="28">
        <f t="shared" si="59"/>
        <v>253.9607</v>
      </c>
      <c r="H4774" s="28">
        <f t="shared" si="60"/>
        <v>272.2328</v>
      </c>
      <c r="I4774" s="28">
        <f t="shared" si="61"/>
        <v>280.71109999999999</v>
      </c>
      <c r="J4774" s="28">
        <f t="shared" si="62"/>
        <v>287.03989999999999</v>
      </c>
      <c r="K4774" s="28">
        <f t="shared" si="63"/>
        <v>297.3999</v>
      </c>
      <c r="M4774" s="241">
        <v>280.71109999999999</v>
      </c>
    </row>
    <row r="4775" spans="3:13" hidden="1" outlineLevel="1" x14ac:dyDescent="0.2">
      <c r="C4775" s="28">
        <f t="shared" si="58"/>
        <v>3.4375</v>
      </c>
      <c r="D4775" s="28">
        <f t="shared" si="55"/>
        <v>440</v>
      </c>
      <c r="E4775" s="28">
        <f t="shared" si="56"/>
        <v>385</v>
      </c>
      <c r="F4775" s="28">
        <f t="shared" si="57"/>
        <v>296.15384615384613</v>
      </c>
      <c r="G4775" s="28">
        <f t="shared" si="59"/>
        <v>254.89840000000001</v>
      </c>
      <c r="H4775" s="28">
        <f t="shared" si="60"/>
        <v>273.21089999999998</v>
      </c>
      <c r="I4775" s="28">
        <f t="shared" si="61"/>
        <v>281.70999999999998</v>
      </c>
      <c r="J4775" s="28">
        <f t="shared" si="62"/>
        <v>288.05470000000003</v>
      </c>
      <c r="K4775" s="28">
        <f t="shared" si="63"/>
        <v>298.44290000000001</v>
      </c>
      <c r="M4775" s="241">
        <v>281.70999999999998</v>
      </c>
    </row>
    <row r="4776" spans="3:13" hidden="1" outlineLevel="1" x14ac:dyDescent="0.2">
      <c r="C4776" s="28">
        <f t="shared" si="58"/>
        <v>3.4453125</v>
      </c>
      <c r="D4776" s="28">
        <f t="shared" si="55"/>
        <v>441</v>
      </c>
      <c r="E4776" s="28">
        <f t="shared" si="56"/>
        <v>385.875</v>
      </c>
      <c r="F4776" s="28">
        <f t="shared" si="57"/>
        <v>296.82692307692309</v>
      </c>
      <c r="G4776" s="28">
        <f t="shared" si="59"/>
        <v>254.89840000000001</v>
      </c>
      <c r="H4776" s="28">
        <f t="shared" si="60"/>
        <v>273.21089999999998</v>
      </c>
      <c r="I4776" s="28">
        <f t="shared" si="61"/>
        <v>281.70999999999998</v>
      </c>
      <c r="J4776" s="28">
        <f t="shared" si="62"/>
        <v>288.05470000000003</v>
      </c>
      <c r="K4776" s="28">
        <f t="shared" si="63"/>
        <v>298.44290000000001</v>
      </c>
      <c r="M4776" s="241">
        <v>281.70999999999998</v>
      </c>
    </row>
    <row r="4777" spans="3:13" hidden="1" outlineLevel="1" x14ac:dyDescent="0.2">
      <c r="C4777" s="28">
        <f t="shared" si="58"/>
        <v>3.453125</v>
      </c>
      <c r="D4777" s="28">
        <f t="shared" si="55"/>
        <v>442</v>
      </c>
      <c r="E4777" s="28">
        <f t="shared" si="56"/>
        <v>386.75</v>
      </c>
      <c r="F4777" s="28">
        <f t="shared" si="57"/>
        <v>297.5</v>
      </c>
      <c r="G4777" s="28">
        <f t="shared" si="59"/>
        <v>255.83539999999999</v>
      </c>
      <c r="H4777" s="28">
        <f t="shared" si="60"/>
        <v>274.18939999999998</v>
      </c>
      <c r="I4777" s="28">
        <f t="shared" si="61"/>
        <v>282.70929999999998</v>
      </c>
      <c r="J4777" s="28">
        <f t="shared" si="62"/>
        <v>289.06979999999999</v>
      </c>
      <c r="K4777" s="28">
        <f t="shared" si="63"/>
        <v>299.48599999999999</v>
      </c>
      <c r="M4777" s="241">
        <v>282.70929999999998</v>
      </c>
    </row>
    <row r="4778" spans="3:13" hidden="1" outlineLevel="1" x14ac:dyDescent="0.2">
      <c r="C4778" s="28">
        <f t="shared" si="58"/>
        <v>3.4609375</v>
      </c>
      <c r="D4778" s="28">
        <f t="shared" si="55"/>
        <v>443</v>
      </c>
      <c r="E4778" s="28">
        <f t="shared" si="56"/>
        <v>387.625</v>
      </c>
      <c r="F4778" s="28">
        <f t="shared" si="57"/>
        <v>298.17307692307691</v>
      </c>
      <c r="G4778" s="28">
        <f t="shared" si="59"/>
        <v>256.77409999999998</v>
      </c>
      <c r="H4778" s="28">
        <f t="shared" si="60"/>
        <v>275.16829999999999</v>
      </c>
      <c r="I4778" s="28">
        <f t="shared" si="61"/>
        <v>283.70780000000002</v>
      </c>
      <c r="J4778" s="28">
        <f t="shared" si="62"/>
        <v>290.08519999999999</v>
      </c>
      <c r="K4778" s="28">
        <f t="shared" si="63"/>
        <v>300.52940000000001</v>
      </c>
      <c r="M4778" s="241">
        <v>283.70780000000002</v>
      </c>
    </row>
    <row r="4779" spans="3:13" hidden="1" outlineLevel="1" x14ac:dyDescent="0.2">
      <c r="C4779" s="28">
        <f t="shared" si="58"/>
        <v>3.46875</v>
      </c>
      <c r="D4779" s="28">
        <f t="shared" si="55"/>
        <v>444</v>
      </c>
      <c r="E4779" s="28">
        <f t="shared" si="56"/>
        <v>388.5</v>
      </c>
      <c r="F4779" s="28">
        <f t="shared" si="57"/>
        <v>298.84615384615381</v>
      </c>
      <c r="G4779" s="28">
        <f t="shared" si="59"/>
        <v>256.77409999999998</v>
      </c>
      <c r="H4779" s="28">
        <f t="shared" si="60"/>
        <v>275.16829999999999</v>
      </c>
      <c r="I4779" s="28">
        <f t="shared" si="61"/>
        <v>283.70780000000002</v>
      </c>
      <c r="J4779" s="28">
        <f t="shared" si="62"/>
        <v>290.08519999999999</v>
      </c>
      <c r="K4779" s="28">
        <f t="shared" si="63"/>
        <v>300.52940000000001</v>
      </c>
      <c r="M4779" s="241">
        <v>283.70780000000002</v>
      </c>
    </row>
    <row r="4780" spans="3:13" hidden="1" outlineLevel="1" x14ac:dyDescent="0.2">
      <c r="C4780" s="28">
        <f t="shared" si="58"/>
        <v>3.4765625</v>
      </c>
      <c r="D4780" s="28">
        <f t="shared" si="55"/>
        <v>445</v>
      </c>
      <c r="E4780" s="28">
        <f t="shared" si="56"/>
        <v>389.375</v>
      </c>
      <c r="F4780" s="28">
        <f t="shared" si="57"/>
        <v>299.51923076923077</v>
      </c>
      <c r="G4780" s="28">
        <f t="shared" si="59"/>
        <v>257.71109999999999</v>
      </c>
      <c r="H4780" s="28">
        <f t="shared" si="60"/>
        <v>276.1465</v>
      </c>
      <c r="I4780" s="28">
        <f t="shared" si="61"/>
        <v>284.70659999999998</v>
      </c>
      <c r="J4780" s="28">
        <f t="shared" si="62"/>
        <v>291.10079999999999</v>
      </c>
      <c r="K4780" s="28">
        <f t="shared" si="63"/>
        <v>301.57299999999998</v>
      </c>
      <c r="M4780" s="241">
        <v>284.70659999999998</v>
      </c>
    </row>
    <row r="4781" spans="3:13" hidden="1" outlineLevel="1" x14ac:dyDescent="0.2">
      <c r="C4781" s="28">
        <f t="shared" si="58"/>
        <v>3.484375</v>
      </c>
      <c r="D4781" s="28">
        <f t="shared" si="55"/>
        <v>446</v>
      </c>
      <c r="E4781" s="28">
        <f t="shared" si="56"/>
        <v>390.25</v>
      </c>
      <c r="F4781" s="28">
        <f t="shared" si="57"/>
        <v>300.19230769230768</v>
      </c>
      <c r="G4781" s="28">
        <f t="shared" si="59"/>
        <v>258.64960000000002</v>
      </c>
      <c r="H4781" s="28">
        <f t="shared" si="60"/>
        <v>277.125</v>
      </c>
      <c r="I4781" s="28">
        <f t="shared" si="61"/>
        <v>285.70580000000001</v>
      </c>
      <c r="J4781" s="28">
        <f t="shared" si="62"/>
        <v>292.11559999999997</v>
      </c>
      <c r="K4781" s="28">
        <f t="shared" si="63"/>
        <v>302.61559999999997</v>
      </c>
      <c r="M4781" s="241">
        <v>285.70580000000001</v>
      </c>
    </row>
    <row r="4782" spans="3:13" hidden="1" outlineLevel="1" x14ac:dyDescent="0.2">
      <c r="C4782" s="28">
        <f t="shared" si="58"/>
        <v>3.4921875</v>
      </c>
      <c r="D4782" s="28">
        <f t="shared" si="55"/>
        <v>447</v>
      </c>
      <c r="E4782" s="28">
        <f t="shared" si="56"/>
        <v>391.125</v>
      </c>
      <c r="F4782" s="28">
        <f t="shared" si="57"/>
        <v>300.86538461538458</v>
      </c>
      <c r="G4782" s="28">
        <f t="shared" si="59"/>
        <v>258.64960000000002</v>
      </c>
      <c r="H4782" s="28">
        <f t="shared" si="60"/>
        <v>277.125</v>
      </c>
      <c r="I4782" s="28">
        <f t="shared" si="61"/>
        <v>285.70580000000001</v>
      </c>
      <c r="J4782" s="28">
        <f t="shared" si="62"/>
        <v>292.11559999999997</v>
      </c>
      <c r="K4782" s="28">
        <f t="shared" si="63"/>
        <v>302.61559999999997</v>
      </c>
      <c r="M4782" s="241">
        <v>285.70580000000001</v>
      </c>
    </row>
    <row r="4783" spans="3:13" hidden="1" outlineLevel="1" x14ac:dyDescent="0.2">
      <c r="C4783" s="28">
        <f t="shared" si="58"/>
        <v>3.5</v>
      </c>
      <c r="D4783" s="28">
        <f t="shared" si="55"/>
        <v>448</v>
      </c>
      <c r="E4783" s="28">
        <f t="shared" si="56"/>
        <v>392</v>
      </c>
      <c r="F4783" s="28">
        <f t="shared" si="57"/>
        <v>301.53846153846155</v>
      </c>
      <c r="G4783" s="28">
        <f t="shared" si="59"/>
        <v>259.58760000000001</v>
      </c>
      <c r="H4783" s="28">
        <f t="shared" si="60"/>
        <v>278.10379999999998</v>
      </c>
      <c r="I4783" s="28">
        <f t="shared" si="61"/>
        <v>286.70519999999999</v>
      </c>
      <c r="J4783" s="28">
        <f t="shared" si="62"/>
        <v>293.1318</v>
      </c>
      <c r="K4783" s="28">
        <f t="shared" si="63"/>
        <v>303.65969999999999</v>
      </c>
      <c r="M4783" s="241">
        <v>286.70519999999999</v>
      </c>
    </row>
    <row r="4784" spans="3:13" hidden="1" outlineLevel="1" x14ac:dyDescent="0.2">
      <c r="C4784" s="28">
        <f t="shared" si="58"/>
        <v>3.5078125</v>
      </c>
      <c r="D4784" s="28">
        <f t="shared" ref="D4784:D4846" si="64">C4784*Channels.per.carrier</f>
        <v>449</v>
      </c>
      <c r="E4784" s="28">
        <f t="shared" ref="E4784:E4847" si="65">D4784-C4784*R99.CE.signalling</f>
        <v>392.875</v>
      </c>
      <c r="F4784" s="28">
        <f t="shared" ref="F4784:F4847" si="66">E4784/(1+Release99.soft.handover+Release99.softer.handover)</f>
        <v>302.21153846153845</v>
      </c>
      <c r="G4784" s="28">
        <f t="shared" si="59"/>
        <v>260.52600000000001</v>
      </c>
      <c r="H4784" s="28">
        <f t="shared" si="60"/>
        <v>279.0831</v>
      </c>
      <c r="I4784" s="28">
        <f t="shared" si="61"/>
        <v>287.70490000000001</v>
      </c>
      <c r="J4784" s="28">
        <f t="shared" si="62"/>
        <v>294.14710000000002</v>
      </c>
      <c r="K4784" s="28">
        <f t="shared" si="63"/>
        <v>304.70269999999999</v>
      </c>
      <c r="M4784" s="241">
        <v>287.70490000000001</v>
      </c>
    </row>
    <row r="4785" spans="3:13" hidden="1" outlineLevel="1" x14ac:dyDescent="0.2">
      <c r="C4785" s="28">
        <f t="shared" ref="C4785:C4847" si="67">C4784+1/128</f>
        <v>3.515625</v>
      </c>
      <c r="D4785" s="28">
        <f t="shared" si="64"/>
        <v>450</v>
      </c>
      <c r="E4785" s="28">
        <f t="shared" si="65"/>
        <v>393.75</v>
      </c>
      <c r="F4785" s="28">
        <f t="shared" si="66"/>
        <v>302.88461538461536</v>
      </c>
      <c r="G4785" s="28">
        <f t="shared" ref="G4785:G4847" si="68">INDEX(D$10:D$4326,MATCH($F4785,$C$10:$C$4326,1))</f>
        <v>260.52600000000001</v>
      </c>
      <c r="H4785" s="28">
        <f t="shared" ref="H4785:H4847" si="69">INDEX(E$10:E$4326,MATCH($F4785,$C$10:$C$4326,1))</f>
        <v>279.0831</v>
      </c>
      <c r="I4785" s="28">
        <f t="shared" ref="I4785:I4847" si="70">INDEX(F$10:F$4326,MATCH($F4785,$C$10:$C$4326,1))</f>
        <v>287.70490000000001</v>
      </c>
      <c r="J4785" s="28">
        <f t="shared" ref="J4785:J4847" si="71">INDEX(G$10:G$4326,MATCH($F4785,$C$10:$C$4326,1))</f>
        <v>294.14710000000002</v>
      </c>
      <c r="K4785" s="28">
        <f t="shared" ref="K4785:K4847" si="72">INDEX(H$10:H$4326,MATCH($F4785,$C$10:$C$4326,1))</f>
        <v>304.70269999999999</v>
      </c>
      <c r="M4785" s="241">
        <v>287.70490000000001</v>
      </c>
    </row>
    <row r="4786" spans="3:13" hidden="1" outlineLevel="1" x14ac:dyDescent="0.2">
      <c r="C4786" s="28">
        <f t="shared" si="67"/>
        <v>3.5234375</v>
      </c>
      <c r="D4786" s="28">
        <f t="shared" si="64"/>
        <v>451</v>
      </c>
      <c r="E4786" s="28">
        <f t="shared" si="65"/>
        <v>394.625</v>
      </c>
      <c r="F4786" s="28">
        <f t="shared" si="66"/>
        <v>303.55769230769232</v>
      </c>
      <c r="G4786" s="28">
        <f t="shared" si="68"/>
        <v>261.46379999999999</v>
      </c>
      <c r="H4786" s="28">
        <f t="shared" si="69"/>
        <v>280.06270000000001</v>
      </c>
      <c r="I4786" s="28">
        <f t="shared" si="70"/>
        <v>288.7038</v>
      </c>
      <c r="J4786" s="28">
        <f t="shared" si="71"/>
        <v>295.16269999999997</v>
      </c>
      <c r="K4786" s="28">
        <f t="shared" si="72"/>
        <v>305.74599999999998</v>
      </c>
      <c r="M4786" s="241">
        <v>288.7038</v>
      </c>
    </row>
    <row r="4787" spans="3:13" hidden="1" outlineLevel="1" x14ac:dyDescent="0.2">
      <c r="C4787" s="28">
        <f t="shared" si="67"/>
        <v>3.53125</v>
      </c>
      <c r="D4787" s="28">
        <f t="shared" si="64"/>
        <v>452</v>
      </c>
      <c r="E4787" s="28">
        <f t="shared" si="65"/>
        <v>395.5</v>
      </c>
      <c r="F4787" s="28">
        <f t="shared" si="66"/>
        <v>304.23076923076923</v>
      </c>
      <c r="G4787" s="28">
        <f t="shared" si="68"/>
        <v>262.40210000000002</v>
      </c>
      <c r="H4787" s="28">
        <f t="shared" si="69"/>
        <v>281.04149999999998</v>
      </c>
      <c r="I4787" s="28">
        <f t="shared" si="70"/>
        <v>289.70420000000001</v>
      </c>
      <c r="J4787" s="28">
        <f t="shared" si="71"/>
        <v>296.17750000000001</v>
      </c>
      <c r="K4787" s="28">
        <f t="shared" si="72"/>
        <v>306.78949999999998</v>
      </c>
      <c r="M4787" s="241">
        <v>289.70420000000001</v>
      </c>
    </row>
    <row r="4788" spans="3:13" hidden="1" outlineLevel="1" x14ac:dyDescent="0.2">
      <c r="C4788" s="28">
        <f t="shared" si="67"/>
        <v>3.5390625</v>
      </c>
      <c r="D4788" s="28">
        <f t="shared" si="64"/>
        <v>453</v>
      </c>
      <c r="E4788" s="28">
        <f t="shared" si="65"/>
        <v>396.375</v>
      </c>
      <c r="F4788" s="28">
        <f t="shared" si="66"/>
        <v>304.90384615384613</v>
      </c>
      <c r="G4788" s="28">
        <f t="shared" si="68"/>
        <v>262.40210000000002</v>
      </c>
      <c r="H4788" s="28">
        <f t="shared" si="69"/>
        <v>281.04149999999998</v>
      </c>
      <c r="I4788" s="28">
        <f t="shared" si="70"/>
        <v>289.70420000000001</v>
      </c>
      <c r="J4788" s="28">
        <f t="shared" si="71"/>
        <v>296.17750000000001</v>
      </c>
      <c r="K4788" s="28">
        <f t="shared" si="72"/>
        <v>306.78949999999998</v>
      </c>
      <c r="M4788" s="241">
        <v>289.70420000000001</v>
      </c>
    </row>
    <row r="4789" spans="3:13" hidden="1" outlineLevel="1" x14ac:dyDescent="0.2">
      <c r="C4789" s="28">
        <f t="shared" si="67"/>
        <v>3.546875</v>
      </c>
      <c r="D4789" s="28">
        <f t="shared" si="64"/>
        <v>454</v>
      </c>
      <c r="E4789" s="28">
        <f t="shared" si="65"/>
        <v>397.25</v>
      </c>
      <c r="F4789" s="28">
        <f t="shared" si="66"/>
        <v>305.57692307692309</v>
      </c>
      <c r="G4789" s="28">
        <f t="shared" si="68"/>
        <v>263.34089999999998</v>
      </c>
      <c r="H4789" s="28">
        <f t="shared" si="69"/>
        <v>282.0206</v>
      </c>
      <c r="I4789" s="28">
        <f t="shared" si="70"/>
        <v>290.70370000000003</v>
      </c>
      <c r="J4789" s="28">
        <f t="shared" si="71"/>
        <v>297.1936</v>
      </c>
      <c r="K4789" s="28">
        <f t="shared" si="72"/>
        <v>307.83330000000001</v>
      </c>
      <c r="M4789" s="241">
        <v>290.70370000000003</v>
      </c>
    </row>
    <row r="4790" spans="3:13" hidden="1" outlineLevel="1" x14ac:dyDescent="0.2">
      <c r="C4790" s="28">
        <f t="shared" si="67"/>
        <v>3.5546875</v>
      </c>
      <c r="D4790" s="28">
        <f t="shared" si="64"/>
        <v>455</v>
      </c>
      <c r="E4790" s="28">
        <f t="shared" si="65"/>
        <v>398.125</v>
      </c>
      <c r="F4790" s="28">
        <f t="shared" si="66"/>
        <v>306.25</v>
      </c>
      <c r="G4790" s="28">
        <f t="shared" si="68"/>
        <v>264.28019999999998</v>
      </c>
      <c r="H4790" s="28">
        <f t="shared" si="69"/>
        <v>282.99900000000002</v>
      </c>
      <c r="I4790" s="28">
        <f t="shared" si="70"/>
        <v>291.70350000000002</v>
      </c>
      <c r="J4790" s="28">
        <f t="shared" si="71"/>
        <v>298.20890000000003</v>
      </c>
      <c r="K4790" s="28">
        <f t="shared" si="72"/>
        <v>308.8759</v>
      </c>
      <c r="M4790" s="241">
        <v>291.70350000000002</v>
      </c>
    </row>
    <row r="4791" spans="3:13" hidden="1" outlineLevel="1" x14ac:dyDescent="0.2">
      <c r="C4791" s="28">
        <f t="shared" si="67"/>
        <v>3.5625</v>
      </c>
      <c r="D4791" s="28">
        <f t="shared" si="64"/>
        <v>456</v>
      </c>
      <c r="E4791" s="28">
        <f t="shared" si="65"/>
        <v>399</v>
      </c>
      <c r="F4791" s="28">
        <f t="shared" si="66"/>
        <v>306.92307692307691</v>
      </c>
      <c r="G4791" s="28">
        <f t="shared" si="68"/>
        <v>264.28019999999998</v>
      </c>
      <c r="H4791" s="28">
        <f t="shared" si="69"/>
        <v>282.99900000000002</v>
      </c>
      <c r="I4791" s="28">
        <f t="shared" si="70"/>
        <v>291.70350000000002</v>
      </c>
      <c r="J4791" s="28">
        <f t="shared" si="71"/>
        <v>298.20890000000003</v>
      </c>
      <c r="K4791" s="28">
        <f t="shared" si="72"/>
        <v>308.8759</v>
      </c>
      <c r="M4791" s="241">
        <v>291.70350000000002</v>
      </c>
    </row>
    <row r="4792" spans="3:13" hidden="1" outlineLevel="1" x14ac:dyDescent="0.2">
      <c r="C4792" s="28">
        <f t="shared" si="67"/>
        <v>3.5703125</v>
      </c>
      <c r="D4792" s="28">
        <f t="shared" si="64"/>
        <v>457</v>
      </c>
      <c r="E4792" s="28">
        <f t="shared" si="65"/>
        <v>399.875</v>
      </c>
      <c r="F4792" s="28">
        <f t="shared" si="66"/>
        <v>307.59615384615381</v>
      </c>
      <c r="G4792" s="28">
        <f t="shared" si="68"/>
        <v>265.21879999999999</v>
      </c>
      <c r="H4792" s="28">
        <f t="shared" si="69"/>
        <v>283.97890000000001</v>
      </c>
      <c r="I4792" s="28">
        <f t="shared" si="70"/>
        <v>292.70249999999999</v>
      </c>
      <c r="J4792" s="28">
        <f t="shared" si="71"/>
        <v>299.2244</v>
      </c>
      <c r="K4792" s="28">
        <f t="shared" si="72"/>
        <v>309.92009999999999</v>
      </c>
      <c r="M4792" s="241">
        <v>292.70249999999999</v>
      </c>
    </row>
    <row r="4793" spans="3:13" hidden="1" outlineLevel="1" x14ac:dyDescent="0.2">
      <c r="C4793" s="28">
        <f t="shared" si="67"/>
        <v>3.578125</v>
      </c>
      <c r="D4793" s="28">
        <f t="shared" si="64"/>
        <v>458</v>
      </c>
      <c r="E4793" s="28">
        <f t="shared" si="65"/>
        <v>400.75</v>
      </c>
      <c r="F4793" s="28">
        <f t="shared" si="66"/>
        <v>308.26923076923077</v>
      </c>
      <c r="G4793" s="28">
        <f t="shared" si="68"/>
        <v>266.15789999999998</v>
      </c>
      <c r="H4793" s="28">
        <f t="shared" si="69"/>
        <v>284.9579</v>
      </c>
      <c r="I4793" s="28">
        <f t="shared" si="70"/>
        <v>293.70170000000002</v>
      </c>
      <c r="J4793" s="28">
        <f t="shared" si="71"/>
        <v>300.24020000000002</v>
      </c>
      <c r="K4793" s="28">
        <f t="shared" si="72"/>
        <v>310.96319999999997</v>
      </c>
      <c r="M4793" s="241">
        <v>293.70170000000002</v>
      </c>
    </row>
    <row r="4794" spans="3:13" hidden="1" outlineLevel="1" x14ac:dyDescent="0.2">
      <c r="C4794" s="28">
        <f t="shared" si="67"/>
        <v>3.5859375</v>
      </c>
      <c r="D4794" s="28">
        <f t="shared" si="64"/>
        <v>459</v>
      </c>
      <c r="E4794" s="28">
        <f t="shared" si="65"/>
        <v>401.625</v>
      </c>
      <c r="F4794" s="28">
        <f t="shared" si="66"/>
        <v>308.94230769230768</v>
      </c>
      <c r="G4794" s="28">
        <f t="shared" si="68"/>
        <v>266.15789999999998</v>
      </c>
      <c r="H4794" s="28">
        <f t="shared" si="69"/>
        <v>284.9579</v>
      </c>
      <c r="I4794" s="28">
        <f t="shared" si="70"/>
        <v>293.70170000000002</v>
      </c>
      <c r="J4794" s="28">
        <f t="shared" si="71"/>
        <v>300.24020000000002</v>
      </c>
      <c r="K4794" s="28">
        <f t="shared" si="72"/>
        <v>310.96319999999997</v>
      </c>
      <c r="M4794" s="241">
        <v>293.70170000000002</v>
      </c>
    </row>
    <row r="4795" spans="3:13" hidden="1" outlineLevel="1" x14ac:dyDescent="0.2">
      <c r="C4795" s="28">
        <f t="shared" si="67"/>
        <v>3.59375</v>
      </c>
      <c r="D4795" s="28">
        <f t="shared" si="64"/>
        <v>460</v>
      </c>
      <c r="E4795" s="28">
        <f t="shared" si="65"/>
        <v>402.5</v>
      </c>
      <c r="F4795" s="28">
        <f t="shared" si="66"/>
        <v>309.61538461538458</v>
      </c>
      <c r="G4795" s="28">
        <f t="shared" si="68"/>
        <v>267.09629999999999</v>
      </c>
      <c r="H4795" s="28">
        <f t="shared" si="69"/>
        <v>285.93729999999999</v>
      </c>
      <c r="I4795" s="28">
        <f t="shared" si="70"/>
        <v>294.70249999999999</v>
      </c>
      <c r="J4795" s="28">
        <f t="shared" si="71"/>
        <v>301.25630000000001</v>
      </c>
      <c r="K4795" s="28">
        <f t="shared" si="72"/>
        <v>312.00659999999999</v>
      </c>
      <c r="M4795" s="241">
        <v>294.70249999999999</v>
      </c>
    </row>
    <row r="4796" spans="3:13" hidden="1" outlineLevel="1" x14ac:dyDescent="0.2">
      <c r="C4796" s="28">
        <f t="shared" si="67"/>
        <v>3.6015625</v>
      </c>
      <c r="D4796" s="28">
        <f t="shared" si="64"/>
        <v>461</v>
      </c>
      <c r="E4796" s="28">
        <f t="shared" si="65"/>
        <v>403.375</v>
      </c>
      <c r="F4796" s="28">
        <f t="shared" si="66"/>
        <v>310.28846153846155</v>
      </c>
      <c r="G4796" s="28">
        <f t="shared" si="68"/>
        <v>268.03640000000001</v>
      </c>
      <c r="H4796" s="28">
        <f t="shared" si="69"/>
        <v>286.9171</v>
      </c>
      <c r="I4796" s="28">
        <f t="shared" si="70"/>
        <v>295.70229999999998</v>
      </c>
      <c r="J4796" s="28">
        <f t="shared" si="71"/>
        <v>302.27260000000001</v>
      </c>
      <c r="K4796" s="28">
        <f t="shared" si="72"/>
        <v>313.05009999999999</v>
      </c>
      <c r="M4796" s="241">
        <v>295.70229999999998</v>
      </c>
    </row>
    <row r="4797" spans="3:13" hidden="1" outlineLevel="1" x14ac:dyDescent="0.2">
      <c r="C4797" s="28">
        <f t="shared" si="67"/>
        <v>3.609375</v>
      </c>
      <c r="D4797" s="28">
        <f t="shared" si="64"/>
        <v>462</v>
      </c>
      <c r="E4797" s="28">
        <f t="shared" si="65"/>
        <v>404.25</v>
      </c>
      <c r="F4797" s="28">
        <f t="shared" si="66"/>
        <v>310.96153846153845</v>
      </c>
      <c r="G4797" s="28">
        <f t="shared" si="68"/>
        <v>268.03640000000001</v>
      </c>
      <c r="H4797" s="28">
        <f t="shared" si="69"/>
        <v>286.9171</v>
      </c>
      <c r="I4797" s="28">
        <f t="shared" si="70"/>
        <v>295.70229999999998</v>
      </c>
      <c r="J4797" s="28">
        <f t="shared" si="71"/>
        <v>302.27260000000001</v>
      </c>
      <c r="K4797" s="28">
        <f t="shared" si="72"/>
        <v>313.05009999999999</v>
      </c>
      <c r="M4797" s="241">
        <v>295.70229999999998</v>
      </c>
    </row>
    <row r="4798" spans="3:13" hidden="1" outlineLevel="1" x14ac:dyDescent="0.2">
      <c r="C4798" s="28">
        <f t="shared" si="67"/>
        <v>3.6171875</v>
      </c>
      <c r="D4798" s="28">
        <f t="shared" si="64"/>
        <v>463</v>
      </c>
      <c r="E4798" s="28">
        <f t="shared" si="65"/>
        <v>405.125</v>
      </c>
      <c r="F4798" s="28">
        <f t="shared" si="66"/>
        <v>311.63461538461536</v>
      </c>
      <c r="G4798" s="28">
        <f t="shared" si="68"/>
        <v>268.97579999999999</v>
      </c>
      <c r="H4798" s="28">
        <f t="shared" si="69"/>
        <v>287.89600000000002</v>
      </c>
      <c r="I4798" s="28">
        <f t="shared" si="70"/>
        <v>296.7013</v>
      </c>
      <c r="J4798" s="28">
        <f t="shared" si="71"/>
        <v>303.28800000000001</v>
      </c>
      <c r="K4798" s="28">
        <f t="shared" si="72"/>
        <v>314.09390000000002</v>
      </c>
      <c r="M4798" s="241">
        <v>296.7013</v>
      </c>
    </row>
    <row r="4799" spans="3:13" hidden="1" outlineLevel="1" x14ac:dyDescent="0.2">
      <c r="C4799" s="28">
        <f t="shared" si="67"/>
        <v>3.625</v>
      </c>
      <c r="D4799" s="28">
        <f t="shared" si="64"/>
        <v>464</v>
      </c>
      <c r="E4799" s="28">
        <f t="shared" si="65"/>
        <v>406</v>
      </c>
      <c r="F4799" s="28">
        <f t="shared" si="66"/>
        <v>312.30769230769232</v>
      </c>
      <c r="G4799" s="28">
        <f t="shared" si="68"/>
        <v>269.9144</v>
      </c>
      <c r="H4799" s="28">
        <f t="shared" si="69"/>
        <v>288.87650000000002</v>
      </c>
      <c r="I4799" s="28">
        <f t="shared" si="70"/>
        <v>297.70170000000002</v>
      </c>
      <c r="J4799" s="28">
        <f t="shared" si="71"/>
        <v>304.30369999999999</v>
      </c>
      <c r="K4799" s="28">
        <f t="shared" si="72"/>
        <v>315.1379</v>
      </c>
      <c r="M4799" s="241">
        <v>297.70170000000002</v>
      </c>
    </row>
    <row r="4800" spans="3:13" hidden="1" outlineLevel="1" x14ac:dyDescent="0.2">
      <c r="C4800" s="28">
        <f t="shared" si="67"/>
        <v>3.6328125</v>
      </c>
      <c r="D4800" s="28">
        <f t="shared" si="64"/>
        <v>465</v>
      </c>
      <c r="E4800" s="28">
        <f t="shared" si="65"/>
        <v>406.875</v>
      </c>
      <c r="F4800" s="28">
        <f t="shared" si="66"/>
        <v>312.98076923076923</v>
      </c>
      <c r="G4800" s="28">
        <f t="shared" si="68"/>
        <v>269.9144</v>
      </c>
      <c r="H4800" s="28">
        <f t="shared" si="69"/>
        <v>288.87650000000002</v>
      </c>
      <c r="I4800" s="28">
        <f t="shared" si="70"/>
        <v>297.70170000000002</v>
      </c>
      <c r="J4800" s="28">
        <f t="shared" si="71"/>
        <v>304.30369999999999</v>
      </c>
      <c r="K4800" s="28">
        <f t="shared" si="72"/>
        <v>315.1379</v>
      </c>
      <c r="M4800" s="241">
        <v>297.70170000000002</v>
      </c>
    </row>
    <row r="4801" spans="3:13" hidden="1" outlineLevel="1" x14ac:dyDescent="0.2">
      <c r="C4801" s="28">
        <f t="shared" si="67"/>
        <v>3.640625</v>
      </c>
      <c r="D4801" s="28">
        <f t="shared" si="64"/>
        <v>466</v>
      </c>
      <c r="E4801" s="28">
        <f t="shared" si="65"/>
        <v>407.75</v>
      </c>
      <c r="F4801" s="28">
        <f t="shared" si="66"/>
        <v>313.65384615384613</v>
      </c>
      <c r="G4801" s="28">
        <f t="shared" si="68"/>
        <v>270.85480000000001</v>
      </c>
      <c r="H4801" s="28">
        <f t="shared" si="69"/>
        <v>289.85610000000003</v>
      </c>
      <c r="I4801" s="28">
        <f t="shared" si="70"/>
        <v>298.7013</v>
      </c>
      <c r="J4801" s="28">
        <f t="shared" si="71"/>
        <v>305.31959999999998</v>
      </c>
      <c r="K4801" s="28">
        <f t="shared" si="72"/>
        <v>316.18209999999999</v>
      </c>
      <c r="M4801" s="241">
        <v>298.7013</v>
      </c>
    </row>
    <row r="4802" spans="3:13" hidden="1" outlineLevel="1" x14ac:dyDescent="0.2">
      <c r="C4802" s="28">
        <f t="shared" si="67"/>
        <v>3.6484375</v>
      </c>
      <c r="D4802" s="28">
        <f t="shared" si="64"/>
        <v>467</v>
      </c>
      <c r="E4802" s="28">
        <f t="shared" si="65"/>
        <v>408.625</v>
      </c>
      <c r="F4802" s="28">
        <f t="shared" si="66"/>
        <v>314.32692307692309</v>
      </c>
      <c r="G4802" s="28">
        <f t="shared" si="68"/>
        <v>271.7944</v>
      </c>
      <c r="H4802" s="28">
        <f t="shared" si="69"/>
        <v>290.83609999999999</v>
      </c>
      <c r="I4802" s="28">
        <f t="shared" si="70"/>
        <v>299.70229999999998</v>
      </c>
      <c r="J4802" s="28">
        <f t="shared" si="71"/>
        <v>306.33580000000001</v>
      </c>
      <c r="K4802" s="28">
        <f t="shared" si="72"/>
        <v>317.22519999999997</v>
      </c>
      <c r="M4802" s="241">
        <v>299.70229999999998</v>
      </c>
    </row>
    <row r="4803" spans="3:13" hidden="1" outlineLevel="1" x14ac:dyDescent="0.2">
      <c r="C4803" s="28">
        <f t="shared" si="67"/>
        <v>3.65625</v>
      </c>
      <c r="D4803" s="28">
        <f t="shared" si="64"/>
        <v>468</v>
      </c>
      <c r="E4803" s="28">
        <f t="shared" si="65"/>
        <v>409.5</v>
      </c>
      <c r="F4803" s="28">
        <f t="shared" si="66"/>
        <v>315</v>
      </c>
      <c r="G4803" s="28">
        <f t="shared" si="68"/>
        <v>272.73329999999999</v>
      </c>
      <c r="H4803" s="28">
        <f t="shared" si="69"/>
        <v>291.8152</v>
      </c>
      <c r="I4803" s="28">
        <f t="shared" si="70"/>
        <v>300.70240000000001</v>
      </c>
      <c r="J4803" s="28">
        <f t="shared" si="71"/>
        <v>307.35219999999998</v>
      </c>
      <c r="K4803" s="28">
        <f t="shared" si="72"/>
        <v>318.26850000000002</v>
      </c>
      <c r="M4803" s="241">
        <v>300.70240000000001</v>
      </c>
    </row>
    <row r="4804" spans="3:13" hidden="1" outlineLevel="1" x14ac:dyDescent="0.2">
      <c r="C4804" s="28">
        <f t="shared" si="67"/>
        <v>3.6640625</v>
      </c>
      <c r="D4804" s="28">
        <f t="shared" si="64"/>
        <v>469</v>
      </c>
      <c r="E4804" s="28">
        <f t="shared" si="65"/>
        <v>410.375</v>
      </c>
      <c r="F4804" s="28">
        <f t="shared" si="66"/>
        <v>315.67307692307691</v>
      </c>
      <c r="G4804" s="28">
        <f t="shared" si="68"/>
        <v>272.73329999999999</v>
      </c>
      <c r="H4804" s="28">
        <f t="shared" si="69"/>
        <v>291.8152</v>
      </c>
      <c r="I4804" s="28">
        <f t="shared" si="70"/>
        <v>300.70240000000001</v>
      </c>
      <c r="J4804" s="28">
        <f t="shared" si="71"/>
        <v>307.35219999999998</v>
      </c>
      <c r="K4804" s="28">
        <f t="shared" si="72"/>
        <v>318.26850000000002</v>
      </c>
      <c r="M4804" s="241">
        <v>300.70240000000001</v>
      </c>
    </row>
    <row r="4805" spans="3:13" hidden="1" outlineLevel="1" x14ac:dyDescent="0.2">
      <c r="C4805" s="28">
        <f t="shared" si="67"/>
        <v>3.671875</v>
      </c>
      <c r="D4805" s="28">
        <f t="shared" si="64"/>
        <v>470</v>
      </c>
      <c r="E4805" s="28">
        <f t="shared" si="65"/>
        <v>411.25</v>
      </c>
      <c r="F4805" s="28">
        <f t="shared" si="66"/>
        <v>316.34615384615381</v>
      </c>
      <c r="G4805" s="28">
        <f t="shared" si="68"/>
        <v>273.67380000000003</v>
      </c>
      <c r="H4805" s="28">
        <f t="shared" si="69"/>
        <v>292.79579999999999</v>
      </c>
      <c r="I4805" s="28">
        <f t="shared" si="70"/>
        <v>301.70159999999998</v>
      </c>
      <c r="J4805" s="28">
        <f t="shared" si="71"/>
        <v>308.36770000000001</v>
      </c>
      <c r="K4805" s="28">
        <f t="shared" si="72"/>
        <v>319.31330000000003</v>
      </c>
      <c r="M4805" s="241">
        <v>301.70159999999998</v>
      </c>
    </row>
    <row r="4806" spans="3:13" hidden="1" outlineLevel="1" x14ac:dyDescent="0.2">
      <c r="C4806" s="28">
        <f t="shared" si="67"/>
        <v>3.6796875</v>
      </c>
      <c r="D4806" s="28">
        <f t="shared" si="64"/>
        <v>471</v>
      </c>
      <c r="E4806" s="28">
        <f t="shared" si="65"/>
        <v>412.125</v>
      </c>
      <c r="F4806" s="28">
        <f t="shared" si="66"/>
        <v>317.01923076923077</v>
      </c>
      <c r="G4806" s="28">
        <f t="shared" si="68"/>
        <v>274.61369999999999</v>
      </c>
      <c r="H4806" s="28">
        <f t="shared" si="69"/>
        <v>293.7756</v>
      </c>
      <c r="I4806" s="28">
        <f t="shared" si="70"/>
        <v>302.70229999999998</v>
      </c>
      <c r="J4806" s="28">
        <f t="shared" si="71"/>
        <v>309.38470000000001</v>
      </c>
      <c r="K4806" s="28">
        <f t="shared" si="72"/>
        <v>320.3571</v>
      </c>
      <c r="M4806" s="241">
        <v>302.70229999999998</v>
      </c>
    </row>
    <row r="4807" spans="3:13" hidden="1" outlineLevel="1" x14ac:dyDescent="0.2">
      <c r="C4807" s="28">
        <f t="shared" si="67"/>
        <v>3.6875</v>
      </c>
      <c r="D4807" s="28">
        <f t="shared" si="64"/>
        <v>472</v>
      </c>
      <c r="E4807" s="28">
        <f t="shared" si="65"/>
        <v>413</v>
      </c>
      <c r="F4807" s="28">
        <f t="shared" si="66"/>
        <v>317.69230769230768</v>
      </c>
      <c r="G4807" s="28">
        <f t="shared" si="68"/>
        <v>274.61369999999999</v>
      </c>
      <c r="H4807" s="28">
        <f t="shared" si="69"/>
        <v>293.7756</v>
      </c>
      <c r="I4807" s="28">
        <f t="shared" si="70"/>
        <v>302.70229999999998</v>
      </c>
      <c r="J4807" s="28">
        <f t="shared" si="71"/>
        <v>309.38470000000001</v>
      </c>
      <c r="K4807" s="28">
        <f t="shared" si="72"/>
        <v>320.3571</v>
      </c>
      <c r="M4807" s="241">
        <v>302.70229999999998</v>
      </c>
    </row>
    <row r="4808" spans="3:13" hidden="1" outlineLevel="1" x14ac:dyDescent="0.2">
      <c r="C4808" s="28">
        <f t="shared" si="67"/>
        <v>3.6953125</v>
      </c>
      <c r="D4808" s="28">
        <f t="shared" si="64"/>
        <v>473</v>
      </c>
      <c r="E4808" s="28">
        <f t="shared" si="65"/>
        <v>413.875</v>
      </c>
      <c r="F4808" s="28">
        <f t="shared" si="66"/>
        <v>318.36538461538458</v>
      </c>
      <c r="G4808" s="28">
        <f t="shared" si="68"/>
        <v>275.5539</v>
      </c>
      <c r="H4808" s="28">
        <f t="shared" si="69"/>
        <v>294.75569999999999</v>
      </c>
      <c r="I4808" s="28">
        <f t="shared" si="70"/>
        <v>303.70209999999997</v>
      </c>
      <c r="J4808" s="28">
        <f t="shared" si="71"/>
        <v>310.40069999999997</v>
      </c>
      <c r="K4808" s="28">
        <f t="shared" si="72"/>
        <v>321.40100000000001</v>
      </c>
      <c r="M4808" s="241">
        <v>303.70209999999997</v>
      </c>
    </row>
    <row r="4809" spans="3:13" hidden="1" outlineLevel="1" x14ac:dyDescent="0.2">
      <c r="C4809" s="28">
        <f t="shared" si="67"/>
        <v>3.703125</v>
      </c>
      <c r="D4809" s="28">
        <f t="shared" si="64"/>
        <v>474</v>
      </c>
      <c r="E4809" s="28">
        <f t="shared" si="65"/>
        <v>414.75</v>
      </c>
      <c r="F4809" s="28">
        <f t="shared" si="66"/>
        <v>319.03846153846155</v>
      </c>
      <c r="G4809" s="28">
        <f t="shared" si="68"/>
        <v>276.49349999999998</v>
      </c>
      <c r="H4809" s="28">
        <f t="shared" si="69"/>
        <v>295.73489999999998</v>
      </c>
      <c r="I4809" s="28">
        <f t="shared" si="70"/>
        <v>304.70339999999999</v>
      </c>
      <c r="J4809" s="28">
        <f t="shared" si="71"/>
        <v>311.41699999999997</v>
      </c>
      <c r="K4809" s="28">
        <f t="shared" si="72"/>
        <v>322.44389999999999</v>
      </c>
      <c r="M4809" s="241">
        <v>304.70339999999999</v>
      </c>
    </row>
    <row r="4810" spans="3:13" hidden="1" outlineLevel="1" x14ac:dyDescent="0.2">
      <c r="C4810" s="28">
        <f t="shared" si="67"/>
        <v>3.7109375</v>
      </c>
      <c r="D4810" s="28">
        <f t="shared" si="64"/>
        <v>475</v>
      </c>
      <c r="E4810" s="28">
        <f t="shared" si="65"/>
        <v>415.625</v>
      </c>
      <c r="F4810" s="28">
        <f t="shared" si="66"/>
        <v>319.71153846153845</v>
      </c>
      <c r="G4810" s="28">
        <f t="shared" si="68"/>
        <v>276.49349999999998</v>
      </c>
      <c r="H4810" s="28">
        <f t="shared" si="69"/>
        <v>295.73489999999998</v>
      </c>
      <c r="I4810" s="28">
        <f t="shared" si="70"/>
        <v>304.70339999999999</v>
      </c>
      <c r="J4810" s="28">
        <f t="shared" si="71"/>
        <v>311.41699999999997</v>
      </c>
      <c r="K4810" s="28">
        <f t="shared" si="72"/>
        <v>322.44389999999999</v>
      </c>
      <c r="M4810" s="241">
        <v>304.70339999999999</v>
      </c>
    </row>
    <row r="4811" spans="3:13" hidden="1" outlineLevel="1" x14ac:dyDescent="0.2">
      <c r="C4811" s="28">
        <f t="shared" si="67"/>
        <v>3.71875</v>
      </c>
      <c r="D4811" s="28">
        <f t="shared" si="64"/>
        <v>476</v>
      </c>
      <c r="E4811" s="28">
        <f t="shared" si="65"/>
        <v>416.5</v>
      </c>
      <c r="F4811" s="28">
        <f t="shared" si="66"/>
        <v>320.38461538461536</v>
      </c>
      <c r="G4811" s="28">
        <f t="shared" si="68"/>
        <v>277.43470000000002</v>
      </c>
      <c r="H4811" s="28">
        <f t="shared" si="69"/>
        <v>296.71570000000003</v>
      </c>
      <c r="I4811" s="28">
        <f t="shared" si="70"/>
        <v>305.70370000000003</v>
      </c>
      <c r="J4811" s="28">
        <f t="shared" si="71"/>
        <v>312.43349999999998</v>
      </c>
      <c r="K4811" s="28">
        <f t="shared" si="72"/>
        <v>323.48820000000001</v>
      </c>
      <c r="M4811" s="241">
        <v>305.70370000000003</v>
      </c>
    </row>
    <row r="4812" spans="3:13" hidden="1" outlineLevel="1" x14ac:dyDescent="0.2">
      <c r="C4812" s="28">
        <f t="shared" si="67"/>
        <v>3.7265625</v>
      </c>
      <c r="D4812" s="28">
        <f t="shared" si="64"/>
        <v>477</v>
      </c>
      <c r="E4812" s="28">
        <f t="shared" si="65"/>
        <v>417.375</v>
      </c>
      <c r="F4812" s="28">
        <f t="shared" si="66"/>
        <v>321.05769230769232</v>
      </c>
      <c r="G4812" s="28">
        <f t="shared" si="68"/>
        <v>278.37509999999997</v>
      </c>
      <c r="H4812" s="28">
        <f t="shared" si="69"/>
        <v>297.69560000000001</v>
      </c>
      <c r="I4812" s="28">
        <f t="shared" si="70"/>
        <v>306.70310000000001</v>
      </c>
      <c r="J4812" s="28">
        <f t="shared" si="71"/>
        <v>313.44900000000001</v>
      </c>
      <c r="K4812" s="28">
        <f t="shared" si="72"/>
        <v>324.53280000000001</v>
      </c>
      <c r="M4812" s="241">
        <v>306.70310000000001</v>
      </c>
    </row>
    <row r="4813" spans="3:13" hidden="1" outlineLevel="1" x14ac:dyDescent="0.2">
      <c r="C4813" s="28">
        <f t="shared" si="67"/>
        <v>3.734375</v>
      </c>
      <c r="D4813" s="28">
        <f t="shared" si="64"/>
        <v>478</v>
      </c>
      <c r="E4813" s="28">
        <f t="shared" si="65"/>
        <v>418.25</v>
      </c>
      <c r="F4813" s="28">
        <f t="shared" si="66"/>
        <v>321.73076923076923</v>
      </c>
      <c r="G4813" s="28">
        <f t="shared" si="68"/>
        <v>278.37509999999997</v>
      </c>
      <c r="H4813" s="28">
        <f t="shared" si="69"/>
        <v>297.69560000000001</v>
      </c>
      <c r="I4813" s="28">
        <f t="shared" si="70"/>
        <v>306.70310000000001</v>
      </c>
      <c r="J4813" s="28">
        <f t="shared" si="71"/>
        <v>313.44900000000001</v>
      </c>
      <c r="K4813" s="28">
        <f t="shared" si="72"/>
        <v>324.53280000000001</v>
      </c>
      <c r="M4813" s="241">
        <v>306.70310000000001</v>
      </c>
    </row>
    <row r="4814" spans="3:13" hidden="1" outlineLevel="1" x14ac:dyDescent="0.2">
      <c r="C4814" s="28">
        <f t="shared" si="67"/>
        <v>3.7421875</v>
      </c>
      <c r="D4814" s="28">
        <f t="shared" si="64"/>
        <v>479</v>
      </c>
      <c r="E4814" s="28">
        <f t="shared" si="65"/>
        <v>419.125</v>
      </c>
      <c r="F4814" s="28">
        <f t="shared" si="66"/>
        <v>322.40384615384613</v>
      </c>
      <c r="G4814" s="28">
        <f t="shared" si="68"/>
        <v>279.31610000000001</v>
      </c>
      <c r="H4814" s="28">
        <f t="shared" si="69"/>
        <v>298.67579999999998</v>
      </c>
      <c r="I4814" s="28">
        <f t="shared" si="70"/>
        <v>307.70409999999998</v>
      </c>
      <c r="J4814" s="28">
        <f t="shared" si="71"/>
        <v>314.46600000000001</v>
      </c>
      <c r="K4814" s="28">
        <f t="shared" si="72"/>
        <v>325.57619999999997</v>
      </c>
      <c r="M4814" s="241">
        <v>307.70409999999998</v>
      </c>
    </row>
    <row r="4815" spans="3:13" hidden="1" outlineLevel="1" x14ac:dyDescent="0.2">
      <c r="C4815" s="28">
        <f t="shared" si="67"/>
        <v>3.75</v>
      </c>
      <c r="D4815" s="28">
        <f t="shared" si="64"/>
        <v>480</v>
      </c>
      <c r="E4815" s="28">
        <f t="shared" si="65"/>
        <v>420</v>
      </c>
      <c r="F4815" s="28">
        <f t="shared" si="66"/>
        <v>323.07692307692304</v>
      </c>
      <c r="G4815" s="28">
        <f t="shared" si="68"/>
        <v>280.25619999999998</v>
      </c>
      <c r="H4815" s="28">
        <f t="shared" si="69"/>
        <v>299.65640000000002</v>
      </c>
      <c r="I4815" s="28">
        <f t="shared" si="70"/>
        <v>308.70400000000001</v>
      </c>
      <c r="J4815" s="28">
        <f t="shared" si="71"/>
        <v>315.4821</v>
      </c>
      <c r="K4815" s="28">
        <f t="shared" si="72"/>
        <v>326.61989999999997</v>
      </c>
      <c r="M4815" s="241">
        <v>308.70400000000001</v>
      </c>
    </row>
    <row r="4816" spans="3:13" hidden="1" outlineLevel="1" x14ac:dyDescent="0.2">
      <c r="C4816" s="28">
        <f t="shared" si="67"/>
        <v>3.7578125</v>
      </c>
      <c r="D4816" s="28">
        <f t="shared" si="64"/>
        <v>481</v>
      </c>
      <c r="E4816" s="28">
        <f t="shared" si="65"/>
        <v>420.875</v>
      </c>
      <c r="F4816" s="28">
        <f t="shared" si="66"/>
        <v>323.75</v>
      </c>
      <c r="G4816" s="28">
        <f t="shared" si="68"/>
        <v>280.25619999999998</v>
      </c>
      <c r="H4816" s="28">
        <f t="shared" si="69"/>
        <v>299.65640000000002</v>
      </c>
      <c r="I4816" s="28">
        <f t="shared" si="70"/>
        <v>308.70400000000001</v>
      </c>
      <c r="J4816" s="28">
        <f t="shared" si="71"/>
        <v>315.4821</v>
      </c>
      <c r="K4816" s="28">
        <f t="shared" si="72"/>
        <v>326.61989999999997</v>
      </c>
      <c r="M4816" s="241">
        <v>308.70400000000001</v>
      </c>
    </row>
    <row r="4817" spans="3:13" hidden="1" outlineLevel="1" x14ac:dyDescent="0.2">
      <c r="C4817" s="28">
        <f t="shared" si="67"/>
        <v>3.765625</v>
      </c>
      <c r="D4817" s="28">
        <f t="shared" si="64"/>
        <v>482</v>
      </c>
      <c r="E4817" s="28">
        <f t="shared" si="65"/>
        <v>421.75</v>
      </c>
      <c r="F4817" s="28">
        <f t="shared" si="66"/>
        <v>324.42307692307691</v>
      </c>
      <c r="G4817" s="28">
        <f t="shared" si="68"/>
        <v>281.1968</v>
      </c>
      <c r="H4817" s="28">
        <f t="shared" si="69"/>
        <v>300.63720000000001</v>
      </c>
      <c r="I4817" s="28">
        <f t="shared" si="70"/>
        <v>309.70549999999997</v>
      </c>
      <c r="J4817" s="28">
        <f t="shared" si="71"/>
        <v>316.49829999999997</v>
      </c>
      <c r="K4817" s="28">
        <f t="shared" si="72"/>
        <v>327.66370000000001</v>
      </c>
      <c r="M4817" s="241">
        <v>309.70549999999997</v>
      </c>
    </row>
    <row r="4818" spans="3:13" hidden="1" outlineLevel="1" x14ac:dyDescent="0.2">
      <c r="C4818" s="28">
        <f t="shared" si="67"/>
        <v>3.7734375</v>
      </c>
      <c r="D4818" s="28">
        <f t="shared" si="64"/>
        <v>483</v>
      </c>
      <c r="E4818" s="28">
        <f t="shared" si="65"/>
        <v>422.625</v>
      </c>
      <c r="F4818" s="28">
        <f t="shared" si="66"/>
        <v>325.09615384615381</v>
      </c>
      <c r="G4818" s="28">
        <f t="shared" si="68"/>
        <v>282.13780000000003</v>
      </c>
      <c r="H4818" s="28">
        <f t="shared" si="69"/>
        <v>301.61720000000003</v>
      </c>
      <c r="I4818" s="28">
        <f t="shared" si="70"/>
        <v>310.70600000000002</v>
      </c>
      <c r="J4818" s="28">
        <f t="shared" si="71"/>
        <v>317.51479999999998</v>
      </c>
      <c r="K4818" s="28">
        <f t="shared" si="72"/>
        <v>328.70769999999999</v>
      </c>
      <c r="M4818" s="241">
        <v>310.70600000000002</v>
      </c>
    </row>
    <row r="4819" spans="3:13" hidden="1" outlineLevel="1" x14ac:dyDescent="0.2">
      <c r="C4819" s="28">
        <f t="shared" si="67"/>
        <v>3.78125</v>
      </c>
      <c r="D4819" s="28">
        <f t="shared" si="64"/>
        <v>484</v>
      </c>
      <c r="E4819" s="28">
        <f t="shared" si="65"/>
        <v>423.5</v>
      </c>
      <c r="F4819" s="28">
        <f t="shared" si="66"/>
        <v>325.76923076923077</v>
      </c>
      <c r="G4819" s="28">
        <f t="shared" si="68"/>
        <v>282.13780000000003</v>
      </c>
      <c r="H4819" s="28">
        <f t="shared" si="69"/>
        <v>301.61720000000003</v>
      </c>
      <c r="I4819" s="28">
        <f t="shared" si="70"/>
        <v>310.70600000000002</v>
      </c>
      <c r="J4819" s="28">
        <f t="shared" si="71"/>
        <v>317.51479999999998</v>
      </c>
      <c r="K4819" s="28">
        <f t="shared" si="72"/>
        <v>328.70769999999999</v>
      </c>
      <c r="M4819" s="241">
        <v>310.70600000000002</v>
      </c>
    </row>
    <row r="4820" spans="3:13" hidden="1" outlineLevel="1" x14ac:dyDescent="0.2">
      <c r="C4820" s="28">
        <f t="shared" si="67"/>
        <v>3.7890625</v>
      </c>
      <c r="D4820" s="28">
        <f t="shared" si="64"/>
        <v>485</v>
      </c>
      <c r="E4820" s="28">
        <f t="shared" si="65"/>
        <v>424.375</v>
      </c>
      <c r="F4820" s="28">
        <f t="shared" si="66"/>
        <v>326.44230769230768</v>
      </c>
      <c r="G4820" s="28">
        <f t="shared" si="68"/>
        <v>283.07929999999999</v>
      </c>
      <c r="H4820" s="28">
        <f t="shared" si="69"/>
        <v>302.59870000000001</v>
      </c>
      <c r="I4820" s="28">
        <f t="shared" si="70"/>
        <v>311.70679999999999</v>
      </c>
      <c r="J4820" s="28">
        <f t="shared" si="71"/>
        <v>318.53160000000003</v>
      </c>
      <c r="K4820" s="28">
        <f t="shared" si="72"/>
        <v>329.75200000000001</v>
      </c>
      <c r="M4820" s="241">
        <v>311.70679999999999</v>
      </c>
    </row>
    <row r="4821" spans="3:13" hidden="1" outlineLevel="1" x14ac:dyDescent="0.2">
      <c r="C4821" s="28">
        <f t="shared" si="67"/>
        <v>3.796875</v>
      </c>
      <c r="D4821" s="28">
        <f t="shared" si="64"/>
        <v>486</v>
      </c>
      <c r="E4821" s="28">
        <f t="shared" si="65"/>
        <v>425.25</v>
      </c>
      <c r="F4821" s="28">
        <f t="shared" si="66"/>
        <v>327.11538461538458</v>
      </c>
      <c r="G4821" s="28">
        <f t="shared" si="68"/>
        <v>284.02</v>
      </c>
      <c r="H4821" s="28">
        <f t="shared" si="69"/>
        <v>303.57929999999999</v>
      </c>
      <c r="I4821" s="28">
        <f t="shared" si="70"/>
        <v>312.70780000000002</v>
      </c>
      <c r="J4821" s="28">
        <f t="shared" si="71"/>
        <v>319.54860000000002</v>
      </c>
      <c r="K4821" s="28">
        <f t="shared" si="72"/>
        <v>330.79640000000001</v>
      </c>
      <c r="M4821" s="241">
        <v>312.70780000000002</v>
      </c>
    </row>
    <row r="4822" spans="3:13" hidden="1" outlineLevel="1" x14ac:dyDescent="0.2">
      <c r="C4822" s="28">
        <f t="shared" si="67"/>
        <v>3.8046875</v>
      </c>
      <c r="D4822" s="28">
        <f t="shared" si="64"/>
        <v>487</v>
      </c>
      <c r="E4822" s="28">
        <f t="shared" si="65"/>
        <v>426.125</v>
      </c>
      <c r="F4822" s="28">
        <f t="shared" si="66"/>
        <v>327.78846153846155</v>
      </c>
      <c r="G4822" s="28">
        <f t="shared" si="68"/>
        <v>284.02</v>
      </c>
      <c r="H4822" s="28">
        <f t="shared" si="69"/>
        <v>303.57929999999999</v>
      </c>
      <c r="I4822" s="28">
        <f t="shared" si="70"/>
        <v>312.70780000000002</v>
      </c>
      <c r="J4822" s="28">
        <f t="shared" si="71"/>
        <v>319.54860000000002</v>
      </c>
      <c r="K4822" s="28">
        <f t="shared" si="72"/>
        <v>330.79640000000001</v>
      </c>
      <c r="M4822" s="241">
        <v>312.70780000000002</v>
      </c>
    </row>
    <row r="4823" spans="3:13" hidden="1" outlineLevel="1" x14ac:dyDescent="0.2">
      <c r="C4823" s="28">
        <f t="shared" si="67"/>
        <v>3.8125</v>
      </c>
      <c r="D4823" s="28">
        <f t="shared" si="64"/>
        <v>488</v>
      </c>
      <c r="E4823" s="28">
        <f t="shared" si="65"/>
        <v>427</v>
      </c>
      <c r="F4823" s="28">
        <f t="shared" si="66"/>
        <v>328.46153846153845</v>
      </c>
      <c r="G4823" s="28">
        <f t="shared" si="68"/>
        <v>284.96109999999999</v>
      </c>
      <c r="H4823" s="28">
        <f t="shared" si="69"/>
        <v>304.56029999999998</v>
      </c>
      <c r="I4823" s="28">
        <f t="shared" si="70"/>
        <v>313.7079</v>
      </c>
      <c r="J4823" s="28">
        <f t="shared" si="71"/>
        <v>320.56459999999998</v>
      </c>
      <c r="K4823" s="28">
        <f t="shared" si="72"/>
        <v>331.84109999999998</v>
      </c>
      <c r="M4823" s="241">
        <v>313.7079</v>
      </c>
    </row>
    <row r="4824" spans="3:13" hidden="1" outlineLevel="1" x14ac:dyDescent="0.2">
      <c r="C4824" s="28">
        <f t="shared" si="67"/>
        <v>3.8203125</v>
      </c>
      <c r="D4824" s="28">
        <f t="shared" si="64"/>
        <v>489</v>
      </c>
      <c r="E4824" s="28">
        <f t="shared" si="65"/>
        <v>427.875</v>
      </c>
      <c r="F4824" s="28">
        <f t="shared" si="66"/>
        <v>329.13461538461536</v>
      </c>
      <c r="G4824" s="28">
        <f t="shared" si="68"/>
        <v>285.90269999999998</v>
      </c>
      <c r="H4824" s="28">
        <f t="shared" si="69"/>
        <v>305.5403</v>
      </c>
      <c r="I4824" s="28">
        <f t="shared" si="70"/>
        <v>314.70949999999999</v>
      </c>
      <c r="J4824" s="28">
        <f t="shared" si="71"/>
        <v>321.58210000000003</v>
      </c>
      <c r="K4824" s="28">
        <f t="shared" si="72"/>
        <v>332.8845</v>
      </c>
      <c r="M4824" s="241">
        <v>314.70949999999999</v>
      </c>
    </row>
    <row r="4825" spans="3:13" hidden="1" outlineLevel="1" x14ac:dyDescent="0.2">
      <c r="C4825" s="28">
        <f t="shared" si="67"/>
        <v>3.828125</v>
      </c>
      <c r="D4825" s="28">
        <f t="shared" si="64"/>
        <v>490</v>
      </c>
      <c r="E4825" s="28">
        <f t="shared" si="65"/>
        <v>428.75</v>
      </c>
      <c r="F4825" s="28">
        <f t="shared" si="66"/>
        <v>329.80769230769232</v>
      </c>
      <c r="G4825" s="28">
        <f t="shared" si="68"/>
        <v>285.90269999999998</v>
      </c>
      <c r="H4825" s="28">
        <f t="shared" si="69"/>
        <v>305.5403</v>
      </c>
      <c r="I4825" s="28">
        <f t="shared" si="70"/>
        <v>314.70949999999999</v>
      </c>
      <c r="J4825" s="28">
        <f t="shared" si="71"/>
        <v>321.58210000000003</v>
      </c>
      <c r="K4825" s="28">
        <f t="shared" si="72"/>
        <v>332.8845</v>
      </c>
      <c r="M4825" s="241">
        <v>314.70949999999999</v>
      </c>
    </row>
    <row r="4826" spans="3:13" hidden="1" outlineLevel="1" x14ac:dyDescent="0.2">
      <c r="C4826" s="28">
        <f t="shared" si="67"/>
        <v>3.8359375</v>
      </c>
      <c r="D4826" s="28">
        <f t="shared" si="64"/>
        <v>491</v>
      </c>
      <c r="E4826" s="28">
        <f t="shared" si="65"/>
        <v>429.625</v>
      </c>
      <c r="F4826" s="28">
        <f t="shared" si="66"/>
        <v>330.48076923076923</v>
      </c>
      <c r="G4826" s="28">
        <f t="shared" si="68"/>
        <v>286.84469999999999</v>
      </c>
      <c r="H4826" s="28">
        <f t="shared" si="69"/>
        <v>306.52179999999998</v>
      </c>
      <c r="I4826" s="28">
        <f t="shared" si="70"/>
        <v>315.71019999999999</v>
      </c>
      <c r="J4826" s="28">
        <f t="shared" si="71"/>
        <v>322.59859999999998</v>
      </c>
      <c r="K4826" s="28">
        <f t="shared" si="72"/>
        <v>333.92959999999999</v>
      </c>
      <c r="M4826" s="241">
        <v>315.71019999999999</v>
      </c>
    </row>
    <row r="4827" spans="3:13" hidden="1" outlineLevel="1" x14ac:dyDescent="0.2">
      <c r="C4827" s="28">
        <f t="shared" si="67"/>
        <v>3.84375</v>
      </c>
      <c r="D4827" s="28">
        <f t="shared" si="64"/>
        <v>492</v>
      </c>
      <c r="E4827" s="28">
        <f t="shared" si="65"/>
        <v>430.5</v>
      </c>
      <c r="F4827" s="28">
        <f t="shared" si="66"/>
        <v>331.15384615384613</v>
      </c>
      <c r="G4827" s="28">
        <f t="shared" si="68"/>
        <v>287.78590000000003</v>
      </c>
      <c r="H4827" s="28">
        <f t="shared" si="69"/>
        <v>307.50240000000002</v>
      </c>
      <c r="I4827" s="28">
        <f t="shared" si="70"/>
        <v>316.71109999999999</v>
      </c>
      <c r="J4827" s="28">
        <f t="shared" si="71"/>
        <v>323.61529999999999</v>
      </c>
      <c r="K4827" s="28">
        <f t="shared" si="72"/>
        <v>334.97340000000003</v>
      </c>
      <c r="M4827" s="241">
        <v>316.71109999999999</v>
      </c>
    </row>
    <row r="4828" spans="3:13" hidden="1" outlineLevel="1" x14ac:dyDescent="0.2">
      <c r="C4828" s="28">
        <f t="shared" si="67"/>
        <v>3.8515625</v>
      </c>
      <c r="D4828" s="28">
        <f t="shared" si="64"/>
        <v>493</v>
      </c>
      <c r="E4828" s="28">
        <f t="shared" si="65"/>
        <v>431.375</v>
      </c>
      <c r="F4828" s="28">
        <f t="shared" si="66"/>
        <v>331.82692307692304</v>
      </c>
      <c r="G4828" s="28">
        <f t="shared" si="68"/>
        <v>287.78590000000003</v>
      </c>
      <c r="H4828" s="28">
        <f t="shared" si="69"/>
        <v>307.50240000000002</v>
      </c>
      <c r="I4828" s="28">
        <f t="shared" si="70"/>
        <v>316.71109999999999</v>
      </c>
      <c r="J4828" s="28">
        <f t="shared" si="71"/>
        <v>323.61529999999999</v>
      </c>
      <c r="K4828" s="28">
        <f t="shared" si="72"/>
        <v>334.97340000000003</v>
      </c>
      <c r="M4828" s="241">
        <v>316.71109999999999</v>
      </c>
    </row>
    <row r="4829" spans="3:13" hidden="1" outlineLevel="1" x14ac:dyDescent="0.2">
      <c r="C4829" s="28">
        <f t="shared" si="67"/>
        <v>3.859375</v>
      </c>
      <c r="D4829" s="28">
        <f t="shared" si="64"/>
        <v>494</v>
      </c>
      <c r="E4829" s="28">
        <f t="shared" si="65"/>
        <v>432.25</v>
      </c>
      <c r="F4829" s="28">
        <f t="shared" si="66"/>
        <v>332.5</v>
      </c>
      <c r="G4829" s="28">
        <f t="shared" si="68"/>
        <v>288.7276</v>
      </c>
      <c r="H4829" s="28">
        <f t="shared" si="69"/>
        <v>308.48340000000002</v>
      </c>
      <c r="I4829" s="28">
        <f t="shared" si="70"/>
        <v>317.7122</v>
      </c>
      <c r="J4829" s="28">
        <f t="shared" si="71"/>
        <v>324.63229999999999</v>
      </c>
      <c r="K4829" s="28">
        <f t="shared" si="72"/>
        <v>336.01749999999998</v>
      </c>
      <c r="M4829" s="241">
        <v>317.7122</v>
      </c>
    </row>
    <row r="4830" spans="3:13" hidden="1" outlineLevel="1" x14ac:dyDescent="0.2">
      <c r="C4830" s="28">
        <f t="shared" si="67"/>
        <v>3.8671875</v>
      </c>
      <c r="D4830" s="28">
        <f t="shared" si="64"/>
        <v>495</v>
      </c>
      <c r="E4830" s="28">
        <f t="shared" si="65"/>
        <v>433.125</v>
      </c>
      <c r="F4830" s="28">
        <f t="shared" si="66"/>
        <v>333.17307692307691</v>
      </c>
      <c r="G4830" s="28">
        <f t="shared" si="68"/>
        <v>289.6696</v>
      </c>
      <c r="H4830" s="28">
        <f t="shared" si="69"/>
        <v>309.46460000000002</v>
      </c>
      <c r="I4830" s="28">
        <f t="shared" si="70"/>
        <v>318.7124</v>
      </c>
      <c r="J4830" s="28">
        <f t="shared" si="71"/>
        <v>325.64819999999997</v>
      </c>
      <c r="K4830" s="28">
        <f t="shared" si="72"/>
        <v>337.06169999999997</v>
      </c>
      <c r="M4830" s="241">
        <v>318.7124</v>
      </c>
    </row>
    <row r="4831" spans="3:13" hidden="1" outlineLevel="1" x14ac:dyDescent="0.2">
      <c r="C4831" s="28">
        <f t="shared" si="67"/>
        <v>3.875</v>
      </c>
      <c r="D4831" s="28">
        <f t="shared" si="64"/>
        <v>496</v>
      </c>
      <c r="E4831" s="28">
        <f t="shared" si="65"/>
        <v>434</v>
      </c>
      <c r="F4831" s="28">
        <f t="shared" si="66"/>
        <v>333.84615384615381</v>
      </c>
      <c r="G4831" s="28">
        <f t="shared" si="68"/>
        <v>289.6696</v>
      </c>
      <c r="H4831" s="28">
        <f t="shared" si="69"/>
        <v>309.46460000000002</v>
      </c>
      <c r="I4831" s="28">
        <f t="shared" si="70"/>
        <v>318.7124</v>
      </c>
      <c r="J4831" s="28">
        <f t="shared" si="71"/>
        <v>325.64819999999997</v>
      </c>
      <c r="K4831" s="28">
        <f t="shared" si="72"/>
        <v>337.06169999999997</v>
      </c>
      <c r="M4831" s="241">
        <v>318.7124</v>
      </c>
    </row>
    <row r="4832" spans="3:13" hidden="1" outlineLevel="1" x14ac:dyDescent="0.2">
      <c r="C4832" s="28">
        <f t="shared" si="67"/>
        <v>3.8828125</v>
      </c>
      <c r="D4832" s="28">
        <f t="shared" si="64"/>
        <v>497</v>
      </c>
      <c r="E4832" s="28">
        <f t="shared" si="65"/>
        <v>434.875</v>
      </c>
      <c r="F4832" s="28">
        <f t="shared" si="66"/>
        <v>334.51923076923077</v>
      </c>
      <c r="G4832" s="28">
        <f t="shared" si="68"/>
        <v>290.61090000000002</v>
      </c>
      <c r="H4832" s="28">
        <f t="shared" si="69"/>
        <v>310.44619999999998</v>
      </c>
      <c r="I4832" s="28">
        <f t="shared" si="70"/>
        <v>319.71409999999997</v>
      </c>
      <c r="J4832" s="28">
        <f t="shared" si="71"/>
        <v>326.66559999999998</v>
      </c>
      <c r="K4832" s="28">
        <f t="shared" si="72"/>
        <v>338.10610000000003</v>
      </c>
      <c r="M4832" s="241">
        <v>319.71409999999997</v>
      </c>
    </row>
    <row r="4833" spans="3:13" hidden="1" outlineLevel="1" x14ac:dyDescent="0.2">
      <c r="C4833" s="28">
        <f t="shared" si="67"/>
        <v>3.890625</v>
      </c>
      <c r="D4833" s="28">
        <f t="shared" si="64"/>
        <v>498</v>
      </c>
      <c r="E4833" s="28">
        <f t="shared" si="65"/>
        <v>435.75</v>
      </c>
      <c r="F4833" s="28">
        <f t="shared" si="66"/>
        <v>335.19230769230768</v>
      </c>
      <c r="G4833" s="28">
        <f t="shared" si="68"/>
        <v>291.55380000000002</v>
      </c>
      <c r="H4833" s="28">
        <f t="shared" si="69"/>
        <v>311.42680000000001</v>
      </c>
      <c r="I4833" s="28">
        <f t="shared" si="70"/>
        <v>320.71469999999999</v>
      </c>
      <c r="J4833" s="28">
        <f t="shared" si="71"/>
        <v>327.68200000000002</v>
      </c>
      <c r="K4833" s="28">
        <f t="shared" si="72"/>
        <v>339.1508</v>
      </c>
      <c r="M4833" s="241">
        <v>320.71469999999999</v>
      </c>
    </row>
    <row r="4834" spans="3:13" hidden="1" outlineLevel="1" x14ac:dyDescent="0.2">
      <c r="C4834" s="28">
        <f t="shared" si="67"/>
        <v>3.8984375</v>
      </c>
      <c r="D4834" s="28">
        <f t="shared" si="64"/>
        <v>499</v>
      </c>
      <c r="E4834" s="28">
        <f t="shared" si="65"/>
        <v>436.625</v>
      </c>
      <c r="F4834" s="28">
        <f t="shared" si="66"/>
        <v>335.86538461538458</v>
      </c>
      <c r="G4834" s="28">
        <f t="shared" si="68"/>
        <v>291.55380000000002</v>
      </c>
      <c r="H4834" s="28">
        <f t="shared" si="69"/>
        <v>311.42680000000001</v>
      </c>
      <c r="I4834" s="28">
        <f t="shared" si="70"/>
        <v>320.71469999999999</v>
      </c>
      <c r="J4834" s="28">
        <f t="shared" si="71"/>
        <v>327.68200000000002</v>
      </c>
      <c r="K4834" s="28">
        <f t="shared" si="72"/>
        <v>339.1508</v>
      </c>
      <c r="M4834" s="241">
        <v>320.71469999999999</v>
      </c>
    </row>
    <row r="4835" spans="3:13" hidden="1" outlineLevel="1" x14ac:dyDescent="0.2">
      <c r="C4835" s="28">
        <f t="shared" si="67"/>
        <v>3.90625</v>
      </c>
      <c r="D4835" s="28">
        <f t="shared" si="64"/>
        <v>500</v>
      </c>
      <c r="E4835" s="28">
        <f t="shared" si="65"/>
        <v>437.5</v>
      </c>
      <c r="F4835" s="28">
        <f t="shared" si="66"/>
        <v>336.53846153846155</v>
      </c>
      <c r="G4835" s="28">
        <f t="shared" si="68"/>
        <v>292.49590000000001</v>
      </c>
      <c r="H4835" s="28">
        <f t="shared" si="69"/>
        <v>312.40769999999998</v>
      </c>
      <c r="I4835" s="28">
        <f t="shared" si="70"/>
        <v>321.71690000000001</v>
      </c>
      <c r="J4835" s="28">
        <f t="shared" si="71"/>
        <v>328.69990000000001</v>
      </c>
      <c r="K4835" s="28">
        <f t="shared" si="72"/>
        <v>340.19420000000002</v>
      </c>
      <c r="M4835" s="241">
        <v>321.71690000000001</v>
      </c>
    </row>
    <row r="4836" spans="3:13" hidden="1" outlineLevel="1" x14ac:dyDescent="0.2">
      <c r="C4836" s="28">
        <f t="shared" si="67"/>
        <v>3.9140625</v>
      </c>
      <c r="D4836" s="28">
        <f t="shared" si="64"/>
        <v>501</v>
      </c>
      <c r="E4836" s="28">
        <f t="shared" si="65"/>
        <v>438.375</v>
      </c>
      <c r="F4836" s="28">
        <f t="shared" si="66"/>
        <v>337.21153846153845</v>
      </c>
      <c r="G4836" s="28">
        <f t="shared" si="68"/>
        <v>293.4384</v>
      </c>
      <c r="H4836" s="28">
        <f t="shared" si="69"/>
        <v>313.39019999999999</v>
      </c>
      <c r="I4836" s="28">
        <f t="shared" si="70"/>
        <v>322.71809999999999</v>
      </c>
      <c r="J4836" s="28">
        <f t="shared" si="71"/>
        <v>329.7167</v>
      </c>
      <c r="K4836" s="28">
        <f t="shared" si="72"/>
        <v>341.23919999999998</v>
      </c>
      <c r="M4836" s="241">
        <v>322.71809999999999</v>
      </c>
    </row>
    <row r="4837" spans="3:13" hidden="1" outlineLevel="1" x14ac:dyDescent="0.2">
      <c r="C4837" s="28">
        <f t="shared" si="67"/>
        <v>3.921875</v>
      </c>
      <c r="D4837" s="28">
        <f t="shared" si="64"/>
        <v>502</v>
      </c>
      <c r="E4837" s="28">
        <f t="shared" si="65"/>
        <v>439.25</v>
      </c>
      <c r="F4837" s="28">
        <f t="shared" si="66"/>
        <v>337.88461538461536</v>
      </c>
      <c r="G4837" s="28">
        <f t="shared" si="68"/>
        <v>293.4384</v>
      </c>
      <c r="H4837" s="28">
        <f t="shared" si="69"/>
        <v>313.39019999999999</v>
      </c>
      <c r="I4837" s="28">
        <f t="shared" si="70"/>
        <v>322.71809999999999</v>
      </c>
      <c r="J4837" s="28">
        <f t="shared" si="71"/>
        <v>329.7167</v>
      </c>
      <c r="K4837" s="28">
        <f t="shared" si="72"/>
        <v>341.23919999999998</v>
      </c>
      <c r="M4837" s="241">
        <v>322.71809999999999</v>
      </c>
    </row>
    <row r="4838" spans="3:13" hidden="1" outlineLevel="1" x14ac:dyDescent="0.2">
      <c r="C4838" s="28">
        <f t="shared" si="67"/>
        <v>3.9296875</v>
      </c>
      <c r="D4838" s="28">
        <f t="shared" si="64"/>
        <v>503</v>
      </c>
      <c r="E4838" s="28">
        <f t="shared" si="65"/>
        <v>440.125</v>
      </c>
      <c r="F4838" s="28">
        <f t="shared" si="66"/>
        <v>338.55769230769232</v>
      </c>
      <c r="G4838" s="28">
        <f t="shared" si="68"/>
        <v>294.38</v>
      </c>
      <c r="H4838" s="28">
        <f t="shared" si="69"/>
        <v>314.37169999999998</v>
      </c>
      <c r="I4838" s="28">
        <f t="shared" si="70"/>
        <v>323.7183</v>
      </c>
      <c r="J4838" s="28">
        <f t="shared" si="71"/>
        <v>330.73379999999997</v>
      </c>
      <c r="K4838" s="28">
        <f t="shared" si="72"/>
        <v>342.28300000000002</v>
      </c>
      <c r="M4838" s="241">
        <v>323.7183</v>
      </c>
    </row>
    <row r="4839" spans="3:13" hidden="1" outlineLevel="1" x14ac:dyDescent="0.2">
      <c r="C4839" s="28">
        <f t="shared" si="67"/>
        <v>3.9375</v>
      </c>
      <c r="D4839" s="28">
        <f t="shared" si="64"/>
        <v>504</v>
      </c>
      <c r="E4839" s="28">
        <f t="shared" si="65"/>
        <v>441</v>
      </c>
      <c r="F4839" s="28">
        <f t="shared" si="66"/>
        <v>339.23076923076923</v>
      </c>
      <c r="G4839" s="28">
        <f t="shared" si="68"/>
        <v>295.32209999999998</v>
      </c>
      <c r="H4839" s="28">
        <f t="shared" si="69"/>
        <v>315.35219999999998</v>
      </c>
      <c r="I4839" s="28">
        <f t="shared" si="70"/>
        <v>324.72000000000003</v>
      </c>
      <c r="J4839" s="28">
        <f t="shared" si="71"/>
        <v>331.75110000000001</v>
      </c>
      <c r="K4839" s="28">
        <f t="shared" si="72"/>
        <v>343.32830000000001</v>
      </c>
      <c r="M4839" s="241">
        <v>324.72000000000003</v>
      </c>
    </row>
    <row r="4840" spans="3:13" hidden="1" outlineLevel="1" x14ac:dyDescent="0.2">
      <c r="C4840" s="28">
        <f t="shared" si="67"/>
        <v>3.9453125</v>
      </c>
      <c r="D4840" s="28">
        <f t="shared" si="64"/>
        <v>505</v>
      </c>
      <c r="E4840" s="28">
        <f t="shared" si="65"/>
        <v>441.875</v>
      </c>
      <c r="F4840" s="28">
        <f t="shared" si="66"/>
        <v>339.90384615384613</v>
      </c>
      <c r="G4840" s="28">
        <f t="shared" si="68"/>
        <v>295.32209999999998</v>
      </c>
      <c r="H4840" s="28">
        <f t="shared" si="69"/>
        <v>315.35219999999998</v>
      </c>
      <c r="I4840" s="28">
        <f t="shared" si="70"/>
        <v>324.72000000000003</v>
      </c>
      <c r="J4840" s="28">
        <f t="shared" si="71"/>
        <v>331.75110000000001</v>
      </c>
      <c r="K4840" s="28">
        <f t="shared" si="72"/>
        <v>343.32830000000001</v>
      </c>
      <c r="M4840" s="241">
        <v>324.72000000000003</v>
      </c>
    </row>
    <row r="4841" spans="3:13" hidden="1" outlineLevel="1" x14ac:dyDescent="0.2">
      <c r="C4841" s="28">
        <f t="shared" si="67"/>
        <v>3.953125</v>
      </c>
      <c r="D4841" s="28">
        <f t="shared" si="64"/>
        <v>506</v>
      </c>
      <c r="E4841" s="28">
        <f t="shared" si="65"/>
        <v>442.75</v>
      </c>
      <c r="F4841" s="28">
        <f t="shared" si="66"/>
        <v>340.57692307692304</v>
      </c>
      <c r="G4841" s="28">
        <f t="shared" si="68"/>
        <v>296.26589999999999</v>
      </c>
      <c r="H4841" s="28">
        <f t="shared" si="69"/>
        <v>316.33429999999998</v>
      </c>
      <c r="I4841" s="28">
        <f t="shared" si="70"/>
        <v>325.72199999999998</v>
      </c>
      <c r="J4841" s="28">
        <f t="shared" si="71"/>
        <v>332.76729999999998</v>
      </c>
      <c r="K4841" s="28">
        <f t="shared" si="72"/>
        <v>344.3725</v>
      </c>
      <c r="M4841" s="241">
        <v>325.72199999999998</v>
      </c>
    </row>
    <row r="4842" spans="3:13" hidden="1" outlineLevel="1" x14ac:dyDescent="0.2">
      <c r="C4842" s="28">
        <f t="shared" si="67"/>
        <v>3.9609375</v>
      </c>
      <c r="D4842" s="28">
        <f t="shared" si="64"/>
        <v>507</v>
      </c>
      <c r="E4842" s="28">
        <f t="shared" si="65"/>
        <v>443.625</v>
      </c>
      <c r="F4842" s="28">
        <f t="shared" si="66"/>
        <v>341.25</v>
      </c>
      <c r="G4842" s="28">
        <f t="shared" si="68"/>
        <v>297.20749999999998</v>
      </c>
      <c r="H4842" s="28">
        <f t="shared" si="69"/>
        <v>317.31549999999999</v>
      </c>
      <c r="I4842" s="28">
        <f t="shared" si="70"/>
        <v>326.72289999999998</v>
      </c>
      <c r="J4842" s="28">
        <f t="shared" si="71"/>
        <v>333.78500000000003</v>
      </c>
      <c r="K4842" s="28">
        <f t="shared" si="72"/>
        <v>345.41680000000002</v>
      </c>
      <c r="M4842" s="241">
        <v>326.72289999999998</v>
      </c>
    </row>
    <row r="4843" spans="3:13" hidden="1" outlineLevel="1" x14ac:dyDescent="0.2">
      <c r="C4843" s="28">
        <f t="shared" si="67"/>
        <v>3.96875</v>
      </c>
      <c r="D4843" s="28">
        <f t="shared" si="64"/>
        <v>508</v>
      </c>
      <c r="E4843" s="28">
        <f t="shared" si="65"/>
        <v>444.5</v>
      </c>
      <c r="F4843" s="28">
        <f t="shared" si="66"/>
        <v>341.92307692307691</v>
      </c>
      <c r="G4843" s="28">
        <f t="shared" si="68"/>
        <v>297.20749999999998</v>
      </c>
      <c r="H4843" s="28">
        <f t="shared" si="69"/>
        <v>317.31549999999999</v>
      </c>
      <c r="I4843" s="28">
        <f t="shared" si="70"/>
        <v>326.72289999999998</v>
      </c>
      <c r="J4843" s="28">
        <f t="shared" si="71"/>
        <v>333.78500000000003</v>
      </c>
      <c r="K4843" s="28">
        <f t="shared" si="72"/>
        <v>345.41680000000002</v>
      </c>
      <c r="M4843" s="241">
        <v>326.72289999999998</v>
      </c>
    </row>
    <row r="4844" spans="3:13" hidden="1" outlineLevel="1" x14ac:dyDescent="0.2">
      <c r="C4844" s="28">
        <f t="shared" si="67"/>
        <v>3.9765625</v>
      </c>
      <c r="D4844" s="28">
        <f t="shared" si="64"/>
        <v>509</v>
      </c>
      <c r="E4844" s="28">
        <f t="shared" si="65"/>
        <v>445.375</v>
      </c>
      <c r="F4844" s="28">
        <f t="shared" si="66"/>
        <v>342.59615384615381</v>
      </c>
      <c r="G4844" s="28">
        <f t="shared" si="68"/>
        <v>298.15089999999998</v>
      </c>
      <c r="H4844" s="28">
        <f t="shared" si="69"/>
        <v>318.29689999999999</v>
      </c>
      <c r="I4844" s="28">
        <f t="shared" si="70"/>
        <v>327.72410000000002</v>
      </c>
      <c r="J4844" s="28">
        <f t="shared" si="71"/>
        <v>334.80169999999998</v>
      </c>
      <c r="K4844" s="28">
        <f t="shared" si="72"/>
        <v>346.46140000000003</v>
      </c>
      <c r="M4844" s="241">
        <v>327.72410000000002</v>
      </c>
    </row>
    <row r="4845" spans="3:13" hidden="1" outlineLevel="1" x14ac:dyDescent="0.2">
      <c r="C4845" s="28">
        <f t="shared" si="67"/>
        <v>3.984375</v>
      </c>
      <c r="D4845" s="28">
        <f t="shared" si="64"/>
        <v>510</v>
      </c>
      <c r="E4845" s="28">
        <f t="shared" si="65"/>
        <v>446.25</v>
      </c>
      <c r="F4845" s="28">
        <f t="shared" si="66"/>
        <v>343.26923076923077</v>
      </c>
      <c r="G4845" s="28">
        <f t="shared" si="68"/>
        <v>299.0933</v>
      </c>
      <c r="H4845" s="28">
        <f t="shared" si="69"/>
        <v>319.27859999999998</v>
      </c>
      <c r="I4845" s="28">
        <f t="shared" si="70"/>
        <v>328.72559999999999</v>
      </c>
      <c r="J4845" s="28">
        <f t="shared" si="71"/>
        <v>335.81990000000002</v>
      </c>
      <c r="K4845" s="28">
        <f t="shared" si="72"/>
        <v>347.5061</v>
      </c>
      <c r="M4845" s="241">
        <v>328.72559999999999</v>
      </c>
    </row>
    <row r="4846" spans="3:13" hidden="1" outlineLevel="1" x14ac:dyDescent="0.2">
      <c r="C4846" s="28">
        <f t="shared" si="67"/>
        <v>3.9921875</v>
      </c>
      <c r="D4846" s="28">
        <f t="shared" si="64"/>
        <v>511</v>
      </c>
      <c r="E4846" s="28">
        <f t="shared" si="65"/>
        <v>447.125</v>
      </c>
      <c r="F4846" s="28">
        <f t="shared" si="66"/>
        <v>343.94230769230768</v>
      </c>
      <c r="G4846" s="28">
        <f t="shared" si="68"/>
        <v>299.0933</v>
      </c>
      <c r="H4846" s="28">
        <f t="shared" si="69"/>
        <v>319.27859999999998</v>
      </c>
      <c r="I4846" s="28">
        <f t="shared" si="70"/>
        <v>328.72559999999999</v>
      </c>
      <c r="J4846" s="28">
        <f t="shared" si="71"/>
        <v>335.81990000000002</v>
      </c>
      <c r="K4846" s="28">
        <f t="shared" si="72"/>
        <v>347.5061</v>
      </c>
      <c r="M4846" s="241">
        <v>328.72559999999999</v>
      </c>
    </row>
    <row r="4847" spans="3:13" collapsed="1" x14ac:dyDescent="0.2">
      <c r="C4847" s="28">
        <f t="shared" si="67"/>
        <v>4</v>
      </c>
      <c r="D4847" s="28">
        <f>C4847*Channels.per.carrier</f>
        <v>512</v>
      </c>
      <c r="E4847" s="28">
        <f t="shared" si="65"/>
        <v>448</v>
      </c>
      <c r="F4847" s="28">
        <f t="shared" si="66"/>
        <v>344.61538461538458</v>
      </c>
      <c r="G4847" s="28">
        <f t="shared" si="68"/>
        <v>300.03609999999998</v>
      </c>
      <c r="H4847" s="28">
        <f t="shared" si="69"/>
        <v>320.26060000000001</v>
      </c>
      <c r="I4847" s="28">
        <f t="shared" si="70"/>
        <v>329.72719999999998</v>
      </c>
      <c r="J4847" s="28">
        <f t="shared" si="71"/>
        <v>336.83710000000002</v>
      </c>
      <c r="K4847" s="28">
        <f t="shared" si="72"/>
        <v>348.55099999999999</v>
      </c>
      <c r="M4847" s="241">
        <v>329.72719999999998</v>
      </c>
    </row>
    <row r="4848" spans="3:13" customFormat="1" x14ac:dyDescent="0.2">
      <c r="C4848" s="138" t="s">
        <v>1262</v>
      </c>
      <c r="D4848" s="138" t="s">
        <v>1267</v>
      </c>
      <c r="E4848" s="138"/>
      <c r="F4848" s="138"/>
      <c r="G4848" s="81"/>
      <c r="H4848" s="81"/>
      <c r="I4848" s="81"/>
      <c r="J4848" s="81"/>
      <c r="K4848" s="81"/>
      <c r="L4848" s="88" t="s">
        <v>1263</v>
      </c>
      <c r="M4848" s="88" t="s">
        <v>1264</v>
      </c>
    </row>
    <row r="4849" spans="2:13" x14ac:dyDescent="0.2">
      <c r="C4849" s="243"/>
      <c r="D4849" s="244"/>
      <c r="E4849" s="244"/>
    </row>
    <row r="4850" spans="2:13" ht="15.75" x14ac:dyDescent="0.2">
      <c r="B4850" s="52" t="s">
        <v>910</v>
      </c>
      <c r="D4850" s="4"/>
      <c r="E4850" s="4"/>
      <c r="F4850" s="4"/>
      <c r="G4850" s="4"/>
      <c r="H4850" s="4"/>
      <c r="I4850" s="4"/>
      <c r="J4850" s="4"/>
      <c r="K4850" s="4"/>
      <c r="L4850" s="4"/>
    </row>
    <row r="4851" spans="2:13" x14ac:dyDescent="0.2">
      <c r="C4851" s="140" t="s">
        <v>911</v>
      </c>
      <c r="D4851" s="4"/>
      <c r="E4851" s="4"/>
      <c r="F4851" s="4"/>
      <c r="G4851" s="4"/>
      <c r="H4851" s="4"/>
      <c r="I4851" s="4"/>
      <c r="J4851" s="4"/>
      <c r="K4851" s="4"/>
      <c r="L4851" s="4"/>
    </row>
    <row r="4852" spans="2:13" x14ac:dyDescent="0.2">
      <c r="C4852" s="140" t="s">
        <v>912</v>
      </c>
      <c r="D4852" s="4"/>
      <c r="E4852" s="4"/>
      <c r="F4852" s="4"/>
      <c r="G4852" s="4"/>
      <c r="H4852" s="4"/>
      <c r="I4852" s="4"/>
      <c r="J4852" s="4"/>
      <c r="K4852" s="4"/>
      <c r="L4852" s="4"/>
      <c r="M4852" s="242"/>
    </row>
    <row r="4853" spans="2:13" x14ac:dyDescent="0.2">
      <c r="C4853" s="140" t="s">
        <v>913</v>
      </c>
      <c r="D4853" s="4"/>
      <c r="E4853" s="4"/>
      <c r="F4853" s="4"/>
      <c r="G4853" s="4"/>
      <c r="H4853" s="4"/>
      <c r="I4853" s="4"/>
      <c r="J4853" s="4"/>
      <c r="K4853" s="4"/>
      <c r="L4853" s="4"/>
    </row>
    <row r="4854" spans="2:13" x14ac:dyDescent="0.2">
      <c r="C4854" s="4"/>
      <c r="D4854" s="4"/>
      <c r="E4854" s="4"/>
      <c r="F4854" s="4"/>
      <c r="G4854" s="4"/>
      <c r="H4854" s="4"/>
      <c r="I4854" s="4"/>
      <c r="J4854" s="4"/>
      <c r="K4854" s="4"/>
      <c r="L4854" s="4"/>
    </row>
    <row r="4855" spans="2:13" x14ac:dyDescent="0.2">
      <c r="C4855" s="91">
        <v>8</v>
      </c>
      <c r="D4855" s="88" t="s">
        <v>396</v>
      </c>
      <c r="E4855" s="4"/>
      <c r="F4855" s="4"/>
      <c r="G4855" s="4"/>
      <c r="H4855" s="4"/>
      <c r="I4855" s="4"/>
      <c r="J4855" s="4"/>
      <c r="K4855" s="4"/>
      <c r="L4855" s="4"/>
    </row>
    <row r="4856" spans="2:13" x14ac:dyDescent="0.2">
      <c r="L4856" s="4"/>
    </row>
    <row r="4857" spans="2:13" ht="107.25" customHeight="1" x14ac:dyDescent="0.2">
      <c r="C4857" s="98" t="s">
        <v>914</v>
      </c>
      <c r="D4857" s="98" t="s">
        <v>915</v>
      </c>
      <c r="E4857" s="98" t="s">
        <v>922</v>
      </c>
      <c r="F4857" s="98" t="s">
        <v>921</v>
      </c>
      <c r="G4857" s="98" t="s">
        <v>916</v>
      </c>
      <c r="H4857" s="98" t="s">
        <v>917</v>
      </c>
      <c r="I4857" s="98" t="s">
        <v>918</v>
      </c>
      <c r="J4857" s="98" t="s">
        <v>919</v>
      </c>
      <c r="K4857" s="98" t="s">
        <v>920</v>
      </c>
      <c r="L4857" s="4"/>
      <c r="M4857" s="231" t="s">
        <v>1305</v>
      </c>
    </row>
    <row r="4858" spans="2:13" x14ac:dyDescent="0.2">
      <c r="C4858" s="139">
        <v>0</v>
      </c>
      <c r="D4858" s="240">
        <v>0</v>
      </c>
      <c r="E4858" s="240">
        <v>0</v>
      </c>
      <c r="F4858" s="240">
        <v>0</v>
      </c>
      <c r="G4858" s="240">
        <v>0</v>
      </c>
      <c r="H4858" s="240">
        <v>0</v>
      </c>
      <c r="I4858" s="240">
        <v>0</v>
      </c>
      <c r="J4858" s="240">
        <v>0</v>
      </c>
      <c r="K4858" s="240">
        <v>0</v>
      </c>
      <c r="L4858" s="4"/>
      <c r="M4858" s="241">
        <f t="array" ref="M4858:M7717">INDEX(Erlang.table.2G,,MATCH(GSM.blocking.probability,Erlang.Table.Header,0))</f>
        <v>0</v>
      </c>
    </row>
    <row r="4859" spans="2:13" hidden="1" outlineLevel="1" x14ac:dyDescent="0.2">
      <c r="C4859" s="139">
        <v>0.1</v>
      </c>
      <c r="D4859" s="28">
        <f t="shared" ref="D4859:D4922" si="73">C4859*Channels.per.TRX</f>
        <v>0.8</v>
      </c>
      <c r="E4859" s="28">
        <f t="shared" ref="E4859:E4922" si="74">D4859-C4859*sig.channel.per.TRX</f>
        <v>0.75</v>
      </c>
      <c r="F4859" s="28">
        <f t="shared" ref="F4859:F4922" si="75">MAX(0,E4859-GPRS.channel.per.sector)</f>
        <v>0</v>
      </c>
      <c r="G4859" s="28">
        <f t="shared" ref="G4859:G4922" si="76">INDEX(D$10:D$4326,MATCH($F4859,$C$10:$C$4326,1))</f>
        <v>0</v>
      </c>
      <c r="H4859" s="28">
        <f t="shared" ref="H4859:H4922" si="77">INDEX(E$10:E$4326,MATCH($F4859,$C$10:$C$4326,1))</f>
        <v>0</v>
      </c>
      <c r="I4859" s="28">
        <f t="shared" ref="I4859:I4922" si="78">INDEX(F$10:F$4326,MATCH($F4859,$C$10:$C$4326,1))</f>
        <v>0</v>
      </c>
      <c r="J4859" s="28">
        <f t="shared" ref="J4859:J4922" si="79">INDEX(G$10:G$4326,MATCH($F4859,$C$10:$C$4326,1))</f>
        <v>0</v>
      </c>
      <c r="K4859" s="28">
        <f t="shared" ref="K4859:K4922" si="80">INDEX(H$10:H$4326,MATCH($F4859,$C$10:$C$4326,1))</f>
        <v>0</v>
      </c>
      <c r="L4859" s="4"/>
      <c r="M4859" s="241">
        <v>0</v>
      </c>
    </row>
    <row r="4860" spans="2:13" hidden="1" outlineLevel="1" x14ac:dyDescent="0.2">
      <c r="C4860" s="139">
        <v>0.2</v>
      </c>
      <c r="D4860" s="28">
        <f t="shared" si="73"/>
        <v>1.6</v>
      </c>
      <c r="E4860" s="28">
        <f t="shared" si="74"/>
        <v>1.5</v>
      </c>
      <c r="F4860" s="28">
        <f t="shared" si="75"/>
        <v>0</v>
      </c>
      <c r="G4860" s="28">
        <f t="shared" si="76"/>
        <v>0</v>
      </c>
      <c r="H4860" s="28">
        <f t="shared" si="77"/>
        <v>0</v>
      </c>
      <c r="I4860" s="28">
        <f t="shared" si="78"/>
        <v>0</v>
      </c>
      <c r="J4860" s="28">
        <f t="shared" si="79"/>
        <v>0</v>
      </c>
      <c r="K4860" s="28">
        <f t="shared" si="80"/>
        <v>0</v>
      </c>
      <c r="L4860" s="4"/>
      <c r="M4860" s="241">
        <v>0</v>
      </c>
    </row>
    <row r="4861" spans="2:13" hidden="1" outlineLevel="1" x14ac:dyDescent="0.2">
      <c r="C4861" s="139">
        <v>0.3</v>
      </c>
      <c r="D4861" s="28">
        <f t="shared" si="73"/>
        <v>2.4</v>
      </c>
      <c r="E4861" s="28">
        <f t="shared" si="74"/>
        <v>2.25</v>
      </c>
      <c r="F4861" s="28">
        <f t="shared" si="75"/>
        <v>0</v>
      </c>
      <c r="G4861" s="28">
        <f t="shared" si="76"/>
        <v>0</v>
      </c>
      <c r="H4861" s="28">
        <f t="shared" si="77"/>
        <v>0</v>
      </c>
      <c r="I4861" s="28">
        <f t="shared" si="78"/>
        <v>0</v>
      </c>
      <c r="J4861" s="28">
        <f t="shared" si="79"/>
        <v>0</v>
      </c>
      <c r="K4861" s="28">
        <f t="shared" si="80"/>
        <v>0</v>
      </c>
      <c r="L4861" s="4"/>
      <c r="M4861" s="241">
        <v>0</v>
      </c>
    </row>
    <row r="4862" spans="2:13" hidden="1" outlineLevel="1" x14ac:dyDescent="0.2">
      <c r="C4862" s="139">
        <v>0.4</v>
      </c>
      <c r="D4862" s="28">
        <f t="shared" si="73"/>
        <v>3.2</v>
      </c>
      <c r="E4862" s="28">
        <f t="shared" si="74"/>
        <v>3</v>
      </c>
      <c r="F4862" s="28">
        <f t="shared" si="75"/>
        <v>0</v>
      </c>
      <c r="G4862" s="28">
        <f t="shared" si="76"/>
        <v>0</v>
      </c>
      <c r="H4862" s="28">
        <f t="shared" si="77"/>
        <v>0</v>
      </c>
      <c r="I4862" s="28">
        <f t="shared" si="78"/>
        <v>0</v>
      </c>
      <c r="J4862" s="28">
        <f t="shared" si="79"/>
        <v>0</v>
      </c>
      <c r="K4862" s="28">
        <f t="shared" si="80"/>
        <v>0</v>
      </c>
      <c r="L4862" s="4"/>
      <c r="M4862" s="241">
        <v>0</v>
      </c>
    </row>
    <row r="4863" spans="2:13" hidden="1" outlineLevel="1" x14ac:dyDescent="0.2">
      <c r="C4863" s="139">
        <v>0.5</v>
      </c>
      <c r="D4863" s="28">
        <f t="shared" si="73"/>
        <v>4</v>
      </c>
      <c r="E4863" s="28">
        <f t="shared" si="74"/>
        <v>3.75</v>
      </c>
      <c r="F4863" s="28">
        <f t="shared" si="75"/>
        <v>0</v>
      </c>
      <c r="G4863" s="28">
        <f t="shared" si="76"/>
        <v>0</v>
      </c>
      <c r="H4863" s="28">
        <f t="shared" si="77"/>
        <v>0</v>
      </c>
      <c r="I4863" s="28">
        <f t="shared" si="78"/>
        <v>0</v>
      </c>
      <c r="J4863" s="28">
        <f t="shared" si="79"/>
        <v>0</v>
      </c>
      <c r="K4863" s="28">
        <f t="shared" si="80"/>
        <v>0</v>
      </c>
      <c r="L4863" s="4"/>
      <c r="M4863" s="241">
        <v>0</v>
      </c>
    </row>
    <row r="4864" spans="2:13" hidden="1" outlineLevel="1" x14ac:dyDescent="0.2">
      <c r="C4864" s="139">
        <v>0.6</v>
      </c>
      <c r="D4864" s="28">
        <f t="shared" si="73"/>
        <v>4.8</v>
      </c>
      <c r="E4864" s="28">
        <f t="shared" si="74"/>
        <v>4.5</v>
      </c>
      <c r="F4864" s="28">
        <f t="shared" si="75"/>
        <v>0</v>
      </c>
      <c r="G4864" s="28">
        <f t="shared" si="76"/>
        <v>0</v>
      </c>
      <c r="H4864" s="28">
        <f t="shared" si="77"/>
        <v>0</v>
      </c>
      <c r="I4864" s="28">
        <f t="shared" si="78"/>
        <v>0</v>
      </c>
      <c r="J4864" s="28">
        <f t="shared" si="79"/>
        <v>0</v>
      </c>
      <c r="K4864" s="28">
        <f t="shared" si="80"/>
        <v>0</v>
      </c>
      <c r="L4864" s="4"/>
      <c r="M4864" s="241">
        <v>0</v>
      </c>
    </row>
    <row r="4865" spans="3:13" hidden="1" outlineLevel="1" x14ac:dyDescent="0.2">
      <c r="C4865" s="139">
        <v>0.7</v>
      </c>
      <c r="D4865" s="28">
        <f t="shared" si="73"/>
        <v>5.6</v>
      </c>
      <c r="E4865" s="28">
        <f t="shared" si="74"/>
        <v>5.25</v>
      </c>
      <c r="F4865" s="28">
        <f t="shared" si="75"/>
        <v>0</v>
      </c>
      <c r="G4865" s="28">
        <f t="shared" si="76"/>
        <v>0</v>
      </c>
      <c r="H4865" s="28">
        <f t="shared" si="77"/>
        <v>0</v>
      </c>
      <c r="I4865" s="28">
        <f t="shared" si="78"/>
        <v>0</v>
      </c>
      <c r="J4865" s="28">
        <f t="shared" si="79"/>
        <v>0</v>
      </c>
      <c r="K4865" s="28">
        <f t="shared" si="80"/>
        <v>0</v>
      </c>
      <c r="L4865" s="4"/>
      <c r="M4865" s="241">
        <v>0</v>
      </c>
    </row>
    <row r="4866" spans="3:13" hidden="1" outlineLevel="1" x14ac:dyDescent="0.2">
      <c r="C4866" s="139">
        <v>0.8</v>
      </c>
      <c r="D4866" s="28">
        <f t="shared" si="73"/>
        <v>6.4</v>
      </c>
      <c r="E4866" s="28">
        <f t="shared" si="74"/>
        <v>6</v>
      </c>
      <c r="F4866" s="28">
        <f t="shared" si="75"/>
        <v>0</v>
      </c>
      <c r="G4866" s="28">
        <f t="shared" si="76"/>
        <v>0</v>
      </c>
      <c r="H4866" s="28">
        <f t="shared" si="77"/>
        <v>0</v>
      </c>
      <c r="I4866" s="28">
        <f t="shared" si="78"/>
        <v>0</v>
      </c>
      <c r="J4866" s="28">
        <f t="shared" si="79"/>
        <v>0</v>
      </c>
      <c r="K4866" s="28">
        <f t="shared" si="80"/>
        <v>0</v>
      </c>
      <c r="L4866" s="4"/>
      <c r="M4866" s="241">
        <v>0</v>
      </c>
    </row>
    <row r="4867" spans="3:13" hidden="1" outlineLevel="1" x14ac:dyDescent="0.2">
      <c r="C4867" s="139">
        <v>0.9</v>
      </c>
      <c r="D4867" s="28">
        <f t="shared" si="73"/>
        <v>7.2</v>
      </c>
      <c r="E4867" s="28">
        <f t="shared" si="74"/>
        <v>6.75</v>
      </c>
      <c r="F4867" s="28">
        <f t="shared" si="75"/>
        <v>0</v>
      </c>
      <c r="G4867" s="28">
        <f t="shared" si="76"/>
        <v>0</v>
      </c>
      <c r="H4867" s="28">
        <f t="shared" si="77"/>
        <v>0</v>
      </c>
      <c r="I4867" s="28">
        <f t="shared" si="78"/>
        <v>0</v>
      </c>
      <c r="J4867" s="28">
        <f t="shared" si="79"/>
        <v>0</v>
      </c>
      <c r="K4867" s="28">
        <f t="shared" si="80"/>
        <v>0</v>
      </c>
      <c r="L4867" s="4"/>
      <c r="M4867" s="241">
        <v>0</v>
      </c>
    </row>
    <row r="4868" spans="3:13" hidden="1" outlineLevel="1" x14ac:dyDescent="0.2">
      <c r="C4868" s="139">
        <v>1</v>
      </c>
      <c r="D4868" s="28">
        <f t="shared" si="73"/>
        <v>8</v>
      </c>
      <c r="E4868" s="28">
        <f t="shared" si="74"/>
        <v>7.5</v>
      </c>
      <c r="F4868" s="28">
        <f t="shared" si="75"/>
        <v>0</v>
      </c>
      <c r="G4868" s="28">
        <f t="shared" si="76"/>
        <v>0</v>
      </c>
      <c r="H4868" s="28">
        <f t="shared" si="77"/>
        <v>0</v>
      </c>
      <c r="I4868" s="28">
        <f t="shared" si="78"/>
        <v>0</v>
      </c>
      <c r="J4868" s="28">
        <f t="shared" si="79"/>
        <v>0</v>
      </c>
      <c r="K4868" s="28">
        <f t="shared" si="80"/>
        <v>0</v>
      </c>
      <c r="L4868" s="4"/>
      <c r="M4868" s="241">
        <v>0</v>
      </c>
    </row>
    <row r="4869" spans="3:13" hidden="1" outlineLevel="1" x14ac:dyDescent="0.2">
      <c r="C4869" s="139">
        <v>1.1000000000000001</v>
      </c>
      <c r="D4869" s="28">
        <f t="shared" si="73"/>
        <v>8.8000000000000007</v>
      </c>
      <c r="E4869" s="28">
        <f t="shared" si="74"/>
        <v>8.25</v>
      </c>
      <c r="F4869" s="28">
        <f t="shared" si="75"/>
        <v>0</v>
      </c>
      <c r="G4869" s="28">
        <f t="shared" si="76"/>
        <v>0</v>
      </c>
      <c r="H4869" s="28">
        <f t="shared" si="77"/>
        <v>0</v>
      </c>
      <c r="I4869" s="28">
        <f t="shared" si="78"/>
        <v>0</v>
      </c>
      <c r="J4869" s="28">
        <f t="shared" si="79"/>
        <v>0</v>
      </c>
      <c r="K4869" s="28">
        <f t="shared" si="80"/>
        <v>0</v>
      </c>
      <c r="L4869" s="4"/>
      <c r="M4869" s="241">
        <v>0</v>
      </c>
    </row>
    <row r="4870" spans="3:13" hidden="1" outlineLevel="1" x14ac:dyDescent="0.2">
      <c r="C4870" s="139">
        <v>1.2</v>
      </c>
      <c r="D4870" s="28">
        <f t="shared" si="73"/>
        <v>9.6</v>
      </c>
      <c r="E4870" s="28">
        <f t="shared" si="74"/>
        <v>9</v>
      </c>
      <c r="F4870" s="28">
        <f t="shared" si="75"/>
        <v>0</v>
      </c>
      <c r="G4870" s="28">
        <f t="shared" si="76"/>
        <v>0</v>
      </c>
      <c r="H4870" s="28">
        <f t="shared" si="77"/>
        <v>0</v>
      </c>
      <c r="I4870" s="28">
        <f t="shared" si="78"/>
        <v>0</v>
      </c>
      <c r="J4870" s="28">
        <f t="shared" si="79"/>
        <v>0</v>
      </c>
      <c r="K4870" s="28">
        <f t="shared" si="80"/>
        <v>0</v>
      </c>
      <c r="L4870" s="4"/>
      <c r="M4870" s="241">
        <v>0</v>
      </c>
    </row>
    <row r="4871" spans="3:13" hidden="1" outlineLevel="1" x14ac:dyDescent="0.2">
      <c r="C4871" s="139">
        <v>1.3</v>
      </c>
      <c r="D4871" s="28">
        <f t="shared" si="73"/>
        <v>10.4</v>
      </c>
      <c r="E4871" s="28">
        <f t="shared" si="74"/>
        <v>9.75</v>
      </c>
      <c r="F4871" s="28">
        <f t="shared" si="75"/>
        <v>0</v>
      </c>
      <c r="G4871" s="28">
        <f t="shared" si="76"/>
        <v>0</v>
      </c>
      <c r="H4871" s="28">
        <f t="shared" si="77"/>
        <v>0</v>
      </c>
      <c r="I4871" s="28">
        <f t="shared" si="78"/>
        <v>0</v>
      </c>
      <c r="J4871" s="28">
        <f t="shared" si="79"/>
        <v>0</v>
      </c>
      <c r="K4871" s="28">
        <f t="shared" si="80"/>
        <v>0</v>
      </c>
      <c r="L4871" s="4"/>
      <c r="M4871" s="241">
        <v>0</v>
      </c>
    </row>
    <row r="4872" spans="3:13" hidden="1" outlineLevel="1" x14ac:dyDescent="0.2">
      <c r="C4872" s="139">
        <v>1.4</v>
      </c>
      <c r="D4872" s="28">
        <f t="shared" si="73"/>
        <v>11.2</v>
      </c>
      <c r="E4872" s="28">
        <f t="shared" si="74"/>
        <v>10.5</v>
      </c>
      <c r="F4872" s="28">
        <f t="shared" si="75"/>
        <v>0</v>
      </c>
      <c r="G4872" s="28">
        <f t="shared" si="76"/>
        <v>0</v>
      </c>
      <c r="H4872" s="28">
        <f t="shared" si="77"/>
        <v>0</v>
      </c>
      <c r="I4872" s="28">
        <f t="shared" si="78"/>
        <v>0</v>
      </c>
      <c r="J4872" s="28">
        <f t="shared" si="79"/>
        <v>0</v>
      </c>
      <c r="K4872" s="28">
        <f t="shared" si="80"/>
        <v>0</v>
      </c>
      <c r="L4872" s="4"/>
      <c r="M4872" s="241">
        <v>0</v>
      </c>
    </row>
    <row r="4873" spans="3:13" hidden="1" outlineLevel="1" x14ac:dyDescent="0.2">
      <c r="C4873" s="139">
        <v>1.5</v>
      </c>
      <c r="D4873" s="28">
        <f t="shared" si="73"/>
        <v>12</v>
      </c>
      <c r="E4873" s="28">
        <f t="shared" si="74"/>
        <v>11.25</v>
      </c>
      <c r="F4873" s="28">
        <f t="shared" si="75"/>
        <v>0</v>
      </c>
      <c r="G4873" s="28">
        <f t="shared" si="76"/>
        <v>0</v>
      </c>
      <c r="H4873" s="28">
        <f t="shared" si="77"/>
        <v>0</v>
      </c>
      <c r="I4873" s="28">
        <f t="shared" si="78"/>
        <v>0</v>
      </c>
      <c r="J4873" s="28">
        <f t="shared" si="79"/>
        <v>0</v>
      </c>
      <c r="K4873" s="28">
        <f t="shared" si="80"/>
        <v>0</v>
      </c>
      <c r="L4873" s="4"/>
      <c r="M4873" s="241">
        <v>0</v>
      </c>
    </row>
    <row r="4874" spans="3:13" hidden="1" outlineLevel="1" x14ac:dyDescent="0.2">
      <c r="C4874" s="139">
        <v>1.6</v>
      </c>
      <c r="D4874" s="28">
        <f t="shared" si="73"/>
        <v>12.8</v>
      </c>
      <c r="E4874" s="28">
        <f t="shared" si="74"/>
        <v>12</v>
      </c>
      <c r="F4874" s="28">
        <f t="shared" si="75"/>
        <v>0</v>
      </c>
      <c r="G4874" s="28">
        <f t="shared" si="76"/>
        <v>0</v>
      </c>
      <c r="H4874" s="28">
        <f t="shared" si="77"/>
        <v>0</v>
      </c>
      <c r="I4874" s="28">
        <f t="shared" si="78"/>
        <v>0</v>
      </c>
      <c r="J4874" s="28">
        <f t="shared" si="79"/>
        <v>0</v>
      </c>
      <c r="K4874" s="28">
        <f t="shared" si="80"/>
        <v>0</v>
      </c>
      <c r="L4874" s="4"/>
      <c r="M4874" s="241">
        <v>0</v>
      </c>
    </row>
    <row r="4875" spans="3:13" hidden="1" outlineLevel="1" x14ac:dyDescent="0.2">
      <c r="C4875" s="139">
        <v>1.7</v>
      </c>
      <c r="D4875" s="28">
        <f t="shared" si="73"/>
        <v>13.6</v>
      </c>
      <c r="E4875" s="28">
        <f t="shared" si="74"/>
        <v>12.75</v>
      </c>
      <c r="F4875" s="28">
        <f t="shared" si="75"/>
        <v>0</v>
      </c>
      <c r="G4875" s="28">
        <f t="shared" si="76"/>
        <v>0</v>
      </c>
      <c r="H4875" s="28">
        <f t="shared" si="77"/>
        <v>0</v>
      </c>
      <c r="I4875" s="28">
        <f t="shared" si="78"/>
        <v>0</v>
      </c>
      <c r="J4875" s="28">
        <f t="shared" si="79"/>
        <v>0</v>
      </c>
      <c r="K4875" s="28">
        <f t="shared" si="80"/>
        <v>0</v>
      </c>
      <c r="L4875" s="4"/>
      <c r="M4875" s="241">
        <v>0</v>
      </c>
    </row>
    <row r="4876" spans="3:13" hidden="1" outlineLevel="1" x14ac:dyDescent="0.2">
      <c r="C4876" s="139">
        <v>1.8</v>
      </c>
      <c r="D4876" s="28">
        <f t="shared" si="73"/>
        <v>14.4</v>
      </c>
      <c r="E4876" s="28">
        <f t="shared" si="74"/>
        <v>13.5</v>
      </c>
      <c r="F4876" s="28">
        <f t="shared" si="75"/>
        <v>0</v>
      </c>
      <c r="G4876" s="28">
        <f t="shared" si="76"/>
        <v>0</v>
      </c>
      <c r="H4876" s="28">
        <f t="shared" si="77"/>
        <v>0</v>
      </c>
      <c r="I4876" s="28">
        <f t="shared" si="78"/>
        <v>0</v>
      </c>
      <c r="J4876" s="28">
        <f t="shared" si="79"/>
        <v>0</v>
      </c>
      <c r="K4876" s="28">
        <f t="shared" si="80"/>
        <v>0</v>
      </c>
      <c r="L4876" s="4"/>
      <c r="M4876" s="241">
        <v>0</v>
      </c>
    </row>
    <row r="4877" spans="3:13" hidden="1" outlineLevel="1" x14ac:dyDescent="0.2">
      <c r="C4877" s="139">
        <v>1.9</v>
      </c>
      <c r="D4877" s="28">
        <f t="shared" si="73"/>
        <v>15.2</v>
      </c>
      <c r="E4877" s="28">
        <f t="shared" si="74"/>
        <v>14.25</v>
      </c>
      <c r="F4877" s="28">
        <f t="shared" si="75"/>
        <v>0</v>
      </c>
      <c r="G4877" s="28">
        <f t="shared" si="76"/>
        <v>0</v>
      </c>
      <c r="H4877" s="28">
        <f t="shared" si="77"/>
        <v>0</v>
      </c>
      <c r="I4877" s="28">
        <f t="shared" si="78"/>
        <v>0</v>
      </c>
      <c r="J4877" s="28">
        <f t="shared" si="79"/>
        <v>0</v>
      </c>
      <c r="K4877" s="28">
        <f t="shared" si="80"/>
        <v>0</v>
      </c>
      <c r="L4877" s="4"/>
      <c r="M4877" s="241">
        <v>0</v>
      </c>
    </row>
    <row r="4878" spans="3:13" hidden="1" outlineLevel="1" x14ac:dyDescent="0.2">
      <c r="C4878" s="139">
        <v>2</v>
      </c>
      <c r="D4878" s="28">
        <f t="shared" si="73"/>
        <v>16</v>
      </c>
      <c r="E4878" s="28">
        <f t="shared" si="74"/>
        <v>15</v>
      </c>
      <c r="F4878" s="28">
        <f t="shared" si="75"/>
        <v>0</v>
      </c>
      <c r="G4878" s="28">
        <f t="shared" si="76"/>
        <v>0</v>
      </c>
      <c r="H4878" s="28">
        <f t="shared" si="77"/>
        <v>0</v>
      </c>
      <c r="I4878" s="28">
        <f t="shared" si="78"/>
        <v>0</v>
      </c>
      <c r="J4878" s="28">
        <f t="shared" si="79"/>
        <v>0</v>
      </c>
      <c r="K4878" s="28">
        <f t="shared" si="80"/>
        <v>0</v>
      </c>
      <c r="L4878" s="4"/>
      <c r="M4878" s="241">
        <v>0</v>
      </c>
    </row>
    <row r="4879" spans="3:13" hidden="1" outlineLevel="1" x14ac:dyDescent="0.2">
      <c r="C4879" s="139">
        <v>2.1</v>
      </c>
      <c r="D4879" s="28">
        <f t="shared" si="73"/>
        <v>16.8</v>
      </c>
      <c r="E4879" s="28">
        <f t="shared" si="74"/>
        <v>15.75</v>
      </c>
      <c r="F4879" s="28">
        <f t="shared" si="75"/>
        <v>0</v>
      </c>
      <c r="G4879" s="28">
        <f t="shared" si="76"/>
        <v>0</v>
      </c>
      <c r="H4879" s="28">
        <f t="shared" si="77"/>
        <v>0</v>
      </c>
      <c r="I4879" s="28">
        <f t="shared" si="78"/>
        <v>0</v>
      </c>
      <c r="J4879" s="28">
        <f t="shared" si="79"/>
        <v>0</v>
      </c>
      <c r="K4879" s="28">
        <f t="shared" si="80"/>
        <v>0</v>
      </c>
      <c r="L4879" s="4"/>
      <c r="M4879" s="241">
        <v>0</v>
      </c>
    </row>
    <row r="4880" spans="3:13" hidden="1" outlineLevel="1" x14ac:dyDescent="0.2">
      <c r="C4880" s="139">
        <v>2.2000000000000002</v>
      </c>
      <c r="D4880" s="28">
        <f t="shared" si="73"/>
        <v>17.600000000000001</v>
      </c>
      <c r="E4880" s="28">
        <f t="shared" si="74"/>
        <v>16.5</v>
      </c>
      <c r="F4880" s="28">
        <f t="shared" si="75"/>
        <v>0</v>
      </c>
      <c r="G4880" s="28">
        <f t="shared" si="76"/>
        <v>0</v>
      </c>
      <c r="H4880" s="28">
        <f t="shared" si="77"/>
        <v>0</v>
      </c>
      <c r="I4880" s="28">
        <f t="shared" si="78"/>
        <v>0</v>
      </c>
      <c r="J4880" s="28">
        <f t="shared" si="79"/>
        <v>0</v>
      </c>
      <c r="K4880" s="28">
        <f t="shared" si="80"/>
        <v>0</v>
      </c>
      <c r="L4880" s="4"/>
      <c r="M4880" s="241">
        <v>0</v>
      </c>
    </row>
    <row r="4881" spans="3:13" hidden="1" outlineLevel="1" x14ac:dyDescent="0.2">
      <c r="C4881" s="139">
        <v>2.2999999999999998</v>
      </c>
      <c r="D4881" s="28">
        <f t="shared" si="73"/>
        <v>18.399999999999999</v>
      </c>
      <c r="E4881" s="28">
        <f t="shared" si="74"/>
        <v>17.25</v>
      </c>
      <c r="F4881" s="28">
        <f t="shared" si="75"/>
        <v>0</v>
      </c>
      <c r="G4881" s="28">
        <f t="shared" si="76"/>
        <v>0</v>
      </c>
      <c r="H4881" s="28">
        <f t="shared" si="77"/>
        <v>0</v>
      </c>
      <c r="I4881" s="28">
        <f t="shared" si="78"/>
        <v>0</v>
      </c>
      <c r="J4881" s="28">
        <f t="shared" si="79"/>
        <v>0</v>
      </c>
      <c r="K4881" s="28">
        <f t="shared" si="80"/>
        <v>0</v>
      </c>
      <c r="L4881" s="4"/>
      <c r="M4881" s="241">
        <v>0</v>
      </c>
    </row>
    <row r="4882" spans="3:13" hidden="1" outlineLevel="1" x14ac:dyDescent="0.2">
      <c r="C4882" s="139">
        <v>2.4</v>
      </c>
      <c r="D4882" s="28">
        <f t="shared" si="73"/>
        <v>19.2</v>
      </c>
      <c r="E4882" s="28">
        <f t="shared" si="74"/>
        <v>18</v>
      </c>
      <c r="F4882" s="28">
        <f t="shared" si="75"/>
        <v>0</v>
      </c>
      <c r="G4882" s="28">
        <f t="shared" si="76"/>
        <v>0</v>
      </c>
      <c r="H4882" s="28">
        <f t="shared" si="77"/>
        <v>0</v>
      </c>
      <c r="I4882" s="28">
        <f t="shared" si="78"/>
        <v>0</v>
      </c>
      <c r="J4882" s="28">
        <f t="shared" si="79"/>
        <v>0</v>
      </c>
      <c r="K4882" s="28">
        <f t="shared" si="80"/>
        <v>0</v>
      </c>
      <c r="L4882" s="4"/>
      <c r="M4882" s="241">
        <v>0</v>
      </c>
    </row>
    <row r="4883" spans="3:13" hidden="1" outlineLevel="1" x14ac:dyDescent="0.2">
      <c r="C4883" s="139">
        <v>2.5</v>
      </c>
      <c r="D4883" s="28">
        <f t="shared" si="73"/>
        <v>20</v>
      </c>
      <c r="E4883" s="28">
        <f t="shared" si="74"/>
        <v>18.75</v>
      </c>
      <c r="F4883" s="28">
        <f t="shared" si="75"/>
        <v>0.75</v>
      </c>
      <c r="G4883" s="28">
        <f t="shared" si="76"/>
        <v>7.000000000000001E-4</v>
      </c>
      <c r="H4883" s="28">
        <f t="shared" si="77"/>
        <v>7.0700000000000016E-3</v>
      </c>
      <c r="I4883" s="28">
        <f t="shared" si="78"/>
        <v>1.4280000000000001E-2</v>
      </c>
      <c r="J4883" s="28">
        <f t="shared" si="79"/>
        <v>2.1629999999999996E-2</v>
      </c>
      <c r="K4883" s="28">
        <f t="shared" si="80"/>
        <v>3.6819999999999999E-2</v>
      </c>
      <c r="L4883" s="4"/>
      <c r="M4883" s="241">
        <v>1.4280000000000001E-2</v>
      </c>
    </row>
    <row r="4884" spans="3:13" hidden="1" outlineLevel="1" x14ac:dyDescent="0.2">
      <c r="C4884" s="139">
        <v>2.6</v>
      </c>
      <c r="D4884" s="28">
        <f t="shared" si="73"/>
        <v>20.8</v>
      </c>
      <c r="E4884" s="28">
        <f t="shared" si="74"/>
        <v>19.5</v>
      </c>
      <c r="F4884" s="28">
        <f t="shared" si="75"/>
        <v>1.5</v>
      </c>
      <c r="G4884" s="28">
        <f t="shared" si="76"/>
        <v>2.3399999999999997E-2</v>
      </c>
      <c r="H4884" s="28">
        <f t="shared" si="77"/>
        <v>8.1350000000000006E-2</v>
      </c>
      <c r="I4884" s="28">
        <f t="shared" si="78"/>
        <v>0.12195</v>
      </c>
      <c r="J4884" s="28">
        <f t="shared" si="79"/>
        <v>0.15625000000000003</v>
      </c>
      <c r="K4884" s="28">
        <f t="shared" si="80"/>
        <v>0.21694999999999998</v>
      </c>
      <c r="L4884" s="4"/>
      <c r="M4884" s="241">
        <v>0.12195</v>
      </c>
    </row>
    <row r="4885" spans="3:13" hidden="1" outlineLevel="1" x14ac:dyDescent="0.2">
      <c r="C4885" s="139">
        <v>2.7</v>
      </c>
      <c r="D4885" s="28">
        <f t="shared" si="73"/>
        <v>21.6</v>
      </c>
      <c r="E4885" s="28">
        <f t="shared" si="74"/>
        <v>20.25</v>
      </c>
      <c r="F4885" s="28">
        <f t="shared" si="75"/>
        <v>2.25</v>
      </c>
      <c r="G4885" s="28">
        <f t="shared" si="76"/>
        <v>7.5399999999999995E-2</v>
      </c>
      <c r="H4885" s="28">
        <f t="shared" si="77"/>
        <v>0.21318000000000004</v>
      </c>
      <c r="I4885" s="28">
        <f t="shared" si="78"/>
        <v>0.29924000000000001</v>
      </c>
      <c r="J4885" s="28">
        <f t="shared" si="79"/>
        <v>0.36830000000000002</v>
      </c>
      <c r="K4885" s="28">
        <f t="shared" si="80"/>
        <v>0.48492000000000002</v>
      </c>
      <c r="L4885" s="4"/>
      <c r="M4885" s="241">
        <v>0.29924000000000001</v>
      </c>
    </row>
    <row r="4886" spans="3:13" hidden="1" outlineLevel="1" x14ac:dyDescent="0.2">
      <c r="C4886" s="139">
        <v>2.8</v>
      </c>
      <c r="D4886" s="28">
        <f t="shared" si="73"/>
        <v>22.4</v>
      </c>
      <c r="E4886" s="28">
        <f t="shared" si="74"/>
        <v>21</v>
      </c>
      <c r="F4886" s="28">
        <f t="shared" si="75"/>
        <v>3</v>
      </c>
      <c r="G4886" s="28">
        <f t="shared" si="76"/>
        <v>0.1938</v>
      </c>
      <c r="H4886" s="28">
        <f t="shared" si="77"/>
        <v>0.45550000000000002</v>
      </c>
      <c r="I4886" s="28">
        <f t="shared" si="78"/>
        <v>0.60219999999999996</v>
      </c>
      <c r="J4886" s="28">
        <f t="shared" si="79"/>
        <v>0.71509999999999996</v>
      </c>
      <c r="K4886" s="28">
        <f t="shared" si="80"/>
        <v>0.89939999999999998</v>
      </c>
      <c r="L4886" s="4"/>
      <c r="M4886" s="241">
        <v>0.60219999999999996</v>
      </c>
    </row>
    <row r="4887" spans="3:13" hidden="1" outlineLevel="1" x14ac:dyDescent="0.2">
      <c r="C4887" s="139">
        <v>2.9</v>
      </c>
      <c r="D4887" s="28">
        <f t="shared" si="73"/>
        <v>23.2</v>
      </c>
      <c r="E4887" s="28">
        <f t="shared" si="74"/>
        <v>21.75</v>
      </c>
      <c r="F4887" s="28">
        <f t="shared" si="75"/>
        <v>3.75</v>
      </c>
      <c r="G4887" s="28">
        <f t="shared" si="76"/>
        <v>0.36565000000000009</v>
      </c>
      <c r="H4887" s="28">
        <f t="shared" si="77"/>
        <v>0.74523000000000017</v>
      </c>
      <c r="I4887" s="28">
        <f t="shared" si="78"/>
        <v>0.94526999999999994</v>
      </c>
      <c r="J4887" s="28">
        <f t="shared" si="79"/>
        <v>1.0957600000000001</v>
      </c>
      <c r="K4887" s="28">
        <f t="shared" si="80"/>
        <v>1.3370399999999996</v>
      </c>
      <c r="L4887" s="4"/>
      <c r="M4887" s="241">
        <v>0.94526999999999994</v>
      </c>
    </row>
    <row r="4888" spans="3:13" hidden="1" outlineLevel="1" x14ac:dyDescent="0.2">
      <c r="C4888" s="139">
        <v>3</v>
      </c>
      <c r="D4888" s="28">
        <f t="shared" si="73"/>
        <v>24</v>
      </c>
      <c r="E4888" s="28">
        <f t="shared" si="74"/>
        <v>22.5</v>
      </c>
      <c r="F4888" s="28">
        <f t="shared" si="75"/>
        <v>4.5</v>
      </c>
      <c r="G4888" s="28">
        <f t="shared" si="76"/>
        <v>0.6006999999999999</v>
      </c>
      <c r="H4888" s="28">
        <f t="shared" si="77"/>
        <v>1.1150999999999998</v>
      </c>
      <c r="I4888" s="28">
        <f t="shared" si="78"/>
        <v>1.3747000000000005</v>
      </c>
      <c r="J4888" s="28">
        <f t="shared" si="79"/>
        <v>1.5670500000000003</v>
      </c>
      <c r="K4888" s="28">
        <f t="shared" si="80"/>
        <v>1.8715500000000003</v>
      </c>
      <c r="L4888" s="4"/>
      <c r="M4888" s="241">
        <v>1.3747000000000005</v>
      </c>
    </row>
    <row r="4889" spans="3:13" hidden="1" outlineLevel="1" x14ac:dyDescent="0.2">
      <c r="C4889" s="139">
        <v>3.1</v>
      </c>
      <c r="D4889" s="28">
        <f t="shared" si="73"/>
        <v>24.8</v>
      </c>
      <c r="E4889" s="28">
        <f t="shared" si="74"/>
        <v>23.25</v>
      </c>
      <c r="F4889" s="28">
        <f t="shared" si="75"/>
        <v>5.25</v>
      </c>
      <c r="G4889" s="28">
        <f t="shared" si="76"/>
        <v>0.83885999999999994</v>
      </c>
      <c r="H4889" s="28">
        <f t="shared" si="77"/>
        <v>1.4704400000000002</v>
      </c>
      <c r="I4889" s="28">
        <f t="shared" si="78"/>
        <v>1.7808599999999999</v>
      </c>
      <c r="J4889" s="28">
        <f t="shared" si="79"/>
        <v>2.0087799999999998</v>
      </c>
      <c r="K4889" s="28">
        <f t="shared" si="80"/>
        <v>2.3668600000000004</v>
      </c>
      <c r="L4889" s="4"/>
      <c r="M4889" s="241">
        <v>1.7808599999999999</v>
      </c>
    </row>
    <row r="4890" spans="3:13" hidden="1" outlineLevel="1" x14ac:dyDescent="0.2">
      <c r="C4890" s="139">
        <v>3.2</v>
      </c>
      <c r="D4890" s="28">
        <f t="shared" si="73"/>
        <v>25.6</v>
      </c>
      <c r="E4890" s="28">
        <f t="shared" si="74"/>
        <v>24</v>
      </c>
      <c r="F4890" s="28">
        <f t="shared" si="75"/>
        <v>6</v>
      </c>
      <c r="G4890" s="28">
        <f t="shared" si="76"/>
        <v>1.1458999999999999</v>
      </c>
      <c r="H4890" s="28">
        <f t="shared" si="77"/>
        <v>1.909</v>
      </c>
      <c r="I4890" s="28">
        <f t="shared" si="78"/>
        <v>2.2759</v>
      </c>
      <c r="J4890" s="28">
        <f t="shared" si="79"/>
        <v>2.5430999999999999</v>
      </c>
      <c r="K4890" s="28">
        <f t="shared" si="80"/>
        <v>2.9603000000000002</v>
      </c>
      <c r="L4890" s="4"/>
      <c r="M4890" s="241">
        <v>2.2759</v>
      </c>
    </row>
    <row r="4891" spans="3:13" hidden="1" outlineLevel="1" x14ac:dyDescent="0.2">
      <c r="C4891" s="139">
        <v>3.3</v>
      </c>
      <c r="D4891" s="28">
        <f t="shared" si="73"/>
        <v>26.4</v>
      </c>
      <c r="E4891" s="28">
        <f t="shared" si="74"/>
        <v>24.75</v>
      </c>
      <c r="F4891" s="28">
        <f t="shared" si="75"/>
        <v>6.75</v>
      </c>
      <c r="G4891" s="28">
        <f t="shared" si="76"/>
        <v>1.4487899999999994</v>
      </c>
      <c r="H4891" s="28">
        <f t="shared" si="77"/>
        <v>2.3233300000000003</v>
      </c>
      <c r="I4891" s="28">
        <f t="shared" si="78"/>
        <v>2.7375499999999997</v>
      </c>
      <c r="J4891" s="28">
        <f t="shared" si="79"/>
        <v>3.0377200000000011</v>
      </c>
      <c r="K4891" s="28">
        <f t="shared" si="80"/>
        <v>3.5045500000000001</v>
      </c>
      <c r="L4891" s="4"/>
      <c r="M4891" s="241">
        <v>2.7375499999999997</v>
      </c>
    </row>
    <row r="4892" spans="3:13" hidden="1" outlineLevel="1" x14ac:dyDescent="0.2">
      <c r="C4892" s="139">
        <v>3.4</v>
      </c>
      <c r="D4892" s="28">
        <f t="shared" si="73"/>
        <v>27.2</v>
      </c>
      <c r="E4892" s="28">
        <f t="shared" si="74"/>
        <v>25.5</v>
      </c>
      <c r="F4892" s="28">
        <f t="shared" si="75"/>
        <v>7.5</v>
      </c>
      <c r="G4892" s="28">
        <f t="shared" si="76"/>
        <v>1.8149499999999996</v>
      </c>
      <c r="H4892" s="28">
        <f t="shared" si="77"/>
        <v>2.8142499999999995</v>
      </c>
      <c r="I4892" s="28">
        <f t="shared" si="78"/>
        <v>3.2812500000000009</v>
      </c>
      <c r="J4892" s="28">
        <f t="shared" si="79"/>
        <v>3.6180999999999996</v>
      </c>
      <c r="K4892" s="28">
        <f t="shared" si="80"/>
        <v>4.1403999999999996</v>
      </c>
      <c r="L4892" s="4"/>
      <c r="M4892" s="241">
        <v>3.2812500000000009</v>
      </c>
    </row>
    <row r="4893" spans="3:13" hidden="1" outlineLevel="1" x14ac:dyDescent="0.2">
      <c r="C4893" s="139">
        <v>3.5</v>
      </c>
      <c r="D4893" s="28">
        <f t="shared" si="73"/>
        <v>28</v>
      </c>
      <c r="E4893" s="28">
        <f t="shared" si="74"/>
        <v>26.25</v>
      </c>
      <c r="F4893" s="28">
        <f t="shared" si="75"/>
        <v>8.25</v>
      </c>
      <c r="G4893" s="28">
        <f t="shared" si="76"/>
        <v>2.1525399999999997</v>
      </c>
      <c r="H4893" s="28">
        <f t="shared" si="77"/>
        <v>3.2585800000000003</v>
      </c>
      <c r="I4893" s="28">
        <f t="shared" si="78"/>
        <v>3.7706199999999996</v>
      </c>
      <c r="J4893" s="28">
        <f t="shared" si="79"/>
        <v>4.1387799999999997</v>
      </c>
      <c r="K4893" s="28">
        <f t="shared" si="80"/>
        <v>4.7084400000000004</v>
      </c>
      <c r="L4893" s="4"/>
      <c r="M4893" s="241">
        <v>3.7706199999999996</v>
      </c>
    </row>
    <row r="4894" spans="3:13" hidden="1" outlineLevel="1" x14ac:dyDescent="0.2">
      <c r="C4894" s="139">
        <v>3.6</v>
      </c>
      <c r="D4894" s="28">
        <f t="shared" si="73"/>
        <v>28.8</v>
      </c>
      <c r="E4894" s="28">
        <f t="shared" si="74"/>
        <v>27</v>
      </c>
      <c r="F4894" s="28">
        <f t="shared" si="75"/>
        <v>9</v>
      </c>
      <c r="G4894" s="28">
        <f t="shared" si="76"/>
        <v>2.5575000000000001</v>
      </c>
      <c r="H4894" s="28">
        <f t="shared" si="77"/>
        <v>3.7825000000000002</v>
      </c>
      <c r="I4894" s="28">
        <f t="shared" si="78"/>
        <v>4.3446999999999996</v>
      </c>
      <c r="J4894" s="28">
        <f t="shared" si="79"/>
        <v>4.7478999999999996</v>
      </c>
      <c r="K4894" s="28">
        <f t="shared" si="80"/>
        <v>5.3701999999999996</v>
      </c>
      <c r="L4894" s="4"/>
      <c r="M4894" s="241">
        <v>4.3446999999999996</v>
      </c>
    </row>
    <row r="4895" spans="3:13" hidden="1" outlineLevel="1" x14ac:dyDescent="0.2">
      <c r="C4895" s="139">
        <v>3.7</v>
      </c>
      <c r="D4895" s="28">
        <f t="shared" si="73"/>
        <v>29.6</v>
      </c>
      <c r="E4895" s="28">
        <f t="shared" si="74"/>
        <v>27.75</v>
      </c>
      <c r="F4895" s="28">
        <f t="shared" si="75"/>
        <v>9.75</v>
      </c>
      <c r="G4895" s="28">
        <f t="shared" si="76"/>
        <v>2.9316499999999985</v>
      </c>
      <c r="H4895" s="28">
        <f t="shared" si="77"/>
        <v>4.2575900000000004</v>
      </c>
      <c r="I4895" s="28">
        <f t="shared" si="78"/>
        <v>4.8622099999999984</v>
      </c>
      <c r="J4895" s="28">
        <f t="shared" si="79"/>
        <v>5.2949499999999992</v>
      </c>
      <c r="K4895" s="28">
        <f t="shared" si="80"/>
        <v>5.9620500000000005</v>
      </c>
      <c r="L4895" s="4"/>
      <c r="M4895" s="241">
        <v>4.8622099999999984</v>
      </c>
    </row>
    <row r="4896" spans="3:13" hidden="1" outlineLevel="1" x14ac:dyDescent="0.2">
      <c r="C4896" s="139">
        <v>3.8</v>
      </c>
      <c r="D4896" s="28">
        <f t="shared" si="73"/>
        <v>30.4</v>
      </c>
      <c r="E4896" s="28">
        <f t="shared" si="74"/>
        <v>28.5</v>
      </c>
      <c r="F4896" s="28">
        <f t="shared" si="75"/>
        <v>10.5</v>
      </c>
      <c r="G4896" s="28">
        <f t="shared" si="76"/>
        <v>3.3715499999999996</v>
      </c>
      <c r="H4896" s="28">
        <f t="shared" si="77"/>
        <v>4.8105499999999992</v>
      </c>
      <c r="I4896" s="28">
        <f t="shared" si="78"/>
        <v>5.4627500000000007</v>
      </c>
      <c r="J4896" s="28">
        <f t="shared" si="79"/>
        <v>5.9287000000000001</v>
      </c>
      <c r="K4896" s="28">
        <f t="shared" si="80"/>
        <v>6.6460500000000016</v>
      </c>
      <c r="L4896" s="4"/>
      <c r="M4896" s="241">
        <v>5.4627500000000007</v>
      </c>
    </row>
    <row r="4897" spans="3:13" hidden="1" outlineLevel="1" x14ac:dyDescent="0.2">
      <c r="C4897" s="139">
        <v>3.9</v>
      </c>
      <c r="D4897" s="28">
        <f t="shared" si="73"/>
        <v>31.2</v>
      </c>
      <c r="E4897" s="28">
        <f t="shared" si="74"/>
        <v>29.25</v>
      </c>
      <c r="F4897" s="28">
        <f t="shared" si="75"/>
        <v>11.25</v>
      </c>
      <c r="G4897" s="28">
        <f t="shared" si="76"/>
        <v>3.7671600000000001</v>
      </c>
      <c r="H4897" s="28">
        <f t="shared" si="77"/>
        <v>5.3031199999999998</v>
      </c>
      <c r="I4897" s="28">
        <f t="shared" si="78"/>
        <v>5.9961400000000005</v>
      </c>
      <c r="J4897" s="28">
        <f t="shared" si="79"/>
        <v>6.4905999999999997</v>
      </c>
      <c r="K4897" s="28">
        <f t="shared" si="80"/>
        <v>7.2511399999999995</v>
      </c>
      <c r="L4897" s="4"/>
      <c r="M4897" s="241">
        <v>5.9961400000000005</v>
      </c>
    </row>
    <row r="4898" spans="3:13" hidden="1" outlineLevel="1" x14ac:dyDescent="0.2">
      <c r="C4898" s="139">
        <v>4</v>
      </c>
      <c r="D4898" s="28">
        <f t="shared" si="73"/>
        <v>32</v>
      </c>
      <c r="E4898" s="28">
        <f t="shared" si="74"/>
        <v>30</v>
      </c>
      <c r="F4898" s="28">
        <f t="shared" si="75"/>
        <v>12</v>
      </c>
      <c r="G4898" s="28">
        <f t="shared" si="76"/>
        <v>4.2313999999999998</v>
      </c>
      <c r="H4898" s="28">
        <f t="shared" si="77"/>
        <v>5.8760000000000003</v>
      </c>
      <c r="I4898" s="28">
        <f t="shared" si="78"/>
        <v>6.6147</v>
      </c>
      <c r="J4898" s="28">
        <f t="shared" si="79"/>
        <v>7.141</v>
      </c>
      <c r="K4898" s="28">
        <f t="shared" si="80"/>
        <v>7.9500999999999999</v>
      </c>
      <c r="L4898" s="4"/>
      <c r="M4898" s="241">
        <v>6.6147</v>
      </c>
    </row>
    <row r="4899" spans="3:13" hidden="1" outlineLevel="1" x14ac:dyDescent="0.2">
      <c r="C4899" s="139">
        <v>4.0999999999999996</v>
      </c>
      <c r="D4899" s="28">
        <f t="shared" si="73"/>
        <v>32.799999999999997</v>
      </c>
      <c r="E4899" s="28">
        <f t="shared" si="74"/>
        <v>30.749999999999996</v>
      </c>
      <c r="F4899" s="28">
        <f t="shared" si="75"/>
        <v>12.749999999999996</v>
      </c>
      <c r="G4899" s="28">
        <f t="shared" si="76"/>
        <v>4.6507700000000023</v>
      </c>
      <c r="H4899" s="28">
        <f t="shared" si="77"/>
        <v>6.3878400000000024</v>
      </c>
      <c r="I4899" s="28">
        <f t="shared" si="78"/>
        <v>7.1654600000000022</v>
      </c>
      <c r="J4899" s="28">
        <f t="shared" si="79"/>
        <v>7.7189900000000033</v>
      </c>
      <c r="K4899" s="28">
        <f t="shared" si="80"/>
        <v>8.569460000000003</v>
      </c>
      <c r="L4899" s="4"/>
      <c r="M4899" s="241">
        <v>7.1654600000000022</v>
      </c>
    </row>
    <row r="4900" spans="3:13" hidden="1" outlineLevel="1" x14ac:dyDescent="0.2">
      <c r="C4900" s="139">
        <v>4.2</v>
      </c>
      <c r="D4900" s="28">
        <f t="shared" si="73"/>
        <v>33.6</v>
      </c>
      <c r="E4900" s="28">
        <f t="shared" si="74"/>
        <v>31.5</v>
      </c>
      <c r="F4900" s="28">
        <f t="shared" si="75"/>
        <v>13.5</v>
      </c>
      <c r="G4900" s="28">
        <f t="shared" si="76"/>
        <v>5.1384499999999989</v>
      </c>
      <c r="H4900" s="28">
        <f t="shared" si="77"/>
        <v>6.9794499999999982</v>
      </c>
      <c r="I4900" s="28">
        <f t="shared" si="78"/>
        <v>7.8009000000000013</v>
      </c>
      <c r="J4900" s="28">
        <f t="shared" si="79"/>
        <v>8.3850999999999978</v>
      </c>
      <c r="K4900" s="28">
        <f t="shared" si="80"/>
        <v>9.2822000000000031</v>
      </c>
      <c r="L4900" s="4"/>
      <c r="M4900" s="241">
        <v>7.8009000000000013</v>
      </c>
    </row>
    <row r="4901" spans="3:13" hidden="1" outlineLevel="1" x14ac:dyDescent="0.2">
      <c r="C4901" s="139">
        <v>4.3</v>
      </c>
      <c r="D4901" s="28">
        <f t="shared" si="73"/>
        <v>34.4</v>
      </c>
      <c r="E4901" s="28">
        <f t="shared" si="74"/>
        <v>32.25</v>
      </c>
      <c r="F4901" s="28">
        <f t="shared" si="75"/>
        <v>14.25</v>
      </c>
      <c r="G4901" s="28">
        <f t="shared" si="76"/>
        <v>5.5725600000000002</v>
      </c>
      <c r="H4901" s="28">
        <f t="shared" si="77"/>
        <v>7.5029600000000007</v>
      </c>
      <c r="I4901" s="28">
        <f t="shared" si="78"/>
        <v>8.3621600000000011</v>
      </c>
      <c r="J4901" s="28">
        <f t="shared" si="79"/>
        <v>8.9727999999999994</v>
      </c>
      <c r="K4901" s="28">
        <f t="shared" si="80"/>
        <v>9.9101400000000002</v>
      </c>
      <c r="L4901" s="4"/>
      <c r="M4901" s="241">
        <v>8.3621600000000011</v>
      </c>
    </row>
    <row r="4902" spans="3:13" hidden="1" outlineLevel="1" x14ac:dyDescent="0.2">
      <c r="C4902" s="139">
        <v>4.4000000000000004</v>
      </c>
      <c r="D4902" s="28">
        <f t="shared" si="73"/>
        <v>35.200000000000003</v>
      </c>
      <c r="E4902" s="28">
        <f t="shared" si="74"/>
        <v>33</v>
      </c>
      <c r="F4902" s="28">
        <f t="shared" si="75"/>
        <v>15</v>
      </c>
      <c r="G4902" s="28">
        <f t="shared" si="76"/>
        <v>6.0772000000000004</v>
      </c>
      <c r="H4902" s="28">
        <f t="shared" si="77"/>
        <v>8.1080000000000005</v>
      </c>
      <c r="I4902" s="28">
        <f t="shared" si="78"/>
        <v>9.0096000000000007</v>
      </c>
      <c r="J4902" s="28">
        <f t="shared" si="79"/>
        <v>9.65</v>
      </c>
      <c r="K4902" s="28">
        <f t="shared" si="80"/>
        <v>10.6327</v>
      </c>
      <c r="L4902" s="4"/>
      <c r="M4902" s="241">
        <v>9.0096000000000007</v>
      </c>
    </row>
    <row r="4903" spans="3:13" hidden="1" outlineLevel="1" x14ac:dyDescent="0.2">
      <c r="C4903" s="139">
        <v>4.5</v>
      </c>
      <c r="D4903" s="28">
        <f t="shared" si="73"/>
        <v>36</v>
      </c>
      <c r="E4903" s="28">
        <f t="shared" si="74"/>
        <v>33.75</v>
      </c>
      <c r="F4903" s="28">
        <f t="shared" si="75"/>
        <v>15.75</v>
      </c>
      <c r="G4903" s="28">
        <f t="shared" si="76"/>
        <v>6.5282099999999987</v>
      </c>
      <c r="H4903" s="28">
        <f t="shared" si="77"/>
        <v>8.6449000000000051</v>
      </c>
      <c r="I4903" s="28">
        <f t="shared" si="78"/>
        <v>9.5827600000000004</v>
      </c>
      <c r="J4903" s="28">
        <f t="shared" si="79"/>
        <v>10.248640000000005</v>
      </c>
      <c r="K4903" s="28">
        <f t="shared" si="80"/>
        <v>11.270329999999996</v>
      </c>
      <c r="L4903" s="4"/>
      <c r="M4903" s="241">
        <v>9.5827600000000004</v>
      </c>
    </row>
    <row r="4904" spans="3:13" hidden="1" outlineLevel="1" x14ac:dyDescent="0.2">
      <c r="C4904" s="139">
        <v>4.5999999999999996</v>
      </c>
      <c r="D4904" s="28">
        <f t="shared" si="73"/>
        <v>36.799999999999997</v>
      </c>
      <c r="E4904" s="28">
        <f t="shared" si="74"/>
        <v>34.5</v>
      </c>
      <c r="F4904" s="28">
        <f t="shared" si="75"/>
        <v>16.5</v>
      </c>
      <c r="G4904" s="28">
        <f t="shared" si="76"/>
        <v>7.0498000000000012</v>
      </c>
      <c r="H4904" s="28">
        <f t="shared" si="77"/>
        <v>9.2632999999999992</v>
      </c>
      <c r="I4904" s="28">
        <f t="shared" si="78"/>
        <v>10.242099999999997</v>
      </c>
      <c r="J4904" s="28">
        <f t="shared" si="79"/>
        <v>10.936749999999996</v>
      </c>
      <c r="K4904" s="28">
        <f t="shared" si="80"/>
        <v>12.002450000000001</v>
      </c>
      <c r="L4904" s="4"/>
      <c r="M4904" s="241">
        <v>10.242099999999997</v>
      </c>
    </row>
    <row r="4905" spans="3:13" hidden="1" outlineLevel="1" x14ac:dyDescent="0.2">
      <c r="C4905" s="139">
        <v>4.7</v>
      </c>
      <c r="D4905" s="28">
        <f t="shared" si="73"/>
        <v>37.6</v>
      </c>
      <c r="E4905" s="28">
        <f t="shared" si="74"/>
        <v>35.25</v>
      </c>
      <c r="F4905" s="28">
        <f t="shared" si="75"/>
        <v>17.25</v>
      </c>
      <c r="G4905" s="28">
        <f t="shared" si="76"/>
        <v>7.5116599999999991</v>
      </c>
      <c r="H4905" s="28">
        <f t="shared" si="77"/>
        <v>9.8086600000000015</v>
      </c>
      <c r="I4905" s="28">
        <f t="shared" si="78"/>
        <v>10.82282</v>
      </c>
      <c r="J4905" s="28">
        <f t="shared" si="79"/>
        <v>11.542319999999998</v>
      </c>
      <c r="K4905" s="28">
        <f t="shared" si="80"/>
        <v>12.64608</v>
      </c>
      <c r="L4905" s="4"/>
      <c r="M4905" s="241">
        <v>10.82282</v>
      </c>
    </row>
    <row r="4906" spans="3:13" hidden="1" outlineLevel="1" x14ac:dyDescent="0.2">
      <c r="C4906" s="139">
        <v>4.8</v>
      </c>
      <c r="D4906" s="28">
        <f t="shared" si="73"/>
        <v>38.4</v>
      </c>
      <c r="E4906" s="28">
        <f t="shared" si="74"/>
        <v>36</v>
      </c>
      <c r="F4906" s="28">
        <f t="shared" si="75"/>
        <v>18</v>
      </c>
      <c r="G4906" s="28">
        <f t="shared" si="76"/>
        <v>8.0458999999999996</v>
      </c>
      <c r="H4906" s="28">
        <f t="shared" si="77"/>
        <v>10.4369</v>
      </c>
      <c r="I4906" s="28">
        <f t="shared" si="78"/>
        <v>11.4909</v>
      </c>
      <c r="J4906" s="28">
        <f t="shared" si="79"/>
        <v>12.2384</v>
      </c>
      <c r="K4906" s="28">
        <f t="shared" si="80"/>
        <v>13.385199999999999</v>
      </c>
      <c r="L4906" s="4"/>
      <c r="M4906" s="241">
        <v>11.4909</v>
      </c>
    </row>
    <row r="4907" spans="3:13" hidden="1" outlineLevel="1" x14ac:dyDescent="0.2">
      <c r="C4907" s="139">
        <v>4.9000000000000004</v>
      </c>
      <c r="D4907" s="28">
        <f t="shared" si="73"/>
        <v>39.200000000000003</v>
      </c>
      <c r="E4907" s="28">
        <f t="shared" si="74"/>
        <v>36.75</v>
      </c>
      <c r="F4907" s="28">
        <f t="shared" si="75"/>
        <v>18.75</v>
      </c>
      <c r="G4907" s="28">
        <f t="shared" si="76"/>
        <v>8.5205000000000002</v>
      </c>
      <c r="H4907" s="28">
        <f t="shared" si="77"/>
        <v>10.992139999999996</v>
      </c>
      <c r="I4907" s="28">
        <f t="shared" si="78"/>
        <v>12.080370000000004</v>
      </c>
      <c r="J4907" s="28">
        <f t="shared" si="79"/>
        <v>12.852019999999998</v>
      </c>
      <c r="K4907" s="28">
        <f t="shared" si="80"/>
        <v>14.03585</v>
      </c>
      <c r="L4907" s="4"/>
      <c r="M4907" s="241">
        <v>12.080370000000004</v>
      </c>
    </row>
    <row r="4908" spans="3:13" hidden="1" outlineLevel="1" x14ac:dyDescent="0.2">
      <c r="C4908" s="139">
        <v>5</v>
      </c>
      <c r="D4908" s="28">
        <f t="shared" si="73"/>
        <v>40</v>
      </c>
      <c r="E4908" s="28">
        <f t="shared" si="74"/>
        <v>37.5</v>
      </c>
      <c r="F4908" s="28">
        <f t="shared" si="75"/>
        <v>19.5</v>
      </c>
      <c r="G4908" s="28">
        <f t="shared" si="76"/>
        <v>9.0676999999999968</v>
      </c>
      <c r="H4908" s="28">
        <f t="shared" si="77"/>
        <v>11.63035</v>
      </c>
      <c r="I4908" s="28">
        <f t="shared" si="78"/>
        <v>12.757249999999997</v>
      </c>
      <c r="J4908" s="28">
        <f t="shared" si="79"/>
        <v>13.556200000000004</v>
      </c>
      <c r="K4908" s="28">
        <f t="shared" si="80"/>
        <v>14.782000000000002</v>
      </c>
      <c r="L4908" s="4"/>
      <c r="M4908" s="241">
        <v>12.757249999999997</v>
      </c>
    </row>
    <row r="4909" spans="3:13" hidden="1" outlineLevel="1" x14ac:dyDescent="0.2">
      <c r="C4909" s="139">
        <v>5.0999999999999996</v>
      </c>
      <c r="D4909" s="28">
        <f t="shared" si="73"/>
        <v>40.799999999999997</v>
      </c>
      <c r="E4909" s="28">
        <f t="shared" si="74"/>
        <v>38.25</v>
      </c>
      <c r="F4909" s="28">
        <f t="shared" si="75"/>
        <v>20.25</v>
      </c>
      <c r="G4909" s="28">
        <f t="shared" si="76"/>
        <v>9.5507400000000011</v>
      </c>
      <c r="H4909" s="28">
        <f t="shared" si="77"/>
        <v>12.192039999999999</v>
      </c>
      <c r="I4909" s="28">
        <f t="shared" si="78"/>
        <v>13.352399999999999</v>
      </c>
      <c r="J4909" s="28">
        <f t="shared" si="79"/>
        <v>14.17498</v>
      </c>
      <c r="K4909" s="28">
        <f t="shared" si="80"/>
        <v>15.437140000000001</v>
      </c>
      <c r="L4909" s="4"/>
      <c r="M4909" s="241">
        <v>13.352399999999999</v>
      </c>
    </row>
    <row r="4910" spans="3:13" hidden="1" outlineLevel="1" x14ac:dyDescent="0.2">
      <c r="C4910" s="139">
        <v>5.2</v>
      </c>
      <c r="D4910" s="28">
        <f t="shared" si="73"/>
        <v>41.6</v>
      </c>
      <c r="E4910" s="28">
        <f t="shared" si="74"/>
        <v>39</v>
      </c>
      <c r="F4910" s="28">
        <f t="shared" si="75"/>
        <v>21</v>
      </c>
      <c r="G4910" s="28">
        <f t="shared" si="76"/>
        <v>10.107699999999999</v>
      </c>
      <c r="H4910" s="28">
        <f t="shared" si="77"/>
        <v>12.8378</v>
      </c>
      <c r="I4910" s="28">
        <f t="shared" si="78"/>
        <v>14.036</v>
      </c>
      <c r="J4910" s="28">
        <f t="shared" si="79"/>
        <v>14.885300000000001</v>
      </c>
      <c r="K4910" s="28">
        <f t="shared" si="80"/>
        <v>16.188500000000001</v>
      </c>
      <c r="L4910" s="4"/>
      <c r="M4910" s="241">
        <v>14.036</v>
      </c>
    </row>
    <row r="4911" spans="3:13" hidden="1" outlineLevel="1" x14ac:dyDescent="0.2">
      <c r="C4911" s="139">
        <v>5.3</v>
      </c>
      <c r="D4911" s="28">
        <f t="shared" si="73"/>
        <v>42.4</v>
      </c>
      <c r="E4911" s="28">
        <f t="shared" si="74"/>
        <v>39.75</v>
      </c>
      <c r="F4911" s="28">
        <f t="shared" si="75"/>
        <v>21.75</v>
      </c>
      <c r="G4911" s="28">
        <f t="shared" si="76"/>
        <v>10.600779999999997</v>
      </c>
      <c r="H4911" s="28">
        <f t="shared" si="77"/>
        <v>13.407250000000003</v>
      </c>
      <c r="I4911" s="28">
        <f t="shared" si="78"/>
        <v>14.637930000000004</v>
      </c>
      <c r="J4911" s="28">
        <f t="shared" si="79"/>
        <v>15.510260000000004</v>
      </c>
      <c r="K4911" s="28">
        <f t="shared" si="80"/>
        <v>16.848949999999991</v>
      </c>
      <c r="L4911" s="4"/>
      <c r="M4911" s="241">
        <v>14.637930000000004</v>
      </c>
    </row>
    <row r="4912" spans="3:13" hidden="1" outlineLevel="1" x14ac:dyDescent="0.2">
      <c r="C4912" s="139">
        <v>5.4</v>
      </c>
      <c r="D4912" s="28">
        <f t="shared" si="73"/>
        <v>43.2</v>
      </c>
      <c r="E4912" s="28">
        <f t="shared" si="74"/>
        <v>40.5</v>
      </c>
      <c r="F4912" s="28">
        <f t="shared" si="75"/>
        <v>22.5</v>
      </c>
      <c r="G4912" s="28">
        <f t="shared" si="76"/>
        <v>11.096900000000002</v>
      </c>
      <c r="H4912" s="28">
        <f t="shared" si="77"/>
        <v>13.978980000000002</v>
      </c>
      <c r="I4912" s="28">
        <f t="shared" si="78"/>
        <v>15.241900000000001</v>
      </c>
      <c r="J4912" s="28">
        <f t="shared" si="79"/>
        <v>16.137059999999998</v>
      </c>
      <c r="K4912" s="28">
        <f t="shared" si="80"/>
        <v>17.511000000000006</v>
      </c>
      <c r="L4912" s="4"/>
      <c r="M4912" s="241">
        <v>15.241900000000001</v>
      </c>
    </row>
    <row r="4913" spans="3:13" hidden="1" outlineLevel="1" x14ac:dyDescent="0.2">
      <c r="C4913" s="139">
        <v>5.5</v>
      </c>
      <c r="D4913" s="28">
        <f t="shared" si="73"/>
        <v>44</v>
      </c>
      <c r="E4913" s="28">
        <f t="shared" si="74"/>
        <v>41.25</v>
      </c>
      <c r="F4913" s="28">
        <f t="shared" si="75"/>
        <v>23.25</v>
      </c>
      <c r="G4913" s="28">
        <f t="shared" si="76"/>
        <v>11.667919999999999</v>
      </c>
      <c r="H4913" s="28">
        <f t="shared" si="77"/>
        <v>14.635399999999999</v>
      </c>
      <c r="I4913" s="28">
        <f t="shared" si="78"/>
        <v>15.934840000000001</v>
      </c>
      <c r="J4913" s="28">
        <f t="shared" si="79"/>
        <v>16.855840000000001</v>
      </c>
      <c r="K4913" s="28">
        <f t="shared" si="80"/>
        <v>18.269740000000002</v>
      </c>
      <c r="L4913" s="4"/>
      <c r="M4913" s="241">
        <v>15.934840000000001</v>
      </c>
    </row>
    <row r="4914" spans="3:13" hidden="1" outlineLevel="1" x14ac:dyDescent="0.2">
      <c r="C4914" s="139">
        <v>5.6</v>
      </c>
      <c r="D4914" s="28">
        <f t="shared" si="73"/>
        <v>44.8</v>
      </c>
      <c r="E4914" s="28">
        <f t="shared" si="74"/>
        <v>42</v>
      </c>
      <c r="F4914" s="28">
        <f t="shared" si="75"/>
        <v>24</v>
      </c>
      <c r="G4914" s="28">
        <f t="shared" si="76"/>
        <v>12.2432</v>
      </c>
      <c r="H4914" s="28">
        <f t="shared" si="77"/>
        <v>15.295</v>
      </c>
      <c r="I4914" s="28">
        <f t="shared" si="78"/>
        <v>16.630600000000001</v>
      </c>
      <c r="J4914" s="28">
        <f t="shared" si="79"/>
        <v>17.577200000000001</v>
      </c>
      <c r="K4914" s="28">
        <f t="shared" si="80"/>
        <v>19.0307</v>
      </c>
      <c r="L4914" s="4"/>
      <c r="M4914" s="241">
        <v>16.630600000000001</v>
      </c>
    </row>
    <row r="4915" spans="3:13" hidden="1" outlineLevel="1" x14ac:dyDescent="0.2">
      <c r="C4915" s="139">
        <v>5.7</v>
      </c>
      <c r="D4915" s="28">
        <f t="shared" si="73"/>
        <v>45.6</v>
      </c>
      <c r="E4915" s="28">
        <f t="shared" si="74"/>
        <v>42.75</v>
      </c>
      <c r="F4915" s="28">
        <f t="shared" si="75"/>
        <v>24.75</v>
      </c>
      <c r="G4915" s="28">
        <f t="shared" si="76"/>
        <v>12.2432</v>
      </c>
      <c r="H4915" s="28">
        <f t="shared" si="77"/>
        <v>15.295</v>
      </c>
      <c r="I4915" s="28">
        <f t="shared" si="78"/>
        <v>16.630600000000001</v>
      </c>
      <c r="J4915" s="28">
        <f t="shared" si="79"/>
        <v>17.577200000000001</v>
      </c>
      <c r="K4915" s="28">
        <f t="shared" si="80"/>
        <v>19.0307</v>
      </c>
      <c r="L4915" s="4"/>
      <c r="M4915" s="241">
        <v>16.630600000000001</v>
      </c>
    </row>
    <row r="4916" spans="3:13" hidden="1" outlineLevel="1" x14ac:dyDescent="0.2">
      <c r="C4916" s="139">
        <v>5.8</v>
      </c>
      <c r="D4916" s="28">
        <f t="shared" si="73"/>
        <v>46.4</v>
      </c>
      <c r="E4916" s="28">
        <f t="shared" si="74"/>
        <v>43.5</v>
      </c>
      <c r="F4916" s="28">
        <f t="shared" si="75"/>
        <v>25.5</v>
      </c>
      <c r="G4916" s="28">
        <f t="shared" si="76"/>
        <v>12.9689</v>
      </c>
      <c r="H4916" s="28">
        <f t="shared" si="77"/>
        <v>16.124600000000001</v>
      </c>
      <c r="I4916" s="28">
        <f t="shared" si="78"/>
        <v>17.5046</v>
      </c>
      <c r="J4916" s="28">
        <f t="shared" si="79"/>
        <v>18.482800000000001</v>
      </c>
      <c r="K4916" s="28">
        <f t="shared" si="80"/>
        <v>19.985299999999999</v>
      </c>
      <c r="L4916" s="4"/>
      <c r="M4916" s="241">
        <v>17.5046</v>
      </c>
    </row>
    <row r="4917" spans="3:13" hidden="1" outlineLevel="1" x14ac:dyDescent="0.2">
      <c r="C4917" s="139">
        <v>5.9</v>
      </c>
      <c r="D4917" s="28">
        <f t="shared" si="73"/>
        <v>47.2</v>
      </c>
      <c r="E4917" s="28">
        <f t="shared" si="74"/>
        <v>44.25</v>
      </c>
      <c r="F4917" s="28">
        <f t="shared" si="75"/>
        <v>26.25</v>
      </c>
      <c r="G4917" s="28">
        <f t="shared" si="76"/>
        <v>13.700799999999999</v>
      </c>
      <c r="H4917" s="28">
        <f t="shared" si="77"/>
        <v>16.9588</v>
      </c>
      <c r="I4917" s="28">
        <f t="shared" si="78"/>
        <v>18.3828</v>
      </c>
      <c r="J4917" s="28">
        <f t="shared" si="79"/>
        <v>19.392199999999999</v>
      </c>
      <c r="K4917" s="28">
        <f t="shared" si="80"/>
        <v>20.943000000000001</v>
      </c>
      <c r="L4917" s="4"/>
      <c r="M4917" s="241">
        <v>18.3828</v>
      </c>
    </row>
    <row r="4918" spans="3:13" hidden="1" outlineLevel="1" x14ac:dyDescent="0.2">
      <c r="C4918" s="139">
        <v>6</v>
      </c>
      <c r="D4918" s="28">
        <f t="shared" si="73"/>
        <v>48</v>
      </c>
      <c r="E4918" s="28">
        <f t="shared" si="74"/>
        <v>45</v>
      </c>
      <c r="F4918" s="28">
        <f t="shared" si="75"/>
        <v>27</v>
      </c>
      <c r="G4918" s="28">
        <f t="shared" si="76"/>
        <v>14.438499999999999</v>
      </c>
      <c r="H4918" s="28">
        <f t="shared" si="77"/>
        <v>17.7974</v>
      </c>
      <c r="I4918" s="28">
        <f t="shared" si="78"/>
        <v>19.264800000000001</v>
      </c>
      <c r="J4918" s="28">
        <f t="shared" si="79"/>
        <v>20.305</v>
      </c>
      <c r="K4918" s="28">
        <f t="shared" si="80"/>
        <v>21.903700000000001</v>
      </c>
      <c r="L4918" s="4"/>
      <c r="M4918" s="241">
        <v>19.264800000000001</v>
      </c>
    </row>
    <row r="4919" spans="3:13" hidden="1" outlineLevel="1" x14ac:dyDescent="0.2">
      <c r="C4919" s="139">
        <v>6.1</v>
      </c>
      <c r="D4919" s="28">
        <f t="shared" si="73"/>
        <v>48.8</v>
      </c>
      <c r="E4919" s="28">
        <f t="shared" si="74"/>
        <v>45.75</v>
      </c>
      <c r="F4919" s="28">
        <f t="shared" si="75"/>
        <v>27.75</v>
      </c>
      <c r="G4919" s="28">
        <f t="shared" si="76"/>
        <v>14.438499999999999</v>
      </c>
      <c r="H4919" s="28">
        <f t="shared" si="77"/>
        <v>17.7974</v>
      </c>
      <c r="I4919" s="28">
        <f t="shared" si="78"/>
        <v>19.264800000000001</v>
      </c>
      <c r="J4919" s="28">
        <f t="shared" si="79"/>
        <v>20.305</v>
      </c>
      <c r="K4919" s="28">
        <f t="shared" si="80"/>
        <v>21.903700000000001</v>
      </c>
      <c r="L4919" s="4"/>
      <c r="M4919" s="241">
        <v>19.264800000000001</v>
      </c>
    </row>
    <row r="4920" spans="3:13" hidden="1" outlineLevel="1" x14ac:dyDescent="0.2">
      <c r="C4920" s="139">
        <v>6.2</v>
      </c>
      <c r="D4920" s="28">
        <f t="shared" si="73"/>
        <v>49.6</v>
      </c>
      <c r="E4920" s="28">
        <f t="shared" si="74"/>
        <v>46.5</v>
      </c>
      <c r="F4920" s="28">
        <f t="shared" si="75"/>
        <v>28.5</v>
      </c>
      <c r="G4920" s="28">
        <f t="shared" si="76"/>
        <v>15.181800000000001</v>
      </c>
      <c r="H4920" s="28">
        <f t="shared" si="77"/>
        <v>18.6402</v>
      </c>
      <c r="I4920" s="28">
        <f t="shared" si="78"/>
        <v>20.150400000000001</v>
      </c>
      <c r="J4920" s="28">
        <f t="shared" si="79"/>
        <v>21.2211</v>
      </c>
      <c r="K4920" s="28">
        <f t="shared" si="80"/>
        <v>22.8672</v>
      </c>
      <c r="L4920" s="4"/>
      <c r="M4920" s="241">
        <v>20.150400000000001</v>
      </c>
    </row>
    <row r="4921" spans="3:13" hidden="1" outlineLevel="1" x14ac:dyDescent="0.2">
      <c r="C4921" s="139">
        <v>6.3</v>
      </c>
      <c r="D4921" s="28">
        <f t="shared" si="73"/>
        <v>50.4</v>
      </c>
      <c r="E4921" s="28">
        <f t="shared" si="74"/>
        <v>47.25</v>
      </c>
      <c r="F4921" s="28">
        <f t="shared" si="75"/>
        <v>29.25</v>
      </c>
      <c r="G4921" s="28">
        <f t="shared" si="76"/>
        <v>15.930400000000001</v>
      </c>
      <c r="H4921" s="28">
        <f t="shared" si="77"/>
        <v>19.486899999999999</v>
      </c>
      <c r="I4921" s="28">
        <f t="shared" si="78"/>
        <v>21.039400000000001</v>
      </c>
      <c r="J4921" s="28">
        <f t="shared" si="79"/>
        <v>22.1402</v>
      </c>
      <c r="K4921" s="28">
        <f t="shared" si="80"/>
        <v>23.833300000000001</v>
      </c>
      <c r="L4921" s="4"/>
      <c r="M4921" s="241">
        <v>21.039400000000001</v>
      </c>
    </row>
    <row r="4922" spans="3:13" hidden="1" outlineLevel="1" x14ac:dyDescent="0.2">
      <c r="C4922" s="139">
        <v>6.4</v>
      </c>
      <c r="D4922" s="28">
        <f t="shared" si="73"/>
        <v>51.2</v>
      </c>
      <c r="E4922" s="28">
        <f t="shared" si="74"/>
        <v>48</v>
      </c>
      <c r="F4922" s="28">
        <f t="shared" si="75"/>
        <v>30</v>
      </c>
      <c r="G4922" s="28">
        <f t="shared" si="76"/>
        <v>16.683900000000001</v>
      </c>
      <c r="H4922" s="28">
        <f t="shared" si="77"/>
        <v>20.337299999999999</v>
      </c>
      <c r="I4922" s="28">
        <f t="shared" si="78"/>
        <v>21.9316</v>
      </c>
      <c r="J4922" s="28">
        <f t="shared" si="79"/>
        <v>23.0623</v>
      </c>
      <c r="K4922" s="28">
        <f t="shared" si="80"/>
        <v>24.8018</v>
      </c>
      <c r="L4922" s="4"/>
      <c r="M4922" s="241">
        <v>21.9316</v>
      </c>
    </row>
    <row r="4923" spans="3:13" hidden="1" outlineLevel="1" x14ac:dyDescent="0.2">
      <c r="C4923" s="139">
        <v>6.5</v>
      </c>
      <c r="D4923" s="28">
        <f t="shared" ref="D4923:D4986" si="81">C4923*Channels.per.TRX</f>
        <v>52</v>
      </c>
      <c r="E4923" s="28">
        <f t="shared" ref="E4923:E4986" si="82">D4923-C4923*sig.channel.per.TRX</f>
        <v>48.75</v>
      </c>
      <c r="F4923" s="28">
        <f t="shared" ref="F4923:F4986" si="83">MAX(0,E4923-GPRS.channel.per.sector)</f>
        <v>30.75</v>
      </c>
      <c r="G4923" s="28">
        <f t="shared" ref="G4923:G4986" si="84">INDEX(D$10:D$4326,MATCH($F4923,$C$10:$C$4326,1))</f>
        <v>16.683900000000001</v>
      </c>
      <c r="H4923" s="28">
        <f t="shared" ref="H4923:H4986" si="85">INDEX(E$10:E$4326,MATCH($F4923,$C$10:$C$4326,1))</f>
        <v>20.337299999999999</v>
      </c>
      <c r="I4923" s="28">
        <f t="shared" ref="I4923:I4986" si="86">INDEX(F$10:F$4326,MATCH($F4923,$C$10:$C$4326,1))</f>
        <v>21.9316</v>
      </c>
      <c r="J4923" s="28">
        <f t="shared" ref="J4923:J4986" si="87">INDEX(G$10:G$4326,MATCH($F4923,$C$10:$C$4326,1))</f>
        <v>23.0623</v>
      </c>
      <c r="K4923" s="28">
        <f t="shared" ref="K4923:K4986" si="88">INDEX(H$10:H$4326,MATCH($F4923,$C$10:$C$4326,1))</f>
        <v>24.8018</v>
      </c>
      <c r="L4923" s="4"/>
      <c r="M4923" s="241">
        <v>21.9316</v>
      </c>
    </row>
    <row r="4924" spans="3:13" hidden="1" outlineLevel="1" x14ac:dyDescent="0.2">
      <c r="C4924" s="139">
        <v>6.6</v>
      </c>
      <c r="D4924" s="28">
        <f t="shared" si="81"/>
        <v>52.8</v>
      </c>
      <c r="E4924" s="28">
        <f t="shared" si="82"/>
        <v>49.5</v>
      </c>
      <c r="F4924" s="28">
        <f t="shared" si="83"/>
        <v>31.5</v>
      </c>
      <c r="G4924" s="28">
        <f t="shared" si="84"/>
        <v>17.442</v>
      </c>
      <c r="H4924" s="28">
        <f t="shared" si="85"/>
        <v>21.191099999999999</v>
      </c>
      <c r="I4924" s="28">
        <f t="shared" si="86"/>
        <v>22.826799999999999</v>
      </c>
      <c r="J4924" s="28">
        <f t="shared" si="87"/>
        <v>23.987100000000002</v>
      </c>
      <c r="K4924" s="28">
        <f t="shared" si="88"/>
        <v>25.7727</v>
      </c>
      <c r="L4924" s="4"/>
      <c r="M4924" s="241">
        <v>22.826799999999999</v>
      </c>
    </row>
    <row r="4925" spans="3:13" hidden="1" outlineLevel="1" x14ac:dyDescent="0.2">
      <c r="C4925" s="139">
        <v>6.7</v>
      </c>
      <c r="D4925" s="28">
        <f t="shared" si="81"/>
        <v>53.6</v>
      </c>
      <c r="E4925" s="28">
        <f t="shared" si="82"/>
        <v>50.25</v>
      </c>
      <c r="F4925" s="28">
        <f t="shared" si="83"/>
        <v>32.25</v>
      </c>
      <c r="G4925" s="28">
        <f t="shared" si="84"/>
        <v>18.204699999999999</v>
      </c>
      <c r="H4925" s="28">
        <f t="shared" si="85"/>
        <v>22.048300000000001</v>
      </c>
      <c r="I4925" s="28">
        <f t="shared" si="86"/>
        <v>23.724900000000002</v>
      </c>
      <c r="J4925" s="28">
        <f t="shared" si="87"/>
        <v>24.914400000000001</v>
      </c>
      <c r="K4925" s="28">
        <f t="shared" si="88"/>
        <v>26.745699999999999</v>
      </c>
      <c r="L4925" s="4"/>
      <c r="M4925" s="241">
        <v>23.724900000000002</v>
      </c>
    </row>
    <row r="4926" spans="3:13" hidden="1" outlineLevel="1" x14ac:dyDescent="0.2">
      <c r="C4926" s="139">
        <v>6.8</v>
      </c>
      <c r="D4926" s="28">
        <f t="shared" si="81"/>
        <v>54.4</v>
      </c>
      <c r="E4926" s="28">
        <f t="shared" si="82"/>
        <v>51</v>
      </c>
      <c r="F4926" s="28">
        <f t="shared" si="83"/>
        <v>33</v>
      </c>
      <c r="G4926" s="28">
        <f t="shared" si="84"/>
        <v>18.971599999999999</v>
      </c>
      <c r="H4926" s="28">
        <f t="shared" si="85"/>
        <v>22.9087</v>
      </c>
      <c r="I4926" s="28">
        <f t="shared" si="86"/>
        <v>24.625699999999998</v>
      </c>
      <c r="J4926" s="28">
        <f t="shared" si="87"/>
        <v>25.844200000000001</v>
      </c>
      <c r="K4926" s="28">
        <f t="shared" si="88"/>
        <v>27.720800000000001</v>
      </c>
      <c r="L4926" s="4"/>
      <c r="M4926" s="241">
        <v>24.625699999999998</v>
      </c>
    </row>
    <row r="4927" spans="3:13" hidden="1" outlineLevel="1" x14ac:dyDescent="0.2">
      <c r="C4927" s="139">
        <v>6.9</v>
      </c>
      <c r="D4927" s="28">
        <f t="shared" si="81"/>
        <v>55.2</v>
      </c>
      <c r="E4927" s="28">
        <f t="shared" si="82"/>
        <v>51.75</v>
      </c>
      <c r="F4927" s="28">
        <f t="shared" si="83"/>
        <v>33.75</v>
      </c>
      <c r="G4927" s="28">
        <f t="shared" si="84"/>
        <v>18.971599999999999</v>
      </c>
      <c r="H4927" s="28">
        <f t="shared" si="85"/>
        <v>22.9087</v>
      </c>
      <c r="I4927" s="28">
        <f t="shared" si="86"/>
        <v>24.625699999999998</v>
      </c>
      <c r="J4927" s="28">
        <f t="shared" si="87"/>
        <v>25.844200000000001</v>
      </c>
      <c r="K4927" s="28">
        <f t="shared" si="88"/>
        <v>27.720800000000001</v>
      </c>
      <c r="L4927" s="4"/>
      <c r="M4927" s="241">
        <v>24.625699999999998</v>
      </c>
    </row>
    <row r="4928" spans="3:13" hidden="1" outlineLevel="1" x14ac:dyDescent="0.2">
      <c r="C4928" s="139">
        <v>7</v>
      </c>
      <c r="D4928" s="28">
        <f t="shared" si="81"/>
        <v>56</v>
      </c>
      <c r="E4928" s="28">
        <f t="shared" si="82"/>
        <v>52.5</v>
      </c>
      <c r="F4928" s="28">
        <f t="shared" si="83"/>
        <v>34.5</v>
      </c>
      <c r="G4928" s="28">
        <f t="shared" si="84"/>
        <v>19.742599999999999</v>
      </c>
      <c r="H4928" s="28">
        <f t="shared" si="85"/>
        <v>23.771999999999998</v>
      </c>
      <c r="I4928" s="28">
        <f t="shared" si="86"/>
        <v>25.5291</v>
      </c>
      <c r="J4928" s="28">
        <f t="shared" si="87"/>
        <v>26.776299999999999</v>
      </c>
      <c r="K4928" s="28">
        <f t="shared" si="88"/>
        <v>28.697800000000001</v>
      </c>
      <c r="L4928" s="4"/>
      <c r="M4928" s="241">
        <v>25.5291</v>
      </c>
    </row>
    <row r="4929" spans="3:13" hidden="1" outlineLevel="1" x14ac:dyDescent="0.2">
      <c r="C4929" s="139">
        <v>7.1</v>
      </c>
      <c r="D4929" s="28">
        <f t="shared" si="81"/>
        <v>56.8</v>
      </c>
      <c r="E4929" s="28">
        <f t="shared" si="82"/>
        <v>53.25</v>
      </c>
      <c r="F4929" s="28">
        <f t="shared" si="83"/>
        <v>35.25</v>
      </c>
      <c r="G4929" s="28">
        <f t="shared" si="84"/>
        <v>20.517399999999999</v>
      </c>
      <c r="H4929" s="28">
        <f t="shared" si="85"/>
        <v>24.638100000000001</v>
      </c>
      <c r="I4929" s="28">
        <f t="shared" si="86"/>
        <v>26.434899999999999</v>
      </c>
      <c r="J4929" s="28">
        <f t="shared" si="87"/>
        <v>27.710599999999999</v>
      </c>
      <c r="K4929" s="28">
        <f t="shared" si="88"/>
        <v>29.6767</v>
      </c>
      <c r="L4929" s="4"/>
      <c r="M4929" s="241">
        <v>26.434899999999999</v>
      </c>
    </row>
    <row r="4930" spans="3:13" hidden="1" outlineLevel="1" x14ac:dyDescent="0.2">
      <c r="C4930" s="139">
        <v>7.2</v>
      </c>
      <c r="D4930" s="28">
        <f t="shared" si="81"/>
        <v>57.6</v>
      </c>
      <c r="E4930" s="28">
        <f t="shared" si="82"/>
        <v>54</v>
      </c>
      <c r="F4930" s="28">
        <f t="shared" si="83"/>
        <v>36</v>
      </c>
      <c r="G4930" s="28">
        <f t="shared" si="84"/>
        <v>21.295999999999999</v>
      </c>
      <c r="H4930" s="28">
        <f t="shared" si="85"/>
        <v>25.507000000000001</v>
      </c>
      <c r="I4930" s="28">
        <f t="shared" si="86"/>
        <v>27.3431</v>
      </c>
      <c r="J4930" s="28">
        <f t="shared" si="87"/>
        <v>28.646999999999998</v>
      </c>
      <c r="K4930" s="28">
        <f t="shared" si="88"/>
        <v>30.657299999999999</v>
      </c>
      <c r="L4930" s="4"/>
      <c r="M4930" s="241">
        <v>27.3431</v>
      </c>
    </row>
    <row r="4931" spans="3:13" hidden="1" outlineLevel="1" x14ac:dyDescent="0.2">
      <c r="C4931" s="139">
        <v>7.3</v>
      </c>
      <c r="D4931" s="28">
        <f t="shared" si="81"/>
        <v>58.4</v>
      </c>
      <c r="E4931" s="28">
        <f t="shared" si="82"/>
        <v>54.75</v>
      </c>
      <c r="F4931" s="28">
        <f t="shared" si="83"/>
        <v>36.75</v>
      </c>
      <c r="G4931" s="28">
        <f t="shared" si="84"/>
        <v>21.295999999999999</v>
      </c>
      <c r="H4931" s="28">
        <f t="shared" si="85"/>
        <v>25.507000000000001</v>
      </c>
      <c r="I4931" s="28">
        <f t="shared" si="86"/>
        <v>27.3431</v>
      </c>
      <c r="J4931" s="28">
        <f t="shared" si="87"/>
        <v>28.646999999999998</v>
      </c>
      <c r="K4931" s="28">
        <f t="shared" si="88"/>
        <v>30.657299999999999</v>
      </c>
      <c r="L4931" s="4"/>
      <c r="M4931" s="241">
        <v>27.3431</v>
      </c>
    </row>
    <row r="4932" spans="3:13" hidden="1" outlineLevel="1" x14ac:dyDescent="0.2">
      <c r="C4932" s="139">
        <v>7.4</v>
      </c>
      <c r="D4932" s="28">
        <f t="shared" si="81"/>
        <v>59.2</v>
      </c>
      <c r="E4932" s="28">
        <f t="shared" si="82"/>
        <v>55.5</v>
      </c>
      <c r="F4932" s="28">
        <f t="shared" si="83"/>
        <v>37.5</v>
      </c>
      <c r="G4932" s="28">
        <f t="shared" si="84"/>
        <v>22.078099999999999</v>
      </c>
      <c r="H4932" s="28">
        <f t="shared" si="85"/>
        <v>26.378499999999999</v>
      </c>
      <c r="I4932" s="28">
        <f t="shared" si="86"/>
        <v>28.253599999999999</v>
      </c>
      <c r="J4932" s="28">
        <f t="shared" si="87"/>
        <v>29.5854</v>
      </c>
      <c r="K4932" s="28">
        <f t="shared" si="88"/>
        <v>31.639600000000002</v>
      </c>
      <c r="L4932" s="4"/>
      <c r="M4932" s="241">
        <v>28.253599999999999</v>
      </c>
    </row>
    <row r="4933" spans="3:13" hidden="1" outlineLevel="1" x14ac:dyDescent="0.2">
      <c r="C4933" s="139">
        <v>7.5</v>
      </c>
      <c r="D4933" s="28">
        <f t="shared" si="81"/>
        <v>60</v>
      </c>
      <c r="E4933" s="28">
        <f t="shared" si="82"/>
        <v>56.25</v>
      </c>
      <c r="F4933" s="28">
        <f t="shared" si="83"/>
        <v>38.25</v>
      </c>
      <c r="G4933" s="28">
        <f t="shared" si="84"/>
        <v>22.863600000000002</v>
      </c>
      <c r="H4933" s="28">
        <f t="shared" si="85"/>
        <v>27.252500000000001</v>
      </c>
      <c r="I4933" s="28">
        <f t="shared" si="86"/>
        <v>29.1661</v>
      </c>
      <c r="J4933" s="28">
        <f t="shared" si="87"/>
        <v>30.525700000000001</v>
      </c>
      <c r="K4933" s="28">
        <f t="shared" si="88"/>
        <v>32.623600000000003</v>
      </c>
      <c r="L4933" s="4"/>
      <c r="M4933" s="241">
        <v>29.1661</v>
      </c>
    </row>
    <row r="4934" spans="3:13" hidden="1" outlineLevel="1" x14ac:dyDescent="0.2">
      <c r="C4934" s="139">
        <v>7.6</v>
      </c>
      <c r="D4934" s="28">
        <f t="shared" si="81"/>
        <v>60.8</v>
      </c>
      <c r="E4934" s="28">
        <f t="shared" si="82"/>
        <v>57</v>
      </c>
      <c r="F4934" s="28">
        <f t="shared" si="83"/>
        <v>39</v>
      </c>
      <c r="G4934" s="28">
        <f t="shared" si="84"/>
        <v>23.6523</v>
      </c>
      <c r="H4934" s="28">
        <f t="shared" si="85"/>
        <v>28.128799999999998</v>
      </c>
      <c r="I4934" s="28">
        <f t="shared" si="86"/>
        <v>30.0808</v>
      </c>
      <c r="J4934" s="28">
        <f t="shared" si="87"/>
        <v>31.4679</v>
      </c>
      <c r="K4934" s="28">
        <f t="shared" si="88"/>
        <v>33.609000000000002</v>
      </c>
      <c r="L4934" s="4"/>
      <c r="M4934" s="241">
        <v>30.0808</v>
      </c>
    </row>
    <row r="4935" spans="3:13" hidden="1" outlineLevel="1" x14ac:dyDescent="0.2">
      <c r="C4935" s="139">
        <v>7.7</v>
      </c>
      <c r="D4935" s="28">
        <f t="shared" si="81"/>
        <v>61.6</v>
      </c>
      <c r="E4935" s="28">
        <f t="shared" si="82"/>
        <v>57.75</v>
      </c>
      <c r="F4935" s="28">
        <f t="shared" si="83"/>
        <v>39.75</v>
      </c>
      <c r="G4935" s="28">
        <f t="shared" si="84"/>
        <v>23.6523</v>
      </c>
      <c r="H4935" s="28">
        <f t="shared" si="85"/>
        <v>28.128799999999998</v>
      </c>
      <c r="I4935" s="28">
        <f t="shared" si="86"/>
        <v>30.0808</v>
      </c>
      <c r="J4935" s="28">
        <f t="shared" si="87"/>
        <v>31.4679</v>
      </c>
      <c r="K4935" s="28">
        <f t="shared" si="88"/>
        <v>33.609000000000002</v>
      </c>
      <c r="L4935" s="4"/>
      <c r="M4935" s="241">
        <v>30.0808</v>
      </c>
    </row>
    <row r="4936" spans="3:13" hidden="1" outlineLevel="1" x14ac:dyDescent="0.2">
      <c r="C4936" s="139">
        <v>7.8</v>
      </c>
      <c r="D4936" s="28">
        <f t="shared" si="81"/>
        <v>62.4</v>
      </c>
      <c r="E4936" s="28">
        <f t="shared" si="82"/>
        <v>58.5</v>
      </c>
      <c r="F4936" s="28">
        <f t="shared" si="83"/>
        <v>40.5</v>
      </c>
      <c r="G4936" s="28">
        <f t="shared" si="84"/>
        <v>24.444199999999999</v>
      </c>
      <c r="H4936" s="28">
        <f t="shared" si="85"/>
        <v>29.007400000000001</v>
      </c>
      <c r="I4936" s="28">
        <f t="shared" si="86"/>
        <v>30.997299999999999</v>
      </c>
      <c r="J4936" s="28">
        <f t="shared" si="87"/>
        <v>32.411799999999999</v>
      </c>
      <c r="K4936" s="28">
        <f t="shared" si="88"/>
        <v>34.595999999999997</v>
      </c>
      <c r="L4936" s="4"/>
      <c r="M4936" s="241">
        <v>30.997299999999999</v>
      </c>
    </row>
    <row r="4937" spans="3:13" hidden="1" outlineLevel="1" x14ac:dyDescent="0.2">
      <c r="C4937" s="139">
        <v>7.9</v>
      </c>
      <c r="D4937" s="28">
        <f t="shared" si="81"/>
        <v>63.2</v>
      </c>
      <c r="E4937" s="28">
        <f t="shared" si="82"/>
        <v>59.25</v>
      </c>
      <c r="F4937" s="28">
        <f t="shared" si="83"/>
        <v>41.25</v>
      </c>
      <c r="G4937" s="28">
        <f t="shared" si="84"/>
        <v>25.239100000000001</v>
      </c>
      <c r="H4937" s="28">
        <f t="shared" si="85"/>
        <v>29.888200000000001</v>
      </c>
      <c r="I4937" s="28">
        <f t="shared" si="86"/>
        <v>31.915800000000001</v>
      </c>
      <c r="J4937" s="28">
        <f t="shared" si="87"/>
        <v>33.357399999999998</v>
      </c>
      <c r="K4937" s="28">
        <f t="shared" si="88"/>
        <v>35.584299999999999</v>
      </c>
      <c r="L4937" s="4"/>
      <c r="M4937" s="241">
        <v>31.915800000000001</v>
      </c>
    </row>
    <row r="4938" spans="3:13" hidden="1" outlineLevel="1" x14ac:dyDescent="0.2">
      <c r="C4938" s="139">
        <v>8</v>
      </c>
      <c r="D4938" s="28">
        <f t="shared" si="81"/>
        <v>64</v>
      </c>
      <c r="E4938" s="28">
        <f t="shared" si="82"/>
        <v>60</v>
      </c>
      <c r="F4938" s="28">
        <f t="shared" si="83"/>
        <v>42</v>
      </c>
      <c r="G4938" s="28">
        <f t="shared" si="84"/>
        <v>26.036899999999999</v>
      </c>
      <c r="H4938" s="28">
        <f t="shared" si="85"/>
        <v>30.7712</v>
      </c>
      <c r="I4938" s="28">
        <f t="shared" si="86"/>
        <v>32.835999999999999</v>
      </c>
      <c r="J4938" s="28">
        <f t="shared" si="87"/>
        <v>34.304600000000001</v>
      </c>
      <c r="K4938" s="28">
        <f t="shared" si="88"/>
        <v>36.573900000000002</v>
      </c>
      <c r="L4938" s="4"/>
      <c r="M4938" s="241">
        <v>32.835999999999999</v>
      </c>
    </row>
    <row r="4939" spans="3:13" hidden="1" outlineLevel="1" x14ac:dyDescent="0.2">
      <c r="C4939" s="139">
        <v>8.1</v>
      </c>
      <c r="D4939" s="28">
        <f t="shared" si="81"/>
        <v>64.8</v>
      </c>
      <c r="E4939" s="28">
        <f t="shared" si="82"/>
        <v>60.75</v>
      </c>
      <c r="F4939" s="28">
        <f t="shared" si="83"/>
        <v>42.75</v>
      </c>
      <c r="G4939" s="28">
        <f t="shared" si="84"/>
        <v>26.036899999999999</v>
      </c>
      <c r="H4939" s="28">
        <f t="shared" si="85"/>
        <v>30.7712</v>
      </c>
      <c r="I4939" s="28">
        <f t="shared" si="86"/>
        <v>32.835999999999999</v>
      </c>
      <c r="J4939" s="28">
        <f t="shared" si="87"/>
        <v>34.304600000000001</v>
      </c>
      <c r="K4939" s="28">
        <f t="shared" si="88"/>
        <v>36.573900000000002</v>
      </c>
      <c r="L4939" s="4"/>
      <c r="M4939" s="241">
        <v>32.835999999999999</v>
      </c>
    </row>
    <row r="4940" spans="3:13" hidden="1" outlineLevel="1" x14ac:dyDescent="0.2">
      <c r="C4940" s="139">
        <v>8.1999999999999993</v>
      </c>
      <c r="D4940" s="28">
        <f t="shared" si="81"/>
        <v>65.599999999999994</v>
      </c>
      <c r="E4940" s="28">
        <f t="shared" si="82"/>
        <v>61.499999999999993</v>
      </c>
      <c r="F4940" s="28">
        <f t="shared" si="83"/>
        <v>43.499999999999993</v>
      </c>
      <c r="G4940" s="28">
        <f t="shared" si="84"/>
        <v>26.837399999999999</v>
      </c>
      <c r="H4940" s="28">
        <f t="shared" si="85"/>
        <v>31.656099999999999</v>
      </c>
      <c r="I4940" s="28">
        <f t="shared" si="86"/>
        <v>33.758000000000003</v>
      </c>
      <c r="J4940" s="28">
        <f t="shared" si="87"/>
        <v>35.253300000000003</v>
      </c>
      <c r="K4940" s="28">
        <f t="shared" si="88"/>
        <v>37.564799999999998</v>
      </c>
      <c r="L4940" s="4"/>
      <c r="M4940" s="241">
        <v>33.758000000000003</v>
      </c>
    </row>
    <row r="4941" spans="3:13" hidden="1" outlineLevel="1" x14ac:dyDescent="0.2">
      <c r="C4941" s="139">
        <v>8.3000000000000007</v>
      </c>
      <c r="D4941" s="28">
        <f t="shared" si="81"/>
        <v>66.400000000000006</v>
      </c>
      <c r="E4941" s="28">
        <f t="shared" si="82"/>
        <v>62.250000000000007</v>
      </c>
      <c r="F4941" s="28">
        <f t="shared" si="83"/>
        <v>44.250000000000007</v>
      </c>
      <c r="G4941" s="28">
        <f t="shared" si="84"/>
        <v>27.640699999999999</v>
      </c>
      <c r="H4941" s="28">
        <f t="shared" si="85"/>
        <v>32.542999999999999</v>
      </c>
      <c r="I4941" s="28">
        <f t="shared" si="86"/>
        <v>34.681600000000003</v>
      </c>
      <c r="J4941" s="28">
        <f t="shared" si="87"/>
        <v>36.203499999999998</v>
      </c>
      <c r="K4941" s="28">
        <f t="shared" si="88"/>
        <v>38.557000000000002</v>
      </c>
      <c r="L4941" s="4"/>
      <c r="M4941" s="241">
        <v>34.681600000000003</v>
      </c>
    </row>
    <row r="4942" spans="3:13" hidden="1" outlineLevel="1" x14ac:dyDescent="0.2">
      <c r="C4942" s="139">
        <v>8.4</v>
      </c>
      <c r="D4942" s="28">
        <f t="shared" si="81"/>
        <v>67.2</v>
      </c>
      <c r="E4942" s="28">
        <f t="shared" si="82"/>
        <v>63</v>
      </c>
      <c r="F4942" s="28">
        <f t="shared" si="83"/>
        <v>45</v>
      </c>
      <c r="G4942" s="28">
        <f t="shared" si="84"/>
        <v>28.4466</v>
      </c>
      <c r="H4942" s="28">
        <f t="shared" si="85"/>
        <v>33.431699999999999</v>
      </c>
      <c r="I4942" s="28">
        <f t="shared" si="86"/>
        <v>35.606900000000003</v>
      </c>
      <c r="J4942" s="28">
        <f t="shared" si="87"/>
        <v>37.155099999999997</v>
      </c>
      <c r="K4942" s="28">
        <f t="shared" si="88"/>
        <v>39.5503</v>
      </c>
      <c r="L4942" s="4"/>
      <c r="M4942" s="241">
        <v>35.606900000000003</v>
      </c>
    </row>
    <row r="4943" spans="3:13" hidden="1" outlineLevel="1" x14ac:dyDescent="0.2">
      <c r="C4943" s="139">
        <v>8.5</v>
      </c>
      <c r="D4943" s="28">
        <f t="shared" si="81"/>
        <v>68</v>
      </c>
      <c r="E4943" s="28">
        <f t="shared" si="82"/>
        <v>63.75</v>
      </c>
      <c r="F4943" s="28">
        <f t="shared" si="83"/>
        <v>45.75</v>
      </c>
      <c r="G4943" s="28">
        <f t="shared" si="84"/>
        <v>28.4466</v>
      </c>
      <c r="H4943" s="28">
        <f t="shared" si="85"/>
        <v>33.431699999999999</v>
      </c>
      <c r="I4943" s="28">
        <f t="shared" si="86"/>
        <v>35.606900000000003</v>
      </c>
      <c r="J4943" s="28">
        <f t="shared" si="87"/>
        <v>37.155099999999997</v>
      </c>
      <c r="K4943" s="28">
        <f t="shared" si="88"/>
        <v>39.5503</v>
      </c>
      <c r="L4943" s="4"/>
      <c r="M4943" s="241">
        <v>35.606900000000003</v>
      </c>
    </row>
    <row r="4944" spans="3:13" hidden="1" outlineLevel="1" x14ac:dyDescent="0.2">
      <c r="C4944" s="139">
        <v>8.6</v>
      </c>
      <c r="D4944" s="28">
        <f t="shared" si="81"/>
        <v>68.8</v>
      </c>
      <c r="E4944" s="28">
        <f t="shared" si="82"/>
        <v>64.5</v>
      </c>
      <c r="F4944" s="28">
        <f t="shared" si="83"/>
        <v>46.5</v>
      </c>
      <c r="G4944" s="28">
        <f t="shared" si="84"/>
        <v>29.254899999999999</v>
      </c>
      <c r="H4944" s="28">
        <f t="shared" si="85"/>
        <v>34.322299999999998</v>
      </c>
      <c r="I4944" s="28">
        <f t="shared" si="86"/>
        <v>36.533700000000003</v>
      </c>
      <c r="J4944" s="28">
        <f t="shared" si="87"/>
        <v>38.1081</v>
      </c>
      <c r="K4944" s="28">
        <f t="shared" si="88"/>
        <v>40.544699999999999</v>
      </c>
      <c r="L4944" s="4"/>
      <c r="M4944" s="241">
        <v>36.533700000000003</v>
      </c>
    </row>
    <row r="4945" spans="3:13" hidden="1" outlineLevel="1" x14ac:dyDescent="0.2">
      <c r="C4945" s="139">
        <v>8.6999999999999993</v>
      </c>
      <c r="D4945" s="28">
        <f t="shared" si="81"/>
        <v>69.599999999999994</v>
      </c>
      <c r="E4945" s="28">
        <f t="shared" si="82"/>
        <v>65.25</v>
      </c>
      <c r="F4945" s="28">
        <f t="shared" si="83"/>
        <v>47.25</v>
      </c>
      <c r="G4945" s="28">
        <f t="shared" si="84"/>
        <v>30.0657</v>
      </c>
      <c r="H4945" s="28">
        <f t="shared" si="85"/>
        <v>35.214599999999997</v>
      </c>
      <c r="I4945" s="28">
        <f t="shared" si="86"/>
        <v>37.4619</v>
      </c>
      <c r="J4945" s="28">
        <f t="shared" si="87"/>
        <v>39.062399999999997</v>
      </c>
      <c r="K4945" s="28">
        <f t="shared" si="88"/>
        <v>41.540300000000002</v>
      </c>
      <c r="L4945" s="4"/>
      <c r="M4945" s="241">
        <v>37.4619</v>
      </c>
    </row>
    <row r="4946" spans="3:13" hidden="1" outlineLevel="1" x14ac:dyDescent="0.2">
      <c r="C4946" s="139">
        <v>8.8000000000000007</v>
      </c>
      <c r="D4946" s="28">
        <f t="shared" si="81"/>
        <v>70.400000000000006</v>
      </c>
      <c r="E4946" s="28">
        <f t="shared" si="82"/>
        <v>66</v>
      </c>
      <c r="F4946" s="28">
        <f t="shared" si="83"/>
        <v>48</v>
      </c>
      <c r="G4946" s="28">
        <f t="shared" si="84"/>
        <v>30.878900000000002</v>
      </c>
      <c r="H4946" s="28">
        <f t="shared" si="85"/>
        <v>36.108600000000003</v>
      </c>
      <c r="I4946" s="28">
        <f t="shared" si="86"/>
        <v>38.391599999999997</v>
      </c>
      <c r="J4946" s="28">
        <f t="shared" si="87"/>
        <v>40.018000000000001</v>
      </c>
      <c r="K4946" s="28">
        <f t="shared" si="88"/>
        <v>42.536900000000003</v>
      </c>
      <c r="L4946" s="4"/>
      <c r="M4946" s="241">
        <v>38.391599999999997</v>
      </c>
    </row>
    <row r="4947" spans="3:13" hidden="1" outlineLevel="1" x14ac:dyDescent="0.2">
      <c r="C4947" s="139">
        <v>8.9</v>
      </c>
      <c r="D4947" s="28">
        <f t="shared" si="81"/>
        <v>71.2</v>
      </c>
      <c r="E4947" s="28">
        <f t="shared" si="82"/>
        <v>66.75</v>
      </c>
      <c r="F4947" s="28">
        <f t="shared" si="83"/>
        <v>48.75</v>
      </c>
      <c r="G4947" s="28">
        <f t="shared" si="84"/>
        <v>30.878900000000002</v>
      </c>
      <c r="H4947" s="28">
        <f t="shared" si="85"/>
        <v>36.108600000000003</v>
      </c>
      <c r="I4947" s="28">
        <f t="shared" si="86"/>
        <v>38.391599999999997</v>
      </c>
      <c r="J4947" s="28">
        <f t="shared" si="87"/>
        <v>40.018000000000001</v>
      </c>
      <c r="K4947" s="28">
        <f t="shared" si="88"/>
        <v>42.536900000000003</v>
      </c>
      <c r="L4947" s="4"/>
      <c r="M4947" s="241">
        <v>38.391599999999997</v>
      </c>
    </row>
    <row r="4948" spans="3:13" hidden="1" outlineLevel="1" x14ac:dyDescent="0.2">
      <c r="C4948" s="139">
        <v>9</v>
      </c>
      <c r="D4948" s="28">
        <f t="shared" si="81"/>
        <v>72</v>
      </c>
      <c r="E4948" s="28">
        <f t="shared" si="82"/>
        <v>67.5</v>
      </c>
      <c r="F4948" s="28">
        <f t="shared" si="83"/>
        <v>49.5</v>
      </c>
      <c r="G4948" s="28">
        <f t="shared" si="84"/>
        <v>31.694299999999998</v>
      </c>
      <c r="H4948" s="28">
        <f t="shared" si="85"/>
        <v>37.004199999999997</v>
      </c>
      <c r="I4948" s="28">
        <f t="shared" si="86"/>
        <v>39.322699999999998</v>
      </c>
      <c r="J4948" s="28">
        <f t="shared" si="87"/>
        <v>40.974699999999999</v>
      </c>
      <c r="K4948" s="28">
        <f t="shared" si="88"/>
        <v>43.534500000000001</v>
      </c>
      <c r="L4948" s="4"/>
      <c r="M4948" s="241">
        <v>39.322699999999998</v>
      </c>
    </row>
    <row r="4949" spans="3:13" hidden="1" outlineLevel="1" x14ac:dyDescent="0.2">
      <c r="C4949" s="139">
        <v>9.1</v>
      </c>
      <c r="D4949" s="28">
        <f t="shared" si="81"/>
        <v>72.8</v>
      </c>
      <c r="E4949" s="28">
        <f t="shared" si="82"/>
        <v>68.25</v>
      </c>
      <c r="F4949" s="28">
        <f t="shared" si="83"/>
        <v>50.25</v>
      </c>
      <c r="G4949" s="28">
        <f t="shared" si="84"/>
        <v>32.511800000000001</v>
      </c>
      <c r="H4949" s="28">
        <f t="shared" si="85"/>
        <v>37.901400000000002</v>
      </c>
      <c r="I4949" s="28">
        <f t="shared" si="86"/>
        <v>40.255200000000002</v>
      </c>
      <c r="J4949" s="28">
        <f t="shared" si="87"/>
        <v>41.932699999999997</v>
      </c>
      <c r="K4949" s="28">
        <f t="shared" si="88"/>
        <v>44.533000000000001</v>
      </c>
      <c r="L4949" s="4"/>
      <c r="M4949" s="241">
        <v>40.255200000000002</v>
      </c>
    </row>
    <row r="4950" spans="3:13" hidden="1" outlineLevel="1" x14ac:dyDescent="0.2">
      <c r="C4950" s="139">
        <v>9.1999999999999993</v>
      </c>
      <c r="D4950" s="28">
        <f t="shared" si="81"/>
        <v>73.599999999999994</v>
      </c>
      <c r="E4950" s="28">
        <f t="shared" si="82"/>
        <v>69</v>
      </c>
      <c r="F4950" s="28">
        <f t="shared" si="83"/>
        <v>51</v>
      </c>
      <c r="G4950" s="28">
        <f t="shared" si="84"/>
        <v>33.331600000000002</v>
      </c>
      <c r="H4950" s="28">
        <f t="shared" si="85"/>
        <v>38.8001</v>
      </c>
      <c r="I4950" s="28">
        <f t="shared" si="86"/>
        <v>41.188800000000001</v>
      </c>
      <c r="J4950" s="28">
        <f t="shared" si="87"/>
        <v>42.8919</v>
      </c>
      <c r="K4950" s="28">
        <f t="shared" si="88"/>
        <v>45.532499999999999</v>
      </c>
      <c r="L4950" s="4"/>
      <c r="M4950" s="241">
        <v>41.188800000000001</v>
      </c>
    </row>
    <row r="4951" spans="3:13" hidden="1" outlineLevel="1" x14ac:dyDescent="0.2">
      <c r="C4951" s="139">
        <v>9.2999999999999989</v>
      </c>
      <c r="D4951" s="28">
        <f t="shared" si="81"/>
        <v>74.399999999999991</v>
      </c>
      <c r="E4951" s="28">
        <f t="shared" si="82"/>
        <v>69.749999999999986</v>
      </c>
      <c r="F4951" s="28">
        <f t="shared" si="83"/>
        <v>51.749999999999986</v>
      </c>
      <c r="G4951" s="28">
        <f t="shared" si="84"/>
        <v>33.331600000000002</v>
      </c>
      <c r="H4951" s="28">
        <f t="shared" si="85"/>
        <v>38.8001</v>
      </c>
      <c r="I4951" s="28">
        <f t="shared" si="86"/>
        <v>41.188800000000001</v>
      </c>
      <c r="J4951" s="28">
        <f t="shared" si="87"/>
        <v>42.8919</v>
      </c>
      <c r="K4951" s="28">
        <f t="shared" si="88"/>
        <v>45.532499999999999</v>
      </c>
      <c r="L4951" s="4"/>
      <c r="M4951" s="241">
        <v>41.188800000000001</v>
      </c>
    </row>
    <row r="4952" spans="3:13" hidden="1" outlineLevel="1" x14ac:dyDescent="0.2">
      <c r="C4952" s="139">
        <v>9.3999999999999986</v>
      </c>
      <c r="D4952" s="28">
        <f t="shared" si="81"/>
        <v>75.199999999999989</v>
      </c>
      <c r="E4952" s="28">
        <f t="shared" si="82"/>
        <v>70.499999999999986</v>
      </c>
      <c r="F4952" s="28">
        <f t="shared" si="83"/>
        <v>52.499999999999986</v>
      </c>
      <c r="G4952" s="28">
        <f t="shared" si="84"/>
        <v>34.153399999999998</v>
      </c>
      <c r="H4952" s="28">
        <f t="shared" si="85"/>
        <v>39.700299999999999</v>
      </c>
      <c r="I4952" s="28">
        <f t="shared" si="86"/>
        <v>42.123800000000003</v>
      </c>
      <c r="J4952" s="28">
        <f t="shared" si="87"/>
        <v>43.8521</v>
      </c>
      <c r="K4952" s="28">
        <f t="shared" si="88"/>
        <v>46.533000000000001</v>
      </c>
      <c r="L4952" s="4"/>
      <c r="M4952" s="241">
        <v>42.123800000000003</v>
      </c>
    </row>
    <row r="4953" spans="3:13" hidden="1" outlineLevel="1" x14ac:dyDescent="0.2">
      <c r="C4953" s="139">
        <v>9.4999999999999982</v>
      </c>
      <c r="D4953" s="28">
        <f t="shared" si="81"/>
        <v>75.999999999999986</v>
      </c>
      <c r="E4953" s="28">
        <f t="shared" si="82"/>
        <v>71.249999999999986</v>
      </c>
      <c r="F4953" s="28">
        <f t="shared" si="83"/>
        <v>53.249999999999986</v>
      </c>
      <c r="G4953" s="28">
        <f t="shared" si="84"/>
        <v>34.9771</v>
      </c>
      <c r="H4953" s="28">
        <f t="shared" si="85"/>
        <v>40.601900000000001</v>
      </c>
      <c r="I4953" s="28">
        <f t="shared" si="86"/>
        <v>43.06</v>
      </c>
      <c r="J4953" s="28">
        <f t="shared" si="87"/>
        <v>44.813400000000001</v>
      </c>
      <c r="K4953" s="28">
        <f t="shared" si="88"/>
        <v>47.534300000000002</v>
      </c>
      <c r="L4953" s="4"/>
      <c r="M4953" s="241">
        <v>43.06</v>
      </c>
    </row>
    <row r="4954" spans="3:13" hidden="1" outlineLevel="1" x14ac:dyDescent="0.2">
      <c r="C4954" s="139">
        <v>9.5999999999999979</v>
      </c>
      <c r="D4954" s="28">
        <f t="shared" si="81"/>
        <v>76.799999999999983</v>
      </c>
      <c r="E4954" s="28">
        <f t="shared" si="82"/>
        <v>71.999999999999986</v>
      </c>
      <c r="F4954" s="28">
        <f t="shared" si="83"/>
        <v>53.999999999999986</v>
      </c>
      <c r="G4954" s="28">
        <f t="shared" si="84"/>
        <v>34.9771</v>
      </c>
      <c r="H4954" s="28">
        <f t="shared" si="85"/>
        <v>40.601900000000001</v>
      </c>
      <c r="I4954" s="28">
        <f t="shared" si="86"/>
        <v>43.06</v>
      </c>
      <c r="J4954" s="28">
        <f t="shared" si="87"/>
        <v>44.813400000000001</v>
      </c>
      <c r="K4954" s="28">
        <f t="shared" si="88"/>
        <v>47.534300000000002</v>
      </c>
      <c r="L4954" s="4"/>
      <c r="M4954" s="241">
        <v>43.06</v>
      </c>
    </row>
    <row r="4955" spans="3:13" hidden="1" outlineLevel="1" x14ac:dyDescent="0.2">
      <c r="C4955" s="139">
        <v>9.6999999999999975</v>
      </c>
      <c r="D4955" s="28">
        <f t="shared" si="81"/>
        <v>77.59999999999998</v>
      </c>
      <c r="E4955" s="28">
        <f t="shared" si="82"/>
        <v>72.749999999999986</v>
      </c>
      <c r="F4955" s="28">
        <f t="shared" si="83"/>
        <v>54.749999999999986</v>
      </c>
      <c r="G4955" s="28">
        <f t="shared" si="84"/>
        <v>35.802799999999998</v>
      </c>
      <c r="H4955" s="28">
        <f t="shared" si="85"/>
        <v>41.504899999999999</v>
      </c>
      <c r="I4955" s="28">
        <f t="shared" si="86"/>
        <v>43.997300000000003</v>
      </c>
      <c r="J4955" s="28">
        <f t="shared" si="87"/>
        <v>45.775700000000001</v>
      </c>
      <c r="K4955" s="28">
        <f t="shared" si="88"/>
        <v>48.5364</v>
      </c>
      <c r="L4955" s="4"/>
      <c r="M4955" s="241">
        <v>43.997300000000003</v>
      </c>
    </row>
    <row r="4956" spans="3:13" hidden="1" outlineLevel="1" x14ac:dyDescent="0.2">
      <c r="C4956" s="139">
        <v>9.7999999999999972</v>
      </c>
      <c r="D4956" s="28">
        <f t="shared" si="81"/>
        <v>78.399999999999977</v>
      </c>
      <c r="E4956" s="28">
        <f t="shared" si="82"/>
        <v>73.499999999999972</v>
      </c>
      <c r="F4956" s="28">
        <f t="shared" si="83"/>
        <v>55.499999999999972</v>
      </c>
      <c r="G4956" s="28">
        <f t="shared" si="84"/>
        <v>36.630499999999998</v>
      </c>
      <c r="H4956" s="28">
        <f t="shared" si="85"/>
        <v>42.409199999999998</v>
      </c>
      <c r="I4956" s="28">
        <f t="shared" si="86"/>
        <v>44.9358</v>
      </c>
      <c r="J4956" s="28">
        <f t="shared" si="87"/>
        <v>46.739100000000001</v>
      </c>
      <c r="K4956" s="28">
        <f t="shared" si="88"/>
        <v>49.539400000000001</v>
      </c>
      <c r="L4956" s="4"/>
      <c r="M4956" s="241">
        <v>44.9358</v>
      </c>
    </row>
    <row r="4957" spans="3:13" hidden="1" outlineLevel="1" x14ac:dyDescent="0.2">
      <c r="C4957" s="139">
        <v>9.8999999999999968</v>
      </c>
      <c r="D4957" s="28">
        <f t="shared" si="81"/>
        <v>79.199999999999974</v>
      </c>
      <c r="E4957" s="28">
        <f t="shared" si="82"/>
        <v>74.249999999999972</v>
      </c>
      <c r="F4957" s="28">
        <f t="shared" si="83"/>
        <v>56.249999999999972</v>
      </c>
      <c r="G4957" s="28">
        <f t="shared" si="84"/>
        <v>37.459899999999998</v>
      </c>
      <c r="H4957" s="28">
        <f t="shared" si="85"/>
        <v>43.314900000000002</v>
      </c>
      <c r="I4957" s="28">
        <f t="shared" si="86"/>
        <v>45.875399999999999</v>
      </c>
      <c r="J4957" s="28">
        <f t="shared" si="87"/>
        <v>47.703400000000002</v>
      </c>
      <c r="K4957" s="28">
        <f t="shared" si="88"/>
        <v>50.543100000000003</v>
      </c>
      <c r="L4957" s="4"/>
      <c r="M4957" s="241">
        <v>45.875399999999999</v>
      </c>
    </row>
    <row r="4958" spans="3:13" hidden="1" outlineLevel="1" x14ac:dyDescent="0.2">
      <c r="C4958" s="139">
        <v>9.9999999999999964</v>
      </c>
      <c r="D4958" s="28">
        <f t="shared" si="81"/>
        <v>79.999999999999972</v>
      </c>
      <c r="E4958" s="28">
        <f t="shared" si="82"/>
        <v>74.999999999999972</v>
      </c>
      <c r="F4958" s="28">
        <f t="shared" si="83"/>
        <v>56.999999999999972</v>
      </c>
      <c r="G4958" s="28">
        <f t="shared" si="84"/>
        <v>37.459899999999998</v>
      </c>
      <c r="H4958" s="28">
        <f t="shared" si="85"/>
        <v>43.314900000000002</v>
      </c>
      <c r="I4958" s="28">
        <f t="shared" si="86"/>
        <v>45.875399999999999</v>
      </c>
      <c r="J4958" s="28">
        <f t="shared" si="87"/>
        <v>47.703400000000002</v>
      </c>
      <c r="K4958" s="28">
        <f t="shared" si="88"/>
        <v>50.543100000000003</v>
      </c>
      <c r="L4958" s="4"/>
      <c r="M4958" s="241">
        <v>45.875399999999999</v>
      </c>
    </row>
    <row r="4959" spans="3:13" hidden="1" outlineLevel="1" x14ac:dyDescent="0.2">
      <c r="C4959" s="139">
        <v>10.099999999999996</v>
      </c>
      <c r="D4959" s="28">
        <f t="shared" si="81"/>
        <v>80.799999999999969</v>
      </c>
      <c r="E4959" s="28">
        <f t="shared" si="82"/>
        <v>75.749999999999972</v>
      </c>
      <c r="F4959" s="28">
        <f t="shared" si="83"/>
        <v>57.749999999999972</v>
      </c>
      <c r="G4959" s="28">
        <f t="shared" si="84"/>
        <v>38.2911</v>
      </c>
      <c r="H4959" s="28">
        <f t="shared" si="85"/>
        <v>44.221800000000002</v>
      </c>
      <c r="I4959" s="28">
        <f t="shared" si="86"/>
        <v>46.816000000000003</v>
      </c>
      <c r="J4959" s="28">
        <f t="shared" si="87"/>
        <v>48.668599999999998</v>
      </c>
      <c r="K4959" s="28">
        <f t="shared" si="88"/>
        <v>51.547699999999999</v>
      </c>
      <c r="L4959" s="4"/>
      <c r="M4959" s="241">
        <v>46.816000000000003</v>
      </c>
    </row>
    <row r="4960" spans="3:13" hidden="1" outlineLevel="1" x14ac:dyDescent="0.2">
      <c r="C4960" s="139">
        <v>10.199999999999996</v>
      </c>
      <c r="D4960" s="28">
        <f t="shared" si="81"/>
        <v>81.599999999999966</v>
      </c>
      <c r="E4960" s="28">
        <f t="shared" si="82"/>
        <v>76.499999999999972</v>
      </c>
      <c r="F4960" s="28">
        <f t="shared" si="83"/>
        <v>58.499999999999972</v>
      </c>
      <c r="G4960" s="28">
        <f t="shared" si="84"/>
        <v>39.124099999999999</v>
      </c>
      <c r="H4960" s="28">
        <f t="shared" si="85"/>
        <v>45.129899999999999</v>
      </c>
      <c r="I4960" s="28">
        <f t="shared" si="86"/>
        <v>47.7577</v>
      </c>
      <c r="J4960" s="28">
        <f t="shared" si="87"/>
        <v>49.634799999999998</v>
      </c>
      <c r="K4960" s="28">
        <f t="shared" si="88"/>
        <v>52.552999999999997</v>
      </c>
      <c r="L4960" s="4"/>
      <c r="M4960" s="241">
        <v>47.7577</v>
      </c>
    </row>
    <row r="4961" spans="3:13" hidden="1" outlineLevel="1" x14ac:dyDescent="0.2">
      <c r="C4961" s="139">
        <v>10.299999999999995</v>
      </c>
      <c r="D4961" s="28">
        <f t="shared" si="81"/>
        <v>82.399999999999963</v>
      </c>
      <c r="E4961" s="28">
        <f t="shared" si="82"/>
        <v>77.249999999999972</v>
      </c>
      <c r="F4961" s="28">
        <f t="shared" si="83"/>
        <v>59.249999999999972</v>
      </c>
      <c r="G4961" s="28">
        <f t="shared" si="84"/>
        <v>39.9587</v>
      </c>
      <c r="H4961" s="28">
        <f t="shared" si="85"/>
        <v>46.039200000000001</v>
      </c>
      <c r="I4961" s="28">
        <f t="shared" si="86"/>
        <v>48.700400000000002</v>
      </c>
      <c r="J4961" s="28">
        <f t="shared" si="87"/>
        <v>50.601900000000001</v>
      </c>
      <c r="K4961" s="28">
        <f t="shared" si="88"/>
        <v>53.558900000000001</v>
      </c>
      <c r="L4961" s="4"/>
      <c r="M4961" s="241">
        <v>48.700400000000002</v>
      </c>
    </row>
    <row r="4962" spans="3:13" hidden="1" outlineLevel="1" x14ac:dyDescent="0.2">
      <c r="C4962" s="139">
        <v>10.399999999999995</v>
      </c>
      <c r="D4962" s="28">
        <f t="shared" si="81"/>
        <v>83.19999999999996</v>
      </c>
      <c r="E4962" s="28">
        <f t="shared" si="82"/>
        <v>77.999999999999957</v>
      </c>
      <c r="F4962" s="28">
        <f t="shared" si="83"/>
        <v>59.999999999999957</v>
      </c>
      <c r="G4962" s="28">
        <f t="shared" si="84"/>
        <v>39.9587</v>
      </c>
      <c r="H4962" s="28">
        <f t="shared" si="85"/>
        <v>46.039200000000001</v>
      </c>
      <c r="I4962" s="28">
        <f t="shared" si="86"/>
        <v>48.700400000000002</v>
      </c>
      <c r="J4962" s="28">
        <f t="shared" si="87"/>
        <v>50.601900000000001</v>
      </c>
      <c r="K4962" s="28">
        <f t="shared" si="88"/>
        <v>53.558900000000001</v>
      </c>
      <c r="L4962" s="4"/>
      <c r="M4962" s="241">
        <v>48.700400000000002</v>
      </c>
    </row>
    <row r="4963" spans="3:13" hidden="1" outlineLevel="1" x14ac:dyDescent="0.2">
      <c r="C4963" s="139">
        <v>10.499999999999995</v>
      </c>
      <c r="D4963" s="28">
        <f t="shared" si="81"/>
        <v>83.999999999999957</v>
      </c>
      <c r="E4963" s="28">
        <f t="shared" si="82"/>
        <v>78.749999999999957</v>
      </c>
      <c r="F4963" s="28">
        <f t="shared" si="83"/>
        <v>60.749999999999957</v>
      </c>
      <c r="G4963" s="28">
        <f t="shared" si="84"/>
        <v>40.795000000000002</v>
      </c>
      <c r="H4963" s="28">
        <f t="shared" si="85"/>
        <v>46.9497</v>
      </c>
      <c r="I4963" s="28">
        <f t="shared" si="86"/>
        <v>49.644100000000002</v>
      </c>
      <c r="J4963" s="28">
        <f t="shared" si="87"/>
        <v>51.569800000000001</v>
      </c>
      <c r="K4963" s="28">
        <f t="shared" si="88"/>
        <v>54.565600000000003</v>
      </c>
      <c r="L4963" s="4"/>
      <c r="M4963" s="241">
        <v>49.644100000000002</v>
      </c>
    </row>
    <row r="4964" spans="3:13" hidden="1" outlineLevel="1" x14ac:dyDescent="0.2">
      <c r="C4964" s="139">
        <v>10.599999999999994</v>
      </c>
      <c r="D4964" s="28">
        <f t="shared" si="81"/>
        <v>84.799999999999955</v>
      </c>
      <c r="E4964" s="28">
        <f t="shared" si="82"/>
        <v>79.499999999999957</v>
      </c>
      <c r="F4964" s="28">
        <f t="shared" si="83"/>
        <v>61.499999999999957</v>
      </c>
      <c r="G4964" s="28">
        <f t="shared" si="84"/>
        <v>41.632899999999999</v>
      </c>
      <c r="H4964" s="28">
        <f t="shared" si="85"/>
        <v>47.8613</v>
      </c>
      <c r="I4964" s="28">
        <f t="shared" si="86"/>
        <v>50.588700000000003</v>
      </c>
      <c r="J4964" s="28">
        <f t="shared" si="87"/>
        <v>52.538499999999999</v>
      </c>
      <c r="K4964" s="28">
        <f t="shared" si="88"/>
        <v>55.573</v>
      </c>
      <c r="L4964" s="4"/>
      <c r="M4964" s="241">
        <v>50.588700000000003</v>
      </c>
    </row>
    <row r="4965" spans="3:13" hidden="1" outlineLevel="1" x14ac:dyDescent="0.2">
      <c r="C4965" s="139">
        <v>10.699999999999994</v>
      </c>
      <c r="D4965" s="28">
        <f t="shared" si="81"/>
        <v>85.599999999999952</v>
      </c>
      <c r="E4965" s="28">
        <f t="shared" si="82"/>
        <v>80.249999999999957</v>
      </c>
      <c r="F4965" s="28">
        <f t="shared" si="83"/>
        <v>62.249999999999957</v>
      </c>
      <c r="G4965" s="28">
        <f t="shared" si="84"/>
        <v>42.472299999999997</v>
      </c>
      <c r="H4965" s="28">
        <f t="shared" si="85"/>
        <v>48.774000000000001</v>
      </c>
      <c r="I4965" s="28">
        <f t="shared" si="86"/>
        <v>51.534199999999998</v>
      </c>
      <c r="J4965" s="28">
        <f t="shared" si="87"/>
        <v>53.508099999999999</v>
      </c>
      <c r="K4965" s="28">
        <f t="shared" si="88"/>
        <v>56.581000000000003</v>
      </c>
      <c r="L4965" s="4"/>
      <c r="M4965" s="241">
        <v>51.534199999999998</v>
      </c>
    </row>
    <row r="4966" spans="3:13" hidden="1" outlineLevel="1" x14ac:dyDescent="0.2">
      <c r="C4966" s="139">
        <v>10.799999999999994</v>
      </c>
      <c r="D4966" s="28">
        <f t="shared" si="81"/>
        <v>86.399999999999949</v>
      </c>
      <c r="E4966" s="28">
        <f t="shared" si="82"/>
        <v>80.999999999999957</v>
      </c>
      <c r="F4966" s="28">
        <f t="shared" si="83"/>
        <v>62.999999999999957</v>
      </c>
      <c r="G4966" s="28">
        <f t="shared" si="84"/>
        <v>42.472299999999997</v>
      </c>
      <c r="H4966" s="28">
        <f t="shared" si="85"/>
        <v>48.774000000000001</v>
      </c>
      <c r="I4966" s="28">
        <f t="shared" si="86"/>
        <v>51.534199999999998</v>
      </c>
      <c r="J4966" s="28">
        <f t="shared" si="87"/>
        <v>53.508099999999999</v>
      </c>
      <c r="K4966" s="28">
        <f t="shared" si="88"/>
        <v>56.581000000000003</v>
      </c>
      <c r="L4966" s="4"/>
      <c r="M4966" s="241">
        <v>51.534199999999998</v>
      </c>
    </row>
    <row r="4967" spans="3:13" hidden="1" outlineLevel="1" x14ac:dyDescent="0.2">
      <c r="C4967" s="139">
        <v>10.899999999999993</v>
      </c>
      <c r="D4967" s="28">
        <f t="shared" si="81"/>
        <v>87.199999999999946</v>
      </c>
      <c r="E4967" s="28">
        <f t="shared" si="82"/>
        <v>81.749999999999943</v>
      </c>
      <c r="F4967" s="28">
        <f t="shared" si="83"/>
        <v>63.749999999999943</v>
      </c>
      <c r="G4967" s="28">
        <f t="shared" si="84"/>
        <v>43.313299999999998</v>
      </c>
      <c r="H4967" s="28">
        <f t="shared" si="85"/>
        <v>49.687800000000003</v>
      </c>
      <c r="I4967" s="28">
        <f t="shared" si="86"/>
        <v>52.480699999999999</v>
      </c>
      <c r="J4967" s="28">
        <f t="shared" si="87"/>
        <v>54.478400000000001</v>
      </c>
      <c r="K4967" s="28">
        <f t="shared" si="88"/>
        <v>57.589599999999997</v>
      </c>
      <c r="L4967" s="4"/>
      <c r="M4967" s="241">
        <v>52.480699999999999</v>
      </c>
    </row>
    <row r="4968" spans="3:13" hidden="1" outlineLevel="1" x14ac:dyDescent="0.2">
      <c r="C4968" s="139">
        <v>10.999999999999993</v>
      </c>
      <c r="D4968" s="28">
        <f t="shared" si="81"/>
        <v>87.999999999999943</v>
      </c>
      <c r="E4968" s="28">
        <f t="shared" si="82"/>
        <v>82.499999999999943</v>
      </c>
      <c r="F4968" s="28">
        <f t="shared" si="83"/>
        <v>64.499999999999943</v>
      </c>
      <c r="G4968" s="28">
        <f t="shared" si="84"/>
        <v>44.155700000000003</v>
      </c>
      <c r="H4968" s="28">
        <f t="shared" si="85"/>
        <v>50.602600000000002</v>
      </c>
      <c r="I4968" s="28">
        <f t="shared" si="86"/>
        <v>53.427999999999997</v>
      </c>
      <c r="J4968" s="28">
        <f t="shared" si="87"/>
        <v>55.449599999999997</v>
      </c>
      <c r="K4968" s="28">
        <f t="shared" si="88"/>
        <v>58.598999999999997</v>
      </c>
      <c r="L4968" s="4"/>
      <c r="M4968" s="241">
        <v>53.427999999999997</v>
      </c>
    </row>
    <row r="4969" spans="3:13" hidden="1" outlineLevel="1" x14ac:dyDescent="0.2">
      <c r="C4969" s="139">
        <v>11.099999999999993</v>
      </c>
      <c r="D4969" s="28">
        <f t="shared" si="81"/>
        <v>88.79999999999994</v>
      </c>
      <c r="E4969" s="28">
        <f t="shared" si="82"/>
        <v>83.249999999999943</v>
      </c>
      <c r="F4969" s="28">
        <f t="shared" si="83"/>
        <v>65.249999999999943</v>
      </c>
      <c r="G4969" s="28">
        <f t="shared" si="84"/>
        <v>44.999499999999998</v>
      </c>
      <c r="H4969" s="28">
        <f t="shared" si="85"/>
        <v>51.518500000000003</v>
      </c>
      <c r="I4969" s="28">
        <f t="shared" si="86"/>
        <v>54.376199999999997</v>
      </c>
      <c r="J4969" s="28">
        <f t="shared" si="87"/>
        <v>56.421500000000002</v>
      </c>
      <c r="K4969" s="28">
        <f t="shared" si="88"/>
        <v>59.608899999999998</v>
      </c>
      <c r="L4969" s="4"/>
      <c r="M4969" s="241">
        <v>54.376199999999997</v>
      </c>
    </row>
    <row r="4970" spans="3:13" hidden="1" outlineLevel="1" x14ac:dyDescent="0.2">
      <c r="C4970" s="139">
        <v>11.199999999999992</v>
      </c>
      <c r="D4970" s="28">
        <f t="shared" si="81"/>
        <v>89.599999999999937</v>
      </c>
      <c r="E4970" s="28">
        <f t="shared" si="82"/>
        <v>83.999999999999943</v>
      </c>
      <c r="F4970" s="28">
        <f t="shared" si="83"/>
        <v>65.999999999999943</v>
      </c>
      <c r="G4970" s="28">
        <f t="shared" si="84"/>
        <v>44.999499999999998</v>
      </c>
      <c r="H4970" s="28">
        <f t="shared" si="85"/>
        <v>51.518500000000003</v>
      </c>
      <c r="I4970" s="28">
        <f t="shared" si="86"/>
        <v>54.376199999999997</v>
      </c>
      <c r="J4970" s="28">
        <f t="shared" si="87"/>
        <v>56.421500000000002</v>
      </c>
      <c r="K4970" s="28">
        <f t="shared" si="88"/>
        <v>59.608899999999998</v>
      </c>
      <c r="L4970" s="4"/>
      <c r="M4970" s="241">
        <v>54.376199999999997</v>
      </c>
    </row>
    <row r="4971" spans="3:13" hidden="1" outlineLevel="1" x14ac:dyDescent="0.2">
      <c r="C4971" s="139">
        <v>11.299999999999992</v>
      </c>
      <c r="D4971" s="28">
        <f t="shared" si="81"/>
        <v>90.399999999999935</v>
      </c>
      <c r="E4971" s="28">
        <f t="shared" si="82"/>
        <v>84.749999999999943</v>
      </c>
      <c r="F4971" s="28">
        <f t="shared" si="83"/>
        <v>66.749999999999943</v>
      </c>
      <c r="G4971" s="28">
        <f t="shared" si="84"/>
        <v>45.844799999999999</v>
      </c>
      <c r="H4971" s="28">
        <f t="shared" si="85"/>
        <v>52.435299999999998</v>
      </c>
      <c r="I4971" s="28">
        <f t="shared" si="86"/>
        <v>55.325200000000002</v>
      </c>
      <c r="J4971" s="28">
        <f t="shared" si="87"/>
        <v>57.393999999999998</v>
      </c>
      <c r="K4971" s="28">
        <f t="shared" si="88"/>
        <v>60.619300000000003</v>
      </c>
      <c r="L4971" s="4"/>
      <c r="M4971" s="241">
        <v>55.325200000000002</v>
      </c>
    </row>
    <row r="4972" spans="3:13" hidden="1" outlineLevel="1" x14ac:dyDescent="0.2">
      <c r="C4972" s="139">
        <v>11.399999999999991</v>
      </c>
      <c r="D4972" s="28">
        <f t="shared" si="81"/>
        <v>91.199999999999932</v>
      </c>
      <c r="E4972" s="28">
        <f t="shared" si="82"/>
        <v>85.499999999999943</v>
      </c>
      <c r="F4972" s="28">
        <f t="shared" si="83"/>
        <v>67.499999999999943</v>
      </c>
      <c r="G4972" s="28">
        <f t="shared" si="84"/>
        <v>46.691499999999998</v>
      </c>
      <c r="H4972" s="28">
        <f t="shared" si="85"/>
        <v>53.353099999999998</v>
      </c>
      <c r="I4972" s="28">
        <f t="shared" si="86"/>
        <v>56.274999999999999</v>
      </c>
      <c r="J4972" s="28">
        <f t="shared" si="87"/>
        <v>58.3673</v>
      </c>
      <c r="K4972" s="28">
        <f t="shared" si="88"/>
        <v>61.630400000000002</v>
      </c>
      <c r="L4972" s="4"/>
      <c r="M4972" s="241">
        <v>56.274999999999999</v>
      </c>
    </row>
    <row r="4973" spans="3:13" hidden="1" outlineLevel="1" x14ac:dyDescent="0.2">
      <c r="C4973" s="139">
        <v>11.499999999999991</v>
      </c>
      <c r="D4973" s="28">
        <f t="shared" si="81"/>
        <v>91.999999999999929</v>
      </c>
      <c r="E4973" s="28">
        <f t="shared" si="82"/>
        <v>86.249999999999929</v>
      </c>
      <c r="F4973" s="28">
        <f t="shared" si="83"/>
        <v>68.249999999999929</v>
      </c>
      <c r="G4973" s="28">
        <f t="shared" si="84"/>
        <v>47.539499999999997</v>
      </c>
      <c r="H4973" s="28">
        <f t="shared" si="85"/>
        <v>54.271799999999999</v>
      </c>
      <c r="I4973" s="28">
        <f t="shared" si="86"/>
        <v>57.2256</v>
      </c>
      <c r="J4973" s="28">
        <f t="shared" si="87"/>
        <v>59.341299999999997</v>
      </c>
      <c r="K4973" s="28">
        <f t="shared" si="88"/>
        <v>62.6419</v>
      </c>
      <c r="L4973" s="4"/>
      <c r="M4973" s="241">
        <v>57.2256</v>
      </c>
    </row>
    <row r="4974" spans="3:13" hidden="1" outlineLevel="1" x14ac:dyDescent="0.2">
      <c r="C4974" s="139">
        <v>11.599999999999991</v>
      </c>
      <c r="D4974" s="28">
        <f t="shared" si="81"/>
        <v>92.799999999999926</v>
      </c>
      <c r="E4974" s="28">
        <f t="shared" si="82"/>
        <v>86.999999999999929</v>
      </c>
      <c r="F4974" s="28">
        <f t="shared" si="83"/>
        <v>68.999999999999929</v>
      </c>
      <c r="G4974" s="28">
        <f t="shared" si="84"/>
        <v>47.539499999999997</v>
      </c>
      <c r="H4974" s="28">
        <f t="shared" si="85"/>
        <v>54.271799999999999</v>
      </c>
      <c r="I4974" s="28">
        <f t="shared" si="86"/>
        <v>57.2256</v>
      </c>
      <c r="J4974" s="28">
        <f t="shared" si="87"/>
        <v>59.341299999999997</v>
      </c>
      <c r="K4974" s="28">
        <f t="shared" si="88"/>
        <v>62.6419</v>
      </c>
      <c r="L4974" s="4"/>
      <c r="M4974" s="241">
        <v>57.2256</v>
      </c>
    </row>
    <row r="4975" spans="3:13" hidden="1" outlineLevel="1" x14ac:dyDescent="0.2">
      <c r="C4975" s="139">
        <v>11.69999999999999</v>
      </c>
      <c r="D4975" s="28">
        <f t="shared" si="81"/>
        <v>93.599999999999923</v>
      </c>
      <c r="E4975" s="28">
        <f t="shared" si="82"/>
        <v>87.749999999999929</v>
      </c>
      <c r="F4975" s="28">
        <f t="shared" si="83"/>
        <v>69.749999999999929</v>
      </c>
      <c r="G4975" s="28">
        <f t="shared" si="84"/>
        <v>48.3889</v>
      </c>
      <c r="H4975" s="28">
        <f t="shared" si="85"/>
        <v>55.191499999999998</v>
      </c>
      <c r="I4975" s="28">
        <f t="shared" si="86"/>
        <v>58.177</v>
      </c>
      <c r="J4975" s="28">
        <f t="shared" si="87"/>
        <v>60.316000000000003</v>
      </c>
      <c r="K4975" s="28">
        <f t="shared" si="88"/>
        <v>63.654200000000003</v>
      </c>
      <c r="L4975" s="4"/>
      <c r="M4975" s="241">
        <v>58.177</v>
      </c>
    </row>
    <row r="4976" spans="3:13" hidden="1" outlineLevel="1" x14ac:dyDescent="0.2">
      <c r="C4976" s="139">
        <v>11.79999999999999</v>
      </c>
      <c r="D4976" s="28">
        <f t="shared" si="81"/>
        <v>94.39999999999992</v>
      </c>
      <c r="E4976" s="28">
        <f t="shared" si="82"/>
        <v>88.499999999999929</v>
      </c>
      <c r="F4976" s="28">
        <f t="shared" si="83"/>
        <v>70.499999999999929</v>
      </c>
      <c r="G4976" s="28">
        <f t="shared" si="84"/>
        <v>49.2395</v>
      </c>
      <c r="H4976" s="28">
        <f t="shared" si="85"/>
        <v>56.112099999999998</v>
      </c>
      <c r="I4976" s="28">
        <f t="shared" si="86"/>
        <v>59.129100000000001</v>
      </c>
      <c r="J4976" s="28">
        <f t="shared" si="87"/>
        <v>61.291400000000003</v>
      </c>
      <c r="K4976" s="28">
        <f t="shared" si="88"/>
        <v>64.666799999999995</v>
      </c>
      <c r="L4976" s="4"/>
      <c r="M4976" s="241">
        <v>59.129100000000001</v>
      </c>
    </row>
    <row r="4977" spans="3:13" hidden="1" outlineLevel="1" x14ac:dyDescent="0.2">
      <c r="C4977" s="139">
        <v>11.89999999999999</v>
      </c>
      <c r="D4977" s="28">
        <f t="shared" si="81"/>
        <v>95.199999999999918</v>
      </c>
      <c r="E4977" s="28">
        <f t="shared" si="82"/>
        <v>89.249999999999929</v>
      </c>
      <c r="F4977" s="28">
        <f t="shared" si="83"/>
        <v>71.249999999999929</v>
      </c>
      <c r="G4977" s="28">
        <f t="shared" si="84"/>
        <v>50.091299999999997</v>
      </c>
      <c r="H4977" s="28">
        <f t="shared" si="85"/>
        <v>57.033499999999997</v>
      </c>
      <c r="I4977" s="28">
        <f t="shared" si="86"/>
        <v>60.082000000000001</v>
      </c>
      <c r="J4977" s="28">
        <f t="shared" si="87"/>
        <v>62.267299999999999</v>
      </c>
      <c r="K4977" s="28">
        <f t="shared" si="88"/>
        <v>65.680000000000007</v>
      </c>
      <c r="L4977" s="4"/>
      <c r="M4977" s="241">
        <v>60.082000000000001</v>
      </c>
    </row>
    <row r="4978" spans="3:13" hidden="1" outlineLevel="1" x14ac:dyDescent="0.2">
      <c r="C4978" s="139">
        <v>11.999999999999989</v>
      </c>
      <c r="D4978" s="28">
        <f t="shared" si="81"/>
        <v>95.999999999999915</v>
      </c>
      <c r="E4978" s="28">
        <f t="shared" si="82"/>
        <v>89.999999999999915</v>
      </c>
      <c r="F4978" s="28">
        <f t="shared" si="83"/>
        <v>71.999999999999915</v>
      </c>
      <c r="G4978" s="28">
        <f t="shared" si="84"/>
        <v>50.091299999999997</v>
      </c>
      <c r="H4978" s="28">
        <f t="shared" si="85"/>
        <v>57.033499999999997</v>
      </c>
      <c r="I4978" s="28">
        <f t="shared" si="86"/>
        <v>60.082000000000001</v>
      </c>
      <c r="J4978" s="28">
        <f t="shared" si="87"/>
        <v>62.267299999999999</v>
      </c>
      <c r="K4978" s="28">
        <f t="shared" si="88"/>
        <v>65.680000000000007</v>
      </c>
      <c r="L4978" s="4"/>
      <c r="M4978" s="241">
        <v>60.082000000000001</v>
      </c>
    </row>
    <row r="4979" spans="3:13" hidden="1" outlineLevel="1" x14ac:dyDescent="0.2">
      <c r="C4979" s="139">
        <v>12.099999999999989</v>
      </c>
      <c r="D4979" s="28">
        <f t="shared" si="81"/>
        <v>96.799999999999912</v>
      </c>
      <c r="E4979" s="28">
        <f t="shared" si="82"/>
        <v>90.749999999999915</v>
      </c>
      <c r="F4979" s="28">
        <f t="shared" si="83"/>
        <v>72.749999999999915</v>
      </c>
      <c r="G4979" s="28">
        <f t="shared" si="84"/>
        <v>50.944400000000002</v>
      </c>
      <c r="H4979" s="28">
        <f t="shared" si="85"/>
        <v>57.955800000000004</v>
      </c>
      <c r="I4979" s="28">
        <f t="shared" si="86"/>
        <v>61.035499999999999</v>
      </c>
      <c r="J4979" s="28">
        <f t="shared" si="87"/>
        <v>63.243899999999996</v>
      </c>
      <c r="K4979" s="28">
        <f t="shared" si="88"/>
        <v>66.693700000000007</v>
      </c>
      <c r="L4979" s="4"/>
      <c r="M4979" s="241">
        <v>61.035499999999999</v>
      </c>
    </row>
    <row r="4980" spans="3:13" hidden="1" outlineLevel="1" x14ac:dyDescent="0.2">
      <c r="C4980" s="139">
        <v>12.199999999999989</v>
      </c>
      <c r="D4980" s="28">
        <f t="shared" si="81"/>
        <v>97.599999999999909</v>
      </c>
      <c r="E4980" s="28">
        <f t="shared" si="82"/>
        <v>91.499999999999915</v>
      </c>
      <c r="F4980" s="28">
        <f t="shared" si="83"/>
        <v>73.499999999999915</v>
      </c>
      <c r="G4980" s="28">
        <f t="shared" si="84"/>
        <v>51.798699999999997</v>
      </c>
      <c r="H4980" s="28">
        <f t="shared" si="85"/>
        <v>58.878900000000002</v>
      </c>
      <c r="I4980" s="28">
        <f t="shared" si="86"/>
        <v>61.989800000000002</v>
      </c>
      <c r="J4980" s="28">
        <f t="shared" si="87"/>
        <v>64.221100000000007</v>
      </c>
      <c r="K4980" s="28">
        <f t="shared" si="88"/>
        <v>67.707899999999995</v>
      </c>
      <c r="L4980" s="4"/>
      <c r="M4980" s="241">
        <v>61.989800000000002</v>
      </c>
    </row>
    <row r="4981" spans="3:13" hidden="1" outlineLevel="1" x14ac:dyDescent="0.2">
      <c r="C4981" s="139">
        <v>12.299999999999988</v>
      </c>
      <c r="D4981" s="28">
        <f t="shared" si="81"/>
        <v>98.399999999999906</v>
      </c>
      <c r="E4981" s="28">
        <f t="shared" si="82"/>
        <v>92.249999999999915</v>
      </c>
      <c r="F4981" s="28">
        <f t="shared" si="83"/>
        <v>74.249999999999915</v>
      </c>
      <c r="G4981" s="28">
        <f t="shared" si="84"/>
        <v>52.654200000000003</v>
      </c>
      <c r="H4981" s="28">
        <f t="shared" si="85"/>
        <v>59.802900000000001</v>
      </c>
      <c r="I4981" s="28">
        <f t="shared" si="86"/>
        <v>62.944800000000001</v>
      </c>
      <c r="J4981" s="28">
        <f t="shared" si="87"/>
        <v>65.198899999999995</v>
      </c>
      <c r="K4981" s="28">
        <f t="shared" si="88"/>
        <v>68.722499999999997</v>
      </c>
      <c r="L4981" s="4"/>
      <c r="M4981" s="241">
        <v>62.944800000000001</v>
      </c>
    </row>
    <row r="4982" spans="3:13" hidden="1" outlineLevel="1" x14ac:dyDescent="0.2">
      <c r="C4982" s="139">
        <v>12.399999999999988</v>
      </c>
      <c r="D4982" s="28">
        <f t="shared" si="81"/>
        <v>99.199999999999903</v>
      </c>
      <c r="E4982" s="28">
        <f t="shared" si="82"/>
        <v>92.999999999999915</v>
      </c>
      <c r="F4982" s="28">
        <f t="shared" si="83"/>
        <v>74.999999999999915</v>
      </c>
      <c r="G4982" s="28">
        <f t="shared" si="84"/>
        <v>52.654200000000003</v>
      </c>
      <c r="H4982" s="28">
        <f t="shared" si="85"/>
        <v>59.802900000000001</v>
      </c>
      <c r="I4982" s="28">
        <f t="shared" si="86"/>
        <v>62.944800000000001</v>
      </c>
      <c r="J4982" s="28">
        <f t="shared" si="87"/>
        <v>65.198899999999995</v>
      </c>
      <c r="K4982" s="28">
        <f t="shared" si="88"/>
        <v>68.722499999999997</v>
      </c>
      <c r="L4982" s="4"/>
      <c r="M4982" s="241">
        <v>62.944800000000001</v>
      </c>
    </row>
    <row r="4983" spans="3:13" hidden="1" outlineLevel="1" x14ac:dyDescent="0.2">
      <c r="C4983" s="139">
        <v>12.499999999999988</v>
      </c>
      <c r="D4983" s="28">
        <f t="shared" si="81"/>
        <v>99.999999999999901</v>
      </c>
      <c r="E4983" s="28">
        <f t="shared" si="82"/>
        <v>93.749999999999901</v>
      </c>
      <c r="F4983" s="28">
        <f t="shared" si="83"/>
        <v>75.749999999999901</v>
      </c>
      <c r="G4983" s="28">
        <f t="shared" si="84"/>
        <v>53.510800000000003</v>
      </c>
      <c r="H4983" s="28">
        <f t="shared" si="85"/>
        <v>60.727600000000002</v>
      </c>
      <c r="I4983" s="28">
        <f t="shared" si="86"/>
        <v>63.900399999999998</v>
      </c>
      <c r="J4983" s="28">
        <f t="shared" si="87"/>
        <v>66.177300000000002</v>
      </c>
      <c r="K4983" s="28">
        <f t="shared" si="88"/>
        <v>69.737700000000004</v>
      </c>
      <c r="L4983" s="4"/>
      <c r="M4983" s="241">
        <v>63.900399999999998</v>
      </c>
    </row>
    <row r="4984" spans="3:13" hidden="1" outlineLevel="1" x14ac:dyDescent="0.2">
      <c r="C4984" s="139">
        <v>12.599999999999987</v>
      </c>
      <c r="D4984" s="28">
        <f t="shared" si="81"/>
        <v>100.7999999999999</v>
      </c>
      <c r="E4984" s="28">
        <f t="shared" si="82"/>
        <v>94.499999999999901</v>
      </c>
      <c r="F4984" s="28">
        <f t="shared" si="83"/>
        <v>76.499999999999901</v>
      </c>
      <c r="G4984" s="28">
        <f t="shared" si="84"/>
        <v>54.368499999999997</v>
      </c>
      <c r="H4984" s="28">
        <f t="shared" si="85"/>
        <v>61.653100000000002</v>
      </c>
      <c r="I4984" s="28">
        <f t="shared" si="86"/>
        <v>64.856700000000004</v>
      </c>
      <c r="J4984" s="28">
        <f t="shared" si="87"/>
        <v>67.156300000000002</v>
      </c>
      <c r="K4984" s="28">
        <f t="shared" si="88"/>
        <v>70.753299999999996</v>
      </c>
      <c r="L4984" s="4"/>
      <c r="M4984" s="241">
        <v>64.856700000000004</v>
      </c>
    </row>
    <row r="4985" spans="3:13" hidden="1" outlineLevel="1" x14ac:dyDescent="0.2">
      <c r="C4985" s="139">
        <v>12.699999999999987</v>
      </c>
      <c r="D4985" s="28">
        <f t="shared" si="81"/>
        <v>101.59999999999989</v>
      </c>
      <c r="E4985" s="28">
        <f t="shared" si="82"/>
        <v>95.249999999999901</v>
      </c>
      <c r="F4985" s="28">
        <f t="shared" si="83"/>
        <v>77.249999999999901</v>
      </c>
      <c r="G4985" s="28">
        <f t="shared" si="84"/>
        <v>55.227400000000003</v>
      </c>
      <c r="H4985" s="28">
        <f t="shared" si="85"/>
        <v>62.5794</v>
      </c>
      <c r="I4985" s="28">
        <f t="shared" si="86"/>
        <v>65.813599999999994</v>
      </c>
      <c r="J4985" s="28">
        <f t="shared" si="87"/>
        <v>68.1357</v>
      </c>
      <c r="K4985" s="28">
        <f t="shared" si="88"/>
        <v>71.769300000000001</v>
      </c>
      <c r="L4985" s="4"/>
      <c r="M4985" s="241">
        <v>65.813599999999994</v>
      </c>
    </row>
    <row r="4986" spans="3:13" hidden="1" outlineLevel="1" x14ac:dyDescent="0.2">
      <c r="C4986" s="139">
        <v>12.799999999999986</v>
      </c>
      <c r="D4986" s="28">
        <f t="shared" si="81"/>
        <v>102.39999999999989</v>
      </c>
      <c r="E4986" s="28">
        <f t="shared" si="82"/>
        <v>95.999999999999901</v>
      </c>
      <c r="F4986" s="28">
        <f t="shared" si="83"/>
        <v>77.999999999999901</v>
      </c>
      <c r="G4986" s="28">
        <f t="shared" si="84"/>
        <v>55.227400000000003</v>
      </c>
      <c r="H4986" s="28">
        <f t="shared" si="85"/>
        <v>62.5794</v>
      </c>
      <c r="I4986" s="28">
        <f t="shared" si="86"/>
        <v>65.813599999999994</v>
      </c>
      <c r="J4986" s="28">
        <f t="shared" si="87"/>
        <v>68.1357</v>
      </c>
      <c r="K4986" s="28">
        <f t="shared" si="88"/>
        <v>71.769300000000001</v>
      </c>
      <c r="L4986" s="4"/>
      <c r="M4986" s="241">
        <v>65.813599999999994</v>
      </c>
    </row>
    <row r="4987" spans="3:13" hidden="1" outlineLevel="1" x14ac:dyDescent="0.2">
      <c r="C4987" s="139">
        <v>12.899999999999986</v>
      </c>
      <c r="D4987" s="28">
        <f t="shared" ref="D4987:D5050" si="89">C4987*Channels.per.TRX</f>
        <v>103.19999999999989</v>
      </c>
      <c r="E4987" s="28">
        <f t="shared" ref="E4987:E5050" si="90">D4987-C4987*sig.channel.per.TRX</f>
        <v>96.749999999999901</v>
      </c>
      <c r="F4987" s="28">
        <f t="shared" ref="F4987:F5050" si="91">MAX(0,E4987-GPRS.channel.per.sector)</f>
        <v>78.749999999999901</v>
      </c>
      <c r="G4987" s="28">
        <f t="shared" ref="G4987:G5050" si="92">INDEX(D$10:D$4326,MATCH($F4987,$C$10:$C$4326,1))</f>
        <v>56.087299999999999</v>
      </c>
      <c r="H4987" s="28">
        <f t="shared" ref="H4987:H5050" si="93">INDEX(E$10:E$4326,MATCH($F4987,$C$10:$C$4326,1))</f>
        <v>63.506500000000003</v>
      </c>
      <c r="I4987" s="28">
        <f t="shared" ref="I4987:I5050" si="94">INDEX(F$10:F$4326,MATCH($F4987,$C$10:$C$4326,1))</f>
        <v>66.771199999999993</v>
      </c>
      <c r="J4987" s="28">
        <f t="shared" ref="J4987:J5050" si="95">INDEX(G$10:G$4326,MATCH($F4987,$C$10:$C$4326,1))</f>
        <v>69.115799999999993</v>
      </c>
      <c r="K4987" s="28">
        <f t="shared" ref="K4987:K5050" si="96">INDEX(H$10:H$4326,MATCH($F4987,$C$10:$C$4326,1))</f>
        <v>72.785700000000006</v>
      </c>
      <c r="L4987" s="4"/>
      <c r="M4987" s="241">
        <v>66.771199999999993</v>
      </c>
    </row>
    <row r="4988" spans="3:13" hidden="1" outlineLevel="1" x14ac:dyDescent="0.2">
      <c r="C4988" s="139">
        <v>12.999999999999986</v>
      </c>
      <c r="D4988" s="28">
        <f t="shared" si="89"/>
        <v>103.99999999999989</v>
      </c>
      <c r="E4988" s="28">
        <f t="shared" si="90"/>
        <v>97.499999999999886</v>
      </c>
      <c r="F4988" s="28">
        <f t="shared" si="91"/>
        <v>79.499999999999886</v>
      </c>
      <c r="G4988" s="28">
        <f t="shared" si="92"/>
        <v>56.948300000000003</v>
      </c>
      <c r="H4988" s="28">
        <f t="shared" si="93"/>
        <v>64.434299999999993</v>
      </c>
      <c r="I4988" s="28">
        <f t="shared" si="94"/>
        <v>67.729299999999995</v>
      </c>
      <c r="J4988" s="28">
        <f t="shared" si="95"/>
        <v>70.096400000000003</v>
      </c>
      <c r="K4988" s="28">
        <f t="shared" si="96"/>
        <v>73.802599999999998</v>
      </c>
      <c r="L4988" s="4"/>
      <c r="M4988" s="241">
        <v>67.729299999999995</v>
      </c>
    </row>
    <row r="4989" spans="3:13" hidden="1" outlineLevel="1" x14ac:dyDescent="0.2">
      <c r="C4989" s="139">
        <v>13.099999999999985</v>
      </c>
      <c r="D4989" s="28">
        <f t="shared" si="89"/>
        <v>104.79999999999988</v>
      </c>
      <c r="E4989" s="28">
        <f t="shared" si="90"/>
        <v>98.249999999999886</v>
      </c>
      <c r="F4989" s="28">
        <f t="shared" si="91"/>
        <v>80.249999999999886</v>
      </c>
      <c r="G4989" s="28">
        <f t="shared" si="92"/>
        <v>57.810400000000001</v>
      </c>
      <c r="H4989" s="28">
        <f t="shared" si="93"/>
        <v>65.362700000000004</v>
      </c>
      <c r="I4989" s="28">
        <f t="shared" si="94"/>
        <v>68.688100000000006</v>
      </c>
      <c r="J4989" s="28">
        <f t="shared" si="95"/>
        <v>71.077500000000001</v>
      </c>
      <c r="K4989" s="28">
        <f t="shared" si="96"/>
        <v>74.819900000000004</v>
      </c>
      <c r="L4989" s="4"/>
      <c r="M4989" s="241">
        <v>68.688100000000006</v>
      </c>
    </row>
    <row r="4990" spans="3:13" hidden="1" outlineLevel="1" x14ac:dyDescent="0.2">
      <c r="C4990" s="139">
        <v>13.199999999999985</v>
      </c>
      <c r="D4990" s="28">
        <f t="shared" si="89"/>
        <v>105.59999999999988</v>
      </c>
      <c r="E4990" s="28">
        <f t="shared" si="90"/>
        <v>98.999999999999886</v>
      </c>
      <c r="F4990" s="28">
        <f t="shared" si="91"/>
        <v>80.999999999999886</v>
      </c>
      <c r="G4990" s="28">
        <f t="shared" si="92"/>
        <v>57.810400000000001</v>
      </c>
      <c r="H4990" s="28">
        <f t="shared" si="93"/>
        <v>65.362700000000004</v>
      </c>
      <c r="I4990" s="28">
        <f t="shared" si="94"/>
        <v>68.688100000000006</v>
      </c>
      <c r="J4990" s="28">
        <f t="shared" si="95"/>
        <v>71.077500000000001</v>
      </c>
      <c r="K4990" s="28">
        <f t="shared" si="96"/>
        <v>74.819900000000004</v>
      </c>
      <c r="L4990" s="4"/>
      <c r="M4990" s="241">
        <v>68.688100000000006</v>
      </c>
    </row>
    <row r="4991" spans="3:13" hidden="1" outlineLevel="1" x14ac:dyDescent="0.2">
      <c r="C4991" s="139">
        <v>13.299999999999985</v>
      </c>
      <c r="D4991" s="28">
        <f t="shared" si="89"/>
        <v>106.39999999999988</v>
      </c>
      <c r="E4991" s="28">
        <f t="shared" si="90"/>
        <v>99.749999999999886</v>
      </c>
      <c r="F4991" s="28">
        <f t="shared" si="91"/>
        <v>81.749999999999886</v>
      </c>
      <c r="G4991" s="28">
        <f t="shared" si="92"/>
        <v>58.673400000000001</v>
      </c>
      <c r="H4991" s="28">
        <f t="shared" si="93"/>
        <v>66.291899999999998</v>
      </c>
      <c r="I4991" s="28">
        <f t="shared" si="94"/>
        <v>69.647400000000005</v>
      </c>
      <c r="J4991" s="28">
        <f t="shared" si="95"/>
        <v>72.059100000000001</v>
      </c>
      <c r="K4991" s="28">
        <f t="shared" si="96"/>
        <v>75.837599999999995</v>
      </c>
      <c r="L4991" s="4"/>
      <c r="M4991" s="241">
        <v>69.647400000000005</v>
      </c>
    </row>
    <row r="4992" spans="3:13" hidden="1" outlineLevel="1" x14ac:dyDescent="0.2">
      <c r="C4992" s="139">
        <v>13.399999999999984</v>
      </c>
      <c r="D4992" s="28">
        <f t="shared" si="89"/>
        <v>107.19999999999987</v>
      </c>
      <c r="E4992" s="28">
        <f t="shared" si="90"/>
        <v>100.49999999999989</v>
      </c>
      <c r="F4992" s="28">
        <f t="shared" si="91"/>
        <v>82.499999999999886</v>
      </c>
      <c r="G4992" s="28">
        <f t="shared" si="92"/>
        <v>59.537500000000001</v>
      </c>
      <c r="H4992" s="28">
        <f t="shared" si="93"/>
        <v>67.221900000000005</v>
      </c>
      <c r="I4992" s="28">
        <f t="shared" si="94"/>
        <v>70.607399999999998</v>
      </c>
      <c r="J4992" s="28">
        <f t="shared" si="95"/>
        <v>73.041200000000003</v>
      </c>
      <c r="K4992" s="28">
        <f t="shared" si="96"/>
        <v>76.855699999999999</v>
      </c>
      <c r="L4992" s="4"/>
      <c r="M4992" s="241">
        <v>70.607399999999998</v>
      </c>
    </row>
    <row r="4993" spans="3:13" hidden="1" outlineLevel="1" x14ac:dyDescent="0.2">
      <c r="C4993" s="139">
        <v>13.499999999999984</v>
      </c>
      <c r="D4993" s="28">
        <f t="shared" si="89"/>
        <v>107.99999999999987</v>
      </c>
      <c r="E4993" s="28">
        <f t="shared" si="90"/>
        <v>101.24999999999989</v>
      </c>
      <c r="F4993" s="28">
        <f t="shared" si="91"/>
        <v>83.249999999999886</v>
      </c>
      <c r="G4993" s="28">
        <f t="shared" si="92"/>
        <v>60.402500000000003</v>
      </c>
      <c r="H4993" s="28">
        <f t="shared" si="93"/>
        <v>68.152500000000003</v>
      </c>
      <c r="I4993" s="28">
        <f t="shared" si="94"/>
        <v>71.567800000000005</v>
      </c>
      <c r="J4993" s="28">
        <f t="shared" si="95"/>
        <v>74.023799999999994</v>
      </c>
      <c r="K4993" s="28">
        <f t="shared" si="96"/>
        <v>77.874200000000002</v>
      </c>
      <c r="L4993" s="4"/>
      <c r="M4993" s="241">
        <v>71.567800000000005</v>
      </c>
    </row>
    <row r="4994" spans="3:13" hidden="1" outlineLevel="1" x14ac:dyDescent="0.2">
      <c r="C4994" s="139">
        <v>13.599999999999984</v>
      </c>
      <c r="D4994" s="28">
        <f t="shared" si="89"/>
        <v>108.79999999999987</v>
      </c>
      <c r="E4994" s="28">
        <f t="shared" si="90"/>
        <v>101.99999999999987</v>
      </c>
      <c r="F4994" s="28">
        <f t="shared" si="91"/>
        <v>83.999999999999872</v>
      </c>
      <c r="G4994" s="28">
        <f t="shared" si="92"/>
        <v>60.402500000000003</v>
      </c>
      <c r="H4994" s="28">
        <f t="shared" si="93"/>
        <v>68.152500000000003</v>
      </c>
      <c r="I4994" s="28">
        <f t="shared" si="94"/>
        <v>71.567800000000005</v>
      </c>
      <c r="J4994" s="28">
        <f t="shared" si="95"/>
        <v>74.023799999999994</v>
      </c>
      <c r="K4994" s="28">
        <f t="shared" si="96"/>
        <v>77.874200000000002</v>
      </c>
      <c r="L4994" s="4"/>
      <c r="M4994" s="241">
        <v>71.567800000000005</v>
      </c>
    </row>
    <row r="4995" spans="3:13" hidden="1" outlineLevel="1" x14ac:dyDescent="0.2">
      <c r="C4995" s="139">
        <v>13.699999999999983</v>
      </c>
      <c r="D4995" s="28">
        <f t="shared" si="89"/>
        <v>109.59999999999987</v>
      </c>
      <c r="E4995" s="28">
        <f t="shared" si="90"/>
        <v>102.74999999999987</v>
      </c>
      <c r="F4995" s="28">
        <f t="shared" si="91"/>
        <v>84.749999999999872</v>
      </c>
      <c r="G4995" s="28">
        <f t="shared" si="92"/>
        <v>61.268500000000003</v>
      </c>
      <c r="H4995" s="28">
        <f t="shared" si="93"/>
        <v>69.083699999999993</v>
      </c>
      <c r="I4995" s="28">
        <f t="shared" si="94"/>
        <v>72.528800000000004</v>
      </c>
      <c r="J4995" s="28">
        <f t="shared" si="95"/>
        <v>75.006900000000002</v>
      </c>
      <c r="K4995" s="28">
        <f t="shared" si="96"/>
        <v>78.893000000000001</v>
      </c>
      <c r="L4995" s="4"/>
      <c r="M4995" s="241">
        <v>72.528800000000004</v>
      </c>
    </row>
    <row r="4996" spans="3:13" hidden="1" outlineLevel="1" x14ac:dyDescent="0.2">
      <c r="C4996" s="139">
        <v>13.799999999999983</v>
      </c>
      <c r="D4996" s="28">
        <f t="shared" si="89"/>
        <v>110.39999999999986</v>
      </c>
      <c r="E4996" s="28">
        <f t="shared" si="90"/>
        <v>103.49999999999987</v>
      </c>
      <c r="F4996" s="28">
        <f t="shared" si="91"/>
        <v>85.499999999999872</v>
      </c>
      <c r="G4996" s="28">
        <f t="shared" si="92"/>
        <v>62.135399999999997</v>
      </c>
      <c r="H4996" s="28">
        <f t="shared" si="93"/>
        <v>70.015600000000006</v>
      </c>
      <c r="I4996" s="28">
        <f t="shared" si="94"/>
        <v>73.490399999999994</v>
      </c>
      <c r="J4996" s="28">
        <f t="shared" si="95"/>
        <v>75.990499999999997</v>
      </c>
      <c r="K4996" s="28">
        <f t="shared" si="96"/>
        <v>79.912199999999999</v>
      </c>
      <c r="L4996" s="4"/>
      <c r="M4996" s="241">
        <v>73.490399999999994</v>
      </c>
    </row>
    <row r="4997" spans="3:13" hidden="1" outlineLevel="1" x14ac:dyDescent="0.2">
      <c r="C4997" s="139">
        <v>13.899999999999983</v>
      </c>
      <c r="D4997" s="28">
        <f t="shared" si="89"/>
        <v>111.19999999999986</v>
      </c>
      <c r="E4997" s="28">
        <f t="shared" si="90"/>
        <v>104.24999999999987</v>
      </c>
      <c r="F4997" s="28">
        <f t="shared" si="91"/>
        <v>86.249999999999872</v>
      </c>
      <c r="G4997" s="28">
        <f t="shared" si="92"/>
        <v>63.003300000000003</v>
      </c>
      <c r="H4997" s="28">
        <f t="shared" si="93"/>
        <v>70.948099999999997</v>
      </c>
      <c r="I4997" s="28">
        <f t="shared" si="94"/>
        <v>74.452500000000001</v>
      </c>
      <c r="J4997" s="28">
        <f t="shared" si="95"/>
        <v>76.974400000000003</v>
      </c>
      <c r="K4997" s="28">
        <f t="shared" si="96"/>
        <v>80.931899999999999</v>
      </c>
      <c r="L4997" s="4"/>
      <c r="M4997" s="241">
        <v>74.452500000000001</v>
      </c>
    </row>
    <row r="4998" spans="3:13" hidden="1" outlineLevel="1" x14ac:dyDescent="0.2">
      <c r="C4998" s="139">
        <v>13.999999999999982</v>
      </c>
      <c r="D4998" s="28">
        <f t="shared" si="89"/>
        <v>111.99999999999986</v>
      </c>
      <c r="E4998" s="28">
        <f t="shared" si="90"/>
        <v>104.99999999999987</v>
      </c>
      <c r="F4998" s="28">
        <f t="shared" si="91"/>
        <v>86.999999999999872</v>
      </c>
      <c r="G4998" s="28">
        <f t="shared" si="92"/>
        <v>63.003300000000003</v>
      </c>
      <c r="H4998" s="28">
        <f t="shared" si="93"/>
        <v>70.948099999999997</v>
      </c>
      <c r="I4998" s="28">
        <f t="shared" si="94"/>
        <v>74.452500000000001</v>
      </c>
      <c r="J4998" s="28">
        <f t="shared" si="95"/>
        <v>76.974400000000003</v>
      </c>
      <c r="K4998" s="28">
        <f t="shared" si="96"/>
        <v>80.931899999999999</v>
      </c>
      <c r="L4998" s="4"/>
      <c r="M4998" s="241">
        <v>74.452500000000001</v>
      </c>
    </row>
    <row r="4999" spans="3:13" hidden="1" outlineLevel="1" x14ac:dyDescent="0.2">
      <c r="C4999" s="139">
        <v>14.099999999999982</v>
      </c>
      <c r="D4999" s="28">
        <f t="shared" si="89"/>
        <v>112.79999999999986</v>
      </c>
      <c r="E4999" s="28">
        <f t="shared" si="90"/>
        <v>105.74999999999986</v>
      </c>
      <c r="F4999" s="28">
        <f t="shared" si="91"/>
        <v>87.749999999999858</v>
      </c>
      <c r="G4999" s="28">
        <f t="shared" si="92"/>
        <v>63.872100000000003</v>
      </c>
      <c r="H4999" s="28">
        <f t="shared" si="93"/>
        <v>71.881200000000007</v>
      </c>
      <c r="I4999" s="28">
        <f t="shared" si="94"/>
        <v>75.415099999999995</v>
      </c>
      <c r="J4999" s="28">
        <f t="shared" si="95"/>
        <v>77.9589</v>
      </c>
      <c r="K4999" s="28">
        <f t="shared" si="96"/>
        <v>81.951800000000006</v>
      </c>
      <c r="L4999" s="4"/>
      <c r="M4999" s="241">
        <v>75.415099999999995</v>
      </c>
    </row>
    <row r="5000" spans="3:13" hidden="1" outlineLevel="1" x14ac:dyDescent="0.2">
      <c r="C5000" s="139">
        <v>14.199999999999982</v>
      </c>
      <c r="D5000" s="28">
        <f t="shared" si="89"/>
        <v>113.59999999999985</v>
      </c>
      <c r="E5000" s="28">
        <f t="shared" si="90"/>
        <v>106.49999999999986</v>
      </c>
      <c r="F5000" s="28">
        <f t="shared" si="91"/>
        <v>88.499999999999858</v>
      </c>
      <c r="G5000" s="28">
        <f t="shared" si="92"/>
        <v>64.741699999999994</v>
      </c>
      <c r="H5000" s="28">
        <f t="shared" si="93"/>
        <v>72.814999999999998</v>
      </c>
      <c r="I5000" s="28">
        <f t="shared" si="94"/>
        <v>76.378299999999996</v>
      </c>
      <c r="J5000" s="28">
        <f t="shared" si="95"/>
        <v>78.943799999999996</v>
      </c>
      <c r="K5000" s="28">
        <f t="shared" si="96"/>
        <v>82.972099999999998</v>
      </c>
      <c r="L5000" s="4"/>
      <c r="M5000" s="241">
        <v>76.378299999999996</v>
      </c>
    </row>
    <row r="5001" spans="3:13" hidden="1" outlineLevel="1" x14ac:dyDescent="0.2">
      <c r="C5001" s="139">
        <v>14.299999999999981</v>
      </c>
      <c r="D5001" s="28">
        <f t="shared" si="89"/>
        <v>114.39999999999985</v>
      </c>
      <c r="E5001" s="28">
        <f t="shared" si="90"/>
        <v>107.24999999999986</v>
      </c>
      <c r="F5001" s="28">
        <f t="shared" si="91"/>
        <v>89.249999999999858</v>
      </c>
      <c r="G5001" s="28">
        <f t="shared" si="92"/>
        <v>65.612300000000005</v>
      </c>
      <c r="H5001" s="28">
        <f t="shared" si="93"/>
        <v>73.749300000000005</v>
      </c>
      <c r="I5001" s="28">
        <f t="shared" si="94"/>
        <v>77.341800000000006</v>
      </c>
      <c r="J5001" s="28">
        <f t="shared" si="95"/>
        <v>79.929199999999994</v>
      </c>
      <c r="K5001" s="28">
        <f t="shared" si="96"/>
        <v>83.992699999999999</v>
      </c>
      <c r="L5001" s="4"/>
      <c r="M5001" s="241">
        <v>77.341800000000006</v>
      </c>
    </row>
    <row r="5002" spans="3:13" hidden="1" outlineLevel="1" x14ac:dyDescent="0.2">
      <c r="C5002" s="139">
        <v>14.399999999999981</v>
      </c>
      <c r="D5002" s="28">
        <f t="shared" si="89"/>
        <v>115.19999999999985</v>
      </c>
      <c r="E5002" s="28">
        <f t="shared" si="90"/>
        <v>107.99999999999986</v>
      </c>
      <c r="F5002" s="28">
        <f t="shared" si="91"/>
        <v>89.999999999999858</v>
      </c>
      <c r="G5002" s="28">
        <f t="shared" si="92"/>
        <v>65.612300000000005</v>
      </c>
      <c r="H5002" s="28">
        <f t="shared" si="93"/>
        <v>73.749300000000005</v>
      </c>
      <c r="I5002" s="28">
        <f t="shared" si="94"/>
        <v>77.341800000000006</v>
      </c>
      <c r="J5002" s="28">
        <f t="shared" si="95"/>
        <v>79.929199999999994</v>
      </c>
      <c r="K5002" s="28">
        <f t="shared" si="96"/>
        <v>83.992699999999999</v>
      </c>
      <c r="L5002" s="4"/>
      <c r="M5002" s="241">
        <v>77.341800000000006</v>
      </c>
    </row>
    <row r="5003" spans="3:13" hidden="1" outlineLevel="1" x14ac:dyDescent="0.2">
      <c r="C5003" s="139">
        <v>14.49999999999998</v>
      </c>
      <c r="D5003" s="28">
        <f t="shared" si="89"/>
        <v>115.99999999999984</v>
      </c>
      <c r="E5003" s="28">
        <f t="shared" si="90"/>
        <v>108.74999999999986</v>
      </c>
      <c r="F5003" s="28">
        <f t="shared" si="91"/>
        <v>90.749999999999858</v>
      </c>
      <c r="G5003" s="28">
        <f t="shared" si="92"/>
        <v>66.483599999999996</v>
      </c>
      <c r="H5003" s="28">
        <f t="shared" si="93"/>
        <v>74.684299999999993</v>
      </c>
      <c r="I5003" s="28">
        <f t="shared" si="94"/>
        <v>78.305999999999997</v>
      </c>
      <c r="J5003" s="28">
        <f t="shared" si="95"/>
        <v>80.914900000000003</v>
      </c>
      <c r="K5003" s="28">
        <f t="shared" si="96"/>
        <v>85.0137</v>
      </c>
      <c r="L5003" s="4"/>
      <c r="M5003" s="241">
        <v>78.305999999999997</v>
      </c>
    </row>
    <row r="5004" spans="3:13" hidden="1" outlineLevel="1" x14ac:dyDescent="0.2">
      <c r="C5004" s="139">
        <v>14.59999999999998</v>
      </c>
      <c r="D5004" s="28">
        <f t="shared" si="89"/>
        <v>116.79999999999984</v>
      </c>
      <c r="E5004" s="28">
        <f t="shared" si="90"/>
        <v>109.49999999999986</v>
      </c>
      <c r="F5004" s="28">
        <f t="shared" si="91"/>
        <v>91.499999999999858</v>
      </c>
      <c r="G5004" s="28">
        <f t="shared" si="92"/>
        <v>67.355900000000005</v>
      </c>
      <c r="H5004" s="28">
        <f t="shared" si="93"/>
        <v>75.619900000000001</v>
      </c>
      <c r="I5004" s="28">
        <f t="shared" si="94"/>
        <v>79.270499999999998</v>
      </c>
      <c r="J5004" s="28">
        <f t="shared" si="95"/>
        <v>81.9011</v>
      </c>
      <c r="K5004" s="28">
        <f t="shared" si="96"/>
        <v>86.034999999999997</v>
      </c>
      <c r="L5004" s="4"/>
      <c r="M5004" s="241">
        <v>79.270499999999998</v>
      </c>
    </row>
    <row r="5005" spans="3:13" hidden="1" outlineLevel="1" x14ac:dyDescent="0.2">
      <c r="C5005" s="139">
        <v>14.69999999999998</v>
      </c>
      <c r="D5005" s="28">
        <f t="shared" si="89"/>
        <v>117.59999999999984</v>
      </c>
      <c r="E5005" s="28">
        <f t="shared" si="90"/>
        <v>110.24999999999984</v>
      </c>
      <c r="F5005" s="28">
        <f t="shared" si="91"/>
        <v>92.249999999999844</v>
      </c>
      <c r="G5005" s="28">
        <f t="shared" si="92"/>
        <v>68.228999999999999</v>
      </c>
      <c r="H5005" s="28">
        <f t="shared" si="93"/>
        <v>76.555999999999997</v>
      </c>
      <c r="I5005" s="28">
        <f t="shared" si="94"/>
        <v>80.235600000000005</v>
      </c>
      <c r="J5005" s="28">
        <f t="shared" si="95"/>
        <v>82.887600000000006</v>
      </c>
      <c r="K5005" s="28">
        <f t="shared" si="96"/>
        <v>87.056600000000003</v>
      </c>
      <c r="L5005" s="4"/>
      <c r="M5005" s="241">
        <v>80.235600000000005</v>
      </c>
    </row>
    <row r="5006" spans="3:13" hidden="1" outlineLevel="1" x14ac:dyDescent="0.2">
      <c r="C5006" s="139">
        <v>14.799999999999979</v>
      </c>
      <c r="D5006" s="28">
        <f t="shared" si="89"/>
        <v>118.39999999999984</v>
      </c>
      <c r="E5006" s="28">
        <f t="shared" si="90"/>
        <v>110.99999999999984</v>
      </c>
      <c r="F5006" s="28">
        <f t="shared" si="91"/>
        <v>92.999999999999844</v>
      </c>
      <c r="G5006" s="28">
        <f t="shared" si="92"/>
        <v>68.228999999999999</v>
      </c>
      <c r="H5006" s="28">
        <f t="shared" si="93"/>
        <v>76.555999999999997</v>
      </c>
      <c r="I5006" s="28">
        <f t="shared" si="94"/>
        <v>80.235600000000005</v>
      </c>
      <c r="J5006" s="28">
        <f t="shared" si="95"/>
        <v>82.887600000000006</v>
      </c>
      <c r="K5006" s="28">
        <f t="shared" si="96"/>
        <v>87.056600000000003</v>
      </c>
      <c r="L5006" s="4"/>
      <c r="M5006" s="241">
        <v>80.235600000000005</v>
      </c>
    </row>
    <row r="5007" spans="3:13" hidden="1" outlineLevel="1" x14ac:dyDescent="0.2">
      <c r="C5007" s="139">
        <v>14.899999999999979</v>
      </c>
      <c r="D5007" s="28">
        <f t="shared" si="89"/>
        <v>119.19999999999983</v>
      </c>
      <c r="E5007" s="28">
        <f t="shared" si="90"/>
        <v>111.74999999999984</v>
      </c>
      <c r="F5007" s="28">
        <f t="shared" si="91"/>
        <v>93.749999999999844</v>
      </c>
      <c r="G5007" s="28">
        <f t="shared" si="92"/>
        <v>69.102900000000005</v>
      </c>
      <c r="H5007" s="28">
        <f t="shared" si="93"/>
        <v>77.492699999999999</v>
      </c>
      <c r="I5007" s="28">
        <f t="shared" si="94"/>
        <v>81.201099999999997</v>
      </c>
      <c r="J5007" s="28">
        <f t="shared" si="95"/>
        <v>83.874600000000001</v>
      </c>
      <c r="K5007" s="28">
        <f t="shared" si="96"/>
        <v>88.078599999999994</v>
      </c>
      <c r="L5007" s="4"/>
      <c r="M5007" s="241">
        <v>81.201099999999997</v>
      </c>
    </row>
    <row r="5008" spans="3:13" hidden="1" outlineLevel="1" x14ac:dyDescent="0.2">
      <c r="C5008" s="139">
        <v>14.999999999999979</v>
      </c>
      <c r="D5008" s="28">
        <f t="shared" si="89"/>
        <v>119.99999999999983</v>
      </c>
      <c r="E5008" s="28">
        <f t="shared" si="90"/>
        <v>112.49999999999984</v>
      </c>
      <c r="F5008" s="28">
        <f t="shared" si="91"/>
        <v>94.499999999999844</v>
      </c>
      <c r="G5008" s="28">
        <f t="shared" si="92"/>
        <v>69.977599999999995</v>
      </c>
      <c r="H5008" s="28">
        <f t="shared" si="93"/>
        <v>78.4298</v>
      </c>
      <c r="I5008" s="28">
        <f t="shared" si="94"/>
        <v>82.167000000000002</v>
      </c>
      <c r="J5008" s="28">
        <f t="shared" si="95"/>
        <v>84.861999999999995</v>
      </c>
      <c r="K5008" s="28">
        <f t="shared" si="96"/>
        <v>89.100800000000007</v>
      </c>
      <c r="L5008" s="4"/>
      <c r="M5008" s="241">
        <v>82.167000000000002</v>
      </c>
    </row>
    <row r="5009" spans="3:13" hidden="1" outlineLevel="1" x14ac:dyDescent="0.2">
      <c r="C5009" s="139">
        <v>15.099999999999978</v>
      </c>
      <c r="D5009" s="28">
        <f t="shared" si="89"/>
        <v>120.79999999999983</v>
      </c>
      <c r="E5009" s="28">
        <f t="shared" si="90"/>
        <v>113.24999999999984</v>
      </c>
      <c r="F5009" s="28">
        <f t="shared" si="91"/>
        <v>95.249999999999844</v>
      </c>
      <c r="G5009" s="28">
        <f t="shared" si="92"/>
        <v>70.853099999999998</v>
      </c>
      <c r="H5009" s="28">
        <f t="shared" si="93"/>
        <v>79.367599999999996</v>
      </c>
      <c r="I5009" s="28">
        <f t="shared" si="94"/>
        <v>83.133499999999998</v>
      </c>
      <c r="J5009" s="28">
        <f t="shared" si="95"/>
        <v>85.849599999999995</v>
      </c>
      <c r="K5009" s="28">
        <f t="shared" si="96"/>
        <v>90.1233</v>
      </c>
      <c r="L5009" s="4"/>
      <c r="M5009" s="241">
        <v>83.133499999999998</v>
      </c>
    </row>
    <row r="5010" spans="3:13" hidden="1" outlineLevel="1" x14ac:dyDescent="0.2">
      <c r="C5010" s="139">
        <v>15.199999999999978</v>
      </c>
      <c r="D5010" s="28">
        <f t="shared" si="89"/>
        <v>121.59999999999982</v>
      </c>
      <c r="E5010" s="28">
        <f t="shared" si="90"/>
        <v>113.99999999999983</v>
      </c>
      <c r="F5010" s="28">
        <f t="shared" si="91"/>
        <v>95.999999999999829</v>
      </c>
      <c r="G5010" s="28">
        <f t="shared" si="92"/>
        <v>70.853099999999998</v>
      </c>
      <c r="H5010" s="28">
        <f t="shared" si="93"/>
        <v>79.367599999999996</v>
      </c>
      <c r="I5010" s="28">
        <f t="shared" si="94"/>
        <v>83.133499999999998</v>
      </c>
      <c r="J5010" s="28">
        <f t="shared" si="95"/>
        <v>85.849599999999995</v>
      </c>
      <c r="K5010" s="28">
        <f t="shared" si="96"/>
        <v>90.1233</v>
      </c>
      <c r="L5010" s="4"/>
      <c r="M5010" s="241">
        <v>83.133499999999998</v>
      </c>
    </row>
    <row r="5011" spans="3:13" hidden="1" outlineLevel="1" x14ac:dyDescent="0.2">
      <c r="C5011" s="139">
        <v>15.299999999999978</v>
      </c>
      <c r="D5011" s="28">
        <f t="shared" si="89"/>
        <v>122.39999999999982</v>
      </c>
      <c r="E5011" s="28">
        <f t="shared" si="90"/>
        <v>114.74999999999983</v>
      </c>
      <c r="F5011" s="28">
        <f t="shared" si="91"/>
        <v>96.749999999999829</v>
      </c>
      <c r="G5011" s="28">
        <f t="shared" si="92"/>
        <v>71.729399999999998</v>
      </c>
      <c r="H5011" s="28">
        <f t="shared" si="93"/>
        <v>80.305899999999994</v>
      </c>
      <c r="I5011" s="28">
        <f t="shared" si="94"/>
        <v>84.100300000000004</v>
      </c>
      <c r="J5011" s="28">
        <f t="shared" si="95"/>
        <v>86.837800000000001</v>
      </c>
      <c r="K5011" s="28">
        <f t="shared" si="96"/>
        <v>91.146100000000004</v>
      </c>
      <c r="L5011" s="4"/>
      <c r="M5011" s="241">
        <v>84.100300000000004</v>
      </c>
    </row>
    <row r="5012" spans="3:13" hidden="1" outlineLevel="1" x14ac:dyDescent="0.2">
      <c r="C5012" s="139">
        <v>15.399999999999977</v>
      </c>
      <c r="D5012" s="28">
        <f t="shared" si="89"/>
        <v>123.19999999999982</v>
      </c>
      <c r="E5012" s="28">
        <f t="shared" si="90"/>
        <v>115.49999999999983</v>
      </c>
      <c r="F5012" s="28">
        <f t="shared" si="91"/>
        <v>97.499999999999829</v>
      </c>
      <c r="G5012" s="28">
        <f t="shared" si="92"/>
        <v>72.606399999999994</v>
      </c>
      <c r="H5012" s="28">
        <f t="shared" si="93"/>
        <v>81.244699999999995</v>
      </c>
      <c r="I5012" s="28">
        <f t="shared" si="94"/>
        <v>85.067599999999999</v>
      </c>
      <c r="J5012" s="28">
        <f t="shared" si="95"/>
        <v>87.8262</v>
      </c>
      <c r="K5012" s="28">
        <f t="shared" si="96"/>
        <v>92.169200000000004</v>
      </c>
      <c r="L5012" s="4"/>
      <c r="M5012" s="241">
        <v>85.067599999999999</v>
      </c>
    </row>
    <row r="5013" spans="3:13" hidden="1" outlineLevel="1" x14ac:dyDescent="0.2">
      <c r="C5013" s="139">
        <v>15.499999999999977</v>
      </c>
      <c r="D5013" s="28">
        <f t="shared" si="89"/>
        <v>123.99999999999982</v>
      </c>
      <c r="E5013" s="28">
        <f t="shared" si="90"/>
        <v>116.24999999999983</v>
      </c>
      <c r="F5013" s="28">
        <f t="shared" si="91"/>
        <v>98.249999999999829</v>
      </c>
      <c r="G5013" s="28">
        <f t="shared" si="92"/>
        <v>73.484200000000001</v>
      </c>
      <c r="H5013" s="28">
        <f t="shared" si="93"/>
        <v>82.183999999999997</v>
      </c>
      <c r="I5013" s="28">
        <f t="shared" si="94"/>
        <v>86.035300000000007</v>
      </c>
      <c r="J5013" s="28">
        <f t="shared" si="95"/>
        <v>88.815200000000004</v>
      </c>
      <c r="K5013" s="28">
        <f t="shared" si="96"/>
        <v>93.192700000000002</v>
      </c>
      <c r="L5013" s="4"/>
      <c r="M5013" s="241">
        <v>86.035300000000007</v>
      </c>
    </row>
    <row r="5014" spans="3:13" hidden="1" outlineLevel="1" x14ac:dyDescent="0.2">
      <c r="C5014" s="139">
        <v>15.599999999999977</v>
      </c>
      <c r="D5014" s="28">
        <f t="shared" si="89"/>
        <v>124.79999999999981</v>
      </c>
      <c r="E5014" s="28">
        <f t="shared" si="90"/>
        <v>116.99999999999983</v>
      </c>
      <c r="F5014" s="28">
        <f t="shared" si="91"/>
        <v>98.999999999999829</v>
      </c>
      <c r="G5014" s="28">
        <f t="shared" si="92"/>
        <v>73.484200000000001</v>
      </c>
      <c r="H5014" s="28">
        <f t="shared" si="93"/>
        <v>82.183999999999997</v>
      </c>
      <c r="I5014" s="28">
        <f t="shared" si="94"/>
        <v>86.035300000000007</v>
      </c>
      <c r="J5014" s="28">
        <f t="shared" si="95"/>
        <v>88.815200000000004</v>
      </c>
      <c r="K5014" s="28">
        <f t="shared" si="96"/>
        <v>93.192700000000002</v>
      </c>
      <c r="L5014" s="4"/>
      <c r="M5014" s="241">
        <v>86.035300000000007</v>
      </c>
    </row>
    <row r="5015" spans="3:13" hidden="1" outlineLevel="1" x14ac:dyDescent="0.2">
      <c r="C5015" s="139">
        <v>15.699999999999976</v>
      </c>
      <c r="D5015" s="28">
        <f t="shared" si="89"/>
        <v>125.59999999999981</v>
      </c>
      <c r="E5015" s="28">
        <f t="shared" si="90"/>
        <v>117.74999999999982</v>
      </c>
      <c r="F5015" s="28">
        <f t="shared" si="91"/>
        <v>99.749999999999815</v>
      </c>
      <c r="G5015" s="28">
        <f t="shared" si="92"/>
        <v>74.362700000000004</v>
      </c>
      <c r="H5015" s="28">
        <f t="shared" si="93"/>
        <v>83.123800000000003</v>
      </c>
      <c r="I5015" s="28">
        <f t="shared" si="94"/>
        <v>87.003500000000003</v>
      </c>
      <c r="J5015" s="28">
        <f t="shared" si="95"/>
        <v>89.804400000000001</v>
      </c>
      <c r="K5015" s="28">
        <f t="shared" si="96"/>
        <v>94.216300000000004</v>
      </c>
      <c r="L5015" s="4"/>
      <c r="M5015" s="241">
        <v>87.003500000000003</v>
      </c>
    </row>
    <row r="5016" spans="3:13" hidden="1" outlineLevel="1" x14ac:dyDescent="0.2">
      <c r="C5016" s="139">
        <v>15.799999999999976</v>
      </c>
      <c r="D5016" s="28">
        <f t="shared" si="89"/>
        <v>126.39999999999981</v>
      </c>
      <c r="E5016" s="28">
        <f t="shared" si="90"/>
        <v>118.49999999999982</v>
      </c>
      <c r="F5016" s="28">
        <f t="shared" si="91"/>
        <v>100.49999999999982</v>
      </c>
      <c r="G5016" s="28">
        <f t="shared" si="92"/>
        <v>75.242000000000004</v>
      </c>
      <c r="H5016" s="28">
        <f t="shared" si="93"/>
        <v>84.064099999999996</v>
      </c>
      <c r="I5016" s="28">
        <f t="shared" si="94"/>
        <v>0</v>
      </c>
      <c r="J5016" s="28">
        <f t="shared" si="95"/>
        <v>90.793899999999994</v>
      </c>
      <c r="K5016" s="28">
        <f t="shared" si="96"/>
        <v>95.240300000000005</v>
      </c>
      <c r="L5016" s="4"/>
      <c r="M5016" s="241">
        <v>0</v>
      </c>
    </row>
    <row r="5017" spans="3:13" hidden="1" outlineLevel="1" x14ac:dyDescent="0.2">
      <c r="C5017" s="139">
        <v>15.899999999999975</v>
      </c>
      <c r="D5017" s="28">
        <f t="shared" si="89"/>
        <v>127.1999999999998</v>
      </c>
      <c r="E5017" s="28">
        <f t="shared" si="90"/>
        <v>119.24999999999982</v>
      </c>
      <c r="F5017" s="28">
        <f t="shared" si="91"/>
        <v>101.24999999999982</v>
      </c>
      <c r="G5017" s="28">
        <f t="shared" si="92"/>
        <v>76.121899999999997</v>
      </c>
      <c r="H5017" s="28">
        <f t="shared" si="93"/>
        <v>85.004999999999995</v>
      </c>
      <c r="I5017" s="28">
        <f t="shared" si="94"/>
        <v>88.940899999999999</v>
      </c>
      <c r="J5017" s="28">
        <f t="shared" si="95"/>
        <v>91.783900000000003</v>
      </c>
      <c r="K5017" s="28">
        <f t="shared" si="96"/>
        <v>96.264600000000002</v>
      </c>
      <c r="L5017" s="4"/>
      <c r="M5017" s="241">
        <v>88.940899999999999</v>
      </c>
    </row>
    <row r="5018" spans="3:13" hidden="1" outlineLevel="1" x14ac:dyDescent="0.2">
      <c r="C5018" s="139">
        <v>15.999999999999975</v>
      </c>
      <c r="D5018" s="28">
        <f t="shared" si="89"/>
        <v>127.9999999999998</v>
      </c>
      <c r="E5018" s="28">
        <f t="shared" si="90"/>
        <v>119.99999999999982</v>
      </c>
      <c r="F5018" s="28">
        <f t="shared" si="91"/>
        <v>101.99999999999982</v>
      </c>
      <c r="G5018" s="28">
        <f t="shared" si="92"/>
        <v>76.121899999999997</v>
      </c>
      <c r="H5018" s="28">
        <f t="shared" si="93"/>
        <v>85.004999999999995</v>
      </c>
      <c r="I5018" s="28">
        <f t="shared" si="94"/>
        <v>88.940899999999999</v>
      </c>
      <c r="J5018" s="28">
        <f t="shared" si="95"/>
        <v>91.783900000000003</v>
      </c>
      <c r="K5018" s="28">
        <f t="shared" si="96"/>
        <v>96.264600000000002</v>
      </c>
      <c r="L5018" s="4"/>
      <c r="M5018" s="241">
        <v>88.940899999999999</v>
      </c>
    </row>
    <row r="5019" spans="3:13" hidden="1" outlineLevel="1" x14ac:dyDescent="0.2">
      <c r="C5019" s="139">
        <v>16.099999999999977</v>
      </c>
      <c r="D5019" s="28">
        <f t="shared" si="89"/>
        <v>128.79999999999981</v>
      </c>
      <c r="E5019" s="28">
        <f t="shared" si="90"/>
        <v>120.74999999999983</v>
      </c>
      <c r="F5019" s="28">
        <f t="shared" si="91"/>
        <v>102.74999999999983</v>
      </c>
      <c r="G5019" s="28">
        <f t="shared" si="92"/>
        <v>77.002700000000004</v>
      </c>
      <c r="H5019" s="28">
        <f t="shared" si="93"/>
        <v>85.946299999999994</v>
      </c>
      <c r="I5019" s="28">
        <f t="shared" si="94"/>
        <v>89.910200000000003</v>
      </c>
      <c r="J5019" s="28">
        <f t="shared" si="95"/>
        <v>92.774000000000001</v>
      </c>
      <c r="K5019" s="28">
        <f t="shared" si="96"/>
        <v>97.289100000000005</v>
      </c>
      <c r="L5019" s="4"/>
      <c r="M5019" s="241">
        <v>89.910200000000003</v>
      </c>
    </row>
    <row r="5020" spans="3:13" hidden="1" outlineLevel="1" x14ac:dyDescent="0.2">
      <c r="C5020" s="139">
        <v>16.199999999999978</v>
      </c>
      <c r="D5020" s="28">
        <f t="shared" si="89"/>
        <v>129.59999999999982</v>
      </c>
      <c r="E5020" s="28">
        <f t="shared" si="90"/>
        <v>121.49999999999983</v>
      </c>
      <c r="F5020" s="28">
        <f t="shared" si="91"/>
        <v>103.49999999999983</v>
      </c>
      <c r="G5020" s="28">
        <f t="shared" si="92"/>
        <v>77.884</v>
      </c>
      <c r="H5020" s="28">
        <f t="shared" si="93"/>
        <v>86.888000000000005</v>
      </c>
      <c r="I5020" s="28">
        <f t="shared" si="94"/>
        <v>90.879900000000006</v>
      </c>
      <c r="J5020" s="28">
        <f t="shared" si="95"/>
        <v>93.764700000000005</v>
      </c>
      <c r="K5020" s="28">
        <f t="shared" si="96"/>
        <v>98.313800000000001</v>
      </c>
      <c r="L5020" s="4"/>
      <c r="M5020" s="241">
        <v>90.879900000000006</v>
      </c>
    </row>
    <row r="5021" spans="3:13" hidden="1" outlineLevel="1" x14ac:dyDescent="0.2">
      <c r="C5021" s="139">
        <v>16.299999999999979</v>
      </c>
      <c r="D5021" s="28">
        <f t="shared" si="89"/>
        <v>130.39999999999984</v>
      </c>
      <c r="E5021" s="28">
        <f t="shared" si="90"/>
        <v>122.24999999999984</v>
      </c>
      <c r="F5021" s="28">
        <f t="shared" si="91"/>
        <v>104.24999999999984</v>
      </c>
      <c r="G5021" s="28">
        <f t="shared" si="92"/>
        <v>78.766000000000005</v>
      </c>
      <c r="H5021" s="28">
        <f t="shared" si="93"/>
        <v>87.830200000000005</v>
      </c>
      <c r="I5021" s="28">
        <f t="shared" si="94"/>
        <v>91.850099999999998</v>
      </c>
      <c r="J5021" s="28">
        <f t="shared" si="95"/>
        <v>94.755499999999998</v>
      </c>
      <c r="K5021" s="28">
        <f t="shared" si="96"/>
        <v>99.338899999999995</v>
      </c>
      <c r="L5021" s="4"/>
      <c r="M5021" s="241">
        <v>91.850099999999998</v>
      </c>
    </row>
    <row r="5022" spans="3:13" hidden="1" outlineLevel="1" x14ac:dyDescent="0.2">
      <c r="C5022" s="139">
        <v>16.399999999999981</v>
      </c>
      <c r="D5022" s="28">
        <f t="shared" si="89"/>
        <v>131.19999999999985</v>
      </c>
      <c r="E5022" s="28">
        <f t="shared" si="90"/>
        <v>122.99999999999986</v>
      </c>
      <c r="F5022" s="28">
        <f t="shared" si="91"/>
        <v>104.99999999999986</v>
      </c>
      <c r="G5022" s="28">
        <f t="shared" si="92"/>
        <v>78.766000000000005</v>
      </c>
      <c r="H5022" s="28">
        <f t="shared" si="93"/>
        <v>87.830200000000005</v>
      </c>
      <c r="I5022" s="28">
        <f t="shared" si="94"/>
        <v>91.850099999999998</v>
      </c>
      <c r="J5022" s="28">
        <f t="shared" si="95"/>
        <v>94.755499999999998</v>
      </c>
      <c r="K5022" s="28">
        <f t="shared" si="96"/>
        <v>99.338899999999995</v>
      </c>
      <c r="L5022" s="4"/>
      <c r="M5022" s="241">
        <v>91.850099999999998</v>
      </c>
    </row>
    <row r="5023" spans="3:13" hidden="1" outlineLevel="1" x14ac:dyDescent="0.2">
      <c r="C5023" s="139">
        <v>16.499999999999982</v>
      </c>
      <c r="D5023" s="28">
        <f t="shared" si="89"/>
        <v>131.99999999999986</v>
      </c>
      <c r="E5023" s="28">
        <f t="shared" si="90"/>
        <v>123.74999999999987</v>
      </c>
      <c r="F5023" s="28">
        <f t="shared" si="91"/>
        <v>105.74999999999987</v>
      </c>
      <c r="G5023" s="28">
        <f t="shared" si="92"/>
        <v>79.648799999999994</v>
      </c>
      <c r="H5023" s="28">
        <f t="shared" si="93"/>
        <v>88.772900000000007</v>
      </c>
      <c r="I5023" s="28">
        <f t="shared" si="94"/>
        <v>92.820599999999999</v>
      </c>
      <c r="J5023" s="28">
        <f t="shared" si="95"/>
        <v>95.746799999999993</v>
      </c>
      <c r="K5023" s="28">
        <f t="shared" si="96"/>
        <v>100.3642</v>
      </c>
      <c r="L5023" s="4"/>
      <c r="M5023" s="241">
        <v>92.820599999999999</v>
      </c>
    </row>
    <row r="5024" spans="3:13" hidden="1" outlineLevel="1" x14ac:dyDescent="0.2">
      <c r="C5024" s="139">
        <v>16.599999999999984</v>
      </c>
      <c r="D5024" s="28">
        <f t="shared" si="89"/>
        <v>132.79999999999987</v>
      </c>
      <c r="E5024" s="28">
        <f t="shared" si="90"/>
        <v>124.49999999999987</v>
      </c>
      <c r="F5024" s="28">
        <f t="shared" si="91"/>
        <v>106.49999999999987</v>
      </c>
      <c r="G5024" s="28">
        <f t="shared" si="92"/>
        <v>80.532200000000003</v>
      </c>
      <c r="H5024" s="28">
        <f t="shared" si="93"/>
        <v>89.715999999999994</v>
      </c>
      <c r="I5024" s="28">
        <f t="shared" si="94"/>
        <v>93.791300000000007</v>
      </c>
      <c r="J5024" s="28">
        <f t="shared" si="95"/>
        <v>96.738299999999995</v>
      </c>
      <c r="K5024" s="28">
        <f t="shared" si="96"/>
        <v>101.3896</v>
      </c>
      <c r="L5024" s="4"/>
      <c r="M5024" s="241">
        <v>93.791300000000007</v>
      </c>
    </row>
    <row r="5025" spans="3:13" hidden="1" outlineLevel="1" x14ac:dyDescent="0.2">
      <c r="C5025" s="139">
        <v>16.699999999999985</v>
      </c>
      <c r="D5025" s="28">
        <f t="shared" si="89"/>
        <v>133.59999999999988</v>
      </c>
      <c r="E5025" s="28">
        <f t="shared" si="90"/>
        <v>125.24999999999989</v>
      </c>
      <c r="F5025" s="28">
        <f t="shared" si="91"/>
        <v>107.24999999999989</v>
      </c>
      <c r="G5025" s="28">
        <f t="shared" si="92"/>
        <v>81.416300000000007</v>
      </c>
      <c r="H5025" s="28">
        <f t="shared" si="93"/>
        <v>90.659700000000001</v>
      </c>
      <c r="I5025" s="28">
        <f t="shared" si="94"/>
        <v>94.762500000000003</v>
      </c>
      <c r="J5025" s="28">
        <f t="shared" si="95"/>
        <v>97.730099999999993</v>
      </c>
      <c r="K5025" s="28">
        <f t="shared" si="96"/>
        <v>102.41549999999999</v>
      </c>
      <c r="L5025" s="4"/>
      <c r="M5025" s="241">
        <v>94.762500000000003</v>
      </c>
    </row>
    <row r="5026" spans="3:13" hidden="1" outlineLevel="1" x14ac:dyDescent="0.2">
      <c r="C5026" s="139">
        <v>16.799999999999986</v>
      </c>
      <c r="D5026" s="28">
        <f t="shared" si="89"/>
        <v>134.39999999999989</v>
      </c>
      <c r="E5026" s="28">
        <f t="shared" si="90"/>
        <v>125.9999999999999</v>
      </c>
      <c r="F5026" s="28">
        <f t="shared" si="91"/>
        <v>107.9999999999999</v>
      </c>
      <c r="G5026" s="28">
        <f t="shared" si="92"/>
        <v>81.416300000000007</v>
      </c>
      <c r="H5026" s="28">
        <f t="shared" si="93"/>
        <v>90.659700000000001</v>
      </c>
      <c r="I5026" s="28">
        <f t="shared" si="94"/>
        <v>94.762500000000003</v>
      </c>
      <c r="J5026" s="28">
        <f t="shared" si="95"/>
        <v>97.730099999999993</v>
      </c>
      <c r="K5026" s="28">
        <f t="shared" si="96"/>
        <v>102.41549999999999</v>
      </c>
      <c r="L5026" s="4"/>
      <c r="M5026" s="241">
        <v>94.762500000000003</v>
      </c>
    </row>
    <row r="5027" spans="3:13" hidden="1" outlineLevel="1" x14ac:dyDescent="0.2">
      <c r="C5027" s="139">
        <v>16.899999999999988</v>
      </c>
      <c r="D5027" s="28">
        <f t="shared" si="89"/>
        <v>135.1999999999999</v>
      </c>
      <c r="E5027" s="28">
        <f t="shared" si="90"/>
        <v>126.74999999999991</v>
      </c>
      <c r="F5027" s="28">
        <f t="shared" si="91"/>
        <v>108.74999999999991</v>
      </c>
      <c r="G5027" s="28">
        <f t="shared" si="92"/>
        <v>82.301000000000002</v>
      </c>
      <c r="H5027" s="28">
        <f t="shared" si="93"/>
        <v>91.6036</v>
      </c>
      <c r="I5027" s="28">
        <f t="shared" si="94"/>
        <v>95.734200000000001</v>
      </c>
      <c r="J5027" s="28">
        <f t="shared" si="95"/>
        <v>98.722399999999993</v>
      </c>
      <c r="K5027" s="28">
        <f t="shared" si="96"/>
        <v>103.4415</v>
      </c>
      <c r="L5027" s="4"/>
      <c r="M5027" s="241">
        <v>95.734200000000001</v>
      </c>
    </row>
    <row r="5028" spans="3:13" hidden="1" outlineLevel="1" x14ac:dyDescent="0.2">
      <c r="C5028" s="139">
        <v>16.999999999999989</v>
      </c>
      <c r="D5028" s="28">
        <f t="shared" si="89"/>
        <v>135.99999999999991</v>
      </c>
      <c r="E5028" s="28">
        <f t="shared" si="90"/>
        <v>127.49999999999991</v>
      </c>
      <c r="F5028" s="28">
        <f t="shared" si="91"/>
        <v>109.49999999999991</v>
      </c>
      <c r="G5028" s="28">
        <f t="shared" si="92"/>
        <v>83.186300000000003</v>
      </c>
      <c r="H5028" s="28">
        <f t="shared" si="93"/>
        <v>92.548100000000005</v>
      </c>
      <c r="I5028" s="28">
        <f t="shared" si="94"/>
        <v>96.706100000000006</v>
      </c>
      <c r="J5028" s="28">
        <f t="shared" si="95"/>
        <v>99.714799999999997</v>
      </c>
      <c r="K5028" s="28">
        <f t="shared" si="96"/>
        <v>104.46769999999999</v>
      </c>
      <c r="L5028" s="4"/>
      <c r="M5028" s="241">
        <v>96.706100000000006</v>
      </c>
    </row>
    <row r="5029" spans="3:13" hidden="1" outlineLevel="1" x14ac:dyDescent="0.2">
      <c r="C5029" s="139">
        <v>17.099999999999991</v>
      </c>
      <c r="D5029" s="28">
        <f t="shared" si="89"/>
        <v>136.79999999999993</v>
      </c>
      <c r="E5029" s="28">
        <f t="shared" si="90"/>
        <v>128.24999999999994</v>
      </c>
      <c r="F5029" s="28">
        <f t="shared" si="91"/>
        <v>110.24999999999994</v>
      </c>
      <c r="G5029" s="28">
        <f t="shared" si="92"/>
        <v>84.072299999999998</v>
      </c>
      <c r="H5029" s="28">
        <f t="shared" si="93"/>
        <v>93.492999999999995</v>
      </c>
      <c r="I5029" s="28">
        <f t="shared" si="94"/>
        <v>97.678299999999993</v>
      </c>
      <c r="J5029" s="28">
        <f t="shared" si="95"/>
        <v>100.7077</v>
      </c>
      <c r="K5029" s="28">
        <f t="shared" si="96"/>
        <v>105.4941</v>
      </c>
      <c r="L5029" s="4"/>
      <c r="M5029" s="241">
        <v>97.678299999999993</v>
      </c>
    </row>
    <row r="5030" spans="3:13" hidden="1" outlineLevel="1" x14ac:dyDescent="0.2">
      <c r="C5030" s="139">
        <v>17.199999999999992</v>
      </c>
      <c r="D5030" s="28">
        <f t="shared" si="89"/>
        <v>137.59999999999994</v>
      </c>
      <c r="E5030" s="28">
        <f t="shared" si="90"/>
        <v>128.99999999999994</v>
      </c>
      <c r="F5030" s="28">
        <f t="shared" si="91"/>
        <v>110.99999999999994</v>
      </c>
      <c r="G5030" s="28">
        <f t="shared" si="92"/>
        <v>84.072299999999998</v>
      </c>
      <c r="H5030" s="28">
        <f t="shared" si="93"/>
        <v>93.492999999999995</v>
      </c>
      <c r="I5030" s="28">
        <f t="shared" si="94"/>
        <v>97.678299999999993</v>
      </c>
      <c r="J5030" s="28">
        <f t="shared" si="95"/>
        <v>100.7077</v>
      </c>
      <c r="K5030" s="28">
        <f t="shared" si="96"/>
        <v>105.4941</v>
      </c>
      <c r="L5030" s="4"/>
      <c r="M5030" s="241">
        <v>97.678299999999993</v>
      </c>
    </row>
    <row r="5031" spans="3:13" hidden="1" outlineLevel="1" x14ac:dyDescent="0.2">
      <c r="C5031" s="139">
        <v>17.299999999999994</v>
      </c>
      <c r="D5031" s="28">
        <f t="shared" si="89"/>
        <v>138.39999999999995</v>
      </c>
      <c r="E5031" s="28">
        <f t="shared" si="90"/>
        <v>129.74999999999994</v>
      </c>
      <c r="F5031" s="28">
        <f t="shared" si="91"/>
        <v>111.74999999999994</v>
      </c>
      <c r="G5031" s="28">
        <f t="shared" si="92"/>
        <v>84.958799999999997</v>
      </c>
      <c r="H5031" s="28">
        <f t="shared" si="93"/>
        <v>94.438199999999995</v>
      </c>
      <c r="I5031" s="28">
        <f t="shared" si="94"/>
        <v>98.650899999999993</v>
      </c>
      <c r="J5031" s="28">
        <f t="shared" si="95"/>
        <v>101.7007</v>
      </c>
      <c r="K5031" s="28">
        <f t="shared" si="96"/>
        <v>106.52079999999999</v>
      </c>
      <c r="L5031" s="4"/>
      <c r="M5031" s="241">
        <v>98.650899999999993</v>
      </c>
    </row>
    <row r="5032" spans="3:13" hidden="1" outlineLevel="1" x14ac:dyDescent="0.2">
      <c r="C5032" s="139">
        <v>17.399999999999995</v>
      </c>
      <c r="D5032" s="28">
        <f t="shared" si="89"/>
        <v>139.19999999999996</v>
      </c>
      <c r="E5032" s="28">
        <f t="shared" si="90"/>
        <v>130.49999999999997</v>
      </c>
      <c r="F5032" s="28">
        <f t="shared" si="91"/>
        <v>112.49999999999997</v>
      </c>
      <c r="G5032" s="28">
        <f t="shared" si="92"/>
        <v>85.846100000000007</v>
      </c>
      <c r="H5032" s="28">
        <f t="shared" si="93"/>
        <v>95.383899999999997</v>
      </c>
      <c r="I5032" s="28">
        <f t="shared" si="94"/>
        <v>99.623900000000006</v>
      </c>
      <c r="J5032" s="28">
        <f t="shared" si="95"/>
        <v>102.694</v>
      </c>
      <c r="K5032" s="28">
        <f t="shared" si="96"/>
        <v>107.5478</v>
      </c>
      <c r="L5032" s="4"/>
      <c r="M5032" s="241">
        <v>99.623900000000006</v>
      </c>
    </row>
    <row r="5033" spans="3:13" hidden="1" outlineLevel="1" x14ac:dyDescent="0.2">
      <c r="C5033" s="139">
        <v>17.499999999999996</v>
      </c>
      <c r="D5033" s="28">
        <f t="shared" si="89"/>
        <v>139.99999999999997</v>
      </c>
      <c r="E5033" s="28">
        <f t="shared" si="90"/>
        <v>131.24999999999997</v>
      </c>
      <c r="F5033" s="28">
        <f t="shared" si="91"/>
        <v>113.24999999999997</v>
      </c>
      <c r="G5033" s="28">
        <f t="shared" si="92"/>
        <v>86.733800000000002</v>
      </c>
      <c r="H5033" s="28">
        <f t="shared" si="93"/>
        <v>96.330100000000002</v>
      </c>
      <c r="I5033" s="28">
        <f t="shared" si="94"/>
        <v>100.59699999999999</v>
      </c>
      <c r="J5033" s="28">
        <f t="shared" si="95"/>
        <v>103.68770000000001</v>
      </c>
      <c r="K5033" s="28">
        <f t="shared" si="96"/>
        <v>108.5748</v>
      </c>
      <c r="L5033" s="4"/>
      <c r="M5033" s="241">
        <v>100.59699999999999</v>
      </c>
    </row>
    <row r="5034" spans="3:13" hidden="1" outlineLevel="1" x14ac:dyDescent="0.2">
      <c r="C5034" s="139">
        <v>17.599999999999998</v>
      </c>
      <c r="D5034" s="28">
        <f t="shared" si="89"/>
        <v>140.79999999999998</v>
      </c>
      <c r="E5034" s="28">
        <f t="shared" si="90"/>
        <v>131.99999999999997</v>
      </c>
      <c r="F5034" s="28">
        <f t="shared" si="91"/>
        <v>113.99999999999997</v>
      </c>
      <c r="G5034" s="28">
        <f t="shared" si="92"/>
        <v>86.733800000000002</v>
      </c>
      <c r="H5034" s="28">
        <f t="shared" si="93"/>
        <v>96.330100000000002</v>
      </c>
      <c r="I5034" s="28">
        <f t="shared" si="94"/>
        <v>100.59699999999999</v>
      </c>
      <c r="J5034" s="28">
        <f t="shared" si="95"/>
        <v>103.68770000000001</v>
      </c>
      <c r="K5034" s="28">
        <f t="shared" si="96"/>
        <v>108.5748</v>
      </c>
      <c r="L5034" s="4"/>
      <c r="M5034" s="241">
        <v>100.59699999999999</v>
      </c>
    </row>
    <row r="5035" spans="3:13" hidden="1" outlineLevel="1" x14ac:dyDescent="0.2">
      <c r="C5035" s="139">
        <v>17.7</v>
      </c>
      <c r="D5035" s="28">
        <f t="shared" si="89"/>
        <v>141.6</v>
      </c>
      <c r="E5035" s="28">
        <f t="shared" si="90"/>
        <v>132.75</v>
      </c>
      <c r="F5035" s="28">
        <f t="shared" si="91"/>
        <v>114.75</v>
      </c>
      <c r="G5035" s="28">
        <f t="shared" si="92"/>
        <v>87.622200000000007</v>
      </c>
      <c r="H5035" s="28">
        <f t="shared" si="93"/>
        <v>97.276499999999999</v>
      </c>
      <c r="I5035" s="28">
        <f t="shared" si="94"/>
        <v>101.5707</v>
      </c>
      <c r="J5035" s="28">
        <f t="shared" si="95"/>
        <v>104.6816</v>
      </c>
      <c r="K5035" s="28">
        <f t="shared" si="96"/>
        <v>109.6022</v>
      </c>
      <c r="L5035" s="4"/>
      <c r="M5035" s="241">
        <v>101.5707</v>
      </c>
    </row>
    <row r="5036" spans="3:13" hidden="1" outlineLevel="1" x14ac:dyDescent="0.2">
      <c r="C5036" s="139">
        <v>17.8</v>
      </c>
      <c r="D5036" s="28">
        <f t="shared" si="89"/>
        <v>142.4</v>
      </c>
      <c r="E5036" s="28">
        <f t="shared" si="90"/>
        <v>133.5</v>
      </c>
      <c r="F5036" s="28">
        <f t="shared" si="91"/>
        <v>115.5</v>
      </c>
      <c r="G5036" s="28">
        <f t="shared" si="92"/>
        <v>88.511099999999999</v>
      </c>
      <c r="H5036" s="28">
        <f t="shared" si="93"/>
        <v>98.223500000000001</v>
      </c>
      <c r="I5036" s="28">
        <f t="shared" si="94"/>
        <v>102.5446</v>
      </c>
      <c r="J5036" s="28">
        <f t="shared" si="95"/>
        <v>105.67570000000001</v>
      </c>
      <c r="K5036" s="28">
        <f t="shared" si="96"/>
        <v>110.6297</v>
      </c>
      <c r="L5036" s="4"/>
      <c r="M5036" s="241">
        <v>102.5446</v>
      </c>
    </row>
    <row r="5037" spans="3:13" hidden="1" outlineLevel="1" x14ac:dyDescent="0.2">
      <c r="C5037" s="139">
        <v>17.900000000000002</v>
      </c>
      <c r="D5037" s="28">
        <f t="shared" si="89"/>
        <v>143.20000000000002</v>
      </c>
      <c r="E5037" s="28">
        <f t="shared" si="90"/>
        <v>134.25000000000003</v>
      </c>
      <c r="F5037" s="28">
        <f t="shared" si="91"/>
        <v>116.25000000000003</v>
      </c>
      <c r="G5037" s="28">
        <f t="shared" si="92"/>
        <v>89.400700000000001</v>
      </c>
      <c r="H5037" s="28">
        <f t="shared" si="93"/>
        <v>99.1708</v>
      </c>
      <c r="I5037" s="28">
        <f t="shared" si="94"/>
        <v>103.5188</v>
      </c>
      <c r="J5037" s="28">
        <f t="shared" si="95"/>
        <v>106.67010000000001</v>
      </c>
      <c r="K5037" s="28">
        <f t="shared" si="96"/>
        <v>111.6576</v>
      </c>
      <c r="L5037" s="4"/>
      <c r="M5037" s="241">
        <v>103.5188</v>
      </c>
    </row>
    <row r="5038" spans="3:13" hidden="1" outlineLevel="1" x14ac:dyDescent="0.2">
      <c r="C5038" s="139">
        <v>18.000000000000004</v>
      </c>
      <c r="D5038" s="28">
        <f t="shared" si="89"/>
        <v>144.00000000000003</v>
      </c>
      <c r="E5038" s="28">
        <f t="shared" si="90"/>
        <v>135.00000000000003</v>
      </c>
      <c r="F5038" s="28">
        <f t="shared" si="91"/>
        <v>117.00000000000003</v>
      </c>
      <c r="G5038" s="28">
        <f t="shared" si="92"/>
        <v>90.290800000000004</v>
      </c>
      <c r="H5038" s="28">
        <f t="shared" si="93"/>
        <v>100.1183</v>
      </c>
      <c r="I5038" s="28">
        <f t="shared" si="94"/>
        <v>104.4933</v>
      </c>
      <c r="J5038" s="28">
        <f t="shared" si="95"/>
        <v>107.6649</v>
      </c>
      <c r="K5038" s="28">
        <f t="shared" si="96"/>
        <v>112.6855</v>
      </c>
      <c r="L5038" s="4"/>
      <c r="M5038" s="241">
        <v>104.4933</v>
      </c>
    </row>
    <row r="5039" spans="3:13" hidden="1" outlineLevel="1" x14ac:dyDescent="0.2">
      <c r="C5039" s="139">
        <v>18.100000000000005</v>
      </c>
      <c r="D5039" s="28">
        <f t="shared" si="89"/>
        <v>144.80000000000004</v>
      </c>
      <c r="E5039" s="28">
        <f t="shared" si="90"/>
        <v>135.75000000000003</v>
      </c>
      <c r="F5039" s="28">
        <f t="shared" si="91"/>
        <v>117.75000000000003</v>
      </c>
      <c r="G5039" s="28">
        <f t="shared" si="92"/>
        <v>90.290800000000004</v>
      </c>
      <c r="H5039" s="28">
        <f t="shared" si="93"/>
        <v>100.1183</v>
      </c>
      <c r="I5039" s="28">
        <f t="shared" si="94"/>
        <v>104.4933</v>
      </c>
      <c r="J5039" s="28">
        <f t="shared" si="95"/>
        <v>107.6649</v>
      </c>
      <c r="K5039" s="28">
        <f t="shared" si="96"/>
        <v>112.6855</v>
      </c>
      <c r="L5039" s="4"/>
      <c r="M5039" s="241">
        <v>104.4933</v>
      </c>
    </row>
    <row r="5040" spans="3:13" hidden="1" outlineLevel="1" x14ac:dyDescent="0.2">
      <c r="C5040" s="139">
        <v>18.200000000000006</v>
      </c>
      <c r="D5040" s="28">
        <f t="shared" si="89"/>
        <v>145.60000000000005</v>
      </c>
      <c r="E5040" s="28">
        <f t="shared" si="90"/>
        <v>136.50000000000006</v>
      </c>
      <c r="F5040" s="28">
        <f t="shared" si="91"/>
        <v>118.50000000000006</v>
      </c>
      <c r="G5040" s="28">
        <f t="shared" si="92"/>
        <v>91.181600000000003</v>
      </c>
      <c r="H5040" s="28">
        <f t="shared" si="93"/>
        <v>101.0665</v>
      </c>
      <c r="I5040" s="28">
        <f t="shared" si="94"/>
        <v>105.46810000000001</v>
      </c>
      <c r="J5040" s="28">
        <f t="shared" si="95"/>
        <v>108.6598</v>
      </c>
      <c r="K5040" s="28">
        <f t="shared" si="96"/>
        <v>113.7137</v>
      </c>
      <c r="L5040" s="4"/>
      <c r="M5040" s="241">
        <v>105.46810000000001</v>
      </c>
    </row>
    <row r="5041" spans="3:13" hidden="1" outlineLevel="1" x14ac:dyDescent="0.2">
      <c r="C5041" s="139">
        <v>18.300000000000008</v>
      </c>
      <c r="D5041" s="28">
        <f t="shared" si="89"/>
        <v>146.40000000000006</v>
      </c>
      <c r="E5041" s="28">
        <f t="shared" si="90"/>
        <v>137.25000000000006</v>
      </c>
      <c r="F5041" s="28">
        <f t="shared" si="91"/>
        <v>119.25000000000006</v>
      </c>
      <c r="G5041" s="28">
        <f t="shared" si="92"/>
        <v>92.072800000000001</v>
      </c>
      <c r="H5041" s="28">
        <f t="shared" si="93"/>
        <v>102.0149</v>
      </c>
      <c r="I5041" s="28">
        <f t="shared" si="94"/>
        <v>106.4434</v>
      </c>
      <c r="J5041" s="28">
        <f t="shared" si="95"/>
        <v>109.6551</v>
      </c>
      <c r="K5041" s="28">
        <f t="shared" si="96"/>
        <v>114.74209999999999</v>
      </c>
      <c r="L5041" s="4"/>
      <c r="M5041" s="241">
        <v>106.4434</v>
      </c>
    </row>
    <row r="5042" spans="3:13" hidden="1" outlineLevel="1" x14ac:dyDescent="0.2">
      <c r="C5042" s="139">
        <v>18.400000000000009</v>
      </c>
      <c r="D5042" s="28">
        <f t="shared" si="89"/>
        <v>147.20000000000007</v>
      </c>
      <c r="E5042" s="28">
        <f t="shared" si="90"/>
        <v>138.00000000000006</v>
      </c>
      <c r="F5042" s="28">
        <f t="shared" si="91"/>
        <v>120.00000000000006</v>
      </c>
      <c r="G5042" s="28">
        <f t="shared" si="92"/>
        <v>92.964399999999998</v>
      </c>
      <c r="H5042" s="28">
        <f t="shared" si="93"/>
        <v>102.9635</v>
      </c>
      <c r="I5042" s="28">
        <f t="shared" si="94"/>
        <v>107.4187</v>
      </c>
      <c r="J5042" s="28">
        <f t="shared" si="95"/>
        <v>110.65049999999999</v>
      </c>
      <c r="K5042" s="28">
        <f t="shared" si="96"/>
        <v>115.7706</v>
      </c>
      <c r="L5042" s="4"/>
      <c r="M5042" s="241">
        <v>107.4187</v>
      </c>
    </row>
    <row r="5043" spans="3:13" hidden="1" outlineLevel="1" x14ac:dyDescent="0.2">
      <c r="C5043" s="139">
        <v>18.500000000000011</v>
      </c>
      <c r="D5043" s="28">
        <f t="shared" si="89"/>
        <v>148.00000000000009</v>
      </c>
      <c r="E5043" s="28">
        <f t="shared" si="90"/>
        <v>138.75000000000009</v>
      </c>
      <c r="F5043" s="28">
        <f t="shared" si="91"/>
        <v>120.75000000000009</v>
      </c>
      <c r="G5043" s="28">
        <f t="shared" si="92"/>
        <v>92.964399999999998</v>
      </c>
      <c r="H5043" s="28">
        <f t="shared" si="93"/>
        <v>102.9635</v>
      </c>
      <c r="I5043" s="28">
        <f t="shared" si="94"/>
        <v>107.4187</v>
      </c>
      <c r="J5043" s="28">
        <f t="shared" si="95"/>
        <v>110.65049999999999</v>
      </c>
      <c r="K5043" s="28">
        <f t="shared" si="96"/>
        <v>115.7706</v>
      </c>
      <c r="L5043" s="4"/>
      <c r="M5043" s="241">
        <v>107.4187</v>
      </c>
    </row>
    <row r="5044" spans="3:13" hidden="1" outlineLevel="1" x14ac:dyDescent="0.2">
      <c r="C5044" s="139">
        <v>18.600000000000012</v>
      </c>
      <c r="D5044" s="28">
        <f t="shared" si="89"/>
        <v>148.8000000000001</v>
      </c>
      <c r="E5044" s="28">
        <f t="shared" si="90"/>
        <v>139.50000000000009</v>
      </c>
      <c r="F5044" s="28">
        <f t="shared" si="91"/>
        <v>121.50000000000009</v>
      </c>
      <c r="G5044" s="28">
        <f t="shared" si="92"/>
        <v>93.856800000000007</v>
      </c>
      <c r="H5044" s="28">
        <f t="shared" si="93"/>
        <v>103.9127</v>
      </c>
      <c r="I5044" s="28">
        <f t="shared" si="94"/>
        <v>108.3946</v>
      </c>
      <c r="J5044" s="28">
        <f t="shared" si="95"/>
        <v>111.6465</v>
      </c>
      <c r="K5044" s="28">
        <f t="shared" si="96"/>
        <v>116.7993</v>
      </c>
      <c r="L5044" s="4"/>
      <c r="M5044" s="241">
        <v>108.3946</v>
      </c>
    </row>
    <row r="5045" spans="3:13" hidden="1" outlineLevel="1" x14ac:dyDescent="0.2">
      <c r="C5045" s="139">
        <v>18.700000000000014</v>
      </c>
      <c r="D5045" s="28">
        <f t="shared" si="89"/>
        <v>149.60000000000011</v>
      </c>
      <c r="E5045" s="28">
        <f t="shared" si="90"/>
        <v>140.25000000000011</v>
      </c>
      <c r="F5045" s="28">
        <f t="shared" si="91"/>
        <v>122.25000000000011</v>
      </c>
      <c r="G5045" s="28">
        <f t="shared" si="92"/>
        <v>94.749700000000004</v>
      </c>
      <c r="H5045" s="28">
        <f t="shared" si="93"/>
        <v>104.8622</v>
      </c>
      <c r="I5045" s="28">
        <f t="shared" si="94"/>
        <v>109.37050000000001</v>
      </c>
      <c r="J5045" s="28">
        <f t="shared" si="95"/>
        <v>112.6425</v>
      </c>
      <c r="K5045" s="28">
        <f t="shared" si="96"/>
        <v>117.8283</v>
      </c>
      <c r="L5045" s="4"/>
      <c r="M5045" s="241">
        <v>109.37050000000001</v>
      </c>
    </row>
    <row r="5046" spans="3:13" hidden="1" outlineLevel="1" x14ac:dyDescent="0.2">
      <c r="C5046" s="139">
        <v>18.800000000000015</v>
      </c>
      <c r="D5046" s="28">
        <f t="shared" si="89"/>
        <v>150.40000000000012</v>
      </c>
      <c r="E5046" s="28">
        <f t="shared" si="90"/>
        <v>141.00000000000011</v>
      </c>
      <c r="F5046" s="28">
        <f t="shared" si="91"/>
        <v>123.00000000000011</v>
      </c>
      <c r="G5046" s="28">
        <f t="shared" si="92"/>
        <v>95.643000000000001</v>
      </c>
      <c r="H5046" s="28">
        <f t="shared" si="93"/>
        <v>105.8121</v>
      </c>
      <c r="I5046" s="28">
        <f t="shared" si="94"/>
        <v>110.34699999999999</v>
      </c>
      <c r="J5046" s="28">
        <f t="shared" si="95"/>
        <v>113.63849999999999</v>
      </c>
      <c r="K5046" s="28">
        <f t="shared" si="96"/>
        <v>118.8575</v>
      </c>
      <c r="L5046" s="4"/>
      <c r="M5046" s="241">
        <v>110.34699999999999</v>
      </c>
    </row>
    <row r="5047" spans="3:13" hidden="1" outlineLevel="1" x14ac:dyDescent="0.2">
      <c r="C5047" s="139">
        <v>18.900000000000016</v>
      </c>
      <c r="D5047" s="28">
        <f t="shared" si="89"/>
        <v>151.20000000000013</v>
      </c>
      <c r="E5047" s="28">
        <f t="shared" si="90"/>
        <v>141.75000000000011</v>
      </c>
      <c r="F5047" s="28">
        <f t="shared" si="91"/>
        <v>123.75000000000011</v>
      </c>
      <c r="G5047" s="28">
        <f t="shared" si="92"/>
        <v>95.643000000000001</v>
      </c>
      <c r="H5047" s="28">
        <f t="shared" si="93"/>
        <v>105.8121</v>
      </c>
      <c r="I5047" s="28">
        <f t="shared" si="94"/>
        <v>110.34699999999999</v>
      </c>
      <c r="J5047" s="28">
        <f t="shared" si="95"/>
        <v>113.63849999999999</v>
      </c>
      <c r="K5047" s="28">
        <f t="shared" si="96"/>
        <v>118.8575</v>
      </c>
      <c r="L5047" s="4"/>
      <c r="M5047" s="241">
        <v>110.34699999999999</v>
      </c>
    </row>
    <row r="5048" spans="3:13" hidden="1" outlineLevel="1" x14ac:dyDescent="0.2">
      <c r="C5048" s="139">
        <v>19.000000000000018</v>
      </c>
      <c r="D5048" s="28">
        <f t="shared" si="89"/>
        <v>152.00000000000014</v>
      </c>
      <c r="E5048" s="28">
        <f t="shared" si="90"/>
        <v>142.50000000000014</v>
      </c>
      <c r="F5048" s="28">
        <f t="shared" si="91"/>
        <v>124.50000000000014</v>
      </c>
      <c r="G5048" s="28">
        <f t="shared" si="92"/>
        <v>96.536900000000003</v>
      </c>
      <c r="H5048" s="28">
        <f t="shared" si="93"/>
        <v>106.76220000000001</v>
      </c>
      <c r="I5048" s="28">
        <f t="shared" si="94"/>
        <v>111.3236</v>
      </c>
      <c r="J5048" s="28">
        <f t="shared" si="95"/>
        <v>114.63500000000001</v>
      </c>
      <c r="K5048" s="28">
        <f t="shared" si="96"/>
        <v>119.8867</v>
      </c>
      <c r="L5048" s="4"/>
      <c r="M5048" s="241">
        <v>111.3236</v>
      </c>
    </row>
    <row r="5049" spans="3:13" hidden="1" outlineLevel="1" x14ac:dyDescent="0.2">
      <c r="C5049" s="139">
        <v>19.100000000000019</v>
      </c>
      <c r="D5049" s="28">
        <f t="shared" si="89"/>
        <v>152.80000000000015</v>
      </c>
      <c r="E5049" s="28">
        <f t="shared" si="90"/>
        <v>143.25000000000014</v>
      </c>
      <c r="F5049" s="28">
        <f t="shared" si="91"/>
        <v>125.25000000000014</v>
      </c>
      <c r="G5049" s="28">
        <f t="shared" si="92"/>
        <v>97.431299999999993</v>
      </c>
      <c r="H5049" s="28">
        <f t="shared" si="93"/>
        <v>107.7129</v>
      </c>
      <c r="I5049" s="28">
        <f t="shared" si="94"/>
        <v>112.30029999999999</v>
      </c>
      <c r="J5049" s="28">
        <f t="shared" si="95"/>
        <v>115.6317</v>
      </c>
      <c r="K5049" s="28">
        <f t="shared" si="96"/>
        <v>120.9162</v>
      </c>
      <c r="L5049" s="4"/>
      <c r="M5049" s="241">
        <v>112.30029999999999</v>
      </c>
    </row>
    <row r="5050" spans="3:13" hidden="1" outlineLevel="1" x14ac:dyDescent="0.2">
      <c r="C5050" s="139">
        <v>19.200000000000021</v>
      </c>
      <c r="D5050" s="28">
        <f t="shared" si="89"/>
        <v>153.60000000000016</v>
      </c>
      <c r="E5050" s="28">
        <f t="shared" si="90"/>
        <v>144.00000000000014</v>
      </c>
      <c r="F5050" s="28">
        <f t="shared" si="91"/>
        <v>126.00000000000014</v>
      </c>
      <c r="G5050" s="28">
        <f t="shared" si="92"/>
        <v>98.326099999999997</v>
      </c>
      <c r="H5050" s="28">
        <f t="shared" si="93"/>
        <v>108.66370000000001</v>
      </c>
      <c r="I5050" s="28">
        <f t="shared" si="94"/>
        <v>113.2775</v>
      </c>
      <c r="J5050" s="28">
        <f t="shared" si="95"/>
        <v>116.62860000000001</v>
      </c>
      <c r="K5050" s="28">
        <f t="shared" si="96"/>
        <v>121.9461</v>
      </c>
      <c r="L5050" s="4"/>
      <c r="M5050" s="241">
        <v>113.2775</v>
      </c>
    </row>
    <row r="5051" spans="3:13" hidden="1" outlineLevel="1" x14ac:dyDescent="0.2">
      <c r="C5051" s="139">
        <v>19.300000000000022</v>
      </c>
      <c r="D5051" s="28">
        <f t="shared" ref="D5051:D5114" si="97">C5051*Channels.per.TRX</f>
        <v>154.40000000000018</v>
      </c>
      <c r="E5051" s="28">
        <f t="shared" ref="E5051:E5114" si="98">D5051-C5051*sig.channel.per.TRX</f>
        <v>144.75000000000017</v>
      </c>
      <c r="F5051" s="28">
        <f t="shared" ref="F5051:F5114" si="99">MAX(0,E5051-GPRS.channel.per.sector)</f>
        <v>126.75000000000017</v>
      </c>
      <c r="G5051" s="28">
        <f t="shared" ref="G5051:G5114" si="100">INDEX(D$10:D$4326,MATCH($F5051,$C$10:$C$4326,1))</f>
        <v>98.326099999999997</v>
      </c>
      <c r="H5051" s="28">
        <f t="shared" ref="H5051:H5114" si="101">INDEX(E$10:E$4326,MATCH($F5051,$C$10:$C$4326,1))</f>
        <v>108.66370000000001</v>
      </c>
      <c r="I5051" s="28">
        <f t="shared" ref="I5051:I5114" si="102">INDEX(F$10:F$4326,MATCH($F5051,$C$10:$C$4326,1))</f>
        <v>113.2775</v>
      </c>
      <c r="J5051" s="28">
        <f t="shared" ref="J5051:J5114" si="103">INDEX(G$10:G$4326,MATCH($F5051,$C$10:$C$4326,1))</f>
        <v>116.62860000000001</v>
      </c>
      <c r="K5051" s="28">
        <f t="shared" ref="K5051:K5114" si="104">INDEX(H$10:H$4326,MATCH($F5051,$C$10:$C$4326,1))</f>
        <v>121.9461</v>
      </c>
      <c r="L5051" s="4"/>
      <c r="M5051" s="241">
        <v>113.2775</v>
      </c>
    </row>
    <row r="5052" spans="3:13" hidden="1" outlineLevel="1" x14ac:dyDescent="0.2">
      <c r="C5052" s="139">
        <v>19.400000000000023</v>
      </c>
      <c r="D5052" s="28">
        <f t="shared" si="97"/>
        <v>155.20000000000019</v>
      </c>
      <c r="E5052" s="28">
        <f t="shared" si="98"/>
        <v>145.50000000000017</v>
      </c>
      <c r="F5052" s="28">
        <f t="shared" si="99"/>
        <v>127.50000000000017</v>
      </c>
      <c r="G5052" s="28">
        <f t="shared" si="100"/>
        <v>99.221500000000006</v>
      </c>
      <c r="H5052" s="28">
        <f t="shared" si="101"/>
        <v>109.6148</v>
      </c>
      <c r="I5052" s="28">
        <f t="shared" si="102"/>
        <v>114.255</v>
      </c>
      <c r="J5052" s="28">
        <f t="shared" si="103"/>
        <v>117.6259</v>
      </c>
      <c r="K5052" s="28">
        <f t="shared" si="104"/>
        <v>122.9759</v>
      </c>
      <c r="L5052" s="4"/>
      <c r="M5052" s="241">
        <v>114.255</v>
      </c>
    </row>
    <row r="5053" spans="3:13" hidden="1" outlineLevel="1" x14ac:dyDescent="0.2">
      <c r="C5053" s="139">
        <v>19.500000000000025</v>
      </c>
      <c r="D5053" s="28">
        <f t="shared" si="97"/>
        <v>156.0000000000002</v>
      </c>
      <c r="E5053" s="28">
        <f t="shared" si="98"/>
        <v>146.2500000000002</v>
      </c>
      <c r="F5053" s="28">
        <f t="shared" si="99"/>
        <v>128.2500000000002</v>
      </c>
      <c r="G5053" s="28">
        <f t="shared" si="100"/>
        <v>100.1173</v>
      </c>
      <c r="H5053" s="28">
        <f t="shared" si="101"/>
        <v>110.5665</v>
      </c>
      <c r="I5053" s="28">
        <f t="shared" si="102"/>
        <v>115.2325</v>
      </c>
      <c r="J5053" s="28">
        <f t="shared" si="103"/>
        <v>118.6234</v>
      </c>
      <c r="K5053" s="28">
        <f t="shared" si="104"/>
        <v>124.0057</v>
      </c>
      <c r="L5053" s="4"/>
      <c r="M5053" s="241">
        <v>115.2325</v>
      </c>
    </row>
    <row r="5054" spans="3:13" hidden="1" outlineLevel="1" x14ac:dyDescent="0.2">
      <c r="C5054" s="139">
        <v>19.600000000000026</v>
      </c>
      <c r="D5054" s="28">
        <f t="shared" si="97"/>
        <v>156.80000000000021</v>
      </c>
      <c r="E5054" s="28">
        <f t="shared" si="98"/>
        <v>147.0000000000002</v>
      </c>
      <c r="F5054" s="28">
        <f t="shared" si="99"/>
        <v>129.0000000000002</v>
      </c>
      <c r="G5054" s="28">
        <f t="shared" si="100"/>
        <v>101.01390000000001</v>
      </c>
      <c r="H5054" s="28">
        <f t="shared" si="101"/>
        <v>111.51819999999999</v>
      </c>
      <c r="I5054" s="28">
        <f t="shared" si="102"/>
        <v>116.2105</v>
      </c>
      <c r="J5054" s="28">
        <f t="shared" si="103"/>
        <v>119.621</v>
      </c>
      <c r="K5054" s="28">
        <f t="shared" si="104"/>
        <v>125.036</v>
      </c>
      <c r="L5054" s="4"/>
      <c r="M5054" s="241">
        <v>116.2105</v>
      </c>
    </row>
    <row r="5055" spans="3:13" hidden="1" outlineLevel="1" x14ac:dyDescent="0.2">
      <c r="C5055" s="139">
        <v>19.700000000000028</v>
      </c>
      <c r="D5055" s="28">
        <f t="shared" si="97"/>
        <v>157.60000000000022</v>
      </c>
      <c r="E5055" s="28">
        <f t="shared" si="98"/>
        <v>147.7500000000002</v>
      </c>
      <c r="F5055" s="28">
        <f t="shared" si="99"/>
        <v>129.7500000000002</v>
      </c>
      <c r="G5055" s="28">
        <f t="shared" si="100"/>
        <v>101.01390000000001</v>
      </c>
      <c r="H5055" s="28">
        <f t="shared" si="101"/>
        <v>111.51819999999999</v>
      </c>
      <c r="I5055" s="28">
        <f t="shared" si="102"/>
        <v>116.2105</v>
      </c>
      <c r="J5055" s="28">
        <f t="shared" si="103"/>
        <v>119.621</v>
      </c>
      <c r="K5055" s="28">
        <f t="shared" si="104"/>
        <v>125.036</v>
      </c>
      <c r="L5055" s="4"/>
      <c r="M5055" s="241">
        <v>116.2105</v>
      </c>
    </row>
    <row r="5056" spans="3:13" hidden="1" outlineLevel="1" x14ac:dyDescent="0.2">
      <c r="C5056" s="139">
        <v>19.800000000000029</v>
      </c>
      <c r="D5056" s="28">
        <f t="shared" si="97"/>
        <v>158.40000000000023</v>
      </c>
      <c r="E5056" s="28">
        <f t="shared" si="98"/>
        <v>148.50000000000023</v>
      </c>
      <c r="F5056" s="28">
        <f t="shared" si="99"/>
        <v>130.50000000000023</v>
      </c>
      <c r="G5056" s="28">
        <f t="shared" si="100"/>
        <v>101.91079999999999</v>
      </c>
      <c r="H5056" s="28">
        <f t="shared" si="101"/>
        <v>112.4704</v>
      </c>
      <c r="I5056" s="28">
        <f t="shared" si="102"/>
        <v>117.1888</v>
      </c>
      <c r="J5056" s="28">
        <f t="shared" si="103"/>
        <v>120.6187</v>
      </c>
      <c r="K5056" s="28">
        <f t="shared" si="104"/>
        <v>126.0663</v>
      </c>
      <c r="L5056" s="4"/>
      <c r="M5056" s="241">
        <v>117.1888</v>
      </c>
    </row>
    <row r="5057" spans="3:13" hidden="1" outlineLevel="1" x14ac:dyDescent="0.2">
      <c r="C5057" s="139">
        <v>19.900000000000031</v>
      </c>
      <c r="D5057" s="28">
        <f t="shared" si="97"/>
        <v>159.20000000000024</v>
      </c>
      <c r="E5057" s="28">
        <f t="shared" si="98"/>
        <v>149.25000000000023</v>
      </c>
      <c r="F5057" s="28">
        <f t="shared" si="99"/>
        <v>131.25000000000023</v>
      </c>
      <c r="G5057" s="28">
        <f t="shared" si="100"/>
        <v>102.8079</v>
      </c>
      <c r="H5057" s="28">
        <f t="shared" si="101"/>
        <v>113.423</v>
      </c>
      <c r="I5057" s="28">
        <f t="shared" si="102"/>
        <v>118.16719999999999</v>
      </c>
      <c r="J5057" s="28">
        <f t="shared" si="103"/>
        <v>121.6168</v>
      </c>
      <c r="K5057" s="28">
        <f t="shared" si="104"/>
        <v>127.09699999999999</v>
      </c>
      <c r="L5057" s="4"/>
      <c r="M5057" s="241">
        <v>118.16719999999999</v>
      </c>
    </row>
    <row r="5058" spans="3:13" hidden="1" outlineLevel="1" x14ac:dyDescent="0.2">
      <c r="C5058" s="139">
        <v>20.000000000000032</v>
      </c>
      <c r="D5058" s="28">
        <f t="shared" si="97"/>
        <v>160.00000000000026</v>
      </c>
      <c r="E5058" s="28">
        <f t="shared" si="98"/>
        <v>150.00000000000023</v>
      </c>
      <c r="F5058" s="28">
        <f t="shared" si="99"/>
        <v>132.00000000000023</v>
      </c>
      <c r="G5058" s="28">
        <f t="shared" si="100"/>
        <v>103.70569999999999</v>
      </c>
      <c r="H5058" s="28">
        <f t="shared" si="101"/>
        <v>114.37569999999999</v>
      </c>
      <c r="I5058" s="28">
        <f t="shared" si="102"/>
        <v>119.146</v>
      </c>
      <c r="J5058" s="28">
        <f t="shared" si="103"/>
        <v>122.6151</v>
      </c>
      <c r="K5058" s="28">
        <f t="shared" si="104"/>
        <v>128.1277</v>
      </c>
      <c r="L5058" s="4"/>
      <c r="M5058" s="241">
        <v>119.146</v>
      </c>
    </row>
    <row r="5059" spans="3:13" hidden="1" outlineLevel="1" x14ac:dyDescent="0.2">
      <c r="C5059" s="139">
        <v>20.100000000000033</v>
      </c>
      <c r="D5059" s="28">
        <f t="shared" si="97"/>
        <v>160.80000000000027</v>
      </c>
      <c r="E5059" s="28">
        <f t="shared" si="98"/>
        <v>150.75000000000026</v>
      </c>
      <c r="F5059" s="28">
        <f t="shared" si="99"/>
        <v>132.75000000000026</v>
      </c>
      <c r="G5059" s="28">
        <f t="shared" si="100"/>
        <v>103.70569999999999</v>
      </c>
      <c r="H5059" s="28">
        <f t="shared" si="101"/>
        <v>114.37569999999999</v>
      </c>
      <c r="I5059" s="28">
        <f t="shared" si="102"/>
        <v>119.146</v>
      </c>
      <c r="J5059" s="28">
        <f t="shared" si="103"/>
        <v>122.6151</v>
      </c>
      <c r="K5059" s="28">
        <f t="shared" si="104"/>
        <v>128.1277</v>
      </c>
      <c r="L5059" s="4"/>
      <c r="M5059" s="241">
        <v>119.146</v>
      </c>
    </row>
    <row r="5060" spans="3:13" hidden="1" outlineLevel="1" x14ac:dyDescent="0.2">
      <c r="C5060" s="139">
        <v>20.200000000000035</v>
      </c>
      <c r="D5060" s="28">
        <f t="shared" si="97"/>
        <v>161.60000000000028</v>
      </c>
      <c r="E5060" s="28">
        <f t="shared" si="98"/>
        <v>151.50000000000026</v>
      </c>
      <c r="F5060" s="28">
        <f t="shared" si="99"/>
        <v>133.50000000000026</v>
      </c>
      <c r="G5060" s="28">
        <f t="shared" si="100"/>
        <v>104.604</v>
      </c>
      <c r="H5060" s="28">
        <f t="shared" si="101"/>
        <v>115.32899999999999</v>
      </c>
      <c r="I5060" s="28">
        <f t="shared" si="102"/>
        <v>120.125</v>
      </c>
      <c r="J5060" s="28">
        <f t="shared" si="103"/>
        <v>123.61360000000001</v>
      </c>
      <c r="K5060" s="28">
        <f t="shared" si="104"/>
        <v>129.1584</v>
      </c>
      <c r="L5060" s="4"/>
      <c r="M5060" s="241">
        <v>120.125</v>
      </c>
    </row>
    <row r="5061" spans="3:13" hidden="1" outlineLevel="1" x14ac:dyDescent="0.2">
      <c r="C5061" s="139">
        <v>20.300000000000036</v>
      </c>
      <c r="D5061" s="28">
        <f t="shared" si="97"/>
        <v>162.40000000000029</v>
      </c>
      <c r="E5061" s="28">
        <f t="shared" si="98"/>
        <v>152.25000000000028</v>
      </c>
      <c r="F5061" s="28">
        <f t="shared" si="99"/>
        <v>134.25000000000028</v>
      </c>
      <c r="G5061" s="28">
        <f t="shared" si="100"/>
        <v>105.5027</v>
      </c>
      <c r="H5061" s="28">
        <f t="shared" si="101"/>
        <v>116.2822</v>
      </c>
      <c r="I5061" s="28">
        <f t="shared" si="102"/>
        <v>121.1041</v>
      </c>
      <c r="J5061" s="28">
        <f t="shared" si="103"/>
        <v>124.6122</v>
      </c>
      <c r="K5061" s="28">
        <f t="shared" si="104"/>
        <v>130.18960000000001</v>
      </c>
      <c r="L5061" s="4"/>
      <c r="M5061" s="241">
        <v>121.1041</v>
      </c>
    </row>
    <row r="5062" spans="3:13" hidden="1" outlineLevel="1" x14ac:dyDescent="0.2">
      <c r="C5062" s="139">
        <v>20.400000000000038</v>
      </c>
      <c r="D5062" s="28">
        <f t="shared" si="97"/>
        <v>163.2000000000003</v>
      </c>
      <c r="E5062" s="28">
        <f t="shared" si="98"/>
        <v>153.00000000000028</v>
      </c>
      <c r="F5062" s="28">
        <f t="shared" si="99"/>
        <v>135.00000000000028</v>
      </c>
      <c r="G5062" s="28">
        <f t="shared" si="100"/>
        <v>106.402</v>
      </c>
      <c r="H5062" s="28">
        <f t="shared" si="101"/>
        <v>117.236</v>
      </c>
      <c r="I5062" s="28">
        <f t="shared" si="102"/>
        <v>122.0836</v>
      </c>
      <c r="J5062" s="28">
        <f t="shared" si="103"/>
        <v>125.6112</v>
      </c>
      <c r="K5062" s="28">
        <f t="shared" si="104"/>
        <v>131.22069999999999</v>
      </c>
      <c r="L5062" s="4"/>
      <c r="M5062" s="241">
        <v>122.0836</v>
      </c>
    </row>
    <row r="5063" spans="3:13" hidden="1" outlineLevel="1" x14ac:dyDescent="0.2">
      <c r="C5063" s="139">
        <v>20.500000000000039</v>
      </c>
      <c r="D5063" s="28">
        <f t="shared" si="97"/>
        <v>164.00000000000031</v>
      </c>
      <c r="E5063" s="28">
        <f t="shared" si="98"/>
        <v>153.75000000000028</v>
      </c>
      <c r="F5063" s="28">
        <f t="shared" si="99"/>
        <v>135.75000000000028</v>
      </c>
      <c r="G5063" s="28">
        <f t="shared" si="100"/>
        <v>106.402</v>
      </c>
      <c r="H5063" s="28">
        <f t="shared" si="101"/>
        <v>117.236</v>
      </c>
      <c r="I5063" s="28">
        <f t="shared" si="102"/>
        <v>122.0836</v>
      </c>
      <c r="J5063" s="28">
        <f t="shared" si="103"/>
        <v>125.6112</v>
      </c>
      <c r="K5063" s="28">
        <f t="shared" si="104"/>
        <v>131.22069999999999</v>
      </c>
      <c r="L5063" s="4"/>
      <c r="M5063" s="241">
        <v>122.0836</v>
      </c>
    </row>
    <row r="5064" spans="3:13" hidden="1" outlineLevel="1" x14ac:dyDescent="0.2">
      <c r="C5064" s="139">
        <v>20.600000000000041</v>
      </c>
      <c r="D5064" s="28">
        <f t="shared" si="97"/>
        <v>164.80000000000032</v>
      </c>
      <c r="E5064" s="28">
        <f t="shared" si="98"/>
        <v>154.50000000000031</v>
      </c>
      <c r="F5064" s="28">
        <f t="shared" si="99"/>
        <v>136.50000000000031</v>
      </c>
      <c r="G5064" s="28">
        <f t="shared" si="100"/>
        <v>107.3015</v>
      </c>
      <c r="H5064" s="28">
        <f t="shared" si="101"/>
        <v>118.19</v>
      </c>
      <c r="I5064" s="28">
        <f t="shared" si="102"/>
        <v>123.0634</v>
      </c>
      <c r="J5064" s="28">
        <f t="shared" si="103"/>
        <v>126.6104</v>
      </c>
      <c r="K5064" s="28">
        <f t="shared" si="104"/>
        <v>132.25210000000001</v>
      </c>
      <c r="L5064" s="4"/>
      <c r="M5064" s="241">
        <v>123.0634</v>
      </c>
    </row>
    <row r="5065" spans="3:13" hidden="1" outlineLevel="1" x14ac:dyDescent="0.2">
      <c r="C5065" s="139">
        <v>20.700000000000042</v>
      </c>
      <c r="D5065" s="28">
        <f t="shared" si="97"/>
        <v>165.60000000000034</v>
      </c>
      <c r="E5065" s="28">
        <f t="shared" si="98"/>
        <v>155.25000000000031</v>
      </c>
      <c r="F5065" s="28">
        <f t="shared" si="99"/>
        <v>137.25000000000031</v>
      </c>
      <c r="G5065" s="28">
        <f t="shared" si="100"/>
        <v>108.2015</v>
      </c>
      <c r="H5065" s="28">
        <f t="shared" si="101"/>
        <v>119.1443</v>
      </c>
      <c r="I5065" s="28">
        <f t="shared" si="102"/>
        <v>124.0432</v>
      </c>
      <c r="J5065" s="28">
        <f t="shared" si="103"/>
        <v>127.60980000000001</v>
      </c>
      <c r="K5065" s="28">
        <f t="shared" si="104"/>
        <v>133.28360000000001</v>
      </c>
      <c r="L5065" s="4"/>
      <c r="M5065" s="241">
        <v>124.0432</v>
      </c>
    </row>
    <row r="5066" spans="3:13" hidden="1" outlineLevel="1" x14ac:dyDescent="0.2">
      <c r="C5066" s="139">
        <v>20.800000000000043</v>
      </c>
      <c r="D5066" s="28">
        <f t="shared" si="97"/>
        <v>166.40000000000035</v>
      </c>
      <c r="E5066" s="28">
        <f t="shared" si="98"/>
        <v>156.00000000000031</v>
      </c>
      <c r="F5066" s="28">
        <f t="shared" si="99"/>
        <v>138.00000000000031</v>
      </c>
      <c r="G5066" s="28">
        <f t="shared" si="100"/>
        <v>109.10209999999999</v>
      </c>
      <c r="H5066" s="28">
        <f t="shared" si="101"/>
        <v>120.0989</v>
      </c>
      <c r="I5066" s="28">
        <f t="shared" si="102"/>
        <v>125.0234</v>
      </c>
      <c r="J5066" s="28">
        <f t="shared" si="103"/>
        <v>128.60919999999999</v>
      </c>
      <c r="K5066" s="28">
        <f t="shared" si="104"/>
        <v>134.3151</v>
      </c>
      <c r="L5066" s="4"/>
      <c r="M5066" s="241">
        <v>125.0234</v>
      </c>
    </row>
    <row r="5067" spans="3:13" hidden="1" outlineLevel="1" x14ac:dyDescent="0.2">
      <c r="C5067" s="139">
        <v>20.900000000000045</v>
      </c>
      <c r="D5067" s="28">
        <f t="shared" si="97"/>
        <v>167.20000000000036</v>
      </c>
      <c r="E5067" s="28">
        <f t="shared" si="98"/>
        <v>156.75000000000034</v>
      </c>
      <c r="F5067" s="28">
        <f t="shared" si="99"/>
        <v>138.75000000000034</v>
      </c>
      <c r="G5067" s="28">
        <f t="shared" si="100"/>
        <v>109.10209999999999</v>
      </c>
      <c r="H5067" s="28">
        <f t="shared" si="101"/>
        <v>120.0989</v>
      </c>
      <c r="I5067" s="28">
        <f t="shared" si="102"/>
        <v>125.0234</v>
      </c>
      <c r="J5067" s="28">
        <f t="shared" si="103"/>
        <v>128.60919999999999</v>
      </c>
      <c r="K5067" s="28">
        <f t="shared" si="104"/>
        <v>134.3151</v>
      </c>
      <c r="L5067" s="4"/>
      <c r="M5067" s="241">
        <v>125.0234</v>
      </c>
    </row>
    <row r="5068" spans="3:13" hidden="1" outlineLevel="1" x14ac:dyDescent="0.2">
      <c r="C5068" s="139">
        <v>21.000000000000046</v>
      </c>
      <c r="D5068" s="28">
        <f t="shared" si="97"/>
        <v>168.00000000000037</v>
      </c>
      <c r="E5068" s="28">
        <f t="shared" si="98"/>
        <v>157.50000000000034</v>
      </c>
      <c r="F5068" s="28">
        <f t="shared" si="99"/>
        <v>139.50000000000034</v>
      </c>
      <c r="G5068" s="28">
        <f t="shared" si="100"/>
        <v>110.003</v>
      </c>
      <c r="H5068" s="28">
        <f t="shared" si="101"/>
        <v>121.0538</v>
      </c>
      <c r="I5068" s="28">
        <f t="shared" si="102"/>
        <v>126.0039</v>
      </c>
      <c r="J5068" s="28">
        <f t="shared" si="103"/>
        <v>129.60900000000001</v>
      </c>
      <c r="K5068" s="28">
        <f t="shared" si="104"/>
        <v>135.34700000000001</v>
      </c>
      <c r="L5068" s="4"/>
      <c r="M5068" s="241">
        <v>126.0039</v>
      </c>
    </row>
    <row r="5069" spans="3:13" hidden="1" outlineLevel="1" x14ac:dyDescent="0.2">
      <c r="C5069" s="139">
        <v>21.100000000000048</v>
      </c>
      <c r="D5069" s="28">
        <f t="shared" si="97"/>
        <v>168.80000000000038</v>
      </c>
      <c r="E5069" s="28">
        <f t="shared" si="98"/>
        <v>158.25000000000037</v>
      </c>
      <c r="F5069" s="28">
        <f t="shared" si="99"/>
        <v>140.25000000000037</v>
      </c>
      <c r="G5069" s="28">
        <f t="shared" si="100"/>
        <v>110.9044</v>
      </c>
      <c r="H5069" s="28">
        <f t="shared" si="101"/>
        <v>122.0091</v>
      </c>
      <c r="I5069" s="28">
        <f t="shared" si="102"/>
        <v>126.9846</v>
      </c>
      <c r="J5069" s="28">
        <f t="shared" si="103"/>
        <v>130.6087</v>
      </c>
      <c r="K5069" s="28">
        <f t="shared" si="104"/>
        <v>136.37899999999999</v>
      </c>
      <c r="L5069" s="4"/>
      <c r="M5069" s="241">
        <v>126.9846</v>
      </c>
    </row>
    <row r="5070" spans="3:13" hidden="1" outlineLevel="1" x14ac:dyDescent="0.2">
      <c r="C5070" s="139">
        <v>21.200000000000049</v>
      </c>
      <c r="D5070" s="28">
        <f t="shared" si="97"/>
        <v>169.60000000000039</v>
      </c>
      <c r="E5070" s="28">
        <f t="shared" si="98"/>
        <v>159.00000000000037</v>
      </c>
      <c r="F5070" s="28">
        <f t="shared" si="99"/>
        <v>141.00000000000037</v>
      </c>
      <c r="G5070" s="28">
        <f t="shared" si="100"/>
        <v>111.806</v>
      </c>
      <c r="H5070" s="28">
        <f t="shared" si="101"/>
        <v>122.9645</v>
      </c>
      <c r="I5070" s="28">
        <f t="shared" si="102"/>
        <v>127.9653</v>
      </c>
      <c r="J5070" s="28">
        <f t="shared" si="103"/>
        <v>131.60890000000001</v>
      </c>
      <c r="K5070" s="28">
        <f t="shared" si="104"/>
        <v>137.4109</v>
      </c>
      <c r="L5070" s="4"/>
      <c r="M5070" s="241">
        <v>127.9653</v>
      </c>
    </row>
    <row r="5071" spans="3:13" hidden="1" outlineLevel="1" x14ac:dyDescent="0.2">
      <c r="C5071" s="139">
        <v>21.30000000000005</v>
      </c>
      <c r="D5071" s="28">
        <f t="shared" si="97"/>
        <v>170.4000000000004</v>
      </c>
      <c r="E5071" s="28">
        <f t="shared" si="98"/>
        <v>159.75000000000037</v>
      </c>
      <c r="F5071" s="28">
        <f t="shared" si="99"/>
        <v>141.75000000000037</v>
      </c>
      <c r="G5071" s="28">
        <f t="shared" si="100"/>
        <v>111.806</v>
      </c>
      <c r="H5071" s="28">
        <f t="shared" si="101"/>
        <v>122.9645</v>
      </c>
      <c r="I5071" s="28">
        <f t="shared" si="102"/>
        <v>127.9653</v>
      </c>
      <c r="J5071" s="28">
        <f t="shared" si="103"/>
        <v>131.60890000000001</v>
      </c>
      <c r="K5071" s="28">
        <f t="shared" si="104"/>
        <v>137.4109</v>
      </c>
      <c r="L5071" s="4"/>
      <c r="M5071" s="241">
        <v>127.9653</v>
      </c>
    </row>
    <row r="5072" spans="3:13" hidden="1" outlineLevel="1" x14ac:dyDescent="0.2">
      <c r="C5072" s="139">
        <v>21.400000000000052</v>
      </c>
      <c r="D5072" s="28">
        <f t="shared" si="97"/>
        <v>171.20000000000041</v>
      </c>
      <c r="E5072" s="28">
        <f t="shared" si="98"/>
        <v>160.5000000000004</v>
      </c>
      <c r="F5072" s="28">
        <f t="shared" si="99"/>
        <v>142.5000000000004</v>
      </c>
      <c r="G5072" s="28">
        <f t="shared" si="100"/>
        <v>112.7084</v>
      </c>
      <c r="H5072" s="28">
        <f t="shared" si="101"/>
        <v>123.92019999999999</v>
      </c>
      <c r="I5072" s="28">
        <f t="shared" si="102"/>
        <v>128.94630000000001</v>
      </c>
      <c r="J5072" s="28">
        <f t="shared" si="103"/>
        <v>132.60919999999999</v>
      </c>
      <c r="K5072" s="28">
        <f t="shared" si="104"/>
        <v>138.44309999999999</v>
      </c>
      <c r="L5072" s="4"/>
      <c r="M5072" s="241">
        <v>128.94630000000001</v>
      </c>
    </row>
    <row r="5073" spans="3:13" hidden="1" outlineLevel="1" x14ac:dyDescent="0.2">
      <c r="C5073" s="139">
        <v>21.500000000000053</v>
      </c>
      <c r="D5073" s="28">
        <f t="shared" si="97"/>
        <v>172.00000000000043</v>
      </c>
      <c r="E5073" s="28">
        <f t="shared" si="98"/>
        <v>161.2500000000004</v>
      </c>
      <c r="F5073" s="28">
        <f t="shared" si="99"/>
        <v>143.2500000000004</v>
      </c>
      <c r="G5073" s="28">
        <f t="shared" si="100"/>
        <v>113.611</v>
      </c>
      <c r="H5073" s="28">
        <f t="shared" si="101"/>
        <v>124.87609999999999</v>
      </c>
      <c r="I5073" s="28">
        <f t="shared" si="102"/>
        <v>129.92769999999999</v>
      </c>
      <c r="J5073" s="28">
        <f t="shared" si="103"/>
        <v>133.6096</v>
      </c>
      <c r="K5073" s="28">
        <f t="shared" si="104"/>
        <v>139.47559999999999</v>
      </c>
      <c r="L5073" s="4"/>
      <c r="M5073" s="241">
        <v>129.92769999999999</v>
      </c>
    </row>
    <row r="5074" spans="3:13" hidden="1" outlineLevel="1" x14ac:dyDescent="0.2">
      <c r="C5074" s="139">
        <v>21.600000000000055</v>
      </c>
      <c r="D5074" s="28">
        <f t="shared" si="97"/>
        <v>172.80000000000044</v>
      </c>
      <c r="E5074" s="28">
        <f t="shared" si="98"/>
        <v>162.0000000000004</v>
      </c>
      <c r="F5074" s="28">
        <f t="shared" si="99"/>
        <v>144.0000000000004</v>
      </c>
      <c r="G5074" s="28">
        <f t="shared" si="100"/>
        <v>114.51390000000001</v>
      </c>
      <c r="H5074" s="28">
        <f t="shared" si="101"/>
        <v>125.8323</v>
      </c>
      <c r="I5074" s="28">
        <f t="shared" si="102"/>
        <v>130.90940000000001</v>
      </c>
      <c r="J5074" s="28">
        <f t="shared" si="103"/>
        <v>134.6104</v>
      </c>
      <c r="K5074" s="28">
        <f t="shared" si="104"/>
        <v>140.50810000000001</v>
      </c>
      <c r="L5074" s="4"/>
      <c r="M5074" s="241">
        <v>130.90940000000001</v>
      </c>
    </row>
    <row r="5075" spans="3:13" hidden="1" outlineLevel="1" x14ac:dyDescent="0.2">
      <c r="C5075" s="139">
        <v>21.700000000000056</v>
      </c>
      <c r="D5075" s="28">
        <f t="shared" si="97"/>
        <v>173.60000000000045</v>
      </c>
      <c r="E5075" s="28">
        <f t="shared" si="98"/>
        <v>162.75000000000043</v>
      </c>
      <c r="F5075" s="28">
        <f t="shared" si="99"/>
        <v>144.75000000000043</v>
      </c>
      <c r="G5075" s="28">
        <f t="shared" si="100"/>
        <v>114.51390000000001</v>
      </c>
      <c r="H5075" s="28">
        <f t="shared" si="101"/>
        <v>125.8323</v>
      </c>
      <c r="I5075" s="28">
        <f t="shared" si="102"/>
        <v>130.90940000000001</v>
      </c>
      <c r="J5075" s="28">
        <f t="shared" si="103"/>
        <v>134.6104</v>
      </c>
      <c r="K5075" s="28">
        <f t="shared" si="104"/>
        <v>140.50810000000001</v>
      </c>
      <c r="L5075" s="4"/>
      <c r="M5075" s="241">
        <v>130.90940000000001</v>
      </c>
    </row>
    <row r="5076" spans="3:13" hidden="1" outlineLevel="1" x14ac:dyDescent="0.2">
      <c r="C5076" s="139">
        <v>21.800000000000058</v>
      </c>
      <c r="D5076" s="28">
        <f t="shared" si="97"/>
        <v>174.40000000000046</v>
      </c>
      <c r="E5076" s="28">
        <f t="shared" si="98"/>
        <v>163.50000000000043</v>
      </c>
      <c r="F5076" s="28">
        <f t="shared" si="99"/>
        <v>145.50000000000043</v>
      </c>
      <c r="G5076" s="28">
        <f t="shared" si="100"/>
        <v>115.4173</v>
      </c>
      <c r="H5076" s="28">
        <f t="shared" si="101"/>
        <v>126.7891</v>
      </c>
      <c r="I5076" s="28">
        <f t="shared" si="102"/>
        <v>131.89089999999999</v>
      </c>
      <c r="J5076" s="28">
        <f t="shared" si="103"/>
        <v>135.6113</v>
      </c>
      <c r="K5076" s="28">
        <f t="shared" si="104"/>
        <v>141.54089999999999</v>
      </c>
      <c r="L5076" s="4"/>
      <c r="M5076" s="241">
        <v>131.89089999999999</v>
      </c>
    </row>
    <row r="5077" spans="3:13" hidden="1" outlineLevel="1" x14ac:dyDescent="0.2">
      <c r="C5077" s="139">
        <v>21.900000000000059</v>
      </c>
      <c r="D5077" s="28">
        <f t="shared" si="97"/>
        <v>175.20000000000047</v>
      </c>
      <c r="E5077" s="28">
        <f t="shared" si="98"/>
        <v>164.25000000000045</v>
      </c>
      <c r="F5077" s="28">
        <f t="shared" si="99"/>
        <v>146.25000000000045</v>
      </c>
      <c r="G5077" s="28">
        <f t="shared" si="100"/>
        <v>116.32129999999999</v>
      </c>
      <c r="H5077" s="28">
        <f t="shared" si="101"/>
        <v>127.7457</v>
      </c>
      <c r="I5077" s="28">
        <f t="shared" si="102"/>
        <v>132.87289999999999</v>
      </c>
      <c r="J5077" s="28">
        <f t="shared" si="103"/>
        <v>136.6123</v>
      </c>
      <c r="K5077" s="28">
        <f t="shared" si="104"/>
        <v>142.5735</v>
      </c>
      <c r="L5077" s="4"/>
      <c r="M5077" s="241">
        <v>132.87289999999999</v>
      </c>
    </row>
    <row r="5078" spans="3:13" hidden="1" outlineLevel="1" x14ac:dyDescent="0.2">
      <c r="C5078" s="139">
        <v>22.00000000000006</v>
      </c>
      <c r="D5078" s="28">
        <f t="shared" si="97"/>
        <v>176.00000000000048</v>
      </c>
      <c r="E5078" s="28">
        <f t="shared" si="98"/>
        <v>165.00000000000045</v>
      </c>
      <c r="F5078" s="28">
        <f t="shared" si="99"/>
        <v>147.00000000000045</v>
      </c>
      <c r="G5078" s="28">
        <f t="shared" si="100"/>
        <v>117.22539999999999</v>
      </c>
      <c r="H5078" s="28">
        <f t="shared" si="101"/>
        <v>128.7028</v>
      </c>
      <c r="I5078" s="28">
        <f t="shared" si="102"/>
        <v>133.85509999999999</v>
      </c>
      <c r="J5078" s="28">
        <f t="shared" si="103"/>
        <v>137.61330000000001</v>
      </c>
      <c r="K5078" s="28">
        <f t="shared" si="104"/>
        <v>143.60640000000001</v>
      </c>
      <c r="L5078" s="4"/>
      <c r="M5078" s="241">
        <v>133.85509999999999</v>
      </c>
    </row>
    <row r="5079" spans="3:13" hidden="1" outlineLevel="1" x14ac:dyDescent="0.2">
      <c r="C5079" s="139">
        <v>22.100000000000062</v>
      </c>
      <c r="D5079" s="28">
        <f t="shared" si="97"/>
        <v>176.80000000000049</v>
      </c>
      <c r="E5079" s="28">
        <f t="shared" si="98"/>
        <v>165.75000000000045</v>
      </c>
      <c r="F5079" s="28">
        <f t="shared" si="99"/>
        <v>147.75000000000045</v>
      </c>
      <c r="G5079" s="28">
        <f t="shared" si="100"/>
        <v>117.22539999999999</v>
      </c>
      <c r="H5079" s="28">
        <f t="shared" si="101"/>
        <v>128.7028</v>
      </c>
      <c r="I5079" s="28">
        <f t="shared" si="102"/>
        <v>133.85509999999999</v>
      </c>
      <c r="J5079" s="28">
        <f t="shared" si="103"/>
        <v>137.61330000000001</v>
      </c>
      <c r="K5079" s="28">
        <f t="shared" si="104"/>
        <v>143.60640000000001</v>
      </c>
      <c r="L5079" s="4"/>
      <c r="M5079" s="241">
        <v>133.85509999999999</v>
      </c>
    </row>
    <row r="5080" spans="3:13" hidden="1" outlineLevel="1" x14ac:dyDescent="0.2">
      <c r="C5080" s="139">
        <v>22.200000000000063</v>
      </c>
      <c r="D5080" s="28">
        <f t="shared" si="97"/>
        <v>177.60000000000051</v>
      </c>
      <c r="E5080" s="28">
        <f t="shared" si="98"/>
        <v>166.50000000000048</v>
      </c>
      <c r="F5080" s="28">
        <f t="shared" si="99"/>
        <v>148.50000000000048</v>
      </c>
      <c r="G5080" s="28">
        <f t="shared" si="100"/>
        <v>118.1302</v>
      </c>
      <c r="H5080" s="28">
        <f t="shared" si="101"/>
        <v>129.6602</v>
      </c>
      <c r="I5080" s="28">
        <f t="shared" si="102"/>
        <v>134.8374</v>
      </c>
      <c r="J5080" s="28">
        <f t="shared" si="103"/>
        <v>138.6146</v>
      </c>
      <c r="K5080" s="28">
        <f t="shared" si="104"/>
        <v>144.6395</v>
      </c>
      <c r="L5080" s="4"/>
      <c r="M5080" s="241">
        <v>134.8374</v>
      </c>
    </row>
    <row r="5081" spans="3:13" hidden="1" outlineLevel="1" x14ac:dyDescent="0.2">
      <c r="C5081" s="139">
        <v>22.300000000000065</v>
      </c>
      <c r="D5081" s="28">
        <f t="shared" si="97"/>
        <v>178.40000000000052</v>
      </c>
      <c r="E5081" s="28">
        <f t="shared" si="98"/>
        <v>167.25000000000048</v>
      </c>
      <c r="F5081" s="28">
        <f t="shared" si="99"/>
        <v>149.25000000000048</v>
      </c>
      <c r="G5081" s="28">
        <f t="shared" si="100"/>
        <v>119.0352</v>
      </c>
      <c r="H5081" s="28">
        <f t="shared" si="101"/>
        <v>130.61779999999999</v>
      </c>
      <c r="I5081" s="28">
        <f t="shared" si="102"/>
        <v>135.82</v>
      </c>
      <c r="J5081" s="28">
        <f t="shared" si="103"/>
        <v>139.6163</v>
      </c>
      <c r="K5081" s="28">
        <f t="shared" si="104"/>
        <v>145.6728</v>
      </c>
      <c r="L5081" s="4"/>
      <c r="M5081" s="241">
        <v>135.82</v>
      </c>
    </row>
    <row r="5082" spans="3:13" hidden="1" outlineLevel="1" x14ac:dyDescent="0.2">
      <c r="C5082" s="139">
        <v>22.400000000000066</v>
      </c>
      <c r="D5082" s="28">
        <f t="shared" si="97"/>
        <v>179.20000000000053</v>
      </c>
      <c r="E5082" s="28">
        <f t="shared" si="98"/>
        <v>168.00000000000048</v>
      </c>
      <c r="F5082" s="28">
        <f t="shared" si="99"/>
        <v>150.00000000000048</v>
      </c>
      <c r="G5082" s="28">
        <f t="shared" si="100"/>
        <v>119.9405</v>
      </c>
      <c r="H5082" s="28">
        <f t="shared" si="101"/>
        <v>131.57570000000001</v>
      </c>
      <c r="I5082" s="28">
        <f t="shared" si="102"/>
        <v>136.80279999999999</v>
      </c>
      <c r="J5082" s="28">
        <f t="shared" si="103"/>
        <v>140.61799999999999</v>
      </c>
      <c r="K5082" s="28">
        <f t="shared" si="104"/>
        <v>146.70599999999999</v>
      </c>
      <c r="L5082" s="4"/>
      <c r="M5082" s="241">
        <v>136.80279999999999</v>
      </c>
    </row>
    <row r="5083" spans="3:13" hidden="1" outlineLevel="1" x14ac:dyDescent="0.2">
      <c r="C5083" s="139">
        <v>22.500000000000068</v>
      </c>
      <c r="D5083" s="28">
        <f t="shared" si="97"/>
        <v>180.00000000000054</v>
      </c>
      <c r="E5083" s="28">
        <f t="shared" si="98"/>
        <v>168.75000000000051</v>
      </c>
      <c r="F5083" s="28">
        <f t="shared" si="99"/>
        <v>150.75000000000051</v>
      </c>
      <c r="G5083" s="28">
        <f t="shared" si="100"/>
        <v>119.9405</v>
      </c>
      <c r="H5083" s="28">
        <f t="shared" si="101"/>
        <v>131.57570000000001</v>
      </c>
      <c r="I5083" s="28">
        <f t="shared" si="102"/>
        <v>136.80279999999999</v>
      </c>
      <c r="J5083" s="28">
        <f t="shared" si="103"/>
        <v>140.61799999999999</v>
      </c>
      <c r="K5083" s="28">
        <f t="shared" si="104"/>
        <v>146.70599999999999</v>
      </c>
      <c r="L5083" s="4"/>
      <c r="M5083" s="241">
        <v>136.80279999999999</v>
      </c>
    </row>
    <row r="5084" spans="3:13" hidden="1" outlineLevel="1" x14ac:dyDescent="0.2">
      <c r="C5084" s="139">
        <v>22.600000000000069</v>
      </c>
      <c r="D5084" s="28">
        <f t="shared" si="97"/>
        <v>180.80000000000055</v>
      </c>
      <c r="E5084" s="28">
        <f t="shared" si="98"/>
        <v>169.50000000000051</v>
      </c>
      <c r="F5084" s="28">
        <f t="shared" si="99"/>
        <v>151.50000000000051</v>
      </c>
      <c r="G5084" s="28">
        <f t="shared" si="100"/>
        <v>120.84610000000001</v>
      </c>
      <c r="H5084" s="28">
        <f t="shared" si="101"/>
        <v>132.5335</v>
      </c>
      <c r="I5084" s="28">
        <f t="shared" si="102"/>
        <v>137.78569999999999</v>
      </c>
      <c r="J5084" s="28">
        <f t="shared" si="103"/>
        <v>141.62</v>
      </c>
      <c r="K5084" s="28">
        <f t="shared" si="104"/>
        <v>147.73929999999999</v>
      </c>
      <c r="L5084" s="4"/>
      <c r="M5084" s="241">
        <v>137.78569999999999</v>
      </c>
    </row>
    <row r="5085" spans="3:13" hidden="1" outlineLevel="1" x14ac:dyDescent="0.2">
      <c r="C5085" s="139">
        <v>22.70000000000007</v>
      </c>
      <c r="D5085" s="28">
        <f t="shared" si="97"/>
        <v>181.60000000000056</v>
      </c>
      <c r="E5085" s="28">
        <f t="shared" si="98"/>
        <v>170.25000000000054</v>
      </c>
      <c r="F5085" s="28">
        <f t="shared" si="99"/>
        <v>152.25000000000054</v>
      </c>
      <c r="G5085" s="28">
        <f t="shared" si="100"/>
        <v>121.7522</v>
      </c>
      <c r="H5085" s="28">
        <f t="shared" si="101"/>
        <v>133.49209999999999</v>
      </c>
      <c r="I5085" s="28">
        <f t="shared" si="102"/>
        <v>138.7689</v>
      </c>
      <c r="J5085" s="28">
        <f t="shared" si="103"/>
        <v>142.62190000000001</v>
      </c>
      <c r="K5085" s="28">
        <f t="shared" si="104"/>
        <v>148.7731</v>
      </c>
      <c r="L5085" s="4"/>
      <c r="M5085" s="241">
        <v>138.7689</v>
      </c>
    </row>
    <row r="5086" spans="3:13" hidden="1" outlineLevel="1" x14ac:dyDescent="0.2">
      <c r="C5086" s="139">
        <v>22.800000000000072</v>
      </c>
      <c r="D5086" s="28">
        <f t="shared" si="97"/>
        <v>182.40000000000057</v>
      </c>
      <c r="E5086" s="28">
        <f t="shared" si="98"/>
        <v>171.00000000000054</v>
      </c>
      <c r="F5086" s="28">
        <f t="shared" si="99"/>
        <v>153.00000000000054</v>
      </c>
      <c r="G5086" s="28">
        <f t="shared" si="100"/>
        <v>122.6589</v>
      </c>
      <c r="H5086" s="28">
        <f t="shared" si="101"/>
        <v>134.45060000000001</v>
      </c>
      <c r="I5086" s="28">
        <f t="shared" si="102"/>
        <v>139.75219999999999</v>
      </c>
      <c r="J5086" s="28">
        <f t="shared" si="103"/>
        <v>143.6241</v>
      </c>
      <c r="K5086" s="28">
        <f t="shared" si="104"/>
        <v>149.80670000000001</v>
      </c>
      <c r="L5086" s="4"/>
      <c r="M5086" s="241">
        <v>139.75219999999999</v>
      </c>
    </row>
    <row r="5087" spans="3:13" hidden="1" outlineLevel="1" x14ac:dyDescent="0.2">
      <c r="C5087" s="139">
        <v>22.900000000000073</v>
      </c>
      <c r="D5087" s="28">
        <f t="shared" si="97"/>
        <v>183.20000000000059</v>
      </c>
      <c r="E5087" s="28">
        <f t="shared" si="98"/>
        <v>171.75000000000054</v>
      </c>
      <c r="F5087" s="28">
        <f t="shared" si="99"/>
        <v>153.75000000000054</v>
      </c>
      <c r="G5087" s="28">
        <f t="shared" si="100"/>
        <v>122.6589</v>
      </c>
      <c r="H5087" s="28">
        <f t="shared" si="101"/>
        <v>134.45060000000001</v>
      </c>
      <c r="I5087" s="28">
        <f t="shared" si="102"/>
        <v>139.75219999999999</v>
      </c>
      <c r="J5087" s="28">
        <f t="shared" si="103"/>
        <v>143.6241</v>
      </c>
      <c r="K5087" s="28">
        <f t="shared" si="104"/>
        <v>149.80670000000001</v>
      </c>
      <c r="L5087" s="4"/>
      <c r="M5087" s="241">
        <v>139.75219999999999</v>
      </c>
    </row>
    <row r="5088" spans="3:13" hidden="1" outlineLevel="1" x14ac:dyDescent="0.2">
      <c r="C5088" s="139">
        <v>23.000000000000075</v>
      </c>
      <c r="D5088" s="28">
        <f t="shared" si="97"/>
        <v>184.0000000000006</v>
      </c>
      <c r="E5088" s="28">
        <f t="shared" si="98"/>
        <v>172.50000000000057</v>
      </c>
      <c r="F5088" s="28">
        <f t="shared" si="99"/>
        <v>154.50000000000057</v>
      </c>
      <c r="G5088" s="28">
        <f t="shared" si="100"/>
        <v>123.56570000000001</v>
      </c>
      <c r="H5088" s="28">
        <f t="shared" si="101"/>
        <v>135.4093</v>
      </c>
      <c r="I5088" s="28">
        <f t="shared" si="102"/>
        <v>140.73580000000001</v>
      </c>
      <c r="J5088" s="28">
        <f t="shared" si="103"/>
        <v>144.6266</v>
      </c>
      <c r="K5088" s="28">
        <f t="shared" si="104"/>
        <v>150.84049999999999</v>
      </c>
      <c r="L5088" s="4"/>
      <c r="M5088" s="241">
        <v>140.73580000000001</v>
      </c>
    </row>
    <row r="5089" spans="3:13" hidden="1" outlineLevel="1" x14ac:dyDescent="0.2">
      <c r="C5089" s="139">
        <v>23.100000000000076</v>
      </c>
      <c r="D5089" s="28">
        <f t="shared" si="97"/>
        <v>184.80000000000061</v>
      </c>
      <c r="E5089" s="28">
        <f t="shared" si="98"/>
        <v>173.25000000000057</v>
      </c>
      <c r="F5089" s="28">
        <f t="shared" si="99"/>
        <v>155.25000000000057</v>
      </c>
      <c r="G5089" s="28">
        <f t="shared" si="100"/>
        <v>124.4731</v>
      </c>
      <c r="H5089" s="28">
        <f t="shared" si="101"/>
        <v>136.36840000000001</v>
      </c>
      <c r="I5089" s="28">
        <f t="shared" si="102"/>
        <v>141.71969999999999</v>
      </c>
      <c r="J5089" s="28">
        <f t="shared" si="103"/>
        <v>145.62899999999999</v>
      </c>
      <c r="K5089" s="28">
        <f t="shared" si="104"/>
        <v>151.87440000000001</v>
      </c>
      <c r="L5089" s="4"/>
      <c r="M5089" s="241">
        <v>141.71969999999999</v>
      </c>
    </row>
    <row r="5090" spans="3:13" hidden="1" outlineLevel="1" x14ac:dyDescent="0.2">
      <c r="C5090" s="139">
        <v>23.200000000000077</v>
      </c>
      <c r="D5090" s="28">
        <f t="shared" si="97"/>
        <v>185.60000000000062</v>
      </c>
      <c r="E5090" s="28">
        <f t="shared" si="98"/>
        <v>174.00000000000057</v>
      </c>
      <c r="F5090" s="28">
        <f t="shared" si="99"/>
        <v>156.00000000000057</v>
      </c>
      <c r="G5090" s="28">
        <f t="shared" si="100"/>
        <v>125.3805</v>
      </c>
      <c r="H5090" s="28">
        <f t="shared" si="101"/>
        <v>137.32759999999999</v>
      </c>
      <c r="I5090" s="28">
        <f t="shared" si="102"/>
        <v>142.7037</v>
      </c>
      <c r="J5090" s="28">
        <f t="shared" si="103"/>
        <v>146.6319</v>
      </c>
      <c r="K5090" s="28">
        <f t="shared" si="104"/>
        <v>152.9083</v>
      </c>
      <c r="L5090" s="4"/>
      <c r="M5090" s="241">
        <v>142.7037</v>
      </c>
    </row>
    <row r="5091" spans="3:13" hidden="1" outlineLevel="1" x14ac:dyDescent="0.2">
      <c r="C5091" s="139">
        <v>23.300000000000079</v>
      </c>
      <c r="D5091" s="28">
        <f t="shared" si="97"/>
        <v>186.40000000000063</v>
      </c>
      <c r="E5091" s="28">
        <f t="shared" si="98"/>
        <v>174.7500000000006</v>
      </c>
      <c r="F5091" s="28">
        <f t="shared" si="99"/>
        <v>156.7500000000006</v>
      </c>
      <c r="G5091" s="28">
        <f t="shared" si="100"/>
        <v>125.3805</v>
      </c>
      <c r="H5091" s="28">
        <f t="shared" si="101"/>
        <v>137.32759999999999</v>
      </c>
      <c r="I5091" s="28">
        <f t="shared" si="102"/>
        <v>142.7037</v>
      </c>
      <c r="J5091" s="28">
        <f t="shared" si="103"/>
        <v>146.6319</v>
      </c>
      <c r="K5091" s="28">
        <f t="shared" si="104"/>
        <v>152.9083</v>
      </c>
      <c r="L5091" s="4"/>
      <c r="M5091" s="241">
        <v>142.7037</v>
      </c>
    </row>
    <row r="5092" spans="3:13" hidden="1" outlineLevel="1" x14ac:dyDescent="0.2">
      <c r="C5092" s="139">
        <v>23.40000000000008</v>
      </c>
      <c r="D5092" s="28">
        <f t="shared" si="97"/>
        <v>187.20000000000064</v>
      </c>
      <c r="E5092" s="28">
        <f t="shared" si="98"/>
        <v>175.5000000000006</v>
      </c>
      <c r="F5092" s="28">
        <f t="shared" si="99"/>
        <v>157.5000000000006</v>
      </c>
      <c r="G5092" s="28">
        <f t="shared" si="100"/>
        <v>126.2885</v>
      </c>
      <c r="H5092" s="28">
        <f t="shared" si="101"/>
        <v>138.28729999999999</v>
      </c>
      <c r="I5092" s="28">
        <f t="shared" si="102"/>
        <v>143.6876</v>
      </c>
      <c r="J5092" s="28">
        <f t="shared" si="103"/>
        <v>147.63470000000001</v>
      </c>
      <c r="K5092" s="28">
        <f t="shared" si="104"/>
        <v>153.9427</v>
      </c>
      <c r="L5092" s="4"/>
      <c r="M5092" s="241">
        <v>143.6876</v>
      </c>
    </row>
    <row r="5093" spans="3:13" hidden="1" outlineLevel="1" x14ac:dyDescent="0.2">
      <c r="C5093" s="139">
        <v>23.500000000000082</v>
      </c>
      <c r="D5093" s="28">
        <f t="shared" si="97"/>
        <v>188.00000000000065</v>
      </c>
      <c r="E5093" s="28">
        <f t="shared" si="98"/>
        <v>176.25000000000063</v>
      </c>
      <c r="F5093" s="28">
        <f t="shared" si="99"/>
        <v>158.25000000000063</v>
      </c>
      <c r="G5093" s="28">
        <f t="shared" si="100"/>
        <v>127.1968</v>
      </c>
      <c r="H5093" s="28">
        <f t="shared" si="101"/>
        <v>139.24709999999999</v>
      </c>
      <c r="I5093" s="28">
        <f t="shared" si="102"/>
        <v>144.6722</v>
      </c>
      <c r="J5093" s="28">
        <f t="shared" si="103"/>
        <v>148.6378</v>
      </c>
      <c r="K5093" s="28">
        <f t="shared" si="104"/>
        <v>154.9769</v>
      </c>
      <c r="L5093" s="4"/>
      <c r="M5093" s="241">
        <v>144.6722</v>
      </c>
    </row>
    <row r="5094" spans="3:13" hidden="1" outlineLevel="1" x14ac:dyDescent="0.2">
      <c r="C5094" s="139">
        <v>23.600000000000083</v>
      </c>
      <c r="D5094" s="28">
        <f t="shared" si="97"/>
        <v>188.80000000000067</v>
      </c>
      <c r="E5094" s="28">
        <f t="shared" si="98"/>
        <v>177.00000000000063</v>
      </c>
      <c r="F5094" s="28">
        <f t="shared" si="99"/>
        <v>159.00000000000063</v>
      </c>
      <c r="G5094" s="28">
        <f t="shared" si="100"/>
        <v>128.1053</v>
      </c>
      <c r="H5094" s="28">
        <f t="shared" si="101"/>
        <v>140.20689999999999</v>
      </c>
      <c r="I5094" s="28">
        <f t="shared" si="102"/>
        <v>145.6566</v>
      </c>
      <c r="J5094" s="28">
        <f t="shared" si="103"/>
        <v>149.64099999999999</v>
      </c>
      <c r="K5094" s="28">
        <f t="shared" si="104"/>
        <v>156.01140000000001</v>
      </c>
      <c r="L5094" s="4"/>
      <c r="M5094" s="241">
        <v>145.6566</v>
      </c>
    </row>
    <row r="5095" spans="3:13" hidden="1" outlineLevel="1" x14ac:dyDescent="0.2">
      <c r="C5095" s="139">
        <v>23.700000000000085</v>
      </c>
      <c r="D5095" s="28">
        <f t="shared" si="97"/>
        <v>189.60000000000068</v>
      </c>
      <c r="E5095" s="28">
        <f t="shared" si="98"/>
        <v>177.75000000000063</v>
      </c>
      <c r="F5095" s="28">
        <f t="shared" si="99"/>
        <v>159.75000000000063</v>
      </c>
      <c r="G5095" s="28">
        <f t="shared" si="100"/>
        <v>128.1053</v>
      </c>
      <c r="H5095" s="28">
        <f t="shared" si="101"/>
        <v>140.20689999999999</v>
      </c>
      <c r="I5095" s="28">
        <f t="shared" si="102"/>
        <v>145.6566</v>
      </c>
      <c r="J5095" s="28">
        <f t="shared" si="103"/>
        <v>149.64099999999999</v>
      </c>
      <c r="K5095" s="28">
        <f t="shared" si="104"/>
        <v>156.01140000000001</v>
      </c>
      <c r="L5095" s="4"/>
      <c r="M5095" s="241">
        <v>145.6566</v>
      </c>
    </row>
    <row r="5096" spans="3:13" hidden="1" outlineLevel="1" x14ac:dyDescent="0.2">
      <c r="C5096" s="139">
        <v>23.800000000000086</v>
      </c>
      <c r="D5096" s="28">
        <f t="shared" si="97"/>
        <v>190.40000000000069</v>
      </c>
      <c r="E5096" s="28">
        <f t="shared" si="98"/>
        <v>178.50000000000065</v>
      </c>
      <c r="F5096" s="28">
        <f t="shared" si="99"/>
        <v>160.50000000000065</v>
      </c>
      <c r="G5096" s="28">
        <f t="shared" si="100"/>
        <v>129.01439999999999</v>
      </c>
      <c r="H5096" s="28">
        <f t="shared" si="101"/>
        <v>141.1671</v>
      </c>
      <c r="I5096" s="28">
        <f t="shared" si="102"/>
        <v>146.64109999999999</v>
      </c>
      <c r="J5096" s="28">
        <f t="shared" si="103"/>
        <v>150.64410000000001</v>
      </c>
      <c r="K5096" s="28">
        <f t="shared" si="104"/>
        <v>157.04570000000001</v>
      </c>
      <c r="L5096" s="4"/>
      <c r="M5096" s="241">
        <v>146.64109999999999</v>
      </c>
    </row>
    <row r="5097" spans="3:13" hidden="1" outlineLevel="1" x14ac:dyDescent="0.2">
      <c r="C5097" s="139">
        <v>23.900000000000087</v>
      </c>
      <c r="D5097" s="28">
        <f t="shared" si="97"/>
        <v>191.2000000000007</v>
      </c>
      <c r="E5097" s="28">
        <f t="shared" si="98"/>
        <v>179.25000000000065</v>
      </c>
      <c r="F5097" s="28">
        <f t="shared" si="99"/>
        <v>161.25000000000065</v>
      </c>
      <c r="G5097" s="28">
        <f t="shared" si="100"/>
        <v>129.92359999999999</v>
      </c>
      <c r="H5097" s="28">
        <f t="shared" si="101"/>
        <v>142.1277</v>
      </c>
      <c r="I5097" s="28">
        <f t="shared" si="102"/>
        <v>147.62610000000001</v>
      </c>
      <c r="J5097" s="28">
        <f t="shared" si="103"/>
        <v>151.64760000000001</v>
      </c>
      <c r="K5097" s="28">
        <f t="shared" si="104"/>
        <v>158.0804</v>
      </c>
      <c r="L5097" s="4"/>
      <c r="M5097" s="241">
        <v>147.62610000000001</v>
      </c>
    </row>
    <row r="5098" spans="3:13" hidden="1" outlineLevel="1" x14ac:dyDescent="0.2">
      <c r="C5098" s="139">
        <v>24.000000000000089</v>
      </c>
      <c r="D5098" s="28">
        <f t="shared" si="97"/>
        <v>192.00000000000071</v>
      </c>
      <c r="E5098" s="28">
        <f t="shared" si="98"/>
        <v>180.00000000000065</v>
      </c>
      <c r="F5098" s="28">
        <f t="shared" si="99"/>
        <v>162.00000000000065</v>
      </c>
      <c r="G5098" s="28">
        <f t="shared" si="100"/>
        <v>130.83349999999999</v>
      </c>
      <c r="H5098" s="28">
        <f t="shared" si="101"/>
        <v>143.08840000000001</v>
      </c>
      <c r="I5098" s="28">
        <f t="shared" si="102"/>
        <v>148.61099999999999</v>
      </c>
      <c r="J5098" s="28">
        <f t="shared" si="103"/>
        <v>152.65129999999999</v>
      </c>
      <c r="K5098" s="28">
        <f t="shared" si="104"/>
        <v>159.11510000000001</v>
      </c>
      <c r="L5098" s="4"/>
      <c r="M5098" s="241">
        <v>148.61099999999999</v>
      </c>
    </row>
    <row r="5099" spans="3:13" hidden="1" outlineLevel="1" x14ac:dyDescent="0.2">
      <c r="C5099" s="139">
        <v>24.10000000000009</v>
      </c>
      <c r="D5099" s="28">
        <f t="shared" si="97"/>
        <v>192.80000000000072</v>
      </c>
      <c r="E5099" s="28">
        <f t="shared" si="98"/>
        <v>180.75000000000068</v>
      </c>
      <c r="F5099" s="28">
        <f t="shared" si="99"/>
        <v>162.75000000000068</v>
      </c>
      <c r="G5099" s="28">
        <f t="shared" si="100"/>
        <v>130.83349999999999</v>
      </c>
      <c r="H5099" s="28">
        <f t="shared" si="101"/>
        <v>143.08840000000001</v>
      </c>
      <c r="I5099" s="28">
        <f t="shared" si="102"/>
        <v>148.61099999999999</v>
      </c>
      <c r="J5099" s="28">
        <f t="shared" si="103"/>
        <v>152.65129999999999</v>
      </c>
      <c r="K5099" s="28">
        <f t="shared" si="104"/>
        <v>159.11510000000001</v>
      </c>
      <c r="L5099" s="4"/>
      <c r="M5099" s="241">
        <v>148.61099999999999</v>
      </c>
    </row>
    <row r="5100" spans="3:13" hidden="1" outlineLevel="1" x14ac:dyDescent="0.2">
      <c r="C5100" s="139">
        <v>24.200000000000092</v>
      </c>
      <c r="D5100" s="28">
        <f t="shared" si="97"/>
        <v>193.60000000000073</v>
      </c>
      <c r="E5100" s="28">
        <f t="shared" si="98"/>
        <v>181.50000000000068</v>
      </c>
      <c r="F5100" s="28">
        <f t="shared" si="99"/>
        <v>163.50000000000068</v>
      </c>
      <c r="G5100" s="28">
        <f t="shared" si="100"/>
        <v>131.74340000000001</v>
      </c>
      <c r="H5100" s="28">
        <f t="shared" si="101"/>
        <v>144.04910000000001</v>
      </c>
      <c r="I5100" s="28">
        <f t="shared" si="102"/>
        <v>149.59639999999999</v>
      </c>
      <c r="J5100" s="28">
        <f t="shared" si="103"/>
        <v>153.65520000000001</v>
      </c>
      <c r="K5100" s="28">
        <f t="shared" si="104"/>
        <v>160.15020000000001</v>
      </c>
      <c r="L5100" s="4"/>
      <c r="M5100" s="241">
        <v>149.59639999999999</v>
      </c>
    </row>
    <row r="5101" spans="3:13" hidden="1" outlineLevel="1" x14ac:dyDescent="0.2">
      <c r="C5101" s="139">
        <v>24.300000000000093</v>
      </c>
      <c r="D5101" s="28">
        <f t="shared" si="97"/>
        <v>194.40000000000074</v>
      </c>
      <c r="E5101" s="28">
        <f t="shared" si="98"/>
        <v>182.25000000000071</v>
      </c>
      <c r="F5101" s="28">
        <f t="shared" si="99"/>
        <v>164.25000000000071</v>
      </c>
      <c r="G5101" s="28">
        <f t="shared" si="100"/>
        <v>132.65389999999999</v>
      </c>
      <c r="H5101" s="28">
        <f t="shared" si="101"/>
        <v>145.01009999999999</v>
      </c>
      <c r="I5101" s="28">
        <f t="shared" si="102"/>
        <v>150.58179999999999</v>
      </c>
      <c r="J5101" s="28">
        <f t="shared" si="103"/>
        <v>154.65889999999999</v>
      </c>
      <c r="K5101" s="28">
        <f t="shared" si="104"/>
        <v>161.1849</v>
      </c>
      <c r="L5101" s="4"/>
      <c r="M5101" s="241">
        <v>150.58179999999999</v>
      </c>
    </row>
    <row r="5102" spans="3:13" hidden="1" outlineLevel="1" x14ac:dyDescent="0.2">
      <c r="C5102" s="139">
        <v>24.400000000000095</v>
      </c>
      <c r="D5102" s="28">
        <f t="shared" si="97"/>
        <v>195.20000000000076</v>
      </c>
      <c r="E5102" s="28">
        <f t="shared" si="98"/>
        <v>183.00000000000071</v>
      </c>
      <c r="F5102" s="28">
        <f t="shared" si="99"/>
        <v>165.00000000000071</v>
      </c>
      <c r="G5102" s="28">
        <f t="shared" si="100"/>
        <v>133.56450000000001</v>
      </c>
      <c r="H5102" s="28">
        <f t="shared" si="101"/>
        <v>145.97139999999999</v>
      </c>
      <c r="I5102" s="28">
        <f t="shared" si="102"/>
        <v>151.56729999999999</v>
      </c>
      <c r="J5102" s="28">
        <f t="shared" si="103"/>
        <v>155.66300000000001</v>
      </c>
      <c r="K5102" s="28">
        <f t="shared" si="104"/>
        <v>162.22</v>
      </c>
      <c r="L5102" s="4"/>
      <c r="M5102" s="241">
        <v>151.56729999999999</v>
      </c>
    </row>
    <row r="5103" spans="3:13" hidden="1" outlineLevel="1" x14ac:dyDescent="0.2">
      <c r="C5103" s="139">
        <v>24.500000000000096</v>
      </c>
      <c r="D5103" s="28">
        <f t="shared" si="97"/>
        <v>196.00000000000077</v>
      </c>
      <c r="E5103" s="28">
        <f t="shared" si="98"/>
        <v>183.75000000000071</v>
      </c>
      <c r="F5103" s="28">
        <f t="shared" si="99"/>
        <v>165.75000000000071</v>
      </c>
      <c r="G5103" s="28">
        <f t="shared" si="100"/>
        <v>133.56450000000001</v>
      </c>
      <c r="H5103" s="28">
        <f t="shared" si="101"/>
        <v>145.97139999999999</v>
      </c>
      <c r="I5103" s="28">
        <f t="shared" si="102"/>
        <v>151.56729999999999</v>
      </c>
      <c r="J5103" s="28">
        <f t="shared" si="103"/>
        <v>155.66300000000001</v>
      </c>
      <c r="K5103" s="28">
        <f t="shared" si="104"/>
        <v>162.22</v>
      </c>
      <c r="L5103" s="4"/>
      <c r="M5103" s="241">
        <v>151.56729999999999</v>
      </c>
    </row>
    <row r="5104" spans="3:13" hidden="1" outlineLevel="1" x14ac:dyDescent="0.2">
      <c r="C5104" s="139">
        <v>24.600000000000097</v>
      </c>
      <c r="D5104" s="28">
        <f t="shared" si="97"/>
        <v>196.80000000000078</v>
      </c>
      <c r="E5104" s="28">
        <f t="shared" si="98"/>
        <v>184.50000000000074</v>
      </c>
      <c r="F5104" s="28">
        <f t="shared" si="99"/>
        <v>166.50000000000074</v>
      </c>
      <c r="G5104" s="28">
        <f t="shared" si="100"/>
        <v>134.47559999999999</v>
      </c>
      <c r="H5104" s="28">
        <f t="shared" si="101"/>
        <v>146.93299999999999</v>
      </c>
      <c r="I5104" s="28">
        <f t="shared" si="102"/>
        <v>152.553</v>
      </c>
      <c r="J5104" s="28">
        <f t="shared" si="103"/>
        <v>156.66720000000001</v>
      </c>
      <c r="K5104" s="28">
        <f t="shared" si="104"/>
        <v>163.25540000000001</v>
      </c>
      <c r="L5104" s="4"/>
      <c r="M5104" s="241">
        <v>152.553</v>
      </c>
    </row>
    <row r="5105" spans="3:13" hidden="1" outlineLevel="1" x14ac:dyDescent="0.2">
      <c r="C5105" s="139">
        <v>24.700000000000099</v>
      </c>
      <c r="D5105" s="28">
        <f t="shared" si="97"/>
        <v>197.60000000000079</v>
      </c>
      <c r="E5105" s="28">
        <f t="shared" si="98"/>
        <v>185.25000000000074</v>
      </c>
      <c r="F5105" s="28">
        <f t="shared" si="99"/>
        <v>167.25000000000074</v>
      </c>
      <c r="G5105" s="28">
        <f t="shared" si="100"/>
        <v>135.387</v>
      </c>
      <c r="H5105" s="28">
        <f t="shared" si="101"/>
        <v>147.89490000000001</v>
      </c>
      <c r="I5105" s="28">
        <f t="shared" si="102"/>
        <v>153.53890000000001</v>
      </c>
      <c r="J5105" s="28">
        <f t="shared" si="103"/>
        <v>157.67179999999999</v>
      </c>
      <c r="K5105" s="28">
        <f t="shared" si="104"/>
        <v>164.29040000000001</v>
      </c>
      <c r="L5105" s="4"/>
      <c r="M5105" s="241">
        <v>153.53890000000001</v>
      </c>
    </row>
    <row r="5106" spans="3:13" hidden="1" outlineLevel="1" x14ac:dyDescent="0.2">
      <c r="C5106" s="139">
        <v>24.8000000000001</v>
      </c>
      <c r="D5106" s="28">
        <f t="shared" si="97"/>
        <v>198.4000000000008</v>
      </c>
      <c r="E5106" s="28">
        <f t="shared" si="98"/>
        <v>186.00000000000074</v>
      </c>
      <c r="F5106" s="28">
        <f t="shared" si="99"/>
        <v>168.00000000000074</v>
      </c>
      <c r="G5106" s="28">
        <f t="shared" si="100"/>
        <v>136.29859999999999</v>
      </c>
      <c r="H5106" s="28">
        <f t="shared" si="101"/>
        <v>148.85679999999999</v>
      </c>
      <c r="I5106" s="28">
        <f t="shared" si="102"/>
        <v>154.5249</v>
      </c>
      <c r="J5106" s="28">
        <f t="shared" si="103"/>
        <v>158.67619999999999</v>
      </c>
      <c r="K5106" s="28">
        <f t="shared" si="104"/>
        <v>165.32579999999999</v>
      </c>
      <c r="L5106" s="4"/>
      <c r="M5106" s="241">
        <v>154.5249</v>
      </c>
    </row>
    <row r="5107" spans="3:13" hidden="1" outlineLevel="1" x14ac:dyDescent="0.2">
      <c r="C5107" s="139">
        <v>24.900000000000102</v>
      </c>
      <c r="D5107" s="28">
        <f t="shared" si="97"/>
        <v>199.20000000000081</v>
      </c>
      <c r="E5107" s="28">
        <f t="shared" si="98"/>
        <v>186.75000000000077</v>
      </c>
      <c r="F5107" s="28">
        <f t="shared" si="99"/>
        <v>168.75000000000077</v>
      </c>
      <c r="G5107" s="28">
        <f t="shared" si="100"/>
        <v>136.29859999999999</v>
      </c>
      <c r="H5107" s="28">
        <f t="shared" si="101"/>
        <v>148.85679999999999</v>
      </c>
      <c r="I5107" s="28">
        <f t="shared" si="102"/>
        <v>154.5249</v>
      </c>
      <c r="J5107" s="28">
        <f t="shared" si="103"/>
        <v>158.67619999999999</v>
      </c>
      <c r="K5107" s="28">
        <f t="shared" si="104"/>
        <v>165.32579999999999</v>
      </c>
      <c r="L5107" s="4"/>
      <c r="M5107" s="241">
        <v>154.5249</v>
      </c>
    </row>
    <row r="5108" spans="3:13" hidden="1" outlineLevel="1" x14ac:dyDescent="0.2">
      <c r="C5108" s="139">
        <v>25.000000000000103</v>
      </c>
      <c r="D5108" s="28">
        <f t="shared" si="97"/>
        <v>200.00000000000082</v>
      </c>
      <c r="E5108" s="28">
        <f t="shared" si="98"/>
        <v>187.50000000000077</v>
      </c>
      <c r="F5108" s="28">
        <f t="shared" si="99"/>
        <v>169.50000000000077</v>
      </c>
      <c r="G5108" s="28">
        <f t="shared" si="100"/>
        <v>137.2105</v>
      </c>
      <c r="H5108" s="28">
        <f t="shared" si="101"/>
        <v>149.81890000000001</v>
      </c>
      <c r="I5108" s="28">
        <f t="shared" si="102"/>
        <v>155.5111</v>
      </c>
      <c r="J5108" s="28">
        <f t="shared" si="103"/>
        <v>159.6806</v>
      </c>
      <c r="K5108" s="28">
        <f t="shared" si="104"/>
        <v>166.36150000000001</v>
      </c>
      <c r="L5108" s="4"/>
      <c r="M5108" s="241">
        <v>155.5111</v>
      </c>
    </row>
    <row r="5109" spans="3:13" hidden="1" outlineLevel="1" x14ac:dyDescent="0.2">
      <c r="C5109" s="139">
        <v>25.100000000000104</v>
      </c>
      <c r="D5109" s="28">
        <f t="shared" si="97"/>
        <v>200.80000000000084</v>
      </c>
      <c r="E5109" s="28">
        <f t="shared" si="98"/>
        <v>188.2500000000008</v>
      </c>
      <c r="F5109" s="28">
        <f t="shared" si="99"/>
        <v>170.2500000000008</v>
      </c>
      <c r="G5109" s="28">
        <f t="shared" si="100"/>
        <v>138.12260000000001</v>
      </c>
      <c r="H5109" s="28">
        <f t="shared" si="101"/>
        <v>150.78129999999999</v>
      </c>
      <c r="I5109" s="28">
        <f t="shared" si="102"/>
        <v>156.49780000000001</v>
      </c>
      <c r="J5109" s="28">
        <f t="shared" si="103"/>
        <v>160.68549999999999</v>
      </c>
      <c r="K5109" s="28">
        <f t="shared" si="104"/>
        <v>167.39709999999999</v>
      </c>
      <c r="L5109" s="4"/>
      <c r="M5109" s="241">
        <v>156.49780000000001</v>
      </c>
    </row>
    <row r="5110" spans="3:13" hidden="1" outlineLevel="1" x14ac:dyDescent="0.2">
      <c r="C5110" s="139">
        <v>25.200000000000106</v>
      </c>
      <c r="D5110" s="28">
        <f t="shared" si="97"/>
        <v>201.60000000000085</v>
      </c>
      <c r="E5110" s="28">
        <f t="shared" si="98"/>
        <v>189.0000000000008</v>
      </c>
      <c r="F5110" s="28">
        <f t="shared" si="99"/>
        <v>171.0000000000008</v>
      </c>
      <c r="G5110" s="28">
        <f t="shared" si="100"/>
        <v>139.0352</v>
      </c>
      <c r="H5110" s="28">
        <f t="shared" si="101"/>
        <v>151.7439</v>
      </c>
      <c r="I5110" s="28">
        <f t="shared" si="102"/>
        <v>157.48419999999999</v>
      </c>
      <c r="J5110" s="28">
        <f t="shared" si="103"/>
        <v>161.69030000000001</v>
      </c>
      <c r="K5110" s="28">
        <f t="shared" si="104"/>
        <v>168.43270000000001</v>
      </c>
      <c r="L5110" s="4"/>
      <c r="M5110" s="241">
        <v>157.48419999999999</v>
      </c>
    </row>
    <row r="5111" spans="3:13" hidden="1" outlineLevel="1" x14ac:dyDescent="0.2">
      <c r="C5111" s="139">
        <v>25.300000000000107</v>
      </c>
      <c r="D5111" s="28">
        <f t="shared" si="97"/>
        <v>202.40000000000086</v>
      </c>
      <c r="E5111" s="28">
        <f t="shared" si="98"/>
        <v>189.7500000000008</v>
      </c>
      <c r="F5111" s="28">
        <f t="shared" si="99"/>
        <v>171.7500000000008</v>
      </c>
      <c r="G5111" s="28">
        <f t="shared" si="100"/>
        <v>139.0352</v>
      </c>
      <c r="H5111" s="28">
        <f t="shared" si="101"/>
        <v>151.7439</v>
      </c>
      <c r="I5111" s="28">
        <f t="shared" si="102"/>
        <v>157.48419999999999</v>
      </c>
      <c r="J5111" s="28">
        <f t="shared" si="103"/>
        <v>161.69030000000001</v>
      </c>
      <c r="K5111" s="28">
        <f t="shared" si="104"/>
        <v>168.43270000000001</v>
      </c>
      <c r="L5111" s="4"/>
      <c r="M5111" s="241">
        <v>157.48419999999999</v>
      </c>
    </row>
    <row r="5112" spans="3:13" hidden="1" outlineLevel="1" x14ac:dyDescent="0.2">
      <c r="C5112" s="139">
        <v>25.400000000000109</v>
      </c>
      <c r="D5112" s="28">
        <f t="shared" si="97"/>
        <v>203.20000000000087</v>
      </c>
      <c r="E5112" s="28">
        <f t="shared" si="98"/>
        <v>190.50000000000082</v>
      </c>
      <c r="F5112" s="28">
        <f t="shared" si="99"/>
        <v>172.50000000000082</v>
      </c>
      <c r="G5112" s="28">
        <f t="shared" si="100"/>
        <v>139.94829999999999</v>
      </c>
      <c r="H5112" s="28">
        <f t="shared" si="101"/>
        <v>152.7064</v>
      </c>
      <c r="I5112" s="28">
        <f t="shared" si="102"/>
        <v>158.4708</v>
      </c>
      <c r="J5112" s="28">
        <f t="shared" si="103"/>
        <v>162.69560000000001</v>
      </c>
      <c r="K5112" s="28">
        <f t="shared" si="104"/>
        <v>169.46850000000001</v>
      </c>
      <c r="L5112" s="4"/>
      <c r="M5112" s="241">
        <v>158.4708</v>
      </c>
    </row>
    <row r="5113" spans="3:13" hidden="1" outlineLevel="1" x14ac:dyDescent="0.2">
      <c r="C5113" s="139">
        <v>25.50000000000011</v>
      </c>
      <c r="D5113" s="28">
        <f t="shared" si="97"/>
        <v>204.00000000000088</v>
      </c>
      <c r="E5113" s="28">
        <f t="shared" si="98"/>
        <v>191.25000000000082</v>
      </c>
      <c r="F5113" s="28">
        <f t="shared" si="99"/>
        <v>173.25000000000082</v>
      </c>
      <c r="G5113" s="28">
        <f t="shared" si="100"/>
        <v>140.8613</v>
      </c>
      <c r="H5113" s="28">
        <f t="shared" si="101"/>
        <v>153.6695</v>
      </c>
      <c r="I5113" s="28">
        <f t="shared" si="102"/>
        <v>159.45779999999999</v>
      </c>
      <c r="J5113" s="28">
        <f t="shared" si="103"/>
        <v>163.70060000000001</v>
      </c>
      <c r="K5113" s="28">
        <f t="shared" si="104"/>
        <v>170.5043</v>
      </c>
      <c r="L5113" s="4"/>
      <c r="M5113" s="241">
        <v>159.45779999999999</v>
      </c>
    </row>
    <row r="5114" spans="3:13" hidden="1" outlineLevel="1" x14ac:dyDescent="0.2">
      <c r="C5114" s="139">
        <v>25.600000000000112</v>
      </c>
      <c r="D5114" s="28">
        <f t="shared" si="97"/>
        <v>204.80000000000089</v>
      </c>
      <c r="E5114" s="28">
        <f t="shared" si="98"/>
        <v>192.00000000000082</v>
      </c>
      <c r="F5114" s="28">
        <f t="shared" si="99"/>
        <v>174.00000000000082</v>
      </c>
      <c r="G5114" s="28">
        <f t="shared" si="100"/>
        <v>141.7747</v>
      </c>
      <c r="H5114" s="28">
        <f t="shared" si="101"/>
        <v>154.6327</v>
      </c>
      <c r="I5114" s="28">
        <f t="shared" si="102"/>
        <v>160.44489999999999</v>
      </c>
      <c r="J5114" s="28">
        <f t="shared" si="103"/>
        <v>164.70590000000001</v>
      </c>
      <c r="K5114" s="28">
        <f t="shared" si="104"/>
        <v>171.5403</v>
      </c>
      <c r="L5114" s="4"/>
      <c r="M5114" s="241">
        <v>160.44489999999999</v>
      </c>
    </row>
    <row r="5115" spans="3:13" hidden="1" outlineLevel="1" x14ac:dyDescent="0.2">
      <c r="C5115" s="139">
        <v>25.700000000000113</v>
      </c>
      <c r="D5115" s="28">
        <f t="shared" ref="D5115:D5178" si="105">C5115*Channels.per.TRX</f>
        <v>205.6000000000009</v>
      </c>
      <c r="E5115" s="28">
        <f t="shared" ref="E5115:E5178" si="106">D5115-C5115*sig.channel.per.TRX</f>
        <v>192.75000000000085</v>
      </c>
      <c r="F5115" s="28">
        <f t="shared" ref="F5115:F5178" si="107">MAX(0,E5115-GPRS.channel.per.sector)</f>
        <v>174.75000000000085</v>
      </c>
      <c r="G5115" s="28">
        <f t="shared" ref="G5115:G5178" si="108">INDEX(D$10:D$4326,MATCH($F5115,$C$10:$C$4326,1))</f>
        <v>141.7747</v>
      </c>
      <c r="H5115" s="28">
        <f t="shared" ref="H5115:H5178" si="109">INDEX(E$10:E$4326,MATCH($F5115,$C$10:$C$4326,1))</f>
        <v>154.6327</v>
      </c>
      <c r="I5115" s="28">
        <f t="shared" ref="I5115:I5178" si="110">INDEX(F$10:F$4326,MATCH($F5115,$C$10:$C$4326,1))</f>
        <v>160.44489999999999</v>
      </c>
      <c r="J5115" s="28">
        <f t="shared" ref="J5115:J5178" si="111">INDEX(G$10:G$4326,MATCH($F5115,$C$10:$C$4326,1))</f>
        <v>164.70590000000001</v>
      </c>
      <c r="K5115" s="28">
        <f t="shared" ref="K5115:K5178" si="112">INDEX(H$10:H$4326,MATCH($F5115,$C$10:$C$4326,1))</f>
        <v>171.5403</v>
      </c>
      <c r="L5115" s="4"/>
      <c r="M5115" s="241">
        <v>160.44489999999999</v>
      </c>
    </row>
    <row r="5116" spans="3:13" hidden="1" outlineLevel="1" x14ac:dyDescent="0.2">
      <c r="C5116" s="139">
        <v>25.800000000000114</v>
      </c>
      <c r="D5116" s="28">
        <f t="shared" si="105"/>
        <v>206.40000000000092</v>
      </c>
      <c r="E5116" s="28">
        <f t="shared" si="106"/>
        <v>193.50000000000085</v>
      </c>
      <c r="F5116" s="28">
        <f t="shared" si="107"/>
        <v>175.50000000000085</v>
      </c>
      <c r="G5116" s="28">
        <f t="shared" si="108"/>
        <v>142.68870000000001</v>
      </c>
      <c r="H5116" s="28">
        <f t="shared" si="109"/>
        <v>155.5959</v>
      </c>
      <c r="I5116" s="28">
        <f t="shared" si="110"/>
        <v>161.43209999999999</v>
      </c>
      <c r="J5116" s="28">
        <f t="shared" si="111"/>
        <v>165.71119999999999</v>
      </c>
      <c r="K5116" s="28">
        <f t="shared" si="112"/>
        <v>172.57650000000001</v>
      </c>
      <c r="L5116" s="4"/>
      <c r="M5116" s="241">
        <v>161.43209999999999</v>
      </c>
    </row>
    <row r="5117" spans="3:13" hidden="1" outlineLevel="1" x14ac:dyDescent="0.2">
      <c r="C5117" s="139">
        <v>25.900000000000116</v>
      </c>
      <c r="D5117" s="28">
        <f t="shared" si="105"/>
        <v>207.20000000000093</v>
      </c>
      <c r="E5117" s="28">
        <f t="shared" si="106"/>
        <v>194.25000000000088</v>
      </c>
      <c r="F5117" s="28">
        <f t="shared" si="107"/>
        <v>176.25000000000088</v>
      </c>
      <c r="G5117" s="28">
        <f t="shared" si="108"/>
        <v>143.6027</v>
      </c>
      <c r="H5117" s="28">
        <f t="shared" si="109"/>
        <v>156.55950000000001</v>
      </c>
      <c r="I5117" s="28">
        <f t="shared" si="110"/>
        <v>162.4194</v>
      </c>
      <c r="J5117" s="28">
        <f t="shared" si="111"/>
        <v>166.71690000000001</v>
      </c>
      <c r="K5117" s="28">
        <f t="shared" si="112"/>
        <v>173.61269999999999</v>
      </c>
      <c r="L5117" s="4"/>
      <c r="M5117" s="241">
        <v>162.4194</v>
      </c>
    </row>
    <row r="5118" spans="3:13" hidden="1" outlineLevel="1" x14ac:dyDescent="0.2">
      <c r="C5118" s="139">
        <v>26.000000000000117</v>
      </c>
      <c r="D5118" s="28">
        <f t="shared" si="105"/>
        <v>208.00000000000094</v>
      </c>
      <c r="E5118" s="28">
        <f t="shared" si="106"/>
        <v>195.00000000000088</v>
      </c>
      <c r="F5118" s="28">
        <f t="shared" si="107"/>
        <v>177.00000000000088</v>
      </c>
      <c r="G5118" s="28">
        <f t="shared" si="108"/>
        <v>144.5172</v>
      </c>
      <c r="H5118" s="28">
        <f t="shared" si="109"/>
        <v>157.52330000000001</v>
      </c>
      <c r="I5118" s="28">
        <f t="shared" si="110"/>
        <v>163.40700000000001</v>
      </c>
      <c r="J5118" s="28">
        <f t="shared" si="111"/>
        <v>167.7226</v>
      </c>
      <c r="K5118" s="28">
        <f t="shared" si="112"/>
        <v>174.6491</v>
      </c>
      <c r="L5118" s="4"/>
      <c r="M5118" s="241">
        <v>163.40700000000001</v>
      </c>
    </row>
    <row r="5119" spans="3:13" hidden="1" outlineLevel="1" x14ac:dyDescent="0.2">
      <c r="C5119" s="139">
        <v>26.100000000000119</v>
      </c>
      <c r="D5119" s="28">
        <f t="shared" si="105"/>
        <v>208.80000000000095</v>
      </c>
      <c r="E5119" s="28">
        <f t="shared" si="106"/>
        <v>195.75000000000088</v>
      </c>
      <c r="F5119" s="28">
        <f t="shared" si="107"/>
        <v>177.75000000000088</v>
      </c>
      <c r="G5119" s="28">
        <f t="shared" si="108"/>
        <v>144.5172</v>
      </c>
      <c r="H5119" s="28">
        <f t="shared" si="109"/>
        <v>157.52330000000001</v>
      </c>
      <c r="I5119" s="28">
        <f t="shared" si="110"/>
        <v>163.40700000000001</v>
      </c>
      <c r="J5119" s="28">
        <f t="shared" si="111"/>
        <v>167.7226</v>
      </c>
      <c r="K5119" s="28">
        <f t="shared" si="112"/>
        <v>174.6491</v>
      </c>
      <c r="L5119" s="4"/>
      <c r="M5119" s="241">
        <v>163.40700000000001</v>
      </c>
    </row>
    <row r="5120" spans="3:13" hidden="1" outlineLevel="1" x14ac:dyDescent="0.2">
      <c r="C5120" s="139">
        <v>26.20000000000012</v>
      </c>
      <c r="D5120" s="28">
        <f t="shared" si="105"/>
        <v>209.60000000000096</v>
      </c>
      <c r="E5120" s="28">
        <f t="shared" si="106"/>
        <v>196.50000000000091</v>
      </c>
      <c r="F5120" s="28">
        <f t="shared" si="107"/>
        <v>178.50000000000091</v>
      </c>
      <c r="G5120" s="28">
        <f t="shared" si="108"/>
        <v>145.43180000000001</v>
      </c>
      <c r="H5120" s="28">
        <f t="shared" si="109"/>
        <v>158.4873</v>
      </c>
      <c r="I5120" s="28">
        <f t="shared" si="110"/>
        <v>164.39439999999999</v>
      </c>
      <c r="J5120" s="28">
        <f t="shared" si="111"/>
        <v>168.7285</v>
      </c>
      <c r="K5120" s="28">
        <f t="shared" si="112"/>
        <v>175.68539999999999</v>
      </c>
      <c r="L5120" s="4"/>
      <c r="M5120" s="241">
        <v>164.39439999999999</v>
      </c>
    </row>
    <row r="5121" spans="3:13" hidden="1" outlineLevel="1" x14ac:dyDescent="0.2">
      <c r="C5121" s="139">
        <v>26.300000000000122</v>
      </c>
      <c r="D5121" s="28">
        <f t="shared" si="105"/>
        <v>210.40000000000097</v>
      </c>
      <c r="E5121" s="28">
        <f t="shared" si="106"/>
        <v>197.25000000000091</v>
      </c>
      <c r="F5121" s="28">
        <f t="shared" si="107"/>
        <v>179.25000000000091</v>
      </c>
      <c r="G5121" s="28">
        <f t="shared" si="108"/>
        <v>146.34690000000001</v>
      </c>
      <c r="H5121" s="28">
        <f t="shared" si="109"/>
        <v>159.45140000000001</v>
      </c>
      <c r="I5121" s="28">
        <f t="shared" si="110"/>
        <v>165.38210000000001</v>
      </c>
      <c r="J5121" s="28">
        <f t="shared" si="111"/>
        <v>169.7345</v>
      </c>
      <c r="K5121" s="28">
        <f t="shared" si="112"/>
        <v>176.72190000000001</v>
      </c>
      <c r="L5121" s="4"/>
      <c r="M5121" s="241">
        <v>165.38210000000001</v>
      </c>
    </row>
    <row r="5122" spans="3:13" hidden="1" outlineLevel="1" x14ac:dyDescent="0.2">
      <c r="C5122" s="139">
        <v>26.400000000000123</v>
      </c>
      <c r="D5122" s="28">
        <f t="shared" si="105"/>
        <v>211.20000000000098</v>
      </c>
      <c r="E5122" s="28">
        <f t="shared" si="106"/>
        <v>198.00000000000091</v>
      </c>
      <c r="F5122" s="28">
        <f t="shared" si="107"/>
        <v>180.00000000000091</v>
      </c>
      <c r="G5122" s="28">
        <f t="shared" si="108"/>
        <v>147.2619</v>
      </c>
      <c r="H5122" s="28">
        <f t="shared" si="109"/>
        <v>160.41569999999999</v>
      </c>
      <c r="I5122" s="28">
        <f t="shared" si="110"/>
        <v>166.37029999999999</v>
      </c>
      <c r="J5122" s="28">
        <f t="shared" si="111"/>
        <v>170.74039999999999</v>
      </c>
      <c r="K5122" s="28">
        <f t="shared" si="112"/>
        <v>177.75829999999999</v>
      </c>
      <c r="L5122" s="4"/>
      <c r="M5122" s="241">
        <v>166.37029999999999</v>
      </c>
    </row>
    <row r="5123" spans="3:13" hidden="1" outlineLevel="1" x14ac:dyDescent="0.2">
      <c r="C5123" s="139">
        <v>26.500000000000124</v>
      </c>
      <c r="D5123" s="28">
        <f t="shared" si="105"/>
        <v>212.00000000000099</v>
      </c>
      <c r="E5123" s="28">
        <f t="shared" si="106"/>
        <v>198.75000000000094</v>
      </c>
      <c r="F5123" s="28">
        <f t="shared" si="107"/>
        <v>180.75000000000094</v>
      </c>
      <c r="G5123" s="28">
        <f t="shared" si="108"/>
        <v>147.2619</v>
      </c>
      <c r="H5123" s="28">
        <f t="shared" si="109"/>
        <v>160.41569999999999</v>
      </c>
      <c r="I5123" s="28">
        <f t="shared" si="110"/>
        <v>166.37029999999999</v>
      </c>
      <c r="J5123" s="28">
        <f t="shared" si="111"/>
        <v>170.74039999999999</v>
      </c>
      <c r="K5123" s="28">
        <f t="shared" si="112"/>
        <v>177.75829999999999</v>
      </c>
      <c r="L5123" s="4"/>
      <c r="M5123" s="241">
        <v>166.37029999999999</v>
      </c>
    </row>
    <row r="5124" spans="3:13" hidden="1" outlineLevel="1" x14ac:dyDescent="0.2">
      <c r="C5124" s="139">
        <v>26.600000000000126</v>
      </c>
      <c r="D5124" s="28">
        <f t="shared" si="105"/>
        <v>212.80000000000101</v>
      </c>
      <c r="E5124" s="28">
        <f t="shared" si="106"/>
        <v>199.50000000000094</v>
      </c>
      <c r="F5124" s="28">
        <f t="shared" si="107"/>
        <v>181.50000000000094</v>
      </c>
      <c r="G5124" s="28">
        <f t="shared" si="108"/>
        <v>148.17779999999999</v>
      </c>
      <c r="H5124" s="28">
        <f t="shared" si="109"/>
        <v>161.3801</v>
      </c>
      <c r="I5124" s="28">
        <f t="shared" si="110"/>
        <v>167.35839999999999</v>
      </c>
      <c r="J5124" s="28">
        <f t="shared" si="111"/>
        <v>171.7466</v>
      </c>
      <c r="K5124" s="28">
        <f t="shared" si="112"/>
        <v>178.79480000000001</v>
      </c>
      <c r="L5124" s="4"/>
      <c r="M5124" s="241">
        <v>167.35839999999999</v>
      </c>
    </row>
    <row r="5125" spans="3:13" hidden="1" outlineLevel="1" x14ac:dyDescent="0.2">
      <c r="C5125" s="139">
        <v>26.700000000000127</v>
      </c>
      <c r="D5125" s="28">
        <f t="shared" si="105"/>
        <v>213.60000000000102</v>
      </c>
      <c r="E5125" s="28">
        <f t="shared" si="106"/>
        <v>200.25000000000097</v>
      </c>
      <c r="F5125" s="28">
        <f t="shared" si="107"/>
        <v>182.25000000000097</v>
      </c>
      <c r="G5125" s="28">
        <f t="shared" si="108"/>
        <v>149.09360000000001</v>
      </c>
      <c r="H5125" s="28">
        <f t="shared" si="109"/>
        <v>162.34460000000001</v>
      </c>
      <c r="I5125" s="28">
        <f t="shared" si="110"/>
        <v>168.3466</v>
      </c>
      <c r="J5125" s="28">
        <f t="shared" si="111"/>
        <v>172.75280000000001</v>
      </c>
      <c r="K5125" s="28">
        <f t="shared" si="112"/>
        <v>179.83160000000001</v>
      </c>
      <c r="L5125" s="4"/>
      <c r="M5125" s="241">
        <v>168.3466</v>
      </c>
    </row>
    <row r="5126" spans="3:13" hidden="1" outlineLevel="1" x14ac:dyDescent="0.2">
      <c r="C5126" s="139">
        <v>26.800000000000129</v>
      </c>
      <c r="D5126" s="28">
        <f t="shared" si="105"/>
        <v>214.40000000000103</v>
      </c>
      <c r="E5126" s="28">
        <f t="shared" si="106"/>
        <v>201.00000000000097</v>
      </c>
      <c r="F5126" s="28">
        <f t="shared" si="107"/>
        <v>183.00000000000097</v>
      </c>
      <c r="G5126" s="28">
        <f t="shared" si="108"/>
        <v>150.0095</v>
      </c>
      <c r="H5126" s="28">
        <f t="shared" si="109"/>
        <v>163.30950000000001</v>
      </c>
      <c r="I5126" s="28">
        <f t="shared" si="110"/>
        <v>169.33510000000001</v>
      </c>
      <c r="J5126" s="28">
        <f t="shared" si="111"/>
        <v>173.75919999999999</v>
      </c>
      <c r="K5126" s="28">
        <f t="shared" si="112"/>
        <v>180.86859999999999</v>
      </c>
      <c r="L5126" s="4"/>
      <c r="M5126" s="241">
        <v>169.33510000000001</v>
      </c>
    </row>
    <row r="5127" spans="3:13" hidden="1" outlineLevel="1" x14ac:dyDescent="0.2">
      <c r="C5127" s="139">
        <v>26.90000000000013</v>
      </c>
      <c r="D5127" s="28">
        <f t="shared" si="105"/>
        <v>215.20000000000104</v>
      </c>
      <c r="E5127" s="28">
        <f t="shared" si="106"/>
        <v>201.75000000000097</v>
      </c>
      <c r="F5127" s="28">
        <f t="shared" si="107"/>
        <v>183.75000000000097</v>
      </c>
      <c r="G5127" s="28">
        <f t="shared" si="108"/>
        <v>150.0095</v>
      </c>
      <c r="H5127" s="28">
        <f t="shared" si="109"/>
        <v>163.30950000000001</v>
      </c>
      <c r="I5127" s="28">
        <f t="shared" si="110"/>
        <v>169.33510000000001</v>
      </c>
      <c r="J5127" s="28">
        <f t="shared" si="111"/>
        <v>173.75919999999999</v>
      </c>
      <c r="K5127" s="28">
        <f t="shared" si="112"/>
        <v>180.86859999999999</v>
      </c>
      <c r="L5127" s="4"/>
      <c r="M5127" s="241">
        <v>169.33510000000001</v>
      </c>
    </row>
    <row r="5128" spans="3:13" hidden="1" outlineLevel="1" x14ac:dyDescent="0.2">
      <c r="C5128" s="139">
        <v>27.000000000000131</v>
      </c>
      <c r="D5128" s="28">
        <f t="shared" si="105"/>
        <v>216.00000000000105</v>
      </c>
      <c r="E5128" s="28">
        <f t="shared" si="106"/>
        <v>202.50000000000099</v>
      </c>
      <c r="F5128" s="28">
        <f t="shared" si="107"/>
        <v>184.50000000000099</v>
      </c>
      <c r="G5128" s="28">
        <f t="shared" si="108"/>
        <v>150.92609999999999</v>
      </c>
      <c r="H5128" s="28">
        <f t="shared" si="109"/>
        <v>164.27459999999999</v>
      </c>
      <c r="I5128" s="28">
        <f t="shared" si="110"/>
        <v>170.3236</v>
      </c>
      <c r="J5128" s="28">
        <f t="shared" si="111"/>
        <v>174.76589999999999</v>
      </c>
      <c r="K5128" s="28">
        <f t="shared" si="112"/>
        <v>181.90520000000001</v>
      </c>
      <c r="L5128" s="4"/>
      <c r="M5128" s="241">
        <v>170.3236</v>
      </c>
    </row>
    <row r="5129" spans="3:13" hidden="1" outlineLevel="1" x14ac:dyDescent="0.2">
      <c r="C5129" s="139">
        <v>27.100000000000133</v>
      </c>
      <c r="D5129" s="28">
        <f t="shared" si="105"/>
        <v>216.80000000000106</v>
      </c>
      <c r="E5129" s="28">
        <f t="shared" si="106"/>
        <v>203.25000000000099</v>
      </c>
      <c r="F5129" s="28">
        <f t="shared" si="107"/>
        <v>185.25000000000099</v>
      </c>
      <c r="G5129" s="28">
        <f t="shared" si="108"/>
        <v>151.84270000000001</v>
      </c>
      <c r="H5129" s="28">
        <f t="shared" si="109"/>
        <v>165.2397</v>
      </c>
      <c r="I5129" s="28">
        <f t="shared" si="110"/>
        <v>171.31209999999999</v>
      </c>
      <c r="J5129" s="28">
        <f t="shared" si="111"/>
        <v>175.77250000000001</v>
      </c>
      <c r="K5129" s="28">
        <f t="shared" si="112"/>
        <v>182.9425</v>
      </c>
      <c r="L5129" s="4"/>
      <c r="M5129" s="241">
        <v>171.31209999999999</v>
      </c>
    </row>
    <row r="5130" spans="3:13" hidden="1" outlineLevel="1" x14ac:dyDescent="0.2">
      <c r="C5130" s="139">
        <v>27.200000000000134</v>
      </c>
      <c r="D5130" s="28">
        <f t="shared" si="105"/>
        <v>217.60000000000107</v>
      </c>
      <c r="E5130" s="28">
        <f t="shared" si="106"/>
        <v>204.00000000000099</v>
      </c>
      <c r="F5130" s="28">
        <f t="shared" si="107"/>
        <v>186.00000000000099</v>
      </c>
      <c r="G5130" s="28">
        <f t="shared" si="108"/>
        <v>152.75960000000001</v>
      </c>
      <c r="H5130" s="28">
        <f t="shared" si="109"/>
        <v>166.20529999999999</v>
      </c>
      <c r="I5130" s="28">
        <f t="shared" si="110"/>
        <v>172.30090000000001</v>
      </c>
      <c r="J5130" s="28">
        <f t="shared" si="111"/>
        <v>176.77940000000001</v>
      </c>
      <c r="K5130" s="28">
        <f t="shared" si="112"/>
        <v>183.9796</v>
      </c>
      <c r="L5130" s="4"/>
      <c r="M5130" s="241">
        <v>172.30090000000001</v>
      </c>
    </row>
    <row r="5131" spans="3:13" hidden="1" outlineLevel="1" x14ac:dyDescent="0.2">
      <c r="C5131" s="139">
        <v>27.300000000000136</v>
      </c>
      <c r="D5131" s="28">
        <f t="shared" si="105"/>
        <v>218.40000000000109</v>
      </c>
      <c r="E5131" s="28">
        <f t="shared" si="106"/>
        <v>204.75000000000102</v>
      </c>
      <c r="F5131" s="28">
        <f t="shared" si="107"/>
        <v>186.75000000000102</v>
      </c>
      <c r="G5131" s="28">
        <f t="shared" si="108"/>
        <v>152.75960000000001</v>
      </c>
      <c r="H5131" s="28">
        <f t="shared" si="109"/>
        <v>166.20529999999999</v>
      </c>
      <c r="I5131" s="28">
        <f t="shared" si="110"/>
        <v>172.30090000000001</v>
      </c>
      <c r="J5131" s="28">
        <f t="shared" si="111"/>
        <v>176.77940000000001</v>
      </c>
      <c r="K5131" s="28">
        <f t="shared" si="112"/>
        <v>183.9796</v>
      </c>
      <c r="L5131" s="4"/>
      <c r="M5131" s="241">
        <v>172.30090000000001</v>
      </c>
    </row>
    <row r="5132" spans="3:13" hidden="1" outlineLevel="1" x14ac:dyDescent="0.2">
      <c r="C5132" s="139">
        <v>27.400000000000137</v>
      </c>
      <c r="D5132" s="28">
        <f t="shared" si="105"/>
        <v>219.2000000000011</v>
      </c>
      <c r="E5132" s="28">
        <f t="shared" si="106"/>
        <v>205.50000000000102</v>
      </c>
      <c r="F5132" s="28">
        <f t="shared" si="107"/>
        <v>187.50000000000102</v>
      </c>
      <c r="G5132" s="28">
        <f t="shared" si="108"/>
        <v>153.67679999999999</v>
      </c>
      <c r="H5132" s="28">
        <f t="shared" si="109"/>
        <v>167.1705</v>
      </c>
      <c r="I5132" s="28">
        <f t="shared" si="110"/>
        <v>173.29</v>
      </c>
      <c r="J5132" s="28">
        <f t="shared" si="111"/>
        <v>177.78620000000001</v>
      </c>
      <c r="K5132" s="28">
        <f t="shared" si="112"/>
        <v>185.01650000000001</v>
      </c>
      <c r="L5132" s="4"/>
      <c r="M5132" s="241">
        <v>173.29</v>
      </c>
    </row>
    <row r="5133" spans="3:13" hidden="1" outlineLevel="1" x14ac:dyDescent="0.2">
      <c r="C5133" s="139">
        <v>27.500000000000139</v>
      </c>
      <c r="D5133" s="28">
        <f t="shared" si="105"/>
        <v>220.00000000000111</v>
      </c>
      <c r="E5133" s="28">
        <f t="shared" si="106"/>
        <v>206.25000000000105</v>
      </c>
      <c r="F5133" s="28">
        <f t="shared" si="107"/>
        <v>188.25000000000105</v>
      </c>
      <c r="G5133" s="28">
        <f t="shared" si="108"/>
        <v>154.59440000000001</v>
      </c>
      <c r="H5133" s="28">
        <f t="shared" si="109"/>
        <v>168.13659999999999</v>
      </c>
      <c r="I5133" s="28">
        <f t="shared" si="110"/>
        <v>174.2791</v>
      </c>
      <c r="J5133" s="28">
        <f t="shared" si="111"/>
        <v>178.79320000000001</v>
      </c>
      <c r="K5133" s="28">
        <f t="shared" si="112"/>
        <v>186.054</v>
      </c>
      <c r="L5133" s="4"/>
      <c r="M5133" s="241">
        <v>174.2791</v>
      </c>
    </row>
    <row r="5134" spans="3:13" hidden="1" outlineLevel="1" x14ac:dyDescent="0.2">
      <c r="C5134" s="139">
        <v>27.60000000000014</v>
      </c>
      <c r="D5134" s="28">
        <f t="shared" si="105"/>
        <v>220.80000000000112</v>
      </c>
      <c r="E5134" s="28">
        <f t="shared" si="106"/>
        <v>207.00000000000105</v>
      </c>
      <c r="F5134" s="28">
        <f t="shared" si="107"/>
        <v>189.00000000000105</v>
      </c>
      <c r="G5134" s="28">
        <f t="shared" si="108"/>
        <v>155.51179999999999</v>
      </c>
      <c r="H5134" s="28">
        <f t="shared" si="109"/>
        <v>169.10230000000001</v>
      </c>
      <c r="I5134" s="28">
        <f t="shared" si="110"/>
        <v>175.2681</v>
      </c>
      <c r="J5134" s="28">
        <f t="shared" si="111"/>
        <v>179.8005</v>
      </c>
      <c r="K5134" s="28">
        <f t="shared" si="112"/>
        <v>187.09119999999999</v>
      </c>
      <c r="L5134" s="4"/>
      <c r="M5134" s="241">
        <v>175.2681</v>
      </c>
    </row>
    <row r="5135" spans="3:13" hidden="1" outlineLevel="1" x14ac:dyDescent="0.2">
      <c r="C5135" s="139">
        <v>27.700000000000141</v>
      </c>
      <c r="D5135" s="28">
        <f t="shared" si="105"/>
        <v>221.60000000000113</v>
      </c>
      <c r="E5135" s="28">
        <f t="shared" si="106"/>
        <v>207.75000000000105</v>
      </c>
      <c r="F5135" s="28">
        <f t="shared" si="107"/>
        <v>189.75000000000105</v>
      </c>
      <c r="G5135" s="28">
        <f t="shared" si="108"/>
        <v>155.51179999999999</v>
      </c>
      <c r="H5135" s="28">
        <f t="shared" si="109"/>
        <v>169.10230000000001</v>
      </c>
      <c r="I5135" s="28">
        <f t="shared" si="110"/>
        <v>175.2681</v>
      </c>
      <c r="J5135" s="28">
        <f t="shared" si="111"/>
        <v>179.8005</v>
      </c>
      <c r="K5135" s="28">
        <f t="shared" si="112"/>
        <v>187.09119999999999</v>
      </c>
      <c r="L5135" s="4"/>
      <c r="M5135" s="241">
        <v>175.2681</v>
      </c>
    </row>
    <row r="5136" spans="3:13" hidden="1" outlineLevel="1" x14ac:dyDescent="0.2">
      <c r="C5136" s="139">
        <v>27.800000000000143</v>
      </c>
      <c r="D5136" s="28">
        <f t="shared" si="105"/>
        <v>222.40000000000114</v>
      </c>
      <c r="E5136" s="28">
        <f t="shared" si="106"/>
        <v>208.50000000000108</v>
      </c>
      <c r="F5136" s="28">
        <f t="shared" si="107"/>
        <v>190.50000000000108</v>
      </c>
      <c r="G5136" s="28">
        <f t="shared" si="108"/>
        <v>156.43</v>
      </c>
      <c r="H5136" s="28">
        <f t="shared" si="109"/>
        <v>170.0684</v>
      </c>
      <c r="I5136" s="28">
        <f t="shared" si="110"/>
        <v>176.25739999999999</v>
      </c>
      <c r="J5136" s="28">
        <f t="shared" si="111"/>
        <v>180.80760000000001</v>
      </c>
      <c r="K5136" s="28">
        <f t="shared" si="112"/>
        <v>188.12889999999999</v>
      </c>
      <c r="L5136" s="4"/>
      <c r="M5136" s="241">
        <v>176.25739999999999</v>
      </c>
    </row>
    <row r="5137" spans="3:13" hidden="1" outlineLevel="1" x14ac:dyDescent="0.2">
      <c r="C5137" s="139">
        <v>27.900000000000144</v>
      </c>
      <c r="D5137" s="28">
        <f t="shared" si="105"/>
        <v>223.20000000000115</v>
      </c>
      <c r="E5137" s="28">
        <f t="shared" si="106"/>
        <v>209.25000000000108</v>
      </c>
      <c r="F5137" s="28">
        <f t="shared" si="107"/>
        <v>191.25000000000108</v>
      </c>
      <c r="G5137" s="28">
        <f t="shared" si="108"/>
        <v>157.3484</v>
      </c>
      <c r="H5137" s="28">
        <f t="shared" si="109"/>
        <v>171.03450000000001</v>
      </c>
      <c r="I5137" s="28">
        <f t="shared" si="110"/>
        <v>177.24700000000001</v>
      </c>
      <c r="J5137" s="28">
        <f t="shared" si="111"/>
        <v>181.815</v>
      </c>
      <c r="K5137" s="28">
        <f t="shared" si="112"/>
        <v>189.16650000000001</v>
      </c>
      <c r="L5137" s="4"/>
      <c r="M5137" s="241">
        <v>177.24700000000001</v>
      </c>
    </row>
    <row r="5138" spans="3:13" hidden="1" outlineLevel="1" x14ac:dyDescent="0.2">
      <c r="C5138" s="139">
        <v>28.000000000000146</v>
      </c>
      <c r="D5138" s="28">
        <f t="shared" si="105"/>
        <v>224.00000000000117</v>
      </c>
      <c r="E5138" s="28">
        <f t="shared" si="106"/>
        <v>210.00000000000108</v>
      </c>
      <c r="F5138" s="28">
        <f t="shared" si="107"/>
        <v>192.00000000000108</v>
      </c>
      <c r="G5138" s="28">
        <f t="shared" si="108"/>
        <v>158.26669999999999</v>
      </c>
      <c r="H5138" s="28">
        <f t="shared" si="109"/>
        <v>172.001</v>
      </c>
      <c r="I5138" s="28">
        <f t="shared" si="110"/>
        <v>178.23650000000001</v>
      </c>
      <c r="J5138" s="28">
        <f t="shared" si="111"/>
        <v>182.82239999999999</v>
      </c>
      <c r="K5138" s="28">
        <f t="shared" si="112"/>
        <v>190.2037</v>
      </c>
      <c r="L5138" s="4"/>
      <c r="M5138" s="241">
        <v>178.23650000000001</v>
      </c>
    </row>
    <row r="5139" spans="3:13" hidden="1" outlineLevel="1" x14ac:dyDescent="0.2">
      <c r="C5139" s="139">
        <v>28.100000000000147</v>
      </c>
      <c r="D5139" s="28">
        <f t="shared" si="105"/>
        <v>224.80000000000118</v>
      </c>
      <c r="E5139" s="28">
        <f t="shared" si="106"/>
        <v>210.75000000000111</v>
      </c>
      <c r="F5139" s="28">
        <f t="shared" si="107"/>
        <v>192.75000000000111</v>
      </c>
      <c r="G5139" s="28">
        <f t="shared" si="108"/>
        <v>158.26669999999999</v>
      </c>
      <c r="H5139" s="28">
        <f t="shared" si="109"/>
        <v>172.001</v>
      </c>
      <c r="I5139" s="28">
        <f t="shared" si="110"/>
        <v>178.23650000000001</v>
      </c>
      <c r="J5139" s="28">
        <f t="shared" si="111"/>
        <v>182.82239999999999</v>
      </c>
      <c r="K5139" s="28">
        <f t="shared" si="112"/>
        <v>190.2037</v>
      </c>
      <c r="L5139" s="4"/>
      <c r="M5139" s="241">
        <v>178.23650000000001</v>
      </c>
    </row>
    <row r="5140" spans="3:13" hidden="1" outlineLevel="1" x14ac:dyDescent="0.2">
      <c r="C5140" s="139">
        <v>28.200000000000149</v>
      </c>
      <c r="D5140" s="28">
        <f t="shared" si="105"/>
        <v>225.60000000000119</v>
      </c>
      <c r="E5140" s="28">
        <f t="shared" si="106"/>
        <v>211.50000000000111</v>
      </c>
      <c r="F5140" s="28">
        <f t="shared" si="107"/>
        <v>193.50000000000111</v>
      </c>
      <c r="G5140" s="28">
        <f t="shared" si="108"/>
        <v>159.18559999999999</v>
      </c>
      <c r="H5140" s="28">
        <f t="shared" si="109"/>
        <v>172.9676</v>
      </c>
      <c r="I5140" s="28">
        <f t="shared" si="110"/>
        <v>179.22630000000001</v>
      </c>
      <c r="J5140" s="28">
        <f t="shared" si="111"/>
        <v>183.82980000000001</v>
      </c>
      <c r="K5140" s="28">
        <f t="shared" si="112"/>
        <v>191.2415</v>
      </c>
      <c r="L5140" s="4"/>
      <c r="M5140" s="241">
        <v>179.22630000000001</v>
      </c>
    </row>
    <row r="5141" spans="3:13" hidden="1" outlineLevel="1" x14ac:dyDescent="0.2">
      <c r="C5141" s="139">
        <v>28.30000000000015</v>
      </c>
      <c r="D5141" s="28">
        <f t="shared" si="105"/>
        <v>226.4000000000012</v>
      </c>
      <c r="E5141" s="28">
        <f t="shared" si="106"/>
        <v>212.25000000000114</v>
      </c>
      <c r="F5141" s="28">
        <f t="shared" si="107"/>
        <v>194.25000000000114</v>
      </c>
      <c r="G5141" s="28">
        <f t="shared" si="108"/>
        <v>160.1044</v>
      </c>
      <c r="H5141" s="28">
        <f t="shared" si="109"/>
        <v>173.93440000000001</v>
      </c>
      <c r="I5141" s="28">
        <f t="shared" si="110"/>
        <v>180.21639999999999</v>
      </c>
      <c r="J5141" s="28">
        <f t="shared" si="111"/>
        <v>184.83779999999999</v>
      </c>
      <c r="K5141" s="28">
        <f t="shared" si="112"/>
        <v>192.279</v>
      </c>
      <c r="L5141" s="4"/>
      <c r="M5141" s="241">
        <v>180.21639999999999</v>
      </c>
    </row>
    <row r="5142" spans="3:13" hidden="1" outlineLevel="1" x14ac:dyDescent="0.2">
      <c r="C5142" s="139">
        <v>28.400000000000151</v>
      </c>
      <c r="D5142" s="28">
        <f t="shared" si="105"/>
        <v>227.20000000000121</v>
      </c>
      <c r="E5142" s="28">
        <f t="shared" si="106"/>
        <v>213.00000000000114</v>
      </c>
      <c r="F5142" s="28">
        <f t="shared" si="107"/>
        <v>195.00000000000114</v>
      </c>
      <c r="G5142" s="28">
        <f t="shared" si="108"/>
        <v>161.02369999999999</v>
      </c>
      <c r="H5142" s="28">
        <f t="shared" si="109"/>
        <v>174.90129999999999</v>
      </c>
      <c r="I5142" s="28">
        <f t="shared" si="110"/>
        <v>181.2063</v>
      </c>
      <c r="J5142" s="28">
        <f t="shared" si="111"/>
        <v>185.84559999999999</v>
      </c>
      <c r="K5142" s="28">
        <f t="shared" si="112"/>
        <v>193.31700000000001</v>
      </c>
      <c r="L5142" s="4"/>
      <c r="M5142" s="241">
        <v>181.2063</v>
      </c>
    </row>
    <row r="5143" spans="3:13" hidden="1" outlineLevel="1" x14ac:dyDescent="0.2">
      <c r="C5143" s="139">
        <v>28.500000000000153</v>
      </c>
      <c r="D5143" s="28">
        <f t="shared" si="105"/>
        <v>228.00000000000122</v>
      </c>
      <c r="E5143" s="28">
        <f t="shared" si="106"/>
        <v>213.75000000000114</v>
      </c>
      <c r="F5143" s="28">
        <f t="shared" si="107"/>
        <v>195.75000000000114</v>
      </c>
      <c r="G5143" s="28">
        <f t="shared" si="108"/>
        <v>161.02369999999999</v>
      </c>
      <c r="H5143" s="28">
        <f t="shared" si="109"/>
        <v>174.90129999999999</v>
      </c>
      <c r="I5143" s="28">
        <f t="shared" si="110"/>
        <v>181.2063</v>
      </c>
      <c r="J5143" s="28">
        <f t="shared" si="111"/>
        <v>185.84559999999999</v>
      </c>
      <c r="K5143" s="28">
        <f t="shared" si="112"/>
        <v>193.31700000000001</v>
      </c>
      <c r="L5143" s="4"/>
      <c r="M5143" s="241">
        <v>181.2063</v>
      </c>
    </row>
    <row r="5144" spans="3:13" hidden="1" outlineLevel="1" x14ac:dyDescent="0.2">
      <c r="C5144" s="139">
        <v>28.600000000000154</v>
      </c>
      <c r="D5144" s="28">
        <f t="shared" si="105"/>
        <v>228.80000000000123</v>
      </c>
      <c r="E5144" s="28">
        <f t="shared" si="106"/>
        <v>214.50000000000117</v>
      </c>
      <c r="F5144" s="28">
        <f t="shared" si="107"/>
        <v>196.50000000000117</v>
      </c>
      <c r="G5144" s="28">
        <f t="shared" si="108"/>
        <v>161.94329999999999</v>
      </c>
      <c r="H5144" s="28">
        <f t="shared" si="109"/>
        <v>175.8681</v>
      </c>
      <c r="I5144" s="28">
        <f t="shared" si="110"/>
        <v>182.19649999999999</v>
      </c>
      <c r="J5144" s="28">
        <f t="shared" si="111"/>
        <v>186.85319999999999</v>
      </c>
      <c r="K5144" s="28">
        <f t="shared" si="112"/>
        <v>194.35470000000001</v>
      </c>
      <c r="L5144" s="4"/>
      <c r="M5144" s="241">
        <v>182.19649999999999</v>
      </c>
    </row>
    <row r="5145" spans="3:13" hidden="1" outlineLevel="1" x14ac:dyDescent="0.2">
      <c r="C5145" s="139">
        <v>28.700000000000156</v>
      </c>
      <c r="D5145" s="28">
        <f t="shared" si="105"/>
        <v>229.60000000000124</v>
      </c>
      <c r="E5145" s="28">
        <f t="shared" si="106"/>
        <v>215.25000000000117</v>
      </c>
      <c r="F5145" s="28">
        <f t="shared" si="107"/>
        <v>197.25000000000117</v>
      </c>
      <c r="G5145" s="28">
        <f t="shared" si="108"/>
        <v>162.8631</v>
      </c>
      <c r="H5145" s="28">
        <f t="shared" si="109"/>
        <v>176.83529999999999</v>
      </c>
      <c r="I5145" s="28">
        <f t="shared" si="110"/>
        <v>184.17670000000001</v>
      </c>
      <c r="J5145" s="28">
        <f t="shared" si="111"/>
        <v>187.8614</v>
      </c>
      <c r="K5145" s="28">
        <f t="shared" si="112"/>
        <v>195.3929</v>
      </c>
      <c r="L5145" s="4"/>
      <c r="M5145" s="241">
        <v>184.17670000000001</v>
      </c>
    </row>
    <row r="5146" spans="3:13" hidden="1" outlineLevel="1" x14ac:dyDescent="0.2">
      <c r="C5146" s="139">
        <v>28.800000000000157</v>
      </c>
      <c r="D5146" s="28">
        <f t="shared" si="105"/>
        <v>230.40000000000126</v>
      </c>
      <c r="E5146" s="28">
        <f t="shared" si="106"/>
        <v>216.00000000000117</v>
      </c>
      <c r="F5146" s="28">
        <f t="shared" si="107"/>
        <v>198.00000000000117</v>
      </c>
      <c r="G5146" s="28">
        <f t="shared" si="108"/>
        <v>163.78309999999999</v>
      </c>
      <c r="H5146" s="28">
        <f t="shared" si="109"/>
        <v>177.80279999999999</v>
      </c>
      <c r="I5146" s="28">
        <f t="shared" si="110"/>
        <v>184.17670000000001</v>
      </c>
      <c r="J5146" s="28">
        <f t="shared" si="111"/>
        <v>188.86940000000001</v>
      </c>
      <c r="K5146" s="28">
        <f t="shared" si="112"/>
        <v>196.4308</v>
      </c>
      <c r="L5146" s="4"/>
      <c r="M5146" s="241">
        <v>184.17670000000001</v>
      </c>
    </row>
    <row r="5147" spans="3:13" hidden="1" outlineLevel="1" x14ac:dyDescent="0.2">
      <c r="C5147" s="139">
        <v>28.900000000000158</v>
      </c>
      <c r="D5147" s="28">
        <f t="shared" si="105"/>
        <v>231.20000000000127</v>
      </c>
      <c r="E5147" s="28">
        <f t="shared" si="106"/>
        <v>216.75000000000119</v>
      </c>
      <c r="F5147" s="28">
        <f t="shared" si="107"/>
        <v>198.75000000000119</v>
      </c>
      <c r="G5147" s="28">
        <f t="shared" si="108"/>
        <v>163.78309999999999</v>
      </c>
      <c r="H5147" s="28">
        <f t="shared" si="109"/>
        <v>177.80279999999999</v>
      </c>
      <c r="I5147" s="28">
        <f t="shared" si="110"/>
        <v>184.17670000000001</v>
      </c>
      <c r="J5147" s="28">
        <f t="shared" si="111"/>
        <v>188.86940000000001</v>
      </c>
      <c r="K5147" s="28">
        <f t="shared" si="112"/>
        <v>196.4308</v>
      </c>
      <c r="L5147" s="4"/>
      <c r="M5147" s="241">
        <v>184.17670000000001</v>
      </c>
    </row>
    <row r="5148" spans="3:13" hidden="1" outlineLevel="1" x14ac:dyDescent="0.2">
      <c r="C5148" s="139">
        <v>29.00000000000016</v>
      </c>
      <c r="D5148" s="28">
        <f t="shared" si="105"/>
        <v>232.00000000000128</v>
      </c>
      <c r="E5148" s="28">
        <f t="shared" si="106"/>
        <v>217.50000000000119</v>
      </c>
      <c r="F5148" s="28">
        <f t="shared" si="107"/>
        <v>199.50000000000119</v>
      </c>
      <c r="G5148" s="28">
        <f t="shared" si="108"/>
        <v>164.70330000000001</v>
      </c>
      <c r="H5148" s="28">
        <f t="shared" si="109"/>
        <v>178.77029999999999</v>
      </c>
      <c r="I5148" s="28">
        <f t="shared" si="110"/>
        <v>185.16759999999999</v>
      </c>
      <c r="J5148" s="28">
        <f t="shared" si="111"/>
        <v>189.87719999999999</v>
      </c>
      <c r="K5148" s="28">
        <f t="shared" si="112"/>
        <v>197.4692</v>
      </c>
      <c r="L5148" s="4"/>
      <c r="M5148" s="241">
        <v>185.16759999999999</v>
      </c>
    </row>
    <row r="5149" spans="3:13" hidden="1" outlineLevel="1" x14ac:dyDescent="0.2">
      <c r="C5149" s="139">
        <v>29.100000000000161</v>
      </c>
      <c r="D5149" s="28">
        <f t="shared" si="105"/>
        <v>232.80000000000129</v>
      </c>
      <c r="E5149" s="28">
        <f t="shared" si="106"/>
        <v>218.25000000000122</v>
      </c>
      <c r="F5149" s="28">
        <f t="shared" si="107"/>
        <v>200.25000000000122</v>
      </c>
      <c r="G5149" s="28">
        <f t="shared" si="108"/>
        <v>165.624</v>
      </c>
      <c r="H5149" s="28">
        <f t="shared" si="109"/>
        <v>179.738</v>
      </c>
      <c r="I5149" s="28">
        <f t="shared" si="110"/>
        <v>186.1584</v>
      </c>
      <c r="J5149" s="28">
        <f t="shared" si="111"/>
        <v>190.88550000000001</v>
      </c>
      <c r="K5149" s="28">
        <f t="shared" si="112"/>
        <v>198.50729999999999</v>
      </c>
      <c r="L5149" s="4"/>
      <c r="M5149" s="241">
        <v>186.1584</v>
      </c>
    </row>
    <row r="5150" spans="3:13" hidden="1" outlineLevel="1" x14ac:dyDescent="0.2">
      <c r="C5150" s="139">
        <v>29.200000000000163</v>
      </c>
      <c r="D5150" s="28">
        <f t="shared" si="105"/>
        <v>233.6000000000013</v>
      </c>
      <c r="E5150" s="28">
        <f t="shared" si="106"/>
        <v>219.00000000000122</v>
      </c>
      <c r="F5150" s="28">
        <f t="shared" si="107"/>
        <v>201.00000000000122</v>
      </c>
      <c r="G5150" s="28">
        <f t="shared" si="108"/>
        <v>166.5446</v>
      </c>
      <c r="H5150" s="28">
        <f t="shared" si="109"/>
        <v>180.70570000000001</v>
      </c>
      <c r="I5150" s="28">
        <f t="shared" si="110"/>
        <v>187.149</v>
      </c>
      <c r="J5150" s="28">
        <f t="shared" si="111"/>
        <v>191.89439999999999</v>
      </c>
      <c r="K5150" s="28">
        <f t="shared" si="112"/>
        <v>199.54589999999999</v>
      </c>
      <c r="L5150" s="4"/>
      <c r="M5150" s="241">
        <v>187.149</v>
      </c>
    </row>
    <row r="5151" spans="3:13" hidden="1" outlineLevel="1" x14ac:dyDescent="0.2">
      <c r="C5151" s="139">
        <v>29.300000000000164</v>
      </c>
      <c r="D5151" s="28">
        <f t="shared" si="105"/>
        <v>234.40000000000131</v>
      </c>
      <c r="E5151" s="28">
        <f t="shared" si="106"/>
        <v>219.75000000000122</v>
      </c>
      <c r="F5151" s="28">
        <f t="shared" si="107"/>
        <v>201.75000000000122</v>
      </c>
      <c r="G5151" s="28">
        <f t="shared" si="108"/>
        <v>166.5446</v>
      </c>
      <c r="H5151" s="28">
        <f t="shared" si="109"/>
        <v>180.70570000000001</v>
      </c>
      <c r="I5151" s="28">
        <f t="shared" si="110"/>
        <v>187.149</v>
      </c>
      <c r="J5151" s="28">
        <f t="shared" si="111"/>
        <v>191.89439999999999</v>
      </c>
      <c r="K5151" s="28">
        <f t="shared" si="112"/>
        <v>199.54589999999999</v>
      </c>
      <c r="L5151" s="4"/>
      <c r="M5151" s="241">
        <v>187.149</v>
      </c>
    </row>
    <row r="5152" spans="3:13" hidden="1" outlineLevel="1" x14ac:dyDescent="0.2">
      <c r="C5152" s="139">
        <v>29.400000000000166</v>
      </c>
      <c r="D5152" s="28">
        <f t="shared" si="105"/>
        <v>235.20000000000132</v>
      </c>
      <c r="E5152" s="28">
        <f t="shared" si="106"/>
        <v>220.50000000000125</v>
      </c>
      <c r="F5152" s="28">
        <f t="shared" si="107"/>
        <v>202.50000000000125</v>
      </c>
      <c r="G5152" s="28">
        <f t="shared" si="108"/>
        <v>167.46559999999999</v>
      </c>
      <c r="H5152" s="28">
        <f t="shared" si="109"/>
        <v>181.6737</v>
      </c>
      <c r="I5152" s="28">
        <f t="shared" si="110"/>
        <v>188.14019999999999</v>
      </c>
      <c r="J5152" s="28">
        <f t="shared" si="111"/>
        <v>192.90299999999999</v>
      </c>
      <c r="K5152" s="28">
        <f t="shared" si="112"/>
        <v>200.58410000000001</v>
      </c>
      <c r="L5152" s="4"/>
      <c r="M5152" s="241">
        <v>188.14019999999999</v>
      </c>
    </row>
    <row r="5153" spans="3:13" hidden="1" outlineLevel="1" x14ac:dyDescent="0.2">
      <c r="C5153" s="139">
        <v>29.500000000000167</v>
      </c>
      <c r="D5153" s="28">
        <f t="shared" si="105"/>
        <v>236.00000000000134</v>
      </c>
      <c r="E5153" s="28">
        <f t="shared" si="106"/>
        <v>221.25000000000125</v>
      </c>
      <c r="F5153" s="28">
        <f t="shared" si="107"/>
        <v>203.25000000000125</v>
      </c>
      <c r="G5153" s="28">
        <f t="shared" si="108"/>
        <v>168.38679999999999</v>
      </c>
      <c r="H5153" s="28">
        <f t="shared" si="109"/>
        <v>182.64179999999999</v>
      </c>
      <c r="I5153" s="28">
        <f t="shared" si="110"/>
        <v>189.13120000000001</v>
      </c>
      <c r="J5153" s="28">
        <f t="shared" si="111"/>
        <v>193.91139999999999</v>
      </c>
      <c r="K5153" s="28">
        <f t="shared" si="112"/>
        <v>201.62280000000001</v>
      </c>
      <c r="L5153" s="4"/>
      <c r="M5153" s="241">
        <v>189.13120000000001</v>
      </c>
    </row>
    <row r="5154" spans="3:13" hidden="1" outlineLevel="1" x14ac:dyDescent="0.2">
      <c r="C5154" s="139">
        <v>29.600000000000168</v>
      </c>
      <c r="D5154" s="28">
        <f t="shared" si="105"/>
        <v>236.80000000000135</v>
      </c>
      <c r="E5154" s="28">
        <f t="shared" si="106"/>
        <v>222.00000000000125</v>
      </c>
      <c r="F5154" s="28">
        <f t="shared" si="107"/>
        <v>204.00000000000125</v>
      </c>
      <c r="G5154" s="28">
        <f t="shared" si="108"/>
        <v>169.30850000000001</v>
      </c>
      <c r="H5154" s="28">
        <f t="shared" si="109"/>
        <v>183.61</v>
      </c>
      <c r="I5154" s="28">
        <f t="shared" si="110"/>
        <v>190.12200000000001</v>
      </c>
      <c r="J5154" s="28">
        <f t="shared" si="111"/>
        <v>194.9204</v>
      </c>
      <c r="K5154" s="28">
        <f t="shared" si="112"/>
        <v>202.6611</v>
      </c>
      <c r="L5154" s="4"/>
      <c r="M5154" s="241">
        <v>190.12200000000001</v>
      </c>
    </row>
    <row r="5155" spans="3:13" hidden="1" outlineLevel="1" x14ac:dyDescent="0.2">
      <c r="C5155" s="139">
        <v>29.70000000000017</v>
      </c>
      <c r="D5155" s="28">
        <f t="shared" si="105"/>
        <v>237.60000000000136</v>
      </c>
      <c r="E5155" s="28">
        <f t="shared" si="106"/>
        <v>222.75000000000128</v>
      </c>
      <c r="F5155" s="28">
        <f t="shared" si="107"/>
        <v>204.75000000000128</v>
      </c>
      <c r="G5155" s="28">
        <f t="shared" si="108"/>
        <v>169.30850000000001</v>
      </c>
      <c r="H5155" s="28">
        <f t="shared" si="109"/>
        <v>183.61</v>
      </c>
      <c r="I5155" s="28">
        <f t="shared" si="110"/>
        <v>190.12200000000001</v>
      </c>
      <c r="J5155" s="28">
        <f t="shared" si="111"/>
        <v>194.9204</v>
      </c>
      <c r="K5155" s="28">
        <f t="shared" si="112"/>
        <v>202.6611</v>
      </c>
      <c r="L5155" s="4"/>
      <c r="M5155" s="241">
        <v>190.12200000000001</v>
      </c>
    </row>
    <row r="5156" spans="3:13" hidden="1" outlineLevel="1" x14ac:dyDescent="0.2">
      <c r="C5156" s="139">
        <v>29.800000000000171</v>
      </c>
      <c r="D5156" s="28">
        <f t="shared" si="105"/>
        <v>238.40000000000137</v>
      </c>
      <c r="E5156" s="28">
        <f t="shared" si="106"/>
        <v>223.50000000000128</v>
      </c>
      <c r="F5156" s="28">
        <f t="shared" si="107"/>
        <v>205.50000000000128</v>
      </c>
      <c r="G5156" s="28">
        <f t="shared" si="108"/>
        <v>170.22989999999999</v>
      </c>
      <c r="H5156" s="28">
        <f t="shared" si="109"/>
        <v>184.5789</v>
      </c>
      <c r="I5156" s="28">
        <f t="shared" si="110"/>
        <v>191.11340000000001</v>
      </c>
      <c r="J5156" s="28">
        <f t="shared" si="111"/>
        <v>195.929</v>
      </c>
      <c r="K5156" s="28">
        <f t="shared" si="112"/>
        <v>203.69909999999999</v>
      </c>
      <c r="L5156" s="4"/>
      <c r="M5156" s="241">
        <v>191.11340000000001</v>
      </c>
    </row>
    <row r="5157" spans="3:13" hidden="1" outlineLevel="1" x14ac:dyDescent="0.2">
      <c r="C5157" s="139">
        <v>29.900000000000173</v>
      </c>
      <c r="D5157" s="28">
        <f t="shared" si="105"/>
        <v>239.20000000000138</v>
      </c>
      <c r="E5157" s="28">
        <f t="shared" si="106"/>
        <v>224.25000000000131</v>
      </c>
      <c r="F5157" s="28">
        <f t="shared" si="107"/>
        <v>206.25000000000131</v>
      </c>
      <c r="G5157" s="28">
        <f t="shared" si="108"/>
        <v>171.15190000000001</v>
      </c>
      <c r="H5157" s="28">
        <f t="shared" si="109"/>
        <v>185.54769999999999</v>
      </c>
      <c r="I5157" s="28">
        <f t="shared" si="110"/>
        <v>192.1046</v>
      </c>
      <c r="J5157" s="28">
        <f t="shared" si="111"/>
        <v>196.9374</v>
      </c>
      <c r="K5157" s="28">
        <f t="shared" si="112"/>
        <v>204.73840000000001</v>
      </c>
      <c r="L5157" s="4"/>
      <c r="M5157" s="241">
        <v>192.1046</v>
      </c>
    </row>
    <row r="5158" spans="3:13" hidden="1" outlineLevel="1" x14ac:dyDescent="0.2">
      <c r="C5158" s="139">
        <v>30.000000000000174</v>
      </c>
      <c r="D5158" s="28">
        <f t="shared" si="105"/>
        <v>240.00000000000139</v>
      </c>
      <c r="E5158" s="28">
        <f t="shared" si="106"/>
        <v>225.00000000000131</v>
      </c>
      <c r="F5158" s="28">
        <f t="shared" si="107"/>
        <v>207.00000000000131</v>
      </c>
      <c r="G5158" s="28">
        <f t="shared" si="108"/>
        <v>172.07429999999999</v>
      </c>
      <c r="H5158" s="28">
        <f t="shared" si="109"/>
        <v>186.5163</v>
      </c>
      <c r="I5158" s="28">
        <f t="shared" si="110"/>
        <v>193.09639999999999</v>
      </c>
      <c r="J5158" s="28">
        <f t="shared" si="111"/>
        <v>197.94710000000001</v>
      </c>
      <c r="K5158" s="28">
        <f t="shared" si="112"/>
        <v>205.7764</v>
      </c>
      <c r="L5158" s="4"/>
      <c r="M5158" s="241">
        <v>193.09639999999999</v>
      </c>
    </row>
    <row r="5159" spans="3:13" hidden="1" outlineLevel="1" x14ac:dyDescent="0.2">
      <c r="C5159" s="139">
        <v>30.100000000000176</v>
      </c>
      <c r="D5159" s="28">
        <f t="shared" si="105"/>
        <v>240.8000000000014</v>
      </c>
      <c r="E5159" s="28">
        <f t="shared" si="106"/>
        <v>225.75000000000131</v>
      </c>
      <c r="F5159" s="28">
        <f t="shared" si="107"/>
        <v>207.75000000000131</v>
      </c>
      <c r="G5159" s="28">
        <f t="shared" si="108"/>
        <v>172.07429999999999</v>
      </c>
      <c r="H5159" s="28">
        <f t="shared" si="109"/>
        <v>186.5163</v>
      </c>
      <c r="I5159" s="28">
        <f t="shared" si="110"/>
        <v>193.09639999999999</v>
      </c>
      <c r="J5159" s="28">
        <f t="shared" si="111"/>
        <v>197.94710000000001</v>
      </c>
      <c r="K5159" s="28">
        <f t="shared" si="112"/>
        <v>205.7764</v>
      </c>
      <c r="L5159" s="4"/>
      <c r="M5159" s="241">
        <v>193.09639999999999</v>
      </c>
    </row>
    <row r="5160" spans="3:13" hidden="1" outlineLevel="1" x14ac:dyDescent="0.2">
      <c r="C5160" s="139">
        <v>30.200000000000177</v>
      </c>
      <c r="D5160" s="28">
        <f t="shared" si="105"/>
        <v>241.60000000000142</v>
      </c>
      <c r="E5160" s="28">
        <f t="shared" si="106"/>
        <v>226.50000000000134</v>
      </c>
      <c r="F5160" s="28">
        <f t="shared" si="107"/>
        <v>208.50000000000134</v>
      </c>
      <c r="G5160" s="28">
        <f t="shared" si="108"/>
        <v>172.99639999999999</v>
      </c>
      <c r="H5160" s="28">
        <f t="shared" si="109"/>
        <v>187.48480000000001</v>
      </c>
      <c r="I5160" s="28">
        <f t="shared" si="110"/>
        <v>194.08789999999999</v>
      </c>
      <c r="J5160" s="28">
        <f t="shared" si="111"/>
        <v>198.95580000000001</v>
      </c>
      <c r="K5160" s="28">
        <f t="shared" si="112"/>
        <v>206.8158</v>
      </c>
      <c r="L5160" s="4"/>
      <c r="M5160" s="241">
        <v>194.08789999999999</v>
      </c>
    </row>
    <row r="5161" spans="3:13" hidden="1" outlineLevel="1" x14ac:dyDescent="0.2">
      <c r="C5161" s="139">
        <v>30.300000000000178</v>
      </c>
      <c r="D5161" s="28">
        <f t="shared" si="105"/>
        <v>242.40000000000143</v>
      </c>
      <c r="E5161" s="28">
        <f t="shared" si="106"/>
        <v>227.25000000000134</v>
      </c>
      <c r="F5161" s="28">
        <f t="shared" si="107"/>
        <v>209.25000000000134</v>
      </c>
      <c r="G5161" s="28">
        <f t="shared" si="108"/>
        <v>173.91900000000001</v>
      </c>
      <c r="H5161" s="28">
        <f t="shared" si="109"/>
        <v>188.4539</v>
      </c>
      <c r="I5161" s="28">
        <f t="shared" si="110"/>
        <v>195.07919999999999</v>
      </c>
      <c r="J5161" s="28">
        <f t="shared" si="111"/>
        <v>199.9649</v>
      </c>
      <c r="K5161" s="28">
        <f t="shared" si="112"/>
        <v>207.85470000000001</v>
      </c>
      <c r="L5161" s="4"/>
      <c r="M5161" s="241">
        <v>195.07919999999999</v>
      </c>
    </row>
    <row r="5162" spans="3:13" hidden="1" outlineLevel="1" x14ac:dyDescent="0.2">
      <c r="C5162" s="139">
        <v>30.40000000000018</v>
      </c>
      <c r="D5162" s="28">
        <f t="shared" si="105"/>
        <v>243.20000000000144</v>
      </c>
      <c r="E5162" s="28">
        <f t="shared" si="106"/>
        <v>228.00000000000134</v>
      </c>
      <c r="F5162" s="28">
        <f t="shared" si="107"/>
        <v>210.00000000000134</v>
      </c>
      <c r="G5162" s="28">
        <f t="shared" si="108"/>
        <v>174.84209999999999</v>
      </c>
      <c r="H5162" s="28">
        <f t="shared" si="109"/>
        <v>189.4229</v>
      </c>
      <c r="I5162" s="28">
        <f t="shared" si="110"/>
        <v>196.0711</v>
      </c>
      <c r="J5162" s="28">
        <f t="shared" si="111"/>
        <v>200.97460000000001</v>
      </c>
      <c r="K5162" s="28">
        <f t="shared" si="112"/>
        <v>208.89330000000001</v>
      </c>
      <c r="L5162" s="4"/>
      <c r="M5162" s="241">
        <v>196.0711</v>
      </c>
    </row>
    <row r="5163" spans="3:13" hidden="1" outlineLevel="1" x14ac:dyDescent="0.2">
      <c r="C5163" s="139">
        <v>30.500000000000181</v>
      </c>
      <c r="D5163" s="28">
        <f t="shared" si="105"/>
        <v>244.00000000000145</v>
      </c>
      <c r="E5163" s="28">
        <f t="shared" si="106"/>
        <v>228.75000000000136</v>
      </c>
      <c r="F5163" s="28">
        <f t="shared" si="107"/>
        <v>210.75000000000136</v>
      </c>
      <c r="G5163" s="28">
        <f t="shared" si="108"/>
        <v>174.84209999999999</v>
      </c>
      <c r="H5163" s="28">
        <f t="shared" si="109"/>
        <v>189.4229</v>
      </c>
      <c r="I5163" s="28">
        <f t="shared" si="110"/>
        <v>196.0711</v>
      </c>
      <c r="J5163" s="28">
        <f t="shared" si="111"/>
        <v>200.97460000000001</v>
      </c>
      <c r="K5163" s="28">
        <f t="shared" si="112"/>
        <v>208.89330000000001</v>
      </c>
      <c r="L5163" s="4"/>
      <c r="M5163" s="241">
        <v>196.0711</v>
      </c>
    </row>
    <row r="5164" spans="3:13" hidden="1" outlineLevel="1" x14ac:dyDescent="0.2">
      <c r="C5164" s="139">
        <v>30.600000000000183</v>
      </c>
      <c r="D5164" s="28">
        <f t="shared" si="105"/>
        <v>244.80000000000146</v>
      </c>
      <c r="E5164" s="28">
        <f t="shared" si="106"/>
        <v>229.50000000000136</v>
      </c>
      <c r="F5164" s="28">
        <f t="shared" si="107"/>
        <v>211.50000000000136</v>
      </c>
      <c r="G5164" s="28">
        <f t="shared" si="108"/>
        <v>175.76480000000001</v>
      </c>
      <c r="H5164" s="28">
        <f t="shared" si="109"/>
        <v>190.39250000000001</v>
      </c>
      <c r="I5164" s="28">
        <f t="shared" si="110"/>
        <v>197.06270000000001</v>
      </c>
      <c r="J5164" s="28">
        <f t="shared" si="111"/>
        <v>201.98390000000001</v>
      </c>
      <c r="K5164" s="28">
        <f t="shared" si="112"/>
        <v>209.9323</v>
      </c>
      <c r="L5164" s="4"/>
      <c r="M5164" s="241">
        <v>197.06270000000001</v>
      </c>
    </row>
    <row r="5165" spans="3:13" hidden="1" outlineLevel="1" x14ac:dyDescent="0.2">
      <c r="C5165" s="139">
        <v>30.700000000000184</v>
      </c>
      <c r="D5165" s="28">
        <f t="shared" si="105"/>
        <v>245.60000000000147</v>
      </c>
      <c r="E5165" s="28">
        <f t="shared" si="106"/>
        <v>230.25000000000139</v>
      </c>
      <c r="F5165" s="28">
        <f t="shared" si="107"/>
        <v>212.25000000000139</v>
      </c>
      <c r="G5165" s="28">
        <f t="shared" si="108"/>
        <v>176.6884</v>
      </c>
      <c r="H5165" s="28">
        <f t="shared" si="109"/>
        <v>191.36199999999999</v>
      </c>
      <c r="I5165" s="28">
        <f t="shared" si="110"/>
        <v>198.0549</v>
      </c>
      <c r="J5165" s="28">
        <f t="shared" si="111"/>
        <v>202.99289999999999</v>
      </c>
      <c r="K5165" s="28">
        <f t="shared" si="112"/>
        <v>210.9717</v>
      </c>
      <c r="L5165" s="4"/>
      <c r="M5165" s="241">
        <v>198.0549</v>
      </c>
    </row>
    <row r="5166" spans="3:13" hidden="1" outlineLevel="1" x14ac:dyDescent="0.2">
      <c r="C5166" s="139">
        <v>30.800000000000185</v>
      </c>
      <c r="D5166" s="28">
        <f t="shared" si="105"/>
        <v>246.40000000000148</v>
      </c>
      <c r="E5166" s="28">
        <f t="shared" si="106"/>
        <v>231.00000000000139</v>
      </c>
      <c r="F5166" s="28">
        <f t="shared" si="107"/>
        <v>213.00000000000139</v>
      </c>
      <c r="G5166" s="28">
        <f t="shared" si="108"/>
        <v>177.61170000000001</v>
      </c>
      <c r="H5166" s="28">
        <f t="shared" si="109"/>
        <v>192.3313</v>
      </c>
      <c r="I5166" s="28">
        <f t="shared" si="110"/>
        <v>199.04679999999999</v>
      </c>
      <c r="J5166" s="28">
        <f t="shared" si="111"/>
        <v>204.00239999999999</v>
      </c>
      <c r="K5166" s="28">
        <f t="shared" si="112"/>
        <v>212.01070000000001</v>
      </c>
      <c r="L5166" s="4"/>
      <c r="M5166" s="241">
        <v>199.04679999999999</v>
      </c>
    </row>
    <row r="5167" spans="3:13" hidden="1" outlineLevel="1" x14ac:dyDescent="0.2">
      <c r="C5167" s="139">
        <v>30.900000000000187</v>
      </c>
      <c r="D5167" s="28">
        <f t="shared" si="105"/>
        <v>247.20000000000149</v>
      </c>
      <c r="E5167" s="28">
        <f t="shared" si="106"/>
        <v>231.75000000000139</v>
      </c>
      <c r="F5167" s="28">
        <f t="shared" si="107"/>
        <v>213.75000000000139</v>
      </c>
      <c r="G5167" s="28">
        <f t="shared" si="108"/>
        <v>177.61170000000001</v>
      </c>
      <c r="H5167" s="28">
        <f t="shared" si="109"/>
        <v>192.3313</v>
      </c>
      <c r="I5167" s="28">
        <f t="shared" si="110"/>
        <v>199.04679999999999</v>
      </c>
      <c r="J5167" s="28">
        <f t="shared" si="111"/>
        <v>204.00239999999999</v>
      </c>
      <c r="K5167" s="28">
        <f t="shared" si="112"/>
        <v>212.01070000000001</v>
      </c>
      <c r="L5167" s="4"/>
      <c r="M5167" s="241">
        <v>199.04679999999999</v>
      </c>
    </row>
    <row r="5168" spans="3:13" hidden="1" outlineLevel="1" x14ac:dyDescent="0.2">
      <c r="C5168" s="139">
        <v>31.000000000000188</v>
      </c>
      <c r="D5168" s="28">
        <f t="shared" si="105"/>
        <v>248.00000000000151</v>
      </c>
      <c r="E5168" s="28">
        <f t="shared" si="106"/>
        <v>232.50000000000142</v>
      </c>
      <c r="F5168" s="28">
        <f t="shared" si="107"/>
        <v>214.50000000000142</v>
      </c>
      <c r="G5168" s="28">
        <f t="shared" si="108"/>
        <v>178.53569999999999</v>
      </c>
      <c r="H5168" s="28">
        <f t="shared" si="109"/>
        <v>193.30119999999999</v>
      </c>
      <c r="I5168" s="28">
        <f t="shared" si="110"/>
        <v>200.0393</v>
      </c>
      <c r="J5168" s="28">
        <f t="shared" si="111"/>
        <v>205.01240000000001</v>
      </c>
      <c r="K5168" s="28">
        <f t="shared" si="112"/>
        <v>213.04939999999999</v>
      </c>
      <c r="L5168" s="4"/>
      <c r="M5168" s="241">
        <v>200.0393</v>
      </c>
    </row>
    <row r="5169" spans="3:13" hidden="1" outlineLevel="1" x14ac:dyDescent="0.2">
      <c r="C5169" s="139">
        <v>31.10000000000019</v>
      </c>
      <c r="D5169" s="28">
        <f t="shared" si="105"/>
        <v>248.80000000000152</v>
      </c>
      <c r="E5169" s="28">
        <f t="shared" si="106"/>
        <v>233.25000000000142</v>
      </c>
      <c r="F5169" s="28">
        <f t="shared" si="107"/>
        <v>215.25000000000142</v>
      </c>
      <c r="G5169" s="28">
        <f t="shared" si="108"/>
        <v>179.45939999999999</v>
      </c>
      <c r="H5169" s="28">
        <f t="shared" si="109"/>
        <v>194.27090000000001</v>
      </c>
      <c r="I5169" s="28">
        <f t="shared" si="110"/>
        <v>201.03139999999999</v>
      </c>
      <c r="J5169" s="28">
        <f t="shared" si="111"/>
        <v>206.02209999999999</v>
      </c>
      <c r="K5169" s="28">
        <f t="shared" si="112"/>
        <v>214.08920000000001</v>
      </c>
      <c r="L5169" s="4"/>
      <c r="M5169" s="241">
        <v>201.03139999999999</v>
      </c>
    </row>
    <row r="5170" spans="3:13" hidden="1" outlineLevel="1" x14ac:dyDescent="0.2">
      <c r="C5170" s="139">
        <v>31.200000000000191</v>
      </c>
      <c r="D5170" s="28">
        <f t="shared" si="105"/>
        <v>249.60000000000153</v>
      </c>
      <c r="E5170" s="28">
        <f t="shared" si="106"/>
        <v>234.00000000000142</v>
      </c>
      <c r="F5170" s="28">
        <f t="shared" si="107"/>
        <v>216.00000000000142</v>
      </c>
      <c r="G5170" s="28">
        <f t="shared" si="108"/>
        <v>180.3835</v>
      </c>
      <c r="H5170" s="28">
        <f t="shared" si="109"/>
        <v>195.24119999999999</v>
      </c>
      <c r="I5170" s="28">
        <f t="shared" si="110"/>
        <v>202.02420000000001</v>
      </c>
      <c r="J5170" s="28">
        <f t="shared" si="111"/>
        <v>207.03229999999999</v>
      </c>
      <c r="K5170" s="28">
        <f t="shared" si="112"/>
        <v>215.12860000000001</v>
      </c>
      <c r="L5170" s="4"/>
      <c r="M5170" s="241">
        <v>202.02420000000001</v>
      </c>
    </row>
    <row r="5171" spans="3:13" hidden="1" outlineLevel="1" x14ac:dyDescent="0.2">
      <c r="C5171" s="139">
        <v>31.300000000000193</v>
      </c>
      <c r="D5171" s="28">
        <f t="shared" si="105"/>
        <v>250.40000000000154</v>
      </c>
      <c r="E5171" s="28">
        <f t="shared" si="106"/>
        <v>234.75000000000145</v>
      </c>
      <c r="F5171" s="28">
        <f t="shared" si="107"/>
        <v>216.75000000000145</v>
      </c>
      <c r="G5171" s="28">
        <f t="shared" si="108"/>
        <v>180.3835</v>
      </c>
      <c r="H5171" s="28">
        <f t="shared" si="109"/>
        <v>195.24119999999999</v>
      </c>
      <c r="I5171" s="28">
        <f t="shared" si="110"/>
        <v>202.02420000000001</v>
      </c>
      <c r="J5171" s="28">
        <f t="shared" si="111"/>
        <v>207.03229999999999</v>
      </c>
      <c r="K5171" s="28">
        <f t="shared" si="112"/>
        <v>215.12860000000001</v>
      </c>
      <c r="L5171" s="4"/>
      <c r="M5171" s="241">
        <v>202.02420000000001</v>
      </c>
    </row>
    <row r="5172" spans="3:13" hidden="1" outlineLevel="1" x14ac:dyDescent="0.2">
      <c r="C5172" s="139">
        <v>31.400000000000194</v>
      </c>
      <c r="D5172" s="28">
        <f t="shared" si="105"/>
        <v>251.20000000000155</v>
      </c>
      <c r="E5172" s="28">
        <f t="shared" si="106"/>
        <v>235.50000000000145</v>
      </c>
      <c r="F5172" s="28">
        <f t="shared" si="107"/>
        <v>217.50000000000145</v>
      </c>
      <c r="G5172" s="28">
        <f t="shared" si="108"/>
        <v>181.30799999999999</v>
      </c>
      <c r="H5172" s="28">
        <f t="shared" si="109"/>
        <v>196.21129999999999</v>
      </c>
      <c r="I5172" s="28">
        <f t="shared" si="110"/>
        <v>203.01660000000001</v>
      </c>
      <c r="J5172" s="28">
        <f t="shared" si="111"/>
        <v>208.0421</v>
      </c>
      <c r="K5172" s="28">
        <f t="shared" si="112"/>
        <v>216.1677</v>
      </c>
      <c r="L5172" s="4"/>
      <c r="M5172" s="241">
        <v>203.01660000000001</v>
      </c>
    </row>
    <row r="5173" spans="3:13" hidden="1" outlineLevel="1" x14ac:dyDescent="0.2">
      <c r="C5173" s="139">
        <v>31.500000000000195</v>
      </c>
      <c r="D5173" s="28">
        <f t="shared" si="105"/>
        <v>252.00000000000156</v>
      </c>
      <c r="E5173" s="28">
        <f t="shared" si="106"/>
        <v>236.25000000000148</v>
      </c>
      <c r="F5173" s="28">
        <f t="shared" si="107"/>
        <v>218.25000000000148</v>
      </c>
      <c r="G5173" s="28">
        <f t="shared" si="108"/>
        <v>182.23249999999999</v>
      </c>
      <c r="H5173" s="28">
        <f t="shared" si="109"/>
        <v>197.18199999999999</v>
      </c>
      <c r="I5173" s="28">
        <f t="shared" si="110"/>
        <v>204.0095</v>
      </c>
      <c r="J5173" s="28">
        <f t="shared" si="111"/>
        <v>209.0515</v>
      </c>
      <c r="K5173" s="28">
        <f t="shared" si="112"/>
        <v>217.2071</v>
      </c>
      <c r="L5173" s="4"/>
      <c r="M5173" s="241">
        <v>204.0095</v>
      </c>
    </row>
    <row r="5174" spans="3:13" hidden="1" outlineLevel="1" x14ac:dyDescent="0.2">
      <c r="C5174" s="139">
        <v>31.600000000000197</v>
      </c>
      <c r="D5174" s="28">
        <f t="shared" si="105"/>
        <v>252.80000000000157</v>
      </c>
      <c r="E5174" s="28">
        <f t="shared" si="106"/>
        <v>237.00000000000148</v>
      </c>
      <c r="F5174" s="28">
        <f t="shared" si="107"/>
        <v>219.00000000000148</v>
      </c>
      <c r="G5174" s="28">
        <f t="shared" si="108"/>
        <v>183.1574</v>
      </c>
      <c r="H5174" s="28">
        <f t="shared" si="109"/>
        <v>198.15170000000001</v>
      </c>
      <c r="I5174" s="28">
        <f t="shared" si="110"/>
        <v>205.00210000000001</v>
      </c>
      <c r="J5174" s="28">
        <f t="shared" si="111"/>
        <v>210.06229999999999</v>
      </c>
      <c r="K5174" s="28">
        <f t="shared" si="112"/>
        <v>218.24690000000001</v>
      </c>
      <c r="L5174" s="4"/>
      <c r="M5174" s="241">
        <v>205.00210000000001</v>
      </c>
    </row>
    <row r="5175" spans="3:13" hidden="1" outlineLevel="1" x14ac:dyDescent="0.2">
      <c r="C5175" s="139">
        <v>31.700000000000198</v>
      </c>
      <c r="D5175" s="28">
        <f t="shared" si="105"/>
        <v>253.60000000000159</v>
      </c>
      <c r="E5175" s="28">
        <f t="shared" si="106"/>
        <v>237.75000000000148</v>
      </c>
      <c r="F5175" s="28">
        <f t="shared" si="107"/>
        <v>219.75000000000148</v>
      </c>
      <c r="G5175" s="28">
        <f t="shared" si="108"/>
        <v>183.1574</v>
      </c>
      <c r="H5175" s="28">
        <f t="shared" si="109"/>
        <v>198.15170000000001</v>
      </c>
      <c r="I5175" s="28">
        <f t="shared" si="110"/>
        <v>205.00210000000001</v>
      </c>
      <c r="J5175" s="28">
        <f t="shared" si="111"/>
        <v>210.06229999999999</v>
      </c>
      <c r="K5175" s="28">
        <f t="shared" si="112"/>
        <v>218.24690000000001</v>
      </c>
      <c r="L5175" s="4"/>
      <c r="M5175" s="241">
        <v>205.00210000000001</v>
      </c>
    </row>
    <row r="5176" spans="3:13" hidden="1" outlineLevel="1" x14ac:dyDescent="0.2">
      <c r="C5176" s="139">
        <v>31.8000000000002</v>
      </c>
      <c r="D5176" s="28">
        <f t="shared" si="105"/>
        <v>254.4000000000016</v>
      </c>
      <c r="E5176" s="28">
        <f t="shared" si="106"/>
        <v>238.50000000000151</v>
      </c>
      <c r="F5176" s="28">
        <f t="shared" si="107"/>
        <v>220.50000000000151</v>
      </c>
      <c r="G5176" s="28">
        <f t="shared" si="108"/>
        <v>184.0821</v>
      </c>
      <c r="H5176" s="28">
        <f t="shared" si="109"/>
        <v>199.12280000000001</v>
      </c>
      <c r="I5176" s="28">
        <f t="shared" si="110"/>
        <v>205.99529999999999</v>
      </c>
      <c r="J5176" s="28">
        <f t="shared" si="111"/>
        <v>211.0718</v>
      </c>
      <c r="K5176" s="28">
        <f t="shared" si="112"/>
        <v>219.28620000000001</v>
      </c>
      <c r="L5176" s="4"/>
      <c r="M5176" s="241">
        <v>205.99529999999999</v>
      </c>
    </row>
    <row r="5177" spans="3:13" hidden="1" outlineLevel="1" x14ac:dyDescent="0.2">
      <c r="C5177" s="139">
        <v>31.900000000000201</v>
      </c>
      <c r="D5177" s="28">
        <f t="shared" si="105"/>
        <v>255.20000000000161</v>
      </c>
      <c r="E5177" s="28">
        <f t="shared" si="106"/>
        <v>239.25000000000151</v>
      </c>
      <c r="F5177" s="28">
        <f t="shared" si="107"/>
        <v>221.25000000000151</v>
      </c>
      <c r="G5177" s="28">
        <f t="shared" si="108"/>
        <v>185.00729999999999</v>
      </c>
      <c r="H5177" s="28">
        <f t="shared" si="109"/>
        <v>200.09370000000001</v>
      </c>
      <c r="I5177" s="28">
        <f t="shared" si="110"/>
        <v>206.9881</v>
      </c>
      <c r="J5177" s="28">
        <f t="shared" si="111"/>
        <v>212.08269999999999</v>
      </c>
      <c r="K5177" s="28">
        <f t="shared" si="112"/>
        <v>220.32599999999999</v>
      </c>
      <c r="L5177" s="4"/>
      <c r="M5177" s="241">
        <v>206.9881</v>
      </c>
    </row>
    <row r="5178" spans="3:13" hidden="1" outlineLevel="1" x14ac:dyDescent="0.2">
      <c r="C5178" s="139">
        <v>32.000000000000199</v>
      </c>
      <c r="D5178" s="28">
        <f t="shared" si="105"/>
        <v>256.00000000000159</v>
      </c>
      <c r="E5178" s="28">
        <f t="shared" si="106"/>
        <v>240.00000000000148</v>
      </c>
      <c r="F5178" s="28">
        <f t="shared" si="107"/>
        <v>222.00000000000148</v>
      </c>
      <c r="G5178" s="28">
        <f t="shared" si="108"/>
        <v>185.9325</v>
      </c>
      <c r="H5178" s="28">
        <f t="shared" si="109"/>
        <v>201.0643</v>
      </c>
      <c r="I5178" s="28">
        <f t="shared" si="110"/>
        <v>207.98150000000001</v>
      </c>
      <c r="J5178" s="28">
        <f t="shared" si="111"/>
        <v>213.09309999999999</v>
      </c>
      <c r="K5178" s="28">
        <f t="shared" si="112"/>
        <v>221.36529999999999</v>
      </c>
      <c r="L5178" s="4"/>
      <c r="M5178" s="241">
        <v>207.98150000000001</v>
      </c>
    </row>
    <row r="5179" spans="3:13" hidden="1" outlineLevel="1" x14ac:dyDescent="0.2">
      <c r="C5179" s="139">
        <v>32.1000000000002</v>
      </c>
      <c r="D5179" s="28">
        <f t="shared" ref="D5179:D5242" si="113">C5179*Channels.per.TRX</f>
        <v>256.8000000000016</v>
      </c>
      <c r="E5179" s="28">
        <f t="shared" ref="E5179:E5242" si="114">D5179-C5179*sig.channel.per.TRX</f>
        <v>240.75000000000151</v>
      </c>
      <c r="F5179" s="28">
        <f t="shared" ref="F5179:F5242" si="115">MAX(0,E5179-GPRS.channel.per.sector)</f>
        <v>222.75000000000151</v>
      </c>
      <c r="G5179" s="28">
        <f t="shared" ref="G5179:G5242" si="116">INDEX(D$10:D$4326,MATCH($F5179,$C$10:$C$4326,1))</f>
        <v>185.9325</v>
      </c>
      <c r="H5179" s="28">
        <f t="shared" ref="H5179:H5242" si="117">INDEX(E$10:E$4326,MATCH($F5179,$C$10:$C$4326,1))</f>
        <v>201.0643</v>
      </c>
      <c r="I5179" s="28">
        <f t="shared" ref="I5179:I5242" si="118">INDEX(F$10:F$4326,MATCH($F5179,$C$10:$C$4326,1))</f>
        <v>207.98150000000001</v>
      </c>
      <c r="J5179" s="28">
        <f t="shared" ref="J5179:J5242" si="119">INDEX(G$10:G$4326,MATCH($F5179,$C$10:$C$4326,1))</f>
        <v>213.09309999999999</v>
      </c>
      <c r="K5179" s="28">
        <f t="shared" ref="K5179:K5242" si="120">INDEX(H$10:H$4326,MATCH($F5179,$C$10:$C$4326,1))</f>
        <v>221.36529999999999</v>
      </c>
      <c r="L5179" s="4"/>
      <c r="M5179" s="241">
        <v>207.98150000000001</v>
      </c>
    </row>
    <row r="5180" spans="3:13" hidden="1" outlineLevel="1" x14ac:dyDescent="0.2">
      <c r="C5180" s="139">
        <v>32.200000000000202</v>
      </c>
      <c r="D5180" s="28">
        <f t="shared" si="113"/>
        <v>257.60000000000161</v>
      </c>
      <c r="E5180" s="28">
        <f t="shared" si="114"/>
        <v>241.50000000000151</v>
      </c>
      <c r="F5180" s="28">
        <f t="shared" si="115"/>
        <v>223.50000000000151</v>
      </c>
      <c r="G5180" s="28">
        <f t="shared" si="116"/>
        <v>186.85849999999999</v>
      </c>
      <c r="H5180" s="28">
        <f t="shared" si="117"/>
        <v>202.03550000000001</v>
      </c>
      <c r="I5180" s="28">
        <f t="shared" si="118"/>
        <v>208.97450000000001</v>
      </c>
      <c r="J5180" s="28">
        <f t="shared" si="119"/>
        <v>214.10319999999999</v>
      </c>
      <c r="K5180" s="28">
        <f t="shared" si="120"/>
        <v>222.405</v>
      </c>
      <c r="L5180" s="4"/>
      <c r="M5180" s="241">
        <v>208.97450000000001</v>
      </c>
    </row>
    <row r="5181" spans="3:13" hidden="1" outlineLevel="1" x14ac:dyDescent="0.2">
      <c r="C5181" s="139">
        <v>32.300000000000203</v>
      </c>
      <c r="D5181" s="28">
        <f t="shared" si="113"/>
        <v>258.40000000000163</v>
      </c>
      <c r="E5181" s="28">
        <f t="shared" si="114"/>
        <v>242.25000000000153</v>
      </c>
      <c r="F5181" s="28">
        <f t="shared" si="115"/>
        <v>224.25000000000153</v>
      </c>
      <c r="G5181" s="28">
        <f t="shared" si="116"/>
        <v>187.78450000000001</v>
      </c>
      <c r="H5181" s="28">
        <f t="shared" si="117"/>
        <v>203.00640000000001</v>
      </c>
      <c r="I5181" s="28">
        <f t="shared" si="118"/>
        <v>209.96799999999999</v>
      </c>
      <c r="J5181" s="28">
        <f t="shared" si="119"/>
        <v>215.11369999999999</v>
      </c>
      <c r="K5181" s="28">
        <f t="shared" si="120"/>
        <v>223.44499999999999</v>
      </c>
      <c r="L5181" s="4"/>
      <c r="M5181" s="241">
        <v>209.96799999999999</v>
      </c>
    </row>
    <row r="5182" spans="3:13" hidden="1" outlineLevel="1" x14ac:dyDescent="0.2">
      <c r="C5182" s="139">
        <v>32.400000000000205</v>
      </c>
      <c r="D5182" s="28">
        <f t="shared" si="113"/>
        <v>259.20000000000164</v>
      </c>
      <c r="E5182" s="28">
        <f t="shared" si="114"/>
        <v>243.00000000000153</v>
      </c>
      <c r="F5182" s="28">
        <f t="shared" si="115"/>
        <v>225.00000000000153</v>
      </c>
      <c r="G5182" s="28">
        <f t="shared" si="116"/>
        <v>188.71039999999999</v>
      </c>
      <c r="H5182" s="28">
        <f t="shared" si="117"/>
        <v>203.97710000000001</v>
      </c>
      <c r="I5182" s="28">
        <f t="shared" si="118"/>
        <v>210.96109999999999</v>
      </c>
      <c r="J5182" s="28">
        <f t="shared" si="119"/>
        <v>216.12469999999999</v>
      </c>
      <c r="K5182" s="28">
        <f t="shared" si="120"/>
        <v>224.4846</v>
      </c>
      <c r="L5182" s="4"/>
      <c r="M5182" s="241">
        <v>210.96109999999999</v>
      </c>
    </row>
    <row r="5183" spans="3:13" hidden="1" outlineLevel="1" x14ac:dyDescent="0.2">
      <c r="C5183" s="139">
        <v>32.500000000000206</v>
      </c>
      <c r="D5183" s="28">
        <f t="shared" si="113"/>
        <v>260.00000000000165</v>
      </c>
      <c r="E5183" s="28">
        <f t="shared" si="114"/>
        <v>243.75000000000153</v>
      </c>
      <c r="F5183" s="28">
        <f t="shared" si="115"/>
        <v>225.75000000000153</v>
      </c>
      <c r="G5183" s="28">
        <f t="shared" si="116"/>
        <v>188.71039999999999</v>
      </c>
      <c r="H5183" s="28">
        <f t="shared" si="117"/>
        <v>203.97710000000001</v>
      </c>
      <c r="I5183" s="28">
        <f t="shared" si="118"/>
        <v>210.96109999999999</v>
      </c>
      <c r="J5183" s="28">
        <f t="shared" si="119"/>
        <v>216.12469999999999</v>
      </c>
      <c r="K5183" s="28">
        <f t="shared" si="120"/>
        <v>224.4846</v>
      </c>
      <c r="L5183" s="4"/>
      <c r="M5183" s="241">
        <v>210.96109999999999</v>
      </c>
    </row>
    <row r="5184" spans="3:13" hidden="1" outlineLevel="1" x14ac:dyDescent="0.2">
      <c r="C5184" s="139">
        <v>32.600000000000207</v>
      </c>
      <c r="D5184" s="28">
        <f t="shared" si="113"/>
        <v>260.80000000000166</v>
      </c>
      <c r="E5184" s="28">
        <f t="shared" si="114"/>
        <v>244.50000000000156</v>
      </c>
      <c r="F5184" s="28">
        <f t="shared" si="115"/>
        <v>226.50000000000156</v>
      </c>
      <c r="G5184" s="28">
        <f t="shared" si="116"/>
        <v>189.637</v>
      </c>
      <c r="H5184" s="28">
        <f t="shared" si="117"/>
        <v>204.94829999999999</v>
      </c>
      <c r="I5184" s="28">
        <f t="shared" si="118"/>
        <v>211.9547</v>
      </c>
      <c r="J5184" s="28">
        <f t="shared" si="119"/>
        <v>217.1352</v>
      </c>
      <c r="K5184" s="28">
        <f t="shared" si="120"/>
        <v>225.52449999999999</v>
      </c>
      <c r="L5184" s="4"/>
      <c r="M5184" s="241">
        <v>211.9547</v>
      </c>
    </row>
    <row r="5185" spans="3:13" hidden="1" outlineLevel="1" x14ac:dyDescent="0.2">
      <c r="C5185" s="139">
        <v>32.700000000000209</v>
      </c>
      <c r="D5185" s="28">
        <f t="shared" si="113"/>
        <v>261.60000000000167</v>
      </c>
      <c r="E5185" s="28">
        <f t="shared" si="114"/>
        <v>245.25000000000156</v>
      </c>
      <c r="F5185" s="28">
        <f t="shared" si="115"/>
        <v>227.25000000000156</v>
      </c>
      <c r="G5185" s="28">
        <f t="shared" si="116"/>
        <v>190.56270000000001</v>
      </c>
      <c r="H5185" s="28">
        <f t="shared" si="117"/>
        <v>205.92009999999999</v>
      </c>
      <c r="I5185" s="28">
        <f t="shared" si="118"/>
        <v>212.94800000000001</v>
      </c>
      <c r="J5185" s="28">
        <f t="shared" si="119"/>
        <v>218.1454</v>
      </c>
      <c r="K5185" s="28">
        <f t="shared" si="120"/>
        <v>226.56489999999999</v>
      </c>
      <c r="L5185" s="4"/>
      <c r="M5185" s="241">
        <v>212.94800000000001</v>
      </c>
    </row>
    <row r="5186" spans="3:13" hidden="1" outlineLevel="1" x14ac:dyDescent="0.2">
      <c r="C5186" s="139">
        <v>32.80000000000021</v>
      </c>
      <c r="D5186" s="28">
        <f t="shared" si="113"/>
        <v>262.40000000000168</v>
      </c>
      <c r="E5186" s="28">
        <f t="shared" si="114"/>
        <v>246.00000000000159</v>
      </c>
      <c r="F5186" s="28">
        <f t="shared" si="115"/>
        <v>228.00000000000159</v>
      </c>
      <c r="G5186" s="28">
        <f t="shared" si="116"/>
        <v>191.49</v>
      </c>
      <c r="H5186" s="28">
        <f t="shared" si="117"/>
        <v>206.89160000000001</v>
      </c>
      <c r="I5186" s="28">
        <f t="shared" si="118"/>
        <v>213.9418</v>
      </c>
      <c r="J5186" s="28">
        <f t="shared" si="119"/>
        <v>219.1568</v>
      </c>
      <c r="K5186" s="28">
        <f t="shared" si="120"/>
        <v>227.60470000000001</v>
      </c>
      <c r="L5186" s="4"/>
      <c r="M5186" s="241">
        <v>213.9418</v>
      </c>
    </row>
    <row r="5187" spans="3:13" hidden="1" outlineLevel="1" x14ac:dyDescent="0.2">
      <c r="C5187" s="139">
        <v>32.900000000000212</v>
      </c>
      <c r="D5187" s="28">
        <f t="shared" si="113"/>
        <v>263.20000000000169</v>
      </c>
      <c r="E5187" s="28">
        <f t="shared" si="114"/>
        <v>246.75000000000159</v>
      </c>
      <c r="F5187" s="28">
        <f t="shared" si="115"/>
        <v>228.75000000000159</v>
      </c>
      <c r="G5187" s="28">
        <f t="shared" si="116"/>
        <v>191.49</v>
      </c>
      <c r="H5187" s="28">
        <f t="shared" si="117"/>
        <v>206.89160000000001</v>
      </c>
      <c r="I5187" s="28">
        <f t="shared" si="118"/>
        <v>213.9418</v>
      </c>
      <c r="J5187" s="28">
        <f t="shared" si="119"/>
        <v>219.1568</v>
      </c>
      <c r="K5187" s="28">
        <f t="shared" si="120"/>
        <v>227.60470000000001</v>
      </c>
      <c r="L5187" s="4"/>
      <c r="M5187" s="241">
        <v>213.9418</v>
      </c>
    </row>
    <row r="5188" spans="3:13" hidden="1" outlineLevel="1" x14ac:dyDescent="0.2">
      <c r="C5188" s="139">
        <v>33.000000000000213</v>
      </c>
      <c r="D5188" s="28">
        <f t="shared" si="113"/>
        <v>264.00000000000171</v>
      </c>
      <c r="E5188" s="28">
        <f t="shared" si="114"/>
        <v>247.50000000000159</v>
      </c>
      <c r="F5188" s="28">
        <f t="shared" si="115"/>
        <v>229.50000000000159</v>
      </c>
      <c r="G5188" s="28">
        <f t="shared" si="116"/>
        <v>192.41640000000001</v>
      </c>
      <c r="H5188" s="28">
        <f t="shared" si="117"/>
        <v>207.86359999999999</v>
      </c>
      <c r="I5188" s="28">
        <f t="shared" si="118"/>
        <v>214.93600000000001</v>
      </c>
      <c r="J5188" s="28">
        <f t="shared" si="119"/>
        <v>220.1678</v>
      </c>
      <c r="K5188" s="28">
        <f t="shared" si="120"/>
        <v>228.64490000000001</v>
      </c>
      <c r="L5188" s="4"/>
      <c r="M5188" s="241">
        <v>214.93600000000001</v>
      </c>
    </row>
    <row r="5189" spans="3:13" hidden="1" outlineLevel="1" x14ac:dyDescent="0.2">
      <c r="C5189" s="139">
        <v>33.100000000000215</v>
      </c>
      <c r="D5189" s="28">
        <f t="shared" si="113"/>
        <v>264.80000000000172</v>
      </c>
      <c r="E5189" s="28">
        <f t="shared" si="114"/>
        <v>248.25000000000162</v>
      </c>
      <c r="F5189" s="28">
        <f t="shared" si="115"/>
        <v>230.25000000000162</v>
      </c>
      <c r="G5189" s="28">
        <f t="shared" si="116"/>
        <v>193.34350000000001</v>
      </c>
      <c r="H5189" s="28">
        <f t="shared" si="117"/>
        <v>208.83539999999999</v>
      </c>
      <c r="I5189" s="28">
        <f t="shared" si="118"/>
        <v>215.9299</v>
      </c>
      <c r="J5189" s="28">
        <f t="shared" si="119"/>
        <v>221.17840000000001</v>
      </c>
      <c r="K5189" s="28">
        <f t="shared" si="120"/>
        <v>229.68549999999999</v>
      </c>
      <c r="L5189" s="4"/>
      <c r="M5189" s="241">
        <v>215.9299</v>
      </c>
    </row>
    <row r="5190" spans="3:13" hidden="1" outlineLevel="1" x14ac:dyDescent="0.2">
      <c r="C5190" s="139">
        <v>33.200000000000216</v>
      </c>
      <c r="D5190" s="28">
        <f t="shared" si="113"/>
        <v>265.60000000000173</v>
      </c>
      <c r="E5190" s="28">
        <f t="shared" si="114"/>
        <v>249.00000000000162</v>
      </c>
      <c r="F5190" s="28">
        <f t="shared" si="115"/>
        <v>231.00000000000162</v>
      </c>
      <c r="G5190" s="28">
        <f t="shared" si="116"/>
        <v>194.2705</v>
      </c>
      <c r="H5190" s="28">
        <f t="shared" si="117"/>
        <v>209.80680000000001</v>
      </c>
      <c r="I5190" s="28">
        <f t="shared" si="118"/>
        <v>216.92330000000001</v>
      </c>
      <c r="J5190" s="28">
        <f t="shared" si="119"/>
        <v>222.18940000000001</v>
      </c>
      <c r="K5190" s="28">
        <f t="shared" si="120"/>
        <v>230.72550000000001</v>
      </c>
      <c r="L5190" s="4"/>
      <c r="M5190" s="241">
        <v>216.92330000000001</v>
      </c>
    </row>
    <row r="5191" spans="3:13" hidden="1" outlineLevel="1" x14ac:dyDescent="0.2">
      <c r="C5191" s="139">
        <v>33.300000000000217</v>
      </c>
      <c r="D5191" s="28">
        <f t="shared" si="113"/>
        <v>266.40000000000174</v>
      </c>
      <c r="E5191" s="28">
        <f t="shared" si="114"/>
        <v>249.75000000000162</v>
      </c>
      <c r="F5191" s="28">
        <f t="shared" si="115"/>
        <v>231.75000000000162</v>
      </c>
      <c r="G5191" s="28">
        <f t="shared" si="116"/>
        <v>194.2705</v>
      </c>
      <c r="H5191" s="28">
        <f t="shared" si="117"/>
        <v>209.80680000000001</v>
      </c>
      <c r="I5191" s="28">
        <f t="shared" si="118"/>
        <v>216.92330000000001</v>
      </c>
      <c r="J5191" s="28">
        <f t="shared" si="119"/>
        <v>222.18940000000001</v>
      </c>
      <c r="K5191" s="28">
        <f t="shared" si="120"/>
        <v>230.72550000000001</v>
      </c>
      <c r="L5191" s="4"/>
      <c r="M5191" s="241">
        <v>216.92330000000001</v>
      </c>
    </row>
    <row r="5192" spans="3:13" hidden="1" outlineLevel="1" x14ac:dyDescent="0.2">
      <c r="C5192" s="139">
        <v>33.400000000000219</v>
      </c>
      <c r="D5192" s="28">
        <f t="shared" si="113"/>
        <v>267.20000000000175</v>
      </c>
      <c r="E5192" s="28">
        <f t="shared" si="114"/>
        <v>250.50000000000165</v>
      </c>
      <c r="F5192" s="28">
        <f t="shared" si="115"/>
        <v>232.50000000000165</v>
      </c>
      <c r="G5192" s="28">
        <f t="shared" si="116"/>
        <v>195.19820000000001</v>
      </c>
      <c r="H5192" s="28">
        <f t="shared" si="117"/>
        <v>210.77969999999999</v>
      </c>
      <c r="I5192" s="28">
        <f t="shared" si="118"/>
        <v>217.91820000000001</v>
      </c>
      <c r="J5192" s="28">
        <f t="shared" si="119"/>
        <v>223.20079999999999</v>
      </c>
      <c r="K5192" s="28">
        <f t="shared" si="120"/>
        <v>231.76589999999999</v>
      </c>
      <c r="L5192" s="4"/>
      <c r="M5192" s="241">
        <v>217.91820000000001</v>
      </c>
    </row>
    <row r="5193" spans="3:13" hidden="1" outlineLevel="1" x14ac:dyDescent="0.2">
      <c r="C5193" s="139">
        <v>33.50000000000022</v>
      </c>
      <c r="D5193" s="28">
        <f t="shared" si="113"/>
        <v>268.00000000000176</v>
      </c>
      <c r="E5193" s="28">
        <f t="shared" si="114"/>
        <v>251.25000000000165</v>
      </c>
      <c r="F5193" s="28">
        <f t="shared" si="115"/>
        <v>233.25000000000165</v>
      </c>
      <c r="G5193" s="28">
        <f t="shared" si="116"/>
        <v>196.1258</v>
      </c>
      <c r="H5193" s="28">
        <f t="shared" si="117"/>
        <v>211.75129999999999</v>
      </c>
      <c r="I5193" s="28">
        <f t="shared" si="118"/>
        <v>218.9117</v>
      </c>
      <c r="J5193" s="28">
        <f t="shared" si="119"/>
        <v>224.21170000000001</v>
      </c>
      <c r="K5193" s="28">
        <f t="shared" si="120"/>
        <v>232.8058</v>
      </c>
      <c r="L5193" s="4"/>
      <c r="M5193" s="241">
        <v>218.9117</v>
      </c>
    </row>
    <row r="5194" spans="3:13" hidden="1" outlineLevel="1" x14ac:dyDescent="0.2">
      <c r="C5194" s="139">
        <v>33.600000000000222</v>
      </c>
      <c r="D5194" s="28">
        <f t="shared" si="113"/>
        <v>268.80000000000177</v>
      </c>
      <c r="E5194" s="28">
        <f t="shared" si="114"/>
        <v>252.00000000000165</v>
      </c>
      <c r="F5194" s="28">
        <f t="shared" si="115"/>
        <v>234.00000000000165</v>
      </c>
      <c r="G5194" s="28">
        <f t="shared" si="116"/>
        <v>197.0532</v>
      </c>
      <c r="H5194" s="28">
        <f t="shared" si="117"/>
        <v>212.7235</v>
      </c>
      <c r="I5194" s="28">
        <f t="shared" si="118"/>
        <v>219.9066</v>
      </c>
      <c r="J5194" s="28">
        <f t="shared" si="119"/>
        <v>225.22309999999999</v>
      </c>
      <c r="K5194" s="28">
        <f t="shared" si="120"/>
        <v>233.846</v>
      </c>
      <c r="L5194" s="4"/>
      <c r="M5194" s="241">
        <v>219.9066</v>
      </c>
    </row>
    <row r="5195" spans="3:13" hidden="1" outlineLevel="1" x14ac:dyDescent="0.2">
      <c r="C5195" s="139">
        <v>33.700000000000223</v>
      </c>
      <c r="D5195" s="28">
        <f t="shared" si="113"/>
        <v>269.60000000000178</v>
      </c>
      <c r="E5195" s="28">
        <f t="shared" si="114"/>
        <v>252.75000000000168</v>
      </c>
      <c r="F5195" s="28">
        <f t="shared" si="115"/>
        <v>234.75000000000168</v>
      </c>
      <c r="G5195" s="28">
        <f t="shared" si="116"/>
        <v>197.0532</v>
      </c>
      <c r="H5195" s="28">
        <f t="shared" si="117"/>
        <v>212.7235</v>
      </c>
      <c r="I5195" s="28">
        <f t="shared" si="118"/>
        <v>219.9066</v>
      </c>
      <c r="J5195" s="28">
        <f t="shared" si="119"/>
        <v>225.22309999999999</v>
      </c>
      <c r="K5195" s="28">
        <f t="shared" si="120"/>
        <v>233.846</v>
      </c>
      <c r="L5195" s="4"/>
      <c r="M5195" s="241">
        <v>219.9066</v>
      </c>
    </row>
    <row r="5196" spans="3:13" hidden="1" outlineLevel="1" x14ac:dyDescent="0.2">
      <c r="C5196" s="139">
        <v>33.800000000000225</v>
      </c>
      <c r="D5196" s="28">
        <f t="shared" si="113"/>
        <v>270.4000000000018</v>
      </c>
      <c r="E5196" s="28">
        <f t="shared" si="114"/>
        <v>253.50000000000168</v>
      </c>
      <c r="F5196" s="28">
        <f t="shared" si="115"/>
        <v>235.50000000000168</v>
      </c>
      <c r="G5196" s="28">
        <f t="shared" si="116"/>
        <v>197.98140000000001</v>
      </c>
      <c r="H5196" s="28">
        <f t="shared" si="117"/>
        <v>213.6962</v>
      </c>
      <c r="I5196" s="28">
        <f t="shared" si="118"/>
        <v>220.90100000000001</v>
      </c>
      <c r="J5196" s="28">
        <f t="shared" si="119"/>
        <v>226.23490000000001</v>
      </c>
      <c r="K5196" s="28">
        <f t="shared" si="120"/>
        <v>234.88659999999999</v>
      </c>
      <c r="L5196" s="4"/>
      <c r="M5196" s="241">
        <v>220.90100000000001</v>
      </c>
    </row>
    <row r="5197" spans="3:13" hidden="1" outlineLevel="1" x14ac:dyDescent="0.2">
      <c r="C5197" s="139">
        <v>33.900000000000226</v>
      </c>
      <c r="D5197" s="28">
        <f t="shared" si="113"/>
        <v>271.20000000000181</v>
      </c>
      <c r="E5197" s="28">
        <f t="shared" si="114"/>
        <v>254.25000000000171</v>
      </c>
      <c r="F5197" s="28">
        <f t="shared" si="115"/>
        <v>236.25000000000171</v>
      </c>
      <c r="G5197" s="28">
        <f t="shared" si="116"/>
        <v>198.90975</v>
      </c>
      <c r="H5197" s="28">
        <f t="shared" si="117"/>
        <v>214.6686</v>
      </c>
      <c r="I5197" s="28">
        <f t="shared" si="118"/>
        <v>221.89500000000001</v>
      </c>
      <c r="J5197" s="28">
        <f t="shared" si="119"/>
        <v>227.24619999999999</v>
      </c>
      <c r="K5197" s="28">
        <f t="shared" si="120"/>
        <v>235.92750000000001</v>
      </c>
      <c r="L5197" s="4"/>
      <c r="M5197" s="241">
        <v>221.89500000000001</v>
      </c>
    </row>
    <row r="5198" spans="3:13" hidden="1" outlineLevel="1" x14ac:dyDescent="0.2">
      <c r="C5198" s="139">
        <v>34.000000000000227</v>
      </c>
      <c r="D5198" s="28">
        <f t="shared" si="113"/>
        <v>272.00000000000182</v>
      </c>
      <c r="E5198" s="28">
        <f t="shared" si="114"/>
        <v>255.00000000000171</v>
      </c>
      <c r="F5198" s="28">
        <f t="shared" si="115"/>
        <v>237.00000000000171</v>
      </c>
      <c r="G5198" s="28">
        <f t="shared" si="116"/>
        <v>199.8381</v>
      </c>
      <c r="H5198" s="28">
        <f t="shared" si="117"/>
        <v>215.64150000000001</v>
      </c>
      <c r="I5198" s="28">
        <f t="shared" si="118"/>
        <v>222.8895</v>
      </c>
      <c r="J5198" s="28">
        <f t="shared" si="119"/>
        <v>228.25800000000001</v>
      </c>
      <c r="K5198" s="28">
        <f t="shared" si="120"/>
        <v>236.96789999999999</v>
      </c>
      <c r="L5198" s="4"/>
      <c r="M5198" s="241">
        <v>222.8895</v>
      </c>
    </row>
    <row r="5199" spans="3:13" hidden="1" outlineLevel="1" x14ac:dyDescent="0.2">
      <c r="C5199" s="139">
        <v>34.100000000000229</v>
      </c>
      <c r="D5199" s="28">
        <f t="shared" si="113"/>
        <v>272.80000000000183</v>
      </c>
      <c r="E5199" s="28">
        <f t="shared" si="114"/>
        <v>255.75000000000171</v>
      </c>
      <c r="F5199" s="28">
        <f t="shared" si="115"/>
        <v>237.75000000000171</v>
      </c>
      <c r="G5199" s="28">
        <f t="shared" si="116"/>
        <v>199.8381</v>
      </c>
      <c r="H5199" s="28">
        <f t="shared" si="117"/>
        <v>215.64150000000001</v>
      </c>
      <c r="I5199" s="28">
        <f t="shared" si="118"/>
        <v>222.8895</v>
      </c>
      <c r="J5199" s="28">
        <f t="shared" si="119"/>
        <v>228.25800000000001</v>
      </c>
      <c r="K5199" s="28">
        <f t="shared" si="120"/>
        <v>236.96789999999999</v>
      </c>
      <c r="L5199" s="4"/>
      <c r="M5199" s="241">
        <v>222.8895</v>
      </c>
    </row>
    <row r="5200" spans="3:13" hidden="1" outlineLevel="1" x14ac:dyDescent="0.2">
      <c r="C5200" s="139">
        <v>34.20000000000023</v>
      </c>
      <c r="D5200" s="28">
        <f t="shared" si="113"/>
        <v>273.60000000000184</v>
      </c>
      <c r="E5200" s="28">
        <f t="shared" si="114"/>
        <v>256.50000000000171</v>
      </c>
      <c r="F5200" s="28">
        <f t="shared" si="115"/>
        <v>238.50000000000171</v>
      </c>
      <c r="G5200" s="28">
        <f t="shared" si="116"/>
        <v>200.76669999999999</v>
      </c>
      <c r="H5200" s="28">
        <f t="shared" si="117"/>
        <v>216.614</v>
      </c>
      <c r="I5200" s="28">
        <f t="shared" si="118"/>
        <v>223.8845</v>
      </c>
      <c r="J5200" s="28">
        <f t="shared" si="119"/>
        <v>229.26920000000001</v>
      </c>
      <c r="K5200" s="28">
        <f t="shared" si="120"/>
        <v>238.00880000000001</v>
      </c>
      <c r="L5200" s="4"/>
      <c r="M5200" s="241">
        <v>223.8845</v>
      </c>
    </row>
    <row r="5201" spans="3:13" hidden="1" outlineLevel="1" x14ac:dyDescent="0.2">
      <c r="C5201" s="139">
        <v>34.300000000000232</v>
      </c>
      <c r="D5201" s="28">
        <f t="shared" si="113"/>
        <v>274.40000000000185</v>
      </c>
      <c r="E5201" s="28">
        <f t="shared" si="114"/>
        <v>257.25000000000176</v>
      </c>
      <c r="F5201" s="28">
        <f t="shared" si="115"/>
        <v>239.25000000000176</v>
      </c>
      <c r="G5201" s="28">
        <f t="shared" si="116"/>
        <v>201.69499999999999</v>
      </c>
      <c r="H5201" s="28">
        <f t="shared" si="117"/>
        <v>217.58709999999999</v>
      </c>
      <c r="I5201" s="28">
        <f t="shared" si="118"/>
        <v>224.87889999999999</v>
      </c>
      <c r="J5201" s="28">
        <f t="shared" si="119"/>
        <v>230.2808</v>
      </c>
      <c r="K5201" s="28">
        <f t="shared" si="120"/>
        <v>239.0489</v>
      </c>
      <c r="L5201" s="4"/>
      <c r="M5201" s="241">
        <v>224.87889999999999</v>
      </c>
    </row>
    <row r="5202" spans="3:13" hidden="1" outlineLevel="1" x14ac:dyDescent="0.2">
      <c r="C5202" s="139">
        <v>34.400000000000233</v>
      </c>
      <c r="D5202" s="28">
        <f t="shared" si="113"/>
        <v>275.20000000000186</v>
      </c>
      <c r="E5202" s="28">
        <f t="shared" si="114"/>
        <v>258.00000000000176</v>
      </c>
      <c r="F5202" s="28">
        <f t="shared" si="115"/>
        <v>240.00000000000176</v>
      </c>
      <c r="G5202" s="28">
        <f t="shared" si="116"/>
        <v>202.6241</v>
      </c>
      <c r="H5202" s="28">
        <f t="shared" si="117"/>
        <v>218.55969999999999</v>
      </c>
      <c r="I5202" s="28">
        <f t="shared" si="118"/>
        <v>225.87389999999999</v>
      </c>
      <c r="J5202" s="28">
        <f t="shared" si="119"/>
        <v>231.2929</v>
      </c>
      <c r="K5202" s="28">
        <f t="shared" si="120"/>
        <v>240.08940000000001</v>
      </c>
      <c r="L5202" s="4"/>
      <c r="M5202" s="241">
        <v>225.87389999999999</v>
      </c>
    </row>
    <row r="5203" spans="3:13" hidden="1" outlineLevel="1" x14ac:dyDescent="0.2">
      <c r="C5203" s="139">
        <v>34.500000000000234</v>
      </c>
      <c r="D5203" s="28">
        <f t="shared" si="113"/>
        <v>276.00000000000188</v>
      </c>
      <c r="E5203" s="28">
        <f t="shared" si="114"/>
        <v>258.75000000000176</v>
      </c>
      <c r="F5203" s="28">
        <f t="shared" si="115"/>
        <v>240.75000000000176</v>
      </c>
      <c r="G5203" s="28">
        <f t="shared" si="116"/>
        <v>202.6241</v>
      </c>
      <c r="H5203" s="28">
        <f t="shared" si="117"/>
        <v>218.55969999999999</v>
      </c>
      <c r="I5203" s="28">
        <f t="shared" si="118"/>
        <v>225.87389999999999</v>
      </c>
      <c r="J5203" s="28">
        <f t="shared" si="119"/>
        <v>231.2929</v>
      </c>
      <c r="K5203" s="28">
        <f t="shared" si="120"/>
        <v>240.08940000000001</v>
      </c>
      <c r="L5203" s="4"/>
      <c r="M5203" s="241">
        <v>225.87389999999999</v>
      </c>
    </row>
    <row r="5204" spans="3:13" hidden="1" outlineLevel="1" x14ac:dyDescent="0.2">
      <c r="C5204" s="139">
        <v>34.600000000000236</v>
      </c>
      <c r="D5204" s="28">
        <f t="shared" si="113"/>
        <v>276.80000000000189</v>
      </c>
      <c r="E5204" s="28">
        <f t="shared" si="114"/>
        <v>259.50000000000176</v>
      </c>
      <c r="F5204" s="28">
        <f t="shared" si="115"/>
        <v>241.50000000000176</v>
      </c>
      <c r="G5204" s="28">
        <f t="shared" si="116"/>
        <v>203.55289999999999</v>
      </c>
      <c r="H5204" s="28">
        <f t="shared" si="117"/>
        <v>219.53290000000001</v>
      </c>
      <c r="I5204" s="28">
        <f t="shared" si="118"/>
        <v>226.8683</v>
      </c>
      <c r="J5204" s="28">
        <f t="shared" si="119"/>
        <v>232.30439999999999</v>
      </c>
      <c r="K5204" s="28">
        <f t="shared" si="120"/>
        <v>241.1302</v>
      </c>
      <c r="L5204" s="4"/>
      <c r="M5204" s="241">
        <v>226.8683</v>
      </c>
    </row>
    <row r="5205" spans="3:13" hidden="1" outlineLevel="1" x14ac:dyDescent="0.2">
      <c r="C5205" s="139">
        <v>34.700000000000237</v>
      </c>
      <c r="D5205" s="28">
        <f t="shared" si="113"/>
        <v>277.6000000000019</v>
      </c>
      <c r="E5205" s="28">
        <f t="shared" si="114"/>
        <v>260.25000000000176</v>
      </c>
      <c r="F5205" s="28">
        <f t="shared" si="115"/>
        <v>242.25000000000176</v>
      </c>
      <c r="G5205" s="28">
        <f t="shared" si="116"/>
        <v>204.48240000000001</v>
      </c>
      <c r="H5205" s="28">
        <f t="shared" si="117"/>
        <v>220.50659999999999</v>
      </c>
      <c r="I5205" s="28">
        <f t="shared" si="118"/>
        <v>227.86420000000001</v>
      </c>
      <c r="J5205" s="28">
        <f t="shared" si="119"/>
        <v>233.31630000000001</v>
      </c>
      <c r="K5205" s="28">
        <f t="shared" si="120"/>
        <v>242.17140000000001</v>
      </c>
      <c r="L5205" s="4"/>
      <c r="M5205" s="241">
        <v>227.86420000000001</v>
      </c>
    </row>
    <row r="5206" spans="3:13" hidden="1" outlineLevel="1" x14ac:dyDescent="0.2">
      <c r="C5206" s="139">
        <v>34.800000000000239</v>
      </c>
      <c r="D5206" s="28">
        <f t="shared" si="113"/>
        <v>278.40000000000191</v>
      </c>
      <c r="E5206" s="28">
        <f t="shared" si="114"/>
        <v>261.00000000000182</v>
      </c>
      <c r="F5206" s="28">
        <f t="shared" si="115"/>
        <v>243.00000000000182</v>
      </c>
      <c r="G5206" s="28">
        <f t="shared" si="116"/>
        <v>205.4118</v>
      </c>
      <c r="H5206" s="28">
        <f t="shared" si="117"/>
        <v>221.47989999999999</v>
      </c>
      <c r="I5206" s="28">
        <f t="shared" si="118"/>
        <v>228.8586</v>
      </c>
      <c r="J5206" s="28">
        <f t="shared" si="119"/>
        <v>234.32859999999999</v>
      </c>
      <c r="K5206" s="28">
        <f t="shared" si="120"/>
        <v>243.21190000000001</v>
      </c>
      <c r="L5206" s="4"/>
      <c r="M5206" s="241">
        <v>228.8586</v>
      </c>
    </row>
    <row r="5207" spans="3:13" hidden="1" outlineLevel="1" x14ac:dyDescent="0.2">
      <c r="C5207" s="139">
        <v>34.90000000000024</v>
      </c>
      <c r="D5207" s="28">
        <f t="shared" si="113"/>
        <v>279.20000000000192</v>
      </c>
      <c r="E5207" s="28">
        <f t="shared" si="114"/>
        <v>261.75000000000182</v>
      </c>
      <c r="F5207" s="28">
        <f t="shared" si="115"/>
        <v>243.75000000000182</v>
      </c>
      <c r="G5207" s="28">
        <f t="shared" si="116"/>
        <v>205.4118</v>
      </c>
      <c r="H5207" s="28">
        <f t="shared" si="117"/>
        <v>221.47989999999999</v>
      </c>
      <c r="I5207" s="28">
        <f t="shared" si="118"/>
        <v>228.8586</v>
      </c>
      <c r="J5207" s="28">
        <f t="shared" si="119"/>
        <v>234.32859999999999</v>
      </c>
      <c r="K5207" s="28">
        <f t="shared" si="120"/>
        <v>243.21190000000001</v>
      </c>
      <c r="L5207" s="4"/>
      <c r="M5207" s="241">
        <v>228.8586</v>
      </c>
    </row>
    <row r="5208" spans="3:13" hidden="1" outlineLevel="1" x14ac:dyDescent="0.2">
      <c r="C5208" s="139">
        <v>35.000000000000242</v>
      </c>
      <c r="D5208" s="28">
        <f t="shared" si="113"/>
        <v>280.00000000000193</v>
      </c>
      <c r="E5208" s="28">
        <f t="shared" si="114"/>
        <v>262.50000000000182</v>
      </c>
      <c r="F5208" s="28">
        <f t="shared" si="115"/>
        <v>244.50000000000182</v>
      </c>
      <c r="G5208" s="28">
        <f t="shared" si="116"/>
        <v>206.34120000000001</v>
      </c>
      <c r="H5208" s="28">
        <f t="shared" si="117"/>
        <v>222.4537</v>
      </c>
      <c r="I5208" s="28">
        <f t="shared" si="118"/>
        <v>229.8544</v>
      </c>
      <c r="J5208" s="28">
        <f t="shared" si="119"/>
        <v>235.34039999999999</v>
      </c>
      <c r="K5208" s="28">
        <f t="shared" si="120"/>
        <v>244.25370000000001</v>
      </c>
      <c r="L5208" s="4"/>
      <c r="M5208" s="241">
        <v>229.8544</v>
      </c>
    </row>
    <row r="5209" spans="3:13" hidden="1" outlineLevel="1" x14ac:dyDescent="0.2">
      <c r="C5209" s="139">
        <v>35.100000000000243</v>
      </c>
      <c r="D5209" s="28">
        <f t="shared" si="113"/>
        <v>280.80000000000194</v>
      </c>
      <c r="E5209" s="28">
        <f t="shared" si="114"/>
        <v>263.25000000000182</v>
      </c>
      <c r="F5209" s="28">
        <f t="shared" si="115"/>
        <v>245.25000000000182</v>
      </c>
      <c r="G5209" s="28">
        <f t="shared" si="116"/>
        <v>207.2706</v>
      </c>
      <c r="H5209" s="28">
        <f t="shared" si="117"/>
        <v>223.4271</v>
      </c>
      <c r="I5209" s="28">
        <f t="shared" si="118"/>
        <v>230.84970000000001</v>
      </c>
      <c r="J5209" s="28">
        <f t="shared" si="119"/>
        <v>236.3526</v>
      </c>
      <c r="K5209" s="28">
        <f t="shared" si="120"/>
        <v>245.2938</v>
      </c>
      <c r="L5209" s="4"/>
      <c r="M5209" s="241">
        <v>230.84970000000001</v>
      </c>
    </row>
    <row r="5210" spans="3:13" hidden="1" outlineLevel="1" x14ac:dyDescent="0.2">
      <c r="C5210" s="139">
        <v>35.200000000000244</v>
      </c>
      <c r="D5210" s="28">
        <f t="shared" si="113"/>
        <v>281.60000000000196</v>
      </c>
      <c r="E5210" s="28">
        <f t="shared" si="114"/>
        <v>264.00000000000182</v>
      </c>
      <c r="F5210" s="28">
        <f t="shared" si="115"/>
        <v>246.00000000000182</v>
      </c>
      <c r="G5210" s="28">
        <f t="shared" si="116"/>
        <v>208.2011</v>
      </c>
      <c r="H5210" s="28">
        <f t="shared" si="117"/>
        <v>224.40100000000001</v>
      </c>
      <c r="I5210" s="28">
        <f t="shared" si="118"/>
        <v>231.84450000000001</v>
      </c>
      <c r="J5210" s="28">
        <f t="shared" si="119"/>
        <v>237.36519999999999</v>
      </c>
      <c r="K5210" s="28">
        <f t="shared" si="120"/>
        <v>246.33519999999999</v>
      </c>
      <c r="L5210" s="4"/>
      <c r="M5210" s="241">
        <v>231.84450000000001</v>
      </c>
    </row>
    <row r="5211" spans="3:13" hidden="1" outlineLevel="1" x14ac:dyDescent="0.2">
      <c r="C5211" s="139">
        <v>35.300000000000246</v>
      </c>
      <c r="D5211" s="28">
        <f t="shared" si="113"/>
        <v>282.40000000000197</v>
      </c>
      <c r="E5211" s="28">
        <f t="shared" si="114"/>
        <v>264.75000000000182</v>
      </c>
      <c r="F5211" s="28">
        <f t="shared" si="115"/>
        <v>246.75000000000182</v>
      </c>
      <c r="G5211" s="28">
        <f t="shared" si="116"/>
        <v>208.2011</v>
      </c>
      <c r="H5211" s="28">
        <f t="shared" si="117"/>
        <v>224.40100000000001</v>
      </c>
      <c r="I5211" s="28">
        <f t="shared" si="118"/>
        <v>231.84450000000001</v>
      </c>
      <c r="J5211" s="28">
        <f t="shared" si="119"/>
        <v>237.36519999999999</v>
      </c>
      <c r="K5211" s="28">
        <f t="shared" si="120"/>
        <v>246.33519999999999</v>
      </c>
      <c r="L5211" s="4"/>
      <c r="M5211" s="241">
        <v>231.84450000000001</v>
      </c>
    </row>
    <row r="5212" spans="3:13" hidden="1" outlineLevel="1" x14ac:dyDescent="0.2">
      <c r="C5212" s="139">
        <v>35.400000000000247</v>
      </c>
      <c r="D5212" s="28">
        <f t="shared" si="113"/>
        <v>283.20000000000198</v>
      </c>
      <c r="E5212" s="28">
        <f t="shared" si="114"/>
        <v>265.50000000000188</v>
      </c>
      <c r="F5212" s="28">
        <f t="shared" si="115"/>
        <v>247.50000000000188</v>
      </c>
      <c r="G5212" s="28">
        <f t="shared" si="116"/>
        <v>209.13130000000001</v>
      </c>
      <c r="H5212" s="28">
        <f t="shared" si="117"/>
        <v>225.37440000000001</v>
      </c>
      <c r="I5212" s="28">
        <f t="shared" si="118"/>
        <v>232.83969999999999</v>
      </c>
      <c r="J5212" s="28">
        <f t="shared" si="119"/>
        <v>238.37719999999999</v>
      </c>
      <c r="K5212" s="28">
        <f t="shared" si="120"/>
        <v>247.376</v>
      </c>
      <c r="L5212" s="4"/>
      <c r="M5212" s="241">
        <v>232.83969999999999</v>
      </c>
    </row>
    <row r="5213" spans="3:13" hidden="1" outlineLevel="1" x14ac:dyDescent="0.2">
      <c r="C5213" s="139">
        <v>35.500000000000249</v>
      </c>
      <c r="D5213" s="28">
        <f t="shared" si="113"/>
        <v>284.00000000000199</v>
      </c>
      <c r="E5213" s="28">
        <f t="shared" si="114"/>
        <v>266.25000000000188</v>
      </c>
      <c r="F5213" s="28">
        <f t="shared" si="115"/>
        <v>248.25000000000188</v>
      </c>
      <c r="G5213" s="28">
        <f t="shared" si="116"/>
        <v>210.06120000000001</v>
      </c>
      <c r="H5213" s="28">
        <f t="shared" si="117"/>
        <v>226.34829999999999</v>
      </c>
      <c r="I5213" s="28">
        <f t="shared" si="118"/>
        <v>233.83529999999999</v>
      </c>
      <c r="J5213" s="28">
        <f t="shared" si="119"/>
        <v>239.3896</v>
      </c>
      <c r="K5213" s="28">
        <f t="shared" si="120"/>
        <v>248.4171</v>
      </c>
      <c r="L5213" s="4"/>
      <c r="M5213" s="241">
        <v>233.83529999999999</v>
      </c>
    </row>
    <row r="5214" spans="3:13" hidden="1" outlineLevel="1" x14ac:dyDescent="0.2">
      <c r="C5214" s="139">
        <v>35.60000000000025</v>
      </c>
      <c r="D5214" s="28">
        <f t="shared" si="113"/>
        <v>284.800000000002</v>
      </c>
      <c r="E5214" s="28">
        <f t="shared" si="114"/>
        <v>267.00000000000188</v>
      </c>
      <c r="F5214" s="28">
        <f t="shared" si="115"/>
        <v>249.00000000000188</v>
      </c>
      <c r="G5214" s="28">
        <f t="shared" si="116"/>
        <v>210.99180000000001</v>
      </c>
      <c r="H5214" s="28">
        <f t="shared" si="117"/>
        <v>227.3228</v>
      </c>
      <c r="I5214" s="28">
        <f t="shared" si="118"/>
        <v>234.8314</v>
      </c>
      <c r="J5214" s="28">
        <f t="shared" si="119"/>
        <v>240.4023</v>
      </c>
      <c r="K5214" s="28">
        <f t="shared" si="120"/>
        <v>249.45840000000001</v>
      </c>
      <c r="L5214" s="4"/>
      <c r="M5214" s="241">
        <v>234.8314</v>
      </c>
    </row>
    <row r="5215" spans="3:13" hidden="1" outlineLevel="1" x14ac:dyDescent="0.2">
      <c r="C5215" s="139">
        <v>35.700000000000252</v>
      </c>
      <c r="D5215" s="28">
        <f t="shared" si="113"/>
        <v>285.60000000000201</v>
      </c>
      <c r="E5215" s="28">
        <f t="shared" si="114"/>
        <v>267.75000000000188</v>
      </c>
      <c r="F5215" s="28">
        <f t="shared" si="115"/>
        <v>249.75000000000188</v>
      </c>
      <c r="G5215" s="28">
        <f t="shared" si="116"/>
        <v>210.99180000000001</v>
      </c>
      <c r="H5215" s="28">
        <f t="shared" si="117"/>
        <v>227.3228</v>
      </c>
      <c r="I5215" s="28">
        <f t="shared" si="118"/>
        <v>234.8314</v>
      </c>
      <c r="J5215" s="28">
        <f t="shared" si="119"/>
        <v>240.4023</v>
      </c>
      <c r="K5215" s="28">
        <f t="shared" si="120"/>
        <v>249.45840000000001</v>
      </c>
      <c r="L5215" s="4"/>
      <c r="M5215" s="241">
        <v>234.8314</v>
      </c>
    </row>
    <row r="5216" spans="3:13" hidden="1" outlineLevel="1" x14ac:dyDescent="0.2">
      <c r="C5216" s="139">
        <v>35.800000000000253</v>
      </c>
      <c r="D5216" s="28">
        <f t="shared" si="113"/>
        <v>286.40000000000202</v>
      </c>
      <c r="E5216" s="28">
        <f t="shared" si="114"/>
        <v>268.50000000000188</v>
      </c>
      <c r="F5216" s="28">
        <f t="shared" si="115"/>
        <v>250.50000000000188</v>
      </c>
      <c r="G5216" s="28">
        <f t="shared" si="116"/>
        <v>211.92287142857143</v>
      </c>
      <c r="H5216" s="28">
        <f t="shared" si="117"/>
        <v>228.29712857142857</v>
      </c>
      <c r="I5216" s="28">
        <f t="shared" si="118"/>
        <v>235.82722857142858</v>
      </c>
      <c r="J5216" s="28">
        <f t="shared" si="119"/>
        <v>241.41492857142856</v>
      </c>
      <c r="K5216" s="28">
        <f t="shared" si="120"/>
        <v>250.49984285714285</v>
      </c>
      <c r="L5216" s="4"/>
      <c r="M5216" s="241">
        <v>235.82722857142858</v>
      </c>
    </row>
    <row r="5217" spans="3:13" hidden="1" outlineLevel="1" x14ac:dyDescent="0.2">
      <c r="C5217" s="139">
        <v>35.900000000000254</v>
      </c>
      <c r="D5217" s="28">
        <f t="shared" si="113"/>
        <v>287.20000000000203</v>
      </c>
      <c r="E5217" s="28">
        <f t="shared" si="114"/>
        <v>269.25000000000193</v>
      </c>
      <c r="F5217" s="28">
        <f t="shared" si="115"/>
        <v>251.25000000000193</v>
      </c>
      <c r="G5217" s="28">
        <f t="shared" si="116"/>
        <v>212.85394285714284</v>
      </c>
      <c r="H5217" s="28">
        <f t="shared" si="117"/>
        <v>229.27145714285714</v>
      </c>
      <c r="I5217" s="28">
        <f t="shared" si="118"/>
        <v>236.82305714285715</v>
      </c>
      <c r="J5217" s="28">
        <f t="shared" si="119"/>
        <v>242.42755714285713</v>
      </c>
      <c r="K5217" s="28">
        <f t="shared" si="120"/>
        <v>251.54128571428569</v>
      </c>
      <c r="L5217" s="4"/>
      <c r="M5217" s="241">
        <v>236.82305714285715</v>
      </c>
    </row>
    <row r="5218" spans="3:13" hidden="1" outlineLevel="1" x14ac:dyDescent="0.2">
      <c r="C5218" s="139">
        <v>36.000000000000256</v>
      </c>
      <c r="D5218" s="28">
        <f t="shared" si="113"/>
        <v>288.00000000000205</v>
      </c>
      <c r="E5218" s="28">
        <f t="shared" si="114"/>
        <v>270.00000000000193</v>
      </c>
      <c r="F5218" s="28">
        <f t="shared" si="115"/>
        <v>252.00000000000193</v>
      </c>
      <c r="G5218" s="28">
        <f t="shared" si="116"/>
        <v>213.78501428571425</v>
      </c>
      <c r="H5218" s="28">
        <f t="shared" si="117"/>
        <v>230.24578571428572</v>
      </c>
      <c r="I5218" s="28">
        <f t="shared" si="118"/>
        <v>237.81888571428573</v>
      </c>
      <c r="J5218" s="28">
        <f t="shared" si="119"/>
        <v>243.44018571428569</v>
      </c>
      <c r="K5218" s="28">
        <f t="shared" si="120"/>
        <v>252.58272857142853</v>
      </c>
      <c r="L5218" s="4"/>
      <c r="M5218" s="241">
        <v>237.81888571428573</v>
      </c>
    </row>
    <row r="5219" spans="3:13" hidden="1" outlineLevel="1" x14ac:dyDescent="0.2">
      <c r="C5219" s="139">
        <v>36.100000000000257</v>
      </c>
      <c r="D5219" s="28">
        <f t="shared" si="113"/>
        <v>288.80000000000206</v>
      </c>
      <c r="E5219" s="28">
        <f t="shared" si="114"/>
        <v>270.75000000000193</v>
      </c>
      <c r="F5219" s="28">
        <f t="shared" si="115"/>
        <v>252.75000000000193</v>
      </c>
      <c r="G5219" s="28">
        <f t="shared" si="116"/>
        <v>213.78501428571425</v>
      </c>
      <c r="H5219" s="28">
        <f t="shared" si="117"/>
        <v>230.24578571428572</v>
      </c>
      <c r="I5219" s="28">
        <f t="shared" si="118"/>
        <v>237.81888571428573</v>
      </c>
      <c r="J5219" s="28">
        <f t="shared" si="119"/>
        <v>243.44018571428569</v>
      </c>
      <c r="K5219" s="28">
        <f t="shared" si="120"/>
        <v>252.58272857142853</v>
      </c>
      <c r="L5219" s="4"/>
      <c r="M5219" s="241">
        <v>237.81888571428573</v>
      </c>
    </row>
    <row r="5220" spans="3:13" hidden="1" outlineLevel="1" x14ac:dyDescent="0.2">
      <c r="C5220" s="139">
        <v>36.200000000000259</v>
      </c>
      <c r="D5220" s="28">
        <f t="shared" si="113"/>
        <v>289.60000000000207</v>
      </c>
      <c r="E5220" s="28">
        <f t="shared" si="114"/>
        <v>271.50000000000193</v>
      </c>
      <c r="F5220" s="28">
        <f t="shared" si="115"/>
        <v>253.50000000000193</v>
      </c>
      <c r="G5220" s="28">
        <f t="shared" si="116"/>
        <v>214.71608571428567</v>
      </c>
      <c r="H5220" s="28">
        <f t="shared" si="117"/>
        <v>231.22011428571429</v>
      </c>
      <c r="I5220" s="28">
        <f t="shared" si="118"/>
        <v>238.8147142857143</v>
      </c>
      <c r="J5220" s="28">
        <f t="shared" si="119"/>
        <v>244.45281428571425</v>
      </c>
      <c r="K5220" s="28">
        <f t="shared" si="120"/>
        <v>253.62417142857137</v>
      </c>
      <c r="L5220" s="4"/>
      <c r="M5220" s="241">
        <v>238.8147142857143</v>
      </c>
    </row>
    <row r="5221" spans="3:13" hidden="1" outlineLevel="1" x14ac:dyDescent="0.2">
      <c r="C5221" s="139">
        <v>36.30000000000026</v>
      </c>
      <c r="D5221" s="28">
        <f t="shared" si="113"/>
        <v>290.40000000000208</v>
      </c>
      <c r="E5221" s="28">
        <f t="shared" si="114"/>
        <v>272.25000000000193</v>
      </c>
      <c r="F5221" s="28">
        <f t="shared" si="115"/>
        <v>254.25000000000193</v>
      </c>
      <c r="G5221" s="28">
        <f t="shared" si="116"/>
        <v>215.64715714285708</v>
      </c>
      <c r="H5221" s="28">
        <f t="shared" si="117"/>
        <v>232.19444285714286</v>
      </c>
      <c r="I5221" s="28">
        <f t="shared" si="118"/>
        <v>239.81054285714288</v>
      </c>
      <c r="J5221" s="28">
        <f t="shared" si="119"/>
        <v>245.46544285714282</v>
      </c>
      <c r="K5221" s="28">
        <f t="shared" si="120"/>
        <v>254.66561428571421</v>
      </c>
      <c r="L5221" s="4"/>
      <c r="M5221" s="241">
        <v>239.81054285714288</v>
      </c>
    </row>
    <row r="5222" spans="3:13" hidden="1" outlineLevel="1" x14ac:dyDescent="0.2">
      <c r="C5222" s="139">
        <v>36.400000000000261</v>
      </c>
      <c r="D5222" s="28">
        <f t="shared" si="113"/>
        <v>291.20000000000209</v>
      </c>
      <c r="E5222" s="28">
        <f t="shared" si="114"/>
        <v>273.00000000000193</v>
      </c>
      <c r="F5222" s="28">
        <f t="shared" si="115"/>
        <v>255.00000000000193</v>
      </c>
      <c r="G5222" s="28">
        <f t="shared" si="116"/>
        <v>216.5782285714285</v>
      </c>
      <c r="H5222" s="28">
        <f t="shared" si="117"/>
        <v>233.16877142857143</v>
      </c>
      <c r="I5222" s="28">
        <f t="shared" si="118"/>
        <v>240.80637142857145</v>
      </c>
      <c r="J5222" s="28">
        <f t="shared" si="119"/>
        <v>246.47807142857138</v>
      </c>
      <c r="K5222" s="28">
        <f t="shared" si="120"/>
        <v>255.70705714285705</v>
      </c>
      <c r="L5222" s="4"/>
      <c r="M5222" s="241">
        <v>240.80637142857145</v>
      </c>
    </row>
    <row r="5223" spans="3:13" hidden="1" outlineLevel="1" x14ac:dyDescent="0.2">
      <c r="C5223" s="139">
        <v>36.500000000000263</v>
      </c>
      <c r="D5223" s="28">
        <f t="shared" si="113"/>
        <v>292.0000000000021</v>
      </c>
      <c r="E5223" s="28">
        <f t="shared" si="114"/>
        <v>273.75000000000199</v>
      </c>
      <c r="F5223" s="28">
        <f t="shared" si="115"/>
        <v>255.75000000000199</v>
      </c>
      <c r="G5223" s="28">
        <f t="shared" si="116"/>
        <v>216.5782285714285</v>
      </c>
      <c r="H5223" s="28">
        <f t="shared" si="117"/>
        <v>233.16877142857143</v>
      </c>
      <c r="I5223" s="28">
        <f t="shared" si="118"/>
        <v>240.80637142857145</v>
      </c>
      <c r="J5223" s="28">
        <f t="shared" si="119"/>
        <v>246.47807142857138</v>
      </c>
      <c r="K5223" s="28">
        <f t="shared" si="120"/>
        <v>255.70705714285705</v>
      </c>
      <c r="L5223" s="4"/>
      <c r="M5223" s="241">
        <v>240.80637142857145</v>
      </c>
    </row>
    <row r="5224" spans="3:13" hidden="1" outlineLevel="1" x14ac:dyDescent="0.2">
      <c r="C5224" s="139">
        <v>36.600000000000264</v>
      </c>
      <c r="D5224" s="28">
        <f t="shared" si="113"/>
        <v>292.80000000000211</v>
      </c>
      <c r="E5224" s="28">
        <f t="shared" si="114"/>
        <v>274.50000000000199</v>
      </c>
      <c r="F5224" s="28">
        <f t="shared" si="115"/>
        <v>256.50000000000199</v>
      </c>
      <c r="G5224" s="28">
        <f t="shared" si="116"/>
        <v>217.5093</v>
      </c>
      <c r="H5224" s="28">
        <f t="shared" si="117"/>
        <v>234.1431</v>
      </c>
      <c r="I5224" s="28">
        <f t="shared" si="118"/>
        <v>241.8022</v>
      </c>
      <c r="J5224" s="28">
        <f t="shared" si="119"/>
        <v>247.4907</v>
      </c>
      <c r="K5224" s="28">
        <f t="shared" si="120"/>
        <v>256.74849999999998</v>
      </c>
      <c r="L5224" s="4"/>
      <c r="M5224" s="241">
        <v>241.8022</v>
      </c>
    </row>
    <row r="5225" spans="3:13" hidden="1" outlineLevel="1" x14ac:dyDescent="0.2">
      <c r="C5225" s="139">
        <v>36.700000000000266</v>
      </c>
      <c r="D5225" s="28">
        <f t="shared" si="113"/>
        <v>293.60000000000213</v>
      </c>
      <c r="E5225" s="28">
        <f t="shared" si="114"/>
        <v>275.25000000000199</v>
      </c>
      <c r="F5225" s="28">
        <f t="shared" si="115"/>
        <v>257.25000000000199</v>
      </c>
      <c r="G5225" s="28">
        <f t="shared" si="116"/>
        <v>218.44130000000001</v>
      </c>
      <c r="H5225" s="28">
        <f t="shared" si="117"/>
        <v>235.11850000000001</v>
      </c>
      <c r="I5225" s="28">
        <f t="shared" si="118"/>
        <v>242.7987</v>
      </c>
      <c r="J5225" s="28">
        <f t="shared" si="119"/>
        <v>248.50360000000001</v>
      </c>
      <c r="K5225" s="28">
        <f t="shared" si="120"/>
        <v>257.79020000000003</v>
      </c>
      <c r="L5225" s="4"/>
      <c r="M5225" s="241">
        <v>242.7987</v>
      </c>
    </row>
    <row r="5226" spans="3:13" hidden="1" outlineLevel="1" x14ac:dyDescent="0.2">
      <c r="C5226" s="139">
        <v>36.800000000000267</v>
      </c>
      <c r="D5226" s="28">
        <f t="shared" si="113"/>
        <v>294.40000000000214</v>
      </c>
      <c r="E5226" s="28">
        <f t="shared" si="114"/>
        <v>276.00000000000199</v>
      </c>
      <c r="F5226" s="28">
        <f t="shared" si="115"/>
        <v>258.00000000000199</v>
      </c>
      <c r="G5226" s="28">
        <f t="shared" si="116"/>
        <v>219.37289999999999</v>
      </c>
      <c r="H5226" s="28">
        <f t="shared" si="117"/>
        <v>236.0934</v>
      </c>
      <c r="I5226" s="28">
        <f t="shared" si="118"/>
        <v>243.79570000000001</v>
      </c>
      <c r="J5226" s="28">
        <f t="shared" si="119"/>
        <v>249.51679999999999</v>
      </c>
      <c r="K5226" s="28">
        <f t="shared" si="120"/>
        <v>258.83120000000002</v>
      </c>
      <c r="L5226" s="4"/>
      <c r="M5226" s="241">
        <v>243.79570000000001</v>
      </c>
    </row>
    <row r="5227" spans="3:13" hidden="1" outlineLevel="1" x14ac:dyDescent="0.2">
      <c r="C5227" s="139">
        <v>36.900000000000269</v>
      </c>
      <c r="D5227" s="28">
        <f t="shared" si="113"/>
        <v>295.20000000000215</v>
      </c>
      <c r="E5227" s="28">
        <f t="shared" si="114"/>
        <v>276.75000000000199</v>
      </c>
      <c r="F5227" s="28">
        <f t="shared" si="115"/>
        <v>258.75000000000199</v>
      </c>
      <c r="G5227" s="28">
        <f t="shared" si="116"/>
        <v>219.37289999999999</v>
      </c>
      <c r="H5227" s="28">
        <f t="shared" si="117"/>
        <v>236.0934</v>
      </c>
      <c r="I5227" s="28">
        <f t="shared" si="118"/>
        <v>243.79570000000001</v>
      </c>
      <c r="J5227" s="28">
        <f t="shared" si="119"/>
        <v>249.51679999999999</v>
      </c>
      <c r="K5227" s="28">
        <f t="shared" si="120"/>
        <v>258.83120000000002</v>
      </c>
      <c r="L5227" s="4"/>
      <c r="M5227" s="241">
        <v>243.79570000000001</v>
      </c>
    </row>
    <row r="5228" spans="3:13" hidden="1" outlineLevel="1" x14ac:dyDescent="0.2">
      <c r="C5228" s="139">
        <v>37.00000000000027</v>
      </c>
      <c r="D5228" s="28">
        <f t="shared" si="113"/>
        <v>296.00000000000216</v>
      </c>
      <c r="E5228" s="28">
        <f t="shared" si="114"/>
        <v>277.50000000000205</v>
      </c>
      <c r="F5228" s="28">
        <f t="shared" si="115"/>
        <v>259.50000000000205</v>
      </c>
      <c r="G5228" s="28">
        <f t="shared" si="116"/>
        <v>220.30520000000001</v>
      </c>
      <c r="H5228" s="28">
        <f t="shared" si="117"/>
        <v>237.06870000000001</v>
      </c>
      <c r="I5228" s="28">
        <f t="shared" si="118"/>
        <v>244.792</v>
      </c>
      <c r="J5228" s="28">
        <f t="shared" si="119"/>
        <v>250.52930000000001</v>
      </c>
      <c r="K5228" s="28">
        <f t="shared" si="120"/>
        <v>259.8725</v>
      </c>
      <c r="L5228" s="4"/>
      <c r="M5228" s="241">
        <v>244.792</v>
      </c>
    </row>
    <row r="5229" spans="3:13" hidden="1" outlineLevel="1" x14ac:dyDescent="0.2">
      <c r="C5229" s="139">
        <v>37.100000000000271</v>
      </c>
      <c r="D5229" s="28">
        <f t="shared" si="113"/>
        <v>296.80000000000217</v>
      </c>
      <c r="E5229" s="28">
        <f t="shared" si="114"/>
        <v>278.25000000000205</v>
      </c>
      <c r="F5229" s="28">
        <f t="shared" si="115"/>
        <v>260.25000000000205</v>
      </c>
      <c r="G5229" s="28">
        <f t="shared" si="116"/>
        <v>221.2371</v>
      </c>
      <c r="H5229" s="28">
        <f t="shared" si="117"/>
        <v>238.0436</v>
      </c>
      <c r="I5229" s="28">
        <f t="shared" si="118"/>
        <v>245.78870000000001</v>
      </c>
      <c r="J5229" s="28">
        <f t="shared" si="119"/>
        <v>251.54320000000001</v>
      </c>
      <c r="K5229" s="28">
        <f t="shared" si="120"/>
        <v>260.9151</v>
      </c>
      <c r="L5229" s="4"/>
      <c r="M5229" s="241">
        <v>245.78870000000001</v>
      </c>
    </row>
    <row r="5230" spans="3:13" hidden="1" outlineLevel="1" x14ac:dyDescent="0.2">
      <c r="C5230" s="139">
        <v>37.200000000000273</v>
      </c>
      <c r="D5230" s="28">
        <f t="shared" si="113"/>
        <v>297.60000000000218</v>
      </c>
      <c r="E5230" s="28">
        <f t="shared" si="114"/>
        <v>279.00000000000205</v>
      </c>
      <c r="F5230" s="28">
        <f t="shared" si="115"/>
        <v>261.00000000000205</v>
      </c>
      <c r="G5230" s="28">
        <f t="shared" si="116"/>
        <v>222.16970000000001</v>
      </c>
      <c r="H5230" s="28">
        <f t="shared" si="117"/>
        <v>239.0188</v>
      </c>
      <c r="I5230" s="28">
        <f t="shared" si="118"/>
        <v>246.78479999999999</v>
      </c>
      <c r="J5230" s="28">
        <f t="shared" si="119"/>
        <v>252.5565</v>
      </c>
      <c r="K5230" s="28">
        <f t="shared" si="120"/>
        <v>261.95699999999999</v>
      </c>
      <c r="L5230" s="4"/>
      <c r="M5230" s="241">
        <v>246.78479999999999</v>
      </c>
    </row>
    <row r="5231" spans="3:13" hidden="1" outlineLevel="1" x14ac:dyDescent="0.2">
      <c r="C5231" s="139">
        <v>37.300000000000274</v>
      </c>
      <c r="D5231" s="28">
        <f t="shared" si="113"/>
        <v>298.40000000000219</v>
      </c>
      <c r="E5231" s="28">
        <f t="shared" si="114"/>
        <v>279.75000000000205</v>
      </c>
      <c r="F5231" s="28">
        <f t="shared" si="115"/>
        <v>261.75000000000205</v>
      </c>
      <c r="G5231" s="28">
        <f t="shared" si="116"/>
        <v>222.16970000000001</v>
      </c>
      <c r="H5231" s="28">
        <f t="shared" si="117"/>
        <v>239.0188</v>
      </c>
      <c r="I5231" s="28">
        <f t="shared" si="118"/>
        <v>246.78479999999999</v>
      </c>
      <c r="J5231" s="28">
        <f t="shared" si="119"/>
        <v>252.5565</v>
      </c>
      <c r="K5231" s="28">
        <f t="shared" si="120"/>
        <v>261.95699999999999</v>
      </c>
      <c r="L5231" s="4"/>
      <c r="M5231" s="241">
        <v>246.78479999999999</v>
      </c>
    </row>
    <row r="5232" spans="3:13" hidden="1" outlineLevel="1" x14ac:dyDescent="0.2">
      <c r="C5232" s="139">
        <v>37.400000000000276</v>
      </c>
      <c r="D5232" s="28">
        <f t="shared" si="113"/>
        <v>299.20000000000221</v>
      </c>
      <c r="E5232" s="28">
        <f t="shared" si="114"/>
        <v>280.50000000000205</v>
      </c>
      <c r="F5232" s="28">
        <f t="shared" si="115"/>
        <v>262.50000000000205</v>
      </c>
      <c r="G5232" s="28">
        <f t="shared" si="116"/>
        <v>223.10290000000001</v>
      </c>
      <c r="H5232" s="28">
        <f t="shared" si="117"/>
        <v>239.99459999999999</v>
      </c>
      <c r="I5232" s="28">
        <f t="shared" si="118"/>
        <v>247.78129999999999</v>
      </c>
      <c r="J5232" s="28">
        <f t="shared" si="119"/>
        <v>253.56909999999999</v>
      </c>
      <c r="K5232" s="28">
        <f t="shared" si="120"/>
        <v>262.99799999999999</v>
      </c>
      <c r="L5232" s="4"/>
      <c r="M5232" s="241">
        <v>247.78129999999999</v>
      </c>
    </row>
    <row r="5233" spans="3:13" hidden="1" outlineLevel="1" x14ac:dyDescent="0.2">
      <c r="C5233" s="139">
        <v>37.500000000000277</v>
      </c>
      <c r="D5233" s="28">
        <f t="shared" si="113"/>
        <v>300.00000000000222</v>
      </c>
      <c r="E5233" s="28">
        <f t="shared" si="114"/>
        <v>281.2500000000021</v>
      </c>
      <c r="F5233" s="28">
        <f t="shared" si="115"/>
        <v>263.2500000000021</v>
      </c>
      <c r="G5233" s="28">
        <f t="shared" si="116"/>
        <v>224.03569999999999</v>
      </c>
      <c r="H5233" s="28">
        <f t="shared" si="117"/>
        <v>240.96979999999999</v>
      </c>
      <c r="I5233" s="28">
        <f t="shared" si="118"/>
        <v>248.7782</v>
      </c>
      <c r="J5233" s="28">
        <f t="shared" si="119"/>
        <v>254.5831</v>
      </c>
      <c r="K5233" s="28">
        <f t="shared" si="120"/>
        <v>264.04039999999998</v>
      </c>
      <c r="L5233" s="4"/>
      <c r="M5233" s="241">
        <v>248.7782</v>
      </c>
    </row>
    <row r="5234" spans="3:13" hidden="1" outlineLevel="1" x14ac:dyDescent="0.2">
      <c r="C5234" s="139">
        <v>37.600000000000279</v>
      </c>
      <c r="D5234" s="28">
        <f t="shared" si="113"/>
        <v>300.80000000000223</v>
      </c>
      <c r="E5234" s="28">
        <f t="shared" si="114"/>
        <v>282.0000000000021</v>
      </c>
      <c r="F5234" s="28">
        <f t="shared" si="115"/>
        <v>264.0000000000021</v>
      </c>
      <c r="G5234" s="28">
        <f t="shared" si="116"/>
        <v>224.96809999999999</v>
      </c>
      <c r="H5234" s="28">
        <f t="shared" si="117"/>
        <v>241.94540000000001</v>
      </c>
      <c r="I5234" s="28">
        <f t="shared" si="118"/>
        <v>249.77449999999999</v>
      </c>
      <c r="J5234" s="28">
        <f t="shared" si="119"/>
        <v>255.59639999999999</v>
      </c>
      <c r="K5234" s="28">
        <f t="shared" si="120"/>
        <v>265.08210000000003</v>
      </c>
      <c r="L5234" s="4"/>
      <c r="M5234" s="241">
        <v>249.77449999999999</v>
      </c>
    </row>
    <row r="5235" spans="3:13" hidden="1" outlineLevel="1" x14ac:dyDescent="0.2">
      <c r="C5235" s="139">
        <v>37.70000000000028</v>
      </c>
      <c r="D5235" s="28">
        <f t="shared" si="113"/>
        <v>301.60000000000224</v>
      </c>
      <c r="E5235" s="28">
        <f t="shared" si="114"/>
        <v>282.7500000000021</v>
      </c>
      <c r="F5235" s="28">
        <f t="shared" si="115"/>
        <v>264.7500000000021</v>
      </c>
      <c r="G5235" s="28">
        <f t="shared" si="116"/>
        <v>224.96809999999999</v>
      </c>
      <c r="H5235" s="28">
        <f t="shared" si="117"/>
        <v>241.94540000000001</v>
      </c>
      <c r="I5235" s="28">
        <f t="shared" si="118"/>
        <v>249.77449999999999</v>
      </c>
      <c r="J5235" s="28">
        <f t="shared" si="119"/>
        <v>255.59639999999999</v>
      </c>
      <c r="K5235" s="28">
        <f t="shared" si="120"/>
        <v>265.08210000000003</v>
      </c>
      <c r="L5235" s="4"/>
      <c r="M5235" s="241">
        <v>249.77449999999999</v>
      </c>
    </row>
    <row r="5236" spans="3:13" hidden="1" outlineLevel="1" x14ac:dyDescent="0.2">
      <c r="C5236" s="139">
        <v>37.800000000000281</v>
      </c>
      <c r="D5236" s="28">
        <f t="shared" si="113"/>
        <v>302.40000000000225</v>
      </c>
      <c r="E5236" s="28">
        <f t="shared" si="114"/>
        <v>283.5000000000021</v>
      </c>
      <c r="F5236" s="28">
        <f t="shared" si="115"/>
        <v>265.5000000000021</v>
      </c>
      <c r="G5236" s="28">
        <f t="shared" si="116"/>
        <v>225.90110000000001</v>
      </c>
      <c r="H5236" s="28">
        <f t="shared" si="117"/>
        <v>242.9205</v>
      </c>
      <c r="I5236" s="28">
        <f t="shared" si="118"/>
        <v>250.7722</v>
      </c>
      <c r="J5236" s="28">
        <f t="shared" si="119"/>
        <v>256.60910000000001</v>
      </c>
      <c r="K5236" s="28">
        <f t="shared" si="120"/>
        <v>266.12400000000002</v>
      </c>
      <c r="L5236" s="4"/>
      <c r="M5236" s="241">
        <v>250.7722</v>
      </c>
    </row>
    <row r="5237" spans="3:13" hidden="1" outlineLevel="1" x14ac:dyDescent="0.2">
      <c r="C5237" s="139">
        <v>37.900000000000283</v>
      </c>
      <c r="D5237" s="28">
        <f t="shared" si="113"/>
        <v>303.20000000000226</v>
      </c>
      <c r="E5237" s="28">
        <f t="shared" si="114"/>
        <v>284.2500000000021</v>
      </c>
      <c r="F5237" s="28">
        <f t="shared" si="115"/>
        <v>266.2500000000021</v>
      </c>
      <c r="G5237" s="28">
        <f t="shared" si="116"/>
        <v>226.8348</v>
      </c>
      <c r="H5237" s="28">
        <f t="shared" si="117"/>
        <v>243.89609999999999</v>
      </c>
      <c r="I5237" s="28">
        <f t="shared" si="118"/>
        <v>251.76920000000001</v>
      </c>
      <c r="J5237" s="28">
        <f t="shared" si="119"/>
        <v>257.62310000000002</v>
      </c>
      <c r="K5237" s="28">
        <f t="shared" si="120"/>
        <v>267.1662</v>
      </c>
      <c r="L5237" s="4"/>
      <c r="M5237" s="241">
        <v>251.76920000000001</v>
      </c>
    </row>
    <row r="5238" spans="3:13" hidden="1" outlineLevel="1" x14ac:dyDescent="0.2">
      <c r="C5238" s="139">
        <v>38.000000000000284</v>
      </c>
      <c r="D5238" s="28">
        <f t="shared" si="113"/>
        <v>304.00000000000227</v>
      </c>
      <c r="E5238" s="28">
        <f t="shared" si="114"/>
        <v>285.00000000000216</v>
      </c>
      <c r="F5238" s="28">
        <f t="shared" si="115"/>
        <v>267.00000000000216</v>
      </c>
      <c r="G5238" s="28">
        <f t="shared" si="116"/>
        <v>227.768</v>
      </c>
      <c r="H5238" s="28">
        <f t="shared" si="117"/>
        <v>244.87209999999999</v>
      </c>
      <c r="I5238" s="28">
        <f t="shared" si="118"/>
        <v>252.76560000000001</v>
      </c>
      <c r="J5238" s="28">
        <f t="shared" si="119"/>
        <v>258.63639999999998</v>
      </c>
      <c r="K5238" s="28">
        <f t="shared" si="120"/>
        <v>268.20749999999998</v>
      </c>
      <c r="L5238" s="4"/>
      <c r="M5238" s="241">
        <v>252.76560000000001</v>
      </c>
    </row>
    <row r="5239" spans="3:13" hidden="1" outlineLevel="1" x14ac:dyDescent="0.2">
      <c r="C5239" s="139">
        <v>38.100000000000286</v>
      </c>
      <c r="D5239" s="28">
        <f t="shared" si="113"/>
        <v>304.80000000000229</v>
      </c>
      <c r="E5239" s="28">
        <f t="shared" si="114"/>
        <v>285.75000000000216</v>
      </c>
      <c r="F5239" s="28">
        <f t="shared" si="115"/>
        <v>267.75000000000216</v>
      </c>
      <c r="G5239" s="28">
        <f t="shared" si="116"/>
        <v>227.768</v>
      </c>
      <c r="H5239" s="28">
        <f t="shared" si="117"/>
        <v>244.87209999999999</v>
      </c>
      <c r="I5239" s="28">
        <f t="shared" si="118"/>
        <v>252.76560000000001</v>
      </c>
      <c r="J5239" s="28">
        <f t="shared" si="119"/>
        <v>258.63639999999998</v>
      </c>
      <c r="K5239" s="28">
        <f t="shared" si="120"/>
        <v>268.20749999999998</v>
      </c>
      <c r="L5239" s="4"/>
      <c r="M5239" s="241">
        <v>252.76560000000001</v>
      </c>
    </row>
    <row r="5240" spans="3:13" hidden="1" outlineLevel="1" x14ac:dyDescent="0.2">
      <c r="C5240" s="139">
        <v>38.200000000000287</v>
      </c>
      <c r="D5240" s="28">
        <f t="shared" si="113"/>
        <v>305.6000000000023</v>
      </c>
      <c r="E5240" s="28">
        <f t="shared" si="114"/>
        <v>286.50000000000216</v>
      </c>
      <c r="F5240" s="28">
        <f t="shared" si="115"/>
        <v>268.50000000000216</v>
      </c>
      <c r="G5240" s="28">
        <f t="shared" si="116"/>
        <v>228.70179999999999</v>
      </c>
      <c r="H5240" s="28">
        <f t="shared" si="117"/>
        <v>245.8485</v>
      </c>
      <c r="I5240" s="28">
        <f t="shared" si="118"/>
        <v>253.76240000000001</v>
      </c>
      <c r="J5240" s="28">
        <f t="shared" si="119"/>
        <v>259.64999999999998</v>
      </c>
      <c r="K5240" s="28">
        <f t="shared" si="120"/>
        <v>269.25029999999998</v>
      </c>
      <c r="L5240" s="4"/>
      <c r="M5240" s="241">
        <v>253.76240000000001</v>
      </c>
    </row>
    <row r="5241" spans="3:13" hidden="1" outlineLevel="1" x14ac:dyDescent="0.2">
      <c r="C5241" s="139">
        <v>38.300000000000288</v>
      </c>
      <c r="D5241" s="28">
        <f t="shared" si="113"/>
        <v>306.40000000000231</v>
      </c>
      <c r="E5241" s="28">
        <f t="shared" si="114"/>
        <v>287.25000000000216</v>
      </c>
      <c r="F5241" s="28">
        <f t="shared" si="115"/>
        <v>269.25000000000216</v>
      </c>
      <c r="G5241" s="28">
        <f t="shared" si="116"/>
        <v>229.6352</v>
      </c>
      <c r="H5241" s="28">
        <f t="shared" si="117"/>
        <v>246.82429999999999</v>
      </c>
      <c r="I5241" s="28">
        <f t="shared" si="118"/>
        <v>254.75960000000001</v>
      </c>
      <c r="J5241" s="28">
        <f t="shared" si="119"/>
        <v>260.66399999999999</v>
      </c>
      <c r="K5241" s="28">
        <f t="shared" si="120"/>
        <v>270.29219999999998</v>
      </c>
      <c r="L5241" s="4"/>
      <c r="M5241" s="241">
        <v>254.75960000000001</v>
      </c>
    </row>
    <row r="5242" spans="3:13" hidden="1" outlineLevel="1" x14ac:dyDescent="0.2">
      <c r="C5242" s="139">
        <v>38.40000000000029</v>
      </c>
      <c r="D5242" s="28">
        <f t="shared" si="113"/>
        <v>307.20000000000232</v>
      </c>
      <c r="E5242" s="28">
        <f t="shared" si="114"/>
        <v>288.00000000000216</v>
      </c>
      <c r="F5242" s="28">
        <f t="shared" si="115"/>
        <v>270.00000000000216</v>
      </c>
      <c r="G5242" s="28">
        <f t="shared" si="116"/>
        <v>230.5692</v>
      </c>
      <c r="H5242" s="28">
        <f t="shared" si="117"/>
        <v>247.8006</v>
      </c>
      <c r="I5242" s="28">
        <f t="shared" si="118"/>
        <v>255.75710000000001</v>
      </c>
      <c r="J5242" s="28">
        <f t="shared" si="119"/>
        <v>261.6773</v>
      </c>
      <c r="K5242" s="28">
        <f t="shared" si="120"/>
        <v>271.33440000000002</v>
      </c>
      <c r="L5242" s="4"/>
      <c r="M5242" s="241">
        <v>255.75710000000001</v>
      </c>
    </row>
    <row r="5243" spans="3:13" hidden="1" outlineLevel="1" x14ac:dyDescent="0.2">
      <c r="C5243" s="139">
        <v>38.500000000000291</v>
      </c>
      <c r="D5243" s="28">
        <f t="shared" ref="D5243:D5306" si="121">C5243*Channels.per.TRX</f>
        <v>308.00000000000233</v>
      </c>
      <c r="E5243" s="28">
        <f t="shared" ref="E5243:E5306" si="122">D5243-C5243*sig.channel.per.TRX</f>
        <v>288.75000000000216</v>
      </c>
      <c r="F5243" s="28">
        <f t="shared" ref="F5243:F5306" si="123">MAX(0,E5243-GPRS.channel.per.sector)</f>
        <v>270.75000000000216</v>
      </c>
      <c r="G5243" s="28">
        <f t="shared" ref="G5243:G5306" si="124">INDEX(D$10:D$4326,MATCH($F5243,$C$10:$C$4326,1))</f>
        <v>230.5692</v>
      </c>
      <c r="H5243" s="28">
        <f t="shared" ref="H5243:H5306" si="125">INDEX(E$10:E$4326,MATCH($F5243,$C$10:$C$4326,1))</f>
        <v>247.8006</v>
      </c>
      <c r="I5243" s="28">
        <f t="shared" ref="I5243:I5306" si="126">INDEX(F$10:F$4326,MATCH($F5243,$C$10:$C$4326,1))</f>
        <v>255.75710000000001</v>
      </c>
      <c r="J5243" s="28">
        <f t="shared" ref="J5243:J5306" si="127">INDEX(G$10:G$4326,MATCH($F5243,$C$10:$C$4326,1))</f>
        <v>261.6773</v>
      </c>
      <c r="K5243" s="28">
        <f t="shared" ref="K5243:K5306" si="128">INDEX(H$10:H$4326,MATCH($F5243,$C$10:$C$4326,1))</f>
        <v>271.33440000000002</v>
      </c>
      <c r="L5243" s="4"/>
      <c r="M5243" s="241">
        <v>255.75710000000001</v>
      </c>
    </row>
    <row r="5244" spans="3:13" hidden="1" outlineLevel="1" x14ac:dyDescent="0.2">
      <c r="C5244" s="139">
        <v>38.600000000000293</v>
      </c>
      <c r="D5244" s="28">
        <f t="shared" si="121"/>
        <v>308.80000000000234</v>
      </c>
      <c r="E5244" s="28">
        <f t="shared" si="122"/>
        <v>289.50000000000222</v>
      </c>
      <c r="F5244" s="28">
        <f t="shared" si="123"/>
        <v>271.50000000000222</v>
      </c>
      <c r="G5244" s="28">
        <f t="shared" si="124"/>
        <v>231.50280000000001</v>
      </c>
      <c r="H5244" s="28">
        <f t="shared" si="125"/>
        <v>248.77629999999999</v>
      </c>
      <c r="I5244" s="28">
        <f t="shared" si="126"/>
        <v>256.755</v>
      </c>
      <c r="J5244" s="28">
        <f t="shared" si="127"/>
        <v>262.69099999999997</v>
      </c>
      <c r="K5244" s="28">
        <f t="shared" si="128"/>
        <v>272.37569999999999</v>
      </c>
      <c r="L5244" s="4"/>
      <c r="M5244" s="241">
        <v>256.755</v>
      </c>
    </row>
    <row r="5245" spans="3:13" hidden="1" outlineLevel="1" x14ac:dyDescent="0.2">
      <c r="C5245" s="139">
        <v>38.700000000000294</v>
      </c>
      <c r="D5245" s="28">
        <f t="shared" si="121"/>
        <v>309.60000000000235</v>
      </c>
      <c r="E5245" s="28">
        <f t="shared" si="122"/>
        <v>290.25000000000222</v>
      </c>
      <c r="F5245" s="28">
        <f t="shared" si="123"/>
        <v>272.25000000000222</v>
      </c>
      <c r="G5245" s="28">
        <f t="shared" si="124"/>
        <v>232.43690000000001</v>
      </c>
      <c r="H5245" s="28">
        <f t="shared" si="125"/>
        <v>249.7534</v>
      </c>
      <c r="I5245" s="28">
        <f t="shared" si="126"/>
        <v>257.75220000000002</v>
      </c>
      <c r="J5245" s="28">
        <f t="shared" si="127"/>
        <v>263.70490000000001</v>
      </c>
      <c r="K5245" s="28">
        <f t="shared" si="128"/>
        <v>273.41840000000002</v>
      </c>
      <c r="L5245" s="4"/>
      <c r="M5245" s="241">
        <v>257.75220000000002</v>
      </c>
    </row>
    <row r="5246" spans="3:13" hidden="1" outlineLevel="1" x14ac:dyDescent="0.2">
      <c r="C5246" s="139">
        <v>38.800000000000296</v>
      </c>
      <c r="D5246" s="28">
        <f t="shared" si="121"/>
        <v>310.40000000000236</v>
      </c>
      <c r="E5246" s="28">
        <f t="shared" si="122"/>
        <v>291.00000000000222</v>
      </c>
      <c r="F5246" s="28">
        <f t="shared" si="123"/>
        <v>273.00000000000222</v>
      </c>
      <c r="G5246" s="28">
        <f t="shared" si="124"/>
        <v>233.3717</v>
      </c>
      <c r="H5246" s="28">
        <f t="shared" si="125"/>
        <v>250.72989999999999</v>
      </c>
      <c r="I5246" s="28">
        <f t="shared" si="126"/>
        <v>258.74979999999999</v>
      </c>
      <c r="J5246" s="28">
        <f t="shared" si="127"/>
        <v>264.7192</v>
      </c>
      <c r="K5246" s="28">
        <f t="shared" si="128"/>
        <v>274.46030000000002</v>
      </c>
      <c r="L5246" s="4"/>
      <c r="M5246" s="241">
        <v>258.74979999999999</v>
      </c>
    </row>
    <row r="5247" spans="3:13" hidden="1" outlineLevel="1" x14ac:dyDescent="0.2">
      <c r="C5247" s="139">
        <v>38.900000000000297</v>
      </c>
      <c r="D5247" s="28">
        <f t="shared" si="121"/>
        <v>311.20000000000238</v>
      </c>
      <c r="E5247" s="28">
        <f t="shared" si="122"/>
        <v>291.75000000000222</v>
      </c>
      <c r="F5247" s="28">
        <f t="shared" si="123"/>
        <v>273.75000000000222</v>
      </c>
      <c r="G5247" s="28">
        <f t="shared" si="124"/>
        <v>233.3717</v>
      </c>
      <c r="H5247" s="28">
        <f t="shared" si="125"/>
        <v>250.72989999999999</v>
      </c>
      <c r="I5247" s="28">
        <f t="shared" si="126"/>
        <v>258.74979999999999</v>
      </c>
      <c r="J5247" s="28">
        <f t="shared" si="127"/>
        <v>264.7192</v>
      </c>
      <c r="K5247" s="28">
        <f t="shared" si="128"/>
        <v>274.46030000000002</v>
      </c>
      <c r="L5247" s="4"/>
      <c r="M5247" s="241">
        <v>258.74979999999999</v>
      </c>
    </row>
    <row r="5248" spans="3:13" hidden="1" outlineLevel="1" x14ac:dyDescent="0.2">
      <c r="C5248" s="139">
        <v>39.000000000000298</v>
      </c>
      <c r="D5248" s="28">
        <f t="shared" si="121"/>
        <v>312.00000000000239</v>
      </c>
      <c r="E5248" s="28">
        <f t="shared" si="122"/>
        <v>292.50000000000222</v>
      </c>
      <c r="F5248" s="28">
        <f t="shared" si="123"/>
        <v>274.50000000000222</v>
      </c>
      <c r="G5248" s="28">
        <f t="shared" si="124"/>
        <v>234.30590000000001</v>
      </c>
      <c r="H5248" s="28">
        <f t="shared" si="125"/>
        <v>251.70580000000001</v>
      </c>
      <c r="I5248" s="28">
        <f t="shared" si="126"/>
        <v>259.74680000000001</v>
      </c>
      <c r="J5248" s="28">
        <f t="shared" si="127"/>
        <v>265.7328</v>
      </c>
      <c r="K5248" s="28">
        <f t="shared" si="128"/>
        <v>275.5025</v>
      </c>
      <c r="L5248" s="4"/>
      <c r="M5248" s="241">
        <v>259.74680000000001</v>
      </c>
    </row>
    <row r="5249" spans="3:13" hidden="1" outlineLevel="1" x14ac:dyDescent="0.2">
      <c r="C5249" s="139">
        <v>39.1000000000003</v>
      </c>
      <c r="D5249" s="28">
        <f t="shared" si="121"/>
        <v>312.8000000000024</v>
      </c>
      <c r="E5249" s="28">
        <f t="shared" si="122"/>
        <v>293.25000000000227</v>
      </c>
      <c r="F5249" s="28">
        <f t="shared" si="123"/>
        <v>275.25000000000227</v>
      </c>
      <c r="G5249" s="28">
        <f t="shared" si="124"/>
        <v>235.2397</v>
      </c>
      <c r="H5249" s="28">
        <f t="shared" si="125"/>
        <v>252.68219999999999</v>
      </c>
      <c r="I5249" s="28">
        <f t="shared" si="126"/>
        <v>260.74400000000003</v>
      </c>
      <c r="J5249" s="28">
        <f t="shared" si="127"/>
        <v>266.74770000000001</v>
      </c>
      <c r="K5249" s="28">
        <f t="shared" si="128"/>
        <v>276.54489999999998</v>
      </c>
      <c r="L5249" s="4"/>
      <c r="M5249" s="241">
        <v>260.74400000000003</v>
      </c>
    </row>
    <row r="5250" spans="3:13" hidden="1" outlineLevel="1" x14ac:dyDescent="0.2">
      <c r="C5250" s="139">
        <v>39.200000000000301</v>
      </c>
      <c r="D5250" s="28">
        <f t="shared" si="121"/>
        <v>313.60000000000241</v>
      </c>
      <c r="E5250" s="28">
        <f t="shared" si="122"/>
        <v>294.00000000000227</v>
      </c>
      <c r="F5250" s="28">
        <f t="shared" si="123"/>
        <v>276.00000000000227</v>
      </c>
      <c r="G5250" s="28">
        <f t="shared" si="124"/>
        <v>236.17519999999999</v>
      </c>
      <c r="H5250" s="28">
        <f t="shared" si="125"/>
        <v>253.65889999999999</v>
      </c>
      <c r="I5250" s="28">
        <f t="shared" si="126"/>
        <v>261.74270000000001</v>
      </c>
      <c r="J5250" s="28">
        <f t="shared" si="127"/>
        <v>267.76089999999999</v>
      </c>
      <c r="K5250" s="28">
        <f t="shared" si="128"/>
        <v>277.58749999999998</v>
      </c>
      <c r="L5250" s="4"/>
      <c r="M5250" s="241">
        <v>261.74270000000001</v>
      </c>
    </row>
    <row r="5251" spans="3:13" hidden="1" outlineLevel="1" x14ac:dyDescent="0.2">
      <c r="C5251" s="139">
        <v>39.300000000000303</v>
      </c>
      <c r="D5251" s="28">
        <f t="shared" si="121"/>
        <v>314.40000000000242</v>
      </c>
      <c r="E5251" s="28">
        <f t="shared" si="122"/>
        <v>294.75000000000227</v>
      </c>
      <c r="F5251" s="28">
        <f t="shared" si="123"/>
        <v>276.75000000000227</v>
      </c>
      <c r="G5251" s="28">
        <f t="shared" si="124"/>
        <v>236.17519999999999</v>
      </c>
      <c r="H5251" s="28">
        <f t="shared" si="125"/>
        <v>253.65889999999999</v>
      </c>
      <c r="I5251" s="28">
        <f t="shared" si="126"/>
        <v>261.74270000000001</v>
      </c>
      <c r="J5251" s="28">
        <f t="shared" si="127"/>
        <v>267.76089999999999</v>
      </c>
      <c r="K5251" s="28">
        <f t="shared" si="128"/>
        <v>277.58749999999998</v>
      </c>
      <c r="L5251" s="4"/>
      <c r="M5251" s="241">
        <v>261.74270000000001</v>
      </c>
    </row>
    <row r="5252" spans="3:13" hidden="1" outlineLevel="1" x14ac:dyDescent="0.2">
      <c r="C5252" s="139">
        <v>39.400000000000304</v>
      </c>
      <c r="D5252" s="28">
        <f t="shared" si="121"/>
        <v>315.20000000000243</v>
      </c>
      <c r="E5252" s="28">
        <f t="shared" si="122"/>
        <v>295.50000000000227</v>
      </c>
      <c r="F5252" s="28">
        <f t="shared" si="123"/>
        <v>277.50000000000227</v>
      </c>
      <c r="G5252" s="28">
        <f t="shared" si="124"/>
        <v>237.11009999999999</v>
      </c>
      <c r="H5252" s="28">
        <f t="shared" si="125"/>
        <v>254.6361</v>
      </c>
      <c r="I5252" s="28">
        <f t="shared" si="126"/>
        <v>262.73970000000003</v>
      </c>
      <c r="J5252" s="28">
        <f t="shared" si="127"/>
        <v>268.77539999999999</v>
      </c>
      <c r="K5252" s="28">
        <f t="shared" si="128"/>
        <v>278.63049999999998</v>
      </c>
      <c r="L5252" s="4"/>
      <c r="M5252" s="241">
        <v>262.73970000000003</v>
      </c>
    </row>
    <row r="5253" spans="3:13" hidden="1" outlineLevel="1" x14ac:dyDescent="0.2">
      <c r="C5253" s="139">
        <v>39.500000000000306</v>
      </c>
      <c r="D5253" s="28">
        <f t="shared" si="121"/>
        <v>316.00000000000244</v>
      </c>
      <c r="E5253" s="28">
        <f t="shared" si="122"/>
        <v>296.25000000000227</v>
      </c>
      <c r="F5253" s="28">
        <f t="shared" si="123"/>
        <v>278.25000000000227</v>
      </c>
      <c r="G5253" s="28">
        <f t="shared" si="124"/>
        <v>238.0446</v>
      </c>
      <c r="H5253" s="28">
        <f t="shared" si="125"/>
        <v>255.61259999999999</v>
      </c>
      <c r="I5253" s="28">
        <f t="shared" si="126"/>
        <v>263.73809999999997</v>
      </c>
      <c r="J5253" s="28">
        <f t="shared" si="127"/>
        <v>269.78919999999999</v>
      </c>
      <c r="K5253" s="28">
        <f t="shared" si="128"/>
        <v>279.67250000000001</v>
      </c>
      <c r="L5253" s="4"/>
      <c r="M5253" s="241">
        <v>263.73809999999997</v>
      </c>
    </row>
    <row r="5254" spans="3:13" hidden="1" outlineLevel="1" x14ac:dyDescent="0.2">
      <c r="C5254" s="139">
        <v>39.600000000000307</v>
      </c>
      <c r="D5254" s="28">
        <f t="shared" si="121"/>
        <v>316.80000000000246</v>
      </c>
      <c r="E5254" s="28">
        <f t="shared" si="122"/>
        <v>297.00000000000227</v>
      </c>
      <c r="F5254" s="28">
        <f t="shared" si="123"/>
        <v>279.00000000000227</v>
      </c>
      <c r="G5254" s="28">
        <f t="shared" si="124"/>
        <v>238.9796</v>
      </c>
      <c r="H5254" s="28">
        <f t="shared" si="125"/>
        <v>256.58960000000002</v>
      </c>
      <c r="I5254" s="28">
        <f t="shared" si="126"/>
        <v>264.73570000000001</v>
      </c>
      <c r="J5254" s="28">
        <f t="shared" si="127"/>
        <v>270.80439999999999</v>
      </c>
      <c r="K5254" s="28">
        <f t="shared" si="128"/>
        <v>280.7149</v>
      </c>
      <c r="L5254" s="4"/>
      <c r="M5254" s="241">
        <v>264.73570000000001</v>
      </c>
    </row>
    <row r="5255" spans="3:13" hidden="1" outlineLevel="1" x14ac:dyDescent="0.2">
      <c r="C5255" s="139">
        <v>39.700000000000308</v>
      </c>
      <c r="D5255" s="28">
        <f t="shared" si="121"/>
        <v>317.60000000000247</v>
      </c>
      <c r="E5255" s="28">
        <f t="shared" si="122"/>
        <v>297.75000000000233</v>
      </c>
      <c r="F5255" s="28">
        <f t="shared" si="123"/>
        <v>279.75000000000233</v>
      </c>
      <c r="G5255" s="28">
        <f t="shared" si="124"/>
        <v>238.9796</v>
      </c>
      <c r="H5255" s="28">
        <f t="shared" si="125"/>
        <v>256.58960000000002</v>
      </c>
      <c r="I5255" s="28">
        <f t="shared" si="126"/>
        <v>264.73570000000001</v>
      </c>
      <c r="J5255" s="28">
        <f t="shared" si="127"/>
        <v>270.80439999999999</v>
      </c>
      <c r="K5255" s="28">
        <f t="shared" si="128"/>
        <v>280.7149</v>
      </c>
      <c r="L5255" s="4"/>
      <c r="M5255" s="241">
        <v>264.73570000000001</v>
      </c>
    </row>
    <row r="5256" spans="3:13" hidden="1" outlineLevel="1" x14ac:dyDescent="0.2">
      <c r="C5256" s="139">
        <v>39.80000000000031</v>
      </c>
      <c r="D5256" s="28">
        <f t="shared" si="121"/>
        <v>318.40000000000248</v>
      </c>
      <c r="E5256" s="28">
        <f t="shared" si="122"/>
        <v>298.50000000000233</v>
      </c>
      <c r="F5256" s="28">
        <f t="shared" si="123"/>
        <v>280.50000000000233</v>
      </c>
      <c r="G5256" s="28">
        <f t="shared" si="124"/>
        <v>239.9152</v>
      </c>
      <c r="H5256" s="28">
        <f t="shared" si="125"/>
        <v>257.56689999999998</v>
      </c>
      <c r="I5256" s="28">
        <f t="shared" si="126"/>
        <v>265.7337</v>
      </c>
      <c r="J5256" s="28">
        <f t="shared" si="127"/>
        <v>271.81880000000001</v>
      </c>
      <c r="K5256" s="28">
        <f t="shared" si="128"/>
        <v>281.75740000000002</v>
      </c>
      <c r="L5256" s="4"/>
      <c r="M5256" s="241">
        <v>265.7337</v>
      </c>
    </row>
    <row r="5257" spans="3:13" hidden="1" outlineLevel="1" x14ac:dyDescent="0.2">
      <c r="C5257" s="139">
        <v>39.900000000000311</v>
      </c>
      <c r="D5257" s="28">
        <f t="shared" si="121"/>
        <v>319.20000000000249</v>
      </c>
      <c r="E5257" s="28">
        <f t="shared" si="122"/>
        <v>299.25000000000233</v>
      </c>
      <c r="F5257" s="28">
        <f t="shared" si="123"/>
        <v>281.25000000000233</v>
      </c>
      <c r="G5257" s="28">
        <f t="shared" si="124"/>
        <v>240.8503</v>
      </c>
      <c r="H5257" s="28">
        <f t="shared" si="125"/>
        <v>258.54360000000003</v>
      </c>
      <c r="I5257" s="28">
        <f t="shared" si="126"/>
        <v>266.7321</v>
      </c>
      <c r="J5257" s="28">
        <f t="shared" si="127"/>
        <v>272.83240000000001</v>
      </c>
      <c r="K5257" s="28">
        <f t="shared" si="128"/>
        <v>282.80029999999999</v>
      </c>
      <c r="L5257" s="4"/>
      <c r="M5257" s="241">
        <v>266.7321</v>
      </c>
    </row>
    <row r="5258" spans="3:13" hidden="1" outlineLevel="1" x14ac:dyDescent="0.2">
      <c r="C5258" s="139">
        <v>40.000000000000313</v>
      </c>
      <c r="D5258" s="28">
        <f t="shared" si="121"/>
        <v>320.0000000000025</v>
      </c>
      <c r="E5258" s="28">
        <f t="shared" si="122"/>
        <v>300.00000000000233</v>
      </c>
      <c r="F5258" s="28">
        <f t="shared" si="123"/>
        <v>282.00000000000233</v>
      </c>
      <c r="G5258" s="28">
        <f t="shared" si="124"/>
        <v>241.786</v>
      </c>
      <c r="H5258" s="28">
        <f t="shared" si="125"/>
        <v>259.52069999999998</v>
      </c>
      <c r="I5258" s="28">
        <f t="shared" si="126"/>
        <v>267.72969999999998</v>
      </c>
      <c r="J5258" s="28">
        <f t="shared" si="127"/>
        <v>273.84750000000003</v>
      </c>
      <c r="K5258" s="28">
        <f t="shared" si="128"/>
        <v>283.84219999999999</v>
      </c>
      <c r="L5258" s="4"/>
      <c r="M5258" s="241">
        <v>267.72969999999998</v>
      </c>
    </row>
    <row r="5259" spans="3:13" hidden="1" outlineLevel="1" x14ac:dyDescent="0.2">
      <c r="C5259" s="139">
        <v>40.100000000000314</v>
      </c>
      <c r="D5259" s="28">
        <f t="shared" si="121"/>
        <v>320.80000000000251</v>
      </c>
      <c r="E5259" s="28">
        <f t="shared" si="122"/>
        <v>300.75000000000233</v>
      </c>
      <c r="F5259" s="28">
        <f t="shared" si="123"/>
        <v>282.75000000000233</v>
      </c>
      <c r="G5259" s="28">
        <f t="shared" si="124"/>
        <v>241.786</v>
      </c>
      <c r="H5259" s="28">
        <f t="shared" si="125"/>
        <v>259.52069999999998</v>
      </c>
      <c r="I5259" s="28">
        <f t="shared" si="126"/>
        <v>267.72969999999998</v>
      </c>
      <c r="J5259" s="28">
        <f t="shared" si="127"/>
        <v>273.84750000000003</v>
      </c>
      <c r="K5259" s="28">
        <f t="shared" si="128"/>
        <v>283.84219999999999</v>
      </c>
      <c r="L5259" s="4"/>
      <c r="M5259" s="241">
        <v>267.72969999999998</v>
      </c>
    </row>
    <row r="5260" spans="3:13" hidden="1" outlineLevel="1" x14ac:dyDescent="0.2">
      <c r="C5260" s="139">
        <v>40.200000000000315</v>
      </c>
      <c r="D5260" s="28">
        <f t="shared" si="121"/>
        <v>321.60000000000252</v>
      </c>
      <c r="E5260" s="28">
        <f t="shared" si="122"/>
        <v>301.50000000000239</v>
      </c>
      <c r="F5260" s="28">
        <f t="shared" si="123"/>
        <v>283.50000000000239</v>
      </c>
      <c r="G5260" s="28">
        <f t="shared" si="124"/>
        <v>242.72219999999999</v>
      </c>
      <c r="H5260" s="28">
        <f t="shared" si="125"/>
        <v>260.4982</v>
      </c>
      <c r="I5260" s="28">
        <f t="shared" si="126"/>
        <v>268.72770000000003</v>
      </c>
      <c r="J5260" s="28">
        <f t="shared" si="127"/>
        <v>274.86169999999998</v>
      </c>
      <c r="K5260" s="28">
        <f t="shared" si="128"/>
        <v>284.88549999999998</v>
      </c>
      <c r="L5260" s="4"/>
      <c r="M5260" s="241">
        <v>268.72770000000003</v>
      </c>
    </row>
    <row r="5261" spans="3:13" hidden="1" outlineLevel="1" x14ac:dyDescent="0.2">
      <c r="C5261" s="139">
        <v>40.300000000000317</v>
      </c>
      <c r="D5261" s="28">
        <f t="shared" si="121"/>
        <v>322.40000000000254</v>
      </c>
      <c r="E5261" s="28">
        <f t="shared" si="122"/>
        <v>302.25000000000239</v>
      </c>
      <c r="F5261" s="28">
        <f t="shared" si="123"/>
        <v>284.25000000000239</v>
      </c>
      <c r="G5261" s="28">
        <f t="shared" si="124"/>
        <v>243.65790000000001</v>
      </c>
      <c r="H5261" s="28">
        <f t="shared" si="125"/>
        <v>261.47609999999997</v>
      </c>
      <c r="I5261" s="28">
        <f t="shared" si="126"/>
        <v>269.726</v>
      </c>
      <c r="J5261" s="28">
        <f t="shared" si="127"/>
        <v>275.87630000000001</v>
      </c>
      <c r="K5261" s="28">
        <f t="shared" si="128"/>
        <v>285.92790000000002</v>
      </c>
      <c r="L5261" s="4"/>
      <c r="M5261" s="241">
        <v>269.726</v>
      </c>
    </row>
    <row r="5262" spans="3:13" hidden="1" outlineLevel="1" x14ac:dyDescent="0.2">
      <c r="C5262" s="139">
        <v>40.400000000000318</v>
      </c>
      <c r="D5262" s="28">
        <f t="shared" si="121"/>
        <v>323.20000000000255</v>
      </c>
      <c r="E5262" s="28">
        <f t="shared" si="122"/>
        <v>303.00000000000239</v>
      </c>
      <c r="F5262" s="28">
        <f t="shared" si="123"/>
        <v>285.00000000000239</v>
      </c>
      <c r="G5262" s="28">
        <f t="shared" si="124"/>
        <v>244.5941</v>
      </c>
      <c r="H5262" s="28">
        <f t="shared" si="125"/>
        <v>262.45330000000001</v>
      </c>
      <c r="I5262" s="28">
        <f t="shared" si="126"/>
        <v>270.72469999999998</v>
      </c>
      <c r="J5262" s="28">
        <f t="shared" si="127"/>
        <v>276.89120000000003</v>
      </c>
      <c r="K5262" s="28">
        <f t="shared" si="128"/>
        <v>286.97059999999999</v>
      </c>
      <c r="L5262" s="4"/>
      <c r="M5262" s="241">
        <v>270.72469999999998</v>
      </c>
    </row>
    <row r="5263" spans="3:13" hidden="1" outlineLevel="1" x14ac:dyDescent="0.2">
      <c r="C5263" s="139">
        <v>40.50000000000032</v>
      </c>
      <c r="D5263" s="28">
        <f t="shared" si="121"/>
        <v>324.00000000000256</v>
      </c>
      <c r="E5263" s="28">
        <f t="shared" si="122"/>
        <v>303.75000000000239</v>
      </c>
      <c r="F5263" s="28">
        <f t="shared" si="123"/>
        <v>285.75000000000239</v>
      </c>
      <c r="G5263" s="28">
        <f t="shared" si="124"/>
        <v>244.5941</v>
      </c>
      <c r="H5263" s="28">
        <f t="shared" si="125"/>
        <v>262.45330000000001</v>
      </c>
      <c r="I5263" s="28">
        <f t="shared" si="126"/>
        <v>270.72469999999998</v>
      </c>
      <c r="J5263" s="28">
        <f t="shared" si="127"/>
        <v>276.89120000000003</v>
      </c>
      <c r="K5263" s="28">
        <f t="shared" si="128"/>
        <v>286.97059999999999</v>
      </c>
      <c r="L5263" s="4"/>
      <c r="M5263" s="241">
        <v>270.72469999999998</v>
      </c>
    </row>
    <row r="5264" spans="3:13" hidden="1" outlineLevel="1" x14ac:dyDescent="0.2">
      <c r="C5264" s="139">
        <v>40.600000000000321</v>
      </c>
      <c r="D5264" s="28">
        <f t="shared" si="121"/>
        <v>324.80000000000257</v>
      </c>
      <c r="E5264" s="28">
        <f t="shared" si="122"/>
        <v>304.50000000000239</v>
      </c>
      <c r="F5264" s="28">
        <f t="shared" si="123"/>
        <v>286.50000000000239</v>
      </c>
      <c r="G5264" s="28">
        <f t="shared" si="124"/>
        <v>245.52979999999999</v>
      </c>
      <c r="H5264" s="28">
        <f t="shared" si="125"/>
        <v>263.43099999999998</v>
      </c>
      <c r="I5264" s="28">
        <f t="shared" si="126"/>
        <v>271.7226</v>
      </c>
      <c r="J5264" s="28">
        <f t="shared" si="127"/>
        <v>277.90530000000001</v>
      </c>
      <c r="K5264" s="28">
        <f t="shared" si="128"/>
        <v>288.01350000000002</v>
      </c>
      <c r="L5264" s="4"/>
      <c r="M5264" s="241">
        <v>271.7226</v>
      </c>
    </row>
    <row r="5265" spans="3:13" hidden="1" outlineLevel="1" x14ac:dyDescent="0.2">
      <c r="C5265" s="139">
        <v>40.700000000000323</v>
      </c>
      <c r="D5265" s="28">
        <f t="shared" si="121"/>
        <v>325.60000000000258</v>
      </c>
      <c r="E5265" s="28">
        <f t="shared" si="122"/>
        <v>305.25000000000244</v>
      </c>
      <c r="F5265" s="28">
        <f t="shared" si="123"/>
        <v>287.25000000000244</v>
      </c>
      <c r="G5265" s="28">
        <f t="shared" si="124"/>
        <v>246.46600000000001</v>
      </c>
      <c r="H5265" s="28">
        <f t="shared" si="125"/>
        <v>264.40899999999999</v>
      </c>
      <c r="I5265" s="28">
        <f t="shared" si="126"/>
        <v>272.7208</v>
      </c>
      <c r="J5265" s="28">
        <f t="shared" si="127"/>
        <v>278.91969999999998</v>
      </c>
      <c r="K5265" s="28">
        <f t="shared" si="128"/>
        <v>289.05669999999998</v>
      </c>
      <c r="L5265" s="4"/>
      <c r="M5265" s="241">
        <v>272.7208</v>
      </c>
    </row>
    <row r="5266" spans="3:13" hidden="1" outlineLevel="1" x14ac:dyDescent="0.2">
      <c r="C5266" s="139">
        <v>40.800000000000324</v>
      </c>
      <c r="D5266" s="28">
        <f t="shared" si="121"/>
        <v>326.40000000000259</v>
      </c>
      <c r="E5266" s="28">
        <f t="shared" si="122"/>
        <v>306.00000000000244</v>
      </c>
      <c r="F5266" s="28">
        <f t="shared" si="123"/>
        <v>288.00000000000244</v>
      </c>
      <c r="G5266" s="28">
        <f t="shared" si="124"/>
        <v>247.40280000000001</v>
      </c>
      <c r="H5266" s="28">
        <f t="shared" si="125"/>
        <v>265.38630000000001</v>
      </c>
      <c r="I5266" s="28">
        <f t="shared" si="126"/>
        <v>273.71940000000001</v>
      </c>
      <c r="J5266" s="28">
        <f t="shared" si="127"/>
        <v>279.93439999999998</v>
      </c>
      <c r="K5266" s="28">
        <f t="shared" si="128"/>
        <v>290.09890000000001</v>
      </c>
      <c r="L5266" s="4"/>
      <c r="M5266" s="241">
        <v>273.71940000000001</v>
      </c>
    </row>
    <row r="5267" spans="3:13" hidden="1" outlineLevel="1" x14ac:dyDescent="0.2">
      <c r="C5267" s="139">
        <v>40.900000000000325</v>
      </c>
      <c r="D5267" s="28">
        <f t="shared" si="121"/>
        <v>327.2000000000026</v>
      </c>
      <c r="E5267" s="28">
        <f t="shared" si="122"/>
        <v>306.75000000000244</v>
      </c>
      <c r="F5267" s="28">
        <f t="shared" si="123"/>
        <v>288.75000000000244</v>
      </c>
      <c r="G5267" s="28">
        <f t="shared" si="124"/>
        <v>247.40280000000001</v>
      </c>
      <c r="H5267" s="28">
        <f t="shared" si="125"/>
        <v>265.38630000000001</v>
      </c>
      <c r="I5267" s="28">
        <f t="shared" si="126"/>
        <v>273.71940000000001</v>
      </c>
      <c r="J5267" s="28">
        <f t="shared" si="127"/>
        <v>279.93439999999998</v>
      </c>
      <c r="K5267" s="28">
        <f t="shared" si="128"/>
        <v>290.09890000000001</v>
      </c>
      <c r="L5267" s="4"/>
      <c r="M5267" s="241">
        <v>273.71940000000001</v>
      </c>
    </row>
    <row r="5268" spans="3:13" hidden="1" outlineLevel="1" x14ac:dyDescent="0.2">
      <c r="C5268" s="139">
        <v>41.000000000000327</v>
      </c>
      <c r="D5268" s="28">
        <f t="shared" si="121"/>
        <v>328.00000000000261</v>
      </c>
      <c r="E5268" s="28">
        <f t="shared" si="122"/>
        <v>307.50000000000244</v>
      </c>
      <c r="F5268" s="28">
        <f t="shared" si="123"/>
        <v>289.50000000000244</v>
      </c>
      <c r="G5268" s="28">
        <f t="shared" si="124"/>
        <v>248.339</v>
      </c>
      <c r="H5268" s="28">
        <f t="shared" si="125"/>
        <v>266.36399999999998</v>
      </c>
      <c r="I5268" s="28">
        <f t="shared" si="126"/>
        <v>274.7183</v>
      </c>
      <c r="J5268" s="28">
        <f t="shared" si="127"/>
        <v>280.94940000000003</v>
      </c>
      <c r="K5268" s="28">
        <f t="shared" si="128"/>
        <v>291.14260000000002</v>
      </c>
      <c r="L5268" s="4"/>
      <c r="M5268" s="241">
        <v>274.7183</v>
      </c>
    </row>
    <row r="5269" spans="3:13" hidden="1" outlineLevel="1" x14ac:dyDescent="0.2">
      <c r="C5269" s="139">
        <v>41.100000000000328</v>
      </c>
      <c r="D5269" s="28">
        <f t="shared" si="121"/>
        <v>328.80000000000263</v>
      </c>
      <c r="E5269" s="28">
        <f t="shared" si="122"/>
        <v>308.25000000000244</v>
      </c>
      <c r="F5269" s="28">
        <f t="shared" si="123"/>
        <v>290.25000000000244</v>
      </c>
      <c r="G5269" s="28">
        <f t="shared" si="124"/>
        <v>249.2757</v>
      </c>
      <c r="H5269" s="28">
        <f t="shared" si="125"/>
        <v>267.34210000000002</v>
      </c>
      <c r="I5269" s="28">
        <f t="shared" si="126"/>
        <v>275.7165</v>
      </c>
      <c r="J5269" s="28">
        <f t="shared" si="127"/>
        <v>281.96469999999999</v>
      </c>
      <c r="K5269" s="28">
        <f t="shared" si="128"/>
        <v>292.18529999999998</v>
      </c>
      <c r="L5269" s="4"/>
      <c r="M5269" s="241">
        <v>275.7165</v>
      </c>
    </row>
    <row r="5270" spans="3:13" hidden="1" outlineLevel="1" x14ac:dyDescent="0.2">
      <c r="C5270" s="139">
        <v>41.20000000000033</v>
      </c>
      <c r="D5270" s="28">
        <f t="shared" si="121"/>
        <v>329.60000000000264</v>
      </c>
      <c r="E5270" s="28">
        <f t="shared" si="122"/>
        <v>309.0000000000025</v>
      </c>
      <c r="F5270" s="28">
        <f t="shared" si="123"/>
        <v>291.0000000000025</v>
      </c>
      <c r="G5270" s="28">
        <f t="shared" si="124"/>
        <v>250.21190000000001</v>
      </c>
      <c r="H5270" s="28">
        <f t="shared" si="125"/>
        <v>268.32060000000001</v>
      </c>
      <c r="I5270" s="28">
        <f t="shared" si="126"/>
        <v>276.71499999999997</v>
      </c>
      <c r="J5270" s="28">
        <f t="shared" si="127"/>
        <v>282.97910000000002</v>
      </c>
      <c r="K5270" s="28">
        <f t="shared" si="128"/>
        <v>293.22820000000002</v>
      </c>
      <c r="L5270" s="4"/>
      <c r="M5270" s="241">
        <v>276.71499999999997</v>
      </c>
    </row>
    <row r="5271" spans="3:13" hidden="1" outlineLevel="1" x14ac:dyDescent="0.2">
      <c r="C5271" s="139">
        <v>41.300000000000331</v>
      </c>
      <c r="D5271" s="28">
        <f t="shared" si="121"/>
        <v>330.40000000000265</v>
      </c>
      <c r="E5271" s="28">
        <f t="shared" si="122"/>
        <v>309.7500000000025</v>
      </c>
      <c r="F5271" s="28">
        <f t="shared" si="123"/>
        <v>291.7500000000025</v>
      </c>
      <c r="G5271" s="28">
        <f t="shared" si="124"/>
        <v>250.21190000000001</v>
      </c>
      <c r="H5271" s="28">
        <f t="shared" si="125"/>
        <v>268.32060000000001</v>
      </c>
      <c r="I5271" s="28">
        <f t="shared" si="126"/>
        <v>276.71499999999997</v>
      </c>
      <c r="J5271" s="28">
        <f t="shared" si="127"/>
        <v>282.97910000000002</v>
      </c>
      <c r="K5271" s="28">
        <f t="shared" si="128"/>
        <v>293.22820000000002</v>
      </c>
      <c r="L5271" s="4"/>
      <c r="M5271" s="241">
        <v>276.71499999999997</v>
      </c>
    </row>
    <row r="5272" spans="3:13" hidden="1" outlineLevel="1" x14ac:dyDescent="0.2">
      <c r="C5272" s="139">
        <v>41.400000000000333</v>
      </c>
      <c r="D5272" s="28">
        <f t="shared" si="121"/>
        <v>331.20000000000266</v>
      </c>
      <c r="E5272" s="28">
        <f t="shared" si="122"/>
        <v>310.5000000000025</v>
      </c>
      <c r="F5272" s="28">
        <f t="shared" si="123"/>
        <v>292.5000000000025</v>
      </c>
      <c r="G5272" s="28">
        <f t="shared" si="124"/>
        <v>251.1497</v>
      </c>
      <c r="H5272" s="28">
        <f t="shared" si="125"/>
        <v>269.29829999999998</v>
      </c>
      <c r="I5272" s="28">
        <f t="shared" si="126"/>
        <v>277.71379999999999</v>
      </c>
      <c r="J5272" s="28">
        <f t="shared" si="127"/>
        <v>283.9939</v>
      </c>
      <c r="K5272" s="28">
        <f t="shared" si="128"/>
        <v>294.27140000000003</v>
      </c>
      <c r="L5272" s="4"/>
      <c r="M5272" s="241">
        <v>277.71379999999999</v>
      </c>
    </row>
    <row r="5273" spans="3:13" hidden="1" outlineLevel="1" x14ac:dyDescent="0.2">
      <c r="C5273" s="139">
        <v>41.500000000000334</v>
      </c>
      <c r="D5273" s="28">
        <f t="shared" si="121"/>
        <v>332.00000000000267</v>
      </c>
      <c r="E5273" s="28">
        <f t="shared" si="122"/>
        <v>311.2500000000025</v>
      </c>
      <c r="F5273" s="28">
        <f t="shared" si="123"/>
        <v>293.2500000000025</v>
      </c>
      <c r="G5273" s="28">
        <f t="shared" si="124"/>
        <v>252.08580000000001</v>
      </c>
      <c r="H5273" s="28">
        <f t="shared" si="125"/>
        <v>270.2765</v>
      </c>
      <c r="I5273" s="28">
        <f t="shared" si="126"/>
        <v>278.71289999999999</v>
      </c>
      <c r="J5273" s="28">
        <f t="shared" si="127"/>
        <v>285.00900000000001</v>
      </c>
      <c r="K5273" s="28">
        <f t="shared" si="128"/>
        <v>295.31360000000001</v>
      </c>
      <c r="L5273" s="4"/>
      <c r="M5273" s="241">
        <v>278.71289999999999</v>
      </c>
    </row>
    <row r="5274" spans="3:13" hidden="1" outlineLevel="1" x14ac:dyDescent="0.2">
      <c r="C5274" s="139">
        <v>41.600000000000335</v>
      </c>
      <c r="D5274" s="28">
        <f t="shared" si="121"/>
        <v>332.80000000000268</v>
      </c>
      <c r="E5274" s="28">
        <f t="shared" si="122"/>
        <v>312.0000000000025</v>
      </c>
      <c r="F5274" s="28">
        <f t="shared" si="123"/>
        <v>294.0000000000025</v>
      </c>
      <c r="G5274" s="28">
        <f t="shared" si="124"/>
        <v>253.02350000000001</v>
      </c>
      <c r="H5274" s="28">
        <f t="shared" si="125"/>
        <v>271.255</v>
      </c>
      <c r="I5274" s="28">
        <f t="shared" si="126"/>
        <v>279.7124</v>
      </c>
      <c r="J5274" s="28">
        <f t="shared" si="127"/>
        <v>286.02429999999998</v>
      </c>
      <c r="K5274" s="28">
        <f t="shared" si="128"/>
        <v>296.35730000000001</v>
      </c>
      <c r="L5274" s="4"/>
      <c r="M5274" s="241">
        <v>279.7124</v>
      </c>
    </row>
    <row r="5275" spans="3:13" hidden="1" outlineLevel="1" x14ac:dyDescent="0.2">
      <c r="C5275" s="139">
        <v>41.700000000000337</v>
      </c>
      <c r="D5275" s="28">
        <f t="shared" si="121"/>
        <v>333.60000000000269</v>
      </c>
      <c r="E5275" s="28">
        <f t="shared" si="122"/>
        <v>312.7500000000025</v>
      </c>
      <c r="F5275" s="28">
        <f t="shared" si="123"/>
        <v>294.7500000000025</v>
      </c>
      <c r="G5275" s="28">
        <f t="shared" si="124"/>
        <v>253.02350000000001</v>
      </c>
      <c r="H5275" s="28">
        <f t="shared" si="125"/>
        <v>271.255</v>
      </c>
      <c r="I5275" s="28">
        <f t="shared" si="126"/>
        <v>279.7124</v>
      </c>
      <c r="J5275" s="28">
        <f t="shared" si="127"/>
        <v>286.02429999999998</v>
      </c>
      <c r="K5275" s="28">
        <f t="shared" si="128"/>
        <v>296.35730000000001</v>
      </c>
      <c r="L5275" s="4"/>
      <c r="M5275" s="241">
        <v>279.7124</v>
      </c>
    </row>
    <row r="5276" spans="3:13" hidden="1" outlineLevel="1" x14ac:dyDescent="0.2">
      <c r="C5276" s="139">
        <v>41.800000000000338</v>
      </c>
      <c r="D5276" s="28">
        <f t="shared" si="121"/>
        <v>334.40000000000271</v>
      </c>
      <c r="E5276" s="28">
        <f t="shared" si="122"/>
        <v>313.50000000000256</v>
      </c>
      <c r="F5276" s="28">
        <f t="shared" si="123"/>
        <v>295.50000000000256</v>
      </c>
      <c r="G5276" s="28">
        <f t="shared" si="124"/>
        <v>253.9607</v>
      </c>
      <c r="H5276" s="28">
        <f t="shared" si="125"/>
        <v>272.2328</v>
      </c>
      <c r="I5276" s="28">
        <f t="shared" si="126"/>
        <v>280.71109999999999</v>
      </c>
      <c r="J5276" s="28">
        <f t="shared" si="127"/>
        <v>287.03989999999999</v>
      </c>
      <c r="K5276" s="28">
        <f t="shared" si="128"/>
        <v>297.3999</v>
      </c>
      <c r="L5276" s="4"/>
      <c r="M5276" s="241">
        <v>280.71109999999999</v>
      </c>
    </row>
    <row r="5277" spans="3:13" hidden="1" outlineLevel="1" x14ac:dyDescent="0.2">
      <c r="C5277" s="139">
        <v>41.90000000000034</v>
      </c>
      <c r="D5277" s="28">
        <f t="shared" si="121"/>
        <v>335.20000000000272</v>
      </c>
      <c r="E5277" s="28">
        <f t="shared" si="122"/>
        <v>314.25000000000256</v>
      </c>
      <c r="F5277" s="28">
        <f t="shared" si="123"/>
        <v>296.25000000000256</v>
      </c>
      <c r="G5277" s="28">
        <f t="shared" si="124"/>
        <v>254.89840000000001</v>
      </c>
      <c r="H5277" s="28">
        <f t="shared" si="125"/>
        <v>273.21089999999998</v>
      </c>
      <c r="I5277" s="28">
        <f t="shared" si="126"/>
        <v>281.70999999999998</v>
      </c>
      <c r="J5277" s="28">
        <f t="shared" si="127"/>
        <v>288.05470000000003</v>
      </c>
      <c r="K5277" s="28">
        <f t="shared" si="128"/>
        <v>298.44290000000001</v>
      </c>
      <c r="L5277" s="4"/>
      <c r="M5277" s="241">
        <v>281.70999999999998</v>
      </c>
    </row>
    <row r="5278" spans="3:13" hidden="1" outlineLevel="1" x14ac:dyDescent="0.2">
      <c r="C5278" s="139">
        <v>42.000000000000341</v>
      </c>
      <c r="D5278" s="28">
        <f t="shared" si="121"/>
        <v>336.00000000000273</v>
      </c>
      <c r="E5278" s="28">
        <f t="shared" si="122"/>
        <v>315.00000000000256</v>
      </c>
      <c r="F5278" s="28">
        <f t="shared" si="123"/>
        <v>297.00000000000256</v>
      </c>
      <c r="G5278" s="28">
        <f t="shared" si="124"/>
        <v>255.83539999999999</v>
      </c>
      <c r="H5278" s="28">
        <f t="shared" si="125"/>
        <v>274.18939999999998</v>
      </c>
      <c r="I5278" s="28">
        <f t="shared" si="126"/>
        <v>282.70929999999998</v>
      </c>
      <c r="J5278" s="28">
        <f t="shared" si="127"/>
        <v>289.06979999999999</v>
      </c>
      <c r="K5278" s="28">
        <f t="shared" si="128"/>
        <v>299.48599999999999</v>
      </c>
      <c r="L5278" s="4"/>
      <c r="M5278" s="241">
        <v>282.70929999999998</v>
      </c>
    </row>
    <row r="5279" spans="3:13" hidden="1" outlineLevel="1" x14ac:dyDescent="0.2">
      <c r="C5279" s="139">
        <v>42.100000000000342</v>
      </c>
      <c r="D5279" s="28">
        <f t="shared" si="121"/>
        <v>336.80000000000274</v>
      </c>
      <c r="E5279" s="28">
        <f t="shared" si="122"/>
        <v>315.75000000000256</v>
      </c>
      <c r="F5279" s="28">
        <f t="shared" si="123"/>
        <v>297.75000000000256</v>
      </c>
      <c r="G5279" s="28">
        <f t="shared" si="124"/>
        <v>255.83539999999999</v>
      </c>
      <c r="H5279" s="28">
        <f t="shared" si="125"/>
        <v>274.18939999999998</v>
      </c>
      <c r="I5279" s="28">
        <f t="shared" si="126"/>
        <v>282.70929999999998</v>
      </c>
      <c r="J5279" s="28">
        <f t="shared" si="127"/>
        <v>289.06979999999999</v>
      </c>
      <c r="K5279" s="28">
        <f t="shared" si="128"/>
        <v>299.48599999999999</v>
      </c>
      <c r="L5279" s="4"/>
      <c r="M5279" s="241">
        <v>282.70929999999998</v>
      </c>
    </row>
    <row r="5280" spans="3:13" hidden="1" outlineLevel="1" x14ac:dyDescent="0.2">
      <c r="C5280" s="139">
        <v>42.200000000000344</v>
      </c>
      <c r="D5280" s="28">
        <f t="shared" si="121"/>
        <v>337.60000000000275</v>
      </c>
      <c r="E5280" s="28">
        <f t="shared" si="122"/>
        <v>316.50000000000256</v>
      </c>
      <c r="F5280" s="28">
        <f t="shared" si="123"/>
        <v>298.50000000000256</v>
      </c>
      <c r="G5280" s="28">
        <f t="shared" si="124"/>
        <v>256.77409999999998</v>
      </c>
      <c r="H5280" s="28">
        <f t="shared" si="125"/>
        <v>275.16829999999999</v>
      </c>
      <c r="I5280" s="28">
        <f t="shared" si="126"/>
        <v>283.70780000000002</v>
      </c>
      <c r="J5280" s="28">
        <f t="shared" si="127"/>
        <v>290.08519999999999</v>
      </c>
      <c r="K5280" s="28">
        <f t="shared" si="128"/>
        <v>300.52940000000001</v>
      </c>
      <c r="L5280" s="4"/>
      <c r="M5280" s="241">
        <v>283.70780000000002</v>
      </c>
    </row>
    <row r="5281" spans="3:13" hidden="1" outlineLevel="1" x14ac:dyDescent="0.2">
      <c r="C5281" s="139">
        <v>42.300000000000345</v>
      </c>
      <c r="D5281" s="28">
        <f t="shared" si="121"/>
        <v>338.40000000000276</v>
      </c>
      <c r="E5281" s="28">
        <f t="shared" si="122"/>
        <v>317.25000000000261</v>
      </c>
      <c r="F5281" s="28">
        <f t="shared" si="123"/>
        <v>299.25000000000261</v>
      </c>
      <c r="G5281" s="28">
        <f t="shared" si="124"/>
        <v>257.71109999999999</v>
      </c>
      <c r="H5281" s="28">
        <f t="shared" si="125"/>
        <v>276.1465</v>
      </c>
      <c r="I5281" s="28">
        <f t="shared" si="126"/>
        <v>284.70659999999998</v>
      </c>
      <c r="J5281" s="28">
        <f t="shared" si="127"/>
        <v>291.10079999999999</v>
      </c>
      <c r="K5281" s="28">
        <f t="shared" si="128"/>
        <v>301.57299999999998</v>
      </c>
      <c r="L5281" s="4"/>
      <c r="M5281" s="241">
        <v>284.70659999999998</v>
      </c>
    </row>
    <row r="5282" spans="3:13" hidden="1" outlineLevel="1" x14ac:dyDescent="0.2">
      <c r="C5282" s="139">
        <v>42.400000000000347</v>
      </c>
      <c r="D5282" s="28">
        <f t="shared" si="121"/>
        <v>339.20000000000277</v>
      </c>
      <c r="E5282" s="28">
        <f t="shared" si="122"/>
        <v>318.00000000000261</v>
      </c>
      <c r="F5282" s="28">
        <f t="shared" si="123"/>
        <v>300.00000000000261</v>
      </c>
      <c r="G5282" s="28">
        <f t="shared" si="124"/>
        <v>258.64960000000002</v>
      </c>
      <c r="H5282" s="28">
        <f t="shared" si="125"/>
        <v>277.125</v>
      </c>
      <c r="I5282" s="28">
        <f t="shared" si="126"/>
        <v>285.70580000000001</v>
      </c>
      <c r="J5282" s="28">
        <f t="shared" si="127"/>
        <v>292.11559999999997</v>
      </c>
      <c r="K5282" s="28">
        <f t="shared" si="128"/>
        <v>302.61559999999997</v>
      </c>
      <c r="L5282" s="4"/>
      <c r="M5282" s="241">
        <v>285.70580000000001</v>
      </c>
    </row>
    <row r="5283" spans="3:13" hidden="1" outlineLevel="1" x14ac:dyDescent="0.2">
      <c r="C5283" s="139">
        <v>42.500000000000348</v>
      </c>
      <c r="D5283" s="28">
        <f t="shared" si="121"/>
        <v>340.00000000000279</v>
      </c>
      <c r="E5283" s="28">
        <f t="shared" si="122"/>
        <v>318.75000000000261</v>
      </c>
      <c r="F5283" s="28">
        <f t="shared" si="123"/>
        <v>300.75000000000261</v>
      </c>
      <c r="G5283" s="28">
        <f t="shared" si="124"/>
        <v>258.64960000000002</v>
      </c>
      <c r="H5283" s="28">
        <f t="shared" si="125"/>
        <v>277.125</v>
      </c>
      <c r="I5283" s="28">
        <f t="shared" si="126"/>
        <v>285.70580000000001</v>
      </c>
      <c r="J5283" s="28">
        <f t="shared" si="127"/>
        <v>292.11559999999997</v>
      </c>
      <c r="K5283" s="28">
        <f t="shared" si="128"/>
        <v>302.61559999999997</v>
      </c>
      <c r="L5283" s="4"/>
      <c r="M5283" s="241">
        <v>285.70580000000001</v>
      </c>
    </row>
    <row r="5284" spans="3:13" hidden="1" outlineLevel="1" x14ac:dyDescent="0.2">
      <c r="C5284" s="139">
        <v>42.60000000000035</v>
      </c>
      <c r="D5284" s="28">
        <f t="shared" si="121"/>
        <v>340.8000000000028</v>
      </c>
      <c r="E5284" s="28">
        <f t="shared" si="122"/>
        <v>319.50000000000261</v>
      </c>
      <c r="F5284" s="28">
        <f t="shared" si="123"/>
        <v>301.50000000000261</v>
      </c>
      <c r="G5284" s="28">
        <f t="shared" si="124"/>
        <v>259.58760000000001</v>
      </c>
      <c r="H5284" s="28">
        <f t="shared" si="125"/>
        <v>278.10379999999998</v>
      </c>
      <c r="I5284" s="28">
        <f t="shared" si="126"/>
        <v>286.70519999999999</v>
      </c>
      <c r="J5284" s="28">
        <f t="shared" si="127"/>
        <v>293.1318</v>
      </c>
      <c r="K5284" s="28">
        <f t="shared" si="128"/>
        <v>303.65969999999999</v>
      </c>
      <c r="L5284" s="4"/>
      <c r="M5284" s="241">
        <v>286.70519999999999</v>
      </c>
    </row>
    <row r="5285" spans="3:13" hidden="1" outlineLevel="1" x14ac:dyDescent="0.2">
      <c r="C5285" s="139">
        <v>42.700000000000351</v>
      </c>
      <c r="D5285" s="28">
        <f t="shared" si="121"/>
        <v>341.60000000000281</v>
      </c>
      <c r="E5285" s="28">
        <f t="shared" si="122"/>
        <v>320.25000000000261</v>
      </c>
      <c r="F5285" s="28">
        <f t="shared" si="123"/>
        <v>302.25000000000261</v>
      </c>
      <c r="G5285" s="28">
        <f t="shared" si="124"/>
        <v>260.52600000000001</v>
      </c>
      <c r="H5285" s="28">
        <f t="shared" si="125"/>
        <v>279.0831</v>
      </c>
      <c r="I5285" s="28">
        <f t="shared" si="126"/>
        <v>287.70490000000001</v>
      </c>
      <c r="J5285" s="28">
        <f t="shared" si="127"/>
        <v>294.14710000000002</v>
      </c>
      <c r="K5285" s="28">
        <f t="shared" si="128"/>
        <v>304.70269999999999</v>
      </c>
      <c r="L5285" s="4"/>
      <c r="M5285" s="241">
        <v>287.70490000000001</v>
      </c>
    </row>
    <row r="5286" spans="3:13" hidden="1" outlineLevel="1" x14ac:dyDescent="0.2">
      <c r="C5286" s="139">
        <v>42.800000000000352</v>
      </c>
      <c r="D5286" s="28">
        <f t="shared" si="121"/>
        <v>342.40000000000282</v>
      </c>
      <c r="E5286" s="28">
        <f t="shared" si="122"/>
        <v>321.00000000000261</v>
      </c>
      <c r="F5286" s="28">
        <f t="shared" si="123"/>
        <v>303.00000000000261</v>
      </c>
      <c r="G5286" s="28">
        <f t="shared" si="124"/>
        <v>261.46379999999999</v>
      </c>
      <c r="H5286" s="28">
        <f t="shared" si="125"/>
        <v>280.06270000000001</v>
      </c>
      <c r="I5286" s="28">
        <f t="shared" si="126"/>
        <v>288.7038</v>
      </c>
      <c r="J5286" s="28">
        <f t="shared" si="127"/>
        <v>295.16269999999997</v>
      </c>
      <c r="K5286" s="28">
        <f t="shared" si="128"/>
        <v>305.74599999999998</v>
      </c>
      <c r="L5286" s="4"/>
      <c r="M5286" s="241">
        <v>288.7038</v>
      </c>
    </row>
    <row r="5287" spans="3:13" hidden="1" outlineLevel="1" x14ac:dyDescent="0.2">
      <c r="C5287" s="139">
        <v>42.900000000000354</v>
      </c>
      <c r="D5287" s="28">
        <f t="shared" si="121"/>
        <v>343.20000000000283</v>
      </c>
      <c r="E5287" s="28">
        <f t="shared" si="122"/>
        <v>321.75000000000267</v>
      </c>
      <c r="F5287" s="28">
        <f t="shared" si="123"/>
        <v>303.75000000000267</v>
      </c>
      <c r="G5287" s="28">
        <f t="shared" si="124"/>
        <v>261.46379999999999</v>
      </c>
      <c r="H5287" s="28">
        <f t="shared" si="125"/>
        <v>280.06270000000001</v>
      </c>
      <c r="I5287" s="28">
        <f t="shared" si="126"/>
        <v>288.7038</v>
      </c>
      <c r="J5287" s="28">
        <f t="shared" si="127"/>
        <v>295.16269999999997</v>
      </c>
      <c r="K5287" s="28">
        <f t="shared" si="128"/>
        <v>305.74599999999998</v>
      </c>
      <c r="L5287" s="4"/>
      <c r="M5287" s="241">
        <v>288.7038</v>
      </c>
    </row>
    <row r="5288" spans="3:13" hidden="1" outlineLevel="1" x14ac:dyDescent="0.2">
      <c r="C5288" s="139">
        <v>43.000000000000355</v>
      </c>
      <c r="D5288" s="28">
        <f t="shared" si="121"/>
        <v>344.00000000000284</v>
      </c>
      <c r="E5288" s="28">
        <f t="shared" si="122"/>
        <v>322.50000000000267</v>
      </c>
      <c r="F5288" s="28">
        <f t="shared" si="123"/>
        <v>304.50000000000267</v>
      </c>
      <c r="G5288" s="28">
        <f t="shared" si="124"/>
        <v>262.40210000000002</v>
      </c>
      <c r="H5288" s="28">
        <f t="shared" si="125"/>
        <v>281.04149999999998</v>
      </c>
      <c r="I5288" s="28">
        <f t="shared" si="126"/>
        <v>289.70420000000001</v>
      </c>
      <c r="J5288" s="28">
        <f t="shared" si="127"/>
        <v>296.17750000000001</v>
      </c>
      <c r="K5288" s="28">
        <f t="shared" si="128"/>
        <v>306.78949999999998</v>
      </c>
      <c r="L5288" s="4"/>
      <c r="M5288" s="241">
        <v>289.70420000000001</v>
      </c>
    </row>
    <row r="5289" spans="3:13" hidden="1" outlineLevel="1" x14ac:dyDescent="0.2">
      <c r="C5289" s="139">
        <v>43.100000000000357</v>
      </c>
      <c r="D5289" s="28">
        <f t="shared" si="121"/>
        <v>344.80000000000285</v>
      </c>
      <c r="E5289" s="28">
        <f t="shared" si="122"/>
        <v>323.25000000000267</v>
      </c>
      <c r="F5289" s="28">
        <f t="shared" si="123"/>
        <v>305.25000000000267</v>
      </c>
      <c r="G5289" s="28">
        <f t="shared" si="124"/>
        <v>263.34089999999998</v>
      </c>
      <c r="H5289" s="28">
        <f t="shared" si="125"/>
        <v>282.0206</v>
      </c>
      <c r="I5289" s="28">
        <f t="shared" si="126"/>
        <v>290.70370000000003</v>
      </c>
      <c r="J5289" s="28">
        <f t="shared" si="127"/>
        <v>297.1936</v>
      </c>
      <c r="K5289" s="28">
        <f t="shared" si="128"/>
        <v>307.83330000000001</v>
      </c>
      <c r="L5289" s="4"/>
      <c r="M5289" s="241">
        <v>290.70370000000003</v>
      </c>
    </row>
    <row r="5290" spans="3:13" hidden="1" outlineLevel="1" x14ac:dyDescent="0.2">
      <c r="C5290" s="139">
        <v>43.200000000000358</v>
      </c>
      <c r="D5290" s="28">
        <f t="shared" si="121"/>
        <v>345.60000000000286</v>
      </c>
      <c r="E5290" s="28">
        <f t="shared" si="122"/>
        <v>324.00000000000267</v>
      </c>
      <c r="F5290" s="28">
        <f t="shared" si="123"/>
        <v>306.00000000000267</v>
      </c>
      <c r="G5290" s="28">
        <f t="shared" si="124"/>
        <v>264.28019999999998</v>
      </c>
      <c r="H5290" s="28">
        <f t="shared" si="125"/>
        <v>282.99900000000002</v>
      </c>
      <c r="I5290" s="28">
        <f t="shared" si="126"/>
        <v>291.70350000000002</v>
      </c>
      <c r="J5290" s="28">
        <f t="shared" si="127"/>
        <v>298.20890000000003</v>
      </c>
      <c r="K5290" s="28">
        <f t="shared" si="128"/>
        <v>308.8759</v>
      </c>
      <c r="L5290" s="4"/>
      <c r="M5290" s="241">
        <v>291.70350000000002</v>
      </c>
    </row>
    <row r="5291" spans="3:13" hidden="1" outlineLevel="1" x14ac:dyDescent="0.2">
      <c r="C5291" s="139">
        <v>43.30000000000036</v>
      </c>
      <c r="D5291" s="28">
        <f t="shared" si="121"/>
        <v>346.40000000000288</v>
      </c>
      <c r="E5291" s="28">
        <f t="shared" si="122"/>
        <v>324.75000000000267</v>
      </c>
      <c r="F5291" s="28">
        <f t="shared" si="123"/>
        <v>306.75000000000267</v>
      </c>
      <c r="G5291" s="28">
        <f t="shared" si="124"/>
        <v>264.28019999999998</v>
      </c>
      <c r="H5291" s="28">
        <f t="shared" si="125"/>
        <v>282.99900000000002</v>
      </c>
      <c r="I5291" s="28">
        <f t="shared" si="126"/>
        <v>291.70350000000002</v>
      </c>
      <c r="J5291" s="28">
        <f t="shared" si="127"/>
        <v>298.20890000000003</v>
      </c>
      <c r="K5291" s="28">
        <f t="shared" si="128"/>
        <v>308.8759</v>
      </c>
      <c r="L5291" s="4"/>
      <c r="M5291" s="241">
        <v>291.70350000000002</v>
      </c>
    </row>
    <row r="5292" spans="3:13" hidden="1" outlineLevel="1" x14ac:dyDescent="0.2">
      <c r="C5292" s="139">
        <v>43.400000000000361</v>
      </c>
      <c r="D5292" s="28">
        <f t="shared" si="121"/>
        <v>347.20000000000289</v>
      </c>
      <c r="E5292" s="28">
        <f t="shared" si="122"/>
        <v>325.50000000000273</v>
      </c>
      <c r="F5292" s="28">
        <f t="shared" si="123"/>
        <v>307.50000000000273</v>
      </c>
      <c r="G5292" s="28">
        <f t="shared" si="124"/>
        <v>265.21879999999999</v>
      </c>
      <c r="H5292" s="28">
        <f t="shared" si="125"/>
        <v>283.97890000000001</v>
      </c>
      <c r="I5292" s="28">
        <f t="shared" si="126"/>
        <v>292.70249999999999</v>
      </c>
      <c r="J5292" s="28">
        <f t="shared" si="127"/>
        <v>299.2244</v>
      </c>
      <c r="K5292" s="28">
        <f t="shared" si="128"/>
        <v>309.92009999999999</v>
      </c>
      <c r="L5292" s="4"/>
      <c r="M5292" s="241">
        <v>292.70249999999999</v>
      </c>
    </row>
    <row r="5293" spans="3:13" hidden="1" outlineLevel="1" x14ac:dyDescent="0.2">
      <c r="C5293" s="139">
        <v>43.500000000000362</v>
      </c>
      <c r="D5293" s="28">
        <f t="shared" si="121"/>
        <v>348.0000000000029</v>
      </c>
      <c r="E5293" s="28">
        <f t="shared" si="122"/>
        <v>326.25000000000273</v>
      </c>
      <c r="F5293" s="28">
        <f t="shared" si="123"/>
        <v>308.25000000000273</v>
      </c>
      <c r="G5293" s="28">
        <f t="shared" si="124"/>
        <v>266.15789999999998</v>
      </c>
      <c r="H5293" s="28">
        <f t="shared" si="125"/>
        <v>284.9579</v>
      </c>
      <c r="I5293" s="28">
        <f t="shared" si="126"/>
        <v>293.70170000000002</v>
      </c>
      <c r="J5293" s="28">
        <f t="shared" si="127"/>
        <v>300.24020000000002</v>
      </c>
      <c r="K5293" s="28">
        <f t="shared" si="128"/>
        <v>310.96319999999997</v>
      </c>
      <c r="L5293" s="4"/>
      <c r="M5293" s="241">
        <v>293.70170000000002</v>
      </c>
    </row>
    <row r="5294" spans="3:13" hidden="1" outlineLevel="1" x14ac:dyDescent="0.2">
      <c r="C5294" s="139">
        <v>43.600000000000364</v>
      </c>
      <c r="D5294" s="28">
        <f t="shared" si="121"/>
        <v>348.80000000000291</v>
      </c>
      <c r="E5294" s="28">
        <f t="shared" si="122"/>
        <v>327.00000000000273</v>
      </c>
      <c r="F5294" s="28">
        <f t="shared" si="123"/>
        <v>309.00000000000273</v>
      </c>
      <c r="G5294" s="28">
        <f t="shared" si="124"/>
        <v>267.09629999999999</v>
      </c>
      <c r="H5294" s="28">
        <f t="shared" si="125"/>
        <v>285.93729999999999</v>
      </c>
      <c r="I5294" s="28">
        <f t="shared" si="126"/>
        <v>294.70249999999999</v>
      </c>
      <c r="J5294" s="28">
        <f t="shared" si="127"/>
        <v>301.25630000000001</v>
      </c>
      <c r="K5294" s="28">
        <f t="shared" si="128"/>
        <v>312.00659999999999</v>
      </c>
      <c r="L5294" s="4"/>
      <c r="M5294" s="241">
        <v>294.70249999999999</v>
      </c>
    </row>
    <row r="5295" spans="3:13" hidden="1" outlineLevel="1" x14ac:dyDescent="0.2">
      <c r="C5295" s="139">
        <v>43.700000000000365</v>
      </c>
      <c r="D5295" s="28">
        <f t="shared" si="121"/>
        <v>349.60000000000292</v>
      </c>
      <c r="E5295" s="28">
        <f t="shared" si="122"/>
        <v>327.75000000000273</v>
      </c>
      <c r="F5295" s="28">
        <f t="shared" si="123"/>
        <v>309.75000000000273</v>
      </c>
      <c r="G5295" s="28">
        <f t="shared" si="124"/>
        <v>267.09629999999999</v>
      </c>
      <c r="H5295" s="28">
        <f t="shared" si="125"/>
        <v>285.93729999999999</v>
      </c>
      <c r="I5295" s="28">
        <f t="shared" si="126"/>
        <v>294.70249999999999</v>
      </c>
      <c r="J5295" s="28">
        <f t="shared" si="127"/>
        <v>301.25630000000001</v>
      </c>
      <c r="K5295" s="28">
        <f t="shared" si="128"/>
        <v>312.00659999999999</v>
      </c>
      <c r="L5295" s="4"/>
      <c r="M5295" s="241">
        <v>294.70249999999999</v>
      </c>
    </row>
    <row r="5296" spans="3:13" hidden="1" outlineLevel="1" x14ac:dyDescent="0.2">
      <c r="C5296" s="139">
        <v>43.800000000000367</v>
      </c>
      <c r="D5296" s="28">
        <f t="shared" si="121"/>
        <v>350.40000000000293</v>
      </c>
      <c r="E5296" s="28">
        <f t="shared" si="122"/>
        <v>328.50000000000273</v>
      </c>
      <c r="F5296" s="28">
        <f t="shared" si="123"/>
        <v>310.50000000000273</v>
      </c>
      <c r="G5296" s="28">
        <f t="shared" si="124"/>
        <v>268.03640000000001</v>
      </c>
      <c r="H5296" s="28">
        <f t="shared" si="125"/>
        <v>286.9171</v>
      </c>
      <c r="I5296" s="28">
        <f t="shared" si="126"/>
        <v>295.70229999999998</v>
      </c>
      <c r="J5296" s="28">
        <f t="shared" si="127"/>
        <v>302.27260000000001</v>
      </c>
      <c r="K5296" s="28">
        <f t="shared" si="128"/>
        <v>313.05009999999999</v>
      </c>
      <c r="L5296" s="4"/>
      <c r="M5296" s="241">
        <v>295.70229999999998</v>
      </c>
    </row>
    <row r="5297" spans="3:13" hidden="1" outlineLevel="1" x14ac:dyDescent="0.2">
      <c r="C5297" s="139">
        <v>43.900000000000368</v>
      </c>
      <c r="D5297" s="28">
        <f t="shared" si="121"/>
        <v>351.20000000000294</v>
      </c>
      <c r="E5297" s="28">
        <f t="shared" si="122"/>
        <v>329.25000000000279</v>
      </c>
      <c r="F5297" s="28">
        <f t="shared" si="123"/>
        <v>311.25000000000279</v>
      </c>
      <c r="G5297" s="28">
        <f t="shared" si="124"/>
        <v>268.97579999999999</v>
      </c>
      <c r="H5297" s="28">
        <f t="shared" si="125"/>
        <v>287.89600000000002</v>
      </c>
      <c r="I5297" s="28">
        <f t="shared" si="126"/>
        <v>296.7013</v>
      </c>
      <c r="J5297" s="28">
        <f t="shared" si="127"/>
        <v>303.28800000000001</v>
      </c>
      <c r="K5297" s="28">
        <f t="shared" si="128"/>
        <v>314.09390000000002</v>
      </c>
      <c r="L5297" s="4"/>
      <c r="M5297" s="241">
        <v>296.7013</v>
      </c>
    </row>
    <row r="5298" spans="3:13" hidden="1" outlineLevel="1" x14ac:dyDescent="0.2">
      <c r="C5298" s="139">
        <v>44.000000000000369</v>
      </c>
      <c r="D5298" s="28">
        <f t="shared" si="121"/>
        <v>352.00000000000296</v>
      </c>
      <c r="E5298" s="28">
        <f t="shared" si="122"/>
        <v>330.00000000000279</v>
      </c>
      <c r="F5298" s="28">
        <f t="shared" si="123"/>
        <v>312.00000000000279</v>
      </c>
      <c r="G5298" s="28">
        <f t="shared" si="124"/>
        <v>269.9144</v>
      </c>
      <c r="H5298" s="28">
        <f t="shared" si="125"/>
        <v>288.87650000000002</v>
      </c>
      <c r="I5298" s="28">
        <f t="shared" si="126"/>
        <v>297.70170000000002</v>
      </c>
      <c r="J5298" s="28">
        <f t="shared" si="127"/>
        <v>304.30369999999999</v>
      </c>
      <c r="K5298" s="28">
        <f t="shared" si="128"/>
        <v>315.1379</v>
      </c>
      <c r="L5298" s="4"/>
      <c r="M5298" s="241">
        <v>297.70170000000002</v>
      </c>
    </row>
    <row r="5299" spans="3:13" hidden="1" outlineLevel="1" x14ac:dyDescent="0.2">
      <c r="C5299" s="139">
        <v>44.100000000000371</v>
      </c>
      <c r="D5299" s="28">
        <f t="shared" si="121"/>
        <v>352.80000000000297</v>
      </c>
      <c r="E5299" s="28">
        <f t="shared" si="122"/>
        <v>330.75000000000279</v>
      </c>
      <c r="F5299" s="28">
        <f t="shared" si="123"/>
        <v>312.75000000000279</v>
      </c>
      <c r="G5299" s="28">
        <f t="shared" si="124"/>
        <v>269.9144</v>
      </c>
      <c r="H5299" s="28">
        <f t="shared" si="125"/>
        <v>288.87650000000002</v>
      </c>
      <c r="I5299" s="28">
        <f t="shared" si="126"/>
        <v>297.70170000000002</v>
      </c>
      <c r="J5299" s="28">
        <f t="shared" si="127"/>
        <v>304.30369999999999</v>
      </c>
      <c r="K5299" s="28">
        <f t="shared" si="128"/>
        <v>315.1379</v>
      </c>
      <c r="L5299" s="4"/>
      <c r="M5299" s="241">
        <v>297.70170000000002</v>
      </c>
    </row>
    <row r="5300" spans="3:13" hidden="1" outlineLevel="1" x14ac:dyDescent="0.2">
      <c r="C5300" s="139">
        <v>44.200000000000372</v>
      </c>
      <c r="D5300" s="28">
        <f t="shared" si="121"/>
        <v>353.60000000000298</v>
      </c>
      <c r="E5300" s="28">
        <f t="shared" si="122"/>
        <v>331.50000000000279</v>
      </c>
      <c r="F5300" s="28">
        <f t="shared" si="123"/>
        <v>313.50000000000279</v>
      </c>
      <c r="G5300" s="28">
        <f t="shared" si="124"/>
        <v>270.85480000000001</v>
      </c>
      <c r="H5300" s="28">
        <f t="shared" si="125"/>
        <v>289.85610000000003</v>
      </c>
      <c r="I5300" s="28">
        <f t="shared" si="126"/>
        <v>298.7013</v>
      </c>
      <c r="J5300" s="28">
        <f t="shared" si="127"/>
        <v>305.31959999999998</v>
      </c>
      <c r="K5300" s="28">
        <f t="shared" si="128"/>
        <v>316.18209999999999</v>
      </c>
      <c r="L5300" s="4"/>
      <c r="M5300" s="241">
        <v>298.7013</v>
      </c>
    </row>
    <row r="5301" spans="3:13" hidden="1" outlineLevel="1" x14ac:dyDescent="0.2">
      <c r="C5301" s="139">
        <v>44.300000000000374</v>
      </c>
      <c r="D5301" s="28">
        <f t="shared" si="121"/>
        <v>354.40000000000299</v>
      </c>
      <c r="E5301" s="28">
        <f t="shared" si="122"/>
        <v>332.25000000000279</v>
      </c>
      <c r="F5301" s="28">
        <f t="shared" si="123"/>
        <v>314.25000000000279</v>
      </c>
      <c r="G5301" s="28">
        <f t="shared" si="124"/>
        <v>271.7944</v>
      </c>
      <c r="H5301" s="28">
        <f t="shared" si="125"/>
        <v>290.83609999999999</v>
      </c>
      <c r="I5301" s="28">
        <f t="shared" si="126"/>
        <v>299.70229999999998</v>
      </c>
      <c r="J5301" s="28">
        <f t="shared" si="127"/>
        <v>306.33580000000001</v>
      </c>
      <c r="K5301" s="28">
        <f t="shared" si="128"/>
        <v>317.22519999999997</v>
      </c>
      <c r="L5301" s="4"/>
      <c r="M5301" s="241">
        <v>299.70229999999998</v>
      </c>
    </row>
    <row r="5302" spans="3:13" hidden="1" outlineLevel="1" x14ac:dyDescent="0.2">
      <c r="C5302" s="139">
        <v>44.400000000000375</v>
      </c>
      <c r="D5302" s="28">
        <f t="shared" si="121"/>
        <v>355.200000000003</v>
      </c>
      <c r="E5302" s="28">
        <f t="shared" si="122"/>
        <v>333.00000000000284</v>
      </c>
      <c r="F5302" s="28">
        <f t="shared" si="123"/>
        <v>315.00000000000284</v>
      </c>
      <c r="G5302" s="28">
        <f t="shared" si="124"/>
        <v>272.73329999999999</v>
      </c>
      <c r="H5302" s="28">
        <f t="shared" si="125"/>
        <v>291.8152</v>
      </c>
      <c r="I5302" s="28">
        <f t="shared" si="126"/>
        <v>300.70240000000001</v>
      </c>
      <c r="J5302" s="28">
        <f t="shared" si="127"/>
        <v>307.35219999999998</v>
      </c>
      <c r="K5302" s="28">
        <f t="shared" si="128"/>
        <v>318.26850000000002</v>
      </c>
      <c r="L5302" s="4"/>
      <c r="M5302" s="241">
        <v>300.70240000000001</v>
      </c>
    </row>
    <row r="5303" spans="3:13" hidden="1" outlineLevel="1" x14ac:dyDescent="0.2">
      <c r="C5303" s="139">
        <v>44.500000000000377</v>
      </c>
      <c r="D5303" s="28">
        <f t="shared" si="121"/>
        <v>356.00000000000301</v>
      </c>
      <c r="E5303" s="28">
        <f t="shared" si="122"/>
        <v>333.75000000000284</v>
      </c>
      <c r="F5303" s="28">
        <f t="shared" si="123"/>
        <v>315.75000000000284</v>
      </c>
      <c r="G5303" s="28">
        <f t="shared" si="124"/>
        <v>272.73329999999999</v>
      </c>
      <c r="H5303" s="28">
        <f t="shared" si="125"/>
        <v>291.8152</v>
      </c>
      <c r="I5303" s="28">
        <f t="shared" si="126"/>
        <v>300.70240000000001</v>
      </c>
      <c r="J5303" s="28">
        <f t="shared" si="127"/>
        <v>307.35219999999998</v>
      </c>
      <c r="K5303" s="28">
        <f t="shared" si="128"/>
        <v>318.26850000000002</v>
      </c>
      <c r="L5303" s="4"/>
      <c r="M5303" s="241">
        <v>300.70240000000001</v>
      </c>
    </row>
    <row r="5304" spans="3:13" hidden="1" outlineLevel="1" x14ac:dyDescent="0.2">
      <c r="C5304" s="139">
        <v>44.600000000000378</v>
      </c>
      <c r="D5304" s="28">
        <f t="shared" si="121"/>
        <v>356.80000000000302</v>
      </c>
      <c r="E5304" s="28">
        <f t="shared" si="122"/>
        <v>334.50000000000284</v>
      </c>
      <c r="F5304" s="28">
        <f t="shared" si="123"/>
        <v>316.50000000000284</v>
      </c>
      <c r="G5304" s="28">
        <f t="shared" si="124"/>
        <v>273.67380000000003</v>
      </c>
      <c r="H5304" s="28">
        <f t="shared" si="125"/>
        <v>292.79579999999999</v>
      </c>
      <c r="I5304" s="28">
        <f t="shared" si="126"/>
        <v>301.70159999999998</v>
      </c>
      <c r="J5304" s="28">
        <f t="shared" si="127"/>
        <v>308.36770000000001</v>
      </c>
      <c r="K5304" s="28">
        <f t="shared" si="128"/>
        <v>319.31330000000003</v>
      </c>
      <c r="L5304" s="4"/>
      <c r="M5304" s="241">
        <v>301.70159999999998</v>
      </c>
    </row>
    <row r="5305" spans="3:13" hidden="1" outlineLevel="1" x14ac:dyDescent="0.2">
      <c r="C5305" s="139">
        <v>44.700000000000379</v>
      </c>
      <c r="D5305" s="28">
        <f t="shared" si="121"/>
        <v>357.60000000000304</v>
      </c>
      <c r="E5305" s="28">
        <f t="shared" si="122"/>
        <v>335.25000000000284</v>
      </c>
      <c r="F5305" s="28">
        <f t="shared" si="123"/>
        <v>317.25000000000284</v>
      </c>
      <c r="G5305" s="28">
        <f t="shared" si="124"/>
        <v>274.61369999999999</v>
      </c>
      <c r="H5305" s="28">
        <f t="shared" si="125"/>
        <v>293.7756</v>
      </c>
      <c r="I5305" s="28">
        <f t="shared" si="126"/>
        <v>302.70229999999998</v>
      </c>
      <c r="J5305" s="28">
        <f t="shared" si="127"/>
        <v>309.38470000000001</v>
      </c>
      <c r="K5305" s="28">
        <f t="shared" si="128"/>
        <v>320.3571</v>
      </c>
      <c r="L5305" s="4"/>
      <c r="M5305" s="241">
        <v>302.70229999999998</v>
      </c>
    </row>
    <row r="5306" spans="3:13" hidden="1" outlineLevel="1" x14ac:dyDescent="0.2">
      <c r="C5306" s="139">
        <v>44.800000000000381</v>
      </c>
      <c r="D5306" s="28">
        <f t="shared" si="121"/>
        <v>358.40000000000305</v>
      </c>
      <c r="E5306" s="28">
        <f t="shared" si="122"/>
        <v>336.00000000000284</v>
      </c>
      <c r="F5306" s="28">
        <f t="shared" si="123"/>
        <v>318.00000000000284</v>
      </c>
      <c r="G5306" s="28">
        <f t="shared" si="124"/>
        <v>275.5539</v>
      </c>
      <c r="H5306" s="28">
        <f t="shared" si="125"/>
        <v>294.75569999999999</v>
      </c>
      <c r="I5306" s="28">
        <f t="shared" si="126"/>
        <v>303.70209999999997</v>
      </c>
      <c r="J5306" s="28">
        <f t="shared" si="127"/>
        <v>310.40069999999997</v>
      </c>
      <c r="K5306" s="28">
        <f t="shared" si="128"/>
        <v>321.40100000000001</v>
      </c>
      <c r="L5306" s="4"/>
      <c r="M5306" s="241">
        <v>303.70209999999997</v>
      </c>
    </row>
    <row r="5307" spans="3:13" hidden="1" outlineLevel="1" x14ac:dyDescent="0.2">
      <c r="C5307" s="139">
        <v>44.900000000000382</v>
      </c>
      <c r="D5307" s="28">
        <f t="shared" ref="D5307:D5370" si="129">C5307*Channels.per.TRX</f>
        <v>359.20000000000306</v>
      </c>
      <c r="E5307" s="28">
        <f t="shared" ref="E5307:E5370" si="130">D5307-C5307*sig.channel.per.TRX</f>
        <v>336.75000000000284</v>
      </c>
      <c r="F5307" s="28">
        <f t="shared" ref="F5307:F5370" si="131">MAX(0,E5307-GPRS.channel.per.sector)</f>
        <v>318.75000000000284</v>
      </c>
      <c r="G5307" s="28">
        <f t="shared" ref="G5307:G5370" si="132">INDEX(D$10:D$4326,MATCH($F5307,$C$10:$C$4326,1))</f>
        <v>275.5539</v>
      </c>
      <c r="H5307" s="28">
        <f t="shared" ref="H5307:H5370" si="133">INDEX(E$10:E$4326,MATCH($F5307,$C$10:$C$4326,1))</f>
        <v>294.75569999999999</v>
      </c>
      <c r="I5307" s="28">
        <f t="shared" ref="I5307:I5370" si="134">INDEX(F$10:F$4326,MATCH($F5307,$C$10:$C$4326,1))</f>
        <v>303.70209999999997</v>
      </c>
      <c r="J5307" s="28">
        <f t="shared" ref="J5307:J5370" si="135">INDEX(G$10:G$4326,MATCH($F5307,$C$10:$C$4326,1))</f>
        <v>310.40069999999997</v>
      </c>
      <c r="K5307" s="28">
        <f t="shared" ref="K5307:K5370" si="136">INDEX(H$10:H$4326,MATCH($F5307,$C$10:$C$4326,1))</f>
        <v>321.40100000000001</v>
      </c>
      <c r="L5307" s="4"/>
      <c r="M5307" s="241">
        <v>303.70209999999997</v>
      </c>
    </row>
    <row r="5308" spans="3:13" hidden="1" outlineLevel="1" x14ac:dyDescent="0.2">
      <c r="C5308" s="139">
        <v>45.000000000000384</v>
      </c>
      <c r="D5308" s="28">
        <f t="shared" si="129"/>
        <v>360.00000000000307</v>
      </c>
      <c r="E5308" s="28">
        <f t="shared" si="130"/>
        <v>337.5000000000029</v>
      </c>
      <c r="F5308" s="28">
        <f t="shared" si="131"/>
        <v>319.5000000000029</v>
      </c>
      <c r="G5308" s="28">
        <f t="shared" si="132"/>
        <v>276.49349999999998</v>
      </c>
      <c r="H5308" s="28">
        <f t="shared" si="133"/>
        <v>295.73489999999998</v>
      </c>
      <c r="I5308" s="28">
        <f t="shared" si="134"/>
        <v>304.70339999999999</v>
      </c>
      <c r="J5308" s="28">
        <f t="shared" si="135"/>
        <v>311.41699999999997</v>
      </c>
      <c r="K5308" s="28">
        <f t="shared" si="136"/>
        <v>322.44389999999999</v>
      </c>
      <c r="L5308" s="4"/>
      <c r="M5308" s="241">
        <v>304.70339999999999</v>
      </c>
    </row>
    <row r="5309" spans="3:13" hidden="1" outlineLevel="1" x14ac:dyDescent="0.2">
      <c r="C5309" s="139">
        <v>45.100000000000385</v>
      </c>
      <c r="D5309" s="28">
        <f t="shared" si="129"/>
        <v>360.80000000000308</v>
      </c>
      <c r="E5309" s="28">
        <f t="shared" si="130"/>
        <v>338.2500000000029</v>
      </c>
      <c r="F5309" s="28">
        <f t="shared" si="131"/>
        <v>320.2500000000029</v>
      </c>
      <c r="G5309" s="28">
        <f t="shared" si="132"/>
        <v>277.43470000000002</v>
      </c>
      <c r="H5309" s="28">
        <f t="shared" si="133"/>
        <v>296.71570000000003</v>
      </c>
      <c r="I5309" s="28">
        <f t="shared" si="134"/>
        <v>305.70370000000003</v>
      </c>
      <c r="J5309" s="28">
        <f t="shared" si="135"/>
        <v>312.43349999999998</v>
      </c>
      <c r="K5309" s="28">
        <f t="shared" si="136"/>
        <v>323.48820000000001</v>
      </c>
      <c r="L5309" s="4"/>
      <c r="M5309" s="241">
        <v>305.70370000000003</v>
      </c>
    </row>
    <row r="5310" spans="3:13" hidden="1" outlineLevel="1" x14ac:dyDescent="0.2">
      <c r="C5310" s="139">
        <v>45.200000000000387</v>
      </c>
      <c r="D5310" s="28">
        <f t="shared" si="129"/>
        <v>361.60000000000309</v>
      </c>
      <c r="E5310" s="28">
        <f t="shared" si="130"/>
        <v>339.0000000000029</v>
      </c>
      <c r="F5310" s="28">
        <f t="shared" si="131"/>
        <v>321.0000000000029</v>
      </c>
      <c r="G5310" s="28">
        <f t="shared" si="132"/>
        <v>278.37509999999997</v>
      </c>
      <c r="H5310" s="28">
        <f t="shared" si="133"/>
        <v>297.69560000000001</v>
      </c>
      <c r="I5310" s="28">
        <f t="shared" si="134"/>
        <v>306.70310000000001</v>
      </c>
      <c r="J5310" s="28">
        <f t="shared" si="135"/>
        <v>313.44900000000001</v>
      </c>
      <c r="K5310" s="28">
        <f t="shared" si="136"/>
        <v>324.53280000000001</v>
      </c>
      <c r="L5310" s="4"/>
      <c r="M5310" s="241">
        <v>306.70310000000001</v>
      </c>
    </row>
    <row r="5311" spans="3:13" hidden="1" outlineLevel="1" x14ac:dyDescent="0.2">
      <c r="C5311" s="139">
        <v>45.300000000000388</v>
      </c>
      <c r="D5311" s="28">
        <f t="shared" si="129"/>
        <v>362.4000000000031</v>
      </c>
      <c r="E5311" s="28">
        <f t="shared" si="130"/>
        <v>339.7500000000029</v>
      </c>
      <c r="F5311" s="28">
        <f t="shared" si="131"/>
        <v>321.7500000000029</v>
      </c>
      <c r="G5311" s="28">
        <f t="shared" si="132"/>
        <v>278.37509999999997</v>
      </c>
      <c r="H5311" s="28">
        <f t="shared" si="133"/>
        <v>297.69560000000001</v>
      </c>
      <c r="I5311" s="28">
        <f t="shared" si="134"/>
        <v>306.70310000000001</v>
      </c>
      <c r="J5311" s="28">
        <f t="shared" si="135"/>
        <v>313.44900000000001</v>
      </c>
      <c r="K5311" s="28">
        <f t="shared" si="136"/>
        <v>324.53280000000001</v>
      </c>
      <c r="L5311" s="4"/>
      <c r="M5311" s="241">
        <v>306.70310000000001</v>
      </c>
    </row>
    <row r="5312" spans="3:13" hidden="1" outlineLevel="1" x14ac:dyDescent="0.2">
      <c r="C5312" s="139">
        <v>45.400000000000389</v>
      </c>
      <c r="D5312" s="28">
        <f t="shared" si="129"/>
        <v>363.20000000000312</v>
      </c>
      <c r="E5312" s="28">
        <f t="shared" si="130"/>
        <v>340.5000000000029</v>
      </c>
      <c r="F5312" s="28">
        <f t="shared" si="131"/>
        <v>322.5000000000029</v>
      </c>
      <c r="G5312" s="28">
        <f t="shared" si="132"/>
        <v>279.31610000000001</v>
      </c>
      <c r="H5312" s="28">
        <f t="shared" si="133"/>
        <v>298.67579999999998</v>
      </c>
      <c r="I5312" s="28">
        <f t="shared" si="134"/>
        <v>307.70409999999998</v>
      </c>
      <c r="J5312" s="28">
        <f t="shared" si="135"/>
        <v>314.46600000000001</v>
      </c>
      <c r="K5312" s="28">
        <f t="shared" si="136"/>
        <v>325.57619999999997</v>
      </c>
      <c r="L5312" s="4"/>
      <c r="M5312" s="241">
        <v>307.70409999999998</v>
      </c>
    </row>
    <row r="5313" spans="3:13" hidden="1" outlineLevel="1" x14ac:dyDescent="0.2">
      <c r="C5313" s="139">
        <v>45.500000000000391</v>
      </c>
      <c r="D5313" s="28">
        <f t="shared" si="129"/>
        <v>364.00000000000313</v>
      </c>
      <c r="E5313" s="28">
        <f t="shared" si="130"/>
        <v>341.25000000000296</v>
      </c>
      <c r="F5313" s="28">
        <f t="shared" si="131"/>
        <v>323.25000000000296</v>
      </c>
      <c r="G5313" s="28">
        <f t="shared" si="132"/>
        <v>280.25619999999998</v>
      </c>
      <c r="H5313" s="28">
        <f t="shared" si="133"/>
        <v>299.65640000000002</v>
      </c>
      <c r="I5313" s="28">
        <f t="shared" si="134"/>
        <v>308.70400000000001</v>
      </c>
      <c r="J5313" s="28">
        <f t="shared" si="135"/>
        <v>315.4821</v>
      </c>
      <c r="K5313" s="28">
        <f t="shared" si="136"/>
        <v>326.61989999999997</v>
      </c>
      <c r="L5313" s="4"/>
      <c r="M5313" s="241">
        <v>308.70400000000001</v>
      </c>
    </row>
    <row r="5314" spans="3:13" hidden="1" outlineLevel="1" x14ac:dyDescent="0.2">
      <c r="C5314" s="139">
        <v>45.600000000000392</v>
      </c>
      <c r="D5314" s="28">
        <f t="shared" si="129"/>
        <v>364.80000000000314</v>
      </c>
      <c r="E5314" s="28">
        <f t="shared" si="130"/>
        <v>342.00000000000296</v>
      </c>
      <c r="F5314" s="28">
        <f t="shared" si="131"/>
        <v>324.00000000000296</v>
      </c>
      <c r="G5314" s="28">
        <f t="shared" si="132"/>
        <v>281.1968</v>
      </c>
      <c r="H5314" s="28">
        <f t="shared" si="133"/>
        <v>300.63720000000001</v>
      </c>
      <c r="I5314" s="28">
        <f t="shared" si="134"/>
        <v>309.70549999999997</v>
      </c>
      <c r="J5314" s="28">
        <f t="shared" si="135"/>
        <v>316.49829999999997</v>
      </c>
      <c r="K5314" s="28">
        <f t="shared" si="136"/>
        <v>327.66370000000001</v>
      </c>
      <c r="L5314" s="4"/>
      <c r="M5314" s="241">
        <v>309.70549999999997</v>
      </c>
    </row>
    <row r="5315" spans="3:13" hidden="1" outlineLevel="1" x14ac:dyDescent="0.2">
      <c r="C5315" s="139">
        <v>45.700000000000394</v>
      </c>
      <c r="D5315" s="28">
        <f t="shared" si="129"/>
        <v>365.60000000000315</v>
      </c>
      <c r="E5315" s="28">
        <f t="shared" si="130"/>
        <v>342.75000000000296</v>
      </c>
      <c r="F5315" s="28">
        <f t="shared" si="131"/>
        <v>324.75000000000296</v>
      </c>
      <c r="G5315" s="28">
        <f t="shared" si="132"/>
        <v>281.1968</v>
      </c>
      <c r="H5315" s="28">
        <f t="shared" si="133"/>
        <v>300.63720000000001</v>
      </c>
      <c r="I5315" s="28">
        <f t="shared" si="134"/>
        <v>309.70549999999997</v>
      </c>
      <c r="J5315" s="28">
        <f t="shared" si="135"/>
        <v>316.49829999999997</v>
      </c>
      <c r="K5315" s="28">
        <f t="shared" si="136"/>
        <v>327.66370000000001</v>
      </c>
      <c r="L5315" s="4"/>
      <c r="M5315" s="241">
        <v>309.70549999999997</v>
      </c>
    </row>
    <row r="5316" spans="3:13" hidden="1" outlineLevel="1" x14ac:dyDescent="0.2">
      <c r="C5316" s="139">
        <v>45.800000000000395</v>
      </c>
      <c r="D5316" s="28">
        <f t="shared" si="129"/>
        <v>366.40000000000316</v>
      </c>
      <c r="E5316" s="28">
        <f t="shared" si="130"/>
        <v>343.50000000000296</v>
      </c>
      <c r="F5316" s="28">
        <f t="shared" si="131"/>
        <v>325.50000000000296</v>
      </c>
      <c r="G5316" s="28">
        <f t="shared" si="132"/>
        <v>282.13780000000003</v>
      </c>
      <c r="H5316" s="28">
        <f t="shared" si="133"/>
        <v>301.61720000000003</v>
      </c>
      <c r="I5316" s="28">
        <f t="shared" si="134"/>
        <v>310.70600000000002</v>
      </c>
      <c r="J5316" s="28">
        <f t="shared" si="135"/>
        <v>317.51479999999998</v>
      </c>
      <c r="K5316" s="28">
        <f t="shared" si="136"/>
        <v>328.70769999999999</v>
      </c>
      <c r="L5316" s="4"/>
      <c r="M5316" s="241">
        <v>310.70600000000002</v>
      </c>
    </row>
    <row r="5317" spans="3:13" hidden="1" outlineLevel="1" x14ac:dyDescent="0.2">
      <c r="C5317" s="139">
        <v>45.900000000000396</v>
      </c>
      <c r="D5317" s="28">
        <f t="shared" si="129"/>
        <v>367.20000000000317</v>
      </c>
      <c r="E5317" s="28">
        <f t="shared" si="130"/>
        <v>344.25000000000296</v>
      </c>
      <c r="F5317" s="28">
        <f t="shared" si="131"/>
        <v>326.25000000000296</v>
      </c>
      <c r="G5317" s="28">
        <f t="shared" si="132"/>
        <v>283.07929999999999</v>
      </c>
      <c r="H5317" s="28">
        <f t="shared" si="133"/>
        <v>302.59870000000001</v>
      </c>
      <c r="I5317" s="28">
        <f t="shared" si="134"/>
        <v>311.70679999999999</v>
      </c>
      <c r="J5317" s="28">
        <f t="shared" si="135"/>
        <v>318.53160000000003</v>
      </c>
      <c r="K5317" s="28">
        <f t="shared" si="136"/>
        <v>329.75200000000001</v>
      </c>
      <c r="L5317" s="4"/>
      <c r="M5317" s="241">
        <v>311.70679999999999</v>
      </c>
    </row>
    <row r="5318" spans="3:13" hidden="1" outlineLevel="1" x14ac:dyDescent="0.2">
      <c r="C5318" s="139">
        <v>46.000000000000398</v>
      </c>
      <c r="D5318" s="28">
        <f t="shared" si="129"/>
        <v>368.00000000000318</v>
      </c>
      <c r="E5318" s="28">
        <f t="shared" si="130"/>
        <v>345.00000000000296</v>
      </c>
      <c r="F5318" s="28">
        <f t="shared" si="131"/>
        <v>327.00000000000296</v>
      </c>
      <c r="G5318" s="28">
        <f t="shared" si="132"/>
        <v>284.02</v>
      </c>
      <c r="H5318" s="28">
        <f t="shared" si="133"/>
        <v>303.57929999999999</v>
      </c>
      <c r="I5318" s="28">
        <f t="shared" si="134"/>
        <v>312.70780000000002</v>
      </c>
      <c r="J5318" s="28">
        <f t="shared" si="135"/>
        <v>319.54860000000002</v>
      </c>
      <c r="K5318" s="28">
        <f t="shared" si="136"/>
        <v>330.79640000000001</v>
      </c>
      <c r="L5318" s="4"/>
      <c r="M5318" s="241">
        <v>312.70780000000002</v>
      </c>
    </row>
    <row r="5319" spans="3:13" hidden="1" outlineLevel="1" x14ac:dyDescent="0.2">
      <c r="C5319" s="139">
        <v>46.100000000000399</v>
      </c>
      <c r="D5319" s="28">
        <f t="shared" si="129"/>
        <v>368.80000000000319</v>
      </c>
      <c r="E5319" s="28">
        <f t="shared" si="130"/>
        <v>345.75000000000301</v>
      </c>
      <c r="F5319" s="28">
        <f t="shared" si="131"/>
        <v>327.75000000000301</v>
      </c>
      <c r="G5319" s="28">
        <f t="shared" si="132"/>
        <v>284.02</v>
      </c>
      <c r="H5319" s="28">
        <f t="shared" si="133"/>
        <v>303.57929999999999</v>
      </c>
      <c r="I5319" s="28">
        <f t="shared" si="134"/>
        <v>312.70780000000002</v>
      </c>
      <c r="J5319" s="28">
        <f t="shared" si="135"/>
        <v>319.54860000000002</v>
      </c>
      <c r="K5319" s="28">
        <f t="shared" si="136"/>
        <v>330.79640000000001</v>
      </c>
      <c r="L5319" s="4"/>
      <c r="M5319" s="241">
        <v>312.70780000000002</v>
      </c>
    </row>
    <row r="5320" spans="3:13" hidden="1" outlineLevel="1" x14ac:dyDescent="0.2">
      <c r="C5320" s="139">
        <v>46.200000000000401</v>
      </c>
      <c r="D5320" s="28">
        <f t="shared" si="129"/>
        <v>369.60000000000321</v>
      </c>
      <c r="E5320" s="28">
        <f t="shared" si="130"/>
        <v>346.50000000000301</v>
      </c>
      <c r="F5320" s="28">
        <f t="shared" si="131"/>
        <v>328.50000000000301</v>
      </c>
      <c r="G5320" s="28">
        <f t="shared" si="132"/>
        <v>284.96109999999999</v>
      </c>
      <c r="H5320" s="28">
        <f t="shared" si="133"/>
        <v>304.56029999999998</v>
      </c>
      <c r="I5320" s="28">
        <f t="shared" si="134"/>
        <v>313.7079</v>
      </c>
      <c r="J5320" s="28">
        <f t="shared" si="135"/>
        <v>320.56459999999998</v>
      </c>
      <c r="K5320" s="28">
        <f t="shared" si="136"/>
        <v>331.84109999999998</v>
      </c>
      <c r="L5320" s="4"/>
      <c r="M5320" s="241">
        <v>313.7079</v>
      </c>
    </row>
    <row r="5321" spans="3:13" hidden="1" outlineLevel="1" x14ac:dyDescent="0.2">
      <c r="C5321" s="139">
        <v>46.300000000000402</v>
      </c>
      <c r="D5321" s="28">
        <f t="shared" si="129"/>
        <v>370.40000000000322</v>
      </c>
      <c r="E5321" s="28">
        <f t="shared" si="130"/>
        <v>347.25000000000301</v>
      </c>
      <c r="F5321" s="28">
        <f t="shared" si="131"/>
        <v>329.25000000000301</v>
      </c>
      <c r="G5321" s="28">
        <f t="shared" si="132"/>
        <v>285.90269999999998</v>
      </c>
      <c r="H5321" s="28">
        <f t="shared" si="133"/>
        <v>305.5403</v>
      </c>
      <c r="I5321" s="28">
        <f t="shared" si="134"/>
        <v>314.70949999999999</v>
      </c>
      <c r="J5321" s="28">
        <f t="shared" si="135"/>
        <v>321.58210000000003</v>
      </c>
      <c r="K5321" s="28">
        <f t="shared" si="136"/>
        <v>332.8845</v>
      </c>
      <c r="L5321" s="4"/>
      <c r="M5321" s="241">
        <v>314.70949999999999</v>
      </c>
    </row>
    <row r="5322" spans="3:13" hidden="1" outlineLevel="1" x14ac:dyDescent="0.2">
      <c r="C5322" s="139">
        <v>46.400000000000404</v>
      </c>
      <c r="D5322" s="28">
        <f t="shared" si="129"/>
        <v>371.20000000000323</v>
      </c>
      <c r="E5322" s="28">
        <f t="shared" si="130"/>
        <v>348.00000000000301</v>
      </c>
      <c r="F5322" s="28">
        <f t="shared" si="131"/>
        <v>330.00000000000301</v>
      </c>
      <c r="G5322" s="28">
        <f t="shared" si="132"/>
        <v>286.84469999999999</v>
      </c>
      <c r="H5322" s="28">
        <f t="shared" si="133"/>
        <v>306.52179999999998</v>
      </c>
      <c r="I5322" s="28">
        <f t="shared" si="134"/>
        <v>315.71019999999999</v>
      </c>
      <c r="J5322" s="28">
        <f t="shared" si="135"/>
        <v>322.59859999999998</v>
      </c>
      <c r="K5322" s="28">
        <f t="shared" si="136"/>
        <v>333.92959999999999</v>
      </c>
      <c r="L5322" s="4"/>
      <c r="M5322" s="241">
        <v>315.71019999999999</v>
      </c>
    </row>
    <row r="5323" spans="3:13" hidden="1" outlineLevel="1" x14ac:dyDescent="0.2">
      <c r="C5323" s="139">
        <v>46.500000000000405</v>
      </c>
      <c r="D5323" s="28">
        <f t="shared" si="129"/>
        <v>372.00000000000324</v>
      </c>
      <c r="E5323" s="28">
        <f t="shared" si="130"/>
        <v>348.75000000000301</v>
      </c>
      <c r="F5323" s="28">
        <f t="shared" si="131"/>
        <v>330.75000000000301</v>
      </c>
      <c r="G5323" s="28">
        <f t="shared" si="132"/>
        <v>286.84469999999999</v>
      </c>
      <c r="H5323" s="28">
        <f t="shared" si="133"/>
        <v>306.52179999999998</v>
      </c>
      <c r="I5323" s="28">
        <f t="shared" si="134"/>
        <v>315.71019999999999</v>
      </c>
      <c r="J5323" s="28">
        <f t="shared" si="135"/>
        <v>322.59859999999998</v>
      </c>
      <c r="K5323" s="28">
        <f t="shared" si="136"/>
        <v>333.92959999999999</v>
      </c>
      <c r="L5323" s="4"/>
      <c r="M5323" s="241">
        <v>315.71019999999999</v>
      </c>
    </row>
    <row r="5324" spans="3:13" hidden="1" outlineLevel="1" x14ac:dyDescent="0.2">
      <c r="C5324" s="139">
        <v>46.600000000000406</v>
      </c>
      <c r="D5324" s="28">
        <f t="shared" si="129"/>
        <v>372.80000000000325</v>
      </c>
      <c r="E5324" s="28">
        <f t="shared" si="130"/>
        <v>349.50000000000307</v>
      </c>
      <c r="F5324" s="28">
        <f t="shared" si="131"/>
        <v>331.50000000000307</v>
      </c>
      <c r="G5324" s="28">
        <f t="shared" si="132"/>
        <v>287.78590000000003</v>
      </c>
      <c r="H5324" s="28">
        <f t="shared" si="133"/>
        <v>307.50240000000002</v>
      </c>
      <c r="I5324" s="28">
        <f t="shared" si="134"/>
        <v>316.71109999999999</v>
      </c>
      <c r="J5324" s="28">
        <f t="shared" si="135"/>
        <v>323.61529999999999</v>
      </c>
      <c r="K5324" s="28">
        <f t="shared" si="136"/>
        <v>334.97340000000003</v>
      </c>
      <c r="L5324" s="4"/>
      <c r="M5324" s="241">
        <v>316.71109999999999</v>
      </c>
    </row>
    <row r="5325" spans="3:13" hidden="1" outlineLevel="1" x14ac:dyDescent="0.2">
      <c r="C5325" s="139">
        <v>46.700000000000408</v>
      </c>
      <c r="D5325" s="28">
        <f t="shared" si="129"/>
        <v>373.60000000000326</v>
      </c>
      <c r="E5325" s="28">
        <f t="shared" si="130"/>
        <v>350.25000000000307</v>
      </c>
      <c r="F5325" s="28">
        <f t="shared" si="131"/>
        <v>332.25000000000307</v>
      </c>
      <c r="G5325" s="28">
        <f t="shared" si="132"/>
        <v>288.7276</v>
      </c>
      <c r="H5325" s="28">
        <f t="shared" si="133"/>
        <v>308.48340000000002</v>
      </c>
      <c r="I5325" s="28">
        <f t="shared" si="134"/>
        <v>317.7122</v>
      </c>
      <c r="J5325" s="28">
        <f t="shared" si="135"/>
        <v>324.63229999999999</v>
      </c>
      <c r="K5325" s="28">
        <f t="shared" si="136"/>
        <v>336.01749999999998</v>
      </c>
      <c r="L5325" s="4"/>
      <c r="M5325" s="241">
        <v>317.7122</v>
      </c>
    </row>
    <row r="5326" spans="3:13" hidden="1" outlineLevel="1" x14ac:dyDescent="0.2">
      <c r="C5326" s="139">
        <v>46.800000000000409</v>
      </c>
      <c r="D5326" s="28">
        <f t="shared" si="129"/>
        <v>374.40000000000327</v>
      </c>
      <c r="E5326" s="28">
        <f t="shared" si="130"/>
        <v>351.00000000000307</v>
      </c>
      <c r="F5326" s="28">
        <f t="shared" si="131"/>
        <v>333.00000000000307</v>
      </c>
      <c r="G5326" s="28">
        <f t="shared" si="132"/>
        <v>289.6696</v>
      </c>
      <c r="H5326" s="28">
        <f t="shared" si="133"/>
        <v>309.46460000000002</v>
      </c>
      <c r="I5326" s="28">
        <f t="shared" si="134"/>
        <v>318.7124</v>
      </c>
      <c r="J5326" s="28">
        <f t="shared" si="135"/>
        <v>325.64819999999997</v>
      </c>
      <c r="K5326" s="28">
        <f t="shared" si="136"/>
        <v>337.06169999999997</v>
      </c>
      <c r="L5326" s="4"/>
      <c r="M5326" s="241">
        <v>318.7124</v>
      </c>
    </row>
    <row r="5327" spans="3:13" hidden="1" outlineLevel="1" x14ac:dyDescent="0.2">
      <c r="C5327" s="139">
        <v>46.900000000000411</v>
      </c>
      <c r="D5327" s="28">
        <f t="shared" si="129"/>
        <v>375.20000000000329</v>
      </c>
      <c r="E5327" s="28">
        <f t="shared" si="130"/>
        <v>351.75000000000307</v>
      </c>
      <c r="F5327" s="28">
        <f t="shared" si="131"/>
        <v>333.75000000000307</v>
      </c>
      <c r="G5327" s="28">
        <f t="shared" si="132"/>
        <v>289.6696</v>
      </c>
      <c r="H5327" s="28">
        <f t="shared" si="133"/>
        <v>309.46460000000002</v>
      </c>
      <c r="I5327" s="28">
        <f t="shared" si="134"/>
        <v>318.7124</v>
      </c>
      <c r="J5327" s="28">
        <f t="shared" si="135"/>
        <v>325.64819999999997</v>
      </c>
      <c r="K5327" s="28">
        <f t="shared" si="136"/>
        <v>337.06169999999997</v>
      </c>
      <c r="L5327" s="4"/>
      <c r="M5327" s="241">
        <v>318.7124</v>
      </c>
    </row>
    <row r="5328" spans="3:13" hidden="1" outlineLevel="1" x14ac:dyDescent="0.2">
      <c r="C5328" s="139">
        <v>47.000000000000412</v>
      </c>
      <c r="D5328" s="28">
        <f t="shared" si="129"/>
        <v>376.0000000000033</v>
      </c>
      <c r="E5328" s="28">
        <f t="shared" si="130"/>
        <v>352.50000000000307</v>
      </c>
      <c r="F5328" s="28">
        <f t="shared" si="131"/>
        <v>334.50000000000307</v>
      </c>
      <c r="G5328" s="28">
        <f t="shared" si="132"/>
        <v>290.61090000000002</v>
      </c>
      <c r="H5328" s="28">
        <f t="shared" si="133"/>
        <v>310.44619999999998</v>
      </c>
      <c r="I5328" s="28">
        <f t="shared" si="134"/>
        <v>319.71409999999997</v>
      </c>
      <c r="J5328" s="28">
        <f t="shared" si="135"/>
        <v>326.66559999999998</v>
      </c>
      <c r="K5328" s="28">
        <f t="shared" si="136"/>
        <v>338.10610000000003</v>
      </c>
      <c r="L5328" s="4"/>
      <c r="M5328" s="241">
        <v>319.71409999999997</v>
      </c>
    </row>
    <row r="5329" spans="3:13" hidden="1" outlineLevel="1" x14ac:dyDescent="0.2">
      <c r="C5329" s="139">
        <v>47.100000000000414</v>
      </c>
      <c r="D5329" s="28">
        <f t="shared" si="129"/>
        <v>376.80000000000331</v>
      </c>
      <c r="E5329" s="28">
        <f t="shared" si="130"/>
        <v>353.25000000000313</v>
      </c>
      <c r="F5329" s="28">
        <f t="shared" si="131"/>
        <v>335.25000000000313</v>
      </c>
      <c r="G5329" s="28">
        <f t="shared" si="132"/>
        <v>291.55380000000002</v>
      </c>
      <c r="H5329" s="28">
        <f t="shared" si="133"/>
        <v>311.42680000000001</v>
      </c>
      <c r="I5329" s="28">
        <f t="shared" si="134"/>
        <v>320.71469999999999</v>
      </c>
      <c r="J5329" s="28">
        <f t="shared" si="135"/>
        <v>327.68200000000002</v>
      </c>
      <c r="K5329" s="28">
        <f t="shared" si="136"/>
        <v>339.1508</v>
      </c>
      <c r="L5329" s="4"/>
      <c r="M5329" s="241">
        <v>320.71469999999999</v>
      </c>
    </row>
    <row r="5330" spans="3:13" hidden="1" outlineLevel="1" x14ac:dyDescent="0.2">
      <c r="C5330" s="139">
        <v>47.200000000000415</v>
      </c>
      <c r="D5330" s="28">
        <f t="shared" si="129"/>
        <v>377.60000000000332</v>
      </c>
      <c r="E5330" s="28">
        <f t="shared" si="130"/>
        <v>354.00000000000313</v>
      </c>
      <c r="F5330" s="28">
        <f t="shared" si="131"/>
        <v>336.00000000000313</v>
      </c>
      <c r="G5330" s="28">
        <f t="shared" si="132"/>
        <v>292.49590000000001</v>
      </c>
      <c r="H5330" s="28">
        <f t="shared" si="133"/>
        <v>312.40769999999998</v>
      </c>
      <c r="I5330" s="28">
        <f t="shared" si="134"/>
        <v>321.71690000000001</v>
      </c>
      <c r="J5330" s="28">
        <f t="shared" si="135"/>
        <v>328.69990000000001</v>
      </c>
      <c r="K5330" s="28">
        <f t="shared" si="136"/>
        <v>340.19420000000002</v>
      </c>
      <c r="L5330" s="4"/>
      <c r="M5330" s="241">
        <v>321.71690000000001</v>
      </c>
    </row>
    <row r="5331" spans="3:13" hidden="1" outlineLevel="1" x14ac:dyDescent="0.2">
      <c r="C5331" s="139">
        <v>47.300000000000416</v>
      </c>
      <c r="D5331" s="28">
        <f t="shared" si="129"/>
        <v>378.40000000000333</v>
      </c>
      <c r="E5331" s="28">
        <f t="shared" si="130"/>
        <v>354.75000000000313</v>
      </c>
      <c r="F5331" s="28">
        <f t="shared" si="131"/>
        <v>336.75000000000313</v>
      </c>
      <c r="G5331" s="28">
        <f t="shared" si="132"/>
        <v>292.49590000000001</v>
      </c>
      <c r="H5331" s="28">
        <f t="shared" si="133"/>
        <v>312.40769999999998</v>
      </c>
      <c r="I5331" s="28">
        <f t="shared" si="134"/>
        <v>321.71690000000001</v>
      </c>
      <c r="J5331" s="28">
        <f t="shared" si="135"/>
        <v>328.69990000000001</v>
      </c>
      <c r="K5331" s="28">
        <f t="shared" si="136"/>
        <v>340.19420000000002</v>
      </c>
      <c r="L5331" s="4"/>
      <c r="M5331" s="241">
        <v>321.71690000000001</v>
      </c>
    </row>
    <row r="5332" spans="3:13" hidden="1" outlineLevel="1" x14ac:dyDescent="0.2">
      <c r="C5332" s="139">
        <v>47.400000000000418</v>
      </c>
      <c r="D5332" s="28">
        <f t="shared" si="129"/>
        <v>379.20000000000334</v>
      </c>
      <c r="E5332" s="28">
        <f t="shared" si="130"/>
        <v>355.50000000000313</v>
      </c>
      <c r="F5332" s="28">
        <f t="shared" si="131"/>
        <v>337.50000000000313</v>
      </c>
      <c r="G5332" s="28">
        <f t="shared" si="132"/>
        <v>293.4384</v>
      </c>
      <c r="H5332" s="28">
        <f t="shared" si="133"/>
        <v>313.39019999999999</v>
      </c>
      <c r="I5332" s="28">
        <f t="shared" si="134"/>
        <v>322.71809999999999</v>
      </c>
      <c r="J5332" s="28">
        <f t="shared" si="135"/>
        <v>329.7167</v>
      </c>
      <c r="K5332" s="28">
        <f t="shared" si="136"/>
        <v>341.23919999999998</v>
      </c>
      <c r="L5332" s="4"/>
      <c r="M5332" s="241">
        <v>322.71809999999999</v>
      </c>
    </row>
    <row r="5333" spans="3:13" hidden="1" outlineLevel="1" x14ac:dyDescent="0.2">
      <c r="C5333" s="139">
        <v>47.500000000000419</v>
      </c>
      <c r="D5333" s="28">
        <f t="shared" si="129"/>
        <v>380.00000000000335</v>
      </c>
      <c r="E5333" s="28">
        <f t="shared" si="130"/>
        <v>356.25000000000313</v>
      </c>
      <c r="F5333" s="28">
        <f t="shared" si="131"/>
        <v>338.25000000000313</v>
      </c>
      <c r="G5333" s="28">
        <f t="shared" si="132"/>
        <v>294.38</v>
      </c>
      <c r="H5333" s="28">
        <f t="shared" si="133"/>
        <v>314.37169999999998</v>
      </c>
      <c r="I5333" s="28">
        <f t="shared" si="134"/>
        <v>323.7183</v>
      </c>
      <c r="J5333" s="28">
        <f t="shared" si="135"/>
        <v>330.73379999999997</v>
      </c>
      <c r="K5333" s="28">
        <f t="shared" si="136"/>
        <v>342.28300000000002</v>
      </c>
      <c r="L5333" s="4"/>
      <c r="M5333" s="241">
        <v>323.7183</v>
      </c>
    </row>
    <row r="5334" spans="3:13" hidden="1" outlineLevel="1" x14ac:dyDescent="0.2">
      <c r="C5334" s="139">
        <v>47.600000000000421</v>
      </c>
      <c r="D5334" s="28">
        <f t="shared" si="129"/>
        <v>380.80000000000337</v>
      </c>
      <c r="E5334" s="28">
        <f t="shared" si="130"/>
        <v>357.00000000000318</v>
      </c>
      <c r="F5334" s="28">
        <f t="shared" si="131"/>
        <v>339.00000000000318</v>
      </c>
      <c r="G5334" s="28">
        <f t="shared" si="132"/>
        <v>295.32209999999998</v>
      </c>
      <c r="H5334" s="28">
        <f t="shared" si="133"/>
        <v>315.35219999999998</v>
      </c>
      <c r="I5334" s="28">
        <f t="shared" si="134"/>
        <v>324.72000000000003</v>
      </c>
      <c r="J5334" s="28">
        <f t="shared" si="135"/>
        <v>331.75110000000001</v>
      </c>
      <c r="K5334" s="28">
        <f t="shared" si="136"/>
        <v>343.32830000000001</v>
      </c>
      <c r="L5334" s="4"/>
      <c r="M5334" s="241">
        <v>324.72000000000003</v>
      </c>
    </row>
    <row r="5335" spans="3:13" hidden="1" outlineLevel="1" x14ac:dyDescent="0.2">
      <c r="C5335" s="139">
        <v>47.700000000000422</v>
      </c>
      <c r="D5335" s="28">
        <f t="shared" si="129"/>
        <v>381.60000000000338</v>
      </c>
      <c r="E5335" s="28">
        <f t="shared" si="130"/>
        <v>357.75000000000318</v>
      </c>
      <c r="F5335" s="28">
        <f t="shared" si="131"/>
        <v>339.75000000000318</v>
      </c>
      <c r="G5335" s="28">
        <f t="shared" si="132"/>
        <v>295.32209999999998</v>
      </c>
      <c r="H5335" s="28">
        <f t="shared" si="133"/>
        <v>315.35219999999998</v>
      </c>
      <c r="I5335" s="28">
        <f t="shared" si="134"/>
        <v>324.72000000000003</v>
      </c>
      <c r="J5335" s="28">
        <f t="shared" si="135"/>
        <v>331.75110000000001</v>
      </c>
      <c r="K5335" s="28">
        <f t="shared" si="136"/>
        <v>343.32830000000001</v>
      </c>
      <c r="L5335" s="4"/>
      <c r="M5335" s="241">
        <v>324.72000000000003</v>
      </c>
    </row>
    <row r="5336" spans="3:13" hidden="1" outlineLevel="1" x14ac:dyDescent="0.2">
      <c r="C5336" s="139">
        <v>47.800000000000423</v>
      </c>
      <c r="D5336" s="28">
        <f t="shared" si="129"/>
        <v>382.40000000000339</v>
      </c>
      <c r="E5336" s="28">
        <f t="shared" si="130"/>
        <v>358.50000000000318</v>
      </c>
      <c r="F5336" s="28">
        <f t="shared" si="131"/>
        <v>340.50000000000318</v>
      </c>
      <c r="G5336" s="28">
        <f t="shared" si="132"/>
        <v>296.26589999999999</v>
      </c>
      <c r="H5336" s="28">
        <f t="shared" si="133"/>
        <v>316.33429999999998</v>
      </c>
      <c r="I5336" s="28">
        <f t="shared" si="134"/>
        <v>325.72199999999998</v>
      </c>
      <c r="J5336" s="28">
        <f t="shared" si="135"/>
        <v>332.76729999999998</v>
      </c>
      <c r="K5336" s="28">
        <f t="shared" si="136"/>
        <v>344.3725</v>
      </c>
      <c r="L5336" s="4"/>
      <c r="M5336" s="241">
        <v>325.72199999999998</v>
      </c>
    </row>
    <row r="5337" spans="3:13" hidden="1" outlineLevel="1" x14ac:dyDescent="0.2">
      <c r="C5337" s="139">
        <v>47.900000000000425</v>
      </c>
      <c r="D5337" s="28">
        <f t="shared" si="129"/>
        <v>383.2000000000034</v>
      </c>
      <c r="E5337" s="28">
        <f t="shared" si="130"/>
        <v>359.25000000000318</v>
      </c>
      <c r="F5337" s="28">
        <f t="shared" si="131"/>
        <v>341.25000000000318</v>
      </c>
      <c r="G5337" s="28">
        <f t="shared" si="132"/>
        <v>297.20749999999998</v>
      </c>
      <c r="H5337" s="28">
        <f t="shared" si="133"/>
        <v>317.31549999999999</v>
      </c>
      <c r="I5337" s="28">
        <f t="shared" si="134"/>
        <v>326.72289999999998</v>
      </c>
      <c r="J5337" s="28">
        <f t="shared" si="135"/>
        <v>333.78500000000003</v>
      </c>
      <c r="K5337" s="28">
        <f t="shared" si="136"/>
        <v>345.41680000000002</v>
      </c>
      <c r="L5337" s="4"/>
      <c r="M5337" s="241">
        <v>326.72289999999998</v>
      </c>
    </row>
    <row r="5338" spans="3:13" hidden="1" outlineLevel="1" x14ac:dyDescent="0.2">
      <c r="C5338" s="139">
        <v>48.000000000000426</v>
      </c>
      <c r="D5338" s="28">
        <f t="shared" si="129"/>
        <v>384.00000000000341</v>
      </c>
      <c r="E5338" s="28">
        <f t="shared" si="130"/>
        <v>360.00000000000318</v>
      </c>
      <c r="F5338" s="28">
        <f t="shared" si="131"/>
        <v>342.00000000000318</v>
      </c>
      <c r="G5338" s="28">
        <f t="shared" si="132"/>
        <v>298.15089999999998</v>
      </c>
      <c r="H5338" s="28">
        <f t="shared" si="133"/>
        <v>318.29689999999999</v>
      </c>
      <c r="I5338" s="28">
        <f t="shared" si="134"/>
        <v>327.72410000000002</v>
      </c>
      <c r="J5338" s="28">
        <f t="shared" si="135"/>
        <v>334.80169999999998</v>
      </c>
      <c r="K5338" s="28">
        <f t="shared" si="136"/>
        <v>346.46140000000003</v>
      </c>
      <c r="L5338" s="4"/>
      <c r="M5338" s="241">
        <v>327.72410000000002</v>
      </c>
    </row>
    <row r="5339" spans="3:13" hidden="1" outlineLevel="1" x14ac:dyDescent="0.2">
      <c r="C5339" s="139">
        <v>48.100000000000428</v>
      </c>
      <c r="D5339" s="28">
        <f t="shared" si="129"/>
        <v>384.80000000000342</v>
      </c>
      <c r="E5339" s="28">
        <f t="shared" si="130"/>
        <v>360.75000000000318</v>
      </c>
      <c r="F5339" s="28">
        <f t="shared" si="131"/>
        <v>342.75000000000318</v>
      </c>
      <c r="G5339" s="28">
        <f t="shared" si="132"/>
        <v>298.15089999999998</v>
      </c>
      <c r="H5339" s="28">
        <f t="shared" si="133"/>
        <v>318.29689999999999</v>
      </c>
      <c r="I5339" s="28">
        <f t="shared" si="134"/>
        <v>327.72410000000002</v>
      </c>
      <c r="J5339" s="28">
        <f t="shared" si="135"/>
        <v>334.80169999999998</v>
      </c>
      <c r="K5339" s="28">
        <f t="shared" si="136"/>
        <v>346.46140000000003</v>
      </c>
      <c r="L5339" s="4"/>
      <c r="M5339" s="241">
        <v>327.72410000000002</v>
      </c>
    </row>
    <row r="5340" spans="3:13" hidden="1" outlineLevel="1" x14ac:dyDescent="0.2">
      <c r="C5340" s="139">
        <v>48.200000000000429</v>
      </c>
      <c r="D5340" s="28">
        <f t="shared" si="129"/>
        <v>385.60000000000343</v>
      </c>
      <c r="E5340" s="28">
        <f t="shared" si="130"/>
        <v>361.50000000000324</v>
      </c>
      <c r="F5340" s="28">
        <f t="shared" si="131"/>
        <v>343.50000000000324</v>
      </c>
      <c r="G5340" s="28">
        <f t="shared" si="132"/>
        <v>299.0933</v>
      </c>
      <c r="H5340" s="28">
        <f t="shared" si="133"/>
        <v>319.27859999999998</v>
      </c>
      <c r="I5340" s="28">
        <f t="shared" si="134"/>
        <v>328.72559999999999</v>
      </c>
      <c r="J5340" s="28">
        <f t="shared" si="135"/>
        <v>335.81990000000002</v>
      </c>
      <c r="K5340" s="28">
        <f t="shared" si="136"/>
        <v>347.5061</v>
      </c>
      <c r="L5340" s="4"/>
      <c r="M5340" s="241">
        <v>328.72559999999999</v>
      </c>
    </row>
    <row r="5341" spans="3:13" hidden="1" outlineLevel="1" x14ac:dyDescent="0.2">
      <c r="C5341" s="139">
        <v>48.300000000000431</v>
      </c>
      <c r="D5341" s="28">
        <f t="shared" si="129"/>
        <v>386.40000000000344</v>
      </c>
      <c r="E5341" s="28">
        <f t="shared" si="130"/>
        <v>362.25000000000324</v>
      </c>
      <c r="F5341" s="28">
        <f t="shared" si="131"/>
        <v>344.25000000000324</v>
      </c>
      <c r="G5341" s="28">
        <f t="shared" si="132"/>
        <v>300.03609999999998</v>
      </c>
      <c r="H5341" s="28">
        <f t="shared" si="133"/>
        <v>320.26060000000001</v>
      </c>
      <c r="I5341" s="28">
        <f t="shared" si="134"/>
        <v>329.72719999999998</v>
      </c>
      <c r="J5341" s="28">
        <f t="shared" si="135"/>
        <v>336.83710000000002</v>
      </c>
      <c r="K5341" s="28">
        <f t="shared" si="136"/>
        <v>348.55099999999999</v>
      </c>
      <c r="L5341" s="4"/>
      <c r="M5341" s="241">
        <v>329.72719999999998</v>
      </c>
    </row>
    <row r="5342" spans="3:13" hidden="1" outlineLevel="1" x14ac:dyDescent="0.2">
      <c r="C5342" s="139">
        <v>48.400000000000432</v>
      </c>
      <c r="D5342" s="28">
        <f t="shared" si="129"/>
        <v>387.20000000000346</v>
      </c>
      <c r="E5342" s="28">
        <f t="shared" si="130"/>
        <v>363.00000000000324</v>
      </c>
      <c r="F5342" s="28">
        <f t="shared" si="131"/>
        <v>345.00000000000324</v>
      </c>
      <c r="G5342" s="28">
        <f t="shared" si="132"/>
        <v>300.9794</v>
      </c>
      <c r="H5342" s="28">
        <f t="shared" si="133"/>
        <v>321.24299999999999</v>
      </c>
      <c r="I5342" s="28">
        <f t="shared" si="134"/>
        <v>330.72919999999999</v>
      </c>
      <c r="J5342" s="28">
        <f t="shared" si="135"/>
        <v>337.8544</v>
      </c>
      <c r="K5342" s="28">
        <f t="shared" si="136"/>
        <v>349.59460000000001</v>
      </c>
      <c r="L5342" s="4"/>
      <c r="M5342" s="241">
        <v>330.72919999999999</v>
      </c>
    </row>
    <row r="5343" spans="3:13" hidden="1" outlineLevel="1" x14ac:dyDescent="0.2">
      <c r="C5343" s="139">
        <v>48.500000000000433</v>
      </c>
      <c r="D5343" s="28">
        <f t="shared" si="129"/>
        <v>388.00000000000347</v>
      </c>
      <c r="E5343" s="28">
        <f t="shared" si="130"/>
        <v>363.75000000000324</v>
      </c>
      <c r="F5343" s="28">
        <f t="shared" si="131"/>
        <v>345.75000000000324</v>
      </c>
      <c r="G5343" s="28">
        <f t="shared" si="132"/>
        <v>300.9794</v>
      </c>
      <c r="H5343" s="28">
        <f t="shared" si="133"/>
        <v>321.24299999999999</v>
      </c>
      <c r="I5343" s="28">
        <f t="shared" si="134"/>
        <v>330.72919999999999</v>
      </c>
      <c r="J5343" s="28">
        <f t="shared" si="135"/>
        <v>337.8544</v>
      </c>
      <c r="K5343" s="28">
        <f t="shared" si="136"/>
        <v>349.59460000000001</v>
      </c>
      <c r="L5343" s="4"/>
      <c r="M5343" s="241">
        <v>330.72919999999999</v>
      </c>
    </row>
    <row r="5344" spans="3:13" hidden="1" outlineLevel="1" x14ac:dyDescent="0.2">
      <c r="C5344" s="139">
        <v>48.600000000000435</v>
      </c>
      <c r="D5344" s="28">
        <f t="shared" si="129"/>
        <v>388.80000000000348</v>
      </c>
      <c r="E5344" s="28">
        <f t="shared" si="130"/>
        <v>364.50000000000324</v>
      </c>
      <c r="F5344" s="28">
        <f t="shared" si="131"/>
        <v>346.50000000000324</v>
      </c>
      <c r="G5344" s="28">
        <f t="shared" si="132"/>
        <v>301.92309999999998</v>
      </c>
      <c r="H5344" s="28">
        <f t="shared" si="133"/>
        <v>322.2242</v>
      </c>
      <c r="I5344" s="28">
        <f t="shared" si="134"/>
        <v>331.73140000000001</v>
      </c>
      <c r="J5344" s="28">
        <f t="shared" si="135"/>
        <v>338.87060000000002</v>
      </c>
      <c r="K5344" s="28">
        <f t="shared" si="136"/>
        <v>350.63990000000001</v>
      </c>
      <c r="L5344" s="4"/>
      <c r="M5344" s="241">
        <v>331.73140000000001</v>
      </c>
    </row>
    <row r="5345" spans="3:13" hidden="1" outlineLevel="1" x14ac:dyDescent="0.2">
      <c r="C5345" s="139">
        <v>48.700000000000436</v>
      </c>
      <c r="D5345" s="28">
        <f t="shared" si="129"/>
        <v>389.60000000000349</v>
      </c>
      <c r="E5345" s="28">
        <f t="shared" si="130"/>
        <v>365.2500000000033</v>
      </c>
      <c r="F5345" s="28">
        <f t="shared" si="131"/>
        <v>347.2500000000033</v>
      </c>
      <c r="G5345" s="28">
        <f t="shared" si="132"/>
        <v>302.86590000000001</v>
      </c>
      <c r="H5345" s="28">
        <f t="shared" si="133"/>
        <v>323.2072</v>
      </c>
      <c r="I5345" s="28">
        <f t="shared" si="134"/>
        <v>332.73250000000002</v>
      </c>
      <c r="J5345" s="28">
        <f t="shared" si="135"/>
        <v>339.88839999999999</v>
      </c>
      <c r="K5345" s="28">
        <f t="shared" si="136"/>
        <v>351.68380000000002</v>
      </c>
      <c r="L5345" s="4"/>
      <c r="M5345" s="241">
        <v>332.73250000000002</v>
      </c>
    </row>
    <row r="5346" spans="3:13" hidden="1" outlineLevel="1" x14ac:dyDescent="0.2">
      <c r="C5346" s="139">
        <v>48.800000000000438</v>
      </c>
      <c r="D5346" s="28">
        <f t="shared" si="129"/>
        <v>390.4000000000035</v>
      </c>
      <c r="E5346" s="28">
        <f t="shared" si="130"/>
        <v>366.0000000000033</v>
      </c>
      <c r="F5346" s="28">
        <f t="shared" si="131"/>
        <v>348.0000000000033</v>
      </c>
      <c r="G5346" s="28">
        <f t="shared" si="132"/>
        <v>303.80900000000003</v>
      </c>
      <c r="H5346" s="28">
        <f t="shared" si="133"/>
        <v>324.18900000000002</v>
      </c>
      <c r="I5346" s="28">
        <f t="shared" si="134"/>
        <v>333.73520000000002</v>
      </c>
      <c r="J5346" s="28">
        <f t="shared" si="135"/>
        <v>340.90640000000002</v>
      </c>
      <c r="K5346" s="28">
        <f t="shared" si="136"/>
        <v>352.72949999999997</v>
      </c>
      <c r="L5346" s="4"/>
      <c r="M5346" s="241">
        <v>333.73520000000002</v>
      </c>
    </row>
    <row r="5347" spans="3:13" hidden="1" outlineLevel="1" x14ac:dyDescent="0.2">
      <c r="C5347" s="139">
        <v>48.900000000000439</v>
      </c>
      <c r="D5347" s="28">
        <f t="shared" si="129"/>
        <v>391.20000000000351</v>
      </c>
      <c r="E5347" s="28">
        <f t="shared" si="130"/>
        <v>366.7500000000033</v>
      </c>
      <c r="F5347" s="28">
        <f t="shared" si="131"/>
        <v>348.7500000000033</v>
      </c>
      <c r="G5347" s="28">
        <f t="shared" si="132"/>
        <v>303.80900000000003</v>
      </c>
      <c r="H5347" s="28">
        <f t="shared" si="133"/>
        <v>324.18900000000002</v>
      </c>
      <c r="I5347" s="28">
        <f t="shared" si="134"/>
        <v>333.73520000000002</v>
      </c>
      <c r="J5347" s="28">
        <f t="shared" si="135"/>
        <v>340.90640000000002</v>
      </c>
      <c r="K5347" s="28">
        <f t="shared" si="136"/>
        <v>352.72949999999997</v>
      </c>
      <c r="L5347" s="4"/>
      <c r="M5347" s="241">
        <v>333.73520000000002</v>
      </c>
    </row>
    <row r="5348" spans="3:13" hidden="1" outlineLevel="1" x14ac:dyDescent="0.2">
      <c r="C5348" s="139">
        <v>49.000000000000441</v>
      </c>
      <c r="D5348" s="28">
        <f t="shared" si="129"/>
        <v>392.00000000000352</v>
      </c>
      <c r="E5348" s="28">
        <f t="shared" si="130"/>
        <v>367.5000000000033</v>
      </c>
      <c r="F5348" s="28">
        <f t="shared" si="131"/>
        <v>349.5000000000033</v>
      </c>
      <c r="G5348" s="28">
        <f t="shared" si="132"/>
        <v>304.75259999999997</v>
      </c>
      <c r="H5348" s="28">
        <f t="shared" si="133"/>
        <v>325.1712</v>
      </c>
      <c r="I5348" s="28">
        <f t="shared" si="134"/>
        <v>334.73680000000002</v>
      </c>
      <c r="J5348" s="28">
        <f t="shared" si="135"/>
        <v>341.92329999999998</v>
      </c>
      <c r="K5348" s="28">
        <f t="shared" si="136"/>
        <v>353.77379999999999</v>
      </c>
      <c r="L5348" s="4"/>
      <c r="M5348" s="241">
        <v>334.73680000000002</v>
      </c>
    </row>
    <row r="5349" spans="3:13" hidden="1" outlineLevel="1" x14ac:dyDescent="0.2">
      <c r="C5349" s="139">
        <v>49.100000000000442</v>
      </c>
      <c r="D5349" s="28">
        <f t="shared" si="129"/>
        <v>392.80000000000354</v>
      </c>
      <c r="E5349" s="28">
        <f t="shared" si="130"/>
        <v>368.2500000000033</v>
      </c>
      <c r="F5349" s="28">
        <f t="shared" si="131"/>
        <v>350.2500000000033</v>
      </c>
      <c r="G5349" s="28">
        <f t="shared" si="132"/>
        <v>305.69659999999999</v>
      </c>
      <c r="H5349" s="28">
        <f t="shared" si="133"/>
        <v>326.15230000000003</v>
      </c>
      <c r="I5349" s="28">
        <f t="shared" si="134"/>
        <v>335.73869999999999</v>
      </c>
      <c r="J5349" s="28">
        <f t="shared" si="135"/>
        <v>342.94040000000001</v>
      </c>
      <c r="K5349" s="28">
        <f t="shared" si="136"/>
        <v>354.81830000000002</v>
      </c>
      <c r="L5349" s="4"/>
      <c r="M5349" s="241">
        <v>335.73869999999999</v>
      </c>
    </row>
    <row r="5350" spans="3:13" hidden="1" outlineLevel="1" x14ac:dyDescent="0.2">
      <c r="C5350" s="139">
        <v>49.200000000000443</v>
      </c>
      <c r="D5350" s="28">
        <f t="shared" si="129"/>
        <v>393.60000000000355</v>
      </c>
      <c r="E5350" s="28">
        <f t="shared" si="130"/>
        <v>369.0000000000033</v>
      </c>
      <c r="F5350" s="28">
        <f t="shared" si="131"/>
        <v>351.0000000000033</v>
      </c>
      <c r="G5350" s="28">
        <f t="shared" si="132"/>
        <v>306.63959999999997</v>
      </c>
      <c r="H5350" s="28">
        <f t="shared" si="133"/>
        <v>327.13510000000002</v>
      </c>
      <c r="I5350" s="28">
        <f t="shared" si="134"/>
        <v>336.74079999999998</v>
      </c>
      <c r="J5350" s="28">
        <f t="shared" si="135"/>
        <v>343.95909999999998</v>
      </c>
      <c r="K5350" s="28">
        <f t="shared" si="136"/>
        <v>355.863</v>
      </c>
      <c r="L5350" s="4"/>
      <c r="M5350" s="241">
        <v>336.74079999999998</v>
      </c>
    </row>
    <row r="5351" spans="3:13" hidden="1" outlineLevel="1" x14ac:dyDescent="0.2">
      <c r="C5351" s="139">
        <v>49.300000000000445</v>
      </c>
      <c r="D5351" s="28">
        <f t="shared" si="129"/>
        <v>394.40000000000356</v>
      </c>
      <c r="E5351" s="28">
        <f t="shared" si="130"/>
        <v>369.75000000000335</v>
      </c>
      <c r="F5351" s="28">
        <f t="shared" si="131"/>
        <v>351.75000000000335</v>
      </c>
      <c r="G5351" s="28">
        <f t="shared" si="132"/>
        <v>306.63959999999997</v>
      </c>
      <c r="H5351" s="28">
        <f t="shared" si="133"/>
        <v>327.13510000000002</v>
      </c>
      <c r="I5351" s="28">
        <f t="shared" si="134"/>
        <v>336.74079999999998</v>
      </c>
      <c r="J5351" s="28">
        <f t="shared" si="135"/>
        <v>343.95909999999998</v>
      </c>
      <c r="K5351" s="28">
        <f t="shared" si="136"/>
        <v>355.863</v>
      </c>
      <c r="L5351" s="4"/>
      <c r="M5351" s="241">
        <v>336.74079999999998</v>
      </c>
    </row>
    <row r="5352" spans="3:13" hidden="1" outlineLevel="1" x14ac:dyDescent="0.2">
      <c r="C5352" s="139">
        <v>49.400000000000446</v>
      </c>
      <c r="D5352" s="28">
        <f t="shared" si="129"/>
        <v>395.20000000000357</v>
      </c>
      <c r="E5352" s="28">
        <f t="shared" si="130"/>
        <v>370.50000000000335</v>
      </c>
      <c r="F5352" s="28">
        <f t="shared" si="131"/>
        <v>352.50000000000335</v>
      </c>
      <c r="G5352" s="28">
        <f t="shared" si="132"/>
        <v>307.58440000000002</v>
      </c>
      <c r="H5352" s="28">
        <f t="shared" si="133"/>
        <v>328.11810000000003</v>
      </c>
      <c r="I5352" s="28">
        <f t="shared" si="134"/>
        <v>337.74180000000001</v>
      </c>
      <c r="J5352" s="28">
        <f t="shared" si="135"/>
        <v>344.97660000000002</v>
      </c>
      <c r="K5352" s="28">
        <f t="shared" si="136"/>
        <v>356.90789999999998</v>
      </c>
      <c r="L5352" s="4"/>
      <c r="M5352" s="241">
        <v>337.74180000000001</v>
      </c>
    </row>
    <row r="5353" spans="3:13" hidden="1" outlineLevel="1" x14ac:dyDescent="0.2">
      <c r="C5353" s="139">
        <v>49.500000000000448</v>
      </c>
      <c r="D5353" s="28">
        <f t="shared" si="129"/>
        <v>396.00000000000358</v>
      </c>
      <c r="E5353" s="28">
        <f t="shared" si="130"/>
        <v>371.25000000000335</v>
      </c>
      <c r="F5353" s="28">
        <f t="shared" si="131"/>
        <v>353.25000000000335</v>
      </c>
      <c r="G5353" s="28">
        <f t="shared" si="132"/>
        <v>308.5283</v>
      </c>
      <c r="H5353" s="28">
        <f t="shared" si="133"/>
        <v>329.1001</v>
      </c>
      <c r="I5353" s="28">
        <f t="shared" si="134"/>
        <v>338.74430000000001</v>
      </c>
      <c r="J5353" s="28">
        <f t="shared" si="135"/>
        <v>345.99439999999998</v>
      </c>
      <c r="K5353" s="28">
        <f t="shared" si="136"/>
        <v>357.95299999999997</v>
      </c>
      <c r="L5353" s="4"/>
      <c r="M5353" s="241">
        <v>338.74430000000001</v>
      </c>
    </row>
    <row r="5354" spans="3:13" hidden="1" outlineLevel="1" x14ac:dyDescent="0.2">
      <c r="C5354" s="139">
        <v>49.600000000000449</v>
      </c>
      <c r="D5354" s="28">
        <f t="shared" si="129"/>
        <v>396.80000000000359</v>
      </c>
      <c r="E5354" s="28">
        <f t="shared" si="130"/>
        <v>372.00000000000335</v>
      </c>
      <c r="F5354" s="28">
        <f t="shared" si="131"/>
        <v>354.00000000000335</v>
      </c>
      <c r="G5354" s="28">
        <f t="shared" si="132"/>
        <v>309.47250000000003</v>
      </c>
      <c r="H5354" s="28">
        <f t="shared" si="133"/>
        <v>330.08229999999998</v>
      </c>
      <c r="I5354" s="28">
        <f t="shared" si="134"/>
        <v>339.74579999999997</v>
      </c>
      <c r="J5354" s="28">
        <f t="shared" si="135"/>
        <v>347.01100000000002</v>
      </c>
      <c r="K5354" s="28">
        <f t="shared" si="136"/>
        <v>358.9982</v>
      </c>
      <c r="L5354" s="4"/>
      <c r="M5354" s="241">
        <v>339.74579999999997</v>
      </c>
    </row>
    <row r="5355" spans="3:13" hidden="1" outlineLevel="1" x14ac:dyDescent="0.2">
      <c r="C5355" s="139">
        <v>49.70000000000045</v>
      </c>
      <c r="D5355" s="28">
        <f t="shared" si="129"/>
        <v>397.6000000000036</v>
      </c>
      <c r="E5355" s="28">
        <f t="shared" si="130"/>
        <v>372.75000000000335</v>
      </c>
      <c r="F5355" s="28">
        <f t="shared" si="131"/>
        <v>354.75000000000335</v>
      </c>
      <c r="G5355" s="28">
        <f t="shared" si="132"/>
        <v>309.47250000000003</v>
      </c>
      <c r="H5355" s="28">
        <f t="shared" si="133"/>
        <v>330.08229999999998</v>
      </c>
      <c r="I5355" s="28">
        <f t="shared" si="134"/>
        <v>339.74579999999997</v>
      </c>
      <c r="J5355" s="28">
        <f t="shared" si="135"/>
        <v>347.01100000000002</v>
      </c>
      <c r="K5355" s="28">
        <f t="shared" si="136"/>
        <v>358.9982</v>
      </c>
      <c r="L5355" s="4"/>
      <c r="M5355" s="241">
        <v>339.74579999999997</v>
      </c>
    </row>
    <row r="5356" spans="3:13" hidden="1" outlineLevel="1" x14ac:dyDescent="0.2">
      <c r="C5356" s="139">
        <v>49.800000000000452</v>
      </c>
      <c r="D5356" s="28">
        <f t="shared" si="129"/>
        <v>398.40000000000362</v>
      </c>
      <c r="E5356" s="28">
        <f t="shared" si="130"/>
        <v>373.50000000000341</v>
      </c>
      <c r="F5356" s="28">
        <f t="shared" si="131"/>
        <v>355.50000000000341</v>
      </c>
      <c r="G5356" s="28">
        <f t="shared" si="132"/>
        <v>310.41579999999999</v>
      </c>
      <c r="H5356" s="28">
        <f t="shared" si="133"/>
        <v>331.06490000000002</v>
      </c>
      <c r="I5356" s="28">
        <f t="shared" si="134"/>
        <v>340.74889999999999</v>
      </c>
      <c r="J5356" s="28">
        <f t="shared" si="135"/>
        <v>348.0292</v>
      </c>
      <c r="K5356" s="28">
        <f t="shared" si="136"/>
        <v>360.0421</v>
      </c>
      <c r="L5356" s="4"/>
      <c r="M5356" s="241">
        <v>340.74889999999999</v>
      </c>
    </row>
    <row r="5357" spans="3:13" hidden="1" outlineLevel="1" x14ac:dyDescent="0.2">
      <c r="C5357" s="139">
        <v>49.900000000000453</v>
      </c>
      <c r="D5357" s="28">
        <f t="shared" si="129"/>
        <v>399.20000000000363</v>
      </c>
      <c r="E5357" s="28">
        <f t="shared" si="130"/>
        <v>374.25000000000341</v>
      </c>
      <c r="F5357" s="28">
        <f t="shared" si="131"/>
        <v>356.25000000000341</v>
      </c>
      <c r="G5357" s="28">
        <f t="shared" si="132"/>
        <v>311.36079999999998</v>
      </c>
      <c r="H5357" s="28">
        <f t="shared" si="133"/>
        <v>332.04770000000002</v>
      </c>
      <c r="I5357" s="28">
        <f t="shared" si="134"/>
        <v>341.75080000000003</v>
      </c>
      <c r="J5357" s="28">
        <f t="shared" si="135"/>
        <v>349.0462</v>
      </c>
      <c r="K5357" s="28">
        <f t="shared" si="136"/>
        <v>361.08769999999998</v>
      </c>
      <c r="L5357" s="4"/>
      <c r="M5357" s="241">
        <v>341.75080000000003</v>
      </c>
    </row>
    <row r="5358" spans="3:13" hidden="1" outlineLevel="1" x14ac:dyDescent="0.2">
      <c r="C5358" s="139">
        <v>50.000000000000455</v>
      </c>
      <c r="D5358" s="28">
        <f t="shared" si="129"/>
        <v>400.00000000000364</v>
      </c>
      <c r="E5358" s="28">
        <f t="shared" si="130"/>
        <v>375.00000000000341</v>
      </c>
      <c r="F5358" s="28">
        <f t="shared" si="131"/>
        <v>357.00000000000341</v>
      </c>
      <c r="G5358" s="28">
        <f t="shared" si="132"/>
        <v>312.30489999999998</v>
      </c>
      <c r="H5358" s="28">
        <f t="shared" si="133"/>
        <v>333.02949999999998</v>
      </c>
      <c r="I5358" s="28">
        <f t="shared" si="134"/>
        <v>342.75299999999999</v>
      </c>
      <c r="J5358" s="28">
        <f t="shared" si="135"/>
        <v>350.06479999999999</v>
      </c>
      <c r="K5358" s="28">
        <f t="shared" si="136"/>
        <v>362.13189999999997</v>
      </c>
      <c r="L5358" s="4"/>
      <c r="M5358" s="241">
        <v>342.75299999999999</v>
      </c>
    </row>
    <row r="5359" spans="3:13" hidden="1" outlineLevel="1" x14ac:dyDescent="0.2">
      <c r="C5359" s="139">
        <v>50.100000000000456</v>
      </c>
      <c r="D5359" s="28">
        <f t="shared" si="129"/>
        <v>400.80000000000365</v>
      </c>
      <c r="E5359" s="28">
        <f t="shared" si="130"/>
        <v>375.75000000000341</v>
      </c>
      <c r="F5359" s="28">
        <f t="shared" si="131"/>
        <v>357.75000000000341</v>
      </c>
      <c r="G5359" s="28">
        <f t="shared" si="132"/>
        <v>312.30489999999998</v>
      </c>
      <c r="H5359" s="28">
        <f t="shared" si="133"/>
        <v>333.02949999999998</v>
      </c>
      <c r="I5359" s="28">
        <f t="shared" si="134"/>
        <v>342.75299999999999</v>
      </c>
      <c r="J5359" s="28">
        <f t="shared" si="135"/>
        <v>350.06479999999999</v>
      </c>
      <c r="K5359" s="28">
        <f t="shared" si="136"/>
        <v>362.13189999999997</v>
      </c>
      <c r="L5359" s="4"/>
      <c r="M5359" s="241">
        <v>342.75299999999999</v>
      </c>
    </row>
    <row r="5360" spans="3:13" hidden="1" outlineLevel="1" x14ac:dyDescent="0.2">
      <c r="C5360" s="139">
        <v>50.200000000000458</v>
      </c>
      <c r="D5360" s="28">
        <f t="shared" si="129"/>
        <v>401.60000000000366</v>
      </c>
      <c r="E5360" s="28">
        <f t="shared" si="130"/>
        <v>376.50000000000341</v>
      </c>
      <c r="F5360" s="28">
        <f t="shared" si="131"/>
        <v>358.50000000000341</v>
      </c>
      <c r="G5360" s="28">
        <f t="shared" si="132"/>
        <v>313.24930000000001</v>
      </c>
      <c r="H5360" s="28">
        <f t="shared" si="133"/>
        <v>334.01280000000003</v>
      </c>
      <c r="I5360" s="28">
        <f t="shared" si="134"/>
        <v>343.75549999999998</v>
      </c>
      <c r="J5360" s="28">
        <f t="shared" si="135"/>
        <v>351.0822</v>
      </c>
      <c r="K5360" s="28">
        <f t="shared" si="136"/>
        <v>363.17779999999999</v>
      </c>
      <c r="L5360" s="4"/>
      <c r="M5360" s="241">
        <v>343.75549999999998</v>
      </c>
    </row>
    <row r="5361" spans="3:13" hidden="1" outlineLevel="1" x14ac:dyDescent="0.2">
      <c r="C5361" s="139">
        <v>50.300000000000459</v>
      </c>
      <c r="D5361" s="28">
        <f t="shared" si="129"/>
        <v>402.40000000000367</v>
      </c>
      <c r="E5361" s="28">
        <f t="shared" si="130"/>
        <v>377.25000000000347</v>
      </c>
      <c r="F5361" s="28">
        <f t="shared" si="131"/>
        <v>359.25000000000347</v>
      </c>
      <c r="G5361" s="28">
        <f t="shared" si="132"/>
        <v>314.19279999999998</v>
      </c>
      <c r="H5361" s="28">
        <f t="shared" si="133"/>
        <v>334.99509999999998</v>
      </c>
      <c r="I5361" s="28">
        <f t="shared" si="134"/>
        <v>344.7568</v>
      </c>
      <c r="J5361" s="28">
        <f t="shared" si="135"/>
        <v>352.09989999999999</v>
      </c>
      <c r="K5361" s="28">
        <f t="shared" si="136"/>
        <v>364.22239999999999</v>
      </c>
      <c r="L5361" s="4"/>
      <c r="M5361" s="241">
        <v>344.7568</v>
      </c>
    </row>
    <row r="5362" spans="3:13" hidden="1" outlineLevel="1" x14ac:dyDescent="0.2">
      <c r="C5362" s="139">
        <v>50.40000000000046</v>
      </c>
      <c r="D5362" s="28">
        <f t="shared" si="129"/>
        <v>403.20000000000368</v>
      </c>
      <c r="E5362" s="28">
        <f t="shared" si="130"/>
        <v>378.00000000000347</v>
      </c>
      <c r="F5362" s="28">
        <f t="shared" si="131"/>
        <v>360.00000000000347</v>
      </c>
      <c r="G5362" s="28">
        <f t="shared" si="132"/>
        <v>315.13799999999998</v>
      </c>
      <c r="H5362" s="28">
        <f t="shared" si="133"/>
        <v>335.97770000000003</v>
      </c>
      <c r="I5362" s="28">
        <f t="shared" si="134"/>
        <v>345.75970000000001</v>
      </c>
      <c r="J5362" s="28">
        <f t="shared" si="135"/>
        <v>353.11779999999999</v>
      </c>
      <c r="K5362" s="28">
        <f t="shared" si="136"/>
        <v>365.2672</v>
      </c>
      <c r="L5362" s="4"/>
      <c r="M5362" s="241">
        <v>345.75970000000001</v>
      </c>
    </row>
    <row r="5363" spans="3:13" hidden="1" outlineLevel="1" x14ac:dyDescent="0.2">
      <c r="C5363" s="139">
        <v>50.500000000000462</v>
      </c>
      <c r="D5363" s="28">
        <f t="shared" si="129"/>
        <v>404.00000000000369</v>
      </c>
      <c r="E5363" s="28">
        <f t="shared" si="130"/>
        <v>378.75000000000347</v>
      </c>
      <c r="F5363" s="28">
        <f t="shared" si="131"/>
        <v>360.75000000000347</v>
      </c>
      <c r="G5363" s="28">
        <f t="shared" si="132"/>
        <v>315.13799999999998</v>
      </c>
      <c r="H5363" s="28">
        <f t="shared" si="133"/>
        <v>335.97770000000003</v>
      </c>
      <c r="I5363" s="28">
        <f t="shared" si="134"/>
        <v>345.75970000000001</v>
      </c>
      <c r="J5363" s="28">
        <f t="shared" si="135"/>
        <v>353.11779999999999</v>
      </c>
      <c r="K5363" s="28">
        <f t="shared" si="136"/>
        <v>365.2672</v>
      </c>
      <c r="L5363" s="4"/>
      <c r="M5363" s="241">
        <v>345.75970000000001</v>
      </c>
    </row>
    <row r="5364" spans="3:13" hidden="1" outlineLevel="1" x14ac:dyDescent="0.2">
      <c r="C5364" s="139">
        <v>50.600000000000463</v>
      </c>
      <c r="D5364" s="28">
        <f t="shared" si="129"/>
        <v>404.80000000000371</v>
      </c>
      <c r="E5364" s="28">
        <f t="shared" si="130"/>
        <v>379.50000000000347</v>
      </c>
      <c r="F5364" s="28">
        <f t="shared" si="131"/>
        <v>361.50000000000347</v>
      </c>
      <c r="G5364" s="28">
        <f t="shared" si="132"/>
        <v>316.08229999999998</v>
      </c>
      <c r="H5364" s="28">
        <f t="shared" si="133"/>
        <v>336.9606</v>
      </c>
      <c r="I5364" s="28">
        <f t="shared" si="134"/>
        <v>346.76139999999998</v>
      </c>
      <c r="J5364" s="28">
        <f t="shared" si="135"/>
        <v>354.13580000000002</v>
      </c>
      <c r="K5364" s="28">
        <f t="shared" si="136"/>
        <v>366.31209999999999</v>
      </c>
      <c r="L5364" s="4"/>
      <c r="M5364" s="241">
        <v>346.76139999999998</v>
      </c>
    </row>
    <row r="5365" spans="3:13" hidden="1" outlineLevel="1" x14ac:dyDescent="0.2">
      <c r="C5365" s="139">
        <v>50.700000000000465</v>
      </c>
      <c r="D5365" s="28">
        <f t="shared" si="129"/>
        <v>405.60000000000372</v>
      </c>
      <c r="E5365" s="28">
        <f t="shared" si="130"/>
        <v>380.25000000000347</v>
      </c>
      <c r="F5365" s="28">
        <f t="shared" si="131"/>
        <v>362.25000000000347</v>
      </c>
      <c r="G5365" s="28">
        <f t="shared" si="132"/>
        <v>317.02690000000001</v>
      </c>
      <c r="H5365" s="28">
        <f t="shared" si="133"/>
        <v>337.94369999999998</v>
      </c>
      <c r="I5365" s="28">
        <f t="shared" si="134"/>
        <v>347.76479999999998</v>
      </c>
      <c r="J5365" s="28">
        <f t="shared" si="135"/>
        <v>355.15410000000003</v>
      </c>
      <c r="K5365" s="28">
        <f t="shared" si="136"/>
        <v>367.35719999999998</v>
      </c>
      <c r="L5365" s="4"/>
      <c r="M5365" s="241">
        <v>347.76479999999998</v>
      </c>
    </row>
    <row r="5366" spans="3:13" hidden="1" outlineLevel="1" x14ac:dyDescent="0.2">
      <c r="C5366" s="139">
        <v>50.800000000000466</v>
      </c>
      <c r="D5366" s="28">
        <f t="shared" si="129"/>
        <v>406.40000000000373</v>
      </c>
      <c r="E5366" s="28">
        <f t="shared" si="130"/>
        <v>381.00000000000352</v>
      </c>
      <c r="F5366" s="28">
        <f t="shared" si="131"/>
        <v>363.00000000000352</v>
      </c>
      <c r="G5366" s="28">
        <f t="shared" si="132"/>
        <v>317.97190000000001</v>
      </c>
      <c r="H5366" s="28">
        <f t="shared" si="133"/>
        <v>338.9271</v>
      </c>
      <c r="I5366" s="28">
        <f t="shared" si="134"/>
        <v>348.767</v>
      </c>
      <c r="J5366" s="28">
        <f t="shared" si="135"/>
        <v>356.1712</v>
      </c>
      <c r="K5366" s="28">
        <f t="shared" si="136"/>
        <v>368.40249999999997</v>
      </c>
      <c r="L5366" s="4"/>
      <c r="M5366" s="241">
        <v>348.767</v>
      </c>
    </row>
    <row r="5367" spans="3:13" hidden="1" outlineLevel="1" x14ac:dyDescent="0.2">
      <c r="C5367" s="139">
        <v>50.900000000000468</v>
      </c>
      <c r="D5367" s="28">
        <f t="shared" si="129"/>
        <v>407.20000000000374</v>
      </c>
      <c r="E5367" s="28">
        <f t="shared" si="130"/>
        <v>381.75000000000352</v>
      </c>
      <c r="F5367" s="28">
        <f t="shared" si="131"/>
        <v>363.75000000000352</v>
      </c>
      <c r="G5367" s="28">
        <f t="shared" si="132"/>
        <v>317.97190000000001</v>
      </c>
      <c r="H5367" s="28">
        <f t="shared" si="133"/>
        <v>338.9271</v>
      </c>
      <c r="I5367" s="28">
        <f t="shared" si="134"/>
        <v>348.767</v>
      </c>
      <c r="J5367" s="28">
        <f t="shared" si="135"/>
        <v>356.1712</v>
      </c>
      <c r="K5367" s="28">
        <f t="shared" si="136"/>
        <v>368.40249999999997</v>
      </c>
      <c r="L5367" s="4"/>
      <c r="M5367" s="241">
        <v>348.767</v>
      </c>
    </row>
    <row r="5368" spans="3:13" hidden="1" outlineLevel="1" x14ac:dyDescent="0.2">
      <c r="C5368" s="139">
        <v>51.000000000000469</v>
      </c>
      <c r="D5368" s="28">
        <f t="shared" si="129"/>
        <v>408.00000000000375</v>
      </c>
      <c r="E5368" s="28">
        <f t="shared" si="130"/>
        <v>382.50000000000352</v>
      </c>
      <c r="F5368" s="28">
        <f t="shared" si="131"/>
        <v>364.50000000000352</v>
      </c>
      <c r="G5368" s="28">
        <f t="shared" si="132"/>
        <v>318.91730000000001</v>
      </c>
      <c r="H5368" s="28">
        <f t="shared" si="133"/>
        <v>339.90940000000001</v>
      </c>
      <c r="I5368" s="28">
        <f t="shared" si="134"/>
        <v>349.76940000000002</v>
      </c>
      <c r="J5368" s="28">
        <f t="shared" si="135"/>
        <v>357.18990000000002</v>
      </c>
      <c r="K5368" s="28">
        <f t="shared" si="136"/>
        <v>369.4479</v>
      </c>
      <c r="L5368" s="4"/>
      <c r="M5368" s="241">
        <v>349.76940000000002</v>
      </c>
    </row>
    <row r="5369" spans="3:13" hidden="1" outlineLevel="1" x14ac:dyDescent="0.2">
      <c r="C5369" s="139">
        <v>51.10000000000047</v>
      </c>
      <c r="D5369" s="28">
        <f t="shared" si="129"/>
        <v>408.80000000000376</v>
      </c>
      <c r="E5369" s="28">
        <f t="shared" si="130"/>
        <v>383.25000000000352</v>
      </c>
      <c r="F5369" s="28">
        <f t="shared" si="131"/>
        <v>365.25000000000352</v>
      </c>
      <c r="G5369" s="28">
        <f t="shared" si="132"/>
        <v>319.86160000000001</v>
      </c>
      <c r="H5369" s="28">
        <f t="shared" si="133"/>
        <v>340.89330000000001</v>
      </c>
      <c r="I5369" s="28">
        <f t="shared" si="134"/>
        <v>350.77210000000002</v>
      </c>
      <c r="J5369" s="28">
        <f t="shared" si="135"/>
        <v>358.20729999999998</v>
      </c>
      <c r="K5369" s="28">
        <f t="shared" si="136"/>
        <v>370.49200000000002</v>
      </c>
      <c r="L5369" s="4"/>
      <c r="M5369" s="241">
        <v>350.77210000000002</v>
      </c>
    </row>
    <row r="5370" spans="3:13" hidden="1" outlineLevel="1" x14ac:dyDescent="0.2">
      <c r="C5370" s="139">
        <v>51.200000000000472</v>
      </c>
      <c r="D5370" s="28">
        <f t="shared" si="129"/>
        <v>409.60000000000377</v>
      </c>
      <c r="E5370" s="28">
        <f t="shared" si="130"/>
        <v>384.00000000000352</v>
      </c>
      <c r="F5370" s="28">
        <f t="shared" si="131"/>
        <v>366.00000000000352</v>
      </c>
      <c r="G5370" s="28">
        <f t="shared" si="132"/>
        <v>320.80779999999999</v>
      </c>
      <c r="H5370" s="28">
        <f t="shared" si="133"/>
        <v>341.87610000000001</v>
      </c>
      <c r="I5370" s="28">
        <f t="shared" si="134"/>
        <v>351.77359999999999</v>
      </c>
      <c r="J5370" s="28">
        <f t="shared" si="135"/>
        <v>359.22640000000001</v>
      </c>
      <c r="K5370" s="28">
        <f t="shared" si="136"/>
        <v>371.53769999999997</v>
      </c>
      <c r="L5370" s="4"/>
      <c r="M5370" s="241">
        <v>351.77359999999999</v>
      </c>
    </row>
    <row r="5371" spans="3:13" hidden="1" outlineLevel="1" x14ac:dyDescent="0.2">
      <c r="C5371" s="139">
        <v>51.300000000000473</v>
      </c>
      <c r="D5371" s="28">
        <f t="shared" ref="D5371:D5434" si="137">C5371*Channels.per.TRX</f>
        <v>410.40000000000379</v>
      </c>
      <c r="E5371" s="28">
        <f t="shared" ref="E5371:E5434" si="138">D5371-C5371*sig.channel.per.TRX</f>
        <v>384.75000000000352</v>
      </c>
      <c r="F5371" s="28">
        <f t="shared" ref="F5371:F5434" si="139">MAX(0,E5371-GPRS.channel.per.sector)</f>
        <v>366.75000000000352</v>
      </c>
      <c r="G5371" s="28">
        <f t="shared" ref="G5371:G5434" si="140">INDEX(D$10:D$4326,MATCH($F5371,$C$10:$C$4326,1))</f>
        <v>320.80779999999999</v>
      </c>
      <c r="H5371" s="28">
        <f t="shared" ref="H5371:H5434" si="141">INDEX(E$10:E$4326,MATCH($F5371,$C$10:$C$4326,1))</f>
        <v>341.87610000000001</v>
      </c>
      <c r="I5371" s="28">
        <f t="shared" ref="I5371:I5434" si="142">INDEX(F$10:F$4326,MATCH($F5371,$C$10:$C$4326,1))</f>
        <v>351.77359999999999</v>
      </c>
      <c r="J5371" s="28">
        <f t="shared" ref="J5371:J5434" si="143">INDEX(G$10:G$4326,MATCH($F5371,$C$10:$C$4326,1))</f>
        <v>359.22640000000001</v>
      </c>
      <c r="K5371" s="28">
        <f t="shared" ref="K5371:K5434" si="144">INDEX(H$10:H$4326,MATCH($F5371,$C$10:$C$4326,1))</f>
        <v>371.53769999999997</v>
      </c>
      <c r="L5371" s="4"/>
      <c r="M5371" s="241">
        <v>351.77359999999999</v>
      </c>
    </row>
    <row r="5372" spans="3:13" hidden="1" outlineLevel="1" x14ac:dyDescent="0.2">
      <c r="C5372" s="139">
        <v>51.400000000000475</v>
      </c>
      <c r="D5372" s="28">
        <f t="shared" si="137"/>
        <v>411.2000000000038</v>
      </c>
      <c r="E5372" s="28">
        <f t="shared" si="138"/>
        <v>385.50000000000358</v>
      </c>
      <c r="F5372" s="28">
        <f t="shared" si="139"/>
        <v>367.50000000000358</v>
      </c>
      <c r="G5372" s="28">
        <f t="shared" si="140"/>
        <v>321.75290000000001</v>
      </c>
      <c r="H5372" s="28">
        <f t="shared" si="141"/>
        <v>342.85919999999999</v>
      </c>
      <c r="I5372" s="28">
        <f t="shared" si="142"/>
        <v>352.77679999999998</v>
      </c>
      <c r="J5372" s="28">
        <f t="shared" si="143"/>
        <v>360.24430000000001</v>
      </c>
      <c r="K5372" s="28">
        <f t="shared" si="144"/>
        <v>372.58210000000003</v>
      </c>
      <c r="L5372" s="4"/>
      <c r="M5372" s="241">
        <v>352.77679999999998</v>
      </c>
    </row>
    <row r="5373" spans="3:13" hidden="1" outlineLevel="1" x14ac:dyDescent="0.2">
      <c r="C5373" s="139">
        <v>51.500000000000476</v>
      </c>
      <c r="D5373" s="28">
        <f t="shared" si="137"/>
        <v>412.00000000000381</v>
      </c>
      <c r="E5373" s="28">
        <f t="shared" si="138"/>
        <v>386.25000000000358</v>
      </c>
      <c r="F5373" s="28">
        <f t="shared" si="139"/>
        <v>368.25000000000358</v>
      </c>
      <c r="G5373" s="28">
        <f t="shared" si="140"/>
        <v>322.697</v>
      </c>
      <c r="H5373" s="28">
        <f t="shared" si="141"/>
        <v>343.8426</v>
      </c>
      <c r="I5373" s="28">
        <f t="shared" si="142"/>
        <v>353.7801</v>
      </c>
      <c r="J5373" s="28">
        <f t="shared" si="143"/>
        <v>361.26240000000001</v>
      </c>
      <c r="K5373" s="28">
        <f t="shared" si="144"/>
        <v>373.62819999999999</v>
      </c>
      <c r="L5373" s="4"/>
      <c r="M5373" s="241">
        <v>353.7801</v>
      </c>
    </row>
    <row r="5374" spans="3:13" hidden="1" outlineLevel="1" x14ac:dyDescent="0.2">
      <c r="C5374" s="139">
        <v>51.600000000000477</v>
      </c>
      <c r="D5374" s="28">
        <f t="shared" si="137"/>
        <v>412.80000000000382</v>
      </c>
      <c r="E5374" s="28">
        <f t="shared" si="138"/>
        <v>387.00000000000358</v>
      </c>
      <c r="F5374" s="28">
        <f t="shared" si="139"/>
        <v>369.00000000000358</v>
      </c>
      <c r="G5374" s="28">
        <f t="shared" si="140"/>
        <v>323.6429</v>
      </c>
      <c r="H5374" s="28">
        <f t="shared" si="141"/>
        <v>344.82479999999998</v>
      </c>
      <c r="I5374" s="28">
        <f t="shared" si="142"/>
        <v>354.78230000000002</v>
      </c>
      <c r="J5374" s="28">
        <f t="shared" si="143"/>
        <v>362.28070000000002</v>
      </c>
      <c r="K5374" s="28">
        <f t="shared" si="144"/>
        <v>374.67290000000003</v>
      </c>
      <c r="L5374" s="4"/>
      <c r="M5374" s="241">
        <v>354.78230000000002</v>
      </c>
    </row>
    <row r="5375" spans="3:13" hidden="1" outlineLevel="1" x14ac:dyDescent="0.2">
      <c r="C5375" s="139">
        <v>51.700000000000479</v>
      </c>
      <c r="D5375" s="28">
        <f t="shared" si="137"/>
        <v>413.60000000000383</v>
      </c>
      <c r="E5375" s="28">
        <f t="shared" si="138"/>
        <v>387.75000000000358</v>
      </c>
      <c r="F5375" s="28">
        <f t="shared" si="139"/>
        <v>369.75000000000358</v>
      </c>
      <c r="G5375" s="28">
        <f t="shared" si="140"/>
        <v>323.6429</v>
      </c>
      <c r="H5375" s="28">
        <f t="shared" si="141"/>
        <v>344.82479999999998</v>
      </c>
      <c r="I5375" s="28">
        <f t="shared" si="142"/>
        <v>354.78230000000002</v>
      </c>
      <c r="J5375" s="28">
        <f t="shared" si="143"/>
        <v>362.28070000000002</v>
      </c>
      <c r="K5375" s="28">
        <f t="shared" si="144"/>
        <v>374.67290000000003</v>
      </c>
      <c r="L5375" s="4"/>
      <c r="M5375" s="241">
        <v>354.78230000000002</v>
      </c>
    </row>
    <row r="5376" spans="3:13" hidden="1" outlineLevel="1" x14ac:dyDescent="0.2">
      <c r="C5376" s="139">
        <v>51.80000000000048</v>
      </c>
      <c r="D5376" s="28">
        <f t="shared" si="137"/>
        <v>414.40000000000384</v>
      </c>
      <c r="E5376" s="28">
        <f t="shared" si="138"/>
        <v>388.50000000000358</v>
      </c>
      <c r="F5376" s="28">
        <f t="shared" si="139"/>
        <v>370.50000000000358</v>
      </c>
      <c r="G5376" s="28">
        <f t="shared" si="140"/>
        <v>324.58909999999997</v>
      </c>
      <c r="H5376" s="28">
        <f t="shared" si="141"/>
        <v>345.80869999999999</v>
      </c>
      <c r="I5376" s="28">
        <f t="shared" si="142"/>
        <v>355.78469999999999</v>
      </c>
      <c r="J5376" s="28">
        <f t="shared" si="143"/>
        <v>363.2978</v>
      </c>
      <c r="K5376" s="28">
        <f t="shared" si="144"/>
        <v>375.71780000000001</v>
      </c>
      <c r="L5376" s="4"/>
      <c r="M5376" s="241">
        <v>355.78469999999999</v>
      </c>
    </row>
    <row r="5377" spans="3:13" hidden="1" outlineLevel="1" x14ac:dyDescent="0.2">
      <c r="C5377" s="139">
        <v>51.900000000000482</v>
      </c>
      <c r="D5377" s="28">
        <f t="shared" si="137"/>
        <v>415.20000000000385</v>
      </c>
      <c r="E5377" s="28">
        <f t="shared" si="138"/>
        <v>389.25000000000364</v>
      </c>
      <c r="F5377" s="28">
        <f t="shared" si="139"/>
        <v>371.25000000000364</v>
      </c>
      <c r="G5377" s="28">
        <f t="shared" si="140"/>
        <v>325.53429999999997</v>
      </c>
      <c r="H5377" s="28">
        <f t="shared" si="141"/>
        <v>346.79140000000001</v>
      </c>
      <c r="I5377" s="28">
        <f t="shared" si="142"/>
        <v>356.78730000000002</v>
      </c>
      <c r="J5377" s="28">
        <f t="shared" si="143"/>
        <v>364.31650000000002</v>
      </c>
      <c r="K5377" s="28">
        <f t="shared" si="144"/>
        <v>376.76440000000002</v>
      </c>
      <c r="L5377" s="4"/>
      <c r="M5377" s="241">
        <v>356.78730000000002</v>
      </c>
    </row>
    <row r="5378" spans="3:13" hidden="1" outlineLevel="1" x14ac:dyDescent="0.2">
      <c r="C5378" s="139">
        <v>52.000000000000483</v>
      </c>
      <c r="D5378" s="28">
        <f t="shared" si="137"/>
        <v>416.00000000000387</v>
      </c>
      <c r="E5378" s="28">
        <f t="shared" si="138"/>
        <v>390.00000000000364</v>
      </c>
      <c r="F5378" s="28">
        <f t="shared" si="139"/>
        <v>372.00000000000364</v>
      </c>
      <c r="G5378" s="28">
        <f t="shared" si="140"/>
        <v>326.47989999999999</v>
      </c>
      <c r="H5378" s="28">
        <f t="shared" si="141"/>
        <v>347.7758</v>
      </c>
      <c r="I5378" s="28">
        <f t="shared" si="142"/>
        <v>357.79020000000003</v>
      </c>
      <c r="J5378" s="28">
        <f t="shared" si="143"/>
        <v>365.33539999999999</v>
      </c>
      <c r="K5378" s="28">
        <f t="shared" si="144"/>
        <v>377.80959999999999</v>
      </c>
      <c r="L5378" s="4"/>
      <c r="M5378" s="241">
        <v>357.79020000000003</v>
      </c>
    </row>
    <row r="5379" spans="3:13" hidden="1" outlineLevel="1" x14ac:dyDescent="0.2">
      <c r="C5379" s="139">
        <v>52.100000000000485</v>
      </c>
      <c r="D5379" s="28">
        <f t="shared" si="137"/>
        <v>416.80000000000388</v>
      </c>
      <c r="E5379" s="28">
        <f t="shared" si="138"/>
        <v>390.75000000000364</v>
      </c>
      <c r="F5379" s="28">
        <f t="shared" si="139"/>
        <v>372.75000000000364</v>
      </c>
      <c r="G5379" s="28">
        <f t="shared" si="140"/>
        <v>326.47989999999999</v>
      </c>
      <c r="H5379" s="28">
        <f t="shared" si="141"/>
        <v>347.7758</v>
      </c>
      <c r="I5379" s="28">
        <f t="shared" si="142"/>
        <v>357.79020000000003</v>
      </c>
      <c r="J5379" s="28">
        <f t="shared" si="143"/>
        <v>365.33539999999999</v>
      </c>
      <c r="K5379" s="28">
        <f t="shared" si="144"/>
        <v>377.80959999999999</v>
      </c>
      <c r="L5379" s="4"/>
      <c r="M5379" s="241">
        <v>357.79020000000003</v>
      </c>
    </row>
    <row r="5380" spans="3:13" hidden="1" outlineLevel="1" x14ac:dyDescent="0.2">
      <c r="C5380" s="139">
        <v>52.200000000000486</v>
      </c>
      <c r="D5380" s="28">
        <f t="shared" si="137"/>
        <v>417.60000000000389</v>
      </c>
      <c r="E5380" s="28">
        <f t="shared" si="138"/>
        <v>391.50000000000364</v>
      </c>
      <c r="F5380" s="28">
        <f t="shared" si="139"/>
        <v>373.50000000000364</v>
      </c>
      <c r="G5380" s="28">
        <f t="shared" si="140"/>
        <v>327.42579999999998</v>
      </c>
      <c r="H5380" s="28">
        <f t="shared" si="141"/>
        <v>348.75909999999999</v>
      </c>
      <c r="I5380" s="28">
        <f t="shared" si="142"/>
        <v>358.79320000000001</v>
      </c>
      <c r="J5380" s="28">
        <f t="shared" si="143"/>
        <v>366.35300000000001</v>
      </c>
      <c r="K5380" s="28">
        <f t="shared" si="144"/>
        <v>378.85489999999999</v>
      </c>
      <c r="L5380" s="4"/>
      <c r="M5380" s="241">
        <v>358.79320000000001</v>
      </c>
    </row>
    <row r="5381" spans="3:13" hidden="1" outlineLevel="1" x14ac:dyDescent="0.2">
      <c r="C5381" s="139">
        <v>52.300000000000487</v>
      </c>
      <c r="D5381" s="28">
        <f t="shared" si="137"/>
        <v>418.4000000000039</v>
      </c>
      <c r="E5381" s="28">
        <f t="shared" si="138"/>
        <v>392.25000000000364</v>
      </c>
      <c r="F5381" s="28">
        <f t="shared" si="139"/>
        <v>374.25000000000364</v>
      </c>
      <c r="G5381" s="28">
        <f t="shared" si="140"/>
        <v>328.37209999999999</v>
      </c>
      <c r="H5381" s="28">
        <f t="shared" si="141"/>
        <v>349.74259999999998</v>
      </c>
      <c r="I5381" s="28">
        <f t="shared" si="142"/>
        <v>359.79649999999998</v>
      </c>
      <c r="J5381" s="28">
        <f t="shared" si="143"/>
        <v>367.3723</v>
      </c>
      <c r="K5381" s="28">
        <f t="shared" si="144"/>
        <v>379.89890000000003</v>
      </c>
      <c r="L5381" s="4"/>
      <c r="M5381" s="241">
        <v>359.79649999999998</v>
      </c>
    </row>
    <row r="5382" spans="3:13" hidden="1" outlineLevel="1" x14ac:dyDescent="0.2">
      <c r="C5382" s="139">
        <v>52.400000000000489</v>
      </c>
      <c r="D5382" s="28">
        <f t="shared" si="137"/>
        <v>419.20000000000391</v>
      </c>
      <c r="E5382" s="28">
        <f t="shared" si="138"/>
        <v>393.00000000000364</v>
      </c>
      <c r="F5382" s="28">
        <f t="shared" si="139"/>
        <v>375.00000000000364</v>
      </c>
      <c r="G5382" s="28">
        <f t="shared" si="140"/>
        <v>329.31729999999999</v>
      </c>
      <c r="H5382" s="28">
        <f t="shared" si="141"/>
        <v>350.72640000000001</v>
      </c>
      <c r="I5382" s="28">
        <f t="shared" si="142"/>
        <v>360.8</v>
      </c>
      <c r="J5382" s="28">
        <f t="shared" si="143"/>
        <v>368.39030000000002</v>
      </c>
      <c r="K5382" s="28">
        <f t="shared" si="144"/>
        <v>380.94459999999998</v>
      </c>
      <c r="L5382" s="4"/>
      <c r="M5382" s="241">
        <v>360.8</v>
      </c>
    </row>
    <row r="5383" spans="3:13" hidden="1" outlineLevel="1" x14ac:dyDescent="0.2">
      <c r="C5383" s="139">
        <v>52.50000000000049</v>
      </c>
      <c r="D5383" s="28">
        <f t="shared" si="137"/>
        <v>420.00000000000392</v>
      </c>
      <c r="E5383" s="28">
        <f t="shared" si="138"/>
        <v>393.75000000000369</v>
      </c>
      <c r="F5383" s="28">
        <f t="shared" si="139"/>
        <v>375.75000000000369</v>
      </c>
      <c r="G5383" s="28">
        <f t="shared" si="140"/>
        <v>329.31729999999999</v>
      </c>
      <c r="H5383" s="28">
        <f t="shared" si="141"/>
        <v>350.72640000000001</v>
      </c>
      <c r="I5383" s="28">
        <f t="shared" si="142"/>
        <v>360.8</v>
      </c>
      <c r="J5383" s="28">
        <f t="shared" si="143"/>
        <v>368.39030000000002</v>
      </c>
      <c r="K5383" s="28">
        <f t="shared" si="144"/>
        <v>380.94459999999998</v>
      </c>
      <c r="L5383" s="4"/>
      <c r="M5383" s="241">
        <v>360.8</v>
      </c>
    </row>
    <row r="5384" spans="3:13" hidden="1" outlineLevel="1" x14ac:dyDescent="0.2">
      <c r="C5384" s="139">
        <v>52.600000000000492</v>
      </c>
      <c r="D5384" s="28">
        <f t="shared" si="137"/>
        <v>420.80000000000393</v>
      </c>
      <c r="E5384" s="28">
        <f t="shared" si="138"/>
        <v>394.50000000000369</v>
      </c>
      <c r="F5384" s="28">
        <f t="shared" si="139"/>
        <v>376.50000000000369</v>
      </c>
      <c r="G5384" s="28">
        <f t="shared" si="140"/>
        <v>330.2629</v>
      </c>
      <c r="H5384" s="28">
        <f t="shared" si="141"/>
        <v>351.71039999999999</v>
      </c>
      <c r="I5384" s="28">
        <f t="shared" si="142"/>
        <v>361.8023</v>
      </c>
      <c r="J5384" s="28">
        <f t="shared" si="143"/>
        <v>369.40859999999998</v>
      </c>
      <c r="K5384" s="28">
        <f t="shared" si="144"/>
        <v>381.99040000000002</v>
      </c>
      <c r="L5384" s="4"/>
      <c r="M5384" s="241">
        <v>361.8023</v>
      </c>
    </row>
    <row r="5385" spans="3:13" hidden="1" outlineLevel="1" x14ac:dyDescent="0.2">
      <c r="C5385" s="139">
        <v>52.700000000000493</v>
      </c>
      <c r="D5385" s="28">
        <f t="shared" si="137"/>
        <v>421.60000000000394</v>
      </c>
      <c r="E5385" s="28">
        <f t="shared" si="138"/>
        <v>395.25000000000369</v>
      </c>
      <c r="F5385" s="28">
        <f t="shared" si="139"/>
        <v>377.25000000000369</v>
      </c>
      <c r="G5385" s="28">
        <f t="shared" si="140"/>
        <v>331.20890000000003</v>
      </c>
      <c r="H5385" s="28">
        <f t="shared" si="141"/>
        <v>352.69330000000002</v>
      </c>
      <c r="I5385" s="28">
        <f t="shared" si="142"/>
        <v>362.8048</v>
      </c>
      <c r="J5385" s="28">
        <f t="shared" si="143"/>
        <v>370.42700000000002</v>
      </c>
      <c r="K5385" s="28">
        <f t="shared" si="144"/>
        <v>383.03480000000002</v>
      </c>
      <c r="L5385" s="4"/>
      <c r="M5385" s="241">
        <v>362.8048</v>
      </c>
    </row>
    <row r="5386" spans="3:13" hidden="1" outlineLevel="1" x14ac:dyDescent="0.2">
      <c r="C5386" s="139">
        <v>52.800000000000495</v>
      </c>
      <c r="D5386" s="28">
        <f t="shared" si="137"/>
        <v>422.40000000000396</v>
      </c>
      <c r="E5386" s="28">
        <f t="shared" si="138"/>
        <v>396.00000000000369</v>
      </c>
      <c r="F5386" s="28">
        <f t="shared" si="139"/>
        <v>378.00000000000369</v>
      </c>
      <c r="G5386" s="28">
        <f t="shared" si="140"/>
        <v>332.15519999999998</v>
      </c>
      <c r="H5386" s="28">
        <f t="shared" si="141"/>
        <v>353.67779999999999</v>
      </c>
      <c r="I5386" s="28">
        <f t="shared" si="142"/>
        <v>363.80900000000003</v>
      </c>
      <c r="J5386" s="28">
        <f t="shared" si="143"/>
        <v>371.44560000000001</v>
      </c>
      <c r="K5386" s="28">
        <f t="shared" si="144"/>
        <v>384.08089999999999</v>
      </c>
      <c r="L5386" s="4"/>
      <c r="M5386" s="241">
        <v>363.80900000000003</v>
      </c>
    </row>
    <row r="5387" spans="3:13" hidden="1" outlineLevel="1" x14ac:dyDescent="0.2">
      <c r="C5387" s="139">
        <v>52.900000000000496</v>
      </c>
      <c r="D5387" s="28">
        <f t="shared" si="137"/>
        <v>423.20000000000397</v>
      </c>
      <c r="E5387" s="28">
        <f t="shared" si="138"/>
        <v>396.75000000000369</v>
      </c>
      <c r="F5387" s="28">
        <f t="shared" si="139"/>
        <v>378.75000000000369</v>
      </c>
      <c r="G5387" s="28">
        <f t="shared" si="140"/>
        <v>332.15519999999998</v>
      </c>
      <c r="H5387" s="28">
        <f t="shared" si="141"/>
        <v>353.67779999999999</v>
      </c>
      <c r="I5387" s="28">
        <f t="shared" si="142"/>
        <v>363.80900000000003</v>
      </c>
      <c r="J5387" s="28">
        <f t="shared" si="143"/>
        <v>371.44560000000001</v>
      </c>
      <c r="K5387" s="28">
        <f t="shared" si="144"/>
        <v>384.08089999999999</v>
      </c>
      <c r="L5387" s="4"/>
      <c r="M5387" s="241">
        <v>363.80900000000003</v>
      </c>
    </row>
    <row r="5388" spans="3:13" hidden="1" outlineLevel="1" x14ac:dyDescent="0.2">
      <c r="C5388" s="139">
        <v>53.000000000000497</v>
      </c>
      <c r="D5388" s="28">
        <f t="shared" si="137"/>
        <v>424.00000000000398</v>
      </c>
      <c r="E5388" s="28">
        <f t="shared" si="138"/>
        <v>397.50000000000375</v>
      </c>
      <c r="F5388" s="28">
        <f t="shared" si="139"/>
        <v>379.50000000000375</v>
      </c>
      <c r="G5388" s="28">
        <f t="shared" si="140"/>
        <v>333.1019</v>
      </c>
      <c r="H5388" s="28">
        <f t="shared" si="141"/>
        <v>354.66120000000001</v>
      </c>
      <c r="I5388" s="28">
        <f t="shared" si="142"/>
        <v>364.81189999999998</v>
      </c>
      <c r="J5388" s="28">
        <f t="shared" si="143"/>
        <v>372.46440000000001</v>
      </c>
      <c r="K5388" s="28">
        <f t="shared" si="144"/>
        <v>385.12569999999999</v>
      </c>
      <c r="L5388" s="4"/>
      <c r="M5388" s="241">
        <v>364.81189999999998</v>
      </c>
    </row>
    <row r="5389" spans="3:13" hidden="1" outlineLevel="1" x14ac:dyDescent="0.2">
      <c r="C5389" s="139">
        <v>53.100000000000499</v>
      </c>
      <c r="D5389" s="28">
        <f t="shared" si="137"/>
        <v>424.80000000000399</v>
      </c>
      <c r="E5389" s="28">
        <f t="shared" si="138"/>
        <v>398.25000000000375</v>
      </c>
      <c r="F5389" s="28">
        <f t="shared" si="139"/>
        <v>380.25000000000375</v>
      </c>
      <c r="G5389" s="28">
        <f t="shared" si="140"/>
        <v>334.0489</v>
      </c>
      <c r="H5389" s="28">
        <f t="shared" si="141"/>
        <v>355.64479999999998</v>
      </c>
      <c r="I5389" s="28">
        <f t="shared" si="142"/>
        <v>365.81509999999997</v>
      </c>
      <c r="J5389" s="28">
        <f t="shared" si="143"/>
        <v>373.4812</v>
      </c>
      <c r="K5389" s="28">
        <f t="shared" si="144"/>
        <v>386.1721</v>
      </c>
      <c r="L5389" s="4"/>
      <c r="M5389" s="241">
        <v>365.81509999999997</v>
      </c>
    </row>
    <row r="5390" spans="3:13" hidden="1" outlineLevel="1" x14ac:dyDescent="0.2">
      <c r="C5390" s="139">
        <v>53.2000000000005</v>
      </c>
      <c r="D5390" s="28">
        <f t="shared" si="137"/>
        <v>425.600000000004</v>
      </c>
      <c r="E5390" s="28">
        <f t="shared" si="138"/>
        <v>399.00000000000375</v>
      </c>
      <c r="F5390" s="28">
        <f t="shared" si="139"/>
        <v>381.00000000000375</v>
      </c>
      <c r="G5390" s="28">
        <f t="shared" si="140"/>
        <v>334.9948</v>
      </c>
      <c r="H5390" s="28">
        <f t="shared" si="141"/>
        <v>356.62869999999998</v>
      </c>
      <c r="I5390" s="28">
        <f t="shared" si="142"/>
        <v>366.81849999999997</v>
      </c>
      <c r="J5390" s="28">
        <f t="shared" si="143"/>
        <v>374.50189999999998</v>
      </c>
      <c r="K5390" s="28">
        <f t="shared" si="144"/>
        <v>387.21710000000002</v>
      </c>
      <c r="L5390" s="4"/>
      <c r="M5390" s="241">
        <v>366.81849999999997</v>
      </c>
    </row>
    <row r="5391" spans="3:13" hidden="1" outlineLevel="1" x14ac:dyDescent="0.2">
      <c r="C5391" s="139">
        <v>53.300000000000502</v>
      </c>
      <c r="D5391" s="28">
        <f t="shared" si="137"/>
        <v>426.40000000000401</v>
      </c>
      <c r="E5391" s="28">
        <f t="shared" si="138"/>
        <v>399.75000000000375</v>
      </c>
      <c r="F5391" s="28">
        <f t="shared" si="139"/>
        <v>381.75000000000375</v>
      </c>
      <c r="G5391" s="28">
        <f t="shared" si="140"/>
        <v>334.9948</v>
      </c>
      <c r="H5391" s="28">
        <f t="shared" si="141"/>
        <v>356.62869999999998</v>
      </c>
      <c r="I5391" s="28">
        <f t="shared" si="142"/>
        <v>366.81849999999997</v>
      </c>
      <c r="J5391" s="28">
        <f t="shared" si="143"/>
        <v>374.50189999999998</v>
      </c>
      <c r="K5391" s="28">
        <f t="shared" si="144"/>
        <v>387.21710000000002</v>
      </c>
      <c r="L5391" s="4"/>
      <c r="M5391" s="241">
        <v>366.81849999999997</v>
      </c>
    </row>
    <row r="5392" spans="3:13" hidden="1" outlineLevel="1" x14ac:dyDescent="0.2">
      <c r="C5392" s="139">
        <v>53.400000000000503</v>
      </c>
      <c r="D5392" s="28">
        <f t="shared" si="137"/>
        <v>427.20000000000402</v>
      </c>
      <c r="E5392" s="28">
        <f t="shared" si="138"/>
        <v>400.50000000000375</v>
      </c>
      <c r="F5392" s="28">
        <f t="shared" si="139"/>
        <v>382.50000000000375</v>
      </c>
      <c r="G5392" s="28">
        <f t="shared" si="140"/>
        <v>335.94110000000001</v>
      </c>
      <c r="H5392" s="28">
        <f t="shared" si="141"/>
        <v>357.61279999999999</v>
      </c>
      <c r="I5392" s="28">
        <f t="shared" si="142"/>
        <v>367.82060000000001</v>
      </c>
      <c r="J5392" s="28">
        <f t="shared" si="143"/>
        <v>375.51979999999998</v>
      </c>
      <c r="K5392" s="28">
        <f t="shared" si="144"/>
        <v>388.26229999999998</v>
      </c>
      <c r="L5392" s="4"/>
      <c r="M5392" s="241">
        <v>367.82060000000001</v>
      </c>
    </row>
    <row r="5393" spans="3:13" hidden="1" outlineLevel="1" x14ac:dyDescent="0.2">
      <c r="C5393" s="139">
        <v>53.500000000000504</v>
      </c>
      <c r="D5393" s="28">
        <f t="shared" si="137"/>
        <v>428.00000000000404</v>
      </c>
      <c r="E5393" s="28">
        <f t="shared" si="138"/>
        <v>401.25000000000381</v>
      </c>
      <c r="F5393" s="28">
        <f t="shared" si="139"/>
        <v>383.25000000000381</v>
      </c>
      <c r="G5393" s="28">
        <f t="shared" si="140"/>
        <v>336.8877</v>
      </c>
      <c r="H5393" s="28">
        <f t="shared" si="141"/>
        <v>358.59719999999999</v>
      </c>
      <c r="I5393" s="28">
        <f t="shared" si="142"/>
        <v>368.82440000000003</v>
      </c>
      <c r="J5393" s="28">
        <f t="shared" si="143"/>
        <v>376.53789999999998</v>
      </c>
      <c r="K5393" s="28">
        <f t="shared" si="144"/>
        <v>389.30759999999998</v>
      </c>
      <c r="L5393" s="4"/>
      <c r="M5393" s="241">
        <v>368.82440000000003</v>
      </c>
    </row>
    <row r="5394" spans="3:13" hidden="1" outlineLevel="1" x14ac:dyDescent="0.2">
      <c r="C5394" s="139">
        <v>53.600000000000506</v>
      </c>
      <c r="D5394" s="28">
        <f t="shared" si="137"/>
        <v>428.80000000000405</v>
      </c>
      <c r="E5394" s="28">
        <f t="shared" si="138"/>
        <v>402.00000000000381</v>
      </c>
      <c r="F5394" s="28">
        <f t="shared" si="139"/>
        <v>384.00000000000381</v>
      </c>
      <c r="G5394" s="28">
        <f t="shared" si="140"/>
        <v>337.8347</v>
      </c>
      <c r="H5394" s="28">
        <f t="shared" si="141"/>
        <v>359.58030000000002</v>
      </c>
      <c r="I5394" s="28">
        <f t="shared" si="142"/>
        <v>369.82839999999999</v>
      </c>
      <c r="J5394" s="28">
        <f t="shared" si="143"/>
        <v>377.55619999999999</v>
      </c>
      <c r="K5394" s="28">
        <f t="shared" si="144"/>
        <v>390.35309999999998</v>
      </c>
      <c r="L5394" s="4"/>
      <c r="M5394" s="241">
        <v>369.82839999999999</v>
      </c>
    </row>
    <row r="5395" spans="3:13" hidden="1" outlineLevel="1" x14ac:dyDescent="0.2">
      <c r="C5395" s="139">
        <v>53.700000000000507</v>
      </c>
      <c r="D5395" s="28">
        <f t="shared" si="137"/>
        <v>429.60000000000406</v>
      </c>
      <c r="E5395" s="28">
        <f t="shared" si="138"/>
        <v>402.75000000000381</v>
      </c>
      <c r="F5395" s="28">
        <f t="shared" si="139"/>
        <v>384.75000000000381</v>
      </c>
      <c r="G5395" s="28">
        <f t="shared" si="140"/>
        <v>337.8347</v>
      </c>
      <c r="H5395" s="28">
        <f t="shared" si="141"/>
        <v>359.58030000000002</v>
      </c>
      <c r="I5395" s="28">
        <f t="shared" si="142"/>
        <v>369.82839999999999</v>
      </c>
      <c r="J5395" s="28">
        <f t="shared" si="143"/>
        <v>377.55619999999999</v>
      </c>
      <c r="K5395" s="28">
        <f t="shared" si="144"/>
        <v>390.35309999999998</v>
      </c>
      <c r="L5395" s="4"/>
      <c r="M5395" s="241">
        <v>369.82839999999999</v>
      </c>
    </row>
    <row r="5396" spans="3:13" hidden="1" outlineLevel="1" x14ac:dyDescent="0.2">
      <c r="C5396" s="139">
        <v>53.800000000000509</v>
      </c>
      <c r="D5396" s="28">
        <f t="shared" si="137"/>
        <v>430.40000000000407</v>
      </c>
      <c r="E5396" s="28">
        <f t="shared" si="138"/>
        <v>403.50000000000381</v>
      </c>
      <c r="F5396" s="28">
        <f t="shared" si="139"/>
        <v>385.50000000000381</v>
      </c>
      <c r="G5396" s="28">
        <f t="shared" si="140"/>
        <v>338.78210000000001</v>
      </c>
      <c r="H5396" s="28">
        <f t="shared" si="141"/>
        <v>360.5652</v>
      </c>
      <c r="I5396" s="28">
        <f t="shared" si="142"/>
        <v>370.83109999999999</v>
      </c>
      <c r="J5396" s="28">
        <f t="shared" si="143"/>
        <v>378.57459999999998</v>
      </c>
      <c r="K5396" s="28">
        <f t="shared" si="144"/>
        <v>391.39870000000002</v>
      </c>
      <c r="L5396" s="4"/>
      <c r="M5396" s="241">
        <v>370.83109999999999</v>
      </c>
    </row>
    <row r="5397" spans="3:13" hidden="1" outlineLevel="1" x14ac:dyDescent="0.2">
      <c r="C5397" s="139">
        <v>53.90000000000051</v>
      </c>
      <c r="D5397" s="28">
        <f t="shared" si="137"/>
        <v>431.20000000000408</v>
      </c>
      <c r="E5397" s="28">
        <f t="shared" si="138"/>
        <v>404.25000000000381</v>
      </c>
      <c r="F5397" s="28">
        <f t="shared" si="139"/>
        <v>386.25000000000381</v>
      </c>
      <c r="G5397" s="28">
        <f t="shared" si="140"/>
        <v>339.72829999999999</v>
      </c>
      <c r="H5397" s="28">
        <f t="shared" si="141"/>
        <v>361.54880000000003</v>
      </c>
      <c r="I5397" s="28">
        <f t="shared" si="142"/>
        <v>371.83409999999998</v>
      </c>
      <c r="J5397" s="28">
        <f t="shared" si="143"/>
        <v>379.5933</v>
      </c>
      <c r="K5397" s="28">
        <f t="shared" si="144"/>
        <v>392.44450000000001</v>
      </c>
      <c r="L5397" s="4"/>
      <c r="M5397" s="241">
        <v>371.83409999999998</v>
      </c>
    </row>
    <row r="5398" spans="3:13" hidden="1" outlineLevel="1" x14ac:dyDescent="0.2">
      <c r="C5398" s="139">
        <v>54.000000000000512</v>
      </c>
      <c r="D5398" s="28">
        <f t="shared" si="137"/>
        <v>432.00000000000409</v>
      </c>
      <c r="E5398" s="28">
        <f t="shared" si="138"/>
        <v>405.00000000000387</v>
      </c>
      <c r="F5398" s="28">
        <f t="shared" si="139"/>
        <v>387.00000000000387</v>
      </c>
      <c r="G5398" s="28">
        <f t="shared" si="140"/>
        <v>340.6748</v>
      </c>
      <c r="H5398" s="28">
        <f t="shared" si="141"/>
        <v>362.5342</v>
      </c>
      <c r="I5398" s="28">
        <f t="shared" si="142"/>
        <v>372.83800000000002</v>
      </c>
      <c r="J5398" s="28">
        <f t="shared" si="143"/>
        <v>380.6121</v>
      </c>
      <c r="K5398" s="28">
        <f t="shared" si="144"/>
        <v>393.49040000000002</v>
      </c>
      <c r="L5398" s="4"/>
      <c r="M5398" s="241">
        <v>372.83800000000002</v>
      </c>
    </row>
    <row r="5399" spans="3:13" hidden="1" outlineLevel="1" x14ac:dyDescent="0.2">
      <c r="C5399" s="139">
        <v>54.100000000000513</v>
      </c>
      <c r="D5399" s="28">
        <f t="shared" si="137"/>
        <v>432.8000000000041</v>
      </c>
      <c r="E5399" s="28">
        <f t="shared" si="138"/>
        <v>405.75000000000387</v>
      </c>
      <c r="F5399" s="28">
        <f t="shared" si="139"/>
        <v>387.75000000000387</v>
      </c>
      <c r="G5399" s="28">
        <f t="shared" si="140"/>
        <v>340.6748</v>
      </c>
      <c r="H5399" s="28">
        <f t="shared" si="141"/>
        <v>362.5342</v>
      </c>
      <c r="I5399" s="28">
        <f t="shared" si="142"/>
        <v>372.83800000000002</v>
      </c>
      <c r="J5399" s="28">
        <f t="shared" si="143"/>
        <v>380.6121</v>
      </c>
      <c r="K5399" s="28">
        <f t="shared" si="144"/>
        <v>393.49040000000002</v>
      </c>
      <c r="L5399" s="4"/>
      <c r="M5399" s="241">
        <v>372.83800000000002</v>
      </c>
    </row>
    <row r="5400" spans="3:13" hidden="1" outlineLevel="1" x14ac:dyDescent="0.2">
      <c r="C5400" s="139">
        <v>54.200000000000514</v>
      </c>
      <c r="D5400" s="28">
        <f t="shared" si="137"/>
        <v>433.60000000000412</v>
      </c>
      <c r="E5400" s="28">
        <f t="shared" si="138"/>
        <v>406.50000000000387</v>
      </c>
      <c r="F5400" s="28">
        <f t="shared" si="139"/>
        <v>388.50000000000387</v>
      </c>
      <c r="G5400" s="28">
        <f t="shared" si="140"/>
        <v>341.6232</v>
      </c>
      <c r="H5400" s="28">
        <f t="shared" si="141"/>
        <v>363.51839999999999</v>
      </c>
      <c r="I5400" s="28">
        <f t="shared" si="142"/>
        <v>373.84280000000001</v>
      </c>
      <c r="J5400" s="28">
        <f t="shared" si="143"/>
        <v>381.6311</v>
      </c>
      <c r="K5400" s="28">
        <f t="shared" si="144"/>
        <v>394.53649999999999</v>
      </c>
      <c r="L5400" s="4"/>
      <c r="M5400" s="241">
        <v>373.84280000000001</v>
      </c>
    </row>
    <row r="5401" spans="3:13" hidden="1" outlineLevel="1" x14ac:dyDescent="0.2">
      <c r="C5401" s="139">
        <v>54.300000000000516</v>
      </c>
      <c r="D5401" s="28">
        <f t="shared" si="137"/>
        <v>434.40000000000413</v>
      </c>
      <c r="E5401" s="28">
        <f t="shared" si="138"/>
        <v>407.25000000000387</v>
      </c>
      <c r="F5401" s="28">
        <f t="shared" si="139"/>
        <v>389.25000000000387</v>
      </c>
      <c r="G5401" s="28">
        <f t="shared" si="140"/>
        <v>342.57049999999998</v>
      </c>
      <c r="H5401" s="28">
        <f t="shared" si="141"/>
        <v>364.50279999999998</v>
      </c>
      <c r="I5401" s="28">
        <f t="shared" si="142"/>
        <v>374.8449</v>
      </c>
      <c r="J5401" s="28">
        <f t="shared" si="143"/>
        <v>382.65030000000002</v>
      </c>
      <c r="K5401" s="28">
        <f t="shared" si="144"/>
        <v>395.58109999999999</v>
      </c>
      <c r="L5401" s="4"/>
      <c r="M5401" s="241">
        <v>374.8449</v>
      </c>
    </row>
    <row r="5402" spans="3:13" hidden="1" outlineLevel="1" x14ac:dyDescent="0.2">
      <c r="C5402" s="139">
        <v>54.400000000000517</v>
      </c>
      <c r="D5402" s="28">
        <f t="shared" si="137"/>
        <v>435.20000000000414</v>
      </c>
      <c r="E5402" s="28">
        <f t="shared" si="138"/>
        <v>408.00000000000387</v>
      </c>
      <c r="F5402" s="28">
        <f t="shared" si="139"/>
        <v>390.00000000000387</v>
      </c>
      <c r="G5402" s="28">
        <f t="shared" si="140"/>
        <v>343.51659999999998</v>
      </c>
      <c r="H5402" s="28">
        <f t="shared" si="141"/>
        <v>365.48590000000002</v>
      </c>
      <c r="I5402" s="28">
        <f t="shared" si="142"/>
        <v>375.84719999999999</v>
      </c>
      <c r="J5402" s="28">
        <f t="shared" si="143"/>
        <v>383.66969999999998</v>
      </c>
      <c r="K5402" s="28">
        <f t="shared" si="144"/>
        <v>396.6275</v>
      </c>
      <c r="L5402" s="4"/>
      <c r="M5402" s="241">
        <v>375.84719999999999</v>
      </c>
    </row>
    <row r="5403" spans="3:13" hidden="1" outlineLevel="1" x14ac:dyDescent="0.2">
      <c r="C5403" s="139">
        <v>54.500000000000519</v>
      </c>
      <c r="D5403" s="28">
        <f t="shared" si="137"/>
        <v>436.00000000000415</v>
      </c>
      <c r="E5403" s="28">
        <f t="shared" si="138"/>
        <v>408.75000000000387</v>
      </c>
      <c r="F5403" s="28">
        <f t="shared" si="139"/>
        <v>390.75000000000387</v>
      </c>
      <c r="G5403" s="28">
        <f t="shared" si="140"/>
        <v>343.51659999999998</v>
      </c>
      <c r="H5403" s="28">
        <f t="shared" si="141"/>
        <v>365.48590000000002</v>
      </c>
      <c r="I5403" s="28">
        <f t="shared" si="142"/>
        <v>375.84719999999999</v>
      </c>
      <c r="J5403" s="28">
        <f t="shared" si="143"/>
        <v>383.66969999999998</v>
      </c>
      <c r="K5403" s="28">
        <f t="shared" si="144"/>
        <v>396.6275</v>
      </c>
      <c r="L5403" s="4"/>
      <c r="M5403" s="241">
        <v>375.84719999999999</v>
      </c>
    </row>
    <row r="5404" spans="3:13" hidden="1" outlineLevel="1" x14ac:dyDescent="0.2">
      <c r="C5404" s="139">
        <v>54.60000000000052</v>
      </c>
      <c r="D5404" s="28">
        <f t="shared" si="137"/>
        <v>436.80000000000416</v>
      </c>
      <c r="E5404" s="28">
        <f t="shared" si="138"/>
        <v>409.50000000000392</v>
      </c>
      <c r="F5404" s="28">
        <f t="shared" si="139"/>
        <v>391.50000000000392</v>
      </c>
      <c r="G5404" s="28">
        <f t="shared" si="140"/>
        <v>344.46449999999999</v>
      </c>
      <c r="H5404" s="28">
        <f t="shared" si="141"/>
        <v>366.4708</v>
      </c>
      <c r="I5404" s="28">
        <f t="shared" si="142"/>
        <v>376.85270000000003</v>
      </c>
      <c r="J5404" s="28">
        <f t="shared" si="143"/>
        <v>384.6893</v>
      </c>
      <c r="K5404" s="28">
        <f t="shared" si="144"/>
        <v>397.67239999999998</v>
      </c>
      <c r="L5404" s="4"/>
      <c r="M5404" s="241">
        <v>376.85270000000003</v>
      </c>
    </row>
    <row r="5405" spans="3:13" hidden="1" outlineLevel="1" x14ac:dyDescent="0.2">
      <c r="C5405" s="139">
        <v>54.700000000000522</v>
      </c>
      <c r="D5405" s="28">
        <f t="shared" si="137"/>
        <v>437.60000000000417</v>
      </c>
      <c r="E5405" s="28">
        <f t="shared" si="138"/>
        <v>410.25000000000392</v>
      </c>
      <c r="F5405" s="28">
        <f t="shared" si="139"/>
        <v>392.25000000000392</v>
      </c>
      <c r="G5405" s="28">
        <f t="shared" si="140"/>
        <v>345.41129999999998</v>
      </c>
      <c r="H5405" s="28">
        <f t="shared" si="141"/>
        <v>367.45589999999999</v>
      </c>
      <c r="I5405" s="28">
        <f t="shared" si="142"/>
        <v>377.85539999999997</v>
      </c>
      <c r="J5405" s="28">
        <f t="shared" si="143"/>
        <v>385.70600000000002</v>
      </c>
      <c r="K5405" s="28">
        <f t="shared" si="144"/>
        <v>398.71899999999999</v>
      </c>
      <c r="L5405" s="4"/>
      <c r="M5405" s="241">
        <v>377.85539999999997</v>
      </c>
    </row>
    <row r="5406" spans="3:13" hidden="1" outlineLevel="1" x14ac:dyDescent="0.2">
      <c r="C5406" s="139">
        <v>54.800000000000523</v>
      </c>
      <c r="D5406" s="28">
        <f t="shared" si="137"/>
        <v>438.40000000000418</v>
      </c>
      <c r="E5406" s="28">
        <f t="shared" si="138"/>
        <v>411.00000000000392</v>
      </c>
      <c r="F5406" s="28">
        <f t="shared" si="139"/>
        <v>393.00000000000392</v>
      </c>
      <c r="G5406" s="28">
        <f t="shared" si="140"/>
        <v>346.35989999999998</v>
      </c>
      <c r="H5406" s="28">
        <f t="shared" si="141"/>
        <v>368.43970000000002</v>
      </c>
      <c r="I5406" s="28">
        <f t="shared" si="142"/>
        <v>378.85829999999999</v>
      </c>
      <c r="J5406" s="28">
        <f t="shared" si="143"/>
        <v>386.72590000000002</v>
      </c>
      <c r="K5406" s="28">
        <f t="shared" si="144"/>
        <v>399.76420000000002</v>
      </c>
      <c r="L5406" s="4"/>
      <c r="M5406" s="241">
        <v>378.85829999999999</v>
      </c>
    </row>
    <row r="5407" spans="3:13" hidden="1" outlineLevel="1" x14ac:dyDescent="0.2">
      <c r="C5407" s="139">
        <v>54.900000000000524</v>
      </c>
      <c r="D5407" s="28">
        <f t="shared" si="137"/>
        <v>439.2000000000042</v>
      </c>
      <c r="E5407" s="28">
        <f t="shared" si="138"/>
        <v>411.75000000000392</v>
      </c>
      <c r="F5407" s="28">
        <f t="shared" si="139"/>
        <v>393.75000000000392</v>
      </c>
      <c r="G5407" s="28">
        <f t="shared" si="140"/>
        <v>346.35989999999998</v>
      </c>
      <c r="H5407" s="28">
        <f t="shared" si="141"/>
        <v>368.43970000000002</v>
      </c>
      <c r="I5407" s="28">
        <f t="shared" si="142"/>
        <v>378.85829999999999</v>
      </c>
      <c r="J5407" s="28">
        <f t="shared" si="143"/>
        <v>386.72590000000002</v>
      </c>
      <c r="K5407" s="28">
        <f t="shared" si="144"/>
        <v>399.76420000000002</v>
      </c>
      <c r="L5407" s="4"/>
      <c r="M5407" s="241">
        <v>378.85829999999999</v>
      </c>
    </row>
    <row r="5408" spans="3:13" hidden="1" outlineLevel="1" x14ac:dyDescent="0.2">
      <c r="C5408" s="139">
        <v>55.000000000000526</v>
      </c>
      <c r="D5408" s="28">
        <f t="shared" si="137"/>
        <v>440.00000000000421</v>
      </c>
      <c r="E5408" s="28">
        <f t="shared" si="138"/>
        <v>412.50000000000392</v>
      </c>
      <c r="F5408" s="28">
        <f t="shared" si="139"/>
        <v>394.50000000000392</v>
      </c>
      <c r="G5408" s="28">
        <f t="shared" si="140"/>
        <v>347.3073</v>
      </c>
      <c r="H5408" s="28">
        <f t="shared" si="141"/>
        <v>369.42380000000003</v>
      </c>
      <c r="I5408" s="28">
        <f t="shared" si="142"/>
        <v>379.86439999999999</v>
      </c>
      <c r="J5408" s="28">
        <f t="shared" si="143"/>
        <v>387.74610000000001</v>
      </c>
      <c r="K5408" s="28">
        <f t="shared" si="144"/>
        <v>400.80950000000001</v>
      </c>
      <c r="L5408" s="4"/>
      <c r="M5408" s="241">
        <v>379.86439999999999</v>
      </c>
    </row>
    <row r="5409" spans="3:13" hidden="1" outlineLevel="1" x14ac:dyDescent="0.2">
      <c r="C5409" s="139">
        <v>55.100000000000527</v>
      </c>
      <c r="D5409" s="28">
        <f t="shared" si="137"/>
        <v>440.80000000000422</v>
      </c>
      <c r="E5409" s="28">
        <f t="shared" si="138"/>
        <v>413.25000000000398</v>
      </c>
      <c r="F5409" s="28">
        <f t="shared" si="139"/>
        <v>395.25000000000398</v>
      </c>
      <c r="G5409" s="28">
        <f t="shared" si="140"/>
        <v>348.25510000000003</v>
      </c>
      <c r="H5409" s="28">
        <f t="shared" si="141"/>
        <v>370.40969999999999</v>
      </c>
      <c r="I5409" s="28">
        <f t="shared" si="142"/>
        <v>380.86770000000001</v>
      </c>
      <c r="J5409" s="28">
        <f t="shared" si="143"/>
        <v>388.76330000000002</v>
      </c>
      <c r="K5409" s="28">
        <f t="shared" si="144"/>
        <v>401.85660000000001</v>
      </c>
      <c r="L5409" s="4"/>
      <c r="M5409" s="241">
        <v>380.86770000000001</v>
      </c>
    </row>
    <row r="5410" spans="3:13" hidden="1" outlineLevel="1" x14ac:dyDescent="0.2">
      <c r="C5410" s="139">
        <v>55.200000000000529</v>
      </c>
      <c r="D5410" s="28">
        <f t="shared" si="137"/>
        <v>441.60000000000423</v>
      </c>
      <c r="E5410" s="28">
        <f t="shared" si="138"/>
        <v>414.00000000000398</v>
      </c>
      <c r="F5410" s="28">
        <f t="shared" si="139"/>
        <v>396.00000000000398</v>
      </c>
      <c r="G5410" s="28">
        <f t="shared" si="140"/>
        <v>349.20170000000002</v>
      </c>
      <c r="H5410" s="28">
        <f t="shared" si="141"/>
        <v>371.39429999999999</v>
      </c>
      <c r="I5410" s="28">
        <f t="shared" si="142"/>
        <v>381.87119999999999</v>
      </c>
      <c r="J5410" s="28">
        <f t="shared" si="143"/>
        <v>389.78379999999999</v>
      </c>
      <c r="K5410" s="28">
        <f t="shared" si="144"/>
        <v>402.90219999999999</v>
      </c>
      <c r="L5410" s="4"/>
      <c r="M5410" s="241">
        <v>381.87119999999999</v>
      </c>
    </row>
    <row r="5411" spans="3:13" hidden="1" outlineLevel="1" x14ac:dyDescent="0.2">
      <c r="C5411" s="139">
        <v>55.30000000000053</v>
      </c>
      <c r="D5411" s="28">
        <f t="shared" si="137"/>
        <v>442.40000000000424</v>
      </c>
      <c r="E5411" s="28">
        <f t="shared" si="138"/>
        <v>414.75000000000398</v>
      </c>
      <c r="F5411" s="28">
        <f t="shared" si="139"/>
        <v>396.75000000000398</v>
      </c>
      <c r="G5411" s="28">
        <f t="shared" si="140"/>
        <v>349.20170000000002</v>
      </c>
      <c r="H5411" s="28">
        <f t="shared" si="141"/>
        <v>371.39429999999999</v>
      </c>
      <c r="I5411" s="28">
        <f t="shared" si="142"/>
        <v>381.87119999999999</v>
      </c>
      <c r="J5411" s="28">
        <f t="shared" si="143"/>
        <v>389.78379999999999</v>
      </c>
      <c r="K5411" s="28">
        <f t="shared" si="144"/>
        <v>402.90219999999999</v>
      </c>
      <c r="L5411" s="4"/>
      <c r="M5411" s="241">
        <v>381.87119999999999</v>
      </c>
    </row>
    <row r="5412" spans="3:13" hidden="1" outlineLevel="1" x14ac:dyDescent="0.2">
      <c r="C5412" s="139">
        <v>55.400000000000531</v>
      </c>
      <c r="D5412" s="28">
        <f t="shared" si="137"/>
        <v>443.20000000000425</v>
      </c>
      <c r="E5412" s="28">
        <f t="shared" si="138"/>
        <v>415.50000000000398</v>
      </c>
      <c r="F5412" s="28">
        <f t="shared" si="139"/>
        <v>397.50000000000398</v>
      </c>
      <c r="G5412" s="28">
        <f t="shared" si="140"/>
        <v>350.15019999999998</v>
      </c>
      <c r="H5412" s="28">
        <f t="shared" si="141"/>
        <v>372.37909999999999</v>
      </c>
      <c r="I5412" s="28">
        <f t="shared" si="142"/>
        <v>382.87490000000003</v>
      </c>
      <c r="J5412" s="28">
        <f t="shared" si="143"/>
        <v>390.8014</v>
      </c>
      <c r="K5412" s="28">
        <f t="shared" si="144"/>
        <v>403.94799999999998</v>
      </c>
      <c r="L5412" s="4"/>
      <c r="M5412" s="241">
        <v>382.87490000000003</v>
      </c>
    </row>
    <row r="5413" spans="3:13" hidden="1" outlineLevel="1" x14ac:dyDescent="0.2">
      <c r="C5413" s="139">
        <v>55.500000000000533</v>
      </c>
      <c r="D5413" s="28">
        <f t="shared" si="137"/>
        <v>444.00000000000426</v>
      </c>
      <c r="E5413" s="28">
        <f t="shared" si="138"/>
        <v>416.25000000000398</v>
      </c>
      <c r="F5413" s="28">
        <f t="shared" si="139"/>
        <v>398.25000000000398</v>
      </c>
      <c r="G5413" s="28">
        <f t="shared" si="140"/>
        <v>351.09750000000003</v>
      </c>
      <c r="H5413" s="28">
        <f t="shared" si="141"/>
        <v>373.36340000000001</v>
      </c>
      <c r="I5413" s="28">
        <f t="shared" si="142"/>
        <v>383.87880000000001</v>
      </c>
      <c r="J5413" s="28">
        <f t="shared" si="143"/>
        <v>391.82220000000001</v>
      </c>
      <c r="K5413" s="28">
        <f t="shared" si="144"/>
        <v>404.9939</v>
      </c>
      <c r="L5413" s="4"/>
      <c r="M5413" s="241">
        <v>383.87880000000001</v>
      </c>
    </row>
    <row r="5414" spans="3:13" hidden="1" outlineLevel="1" x14ac:dyDescent="0.2">
      <c r="C5414" s="139">
        <v>55.600000000000534</v>
      </c>
      <c r="D5414" s="28">
        <f t="shared" si="137"/>
        <v>444.80000000000427</v>
      </c>
      <c r="E5414" s="28">
        <f t="shared" si="138"/>
        <v>417.00000000000398</v>
      </c>
      <c r="F5414" s="28">
        <f t="shared" si="139"/>
        <v>399.00000000000398</v>
      </c>
      <c r="G5414" s="28">
        <f t="shared" si="140"/>
        <v>352.04660000000001</v>
      </c>
      <c r="H5414" s="28">
        <f t="shared" si="141"/>
        <v>374.34710000000001</v>
      </c>
      <c r="I5414" s="28">
        <f t="shared" si="142"/>
        <v>384.88290000000001</v>
      </c>
      <c r="J5414" s="28">
        <f t="shared" si="143"/>
        <v>392.84019999999998</v>
      </c>
      <c r="K5414" s="28">
        <f t="shared" si="144"/>
        <v>406.03829999999999</v>
      </c>
      <c r="L5414" s="4"/>
      <c r="M5414" s="241">
        <v>384.88290000000001</v>
      </c>
    </row>
    <row r="5415" spans="3:13" hidden="1" outlineLevel="1" x14ac:dyDescent="0.2">
      <c r="C5415" s="139">
        <v>55.700000000000536</v>
      </c>
      <c r="D5415" s="28">
        <f t="shared" si="137"/>
        <v>445.60000000000429</v>
      </c>
      <c r="E5415" s="28">
        <f t="shared" si="138"/>
        <v>417.75000000000404</v>
      </c>
      <c r="F5415" s="28">
        <f t="shared" si="139"/>
        <v>399.75000000000404</v>
      </c>
      <c r="G5415" s="28">
        <f t="shared" si="140"/>
        <v>352.04660000000001</v>
      </c>
      <c r="H5415" s="28">
        <f t="shared" si="141"/>
        <v>374.34710000000001</v>
      </c>
      <c r="I5415" s="28">
        <f t="shared" si="142"/>
        <v>384.88290000000001</v>
      </c>
      <c r="J5415" s="28">
        <f t="shared" si="143"/>
        <v>392.84019999999998</v>
      </c>
      <c r="K5415" s="28">
        <f t="shared" si="144"/>
        <v>406.03829999999999</v>
      </c>
      <c r="L5415" s="4"/>
      <c r="M5415" s="241">
        <v>384.88290000000001</v>
      </c>
    </row>
    <row r="5416" spans="3:13" hidden="1" outlineLevel="1" x14ac:dyDescent="0.2">
      <c r="C5416" s="139">
        <v>55.800000000000537</v>
      </c>
      <c r="D5416" s="28">
        <f t="shared" si="137"/>
        <v>446.4000000000043</v>
      </c>
      <c r="E5416" s="28">
        <f t="shared" si="138"/>
        <v>418.50000000000404</v>
      </c>
      <c r="F5416" s="28">
        <f t="shared" si="139"/>
        <v>400.50000000000404</v>
      </c>
      <c r="G5416" s="28">
        <f t="shared" si="140"/>
        <v>352.99450000000002</v>
      </c>
      <c r="H5416" s="28">
        <f t="shared" si="141"/>
        <v>375.33420000000001</v>
      </c>
      <c r="I5416" s="28">
        <f t="shared" si="142"/>
        <v>385.88709999999998</v>
      </c>
      <c r="J5416" s="28">
        <f t="shared" si="143"/>
        <v>393.85829999999999</v>
      </c>
      <c r="K5416" s="28">
        <f t="shared" si="144"/>
        <v>407.08440000000002</v>
      </c>
      <c r="L5416" s="4"/>
      <c r="M5416" s="241">
        <v>385.88709999999998</v>
      </c>
    </row>
    <row r="5417" spans="3:13" hidden="1" outlineLevel="1" x14ac:dyDescent="0.2">
      <c r="C5417" s="139">
        <v>55.900000000000539</v>
      </c>
      <c r="D5417" s="28">
        <f t="shared" si="137"/>
        <v>447.20000000000431</v>
      </c>
      <c r="E5417" s="28">
        <f t="shared" si="138"/>
        <v>419.25000000000404</v>
      </c>
      <c r="F5417" s="28">
        <f t="shared" si="139"/>
        <v>401.25000000000404</v>
      </c>
      <c r="G5417" s="28">
        <f t="shared" si="140"/>
        <v>353.94279999999998</v>
      </c>
      <c r="H5417" s="28">
        <f t="shared" si="141"/>
        <v>376.3184</v>
      </c>
      <c r="I5417" s="28">
        <f t="shared" si="142"/>
        <v>386.89159999999998</v>
      </c>
      <c r="J5417" s="28">
        <f t="shared" si="143"/>
        <v>394.87970000000001</v>
      </c>
      <c r="K5417" s="28">
        <f t="shared" si="144"/>
        <v>408.13069999999999</v>
      </c>
      <c r="L5417" s="4"/>
      <c r="M5417" s="241">
        <v>386.89159999999998</v>
      </c>
    </row>
    <row r="5418" spans="3:13" hidden="1" outlineLevel="1" x14ac:dyDescent="0.2">
      <c r="C5418" s="139">
        <v>56.00000000000054</v>
      </c>
      <c r="D5418" s="28">
        <f t="shared" si="137"/>
        <v>448.00000000000432</v>
      </c>
      <c r="E5418" s="28">
        <f t="shared" si="138"/>
        <v>420.00000000000404</v>
      </c>
      <c r="F5418" s="28">
        <f t="shared" si="139"/>
        <v>402.00000000000404</v>
      </c>
      <c r="G5418" s="28">
        <f t="shared" si="140"/>
        <v>354.88990000000001</v>
      </c>
      <c r="H5418" s="28">
        <f t="shared" si="141"/>
        <v>377.30279999999999</v>
      </c>
      <c r="I5418" s="28">
        <f t="shared" si="142"/>
        <v>387.89330000000001</v>
      </c>
      <c r="J5418" s="28">
        <f t="shared" si="143"/>
        <v>395.89819999999997</v>
      </c>
      <c r="K5418" s="28">
        <f t="shared" si="144"/>
        <v>409.17720000000003</v>
      </c>
      <c r="L5418" s="4"/>
      <c r="M5418" s="241">
        <v>387.89330000000001</v>
      </c>
    </row>
    <row r="5419" spans="3:13" hidden="1" outlineLevel="1" x14ac:dyDescent="0.2">
      <c r="C5419" s="139">
        <v>56.100000000000541</v>
      </c>
      <c r="D5419" s="28">
        <f t="shared" si="137"/>
        <v>448.80000000000433</v>
      </c>
      <c r="E5419" s="28">
        <f t="shared" si="138"/>
        <v>420.75000000000404</v>
      </c>
      <c r="F5419" s="28">
        <f t="shared" si="139"/>
        <v>402.75000000000404</v>
      </c>
      <c r="G5419" s="28">
        <f t="shared" si="140"/>
        <v>354.88990000000001</v>
      </c>
      <c r="H5419" s="28">
        <f t="shared" si="141"/>
        <v>377.30279999999999</v>
      </c>
      <c r="I5419" s="28">
        <f t="shared" si="142"/>
        <v>387.89330000000001</v>
      </c>
      <c r="J5419" s="28">
        <f t="shared" si="143"/>
        <v>395.89819999999997</v>
      </c>
      <c r="K5419" s="28">
        <f t="shared" si="144"/>
        <v>409.17720000000003</v>
      </c>
      <c r="L5419" s="4"/>
      <c r="M5419" s="241">
        <v>387.89330000000001</v>
      </c>
    </row>
    <row r="5420" spans="3:13" hidden="1" outlineLevel="1" x14ac:dyDescent="0.2">
      <c r="C5420" s="139">
        <v>56.200000000000543</v>
      </c>
      <c r="D5420" s="28">
        <f t="shared" si="137"/>
        <v>449.60000000000434</v>
      </c>
      <c r="E5420" s="28">
        <f t="shared" si="138"/>
        <v>421.50000000000409</v>
      </c>
      <c r="F5420" s="28">
        <f t="shared" si="139"/>
        <v>403.50000000000409</v>
      </c>
      <c r="G5420" s="28">
        <f t="shared" si="140"/>
        <v>355.83879999999999</v>
      </c>
      <c r="H5420" s="28">
        <f t="shared" si="141"/>
        <v>378.28750000000002</v>
      </c>
      <c r="I5420" s="28">
        <f t="shared" si="142"/>
        <v>388.8981</v>
      </c>
      <c r="J5420" s="28">
        <f t="shared" si="143"/>
        <v>396.91680000000002</v>
      </c>
      <c r="K5420" s="28">
        <f t="shared" si="144"/>
        <v>410.22210000000001</v>
      </c>
      <c r="L5420" s="4"/>
      <c r="M5420" s="241">
        <v>388.8981</v>
      </c>
    </row>
    <row r="5421" spans="3:13" hidden="1" outlineLevel="1" x14ac:dyDescent="0.2">
      <c r="C5421" s="139">
        <v>56.300000000000544</v>
      </c>
      <c r="D5421" s="28">
        <f t="shared" si="137"/>
        <v>450.40000000000435</v>
      </c>
      <c r="E5421" s="28">
        <f t="shared" si="138"/>
        <v>422.25000000000409</v>
      </c>
      <c r="F5421" s="28">
        <f t="shared" si="139"/>
        <v>404.25000000000409</v>
      </c>
      <c r="G5421" s="28">
        <f t="shared" si="140"/>
        <v>356.78649999999999</v>
      </c>
      <c r="H5421" s="28">
        <f t="shared" si="141"/>
        <v>379.2724</v>
      </c>
      <c r="I5421" s="28">
        <f t="shared" si="142"/>
        <v>389.90320000000003</v>
      </c>
      <c r="J5421" s="28">
        <f t="shared" si="143"/>
        <v>397.93560000000002</v>
      </c>
      <c r="K5421" s="28">
        <f t="shared" si="144"/>
        <v>411.2697</v>
      </c>
      <c r="L5421" s="4"/>
      <c r="M5421" s="241">
        <v>389.90320000000003</v>
      </c>
    </row>
    <row r="5422" spans="3:13" hidden="1" outlineLevel="1" x14ac:dyDescent="0.2">
      <c r="C5422" s="139">
        <v>56.400000000000546</v>
      </c>
      <c r="D5422" s="28">
        <f t="shared" si="137"/>
        <v>451.20000000000437</v>
      </c>
      <c r="E5422" s="28">
        <f t="shared" si="138"/>
        <v>423.00000000000409</v>
      </c>
      <c r="F5422" s="28">
        <f t="shared" si="139"/>
        <v>405.00000000000409</v>
      </c>
      <c r="G5422" s="28">
        <f t="shared" si="140"/>
        <v>357.73599999999999</v>
      </c>
      <c r="H5422" s="28">
        <f t="shared" si="141"/>
        <v>380.25760000000002</v>
      </c>
      <c r="I5422" s="28">
        <f t="shared" si="142"/>
        <v>390.90539999999999</v>
      </c>
      <c r="J5422" s="28">
        <f t="shared" si="143"/>
        <v>398.95460000000003</v>
      </c>
      <c r="K5422" s="28">
        <f t="shared" si="144"/>
        <v>412.31490000000002</v>
      </c>
      <c r="L5422" s="4"/>
      <c r="M5422" s="241">
        <v>390.90539999999999</v>
      </c>
    </row>
    <row r="5423" spans="3:13" hidden="1" outlineLevel="1" x14ac:dyDescent="0.2">
      <c r="C5423" s="139">
        <v>56.500000000000547</v>
      </c>
      <c r="D5423" s="28">
        <f t="shared" si="137"/>
        <v>452.00000000000438</v>
      </c>
      <c r="E5423" s="28">
        <f t="shared" si="138"/>
        <v>423.75000000000409</v>
      </c>
      <c r="F5423" s="28">
        <f t="shared" si="139"/>
        <v>405.75000000000409</v>
      </c>
      <c r="G5423" s="28">
        <f t="shared" si="140"/>
        <v>357.73599999999999</v>
      </c>
      <c r="H5423" s="28">
        <f t="shared" si="141"/>
        <v>380.25760000000002</v>
      </c>
      <c r="I5423" s="28">
        <f t="shared" si="142"/>
        <v>390.90539999999999</v>
      </c>
      <c r="J5423" s="28">
        <f t="shared" si="143"/>
        <v>398.95460000000003</v>
      </c>
      <c r="K5423" s="28">
        <f t="shared" si="144"/>
        <v>412.31490000000002</v>
      </c>
      <c r="L5423" s="4"/>
      <c r="M5423" s="241">
        <v>390.90539999999999</v>
      </c>
    </row>
    <row r="5424" spans="3:13" hidden="1" outlineLevel="1" x14ac:dyDescent="0.2">
      <c r="C5424" s="139">
        <v>56.600000000000549</v>
      </c>
      <c r="D5424" s="28">
        <f t="shared" si="137"/>
        <v>452.80000000000439</v>
      </c>
      <c r="E5424" s="28">
        <f t="shared" si="138"/>
        <v>424.50000000000409</v>
      </c>
      <c r="F5424" s="28">
        <f t="shared" si="139"/>
        <v>406.50000000000409</v>
      </c>
      <c r="G5424" s="28">
        <f t="shared" si="140"/>
        <v>358.68439999999998</v>
      </c>
      <c r="H5424" s="28">
        <f t="shared" si="141"/>
        <v>381.24299999999999</v>
      </c>
      <c r="I5424" s="28">
        <f t="shared" si="142"/>
        <v>391.91090000000003</v>
      </c>
      <c r="J5424" s="28">
        <f t="shared" si="143"/>
        <v>399.97370000000001</v>
      </c>
      <c r="K5424" s="28">
        <f t="shared" si="144"/>
        <v>413.36020000000002</v>
      </c>
      <c r="L5424" s="4"/>
      <c r="M5424" s="241">
        <v>391.91090000000003</v>
      </c>
    </row>
    <row r="5425" spans="3:13" hidden="1" outlineLevel="1" x14ac:dyDescent="0.2">
      <c r="C5425" s="139">
        <v>56.70000000000055</v>
      </c>
      <c r="D5425" s="28">
        <f t="shared" si="137"/>
        <v>453.6000000000044</v>
      </c>
      <c r="E5425" s="28">
        <f t="shared" si="138"/>
        <v>425.25000000000415</v>
      </c>
      <c r="F5425" s="28">
        <f t="shared" si="139"/>
        <v>407.25000000000415</v>
      </c>
      <c r="G5425" s="28">
        <f t="shared" si="140"/>
        <v>359.63310000000001</v>
      </c>
      <c r="H5425" s="28">
        <f t="shared" si="141"/>
        <v>382.22859999999997</v>
      </c>
      <c r="I5425" s="28">
        <f t="shared" si="142"/>
        <v>392.91340000000002</v>
      </c>
      <c r="J5425" s="28">
        <f t="shared" si="143"/>
        <v>400.99310000000003</v>
      </c>
      <c r="K5425" s="28">
        <f t="shared" si="144"/>
        <v>414.40570000000002</v>
      </c>
      <c r="L5425" s="4"/>
      <c r="M5425" s="241">
        <v>392.91340000000002</v>
      </c>
    </row>
    <row r="5426" spans="3:13" hidden="1" outlineLevel="1" x14ac:dyDescent="0.2">
      <c r="C5426" s="139">
        <v>56.800000000000551</v>
      </c>
      <c r="D5426" s="28">
        <f t="shared" si="137"/>
        <v>454.40000000000441</v>
      </c>
      <c r="E5426" s="28">
        <f t="shared" si="138"/>
        <v>426.00000000000415</v>
      </c>
      <c r="F5426" s="28">
        <f t="shared" si="139"/>
        <v>408.00000000000415</v>
      </c>
      <c r="G5426" s="28">
        <f t="shared" si="140"/>
        <v>360.58199999999999</v>
      </c>
      <c r="H5426" s="28">
        <f t="shared" si="141"/>
        <v>383.21440000000001</v>
      </c>
      <c r="I5426" s="28">
        <f t="shared" si="142"/>
        <v>393.91930000000002</v>
      </c>
      <c r="J5426" s="28">
        <f t="shared" si="143"/>
        <v>402.01249999999999</v>
      </c>
      <c r="K5426" s="28">
        <f t="shared" si="144"/>
        <v>415.45119999999997</v>
      </c>
      <c r="L5426" s="4"/>
      <c r="M5426" s="241">
        <v>393.91930000000002</v>
      </c>
    </row>
    <row r="5427" spans="3:13" hidden="1" outlineLevel="1" x14ac:dyDescent="0.2">
      <c r="C5427" s="139">
        <v>56.900000000000553</v>
      </c>
      <c r="D5427" s="28">
        <f t="shared" si="137"/>
        <v>455.20000000000442</v>
      </c>
      <c r="E5427" s="28">
        <f t="shared" si="138"/>
        <v>426.75000000000415</v>
      </c>
      <c r="F5427" s="28">
        <f t="shared" si="139"/>
        <v>408.75000000000415</v>
      </c>
      <c r="G5427" s="28">
        <f t="shared" si="140"/>
        <v>360.58199999999999</v>
      </c>
      <c r="H5427" s="28">
        <f t="shared" si="141"/>
        <v>383.21440000000001</v>
      </c>
      <c r="I5427" s="28">
        <f t="shared" si="142"/>
        <v>393.91930000000002</v>
      </c>
      <c r="J5427" s="28">
        <f t="shared" si="143"/>
        <v>402.01249999999999</v>
      </c>
      <c r="K5427" s="28">
        <f t="shared" si="144"/>
        <v>415.45119999999997</v>
      </c>
      <c r="L5427" s="4"/>
      <c r="M5427" s="241">
        <v>393.91930000000002</v>
      </c>
    </row>
    <row r="5428" spans="3:13" hidden="1" outlineLevel="1" x14ac:dyDescent="0.2">
      <c r="C5428" s="139">
        <v>57.000000000000554</v>
      </c>
      <c r="D5428" s="28">
        <f t="shared" si="137"/>
        <v>456.00000000000443</v>
      </c>
      <c r="E5428" s="28">
        <f t="shared" si="138"/>
        <v>427.50000000000415</v>
      </c>
      <c r="F5428" s="28">
        <f t="shared" si="139"/>
        <v>409.50000000000415</v>
      </c>
      <c r="G5428" s="28">
        <f t="shared" si="140"/>
        <v>361.52980000000002</v>
      </c>
      <c r="H5428" s="28">
        <f t="shared" si="141"/>
        <v>384.2004</v>
      </c>
      <c r="I5428" s="28">
        <f t="shared" si="142"/>
        <v>394.92219999999998</v>
      </c>
      <c r="J5428" s="28">
        <f t="shared" si="143"/>
        <v>403.03219999999999</v>
      </c>
      <c r="K5428" s="28">
        <f t="shared" si="144"/>
        <v>416.49700000000001</v>
      </c>
      <c r="L5428" s="4"/>
      <c r="M5428" s="241">
        <v>394.92219999999998</v>
      </c>
    </row>
    <row r="5429" spans="3:13" hidden="1" outlineLevel="1" x14ac:dyDescent="0.2">
      <c r="C5429" s="139">
        <v>57.100000000000556</v>
      </c>
      <c r="D5429" s="28">
        <f t="shared" si="137"/>
        <v>456.80000000000445</v>
      </c>
      <c r="E5429" s="28">
        <f t="shared" si="138"/>
        <v>428.25000000000415</v>
      </c>
      <c r="F5429" s="28">
        <f t="shared" si="139"/>
        <v>410.25000000000415</v>
      </c>
      <c r="G5429" s="28">
        <f t="shared" si="140"/>
        <v>362.4794</v>
      </c>
      <c r="H5429" s="28">
        <f t="shared" si="141"/>
        <v>385.18360000000001</v>
      </c>
      <c r="I5429" s="28">
        <f t="shared" si="142"/>
        <v>395.92849999999999</v>
      </c>
      <c r="J5429" s="28">
        <f t="shared" si="143"/>
        <v>404.05200000000002</v>
      </c>
      <c r="K5429" s="28">
        <f t="shared" si="144"/>
        <v>417.5428</v>
      </c>
      <c r="L5429" s="4"/>
      <c r="M5429" s="241">
        <v>395.92849999999999</v>
      </c>
    </row>
    <row r="5430" spans="3:13" hidden="1" outlineLevel="1" x14ac:dyDescent="0.2">
      <c r="C5430" s="139">
        <v>57.200000000000557</v>
      </c>
      <c r="D5430" s="28">
        <f t="shared" si="137"/>
        <v>457.60000000000446</v>
      </c>
      <c r="E5430" s="28">
        <f t="shared" si="138"/>
        <v>429.00000000000421</v>
      </c>
      <c r="F5430" s="28">
        <f t="shared" si="139"/>
        <v>411.00000000000421</v>
      </c>
      <c r="G5430" s="28">
        <f t="shared" si="140"/>
        <v>363.42779999999999</v>
      </c>
      <c r="H5430" s="28">
        <f t="shared" si="141"/>
        <v>386.17009999999999</v>
      </c>
      <c r="I5430" s="28">
        <f t="shared" si="142"/>
        <v>396.93180000000001</v>
      </c>
      <c r="J5430" s="28">
        <f t="shared" si="143"/>
        <v>405.072</v>
      </c>
      <c r="K5430" s="28">
        <f t="shared" si="144"/>
        <v>418.58879999999999</v>
      </c>
      <c r="L5430" s="4"/>
      <c r="M5430" s="241">
        <v>396.93180000000001</v>
      </c>
    </row>
    <row r="5431" spans="3:13" hidden="1" outlineLevel="1" x14ac:dyDescent="0.2">
      <c r="C5431" s="139">
        <v>57.300000000000558</v>
      </c>
      <c r="D5431" s="28">
        <f t="shared" si="137"/>
        <v>458.40000000000447</v>
      </c>
      <c r="E5431" s="28">
        <f t="shared" si="138"/>
        <v>429.75000000000421</v>
      </c>
      <c r="F5431" s="28">
        <f t="shared" si="139"/>
        <v>411.75000000000421</v>
      </c>
      <c r="G5431" s="28">
        <f t="shared" si="140"/>
        <v>363.42779999999999</v>
      </c>
      <c r="H5431" s="28">
        <f t="shared" si="141"/>
        <v>386.17009999999999</v>
      </c>
      <c r="I5431" s="28">
        <f t="shared" si="142"/>
        <v>396.93180000000001</v>
      </c>
      <c r="J5431" s="28">
        <f t="shared" si="143"/>
        <v>405.072</v>
      </c>
      <c r="K5431" s="28">
        <f t="shared" si="144"/>
        <v>418.58879999999999</v>
      </c>
      <c r="L5431" s="4"/>
      <c r="M5431" s="241">
        <v>396.93180000000001</v>
      </c>
    </row>
    <row r="5432" spans="3:13" hidden="1" outlineLevel="1" x14ac:dyDescent="0.2">
      <c r="C5432" s="139">
        <v>57.40000000000056</v>
      </c>
      <c r="D5432" s="28">
        <f t="shared" si="137"/>
        <v>459.20000000000448</v>
      </c>
      <c r="E5432" s="28">
        <f t="shared" si="138"/>
        <v>430.50000000000421</v>
      </c>
      <c r="F5432" s="28">
        <f t="shared" si="139"/>
        <v>412.50000000000421</v>
      </c>
      <c r="G5432" s="28">
        <f t="shared" si="140"/>
        <v>364.37650000000002</v>
      </c>
      <c r="H5432" s="28">
        <f t="shared" si="141"/>
        <v>387.15679999999998</v>
      </c>
      <c r="I5432" s="28">
        <f t="shared" si="142"/>
        <v>397.93529999999998</v>
      </c>
      <c r="J5432" s="28">
        <f t="shared" si="143"/>
        <v>406.09210000000002</v>
      </c>
      <c r="K5432" s="28">
        <f t="shared" si="144"/>
        <v>419.63490000000002</v>
      </c>
      <c r="L5432" s="4"/>
      <c r="M5432" s="241">
        <v>397.93529999999998</v>
      </c>
    </row>
    <row r="5433" spans="3:13" hidden="1" outlineLevel="1" x14ac:dyDescent="0.2">
      <c r="C5433" s="139">
        <v>57.500000000000561</v>
      </c>
      <c r="D5433" s="28">
        <f t="shared" si="137"/>
        <v>460.00000000000449</v>
      </c>
      <c r="E5433" s="28">
        <f t="shared" si="138"/>
        <v>431.25000000000421</v>
      </c>
      <c r="F5433" s="28">
        <f t="shared" si="139"/>
        <v>413.25000000000421</v>
      </c>
      <c r="G5433" s="28">
        <f t="shared" si="140"/>
        <v>365.32549999999998</v>
      </c>
      <c r="H5433" s="28">
        <f t="shared" si="141"/>
        <v>388.14069999999998</v>
      </c>
      <c r="I5433" s="28">
        <f t="shared" si="142"/>
        <v>398.93889999999999</v>
      </c>
      <c r="J5433" s="28">
        <f t="shared" si="143"/>
        <v>407.10930000000002</v>
      </c>
      <c r="K5433" s="28">
        <f t="shared" si="144"/>
        <v>420.68119999999999</v>
      </c>
      <c r="L5433" s="4"/>
      <c r="M5433" s="241">
        <v>398.93889999999999</v>
      </c>
    </row>
    <row r="5434" spans="3:13" hidden="1" outlineLevel="1" x14ac:dyDescent="0.2">
      <c r="C5434" s="139">
        <v>57.600000000000563</v>
      </c>
      <c r="D5434" s="28">
        <f t="shared" si="137"/>
        <v>460.8000000000045</v>
      </c>
      <c r="E5434" s="28">
        <f t="shared" si="138"/>
        <v>432.00000000000421</v>
      </c>
      <c r="F5434" s="28">
        <f t="shared" si="139"/>
        <v>414.00000000000421</v>
      </c>
      <c r="G5434" s="28">
        <f t="shared" si="140"/>
        <v>366.27480000000003</v>
      </c>
      <c r="H5434" s="28">
        <f t="shared" si="141"/>
        <v>389.12779999999998</v>
      </c>
      <c r="I5434" s="28">
        <f t="shared" si="142"/>
        <v>399.94589999999999</v>
      </c>
      <c r="J5434" s="28">
        <f t="shared" si="143"/>
        <v>408.12979999999999</v>
      </c>
      <c r="K5434" s="28">
        <f t="shared" si="144"/>
        <v>421.7276</v>
      </c>
      <c r="L5434" s="4"/>
      <c r="M5434" s="241">
        <v>399.94589999999999</v>
      </c>
    </row>
    <row r="5435" spans="3:13" hidden="1" outlineLevel="1" x14ac:dyDescent="0.2">
      <c r="C5435" s="139">
        <v>57.700000000000564</v>
      </c>
      <c r="D5435" s="28">
        <f t="shared" ref="D5435:D5498" si="145">C5435*Channels.per.TRX</f>
        <v>461.60000000000451</v>
      </c>
      <c r="E5435" s="28">
        <f t="shared" ref="E5435:E5498" si="146">D5435-C5435*sig.channel.per.TRX</f>
        <v>432.75000000000421</v>
      </c>
      <c r="F5435" s="28">
        <f t="shared" ref="F5435:F5498" si="147">MAX(0,E5435-GPRS.channel.per.sector)</f>
        <v>414.75000000000421</v>
      </c>
      <c r="G5435" s="28">
        <f t="shared" ref="G5435:G5498" si="148">INDEX(D$10:D$4326,MATCH($F5435,$C$10:$C$4326,1))</f>
        <v>366.27480000000003</v>
      </c>
      <c r="H5435" s="28">
        <f t="shared" ref="H5435:H5498" si="149">INDEX(E$10:E$4326,MATCH($F5435,$C$10:$C$4326,1))</f>
        <v>389.12779999999998</v>
      </c>
      <c r="I5435" s="28">
        <f t="shared" ref="I5435:I5498" si="150">INDEX(F$10:F$4326,MATCH($F5435,$C$10:$C$4326,1))</f>
        <v>399.94589999999999</v>
      </c>
      <c r="J5435" s="28">
        <f t="shared" ref="J5435:J5498" si="151">INDEX(G$10:G$4326,MATCH($F5435,$C$10:$C$4326,1))</f>
        <v>408.12979999999999</v>
      </c>
      <c r="K5435" s="28">
        <f t="shared" ref="K5435:K5498" si="152">INDEX(H$10:H$4326,MATCH($F5435,$C$10:$C$4326,1))</f>
        <v>421.7276</v>
      </c>
      <c r="L5435" s="4"/>
      <c r="M5435" s="241">
        <v>399.94589999999999</v>
      </c>
    </row>
    <row r="5436" spans="3:13" hidden="1" outlineLevel="1" x14ac:dyDescent="0.2">
      <c r="C5436" s="139">
        <v>57.800000000000566</v>
      </c>
      <c r="D5436" s="28">
        <f t="shared" si="145"/>
        <v>462.40000000000452</v>
      </c>
      <c r="E5436" s="28">
        <f t="shared" si="146"/>
        <v>433.50000000000426</v>
      </c>
      <c r="F5436" s="28">
        <f t="shared" si="147"/>
        <v>415.50000000000426</v>
      </c>
      <c r="G5436" s="28">
        <f t="shared" si="148"/>
        <v>367.2244</v>
      </c>
      <c r="H5436" s="28">
        <f t="shared" si="149"/>
        <v>390.1121</v>
      </c>
      <c r="I5436" s="28">
        <f t="shared" si="150"/>
        <v>400.95</v>
      </c>
      <c r="J5436" s="28">
        <f t="shared" si="151"/>
        <v>409.15039999999999</v>
      </c>
      <c r="K5436" s="28">
        <f t="shared" si="152"/>
        <v>422.77409999999998</v>
      </c>
      <c r="L5436" s="4"/>
      <c r="M5436" s="241">
        <v>400.95</v>
      </c>
    </row>
    <row r="5437" spans="3:13" hidden="1" outlineLevel="1" x14ac:dyDescent="0.2">
      <c r="C5437" s="139">
        <v>57.900000000000567</v>
      </c>
      <c r="D5437" s="28">
        <f t="shared" si="145"/>
        <v>463.20000000000454</v>
      </c>
      <c r="E5437" s="28">
        <f t="shared" si="146"/>
        <v>434.25000000000426</v>
      </c>
      <c r="F5437" s="28">
        <f t="shared" si="147"/>
        <v>416.25000000000426</v>
      </c>
      <c r="G5437" s="28">
        <f t="shared" si="148"/>
        <v>368.17439999999999</v>
      </c>
      <c r="H5437" s="28">
        <f t="shared" si="149"/>
        <v>391.09660000000002</v>
      </c>
      <c r="I5437" s="28">
        <f t="shared" si="150"/>
        <v>401.95420000000001</v>
      </c>
      <c r="J5437" s="28">
        <f t="shared" si="151"/>
        <v>410.16809999999998</v>
      </c>
      <c r="K5437" s="28">
        <f t="shared" si="152"/>
        <v>423.82080000000002</v>
      </c>
      <c r="L5437" s="4"/>
      <c r="M5437" s="241">
        <v>401.95420000000001</v>
      </c>
    </row>
    <row r="5438" spans="3:13" hidden="1" outlineLevel="1" x14ac:dyDescent="0.2">
      <c r="C5438" s="139">
        <v>58.000000000000568</v>
      </c>
      <c r="D5438" s="28">
        <f t="shared" si="145"/>
        <v>464.00000000000455</v>
      </c>
      <c r="E5438" s="28">
        <f t="shared" si="146"/>
        <v>435.00000000000426</v>
      </c>
      <c r="F5438" s="28">
        <f t="shared" si="147"/>
        <v>417.00000000000426</v>
      </c>
      <c r="G5438" s="28">
        <f t="shared" si="148"/>
        <v>369.12299999999999</v>
      </c>
      <c r="H5438" s="28">
        <f t="shared" si="149"/>
        <v>392.08440000000002</v>
      </c>
      <c r="I5438" s="28">
        <f t="shared" si="150"/>
        <v>402.95859999999999</v>
      </c>
      <c r="J5438" s="28">
        <f t="shared" si="151"/>
        <v>411.1891</v>
      </c>
      <c r="K5438" s="28">
        <f t="shared" si="152"/>
        <v>424.86759999999998</v>
      </c>
      <c r="L5438" s="4"/>
      <c r="M5438" s="241">
        <v>402.95859999999999</v>
      </c>
    </row>
    <row r="5439" spans="3:13" hidden="1" outlineLevel="1" x14ac:dyDescent="0.2">
      <c r="C5439" s="139">
        <v>58.10000000000057</v>
      </c>
      <c r="D5439" s="28">
        <f t="shared" si="145"/>
        <v>464.80000000000456</v>
      </c>
      <c r="E5439" s="28">
        <f t="shared" si="146"/>
        <v>435.75000000000426</v>
      </c>
      <c r="F5439" s="28">
        <f t="shared" si="147"/>
        <v>417.75000000000426</v>
      </c>
      <c r="G5439" s="28">
        <f t="shared" si="148"/>
        <v>369.12299999999999</v>
      </c>
      <c r="H5439" s="28">
        <f t="shared" si="149"/>
        <v>392.08440000000002</v>
      </c>
      <c r="I5439" s="28">
        <f t="shared" si="150"/>
        <v>402.95859999999999</v>
      </c>
      <c r="J5439" s="28">
        <f t="shared" si="151"/>
        <v>411.1891</v>
      </c>
      <c r="K5439" s="28">
        <f t="shared" si="152"/>
        <v>424.86759999999998</v>
      </c>
      <c r="L5439" s="4"/>
      <c r="M5439" s="241">
        <v>402.95859999999999</v>
      </c>
    </row>
    <row r="5440" spans="3:13" hidden="1" outlineLevel="1" x14ac:dyDescent="0.2">
      <c r="C5440" s="139">
        <v>58.200000000000571</v>
      </c>
      <c r="D5440" s="28">
        <f t="shared" si="145"/>
        <v>465.60000000000457</v>
      </c>
      <c r="E5440" s="28">
        <f t="shared" si="146"/>
        <v>436.50000000000426</v>
      </c>
      <c r="F5440" s="28">
        <f t="shared" si="147"/>
        <v>418.50000000000426</v>
      </c>
      <c r="G5440" s="28">
        <f t="shared" si="148"/>
        <v>370.072</v>
      </c>
      <c r="H5440" s="28">
        <f t="shared" si="149"/>
        <v>393.0693</v>
      </c>
      <c r="I5440" s="28">
        <f t="shared" si="150"/>
        <v>403.96319999999997</v>
      </c>
      <c r="J5440" s="28">
        <f t="shared" si="151"/>
        <v>412.20699999999999</v>
      </c>
      <c r="K5440" s="28">
        <f t="shared" si="152"/>
        <v>425.91449999999998</v>
      </c>
      <c r="L5440" s="4"/>
      <c r="M5440" s="241">
        <v>403.96319999999997</v>
      </c>
    </row>
    <row r="5441" spans="3:13" hidden="1" outlineLevel="1" x14ac:dyDescent="0.2">
      <c r="C5441" s="139">
        <v>58.300000000000573</v>
      </c>
      <c r="D5441" s="28">
        <f t="shared" si="145"/>
        <v>466.40000000000458</v>
      </c>
      <c r="E5441" s="28">
        <f t="shared" si="146"/>
        <v>437.25000000000432</v>
      </c>
      <c r="F5441" s="28">
        <f t="shared" si="147"/>
        <v>419.25000000000432</v>
      </c>
      <c r="G5441" s="28">
        <f t="shared" si="148"/>
        <v>371.0213</v>
      </c>
      <c r="H5441" s="28">
        <f t="shared" si="149"/>
        <v>394.05439999999999</v>
      </c>
      <c r="I5441" s="28">
        <f t="shared" si="150"/>
        <v>404.96800000000002</v>
      </c>
      <c r="J5441" s="28">
        <f t="shared" si="151"/>
        <v>413.22829999999999</v>
      </c>
      <c r="K5441" s="28">
        <f t="shared" si="152"/>
        <v>426.9581</v>
      </c>
      <c r="L5441" s="4"/>
      <c r="M5441" s="241">
        <v>404.96800000000002</v>
      </c>
    </row>
    <row r="5442" spans="3:13" hidden="1" outlineLevel="1" x14ac:dyDescent="0.2">
      <c r="C5442" s="139">
        <v>58.400000000000574</v>
      </c>
      <c r="D5442" s="28">
        <f t="shared" si="145"/>
        <v>467.20000000000459</v>
      </c>
      <c r="E5442" s="28">
        <f t="shared" si="146"/>
        <v>438.00000000000432</v>
      </c>
      <c r="F5442" s="28">
        <f t="shared" si="147"/>
        <v>420.00000000000432</v>
      </c>
      <c r="G5442" s="28">
        <f t="shared" si="148"/>
        <v>371.97089999999997</v>
      </c>
      <c r="H5442" s="28">
        <f t="shared" si="149"/>
        <v>395.03969999999998</v>
      </c>
      <c r="I5442" s="28">
        <f t="shared" si="150"/>
        <v>405.97300000000001</v>
      </c>
      <c r="J5442" s="28">
        <f t="shared" si="151"/>
        <v>414.2466</v>
      </c>
      <c r="K5442" s="28">
        <f t="shared" si="152"/>
        <v>428.00529999999998</v>
      </c>
      <c r="L5442" s="4"/>
      <c r="M5442" s="241">
        <v>405.97300000000001</v>
      </c>
    </row>
    <row r="5443" spans="3:13" hidden="1" outlineLevel="1" x14ac:dyDescent="0.2">
      <c r="C5443" s="139">
        <v>58.500000000000576</v>
      </c>
      <c r="D5443" s="28">
        <f t="shared" si="145"/>
        <v>468.0000000000046</v>
      </c>
      <c r="E5443" s="28">
        <f t="shared" si="146"/>
        <v>438.75000000000432</v>
      </c>
      <c r="F5443" s="28">
        <f t="shared" si="147"/>
        <v>420.75000000000432</v>
      </c>
      <c r="G5443" s="28">
        <f t="shared" si="148"/>
        <v>371.97089999999997</v>
      </c>
      <c r="H5443" s="28">
        <f t="shared" si="149"/>
        <v>395.03969999999998</v>
      </c>
      <c r="I5443" s="28">
        <f t="shared" si="150"/>
        <v>405.97300000000001</v>
      </c>
      <c r="J5443" s="28">
        <f t="shared" si="151"/>
        <v>414.2466</v>
      </c>
      <c r="K5443" s="28">
        <f t="shared" si="152"/>
        <v>428.00529999999998</v>
      </c>
      <c r="L5443" s="4"/>
      <c r="M5443" s="241">
        <v>405.97300000000001</v>
      </c>
    </row>
    <row r="5444" spans="3:13" hidden="1" outlineLevel="1" x14ac:dyDescent="0.2">
      <c r="C5444" s="139">
        <v>58.600000000000577</v>
      </c>
      <c r="D5444" s="28">
        <f t="shared" si="145"/>
        <v>468.80000000000462</v>
      </c>
      <c r="E5444" s="28">
        <f t="shared" si="146"/>
        <v>439.50000000000432</v>
      </c>
      <c r="F5444" s="28">
        <f t="shared" si="147"/>
        <v>421.50000000000432</v>
      </c>
      <c r="G5444" s="28">
        <f t="shared" si="148"/>
        <v>372.92070000000001</v>
      </c>
      <c r="H5444" s="28">
        <f t="shared" si="149"/>
        <v>396.02530000000002</v>
      </c>
      <c r="I5444" s="28">
        <f t="shared" si="150"/>
        <v>406.97809999999998</v>
      </c>
      <c r="J5444" s="28">
        <f t="shared" si="151"/>
        <v>415.26819999999998</v>
      </c>
      <c r="K5444" s="28">
        <f t="shared" si="152"/>
        <v>429.05259999999998</v>
      </c>
      <c r="L5444" s="4"/>
      <c r="M5444" s="241">
        <v>406.97809999999998</v>
      </c>
    </row>
    <row r="5445" spans="3:13" hidden="1" outlineLevel="1" x14ac:dyDescent="0.2">
      <c r="C5445" s="139">
        <v>58.700000000000578</v>
      </c>
      <c r="D5445" s="28">
        <f t="shared" si="145"/>
        <v>469.60000000000463</v>
      </c>
      <c r="E5445" s="28">
        <f t="shared" si="146"/>
        <v>440.25000000000432</v>
      </c>
      <c r="F5445" s="28">
        <f t="shared" si="147"/>
        <v>422.25000000000432</v>
      </c>
      <c r="G5445" s="28">
        <f t="shared" si="148"/>
        <v>373.87169999999998</v>
      </c>
      <c r="H5445" s="28">
        <f t="shared" si="149"/>
        <v>397.01100000000002</v>
      </c>
      <c r="I5445" s="28">
        <f t="shared" si="150"/>
        <v>407.98020000000002</v>
      </c>
      <c r="J5445" s="28">
        <f t="shared" si="151"/>
        <v>416.28680000000003</v>
      </c>
      <c r="K5445" s="28">
        <f t="shared" si="152"/>
        <v>430.09649999999999</v>
      </c>
      <c r="L5445" s="4"/>
      <c r="M5445" s="241">
        <v>407.98020000000002</v>
      </c>
    </row>
    <row r="5446" spans="3:13" hidden="1" outlineLevel="1" x14ac:dyDescent="0.2">
      <c r="C5446" s="139">
        <v>58.80000000000058</v>
      </c>
      <c r="D5446" s="28">
        <f t="shared" si="145"/>
        <v>470.40000000000464</v>
      </c>
      <c r="E5446" s="28">
        <f t="shared" si="146"/>
        <v>441.00000000000432</v>
      </c>
      <c r="F5446" s="28">
        <f t="shared" si="147"/>
        <v>423.00000000000432</v>
      </c>
      <c r="G5446" s="28">
        <f t="shared" si="148"/>
        <v>374.82220000000001</v>
      </c>
      <c r="H5446" s="28">
        <f t="shared" si="149"/>
        <v>397.99700000000001</v>
      </c>
      <c r="I5446" s="28">
        <f t="shared" si="150"/>
        <v>408.98570000000001</v>
      </c>
      <c r="J5446" s="28">
        <f t="shared" si="151"/>
        <v>417.30549999999999</v>
      </c>
      <c r="K5446" s="28">
        <f t="shared" si="152"/>
        <v>431.14409999999998</v>
      </c>
      <c r="L5446" s="4"/>
      <c r="M5446" s="241">
        <v>408.98570000000001</v>
      </c>
    </row>
    <row r="5447" spans="3:13" hidden="1" outlineLevel="1" x14ac:dyDescent="0.2">
      <c r="C5447" s="139">
        <v>58.900000000000581</v>
      </c>
      <c r="D5447" s="28">
        <f t="shared" si="145"/>
        <v>471.20000000000465</v>
      </c>
      <c r="E5447" s="28">
        <f t="shared" si="146"/>
        <v>441.75000000000438</v>
      </c>
      <c r="F5447" s="28">
        <f t="shared" si="147"/>
        <v>423.75000000000438</v>
      </c>
      <c r="G5447" s="28">
        <f t="shared" si="148"/>
        <v>374.82220000000001</v>
      </c>
      <c r="H5447" s="28">
        <f t="shared" si="149"/>
        <v>397.99700000000001</v>
      </c>
      <c r="I5447" s="28">
        <f t="shared" si="150"/>
        <v>408.98570000000001</v>
      </c>
      <c r="J5447" s="28">
        <f t="shared" si="151"/>
        <v>417.30549999999999</v>
      </c>
      <c r="K5447" s="28">
        <f t="shared" si="152"/>
        <v>431.14409999999998</v>
      </c>
      <c r="L5447" s="4"/>
      <c r="M5447" s="241">
        <v>408.98570000000001</v>
      </c>
    </row>
    <row r="5448" spans="3:13" hidden="1" outlineLevel="1" x14ac:dyDescent="0.2">
      <c r="C5448" s="139">
        <v>59.000000000000583</v>
      </c>
      <c r="D5448" s="28">
        <f t="shared" si="145"/>
        <v>472.00000000000466</v>
      </c>
      <c r="E5448" s="28">
        <f t="shared" si="146"/>
        <v>442.50000000000438</v>
      </c>
      <c r="F5448" s="28">
        <f t="shared" si="147"/>
        <v>424.50000000000438</v>
      </c>
      <c r="G5448" s="28">
        <f t="shared" si="148"/>
        <v>375.76979999999998</v>
      </c>
      <c r="H5448" s="28">
        <f t="shared" si="149"/>
        <v>398.98320000000001</v>
      </c>
      <c r="I5448" s="28">
        <f t="shared" si="150"/>
        <v>409.9914</v>
      </c>
      <c r="J5448" s="28">
        <f t="shared" si="151"/>
        <v>418.32769999999999</v>
      </c>
      <c r="K5448" s="28">
        <f t="shared" si="152"/>
        <v>432.1918</v>
      </c>
      <c r="L5448" s="4"/>
      <c r="M5448" s="241">
        <v>409.9914</v>
      </c>
    </row>
    <row r="5449" spans="3:13" hidden="1" outlineLevel="1" x14ac:dyDescent="0.2">
      <c r="C5449" s="139">
        <v>59.100000000000584</v>
      </c>
      <c r="D5449" s="28">
        <f t="shared" si="145"/>
        <v>472.80000000000467</v>
      </c>
      <c r="E5449" s="28">
        <f t="shared" si="146"/>
        <v>443.25000000000438</v>
      </c>
      <c r="F5449" s="28">
        <f t="shared" si="147"/>
        <v>425.25000000000438</v>
      </c>
      <c r="G5449" s="28">
        <f t="shared" si="148"/>
        <v>376.72089999999997</v>
      </c>
      <c r="H5449" s="28">
        <f t="shared" si="149"/>
        <v>399.96960000000001</v>
      </c>
      <c r="I5449" s="28">
        <f t="shared" si="150"/>
        <v>410.9941</v>
      </c>
      <c r="J5449" s="28">
        <f t="shared" si="151"/>
        <v>419.3467</v>
      </c>
      <c r="K5449" s="28">
        <f t="shared" si="152"/>
        <v>433.23610000000002</v>
      </c>
      <c r="L5449" s="4"/>
      <c r="M5449" s="241">
        <v>410.9941</v>
      </c>
    </row>
    <row r="5450" spans="3:13" hidden="1" outlineLevel="1" x14ac:dyDescent="0.2">
      <c r="C5450" s="139">
        <v>59.200000000000585</v>
      </c>
      <c r="D5450" s="28">
        <f t="shared" si="145"/>
        <v>473.60000000000468</v>
      </c>
      <c r="E5450" s="28">
        <f t="shared" si="146"/>
        <v>444.00000000000438</v>
      </c>
      <c r="F5450" s="28">
        <f t="shared" si="147"/>
        <v>426.00000000000438</v>
      </c>
      <c r="G5450" s="28">
        <f t="shared" si="148"/>
        <v>377.67230000000001</v>
      </c>
      <c r="H5450" s="28">
        <f t="shared" si="149"/>
        <v>400.95620000000002</v>
      </c>
      <c r="I5450" s="28">
        <f t="shared" si="150"/>
        <v>412.00009999999997</v>
      </c>
      <c r="J5450" s="28">
        <f t="shared" si="151"/>
        <v>420.36590000000001</v>
      </c>
      <c r="K5450" s="28">
        <f t="shared" si="152"/>
        <v>434.28410000000002</v>
      </c>
      <c r="L5450" s="4"/>
      <c r="M5450" s="241">
        <v>412.00009999999997</v>
      </c>
    </row>
    <row r="5451" spans="3:13" hidden="1" outlineLevel="1" x14ac:dyDescent="0.2">
      <c r="C5451" s="139">
        <v>59.300000000000587</v>
      </c>
      <c r="D5451" s="28">
        <f t="shared" si="145"/>
        <v>474.4000000000047</v>
      </c>
      <c r="E5451" s="28">
        <f t="shared" si="146"/>
        <v>444.75000000000438</v>
      </c>
      <c r="F5451" s="28">
        <f t="shared" si="147"/>
        <v>426.75000000000438</v>
      </c>
      <c r="G5451" s="28">
        <f t="shared" si="148"/>
        <v>377.67230000000001</v>
      </c>
      <c r="H5451" s="28">
        <f t="shared" si="149"/>
        <v>400.95620000000002</v>
      </c>
      <c r="I5451" s="28">
        <f t="shared" si="150"/>
        <v>412.00009999999997</v>
      </c>
      <c r="J5451" s="28">
        <f t="shared" si="151"/>
        <v>420.36590000000001</v>
      </c>
      <c r="K5451" s="28">
        <f t="shared" si="152"/>
        <v>434.28410000000002</v>
      </c>
      <c r="L5451" s="4"/>
      <c r="M5451" s="241">
        <v>412.00009999999997</v>
      </c>
    </row>
    <row r="5452" spans="3:13" hidden="1" outlineLevel="1" x14ac:dyDescent="0.2">
      <c r="C5452" s="139">
        <v>59.400000000000588</v>
      </c>
      <c r="D5452" s="28">
        <f t="shared" si="145"/>
        <v>475.20000000000471</v>
      </c>
      <c r="E5452" s="28">
        <f t="shared" si="146"/>
        <v>445.50000000000443</v>
      </c>
      <c r="F5452" s="28">
        <f t="shared" si="147"/>
        <v>427.50000000000443</v>
      </c>
      <c r="G5452" s="28">
        <f t="shared" si="148"/>
        <v>378.62079999999997</v>
      </c>
      <c r="H5452" s="28">
        <f t="shared" si="149"/>
        <v>401.94299999999998</v>
      </c>
      <c r="I5452" s="28">
        <f t="shared" si="150"/>
        <v>413.00630000000001</v>
      </c>
      <c r="J5452" s="28">
        <f t="shared" si="151"/>
        <v>421.38529999999997</v>
      </c>
      <c r="K5452" s="28">
        <f t="shared" si="152"/>
        <v>435.32859999999999</v>
      </c>
      <c r="L5452" s="4"/>
      <c r="M5452" s="241">
        <v>413.00630000000001</v>
      </c>
    </row>
    <row r="5453" spans="3:13" hidden="1" outlineLevel="1" x14ac:dyDescent="0.2">
      <c r="C5453" s="139">
        <v>59.50000000000059</v>
      </c>
      <c r="D5453" s="28">
        <f t="shared" si="145"/>
        <v>476.00000000000472</v>
      </c>
      <c r="E5453" s="28">
        <f t="shared" si="146"/>
        <v>446.25000000000443</v>
      </c>
      <c r="F5453" s="28">
        <f t="shared" si="147"/>
        <v>428.25000000000443</v>
      </c>
      <c r="G5453" s="28">
        <f t="shared" si="148"/>
        <v>379.57279999999997</v>
      </c>
      <c r="H5453" s="28">
        <f t="shared" si="149"/>
        <v>402.93</v>
      </c>
      <c r="I5453" s="28">
        <f t="shared" si="150"/>
        <v>414.0095</v>
      </c>
      <c r="J5453" s="28">
        <f t="shared" si="151"/>
        <v>422.40480000000002</v>
      </c>
      <c r="K5453" s="28">
        <f t="shared" si="152"/>
        <v>436.3768</v>
      </c>
      <c r="L5453" s="4"/>
      <c r="M5453" s="241">
        <v>414.0095</v>
      </c>
    </row>
    <row r="5454" spans="3:13" hidden="1" outlineLevel="1" x14ac:dyDescent="0.2">
      <c r="C5454" s="139">
        <v>59.600000000000591</v>
      </c>
      <c r="D5454" s="28">
        <f t="shared" si="145"/>
        <v>476.80000000000473</v>
      </c>
      <c r="E5454" s="28">
        <f t="shared" si="146"/>
        <v>447.00000000000443</v>
      </c>
      <c r="F5454" s="28">
        <f t="shared" si="147"/>
        <v>429.00000000000443</v>
      </c>
      <c r="G5454" s="28">
        <f t="shared" si="148"/>
        <v>380.52179999999998</v>
      </c>
      <c r="H5454" s="28">
        <f t="shared" si="149"/>
        <v>403.91399999999999</v>
      </c>
      <c r="I5454" s="28">
        <f t="shared" si="150"/>
        <v>415.01609999999999</v>
      </c>
      <c r="J5454" s="28">
        <f t="shared" si="151"/>
        <v>423.42439999999999</v>
      </c>
      <c r="K5454" s="28">
        <f t="shared" si="152"/>
        <v>437.42160000000001</v>
      </c>
      <c r="L5454" s="4"/>
      <c r="M5454" s="241">
        <v>415.01609999999999</v>
      </c>
    </row>
    <row r="5455" spans="3:13" hidden="1" outlineLevel="1" x14ac:dyDescent="0.2">
      <c r="C5455" s="139">
        <v>59.700000000000593</v>
      </c>
      <c r="D5455" s="28">
        <f t="shared" si="145"/>
        <v>477.60000000000474</v>
      </c>
      <c r="E5455" s="28">
        <f t="shared" si="146"/>
        <v>447.75000000000443</v>
      </c>
      <c r="F5455" s="28">
        <f t="shared" si="147"/>
        <v>429.75000000000443</v>
      </c>
      <c r="G5455" s="28">
        <f t="shared" si="148"/>
        <v>380.52179999999998</v>
      </c>
      <c r="H5455" s="28">
        <f t="shared" si="149"/>
        <v>403.91399999999999</v>
      </c>
      <c r="I5455" s="28">
        <f t="shared" si="150"/>
        <v>415.01609999999999</v>
      </c>
      <c r="J5455" s="28">
        <f t="shared" si="151"/>
        <v>423.42439999999999</v>
      </c>
      <c r="K5455" s="28">
        <f t="shared" si="152"/>
        <v>437.42160000000001</v>
      </c>
      <c r="L5455" s="4"/>
      <c r="M5455" s="241">
        <v>415.01609999999999</v>
      </c>
    </row>
    <row r="5456" spans="3:13" hidden="1" outlineLevel="1" x14ac:dyDescent="0.2">
      <c r="C5456" s="139">
        <v>59.800000000000594</v>
      </c>
      <c r="D5456" s="28">
        <f t="shared" si="145"/>
        <v>478.40000000000475</v>
      </c>
      <c r="E5456" s="28">
        <f t="shared" si="146"/>
        <v>448.50000000000443</v>
      </c>
      <c r="F5456" s="28">
        <f t="shared" si="147"/>
        <v>430.50000000000443</v>
      </c>
      <c r="G5456" s="28">
        <f t="shared" si="148"/>
        <v>381.47109999999998</v>
      </c>
      <c r="H5456" s="28">
        <f t="shared" si="149"/>
        <v>404.9015</v>
      </c>
      <c r="I5456" s="28">
        <f t="shared" si="150"/>
        <v>416.01960000000003</v>
      </c>
      <c r="J5456" s="28">
        <f t="shared" si="151"/>
        <v>424.44749999999999</v>
      </c>
      <c r="K5456" s="28">
        <f t="shared" si="152"/>
        <v>438.4701</v>
      </c>
      <c r="L5456" s="4"/>
      <c r="M5456" s="241">
        <v>416.01960000000003</v>
      </c>
    </row>
    <row r="5457" spans="3:13" hidden="1" outlineLevel="1" x14ac:dyDescent="0.2">
      <c r="C5457" s="139">
        <v>59.900000000000595</v>
      </c>
      <c r="D5457" s="28">
        <f t="shared" si="145"/>
        <v>479.20000000000476</v>
      </c>
      <c r="E5457" s="28">
        <f t="shared" si="146"/>
        <v>449.25000000000449</v>
      </c>
      <c r="F5457" s="28">
        <f t="shared" si="147"/>
        <v>431.25000000000449</v>
      </c>
      <c r="G5457" s="28">
        <f t="shared" si="148"/>
        <v>382.42079999999999</v>
      </c>
      <c r="H5457" s="28">
        <f t="shared" si="149"/>
        <v>405.88580000000002</v>
      </c>
      <c r="I5457" s="28">
        <f t="shared" si="150"/>
        <v>417.0265</v>
      </c>
      <c r="J5457" s="28">
        <f t="shared" si="151"/>
        <v>425.46749999999997</v>
      </c>
      <c r="K5457" s="28">
        <f t="shared" si="152"/>
        <v>439.51510000000002</v>
      </c>
      <c r="L5457" s="4"/>
      <c r="M5457" s="241">
        <v>417.0265</v>
      </c>
    </row>
    <row r="5458" spans="3:13" hidden="1" outlineLevel="1" x14ac:dyDescent="0.2">
      <c r="C5458" s="139">
        <v>60.000000000000597</v>
      </c>
      <c r="D5458" s="28">
        <f t="shared" si="145"/>
        <v>480.00000000000477</v>
      </c>
      <c r="E5458" s="28">
        <f t="shared" si="146"/>
        <v>450.00000000000449</v>
      </c>
      <c r="F5458" s="28">
        <f t="shared" si="147"/>
        <v>432.00000000000449</v>
      </c>
      <c r="G5458" s="28">
        <f t="shared" si="148"/>
        <v>383.37400000000002</v>
      </c>
      <c r="H5458" s="28">
        <f t="shared" si="149"/>
        <v>406.87369999999999</v>
      </c>
      <c r="I5458" s="28">
        <f t="shared" si="150"/>
        <v>418.03030000000001</v>
      </c>
      <c r="J5458" s="28">
        <f t="shared" si="151"/>
        <v>426.48430000000002</v>
      </c>
      <c r="K5458" s="28">
        <f t="shared" si="152"/>
        <v>440.56029999999998</v>
      </c>
      <c r="L5458" s="4"/>
      <c r="M5458" s="241">
        <v>418.03030000000001</v>
      </c>
    </row>
    <row r="5459" spans="3:13" hidden="1" outlineLevel="1" x14ac:dyDescent="0.2">
      <c r="C5459" s="139">
        <v>60.100000000000598</v>
      </c>
      <c r="D5459" s="28">
        <f t="shared" si="145"/>
        <v>480.80000000000479</v>
      </c>
      <c r="E5459" s="28">
        <f t="shared" si="146"/>
        <v>450.75000000000449</v>
      </c>
      <c r="F5459" s="28">
        <f t="shared" si="147"/>
        <v>432.75000000000449</v>
      </c>
      <c r="G5459" s="28">
        <f t="shared" si="148"/>
        <v>383.37400000000002</v>
      </c>
      <c r="H5459" s="28">
        <f t="shared" si="149"/>
        <v>406.87369999999999</v>
      </c>
      <c r="I5459" s="28">
        <f t="shared" si="150"/>
        <v>418.03030000000001</v>
      </c>
      <c r="J5459" s="28">
        <f t="shared" si="151"/>
        <v>426.48430000000002</v>
      </c>
      <c r="K5459" s="28">
        <f t="shared" si="152"/>
        <v>440.56029999999998</v>
      </c>
      <c r="L5459" s="4"/>
      <c r="M5459" s="241">
        <v>418.03030000000001</v>
      </c>
    </row>
    <row r="5460" spans="3:13" hidden="1" outlineLevel="1" x14ac:dyDescent="0.2">
      <c r="C5460" s="139">
        <v>60.2000000000006</v>
      </c>
      <c r="D5460" s="28">
        <f t="shared" si="145"/>
        <v>481.6000000000048</v>
      </c>
      <c r="E5460" s="28">
        <f t="shared" si="146"/>
        <v>451.50000000000449</v>
      </c>
      <c r="F5460" s="28">
        <f t="shared" si="147"/>
        <v>433.50000000000449</v>
      </c>
      <c r="G5460" s="28">
        <f t="shared" si="148"/>
        <v>384.32420000000002</v>
      </c>
      <c r="H5460" s="28">
        <f t="shared" si="149"/>
        <v>407.86180000000002</v>
      </c>
      <c r="I5460" s="28">
        <f t="shared" si="150"/>
        <v>419.03429999999997</v>
      </c>
      <c r="J5460" s="28">
        <f t="shared" si="151"/>
        <v>427.50459999999998</v>
      </c>
      <c r="K5460" s="28">
        <f t="shared" si="152"/>
        <v>441.60919999999999</v>
      </c>
      <c r="L5460" s="4"/>
      <c r="M5460" s="241">
        <v>419.03429999999997</v>
      </c>
    </row>
    <row r="5461" spans="3:13" hidden="1" outlineLevel="1" x14ac:dyDescent="0.2">
      <c r="C5461" s="139">
        <v>60.300000000000601</v>
      </c>
      <c r="D5461" s="28">
        <f t="shared" si="145"/>
        <v>482.40000000000481</v>
      </c>
      <c r="E5461" s="28">
        <f t="shared" si="146"/>
        <v>452.25000000000449</v>
      </c>
      <c r="F5461" s="28">
        <f t="shared" si="147"/>
        <v>434.25000000000449</v>
      </c>
      <c r="G5461" s="28">
        <f t="shared" si="148"/>
        <v>385.2747</v>
      </c>
      <c r="H5461" s="28">
        <f t="shared" si="149"/>
        <v>408.84679999999997</v>
      </c>
      <c r="I5461" s="28">
        <f t="shared" si="150"/>
        <v>420.0385</v>
      </c>
      <c r="J5461" s="28">
        <f t="shared" si="151"/>
        <v>428.52499999999998</v>
      </c>
      <c r="K5461" s="28">
        <f t="shared" si="152"/>
        <v>442.65449999999998</v>
      </c>
      <c r="L5461" s="4"/>
      <c r="M5461" s="241">
        <v>420.0385</v>
      </c>
    </row>
    <row r="5462" spans="3:13" hidden="1" outlineLevel="1" x14ac:dyDescent="0.2">
      <c r="C5462" s="139">
        <v>60.400000000000603</v>
      </c>
      <c r="D5462" s="28">
        <f t="shared" si="145"/>
        <v>483.20000000000482</v>
      </c>
      <c r="E5462" s="28">
        <f t="shared" si="146"/>
        <v>453.00000000000455</v>
      </c>
      <c r="F5462" s="28">
        <f t="shared" si="147"/>
        <v>435.00000000000455</v>
      </c>
      <c r="G5462" s="28">
        <f t="shared" si="148"/>
        <v>386.22550000000001</v>
      </c>
      <c r="H5462" s="28">
        <f t="shared" si="149"/>
        <v>409.83199999999999</v>
      </c>
      <c r="I5462" s="28">
        <f t="shared" si="150"/>
        <v>421.0462</v>
      </c>
      <c r="J5462" s="28">
        <f t="shared" si="151"/>
        <v>429.54559999999998</v>
      </c>
      <c r="K5462" s="28">
        <f t="shared" si="152"/>
        <v>443.7</v>
      </c>
      <c r="L5462" s="4"/>
      <c r="M5462" s="241">
        <v>421.0462</v>
      </c>
    </row>
    <row r="5463" spans="3:13" hidden="1" outlineLevel="1" x14ac:dyDescent="0.2">
      <c r="C5463" s="139">
        <v>60.500000000000604</v>
      </c>
      <c r="D5463" s="28">
        <f t="shared" si="145"/>
        <v>484.00000000000483</v>
      </c>
      <c r="E5463" s="28">
        <f t="shared" si="146"/>
        <v>453.75000000000455</v>
      </c>
      <c r="F5463" s="28">
        <f t="shared" si="147"/>
        <v>435.75000000000455</v>
      </c>
      <c r="G5463" s="28">
        <f t="shared" si="148"/>
        <v>386.22550000000001</v>
      </c>
      <c r="H5463" s="28">
        <f t="shared" si="149"/>
        <v>409.83199999999999</v>
      </c>
      <c r="I5463" s="28">
        <f t="shared" si="150"/>
        <v>421.0462</v>
      </c>
      <c r="J5463" s="28">
        <f t="shared" si="151"/>
        <v>429.54559999999998</v>
      </c>
      <c r="K5463" s="28">
        <f t="shared" si="152"/>
        <v>443.7</v>
      </c>
      <c r="L5463" s="4"/>
      <c r="M5463" s="241">
        <v>421.0462</v>
      </c>
    </row>
    <row r="5464" spans="3:13" hidden="1" outlineLevel="1" x14ac:dyDescent="0.2">
      <c r="C5464" s="139">
        <v>60.600000000000605</v>
      </c>
      <c r="D5464" s="28">
        <f t="shared" si="145"/>
        <v>484.80000000000484</v>
      </c>
      <c r="E5464" s="28">
        <f t="shared" si="146"/>
        <v>454.50000000000455</v>
      </c>
      <c r="F5464" s="28">
        <f t="shared" si="147"/>
        <v>436.50000000000455</v>
      </c>
      <c r="G5464" s="28">
        <f t="shared" si="148"/>
        <v>387.17649999999998</v>
      </c>
      <c r="H5464" s="28">
        <f t="shared" si="149"/>
        <v>410.82069999999999</v>
      </c>
      <c r="I5464" s="28">
        <f t="shared" si="150"/>
        <v>422.05070000000001</v>
      </c>
      <c r="J5464" s="28">
        <f t="shared" si="151"/>
        <v>430.56630000000001</v>
      </c>
      <c r="K5464" s="28">
        <f t="shared" si="152"/>
        <v>444.74560000000002</v>
      </c>
      <c r="L5464" s="4"/>
      <c r="M5464" s="241">
        <v>422.05070000000001</v>
      </c>
    </row>
    <row r="5465" spans="3:13" hidden="1" outlineLevel="1" x14ac:dyDescent="0.2">
      <c r="C5465" s="139">
        <v>60.700000000000607</v>
      </c>
      <c r="D5465" s="28">
        <f t="shared" si="145"/>
        <v>485.60000000000485</v>
      </c>
      <c r="E5465" s="28">
        <f t="shared" si="146"/>
        <v>455.25000000000455</v>
      </c>
      <c r="F5465" s="28">
        <f t="shared" si="147"/>
        <v>437.25000000000455</v>
      </c>
      <c r="G5465" s="28">
        <f t="shared" si="148"/>
        <v>388.12790000000001</v>
      </c>
      <c r="H5465" s="28">
        <f t="shared" si="149"/>
        <v>411.80630000000002</v>
      </c>
      <c r="I5465" s="28">
        <f t="shared" si="150"/>
        <v>423.05540000000002</v>
      </c>
      <c r="J5465" s="28">
        <f t="shared" si="151"/>
        <v>431.5872</v>
      </c>
      <c r="K5465" s="28">
        <f t="shared" si="152"/>
        <v>445.79500000000002</v>
      </c>
      <c r="L5465" s="4"/>
      <c r="M5465" s="241">
        <v>423.05540000000002</v>
      </c>
    </row>
    <row r="5466" spans="3:13" hidden="1" outlineLevel="1" x14ac:dyDescent="0.2">
      <c r="C5466" s="139">
        <v>60.800000000000608</v>
      </c>
      <c r="D5466" s="28">
        <f t="shared" si="145"/>
        <v>486.40000000000487</v>
      </c>
      <c r="E5466" s="28">
        <f t="shared" si="146"/>
        <v>456.00000000000455</v>
      </c>
      <c r="F5466" s="28">
        <f t="shared" si="147"/>
        <v>438.00000000000455</v>
      </c>
      <c r="G5466" s="28">
        <f t="shared" si="148"/>
        <v>389.07619999999997</v>
      </c>
      <c r="H5466" s="28">
        <f t="shared" si="149"/>
        <v>412.7921</v>
      </c>
      <c r="I5466" s="28">
        <f t="shared" si="150"/>
        <v>424.06020000000001</v>
      </c>
      <c r="J5466" s="28">
        <f t="shared" si="151"/>
        <v>432.60489999999999</v>
      </c>
      <c r="K5466" s="28">
        <f t="shared" si="152"/>
        <v>446.84089999999998</v>
      </c>
      <c r="L5466" s="4"/>
      <c r="M5466" s="241">
        <v>424.06020000000001</v>
      </c>
    </row>
    <row r="5467" spans="3:13" hidden="1" outlineLevel="1" x14ac:dyDescent="0.2">
      <c r="C5467" s="139">
        <v>60.90000000000061</v>
      </c>
      <c r="D5467" s="28">
        <f t="shared" si="145"/>
        <v>487.20000000000488</v>
      </c>
      <c r="E5467" s="28">
        <f t="shared" si="146"/>
        <v>456.75000000000455</v>
      </c>
      <c r="F5467" s="28">
        <f t="shared" si="147"/>
        <v>438.75000000000455</v>
      </c>
      <c r="G5467" s="28">
        <f t="shared" si="148"/>
        <v>389.07619999999997</v>
      </c>
      <c r="H5467" s="28">
        <f t="shared" si="149"/>
        <v>412.7921</v>
      </c>
      <c r="I5467" s="28">
        <f t="shared" si="150"/>
        <v>424.06020000000001</v>
      </c>
      <c r="J5467" s="28">
        <f t="shared" si="151"/>
        <v>432.60489999999999</v>
      </c>
      <c r="K5467" s="28">
        <f t="shared" si="152"/>
        <v>446.84089999999998</v>
      </c>
      <c r="L5467" s="4"/>
      <c r="M5467" s="241">
        <v>424.06020000000001</v>
      </c>
    </row>
    <row r="5468" spans="3:13" hidden="1" outlineLevel="1" x14ac:dyDescent="0.2">
      <c r="C5468" s="139">
        <v>61.000000000000611</v>
      </c>
      <c r="D5468" s="28">
        <f t="shared" si="145"/>
        <v>488.00000000000489</v>
      </c>
      <c r="E5468" s="28">
        <f t="shared" si="146"/>
        <v>457.5000000000046</v>
      </c>
      <c r="F5468" s="28">
        <f t="shared" si="147"/>
        <v>439.5000000000046</v>
      </c>
      <c r="G5468" s="28">
        <f t="shared" si="148"/>
        <v>390.02809999999999</v>
      </c>
      <c r="H5468" s="28">
        <f t="shared" si="149"/>
        <v>413.77809999999999</v>
      </c>
      <c r="I5468" s="28">
        <f t="shared" si="150"/>
        <v>425.0652</v>
      </c>
      <c r="J5468" s="28">
        <f t="shared" si="151"/>
        <v>433.62599999999998</v>
      </c>
      <c r="K5468" s="28">
        <f t="shared" si="152"/>
        <v>447.88690000000003</v>
      </c>
      <c r="L5468" s="4"/>
      <c r="M5468" s="241">
        <v>425.0652</v>
      </c>
    </row>
    <row r="5469" spans="3:13" hidden="1" outlineLevel="1" x14ac:dyDescent="0.2">
      <c r="C5469" s="139">
        <v>61.100000000000612</v>
      </c>
      <c r="D5469" s="28">
        <f t="shared" si="145"/>
        <v>488.8000000000049</v>
      </c>
      <c r="E5469" s="28">
        <f t="shared" si="146"/>
        <v>458.2500000000046</v>
      </c>
      <c r="F5469" s="28">
        <f t="shared" si="147"/>
        <v>440.2500000000046</v>
      </c>
      <c r="G5469" s="28">
        <f t="shared" si="148"/>
        <v>390.98039999999997</v>
      </c>
      <c r="H5469" s="28">
        <f t="shared" si="149"/>
        <v>414.76760000000002</v>
      </c>
      <c r="I5469" s="28">
        <f t="shared" si="150"/>
        <v>426.07040000000001</v>
      </c>
      <c r="J5469" s="28">
        <f t="shared" si="151"/>
        <v>434.6474</v>
      </c>
      <c r="K5469" s="28">
        <f t="shared" si="152"/>
        <v>448.93299999999999</v>
      </c>
      <c r="L5469" s="4"/>
      <c r="M5469" s="241">
        <v>426.07040000000001</v>
      </c>
    </row>
    <row r="5470" spans="3:13" hidden="1" outlineLevel="1" x14ac:dyDescent="0.2">
      <c r="C5470" s="139">
        <v>61.200000000000614</v>
      </c>
      <c r="D5470" s="28">
        <f t="shared" si="145"/>
        <v>489.60000000000491</v>
      </c>
      <c r="E5470" s="28">
        <f t="shared" si="146"/>
        <v>459.0000000000046</v>
      </c>
      <c r="F5470" s="28">
        <f t="shared" si="147"/>
        <v>441.0000000000046</v>
      </c>
      <c r="G5470" s="28">
        <f t="shared" si="148"/>
        <v>391.92950000000002</v>
      </c>
      <c r="H5470" s="28">
        <f t="shared" si="149"/>
        <v>415.75400000000002</v>
      </c>
      <c r="I5470" s="28">
        <f t="shared" si="150"/>
        <v>427.07580000000002</v>
      </c>
      <c r="J5470" s="28">
        <f t="shared" si="151"/>
        <v>435.66550000000001</v>
      </c>
      <c r="K5470" s="28">
        <f t="shared" si="152"/>
        <v>449.97919999999999</v>
      </c>
      <c r="L5470" s="4"/>
      <c r="M5470" s="241">
        <v>427.07580000000002</v>
      </c>
    </row>
    <row r="5471" spans="3:13" hidden="1" outlineLevel="1" x14ac:dyDescent="0.2">
      <c r="C5471" s="139">
        <v>61.300000000000615</v>
      </c>
      <c r="D5471" s="28">
        <f t="shared" si="145"/>
        <v>490.40000000000492</v>
      </c>
      <c r="E5471" s="28">
        <f t="shared" si="146"/>
        <v>459.7500000000046</v>
      </c>
      <c r="F5471" s="28">
        <f t="shared" si="147"/>
        <v>441.7500000000046</v>
      </c>
      <c r="G5471" s="28">
        <f t="shared" si="148"/>
        <v>391.92950000000002</v>
      </c>
      <c r="H5471" s="28">
        <f t="shared" si="149"/>
        <v>415.75400000000002</v>
      </c>
      <c r="I5471" s="28">
        <f t="shared" si="150"/>
        <v>427.07580000000002</v>
      </c>
      <c r="J5471" s="28">
        <f t="shared" si="151"/>
        <v>435.66550000000001</v>
      </c>
      <c r="K5471" s="28">
        <f t="shared" si="152"/>
        <v>449.97919999999999</v>
      </c>
      <c r="L5471" s="4"/>
      <c r="M5471" s="241">
        <v>427.07580000000002</v>
      </c>
    </row>
    <row r="5472" spans="3:13" hidden="1" outlineLevel="1" x14ac:dyDescent="0.2">
      <c r="C5472" s="139">
        <v>61.400000000000617</v>
      </c>
      <c r="D5472" s="28">
        <f t="shared" si="145"/>
        <v>491.20000000000493</v>
      </c>
      <c r="E5472" s="28">
        <f t="shared" si="146"/>
        <v>460.5000000000046</v>
      </c>
      <c r="F5472" s="28">
        <f t="shared" si="147"/>
        <v>442.5000000000046</v>
      </c>
      <c r="G5472" s="28">
        <f t="shared" si="148"/>
        <v>392.88229999999999</v>
      </c>
      <c r="H5472" s="28">
        <f t="shared" si="149"/>
        <v>416.74059999999997</v>
      </c>
      <c r="I5472" s="28">
        <f t="shared" si="150"/>
        <v>428.0813</v>
      </c>
      <c r="J5472" s="28">
        <f t="shared" si="151"/>
        <v>436.68709999999999</v>
      </c>
      <c r="K5472" s="28">
        <f t="shared" si="152"/>
        <v>451.02550000000002</v>
      </c>
      <c r="L5472" s="4"/>
      <c r="M5472" s="241">
        <v>428.0813</v>
      </c>
    </row>
    <row r="5473" spans="3:13" hidden="1" outlineLevel="1" x14ac:dyDescent="0.2">
      <c r="C5473" s="139">
        <v>61.500000000000618</v>
      </c>
      <c r="D5473" s="28">
        <f t="shared" si="145"/>
        <v>492.00000000000495</v>
      </c>
      <c r="E5473" s="28">
        <f t="shared" si="146"/>
        <v>461.25000000000466</v>
      </c>
      <c r="F5473" s="28">
        <f t="shared" si="147"/>
        <v>443.25000000000466</v>
      </c>
      <c r="G5473" s="28">
        <f t="shared" si="148"/>
        <v>393.83199999999999</v>
      </c>
      <c r="H5473" s="28">
        <f t="shared" si="149"/>
        <v>417.72739999999999</v>
      </c>
      <c r="I5473" s="28">
        <f t="shared" si="150"/>
        <v>429.08699999999999</v>
      </c>
      <c r="J5473" s="28">
        <f t="shared" si="151"/>
        <v>437.70890000000003</v>
      </c>
      <c r="K5473" s="28">
        <f t="shared" si="152"/>
        <v>452.07190000000003</v>
      </c>
      <c r="L5473" s="4"/>
      <c r="M5473" s="241">
        <v>429.08699999999999</v>
      </c>
    </row>
    <row r="5474" spans="3:13" hidden="1" outlineLevel="1" x14ac:dyDescent="0.2">
      <c r="C5474" s="139">
        <v>61.60000000000062</v>
      </c>
      <c r="D5474" s="28">
        <f t="shared" si="145"/>
        <v>492.80000000000496</v>
      </c>
      <c r="E5474" s="28">
        <f t="shared" si="146"/>
        <v>462.00000000000466</v>
      </c>
      <c r="F5474" s="28">
        <f t="shared" si="147"/>
        <v>444.00000000000466</v>
      </c>
      <c r="G5474" s="28">
        <f t="shared" si="148"/>
        <v>394.78539999999998</v>
      </c>
      <c r="H5474" s="28">
        <f t="shared" si="149"/>
        <v>418.71440000000001</v>
      </c>
      <c r="I5474" s="28">
        <f t="shared" si="150"/>
        <v>430.09280000000001</v>
      </c>
      <c r="J5474" s="28">
        <f t="shared" si="151"/>
        <v>438.72739999999999</v>
      </c>
      <c r="K5474" s="28">
        <f t="shared" si="152"/>
        <v>453.11849999999998</v>
      </c>
      <c r="L5474" s="4"/>
      <c r="M5474" s="241">
        <v>430.09280000000001</v>
      </c>
    </row>
    <row r="5475" spans="3:13" hidden="1" outlineLevel="1" x14ac:dyDescent="0.2">
      <c r="C5475" s="139">
        <v>61.700000000000621</v>
      </c>
      <c r="D5475" s="28">
        <f t="shared" si="145"/>
        <v>493.60000000000497</v>
      </c>
      <c r="E5475" s="28">
        <f t="shared" si="146"/>
        <v>462.75000000000466</v>
      </c>
      <c r="F5475" s="28">
        <f t="shared" si="147"/>
        <v>444.75000000000466</v>
      </c>
      <c r="G5475" s="28">
        <f t="shared" si="148"/>
        <v>394.78539999999998</v>
      </c>
      <c r="H5475" s="28">
        <f t="shared" si="149"/>
        <v>418.71440000000001</v>
      </c>
      <c r="I5475" s="28">
        <f t="shared" si="150"/>
        <v>430.09280000000001</v>
      </c>
      <c r="J5475" s="28">
        <f t="shared" si="151"/>
        <v>438.72739999999999</v>
      </c>
      <c r="K5475" s="28">
        <f t="shared" si="152"/>
        <v>453.11849999999998</v>
      </c>
      <c r="L5475" s="4"/>
      <c r="M5475" s="241">
        <v>430.09280000000001</v>
      </c>
    </row>
    <row r="5476" spans="3:13" hidden="1" outlineLevel="1" x14ac:dyDescent="0.2">
      <c r="C5476" s="139">
        <v>61.800000000000622</v>
      </c>
      <c r="D5476" s="28">
        <f t="shared" si="145"/>
        <v>494.40000000000498</v>
      </c>
      <c r="E5476" s="28">
        <f t="shared" si="146"/>
        <v>463.50000000000466</v>
      </c>
      <c r="F5476" s="28">
        <f t="shared" si="147"/>
        <v>445.50000000000466</v>
      </c>
      <c r="G5476" s="28">
        <f t="shared" si="148"/>
        <v>395.73570000000001</v>
      </c>
      <c r="H5476" s="28">
        <f t="shared" si="149"/>
        <v>419.70159999999998</v>
      </c>
      <c r="I5476" s="28">
        <f t="shared" si="150"/>
        <v>431.09879999999998</v>
      </c>
      <c r="J5476" s="28">
        <f t="shared" si="151"/>
        <v>439.74950000000001</v>
      </c>
      <c r="K5476" s="28">
        <f t="shared" si="152"/>
        <v>454.16520000000003</v>
      </c>
      <c r="L5476" s="4"/>
      <c r="M5476" s="241">
        <v>431.09879999999998</v>
      </c>
    </row>
    <row r="5477" spans="3:13" hidden="1" outlineLevel="1" x14ac:dyDescent="0.2">
      <c r="C5477" s="139">
        <v>61.900000000000624</v>
      </c>
      <c r="D5477" s="28">
        <f t="shared" si="145"/>
        <v>495.20000000000499</v>
      </c>
      <c r="E5477" s="28">
        <f t="shared" si="146"/>
        <v>464.25000000000466</v>
      </c>
      <c r="F5477" s="28">
        <f t="shared" si="147"/>
        <v>446.25000000000466</v>
      </c>
      <c r="G5477" s="28">
        <f t="shared" si="148"/>
        <v>396.68619999999999</v>
      </c>
      <c r="H5477" s="28">
        <f t="shared" si="149"/>
        <v>420.68549999999999</v>
      </c>
      <c r="I5477" s="28">
        <f t="shared" si="150"/>
        <v>432.10500000000002</v>
      </c>
      <c r="J5477" s="28">
        <f t="shared" si="151"/>
        <v>440.76830000000001</v>
      </c>
      <c r="K5477" s="28">
        <f t="shared" si="152"/>
        <v>455.21199999999999</v>
      </c>
      <c r="L5477" s="4"/>
      <c r="M5477" s="241">
        <v>432.10500000000002</v>
      </c>
    </row>
    <row r="5478" spans="3:13" hidden="1" outlineLevel="1" x14ac:dyDescent="0.2">
      <c r="C5478" s="139">
        <v>62.000000000000625</v>
      </c>
      <c r="D5478" s="28">
        <f t="shared" si="145"/>
        <v>496.000000000005</v>
      </c>
      <c r="E5478" s="28">
        <f t="shared" si="146"/>
        <v>465.00000000000466</v>
      </c>
      <c r="F5478" s="28">
        <f t="shared" si="147"/>
        <v>447.00000000000466</v>
      </c>
      <c r="G5478" s="28">
        <f t="shared" si="148"/>
        <v>397.637</v>
      </c>
      <c r="H5478" s="28">
        <f t="shared" si="149"/>
        <v>421.67309999999998</v>
      </c>
      <c r="I5478" s="28">
        <f t="shared" si="150"/>
        <v>433.108</v>
      </c>
      <c r="J5478" s="28">
        <f t="shared" si="151"/>
        <v>441.78730000000002</v>
      </c>
      <c r="K5478" s="28">
        <f t="shared" si="152"/>
        <v>456.25889999999998</v>
      </c>
      <c r="L5478" s="4"/>
      <c r="M5478" s="241">
        <v>433.108</v>
      </c>
    </row>
    <row r="5479" spans="3:13" hidden="1" outlineLevel="1" x14ac:dyDescent="0.2">
      <c r="C5479" s="139">
        <v>62.100000000000627</v>
      </c>
      <c r="D5479" s="28">
        <f t="shared" si="145"/>
        <v>496.80000000000501</v>
      </c>
      <c r="E5479" s="28">
        <f t="shared" si="146"/>
        <v>465.75000000000472</v>
      </c>
      <c r="F5479" s="28">
        <f t="shared" si="147"/>
        <v>447.75000000000472</v>
      </c>
      <c r="G5479" s="28">
        <f t="shared" si="148"/>
        <v>397.637</v>
      </c>
      <c r="H5479" s="28">
        <f t="shared" si="149"/>
        <v>421.67309999999998</v>
      </c>
      <c r="I5479" s="28">
        <f t="shared" si="150"/>
        <v>433.108</v>
      </c>
      <c r="J5479" s="28">
        <f t="shared" si="151"/>
        <v>441.78730000000002</v>
      </c>
      <c r="K5479" s="28">
        <f t="shared" si="152"/>
        <v>456.25889999999998</v>
      </c>
      <c r="L5479" s="4"/>
      <c r="M5479" s="241">
        <v>433.108</v>
      </c>
    </row>
    <row r="5480" spans="3:13" hidden="1" outlineLevel="1" x14ac:dyDescent="0.2">
      <c r="C5480" s="139">
        <v>62.200000000000628</v>
      </c>
      <c r="D5480" s="28">
        <f t="shared" si="145"/>
        <v>497.60000000000502</v>
      </c>
      <c r="E5480" s="28">
        <f t="shared" si="146"/>
        <v>466.50000000000472</v>
      </c>
      <c r="F5480" s="28">
        <f t="shared" si="147"/>
        <v>448.50000000000472</v>
      </c>
      <c r="G5480" s="28">
        <f t="shared" si="148"/>
        <v>398.59160000000003</v>
      </c>
      <c r="H5480" s="28">
        <f t="shared" si="149"/>
        <v>422.66090000000003</v>
      </c>
      <c r="I5480" s="28">
        <f t="shared" si="150"/>
        <v>434.11450000000002</v>
      </c>
      <c r="J5480" s="28">
        <f t="shared" si="151"/>
        <v>442.8098</v>
      </c>
      <c r="K5480" s="28">
        <f t="shared" si="152"/>
        <v>457.30590000000001</v>
      </c>
      <c r="L5480" s="4"/>
      <c r="M5480" s="241">
        <v>434.11450000000002</v>
      </c>
    </row>
    <row r="5481" spans="3:13" hidden="1" outlineLevel="1" x14ac:dyDescent="0.2">
      <c r="C5481" s="139">
        <v>62.30000000000063</v>
      </c>
      <c r="D5481" s="28">
        <f t="shared" si="145"/>
        <v>498.40000000000504</v>
      </c>
      <c r="E5481" s="28">
        <f t="shared" si="146"/>
        <v>467.25000000000472</v>
      </c>
      <c r="F5481" s="28">
        <f t="shared" si="147"/>
        <v>449.25000000000472</v>
      </c>
      <c r="G5481" s="28">
        <f t="shared" si="148"/>
        <v>399.54289999999997</v>
      </c>
      <c r="H5481" s="28">
        <f t="shared" si="149"/>
        <v>423.64890000000003</v>
      </c>
      <c r="I5481" s="28">
        <f t="shared" si="150"/>
        <v>435.12119999999999</v>
      </c>
      <c r="J5481" s="28">
        <f t="shared" si="151"/>
        <v>443.82909999999998</v>
      </c>
      <c r="K5481" s="28">
        <f t="shared" si="152"/>
        <v>458.35309999999998</v>
      </c>
      <c r="L5481" s="4"/>
      <c r="M5481" s="241">
        <v>435.12119999999999</v>
      </c>
    </row>
    <row r="5482" spans="3:13" hidden="1" outlineLevel="1" x14ac:dyDescent="0.2">
      <c r="C5482" s="139">
        <v>62.400000000000631</v>
      </c>
      <c r="D5482" s="28">
        <f t="shared" si="145"/>
        <v>499.20000000000505</v>
      </c>
      <c r="E5482" s="28">
        <f t="shared" si="146"/>
        <v>468.00000000000472</v>
      </c>
      <c r="F5482" s="28">
        <f t="shared" si="147"/>
        <v>450.00000000000472</v>
      </c>
      <c r="G5482" s="28">
        <f t="shared" si="148"/>
        <v>400.49459999999999</v>
      </c>
      <c r="H5482" s="28">
        <f t="shared" si="149"/>
        <v>424.6336</v>
      </c>
      <c r="I5482" s="28">
        <f t="shared" si="150"/>
        <v>436.12459999999999</v>
      </c>
      <c r="J5482" s="28">
        <f t="shared" si="151"/>
        <v>444.84840000000003</v>
      </c>
      <c r="K5482" s="28">
        <f t="shared" si="152"/>
        <v>459.40030000000002</v>
      </c>
      <c r="L5482" s="4"/>
      <c r="M5482" s="241">
        <v>436.12459999999999</v>
      </c>
    </row>
    <row r="5483" spans="3:13" hidden="1" outlineLevel="1" x14ac:dyDescent="0.2">
      <c r="C5483" s="139">
        <v>62.500000000000632</v>
      </c>
      <c r="D5483" s="28">
        <f t="shared" si="145"/>
        <v>500.00000000000506</v>
      </c>
      <c r="E5483" s="28">
        <f t="shared" si="146"/>
        <v>468.75000000000472</v>
      </c>
      <c r="F5483" s="28">
        <f t="shared" si="147"/>
        <v>450.75000000000472</v>
      </c>
      <c r="G5483" s="28">
        <f t="shared" si="148"/>
        <v>400.49459999999999</v>
      </c>
      <c r="H5483" s="28">
        <f t="shared" si="149"/>
        <v>424.6336</v>
      </c>
      <c r="I5483" s="28">
        <f t="shared" si="150"/>
        <v>436.12459999999999</v>
      </c>
      <c r="J5483" s="28">
        <f t="shared" si="151"/>
        <v>444.84840000000003</v>
      </c>
      <c r="K5483" s="28">
        <f t="shared" si="152"/>
        <v>459.40030000000002</v>
      </c>
      <c r="L5483" s="4"/>
      <c r="M5483" s="241">
        <v>436.12459999999999</v>
      </c>
    </row>
    <row r="5484" spans="3:13" hidden="1" outlineLevel="1" x14ac:dyDescent="0.2">
      <c r="C5484" s="139">
        <v>62.600000000000634</v>
      </c>
      <c r="D5484" s="28">
        <f t="shared" si="145"/>
        <v>500.80000000000507</v>
      </c>
      <c r="E5484" s="28">
        <f t="shared" si="146"/>
        <v>469.50000000000477</v>
      </c>
      <c r="F5484" s="28">
        <f t="shared" si="147"/>
        <v>451.50000000000477</v>
      </c>
      <c r="G5484" s="28">
        <f t="shared" si="148"/>
        <v>401.44650000000001</v>
      </c>
      <c r="H5484" s="28">
        <f t="shared" si="149"/>
        <v>425.62200000000001</v>
      </c>
      <c r="I5484" s="28">
        <f t="shared" si="150"/>
        <v>437.13159999999999</v>
      </c>
      <c r="J5484" s="28">
        <f t="shared" si="151"/>
        <v>445.87139999999999</v>
      </c>
      <c r="K5484" s="28">
        <f t="shared" si="152"/>
        <v>460.4477</v>
      </c>
      <c r="L5484" s="4"/>
      <c r="M5484" s="241">
        <v>437.13159999999999</v>
      </c>
    </row>
    <row r="5485" spans="3:13" hidden="1" outlineLevel="1" x14ac:dyDescent="0.2">
      <c r="C5485" s="139">
        <v>62.700000000000635</v>
      </c>
      <c r="D5485" s="28">
        <f t="shared" si="145"/>
        <v>501.60000000000508</v>
      </c>
      <c r="E5485" s="28">
        <f t="shared" si="146"/>
        <v>470.25000000000477</v>
      </c>
      <c r="F5485" s="28">
        <f t="shared" si="147"/>
        <v>452.25000000000477</v>
      </c>
      <c r="G5485" s="28">
        <f t="shared" si="148"/>
        <v>402.39870000000002</v>
      </c>
      <c r="H5485" s="28">
        <f t="shared" si="149"/>
        <v>426.6105</v>
      </c>
      <c r="I5485" s="28">
        <f t="shared" si="150"/>
        <v>438.1354</v>
      </c>
      <c r="J5485" s="28">
        <f t="shared" si="151"/>
        <v>446.89109999999999</v>
      </c>
      <c r="K5485" s="28">
        <f t="shared" si="152"/>
        <v>461.49520000000001</v>
      </c>
      <c r="L5485" s="4"/>
      <c r="M5485" s="241">
        <v>438.1354</v>
      </c>
    </row>
    <row r="5486" spans="3:13" hidden="1" outlineLevel="1" x14ac:dyDescent="0.2">
      <c r="C5486" s="139">
        <v>62.800000000000637</v>
      </c>
      <c r="D5486" s="28">
        <f t="shared" si="145"/>
        <v>502.40000000000509</v>
      </c>
      <c r="E5486" s="28">
        <f t="shared" si="146"/>
        <v>471.00000000000477</v>
      </c>
      <c r="F5486" s="28">
        <f t="shared" si="147"/>
        <v>453.00000000000477</v>
      </c>
      <c r="G5486" s="28">
        <f t="shared" si="148"/>
        <v>403.34769999999997</v>
      </c>
      <c r="H5486" s="28">
        <f t="shared" si="149"/>
        <v>427.5958</v>
      </c>
      <c r="I5486" s="28">
        <f t="shared" si="150"/>
        <v>439.14269999999999</v>
      </c>
      <c r="J5486" s="28">
        <f t="shared" si="151"/>
        <v>447.91090000000003</v>
      </c>
      <c r="K5486" s="28">
        <f t="shared" si="152"/>
        <v>462.53910000000002</v>
      </c>
      <c r="L5486" s="4"/>
      <c r="M5486" s="241">
        <v>439.14269999999999</v>
      </c>
    </row>
    <row r="5487" spans="3:13" hidden="1" outlineLevel="1" x14ac:dyDescent="0.2">
      <c r="C5487" s="139">
        <v>62.900000000000638</v>
      </c>
      <c r="D5487" s="28">
        <f t="shared" si="145"/>
        <v>503.2000000000051</v>
      </c>
      <c r="E5487" s="28">
        <f t="shared" si="146"/>
        <v>471.75000000000477</v>
      </c>
      <c r="F5487" s="28">
        <f t="shared" si="147"/>
        <v>453.75000000000477</v>
      </c>
      <c r="G5487" s="28">
        <f t="shared" si="148"/>
        <v>403.34769999999997</v>
      </c>
      <c r="H5487" s="28">
        <f t="shared" si="149"/>
        <v>427.5958</v>
      </c>
      <c r="I5487" s="28">
        <f t="shared" si="150"/>
        <v>439.14269999999999</v>
      </c>
      <c r="J5487" s="28">
        <f t="shared" si="151"/>
        <v>447.91090000000003</v>
      </c>
      <c r="K5487" s="28">
        <f t="shared" si="152"/>
        <v>462.53910000000002</v>
      </c>
      <c r="L5487" s="4"/>
      <c r="M5487" s="241">
        <v>439.14269999999999</v>
      </c>
    </row>
    <row r="5488" spans="3:13" hidden="1" outlineLevel="1" x14ac:dyDescent="0.2">
      <c r="C5488" s="139">
        <v>63.000000000000639</v>
      </c>
      <c r="D5488" s="28">
        <f t="shared" si="145"/>
        <v>504.00000000000512</v>
      </c>
      <c r="E5488" s="28">
        <f t="shared" si="146"/>
        <v>472.50000000000477</v>
      </c>
      <c r="F5488" s="28">
        <f t="shared" si="147"/>
        <v>454.50000000000477</v>
      </c>
      <c r="G5488" s="28">
        <f t="shared" si="148"/>
        <v>404.3005</v>
      </c>
      <c r="H5488" s="28">
        <f t="shared" si="149"/>
        <v>428.58479999999997</v>
      </c>
      <c r="I5488" s="28">
        <f t="shared" si="150"/>
        <v>440.14679999999998</v>
      </c>
      <c r="J5488" s="28">
        <f t="shared" si="151"/>
        <v>448.93079999999998</v>
      </c>
      <c r="K5488" s="28">
        <f t="shared" si="152"/>
        <v>463.58679999999998</v>
      </c>
      <c r="L5488" s="4"/>
      <c r="M5488" s="241">
        <v>440.14679999999998</v>
      </c>
    </row>
    <row r="5489" spans="3:13" hidden="1" outlineLevel="1" x14ac:dyDescent="0.2">
      <c r="C5489" s="139">
        <v>63.100000000000641</v>
      </c>
      <c r="D5489" s="28">
        <f t="shared" si="145"/>
        <v>504.80000000000513</v>
      </c>
      <c r="E5489" s="28">
        <f t="shared" si="146"/>
        <v>473.25000000000483</v>
      </c>
      <c r="F5489" s="28">
        <f t="shared" si="147"/>
        <v>455.25000000000483</v>
      </c>
      <c r="G5489" s="28">
        <f t="shared" si="148"/>
        <v>405.25349999999997</v>
      </c>
      <c r="H5489" s="28">
        <f t="shared" si="149"/>
        <v>429.57040000000001</v>
      </c>
      <c r="I5489" s="28">
        <f t="shared" si="150"/>
        <v>441.15440000000001</v>
      </c>
      <c r="J5489" s="28">
        <f t="shared" si="151"/>
        <v>449.95089999999999</v>
      </c>
      <c r="K5489" s="28">
        <f t="shared" si="152"/>
        <v>464.63459999999998</v>
      </c>
      <c r="L5489" s="4"/>
      <c r="M5489" s="241">
        <v>441.15440000000001</v>
      </c>
    </row>
    <row r="5490" spans="3:13" hidden="1" outlineLevel="1" x14ac:dyDescent="0.2">
      <c r="C5490" s="139">
        <v>63.200000000000642</v>
      </c>
      <c r="D5490" s="28">
        <f t="shared" si="145"/>
        <v>505.60000000000514</v>
      </c>
      <c r="E5490" s="28">
        <f t="shared" si="146"/>
        <v>474.00000000000483</v>
      </c>
      <c r="F5490" s="28">
        <f t="shared" si="147"/>
        <v>456.00000000000483</v>
      </c>
      <c r="G5490" s="28">
        <f t="shared" si="148"/>
        <v>406.20679999999999</v>
      </c>
      <c r="H5490" s="28">
        <f t="shared" si="149"/>
        <v>430.5598</v>
      </c>
      <c r="I5490" s="28">
        <f t="shared" si="150"/>
        <v>442.15879999999999</v>
      </c>
      <c r="J5490" s="28">
        <f t="shared" si="151"/>
        <v>450.97460000000001</v>
      </c>
      <c r="K5490" s="28">
        <f t="shared" si="152"/>
        <v>465.67880000000002</v>
      </c>
      <c r="L5490" s="4"/>
      <c r="M5490" s="241">
        <v>442.15879999999999</v>
      </c>
    </row>
    <row r="5491" spans="3:13" hidden="1" outlineLevel="1" x14ac:dyDescent="0.2">
      <c r="C5491" s="139">
        <v>63.300000000000644</v>
      </c>
      <c r="D5491" s="28">
        <f t="shared" si="145"/>
        <v>506.40000000000515</v>
      </c>
      <c r="E5491" s="28">
        <f t="shared" si="146"/>
        <v>474.75000000000483</v>
      </c>
      <c r="F5491" s="28">
        <f t="shared" si="147"/>
        <v>456.75000000000483</v>
      </c>
      <c r="G5491" s="28">
        <f t="shared" si="148"/>
        <v>406.20679999999999</v>
      </c>
      <c r="H5491" s="28">
        <f t="shared" si="149"/>
        <v>430.5598</v>
      </c>
      <c r="I5491" s="28">
        <f t="shared" si="150"/>
        <v>442.15879999999999</v>
      </c>
      <c r="J5491" s="28">
        <f t="shared" si="151"/>
        <v>450.97460000000001</v>
      </c>
      <c r="K5491" s="28">
        <f t="shared" si="152"/>
        <v>465.67880000000002</v>
      </c>
      <c r="L5491" s="4"/>
      <c r="M5491" s="241">
        <v>442.15879999999999</v>
      </c>
    </row>
    <row r="5492" spans="3:13" hidden="1" outlineLevel="1" x14ac:dyDescent="0.2">
      <c r="C5492" s="139">
        <v>63.400000000000645</v>
      </c>
      <c r="D5492" s="28">
        <f t="shared" si="145"/>
        <v>507.20000000000516</v>
      </c>
      <c r="E5492" s="28">
        <f t="shared" si="146"/>
        <v>475.50000000000483</v>
      </c>
      <c r="F5492" s="28">
        <f t="shared" si="147"/>
        <v>457.50000000000483</v>
      </c>
      <c r="G5492" s="28">
        <f t="shared" si="148"/>
        <v>407.15679999999998</v>
      </c>
      <c r="H5492" s="28">
        <f t="shared" si="149"/>
        <v>431.54579999999999</v>
      </c>
      <c r="I5492" s="28">
        <f t="shared" si="150"/>
        <v>443.16680000000002</v>
      </c>
      <c r="J5492" s="28">
        <f t="shared" si="151"/>
        <v>451.99489999999997</v>
      </c>
      <c r="K5492" s="28">
        <f t="shared" si="152"/>
        <v>466.72680000000003</v>
      </c>
      <c r="L5492" s="4"/>
      <c r="M5492" s="241">
        <v>443.16680000000002</v>
      </c>
    </row>
    <row r="5493" spans="3:13" hidden="1" outlineLevel="1" x14ac:dyDescent="0.2">
      <c r="C5493" s="139">
        <v>63.500000000000647</v>
      </c>
      <c r="D5493" s="28">
        <f t="shared" si="145"/>
        <v>508.00000000000517</v>
      </c>
      <c r="E5493" s="28">
        <f t="shared" si="146"/>
        <v>476.25000000000483</v>
      </c>
      <c r="F5493" s="28">
        <f t="shared" si="147"/>
        <v>458.25000000000483</v>
      </c>
      <c r="G5493" s="28">
        <f t="shared" si="148"/>
        <v>408.11070000000001</v>
      </c>
      <c r="H5493" s="28">
        <f t="shared" si="149"/>
        <v>432.53210000000001</v>
      </c>
      <c r="I5493" s="28">
        <f t="shared" si="150"/>
        <v>444.17149999999998</v>
      </c>
      <c r="J5493" s="28">
        <f t="shared" si="151"/>
        <v>453.0154</v>
      </c>
      <c r="K5493" s="28">
        <f t="shared" si="152"/>
        <v>467.77499999999998</v>
      </c>
      <c r="L5493" s="4"/>
      <c r="M5493" s="241">
        <v>444.17149999999998</v>
      </c>
    </row>
    <row r="5494" spans="3:13" hidden="1" outlineLevel="1" x14ac:dyDescent="0.2">
      <c r="C5494" s="139">
        <v>63.600000000000648</v>
      </c>
      <c r="D5494" s="28">
        <f t="shared" si="145"/>
        <v>508.80000000000518</v>
      </c>
      <c r="E5494" s="28">
        <f t="shared" si="146"/>
        <v>477.00000000000489</v>
      </c>
      <c r="F5494" s="28">
        <f t="shared" si="147"/>
        <v>459.00000000000489</v>
      </c>
      <c r="G5494" s="28">
        <f t="shared" si="148"/>
        <v>409.06130000000002</v>
      </c>
      <c r="H5494" s="28">
        <f t="shared" si="149"/>
        <v>433.52199999999999</v>
      </c>
      <c r="I5494" s="28">
        <f t="shared" si="150"/>
        <v>445.17630000000003</v>
      </c>
      <c r="J5494" s="28">
        <f t="shared" si="151"/>
        <v>454.03609999999998</v>
      </c>
      <c r="K5494" s="28">
        <f t="shared" si="152"/>
        <v>468.81950000000001</v>
      </c>
      <c r="L5494" s="4"/>
      <c r="M5494" s="241">
        <v>445.17630000000003</v>
      </c>
    </row>
    <row r="5495" spans="3:13" hidden="1" outlineLevel="1" x14ac:dyDescent="0.2">
      <c r="C5495" s="139">
        <v>63.700000000000649</v>
      </c>
      <c r="D5495" s="28">
        <f t="shared" si="145"/>
        <v>509.6000000000052</v>
      </c>
      <c r="E5495" s="28">
        <f t="shared" si="146"/>
        <v>477.75000000000489</v>
      </c>
      <c r="F5495" s="28">
        <f t="shared" si="147"/>
        <v>459.75000000000489</v>
      </c>
      <c r="G5495" s="28">
        <f t="shared" si="148"/>
        <v>409.06130000000002</v>
      </c>
      <c r="H5495" s="28">
        <f t="shared" si="149"/>
        <v>433.52199999999999</v>
      </c>
      <c r="I5495" s="28">
        <f t="shared" si="150"/>
        <v>445.17630000000003</v>
      </c>
      <c r="J5495" s="28">
        <f t="shared" si="151"/>
        <v>454.03609999999998</v>
      </c>
      <c r="K5495" s="28">
        <f t="shared" si="152"/>
        <v>468.81950000000001</v>
      </c>
      <c r="L5495" s="4"/>
      <c r="M5495" s="241">
        <v>445.17630000000003</v>
      </c>
    </row>
    <row r="5496" spans="3:13" hidden="1" outlineLevel="1" x14ac:dyDescent="0.2">
      <c r="C5496" s="139">
        <v>63.800000000000651</v>
      </c>
      <c r="D5496" s="28">
        <f t="shared" si="145"/>
        <v>510.40000000000521</v>
      </c>
      <c r="E5496" s="28">
        <f t="shared" si="146"/>
        <v>478.50000000000489</v>
      </c>
      <c r="F5496" s="28">
        <f t="shared" si="147"/>
        <v>460.50000000000489</v>
      </c>
      <c r="G5496" s="28">
        <f t="shared" si="148"/>
        <v>410.01560000000001</v>
      </c>
      <c r="H5496" s="28">
        <f t="shared" si="149"/>
        <v>434.5086</v>
      </c>
      <c r="I5496" s="28">
        <f t="shared" si="150"/>
        <v>446.18130000000002</v>
      </c>
      <c r="J5496" s="28">
        <f t="shared" si="151"/>
        <v>455.05680000000001</v>
      </c>
      <c r="K5496" s="28">
        <f t="shared" si="152"/>
        <v>469.86790000000002</v>
      </c>
      <c r="L5496" s="4"/>
      <c r="M5496" s="241">
        <v>446.18130000000002</v>
      </c>
    </row>
    <row r="5497" spans="3:13" hidden="1" outlineLevel="1" x14ac:dyDescent="0.2">
      <c r="C5497" s="139">
        <v>63.900000000000652</v>
      </c>
      <c r="D5497" s="28">
        <f t="shared" si="145"/>
        <v>511.20000000000522</v>
      </c>
      <c r="E5497" s="28">
        <f t="shared" si="146"/>
        <v>479.25000000000489</v>
      </c>
      <c r="F5497" s="28">
        <f t="shared" si="147"/>
        <v>461.25000000000489</v>
      </c>
      <c r="G5497" s="28">
        <f t="shared" si="148"/>
        <v>410.96679999999998</v>
      </c>
      <c r="H5497" s="28">
        <f t="shared" si="149"/>
        <v>435.49540000000002</v>
      </c>
      <c r="I5497" s="28">
        <f t="shared" si="150"/>
        <v>447.18990000000002</v>
      </c>
      <c r="J5497" s="28">
        <f t="shared" si="151"/>
        <v>456.07769999999999</v>
      </c>
      <c r="K5497" s="28">
        <f t="shared" si="152"/>
        <v>470.91640000000001</v>
      </c>
      <c r="L5497" s="4"/>
      <c r="M5497" s="241">
        <v>447.18990000000002</v>
      </c>
    </row>
    <row r="5498" spans="3:13" hidden="1" outlineLevel="1" x14ac:dyDescent="0.2">
      <c r="C5498" s="139">
        <v>64.000000000000654</v>
      </c>
      <c r="D5498" s="28">
        <f t="shared" si="145"/>
        <v>512.00000000000523</v>
      </c>
      <c r="E5498" s="28">
        <f t="shared" si="146"/>
        <v>480.00000000000489</v>
      </c>
      <c r="F5498" s="28">
        <f t="shared" si="147"/>
        <v>462.00000000000489</v>
      </c>
      <c r="G5498" s="28">
        <f t="shared" si="148"/>
        <v>411.91820000000001</v>
      </c>
      <c r="H5498" s="28">
        <f t="shared" si="149"/>
        <v>436.48239999999998</v>
      </c>
      <c r="I5498" s="28">
        <f t="shared" si="150"/>
        <v>448.1952</v>
      </c>
      <c r="J5498" s="28">
        <f t="shared" si="151"/>
        <v>457.09530000000001</v>
      </c>
      <c r="K5498" s="28">
        <f t="shared" si="152"/>
        <v>471.96120000000002</v>
      </c>
      <c r="L5498" s="4"/>
      <c r="M5498" s="241">
        <v>448.1952</v>
      </c>
    </row>
    <row r="5499" spans="3:13" hidden="1" outlineLevel="1" x14ac:dyDescent="0.2">
      <c r="C5499" s="139">
        <v>64.100000000000648</v>
      </c>
      <c r="D5499" s="28">
        <f t="shared" ref="D5499:D5562" si="153">C5499*Channels.per.TRX</f>
        <v>512.80000000000518</v>
      </c>
      <c r="E5499" s="28">
        <f t="shared" ref="E5499:E5562" si="154">D5499-C5499*sig.channel.per.TRX</f>
        <v>480.75000000000489</v>
      </c>
      <c r="F5499" s="28">
        <f t="shared" ref="F5499:F5562" si="155">MAX(0,E5499-GPRS.channel.per.sector)</f>
        <v>462.75000000000489</v>
      </c>
      <c r="G5499" s="28">
        <f t="shared" ref="G5499:G5562" si="156">INDEX(D$10:D$4326,MATCH($F5499,$C$10:$C$4326,1))</f>
        <v>411.91820000000001</v>
      </c>
      <c r="H5499" s="28">
        <f t="shared" ref="H5499:H5562" si="157">INDEX(E$10:E$4326,MATCH($F5499,$C$10:$C$4326,1))</f>
        <v>436.48239999999998</v>
      </c>
      <c r="I5499" s="28">
        <f t="shared" ref="I5499:I5562" si="158">INDEX(F$10:F$4326,MATCH($F5499,$C$10:$C$4326,1))</f>
        <v>448.1952</v>
      </c>
      <c r="J5499" s="28">
        <f t="shared" ref="J5499:J5562" si="159">INDEX(G$10:G$4326,MATCH($F5499,$C$10:$C$4326,1))</f>
        <v>457.09530000000001</v>
      </c>
      <c r="K5499" s="28">
        <f t="shared" ref="K5499:K5562" si="160">INDEX(H$10:H$4326,MATCH($F5499,$C$10:$C$4326,1))</f>
        <v>471.96120000000002</v>
      </c>
      <c r="L5499" s="4"/>
      <c r="M5499" s="241">
        <v>448.1952</v>
      </c>
    </row>
    <row r="5500" spans="3:13" hidden="1" outlineLevel="1" x14ac:dyDescent="0.2">
      <c r="C5500" s="139">
        <v>64.200000000000642</v>
      </c>
      <c r="D5500" s="28">
        <f t="shared" si="153"/>
        <v>513.60000000000514</v>
      </c>
      <c r="E5500" s="28">
        <f t="shared" si="154"/>
        <v>481.50000000000483</v>
      </c>
      <c r="F5500" s="28">
        <f t="shared" si="155"/>
        <v>463.50000000000483</v>
      </c>
      <c r="G5500" s="28">
        <f t="shared" si="156"/>
        <v>412.87329999999997</v>
      </c>
      <c r="H5500" s="28">
        <f t="shared" si="157"/>
        <v>437.46949999999998</v>
      </c>
      <c r="I5500" s="28">
        <f t="shared" si="158"/>
        <v>449.20060000000001</v>
      </c>
      <c r="J5500" s="28">
        <f t="shared" si="159"/>
        <v>458.1164</v>
      </c>
      <c r="K5500" s="28">
        <f t="shared" si="160"/>
        <v>473.01</v>
      </c>
      <c r="L5500" s="4"/>
      <c r="M5500" s="241">
        <v>449.20060000000001</v>
      </c>
    </row>
    <row r="5501" spans="3:13" hidden="1" outlineLevel="1" x14ac:dyDescent="0.2">
      <c r="C5501" s="139">
        <v>64.300000000000637</v>
      </c>
      <c r="D5501" s="28">
        <f t="shared" si="153"/>
        <v>514.40000000000509</v>
      </c>
      <c r="E5501" s="28">
        <f t="shared" si="154"/>
        <v>482.25000000000477</v>
      </c>
      <c r="F5501" s="28">
        <f t="shared" si="155"/>
        <v>464.25000000000477</v>
      </c>
      <c r="G5501" s="28">
        <f t="shared" si="156"/>
        <v>413.82530000000003</v>
      </c>
      <c r="H5501" s="28">
        <f t="shared" si="157"/>
        <v>438.45679999999999</v>
      </c>
      <c r="I5501" s="28">
        <f t="shared" si="158"/>
        <v>450.20620000000002</v>
      </c>
      <c r="J5501" s="28">
        <f t="shared" si="159"/>
        <v>459.13780000000003</v>
      </c>
      <c r="K5501" s="28">
        <f t="shared" si="160"/>
        <v>474.05489999999998</v>
      </c>
      <c r="L5501" s="4"/>
      <c r="M5501" s="241">
        <v>450.20620000000002</v>
      </c>
    </row>
    <row r="5502" spans="3:13" hidden="1" outlineLevel="1" x14ac:dyDescent="0.2">
      <c r="C5502" s="139">
        <v>64.400000000000631</v>
      </c>
      <c r="D5502" s="28">
        <f t="shared" si="153"/>
        <v>515.20000000000505</v>
      </c>
      <c r="E5502" s="28">
        <f t="shared" si="154"/>
        <v>483.00000000000472</v>
      </c>
      <c r="F5502" s="28">
        <f t="shared" si="155"/>
        <v>465.00000000000472</v>
      </c>
      <c r="G5502" s="28">
        <f t="shared" si="156"/>
        <v>414.7774</v>
      </c>
      <c r="H5502" s="28">
        <f t="shared" si="157"/>
        <v>439.44439999999997</v>
      </c>
      <c r="I5502" s="28">
        <f t="shared" si="158"/>
        <v>451.21199999999999</v>
      </c>
      <c r="J5502" s="28">
        <f t="shared" si="159"/>
        <v>460.1592</v>
      </c>
      <c r="K5502" s="28">
        <f t="shared" si="160"/>
        <v>475.10390000000001</v>
      </c>
      <c r="L5502" s="4"/>
      <c r="M5502" s="241">
        <v>451.21199999999999</v>
      </c>
    </row>
    <row r="5503" spans="3:13" hidden="1" outlineLevel="1" x14ac:dyDescent="0.2">
      <c r="C5503" s="139">
        <v>64.500000000000625</v>
      </c>
      <c r="D5503" s="28">
        <f t="shared" si="153"/>
        <v>516.000000000005</v>
      </c>
      <c r="E5503" s="28">
        <f t="shared" si="154"/>
        <v>483.75000000000466</v>
      </c>
      <c r="F5503" s="28">
        <f t="shared" si="155"/>
        <v>465.75000000000466</v>
      </c>
      <c r="G5503" s="28">
        <f t="shared" si="156"/>
        <v>414.7774</v>
      </c>
      <c r="H5503" s="28">
        <f t="shared" si="157"/>
        <v>439.44439999999997</v>
      </c>
      <c r="I5503" s="28">
        <f t="shared" si="158"/>
        <v>451.21199999999999</v>
      </c>
      <c r="J5503" s="28">
        <f t="shared" si="159"/>
        <v>460.1592</v>
      </c>
      <c r="K5503" s="28">
        <f t="shared" si="160"/>
        <v>475.10390000000001</v>
      </c>
      <c r="L5503" s="4"/>
      <c r="M5503" s="241">
        <v>451.21199999999999</v>
      </c>
    </row>
    <row r="5504" spans="3:13" hidden="1" outlineLevel="1" x14ac:dyDescent="0.2">
      <c r="C5504" s="139">
        <v>64.60000000000062</v>
      </c>
      <c r="D5504" s="28">
        <f t="shared" si="153"/>
        <v>516.80000000000496</v>
      </c>
      <c r="E5504" s="28">
        <f t="shared" si="154"/>
        <v>484.50000000000466</v>
      </c>
      <c r="F5504" s="28">
        <f t="shared" si="155"/>
        <v>466.50000000000466</v>
      </c>
      <c r="G5504" s="28">
        <f t="shared" si="156"/>
        <v>415.72989999999999</v>
      </c>
      <c r="H5504" s="28">
        <f t="shared" si="157"/>
        <v>440.43209999999999</v>
      </c>
      <c r="I5504" s="28">
        <f t="shared" si="158"/>
        <v>452.21789999999999</v>
      </c>
      <c r="J5504" s="28">
        <f t="shared" si="159"/>
        <v>461.18079999999998</v>
      </c>
      <c r="K5504" s="28">
        <f t="shared" si="160"/>
        <v>476.14909999999998</v>
      </c>
      <c r="L5504" s="4"/>
      <c r="M5504" s="241">
        <v>452.21789999999999</v>
      </c>
    </row>
    <row r="5505" spans="3:13" hidden="1" outlineLevel="1" x14ac:dyDescent="0.2">
      <c r="C5505" s="139">
        <v>64.700000000000614</v>
      </c>
      <c r="D5505" s="28">
        <f t="shared" si="153"/>
        <v>517.60000000000491</v>
      </c>
      <c r="E5505" s="28">
        <f t="shared" si="154"/>
        <v>485.2500000000046</v>
      </c>
      <c r="F5505" s="28">
        <f t="shared" si="155"/>
        <v>467.2500000000046</v>
      </c>
      <c r="G5505" s="28">
        <f t="shared" si="156"/>
        <v>416.68259999999998</v>
      </c>
      <c r="H5505" s="28">
        <f t="shared" si="157"/>
        <v>441.42</v>
      </c>
      <c r="I5505" s="28">
        <f t="shared" si="158"/>
        <v>453.22390000000001</v>
      </c>
      <c r="J5505" s="28">
        <f t="shared" si="159"/>
        <v>462.19900000000001</v>
      </c>
      <c r="K5505" s="28">
        <f t="shared" si="160"/>
        <v>477.19439999999997</v>
      </c>
      <c r="L5505" s="4"/>
      <c r="M5505" s="241">
        <v>453.22390000000001</v>
      </c>
    </row>
    <row r="5506" spans="3:13" hidden="1" outlineLevel="1" x14ac:dyDescent="0.2">
      <c r="C5506" s="139">
        <v>64.800000000000608</v>
      </c>
      <c r="D5506" s="28">
        <f t="shared" si="153"/>
        <v>518.40000000000487</v>
      </c>
      <c r="E5506" s="28">
        <f t="shared" si="154"/>
        <v>486.00000000000455</v>
      </c>
      <c r="F5506" s="28">
        <f t="shared" si="155"/>
        <v>468.00000000000455</v>
      </c>
      <c r="G5506" s="28">
        <f t="shared" si="156"/>
        <v>417.63549999999998</v>
      </c>
      <c r="H5506" s="28">
        <f t="shared" si="157"/>
        <v>442.40800000000002</v>
      </c>
      <c r="I5506" s="28">
        <f t="shared" si="158"/>
        <v>454.23009999999999</v>
      </c>
      <c r="J5506" s="28">
        <f t="shared" si="159"/>
        <v>463.2208</v>
      </c>
      <c r="K5506" s="28">
        <f t="shared" si="160"/>
        <v>478.24369999999999</v>
      </c>
      <c r="L5506" s="4"/>
      <c r="M5506" s="241">
        <v>454.23009999999999</v>
      </c>
    </row>
    <row r="5507" spans="3:13" hidden="1" outlineLevel="1" x14ac:dyDescent="0.2">
      <c r="C5507" s="139">
        <v>64.900000000000603</v>
      </c>
      <c r="D5507" s="28">
        <f t="shared" si="153"/>
        <v>519.20000000000482</v>
      </c>
      <c r="E5507" s="28">
        <f t="shared" si="154"/>
        <v>486.75000000000455</v>
      </c>
      <c r="F5507" s="28">
        <f t="shared" si="155"/>
        <v>468.75000000000455</v>
      </c>
      <c r="G5507" s="28">
        <f t="shared" si="156"/>
        <v>417.63549999999998</v>
      </c>
      <c r="H5507" s="28">
        <f t="shared" si="157"/>
        <v>442.40800000000002</v>
      </c>
      <c r="I5507" s="28">
        <f t="shared" si="158"/>
        <v>454.23009999999999</v>
      </c>
      <c r="J5507" s="28">
        <f t="shared" si="159"/>
        <v>463.2208</v>
      </c>
      <c r="K5507" s="28">
        <f t="shared" si="160"/>
        <v>478.24369999999999</v>
      </c>
      <c r="L5507" s="4"/>
      <c r="M5507" s="241">
        <v>454.23009999999999</v>
      </c>
    </row>
    <row r="5508" spans="3:13" hidden="1" outlineLevel="1" x14ac:dyDescent="0.2">
      <c r="C5508" s="139">
        <v>65.000000000000597</v>
      </c>
      <c r="D5508" s="28">
        <f t="shared" si="153"/>
        <v>520.00000000000477</v>
      </c>
      <c r="E5508" s="28">
        <f t="shared" si="154"/>
        <v>487.50000000000449</v>
      </c>
      <c r="F5508" s="28">
        <f t="shared" si="155"/>
        <v>469.50000000000449</v>
      </c>
      <c r="G5508" s="28">
        <f t="shared" si="156"/>
        <v>418.58870000000002</v>
      </c>
      <c r="H5508" s="28">
        <f t="shared" si="157"/>
        <v>443.3963</v>
      </c>
      <c r="I5508" s="28">
        <f t="shared" si="158"/>
        <v>455.23649999999998</v>
      </c>
      <c r="J5508" s="28">
        <f t="shared" si="159"/>
        <v>464.24279999999999</v>
      </c>
      <c r="K5508" s="28">
        <f t="shared" si="160"/>
        <v>479.28930000000003</v>
      </c>
      <c r="L5508" s="4"/>
      <c r="M5508" s="241">
        <v>455.23649999999998</v>
      </c>
    </row>
    <row r="5509" spans="3:13" hidden="1" outlineLevel="1" x14ac:dyDescent="0.2">
      <c r="C5509" s="139">
        <v>65.100000000000591</v>
      </c>
      <c r="D5509" s="28">
        <f t="shared" si="153"/>
        <v>520.80000000000473</v>
      </c>
      <c r="E5509" s="28">
        <f t="shared" si="154"/>
        <v>488.25000000000443</v>
      </c>
      <c r="F5509" s="28">
        <f t="shared" si="155"/>
        <v>470.25000000000443</v>
      </c>
      <c r="G5509" s="28">
        <f t="shared" si="156"/>
        <v>419.54219999999998</v>
      </c>
      <c r="H5509" s="28">
        <f t="shared" si="157"/>
        <v>444.38470000000001</v>
      </c>
      <c r="I5509" s="28">
        <f t="shared" si="158"/>
        <v>456.24299999999999</v>
      </c>
      <c r="J5509" s="28">
        <f t="shared" si="159"/>
        <v>465.26490000000001</v>
      </c>
      <c r="K5509" s="28">
        <f t="shared" si="160"/>
        <v>480.33879999999999</v>
      </c>
      <c r="L5509" s="4"/>
      <c r="M5509" s="241">
        <v>456.24299999999999</v>
      </c>
    </row>
    <row r="5510" spans="3:13" hidden="1" outlineLevel="1" x14ac:dyDescent="0.2">
      <c r="C5510" s="139">
        <v>65.200000000000585</v>
      </c>
      <c r="D5510" s="28">
        <f t="shared" si="153"/>
        <v>521.60000000000468</v>
      </c>
      <c r="E5510" s="28">
        <f t="shared" si="154"/>
        <v>489.00000000000438</v>
      </c>
      <c r="F5510" s="28">
        <f t="shared" si="155"/>
        <v>471.00000000000438</v>
      </c>
      <c r="G5510" s="28">
        <f t="shared" si="156"/>
        <v>420.49590000000001</v>
      </c>
      <c r="H5510" s="28">
        <f t="shared" si="157"/>
        <v>445.37329999999997</v>
      </c>
      <c r="I5510" s="28">
        <f t="shared" si="158"/>
        <v>457.24970000000002</v>
      </c>
      <c r="J5510" s="28">
        <f t="shared" si="159"/>
        <v>466.28359999999998</v>
      </c>
      <c r="K5510" s="28">
        <f t="shared" si="160"/>
        <v>481.3845</v>
      </c>
      <c r="L5510" s="4"/>
      <c r="M5510" s="241">
        <v>457.24970000000002</v>
      </c>
    </row>
    <row r="5511" spans="3:13" hidden="1" outlineLevel="1" x14ac:dyDescent="0.2">
      <c r="C5511" s="139">
        <v>65.30000000000058</v>
      </c>
      <c r="D5511" s="28">
        <f t="shared" si="153"/>
        <v>522.40000000000464</v>
      </c>
      <c r="E5511" s="28">
        <f t="shared" si="154"/>
        <v>489.75000000000432</v>
      </c>
      <c r="F5511" s="28">
        <f t="shared" si="155"/>
        <v>471.75000000000432</v>
      </c>
      <c r="G5511" s="28">
        <f t="shared" si="156"/>
        <v>420.49590000000001</v>
      </c>
      <c r="H5511" s="28">
        <f t="shared" si="157"/>
        <v>445.37329999999997</v>
      </c>
      <c r="I5511" s="28">
        <f t="shared" si="158"/>
        <v>457.24970000000002</v>
      </c>
      <c r="J5511" s="28">
        <f t="shared" si="159"/>
        <v>466.28359999999998</v>
      </c>
      <c r="K5511" s="28">
        <f t="shared" si="160"/>
        <v>481.3845</v>
      </c>
      <c r="L5511" s="4"/>
      <c r="M5511" s="241">
        <v>457.24970000000002</v>
      </c>
    </row>
    <row r="5512" spans="3:13" hidden="1" outlineLevel="1" x14ac:dyDescent="0.2">
      <c r="C5512" s="139">
        <v>65.400000000000574</v>
      </c>
      <c r="D5512" s="28">
        <f t="shared" si="153"/>
        <v>523.20000000000459</v>
      </c>
      <c r="E5512" s="28">
        <f t="shared" si="154"/>
        <v>490.50000000000432</v>
      </c>
      <c r="F5512" s="28">
        <f t="shared" si="155"/>
        <v>472.50000000000432</v>
      </c>
      <c r="G5512" s="28">
        <f t="shared" si="156"/>
        <v>421.44630000000001</v>
      </c>
      <c r="H5512" s="28">
        <f t="shared" si="157"/>
        <v>446.36219999999997</v>
      </c>
      <c r="I5512" s="28">
        <f t="shared" si="158"/>
        <v>458.25650000000002</v>
      </c>
      <c r="J5512" s="28">
        <f t="shared" si="159"/>
        <v>467.30599999999998</v>
      </c>
      <c r="K5512" s="28">
        <f t="shared" si="160"/>
        <v>482.43029999999999</v>
      </c>
      <c r="L5512" s="4"/>
      <c r="M5512" s="241">
        <v>458.25650000000002</v>
      </c>
    </row>
    <row r="5513" spans="3:13" hidden="1" outlineLevel="1" x14ac:dyDescent="0.2">
      <c r="C5513" s="139">
        <v>65.500000000000568</v>
      </c>
      <c r="D5513" s="28">
        <f t="shared" si="153"/>
        <v>524.00000000000455</v>
      </c>
      <c r="E5513" s="28">
        <f t="shared" si="154"/>
        <v>491.25000000000426</v>
      </c>
      <c r="F5513" s="28">
        <f t="shared" si="155"/>
        <v>473.25000000000426</v>
      </c>
      <c r="G5513" s="28">
        <f t="shared" si="156"/>
        <v>422.4006</v>
      </c>
      <c r="H5513" s="28">
        <f t="shared" si="157"/>
        <v>447.34750000000003</v>
      </c>
      <c r="I5513" s="28">
        <f t="shared" si="158"/>
        <v>459.25990000000002</v>
      </c>
      <c r="J5513" s="28">
        <f t="shared" si="159"/>
        <v>468.32490000000001</v>
      </c>
      <c r="K5513" s="28">
        <f t="shared" si="160"/>
        <v>483.48020000000002</v>
      </c>
      <c r="L5513" s="4"/>
      <c r="M5513" s="241">
        <v>459.25990000000002</v>
      </c>
    </row>
    <row r="5514" spans="3:13" hidden="1" outlineLevel="1" x14ac:dyDescent="0.2">
      <c r="C5514" s="139">
        <v>65.600000000000563</v>
      </c>
      <c r="D5514" s="28">
        <f t="shared" si="153"/>
        <v>524.8000000000045</v>
      </c>
      <c r="E5514" s="28">
        <f t="shared" si="154"/>
        <v>492.00000000000421</v>
      </c>
      <c r="F5514" s="28">
        <f t="shared" si="155"/>
        <v>474.00000000000421</v>
      </c>
      <c r="G5514" s="28">
        <f t="shared" si="156"/>
        <v>423.35509999999999</v>
      </c>
      <c r="H5514" s="28">
        <f t="shared" si="157"/>
        <v>448.33670000000001</v>
      </c>
      <c r="I5514" s="28">
        <f t="shared" si="158"/>
        <v>460.267</v>
      </c>
      <c r="J5514" s="28">
        <f t="shared" si="159"/>
        <v>469.3476</v>
      </c>
      <c r="K5514" s="28">
        <f t="shared" si="160"/>
        <v>484.52620000000002</v>
      </c>
      <c r="L5514" s="4"/>
      <c r="M5514" s="241">
        <v>460.267</v>
      </c>
    </row>
    <row r="5515" spans="3:13" hidden="1" outlineLevel="1" x14ac:dyDescent="0.2">
      <c r="C5515" s="139">
        <v>65.700000000000557</v>
      </c>
      <c r="D5515" s="28">
        <f t="shared" si="153"/>
        <v>525.60000000000446</v>
      </c>
      <c r="E5515" s="28">
        <f t="shared" si="154"/>
        <v>492.75000000000421</v>
      </c>
      <c r="F5515" s="28">
        <f t="shared" si="155"/>
        <v>474.75000000000421</v>
      </c>
      <c r="G5515" s="28">
        <f t="shared" si="156"/>
        <v>423.35509999999999</v>
      </c>
      <c r="H5515" s="28">
        <f t="shared" si="157"/>
        <v>448.33670000000001</v>
      </c>
      <c r="I5515" s="28">
        <f t="shared" si="158"/>
        <v>460.267</v>
      </c>
      <c r="J5515" s="28">
        <f t="shared" si="159"/>
        <v>469.3476</v>
      </c>
      <c r="K5515" s="28">
        <f t="shared" si="160"/>
        <v>484.52620000000002</v>
      </c>
      <c r="L5515" s="4"/>
      <c r="M5515" s="241">
        <v>460.267</v>
      </c>
    </row>
    <row r="5516" spans="3:13" hidden="1" outlineLevel="1" x14ac:dyDescent="0.2">
      <c r="C5516" s="139">
        <v>65.800000000000551</v>
      </c>
      <c r="D5516" s="28">
        <f t="shared" si="153"/>
        <v>526.40000000000441</v>
      </c>
      <c r="E5516" s="28">
        <f t="shared" si="154"/>
        <v>493.50000000000415</v>
      </c>
      <c r="F5516" s="28">
        <f t="shared" si="155"/>
        <v>475.50000000000415</v>
      </c>
      <c r="G5516" s="28">
        <f t="shared" si="156"/>
        <v>424.30619999999999</v>
      </c>
      <c r="H5516" s="28">
        <f t="shared" si="157"/>
        <v>449.32600000000002</v>
      </c>
      <c r="I5516" s="28">
        <f t="shared" si="158"/>
        <v>461.27420000000001</v>
      </c>
      <c r="J5516" s="28">
        <f t="shared" si="159"/>
        <v>470.36680000000001</v>
      </c>
      <c r="K5516" s="28">
        <f t="shared" si="160"/>
        <v>485.57240000000002</v>
      </c>
      <c r="L5516" s="4"/>
      <c r="M5516" s="241">
        <v>461.27420000000001</v>
      </c>
    </row>
    <row r="5517" spans="3:13" hidden="1" outlineLevel="1" x14ac:dyDescent="0.2">
      <c r="C5517" s="139">
        <v>65.900000000000546</v>
      </c>
      <c r="D5517" s="28">
        <f t="shared" si="153"/>
        <v>527.20000000000437</v>
      </c>
      <c r="E5517" s="28">
        <f t="shared" si="154"/>
        <v>494.25000000000409</v>
      </c>
      <c r="F5517" s="28">
        <f t="shared" si="155"/>
        <v>476.25000000000409</v>
      </c>
      <c r="G5517" s="28">
        <f t="shared" si="156"/>
        <v>425.26119999999997</v>
      </c>
      <c r="H5517" s="28">
        <f t="shared" si="157"/>
        <v>450.31189999999998</v>
      </c>
      <c r="I5517" s="28">
        <f t="shared" si="158"/>
        <v>462.2817</v>
      </c>
      <c r="J5517" s="28">
        <f t="shared" si="159"/>
        <v>471.3897</v>
      </c>
      <c r="K5517" s="28">
        <f t="shared" si="160"/>
        <v>486.61860000000001</v>
      </c>
      <c r="L5517" s="4"/>
      <c r="M5517" s="241">
        <v>462.2817</v>
      </c>
    </row>
    <row r="5518" spans="3:13" hidden="1" outlineLevel="1" x14ac:dyDescent="0.2">
      <c r="C5518" s="139">
        <v>66.00000000000054</v>
      </c>
      <c r="D5518" s="28">
        <f t="shared" si="153"/>
        <v>528.00000000000432</v>
      </c>
      <c r="E5518" s="28">
        <f t="shared" si="154"/>
        <v>495.00000000000404</v>
      </c>
      <c r="F5518" s="28">
        <f t="shared" si="155"/>
        <v>477.00000000000404</v>
      </c>
      <c r="G5518" s="28">
        <f t="shared" si="156"/>
        <v>426.21280000000002</v>
      </c>
      <c r="H5518" s="28">
        <f t="shared" si="157"/>
        <v>451.30160000000001</v>
      </c>
      <c r="I5518" s="28">
        <f t="shared" si="158"/>
        <v>463.28559999999999</v>
      </c>
      <c r="J5518" s="28">
        <f t="shared" si="159"/>
        <v>472.40910000000002</v>
      </c>
      <c r="K5518" s="28">
        <f t="shared" si="160"/>
        <v>487.66489999999999</v>
      </c>
      <c r="L5518" s="4"/>
      <c r="M5518" s="241">
        <v>463.28559999999999</v>
      </c>
    </row>
    <row r="5519" spans="3:13" hidden="1" outlineLevel="1" x14ac:dyDescent="0.2">
      <c r="C5519" s="139">
        <v>66.100000000000534</v>
      </c>
      <c r="D5519" s="28">
        <f t="shared" si="153"/>
        <v>528.80000000000427</v>
      </c>
      <c r="E5519" s="28">
        <f t="shared" si="154"/>
        <v>495.75000000000398</v>
      </c>
      <c r="F5519" s="28">
        <f t="shared" si="155"/>
        <v>477.75000000000398</v>
      </c>
      <c r="G5519" s="28">
        <f t="shared" si="156"/>
        <v>426.21280000000002</v>
      </c>
      <c r="H5519" s="28">
        <f t="shared" si="157"/>
        <v>451.30160000000001</v>
      </c>
      <c r="I5519" s="28">
        <f t="shared" si="158"/>
        <v>463.28559999999999</v>
      </c>
      <c r="J5519" s="28">
        <f t="shared" si="159"/>
        <v>472.40910000000002</v>
      </c>
      <c r="K5519" s="28">
        <f t="shared" si="160"/>
        <v>487.66489999999999</v>
      </c>
      <c r="L5519" s="4"/>
      <c r="M5519" s="241">
        <v>463.28559999999999</v>
      </c>
    </row>
    <row r="5520" spans="3:13" hidden="1" outlineLevel="1" x14ac:dyDescent="0.2">
      <c r="C5520" s="139">
        <v>66.200000000000529</v>
      </c>
      <c r="D5520" s="28">
        <f t="shared" si="153"/>
        <v>529.60000000000423</v>
      </c>
      <c r="E5520" s="28">
        <f t="shared" si="154"/>
        <v>496.50000000000398</v>
      </c>
      <c r="F5520" s="28">
        <f t="shared" si="155"/>
        <v>478.50000000000398</v>
      </c>
      <c r="G5520" s="28">
        <f t="shared" si="156"/>
        <v>427.16840000000002</v>
      </c>
      <c r="H5520" s="28">
        <f t="shared" si="157"/>
        <v>452.28789999999998</v>
      </c>
      <c r="I5520" s="28">
        <f t="shared" si="158"/>
        <v>464.29329999999999</v>
      </c>
      <c r="J5520" s="28">
        <f t="shared" si="159"/>
        <v>473.4323</v>
      </c>
      <c r="K5520" s="28">
        <f t="shared" si="160"/>
        <v>488.71539999999999</v>
      </c>
      <c r="L5520" s="4"/>
      <c r="M5520" s="241">
        <v>464.29329999999999</v>
      </c>
    </row>
    <row r="5521" spans="3:13" hidden="1" outlineLevel="1" x14ac:dyDescent="0.2">
      <c r="C5521" s="139">
        <v>66.300000000000523</v>
      </c>
      <c r="D5521" s="28">
        <f t="shared" si="153"/>
        <v>530.40000000000418</v>
      </c>
      <c r="E5521" s="28">
        <f t="shared" si="154"/>
        <v>497.25000000000392</v>
      </c>
      <c r="F5521" s="28">
        <f t="shared" si="155"/>
        <v>479.25000000000392</v>
      </c>
      <c r="G5521" s="28">
        <f t="shared" si="156"/>
        <v>428.12049999999999</v>
      </c>
      <c r="H5521" s="28">
        <f t="shared" si="157"/>
        <v>453.27789999999999</v>
      </c>
      <c r="I5521" s="28">
        <f t="shared" si="158"/>
        <v>465.29750000000001</v>
      </c>
      <c r="J5521" s="28">
        <f t="shared" si="159"/>
        <v>474.452</v>
      </c>
      <c r="K5521" s="28">
        <f t="shared" si="160"/>
        <v>489.76190000000003</v>
      </c>
      <c r="L5521" s="4"/>
      <c r="M5521" s="241">
        <v>465.29750000000001</v>
      </c>
    </row>
    <row r="5522" spans="3:13" hidden="1" outlineLevel="1" x14ac:dyDescent="0.2">
      <c r="C5522" s="139">
        <v>66.400000000000517</v>
      </c>
      <c r="D5522" s="28">
        <f t="shared" si="153"/>
        <v>531.20000000000414</v>
      </c>
      <c r="E5522" s="28">
        <f t="shared" si="154"/>
        <v>498.00000000000387</v>
      </c>
      <c r="F5522" s="28">
        <f t="shared" si="155"/>
        <v>480.00000000000387</v>
      </c>
      <c r="G5522" s="28">
        <f t="shared" si="156"/>
        <v>429.07650000000001</v>
      </c>
      <c r="H5522" s="28">
        <f t="shared" si="157"/>
        <v>454.2645</v>
      </c>
      <c r="I5522" s="28">
        <f t="shared" si="158"/>
        <v>466.30549999999999</v>
      </c>
      <c r="J5522" s="28">
        <f t="shared" si="159"/>
        <v>475.47179999999997</v>
      </c>
      <c r="K5522" s="28">
        <f t="shared" si="160"/>
        <v>490.80849999999998</v>
      </c>
      <c r="L5522" s="4"/>
      <c r="M5522" s="241">
        <v>466.30549999999999</v>
      </c>
    </row>
    <row r="5523" spans="3:13" hidden="1" outlineLevel="1" x14ac:dyDescent="0.2">
      <c r="C5523" s="139">
        <v>66.500000000000512</v>
      </c>
      <c r="D5523" s="28">
        <f t="shared" si="153"/>
        <v>532.00000000000409</v>
      </c>
      <c r="E5523" s="28">
        <f t="shared" si="154"/>
        <v>498.75000000000387</v>
      </c>
      <c r="F5523" s="28">
        <f t="shared" si="155"/>
        <v>480.75000000000387</v>
      </c>
      <c r="G5523" s="28">
        <f t="shared" si="156"/>
        <v>429.07650000000001</v>
      </c>
      <c r="H5523" s="28">
        <f t="shared" si="157"/>
        <v>454.2645</v>
      </c>
      <c r="I5523" s="28">
        <f t="shared" si="158"/>
        <v>466.30549999999999</v>
      </c>
      <c r="J5523" s="28">
        <f t="shared" si="159"/>
        <v>475.47179999999997</v>
      </c>
      <c r="K5523" s="28">
        <f t="shared" si="160"/>
        <v>490.80849999999998</v>
      </c>
      <c r="L5523" s="4"/>
      <c r="M5523" s="241">
        <v>466.30549999999999</v>
      </c>
    </row>
    <row r="5524" spans="3:13" hidden="1" outlineLevel="1" x14ac:dyDescent="0.2">
      <c r="C5524" s="139">
        <v>66.600000000000506</v>
      </c>
      <c r="D5524" s="28">
        <f t="shared" si="153"/>
        <v>532.80000000000405</v>
      </c>
      <c r="E5524" s="28">
        <f t="shared" si="154"/>
        <v>499.50000000000381</v>
      </c>
      <c r="F5524" s="28">
        <f t="shared" si="155"/>
        <v>481.50000000000381</v>
      </c>
      <c r="G5524" s="28">
        <f t="shared" si="156"/>
        <v>430.0292</v>
      </c>
      <c r="H5524" s="28">
        <f t="shared" si="157"/>
        <v>455.25490000000002</v>
      </c>
      <c r="I5524" s="28">
        <f t="shared" si="158"/>
        <v>467.31369999999998</v>
      </c>
      <c r="J5524" s="28">
        <f t="shared" si="159"/>
        <v>476.49540000000002</v>
      </c>
      <c r="K5524" s="28">
        <f t="shared" si="160"/>
        <v>491.8553</v>
      </c>
      <c r="L5524" s="4"/>
      <c r="M5524" s="241">
        <v>467.31369999999998</v>
      </c>
    </row>
    <row r="5525" spans="3:13" hidden="1" outlineLevel="1" x14ac:dyDescent="0.2">
      <c r="C5525" s="139">
        <v>66.7000000000005</v>
      </c>
      <c r="D5525" s="28">
        <f t="shared" si="153"/>
        <v>533.600000000004</v>
      </c>
      <c r="E5525" s="28">
        <f t="shared" si="154"/>
        <v>500.25000000000375</v>
      </c>
      <c r="F5525" s="28">
        <f t="shared" si="155"/>
        <v>482.25000000000375</v>
      </c>
      <c r="G5525" s="28">
        <f t="shared" si="156"/>
        <v>430.98200000000003</v>
      </c>
      <c r="H5525" s="28">
        <f t="shared" si="157"/>
        <v>456.24189999999999</v>
      </c>
      <c r="I5525" s="28">
        <f t="shared" si="158"/>
        <v>468.3184</v>
      </c>
      <c r="J5525" s="28">
        <f t="shared" si="159"/>
        <v>477.5154</v>
      </c>
      <c r="K5525" s="28">
        <f t="shared" si="160"/>
        <v>492.90210000000002</v>
      </c>
      <c r="L5525" s="4"/>
      <c r="M5525" s="241">
        <v>468.3184</v>
      </c>
    </row>
    <row r="5526" spans="3:13" hidden="1" outlineLevel="1" x14ac:dyDescent="0.2">
      <c r="C5526" s="139">
        <v>66.800000000000495</v>
      </c>
      <c r="D5526" s="28">
        <f t="shared" si="153"/>
        <v>534.40000000000396</v>
      </c>
      <c r="E5526" s="28">
        <f t="shared" si="154"/>
        <v>501.00000000000369</v>
      </c>
      <c r="F5526" s="28">
        <f t="shared" si="155"/>
        <v>483.00000000000369</v>
      </c>
      <c r="G5526" s="28">
        <f t="shared" si="156"/>
        <v>431.93509999999998</v>
      </c>
      <c r="H5526" s="28">
        <f t="shared" si="157"/>
        <v>457.22899999999998</v>
      </c>
      <c r="I5526" s="28">
        <f t="shared" si="158"/>
        <v>469.32310000000001</v>
      </c>
      <c r="J5526" s="28">
        <f t="shared" si="159"/>
        <v>478.53559999999999</v>
      </c>
      <c r="K5526" s="28">
        <f t="shared" si="160"/>
        <v>493.94900000000001</v>
      </c>
      <c r="L5526" s="4"/>
      <c r="M5526" s="241">
        <v>469.32310000000001</v>
      </c>
    </row>
    <row r="5527" spans="3:13" hidden="1" outlineLevel="1" x14ac:dyDescent="0.2">
      <c r="C5527" s="139">
        <v>66.900000000000489</v>
      </c>
      <c r="D5527" s="28">
        <f t="shared" si="153"/>
        <v>535.20000000000391</v>
      </c>
      <c r="E5527" s="28">
        <f t="shared" si="154"/>
        <v>501.75000000000364</v>
      </c>
      <c r="F5527" s="28">
        <f t="shared" si="155"/>
        <v>483.75000000000364</v>
      </c>
      <c r="G5527" s="28">
        <f t="shared" si="156"/>
        <v>431.93509999999998</v>
      </c>
      <c r="H5527" s="28">
        <f t="shared" si="157"/>
        <v>457.22899999999998</v>
      </c>
      <c r="I5527" s="28">
        <f t="shared" si="158"/>
        <v>469.32310000000001</v>
      </c>
      <c r="J5527" s="28">
        <f t="shared" si="159"/>
        <v>478.53559999999999</v>
      </c>
      <c r="K5527" s="28">
        <f t="shared" si="160"/>
        <v>493.94900000000001</v>
      </c>
      <c r="L5527" s="4"/>
      <c r="M5527" s="241">
        <v>469.32310000000001</v>
      </c>
    </row>
    <row r="5528" spans="3:13" hidden="1" outlineLevel="1" x14ac:dyDescent="0.2">
      <c r="C5528" s="139">
        <v>67.000000000000483</v>
      </c>
      <c r="D5528" s="28">
        <f t="shared" si="153"/>
        <v>536.00000000000387</v>
      </c>
      <c r="E5528" s="28">
        <f t="shared" si="154"/>
        <v>502.50000000000364</v>
      </c>
      <c r="F5528" s="28">
        <f t="shared" si="155"/>
        <v>484.50000000000364</v>
      </c>
      <c r="G5528" s="28">
        <f t="shared" si="156"/>
        <v>432.8922</v>
      </c>
      <c r="H5528" s="28">
        <f t="shared" si="157"/>
        <v>458.2199</v>
      </c>
      <c r="I5528" s="28">
        <f t="shared" si="158"/>
        <v>470.33170000000001</v>
      </c>
      <c r="J5528" s="28">
        <f t="shared" si="159"/>
        <v>479.55590000000001</v>
      </c>
      <c r="K5528" s="28">
        <f t="shared" si="160"/>
        <v>494.99610000000001</v>
      </c>
      <c r="L5528" s="4"/>
      <c r="M5528" s="241">
        <v>470.33170000000001</v>
      </c>
    </row>
    <row r="5529" spans="3:13" hidden="1" outlineLevel="1" x14ac:dyDescent="0.2">
      <c r="C5529" s="139">
        <v>67.100000000000477</v>
      </c>
      <c r="D5529" s="28">
        <f t="shared" si="153"/>
        <v>536.80000000000382</v>
      </c>
      <c r="E5529" s="28">
        <f t="shared" si="154"/>
        <v>503.25000000000358</v>
      </c>
      <c r="F5529" s="28">
        <f t="shared" si="155"/>
        <v>485.25000000000358</v>
      </c>
      <c r="G5529" s="28">
        <f t="shared" si="156"/>
        <v>433.8458</v>
      </c>
      <c r="H5529" s="28">
        <f t="shared" si="157"/>
        <v>459.20740000000001</v>
      </c>
      <c r="I5529" s="28">
        <f t="shared" si="158"/>
        <v>471.33679999999998</v>
      </c>
      <c r="J5529" s="28">
        <f t="shared" si="159"/>
        <v>480.58</v>
      </c>
      <c r="K5529" s="28">
        <f t="shared" si="160"/>
        <v>496.04320000000001</v>
      </c>
      <c r="L5529" s="4"/>
      <c r="M5529" s="241">
        <v>471.33679999999998</v>
      </c>
    </row>
    <row r="5530" spans="3:13" hidden="1" outlineLevel="1" x14ac:dyDescent="0.2">
      <c r="C5530" s="139">
        <v>67.200000000000472</v>
      </c>
      <c r="D5530" s="28">
        <f t="shared" si="153"/>
        <v>537.60000000000377</v>
      </c>
      <c r="E5530" s="28">
        <f t="shared" si="154"/>
        <v>504.00000000000352</v>
      </c>
      <c r="F5530" s="28">
        <f t="shared" si="155"/>
        <v>486.00000000000352</v>
      </c>
      <c r="G5530" s="28">
        <f t="shared" si="156"/>
        <v>434.79969999999997</v>
      </c>
      <c r="H5530" s="28">
        <f t="shared" si="157"/>
        <v>460.19499999999999</v>
      </c>
      <c r="I5530" s="28">
        <f t="shared" si="158"/>
        <v>472.34570000000002</v>
      </c>
      <c r="J5530" s="28">
        <f t="shared" si="159"/>
        <v>481.60059999999999</v>
      </c>
      <c r="K5530" s="28">
        <f t="shared" si="160"/>
        <v>497.09050000000002</v>
      </c>
      <c r="L5530" s="4"/>
      <c r="M5530" s="241">
        <v>472.34570000000002</v>
      </c>
    </row>
    <row r="5531" spans="3:13" hidden="1" outlineLevel="1" x14ac:dyDescent="0.2">
      <c r="C5531" s="139">
        <v>67.300000000000466</v>
      </c>
      <c r="D5531" s="28">
        <f t="shared" si="153"/>
        <v>538.40000000000373</v>
      </c>
      <c r="E5531" s="28">
        <f t="shared" si="154"/>
        <v>504.75000000000352</v>
      </c>
      <c r="F5531" s="28">
        <f t="shared" si="155"/>
        <v>486.75000000000352</v>
      </c>
      <c r="G5531" s="28">
        <f t="shared" si="156"/>
        <v>434.79969999999997</v>
      </c>
      <c r="H5531" s="28">
        <f t="shared" si="157"/>
        <v>460.19499999999999</v>
      </c>
      <c r="I5531" s="28">
        <f t="shared" si="158"/>
        <v>472.34570000000002</v>
      </c>
      <c r="J5531" s="28">
        <f t="shared" si="159"/>
        <v>481.60059999999999</v>
      </c>
      <c r="K5531" s="28">
        <f t="shared" si="160"/>
        <v>497.09050000000002</v>
      </c>
      <c r="L5531" s="4"/>
      <c r="M5531" s="241">
        <v>472.34570000000002</v>
      </c>
    </row>
    <row r="5532" spans="3:13" hidden="1" outlineLevel="1" x14ac:dyDescent="0.2">
      <c r="C5532" s="139">
        <v>67.40000000000046</v>
      </c>
      <c r="D5532" s="28">
        <f t="shared" si="153"/>
        <v>539.20000000000368</v>
      </c>
      <c r="E5532" s="28">
        <f t="shared" si="154"/>
        <v>505.50000000000347</v>
      </c>
      <c r="F5532" s="28">
        <f t="shared" si="155"/>
        <v>487.50000000000347</v>
      </c>
      <c r="G5532" s="28">
        <f t="shared" si="156"/>
        <v>435.75380000000001</v>
      </c>
      <c r="H5532" s="28">
        <f t="shared" si="157"/>
        <v>461.18270000000001</v>
      </c>
      <c r="I5532" s="28">
        <f t="shared" si="158"/>
        <v>473.35109999999997</v>
      </c>
      <c r="J5532" s="28">
        <f t="shared" si="159"/>
        <v>482.62130000000002</v>
      </c>
      <c r="K5532" s="28">
        <f t="shared" si="160"/>
        <v>498.13780000000003</v>
      </c>
      <c r="L5532" s="4"/>
      <c r="M5532" s="241">
        <v>473.35109999999997</v>
      </c>
    </row>
    <row r="5533" spans="3:13" hidden="1" outlineLevel="1" x14ac:dyDescent="0.2">
      <c r="C5533" s="139">
        <v>67.500000000000455</v>
      </c>
      <c r="D5533" s="28">
        <f t="shared" si="153"/>
        <v>540.00000000000364</v>
      </c>
      <c r="E5533" s="28">
        <f t="shared" si="154"/>
        <v>506.25000000000341</v>
      </c>
      <c r="F5533" s="28">
        <f t="shared" si="155"/>
        <v>488.25000000000341</v>
      </c>
      <c r="G5533" s="28">
        <f t="shared" si="156"/>
        <v>436.7081</v>
      </c>
      <c r="H5533" s="28">
        <f t="shared" si="157"/>
        <v>462.17070000000001</v>
      </c>
      <c r="I5533" s="28">
        <f t="shared" si="158"/>
        <v>474.35649999999998</v>
      </c>
      <c r="J5533" s="28">
        <f t="shared" si="159"/>
        <v>483.64210000000003</v>
      </c>
      <c r="K5533" s="28">
        <f t="shared" si="160"/>
        <v>499.18529999999998</v>
      </c>
      <c r="L5533" s="4"/>
      <c r="M5533" s="241">
        <v>474.35649999999998</v>
      </c>
    </row>
    <row r="5534" spans="3:13" hidden="1" outlineLevel="1" x14ac:dyDescent="0.2">
      <c r="C5534" s="139">
        <v>67.600000000000449</v>
      </c>
      <c r="D5534" s="28">
        <f t="shared" si="153"/>
        <v>540.80000000000359</v>
      </c>
      <c r="E5534" s="28">
        <f t="shared" si="154"/>
        <v>507.00000000000335</v>
      </c>
      <c r="F5534" s="28">
        <f t="shared" si="155"/>
        <v>489.00000000000335</v>
      </c>
      <c r="G5534" s="28">
        <f t="shared" si="156"/>
        <v>437.65899999999999</v>
      </c>
      <c r="H5534" s="28">
        <f t="shared" si="157"/>
        <v>463.15879999999999</v>
      </c>
      <c r="I5534" s="28">
        <f t="shared" si="158"/>
        <v>475.36590000000001</v>
      </c>
      <c r="J5534" s="28">
        <f t="shared" si="159"/>
        <v>484.66300000000001</v>
      </c>
      <c r="K5534" s="28">
        <f t="shared" si="160"/>
        <v>500.2328</v>
      </c>
      <c r="L5534" s="4"/>
      <c r="M5534" s="241">
        <v>475.36590000000001</v>
      </c>
    </row>
    <row r="5535" spans="3:13" hidden="1" outlineLevel="1" x14ac:dyDescent="0.2">
      <c r="C5535" s="139">
        <v>67.700000000000443</v>
      </c>
      <c r="D5535" s="28">
        <f t="shared" si="153"/>
        <v>541.60000000000355</v>
      </c>
      <c r="E5535" s="28">
        <f t="shared" si="154"/>
        <v>507.7500000000033</v>
      </c>
      <c r="F5535" s="28">
        <f t="shared" si="155"/>
        <v>489.7500000000033</v>
      </c>
      <c r="G5535" s="28">
        <f t="shared" si="156"/>
        <v>437.65899999999999</v>
      </c>
      <c r="H5535" s="28">
        <f t="shared" si="157"/>
        <v>463.15879999999999</v>
      </c>
      <c r="I5535" s="28">
        <f t="shared" si="158"/>
        <v>475.36590000000001</v>
      </c>
      <c r="J5535" s="28">
        <f t="shared" si="159"/>
        <v>484.66300000000001</v>
      </c>
      <c r="K5535" s="28">
        <f t="shared" si="160"/>
        <v>500.2328</v>
      </c>
      <c r="L5535" s="4"/>
      <c r="M5535" s="241">
        <v>475.36590000000001</v>
      </c>
    </row>
    <row r="5536" spans="3:13" hidden="1" outlineLevel="1" x14ac:dyDescent="0.2">
      <c r="C5536" s="139">
        <v>67.800000000000438</v>
      </c>
      <c r="D5536" s="28">
        <f t="shared" si="153"/>
        <v>542.4000000000035</v>
      </c>
      <c r="E5536" s="28">
        <f t="shared" si="154"/>
        <v>508.5000000000033</v>
      </c>
      <c r="F5536" s="28">
        <f t="shared" si="155"/>
        <v>490.5000000000033</v>
      </c>
      <c r="G5536" s="28">
        <f t="shared" si="156"/>
        <v>438.61380000000003</v>
      </c>
      <c r="H5536" s="28">
        <f t="shared" si="157"/>
        <v>464.1508</v>
      </c>
      <c r="I5536" s="28">
        <f t="shared" si="158"/>
        <v>476.37169999999998</v>
      </c>
      <c r="J5536" s="28">
        <f t="shared" si="159"/>
        <v>485.68400000000003</v>
      </c>
      <c r="K5536" s="28">
        <f t="shared" si="160"/>
        <v>501.28039999999999</v>
      </c>
      <c r="L5536" s="4"/>
      <c r="M5536" s="241">
        <v>476.37169999999998</v>
      </c>
    </row>
    <row r="5537" spans="3:13" hidden="1" outlineLevel="1" x14ac:dyDescent="0.2">
      <c r="C5537" s="139">
        <v>67.900000000000432</v>
      </c>
      <c r="D5537" s="28">
        <f t="shared" si="153"/>
        <v>543.20000000000346</v>
      </c>
      <c r="E5537" s="28">
        <f t="shared" si="154"/>
        <v>509.25000000000324</v>
      </c>
      <c r="F5537" s="28">
        <f t="shared" si="155"/>
        <v>491.25000000000324</v>
      </c>
      <c r="G5537" s="28">
        <f t="shared" si="156"/>
        <v>439.56880000000001</v>
      </c>
      <c r="H5537" s="28">
        <f t="shared" si="157"/>
        <v>465.13929999999999</v>
      </c>
      <c r="I5537" s="28">
        <f t="shared" si="158"/>
        <v>477.37759999999997</v>
      </c>
      <c r="J5537" s="28">
        <f t="shared" si="159"/>
        <v>486.70519999999999</v>
      </c>
      <c r="K5537" s="28">
        <f t="shared" si="160"/>
        <v>502.32819999999998</v>
      </c>
      <c r="L5537" s="4"/>
      <c r="M5537" s="241">
        <v>477.37759999999997</v>
      </c>
    </row>
    <row r="5538" spans="3:13" hidden="1" outlineLevel="1" x14ac:dyDescent="0.2">
      <c r="C5538" s="139">
        <v>68.000000000000426</v>
      </c>
      <c r="D5538" s="28">
        <f t="shared" si="153"/>
        <v>544.00000000000341</v>
      </c>
      <c r="E5538" s="28">
        <f t="shared" si="154"/>
        <v>510.00000000000318</v>
      </c>
      <c r="F5538" s="28">
        <f t="shared" si="155"/>
        <v>492.00000000000318</v>
      </c>
      <c r="G5538" s="28">
        <f t="shared" si="156"/>
        <v>440.52420000000001</v>
      </c>
      <c r="H5538" s="28">
        <f t="shared" si="157"/>
        <v>466.12790000000001</v>
      </c>
      <c r="I5538" s="28">
        <f t="shared" si="158"/>
        <v>478.3836</v>
      </c>
      <c r="J5538" s="28">
        <f t="shared" si="159"/>
        <v>487.72649999999999</v>
      </c>
      <c r="K5538" s="28">
        <f t="shared" si="160"/>
        <v>503.37599999999998</v>
      </c>
      <c r="L5538" s="4"/>
      <c r="M5538" s="241">
        <v>478.3836</v>
      </c>
    </row>
    <row r="5539" spans="3:13" hidden="1" outlineLevel="1" x14ac:dyDescent="0.2">
      <c r="C5539" s="139">
        <v>68.100000000000421</v>
      </c>
      <c r="D5539" s="28">
        <f t="shared" si="153"/>
        <v>544.80000000000337</v>
      </c>
      <c r="E5539" s="28">
        <f t="shared" si="154"/>
        <v>510.75000000000318</v>
      </c>
      <c r="F5539" s="28">
        <f t="shared" si="155"/>
        <v>492.75000000000318</v>
      </c>
      <c r="G5539" s="28">
        <f t="shared" si="156"/>
        <v>440.52420000000001</v>
      </c>
      <c r="H5539" s="28">
        <f t="shared" si="157"/>
        <v>466.12790000000001</v>
      </c>
      <c r="I5539" s="28">
        <f t="shared" si="158"/>
        <v>478.3836</v>
      </c>
      <c r="J5539" s="28">
        <f t="shared" si="159"/>
        <v>487.72649999999999</v>
      </c>
      <c r="K5539" s="28">
        <f t="shared" si="160"/>
        <v>503.37599999999998</v>
      </c>
      <c r="L5539" s="4"/>
      <c r="M5539" s="241">
        <v>478.3836</v>
      </c>
    </row>
    <row r="5540" spans="3:13" hidden="1" outlineLevel="1" x14ac:dyDescent="0.2">
      <c r="C5540" s="139">
        <v>68.200000000000415</v>
      </c>
      <c r="D5540" s="28">
        <f t="shared" si="153"/>
        <v>545.60000000000332</v>
      </c>
      <c r="E5540" s="28">
        <f t="shared" si="154"/>
        <v>511.50000000000313</v>
      </c>
      <c r="F5540" s="28">
        <f t="shared" si="155"/>
        <v>493.50000000000313</v>
      </c>
      <c r="G5540" s="28">
        <f t="shared" si="156"/>
        <v>441.47969999999998</v>
      </c>
      <c r="H5540" s="28">
        <f t="shared" si="157"/>
        <v>467.11669999999998</v>
      </c>
      <c r="I5540" s="28">
        <f t="shared" si="158"/>
        <v>479.38979999999998</v>
      </c>
      <c r="J5540" s="28">
        <f t="shared" si="159"/>
        <v>488.74790000000002</v>
      </c>
      <c r="K5540" s="28">
        <f t="shared" si="160"/>
        <v>504.42399999999998</v>
      </c>
      <c r="L5540" s="4"/>
      <c r="M5540" s="241">
        <v>479.38979999999998</v>
      </c>
    </row>
    <row r="5541" spans="3:13" hidden="1" outlineLevel="1" x14ac:dyDescent="0.2">
      <c r="C5541" s="139">
        <v>68.300000000000409</v>
      </c>
      <c r="D5541" s="28">
        <f t="shared" si="153"/>
        <v>546.40000000000327</v>
      </c>
      <c r="E5541" s="28">
        <f t="shared" si="154"/>
        <v>512.25000000000307</v>
      </c>
      <c r="F5541" s="28">
        <f t="shared" si="155"/>
        <v>494.25000000000307</v>
      </c>
      <c r="G5541" s="28">
        <f t="shared" si="156"/>
        <v>442.43169999999998</v>
      </c>
      <c r="H5541" s="28">
        <f t="shared" si="157"/>
        <v>468.1019</v>
      </c>
      <c r="I5541" s="28">
        <f t="shared" si="158"/>
        <v>480.39609999999999</v>
      </c>
      <c r="J5541" s="28">
        <f t="shared" si="159"/>
        <v>489.76940000000002</v>
      </c>
      <c r="K5541" s="28">
        <f t="shared" si="160"/>
        <v>505.46789999999999</v>
      </c>
      <c r="L5541" s="4"/>
      <c r="M5541" s="241">
        <v>480.39609999999999</v>
      </c>
    </row>
    <row r="5542" spans="3:13" hidden="1" outlineLevel="1" x14ac:dyDescent="0.2">
      <c r="C5542" s="139">
        <v>68.400000000000404</v>
      </c>
      <c r="D5542" s="28">
        <f t="shared" si="153"/>
        <v>547.20000000000323</v>
      </c>
      <c r="E5542" s="28">
        <f t="shared" si="154"/>
        <v>513.00000000000307</v>
      </c>
      <c r="F5542" s="28">
        <f t="shared" si="155"/>
        <v>495.00000000000307</v>
      </c>
      <c r="G5542" s="28">
        <f t="shared" si="156"/>
        <v>443.38780000000003</v>
      </c>
      <c r="H5542" s="28">
        <f t="shared" si="157"/>
        <v>469.09100000000001</v>
      </c>
      <c r="I5542" s="28">
        <f t="shared" si="158"/>
        <v>481.40629999999999</v>
      </c>
      <c r="J5542" s="28">
        <f t="shared" si="159"/>
        <v>490.791</v>
      </c>
      <c r="K5542" s="28">
        <f t="shared" si="160"/>
        <v>506.51600000000002</v>
      </c>
      <c r="L5542" s="4"/>
      <c r="M5542" s="241">
        <v>481.40629999999999</v>
      </c>
    </row>
    <row r="5543" spans="3:13" hidden="1" outlineLevel="1" x14ac:dyDescent="0.2">
      <c r="C5543" s="139">
        <v>68.500000000000398</v>
      </c>
      <c r="D5543" s="28">
        <f t="shared" si="153"/>
        <v>548.00000000000318</v>
      </c>
      <c r="E5543" s="28">
        <f t="shared" si="154"/>
        <v>513.75000000000296</v>
      </c>
      <c r="F5543" s="28">
        <f t="shared" si="155"/>
        <v>495.75000000000296</v>
      </c>
      <c r="G5543" s="28">
        <f t="shared" si="156"/>
        <v>443.38780000000003</v>
      </c>
      <c r="H5543" s="28">
        <f t="shared" si="157"/>
        <v>469.09100000000001</v>
      </c>
      <c r="I5543" s="28">
        <f t="shared" si="158"/>
        <v>481.40629999999999</v>
      </c>
      <c r="J5543" s="28">
        <f t="shared" si="159"/>
        <v>490.791</v>
      </c>
      <c r="K5543" s="28">
        <f t="shared" si="160"/>
        <v>506.51600000000002</v>
      </c>
      <c r="L5543" s="4"/>
      <c r="M5543" s="241">
        <v>481.40629999999999</v>
      </c>
    </row>
    <row r="5544" spans="3:13" hidden="1" outlineLevel="1" x14ac:dyDescent="0.2">
      <c r="C5544" s="139">
        <v>68.600000000000392</v>
      </c>
      <c r="D5544" s="28">
        <f t="shared" si="153"/>
        <v>548.80000000000314</v>
      </c>
      <c r="E5544" s="28">
        <f t="shared" si="154"/>
        <v>514.50000000000296</v>
      </c>
      <c r="F5544" s="28">
        <f t="shared" si="155"/>
        <v>496.50000000000296</v>
      </c>
      <c r="G5544" s="28">
        <f t="shared" si="156"/>
        <v>444.34030000000001</v>
      </c>
      <c r="H5544" s="28">
        <f t="shared" si="157"/>
        <v>470.08030000000002</v>
      </c>
      <c r="I5544" s="28">
        <f t="shared" si="158"/>
        <v>482.41289999999998</v>
      </c>
      <c r="J5544" s="28">
        <f t="shared" si="159"/>
        <v>491.81279999999998</v>
      </c>
      <c r="K5544" s="28">
        <f t="shared" si="160"/>
        <v>507.5643</v>
      </c>
      <c r="L5544" s="4"/>
      <c r="M5544" s="241">
        <v>482.41289999999998</v>
      </c>
    </row>
    <row r="5545" spans="3:13" hidden="1" outlineLevel="1" x14ac:dyDescent="0.2">
      <c r="C5545" s="139">
        <v>68.700000000000387</v>
      </c>
      <c r="D5545" s="28">
        <f t="shared" si="153"/>
        <v>549.60000000000309</v>
      </c>
      <c r="E5545" s="28">
        <f t="shared" si="154"/>
        <v>515.25000000000296</v>
      </c>
      <c r="F5545" s="28">
        <f t="shared" si="155"/>
        <v>497.25000000000296</v>
      </c>
      <c r="G5545" s="28">
        <f t="shared" si="156"/>
        <v>445.29680000000002</v>
      </c>
      <c r="H5545" s="28">
        <f t="shared" si="157"/>
        <v>471.06970000000001</v>
      </c>
      <c r="I5545" s="28">
        <f t="shared" si="158"/>
        <v>483.4196</v>
      </c>
      <c r="J5545" s="28">
        <f t="shared" si="159"/>
        <v>492.8347</v>
      </c>
      <c r="K5545" s="28">
        <f t="shared" si="160"/>
        <v>508.61259999999999</v>
      </c>
      <c r="L5545" s="4"/>
      <c r="M5545" s="241">
        <v>483.4196</v>
      </c>
    </row>
    <row r="5546" spans="3:13" hidden="1" outlineLevel="1" x14ac:dyDescent="0.2">
      <c r="C5546" s="139">
        <v>68.800000000000381</v>
      </c>
      <c r="D5546" s="28">
        <f t="shared" si="153"/>
        <v>550.40000000000305</v>
      </c>
      <c r="E5546" s="28">
        <f t="shared" si="154"/>
        <v>516.00000000000284</v>
      </c>
      <c r="F5546" s="28">
        <f t="shared" si="155"/>
        <v>498.00000000000284</v>
      </c>
      <c r="G5546" s="28">
        <f t="shared" si="156"/>
        <v>446.24970000000002</v>
      </c>
      <c r="H5546" s="28">
        <f t="shared" si="157"/>
        <v>472.05930000000001</v>
      </c>
      <c r="I5546" s="28">
        <f t="shared" si="158"/>
        <v>484.42649999999998</v>
      </c>
      <c r="J5546" s="28">
        <f t="shared" si="159"/>
        <v>493.85669999999999</v>
      </c>
      <c r="K5546" s="28">
        <f t="shared" si="160"/>
        <v>509.65690000000001</v>
      </c>
      <c r="L5546" s="4"/>
      <c r="M5546" s="241">
        <v>484.42649999999998</v>
      </c>
    </row>
    <row r="5547" spans="3:13" hidden="1" outlineLevel="1" x14ac:dyDescent="0.2">
      <c r="C5547" s="139">
        <v>68.900000000000375</v>
      </c>
      <c r="D5547" s="28">
        <f t="shared" si="153"/>
        <v>551.200000000003</v>
      </c>
      <c r="E5547" s="28">
        <f t="shared" si="154"/>
        <v>516.75000000000284</v>
      </c>
      <c r="F5547" s="28">
        <f t="shared" si="155"/>
        <v>498.75000000000284</v>
      </c>
      <c r="G5547" s="28">
        <f t="shared" si="156"/>
        <v>446.24970000000002</v>
      </c>
      <c r="H5547" s="28">
        <f t="shared" si="157"/>
        <v>472.05930000000001</v>
      </c>
      <c r="I5547" s="28">
        <f t="shared" si="158"/>
        <v>484.42649999999998</v>
      </c>
      <c r="J5547" s="28">
        <f t="shared" si="159"/>
        <v>493.85669999999999</v>
      </c>
      <c r="K5547" s="28">
        <f t="shared" si="160"/>
        <v>509.65690000000001</v>
      </c>
      <c r="L5547" s="4"/>
      <c r="M5547" s="241">
        <v>484.42649999999998</v>
      </c>
    </row>
    <row r="5548" spans="3:13" hidden="1" outlineLevel="1" x14ac:dyDescent="0.2">
      <c r="C5548" s="139">
        <v>69.000000000000369</v>
      </c>
      <c r="D5548" s="28">
        <f t="shared" si="153"/>
        <v>552.00000000000296</v>
      </c>
      <c r="E5548" s="28">
        <f t="shared" si="154"/>
        <v>517.50000000000273</v>
      </c>
      <c r="F5548" s="28">
        <f t="shared" si="155"/>
        <v>499.50000000000273</v>
      </c>
      <c r="G5548" s="28">
        <f t="shared" si="156"/>
        <v>447.20670000000001</v>
      </c>
      <c r="H5548" s="28">
        <f t="shared" si="157"/>
        <v>473.04910000000001</v>
      </c>
      <c r="I5548" s="28">
        <f t="shared" si="158"/>
        <v>485.43349999999998</v>
      </c>
      <c r="J5548" s="28">
        <f t="shared" si="159"/>
        <v>494.87880000000001</v>
      </c>
      <c r="K5548" s="28">
        <f t="shared" si="160"/>
        <v>510.7054</v>
      </c>
      <c r="L5548" s="4"/>
      <c r="M5548" s="241">
        <v>485.43349999999998</v>
      </c>
    </row>
    <row r="5549" spans="3:13" hidden="1" outlineLevel="1" x14ac:dyDescent="0.2">
      <c r="C5549" s="139">
        <v>69.100000000000364</v>
      </c>
      <c r="D5549" s="28">
        <f t="shared" si="153"/>
        <v>552.80000000000291</v>
      </c>
      <c r="E5549" s="28">
        <f t="shared" si="154"/>
        <v>518.25000000000273</v>
      </c>
      <c r="F5549" s="28">
        <f t="shared" si="155"/>
        <v>500.25000000000273</v>
      </c>
      <c r="G5549" s="28">
        <f t="shared" si="156"/>
        <v>448.16019999999997</v>
      </c>
      <c r="H5549" s="28">
        <f t="shared" si="157"/>
        <v>474.03530000000001</v>
      </c>
      <c r="I5549" s="28">
        <f t="shared" si="158"/>
        <v>486.44069999999999</v>
      </c>
      <c r="J5549" s="28">
        <f t="shared" si="159"/>
        <v>495.89729999999997</v>
      </c>
      <c r="K5549" s="28">
        <f t="shared" si="160"/>
        <v>511.75400000000002</v>
      </c>
      <c r="L5549" s="4"/>
      <c r="M5549" s="241">
        <v>486.44069999999999</v>
      </c>
    </row>
    <row r="5550" spans="3:13" hidden="1" outlineLevel="1" x14ac:dyDescent="0.2">
      <c r="C5550" s="139">
        <v>69.200000000000358</v>
      </c>
      <c r="D5550" s="28">
        <f t="shared" si="153"/>
        <v>553.60000000000286</v>
      </c>
      <c r="E5550" s="28">
        <f t="shared" si="154"/>
        <v>519.00000000000273</v>
      </c>
      <c r="F5550" s="28">
        <f t="shared" si="155"/>
        <v>501.00000000000273</v>
      </c>
      <c r="G5550" s="28">
        <f t="shared" si="156"/>
        <v>449.11380000000003</v>
      </c>
      <c r="H5550" s="28">
        <f t="shared" si="157"/>
        <v>475.02539999999999</v>
      </c>
      <c r="I5550" s="28">
        <f t="shared" si="158"/>
        <v>487.44409999999999</v>
      </c>
      <c r="J5550" s="28">
        <f t="shared" si="159"/>
        <v>496.91969999999998</v>
      </c>
      <c r="K5550" s="28">
        <f t="shared" si="160"/>
        <v>512.80280000000005</v>
      </c>
      <c r="L5550" s="4"/>
      <c r="M5550" s="241">
        <v>487.44409999999999</v>
      </c>
    </row>
    <row r="5551" spans="3:13" hidden="1" outlineLevel="1" x14ac:dyDescent="0.2">
      <c r="C5551" s="139">
        <v>69.300000000000352</v>
      </c>
      <c r="D5551" s="28">
        <f t="shared" si="153"/>
        <v>554.40000000000282</v>
      </c>
      <c r="E5551" s="28">
        <f t="shared" si="154"/>
        <v>519.75000000000261</v>
      </c>
      <c r="F5551" s="28">
        <f t="shared" si="155"/>
        <v>501.75000000000261</v>
      </c>
      <c r="G5551" s="28">
        <f t="shared" si="156"/>
        <v>449.11380000000003</v>
      </c>
      <c r="H5551" s="28">
        <f t="shared" si="157"/>
        <v>475.02539999999999</v>
      </c>
      <c r="I5551" s="28">
        <f t="shared" si="158"/>
        <v>487.44409999999999</v>
      </c>
      <c r="J5551" s="28">
        <f t="shared" si="159"/>
        <v>496.91969999999998</v>
      </c>
      <c r="K5551" s="28">
        <f t="shared" si="160"/>
        <v>512.80280000000005</v>
      </c>
      <c r="L5551" s="4"/>
      <c r="M5551" s="241">
        <v>487.44409999999999</v>
      </c>
    </row>
    <row r="5552" spans="3:13" hidden="1" outlineLevel="1" x14ac:dyDescent="0.2">
      <c r="C5552" s="139">
        <v>69.400000000000347</v>
      </c>
      <c r="D5552" s="28">
        <f t="shared" si="153"/>
        <v>555.20000000000277</v>
      </c>
      <c r="E5552" s="28">
        <f t="shared" si="154"/>
        <v>520.50000000000261</v>
      </c>
      <c r="F5552" s="28">
        <f t="shared" si="155"/>
        <v>502.50000000000261</v>
      </c>
      <c r="G5552" s="28">
        <f t="shared" si="156"/>
        <v>450.07150000000001</v>
      </c>
      <c r="H5552" s="28">
        <f t="shared" si="157"/>
        <v>476.01569999999998</v>
      </c>
      <c r="I5552" s="28">
        <f t="shared" si="158"/>
        <v>488.45150000000001</v>
      </c>
      <c r="J5552" s="28">
        <f t="shared" si="159"/>
        <v>497.94220000000001</v>
      </c>
      <c r="K5552" s="28">
        <f t="shared" si="160"/>
        <v>513.84739999999999</v>
      </c>
      <c r="L5552" s="4"/>
      <c r="M5552" s="241">
        <v>488.45150000000001</v>
      </c>
    </row>
    <row r="5553" spans="3:13" hidden="1" outlineLevel="1" x14ac:dyDescent="0.2">
      <c r="C5553" s="139">
        <v>69.500000000000341</v>
      </c>
      <c r="D5553" s="28">
        <f t="shared" si="153"/>
        <v>556.00000000000273</v>
      </c>
      <c r="E5553" s="28">
        <f t="shared" si="154"/>
        <v>521.2500000000025</v>
      </c>
      <c r="F5553" s="28">
        <f t="shared" si="155"/>
        <v>503.2500000000025</v>
      </c>
      <c r="G5553" s="28">
        <f t="shared" si="156"/>
        <v>451.02569999999997</v>
      </c>
      <c r="H5553" s="28">
        <f t="shared" si="157"/>
        <v>477.00229999999999</v>
      </c>
      <c r="I5553" s="28">
        <f t="shared" si="158"/>
        <v>489.45909999999998</v>
      </c>
      <c r="J5553" s="28">
        <f t="shared" si="159"/>
        <v>498.96480000000003</v>
      </c>
      <c r="K5553" s="28">
        <f t="shared" si="160"/>
        <v>514.8963</v>
      </c>
      <c r="L5553" s="4"/>
      <c r="M5553" s="241">
        <v>489.45909999999998</v>
      </c>
    </row>
    <row r="5554" spans="3:13" hidden="1" outlineLevel="1" x14ac:dyDescent="0.2">
      <c r="C5554" s="139">
        <v>69.600000000000335</v>
      </c>
      <c r="D5554" s="28">
        <f t="shared" si="153"/>
        <v>556.80000000000268</v>
      </c>
      <c r="E5554" s="28">
        <f t="shared" si="154"/>
        <v>522.0000000000025</v>
      </c>
      <c r="F5554" s="28">
        <f t="shared" si="155"/>
        <v>504.0000000000025</v>
      </c>
      <c r="G5554" s="28">
        <f t="shared" si="156"/>
        <v>451.98</v>
      </c>
      <c r="H5554" s="28">
        <f t="shared" si="157"/>
        <v>477.99290000000002</v>
      </c>
      <c r="I5554" s="28">
        <f t="shared" si="158"/>
        <v>490.46679999999998</v>
      </c>
      <c r="J5554" s="28">
        <f t="shared" si="159"/>
        <v>499.9837</v>
      </c>
      <c r="K5554" s="28">
        <f t="shared" si="160"/>
        <v>515.94110000000001</v>
      </c>
      <c r="L5554" s="4"/>
      <c r="M5554" s="241">
        <v>490.46679999999998</v>
      </c>
    </row>
    <row r="5555" spans="3:13" hidden="1" outlineLevel="1" x14ac:dyDescent="0.2">
      <c r="C5555" s="139">
        <v>69.70000000000033</v>
      </c>
      <c r="D5555" s="28">
        <f t="shared" si="153"/>
        <v>557.60000000000264</v>
      </c>
      <c r="E5555" s="28">
        <f t="shared" si="154"/>
        <v>522.7500000000025</v>
      </c>
      <c r="F5555" s="28">
        <f t="shared" si="155"/>
        <v>504.7500000000025</v>
      </c>
      <c r="G5555" s="28">
        <f t="shared" si="156"/>
        <v>451.98</v>
      </c>
      <c r="H5555" s="28">
        <f t="shared" si="157"/>
        <v>477.99290000000002</v>
      </c>
      <c r="I5555" s="28">
        <f t="shared" si="158"/>
        <v>490.46679999999998</v>
      </c>
      <c r="J5555" s="28">
        <f t="shared" si="159"/>
        <v>499.9837</v>
      </c>
      <c r="K5555" s="28">
        <f t="shared" si="160"/>
        <v>515.94110000000001</v>
      </c>
      <c r="L5555" s="4"/>
      <c r="M5555" s="241">
        <v>490.46679999999998</v>
      </c>
    </row>
    <row r="5556" spans="3:13" hidden="1" outlineLevel="1" x14ac:dyDescent="0.2">
      <c r="C5556" s="139">
        <v>69.800000000000324</v>
      </c>
      <c r="D5556" s="28">
        <f t="shared" si="153"/>
        <v>558.40000000000259</v>
      </c>
      <c r="E5556" s="28">
        <f t="shared" si="154"/>
        <v>523.50000000000239</v>
      </c>
      <c r="F5556" s="28">
        <f t="shared" si="155"/>
        <v>505.50000000000239</v>
      </c>
      <c r="G5556" s="28">
        <f t="shared" si="156"/>
        <v>452.93459999999999</v>
      </c>
      <c r="H5556" s="28">
        <f t="shared" si="157"/>
        <v>478.97980000000001</v>
      </c>
      <c r="I5556" s="28">
        <f t="shared" si="158"/>
        <v>491.47460000000001</v>
      </c>
      <c r="J5556" s="28">
        <f t="shared" si="159"/>
        <v>501.00650000000002</v>
      </c>
      <c r="K5556" s="28">
        <f t="shared" si="160"/>
        <v>516.99019999999996</v>
      </c>
      <c r="L5556" s="4"/>
      <c r="M5556" s="241">
        <v>491.47460000000001</v>
      </c>
    </row>
    <row r="5557" spans="3:13" hidden="1" outlineLevel="1" x14ac:dyDescent="0.2">
      <c r="C5557" s="139">
        <v>69.900000000000318</v>
      </c>
      <c r="D5557" s="28">
        <f t="shared" si="153"/>
        <v>559.20000000000255</v>
      </c>
      <c r="E5557" s="28">
        <f t="shared" si="154"/>
        <v>524.25000000000239</v>
      </c>
      <c r="F5557" s="28">
        <f t="shared" si="155"/>
        <v>506.25000000000239</v>
      </c>
      <c r="G5557" s="28">
        <f t="shared" si="156"/>
        <v>453.88940000000002</v>
      </c>
      <c r="H5557" s="28">
        <f t="shared" si="157"/>
        <v>479.9708</v>
      </c>
      <c r="I5557" s="28">
        <f t="shared" si="158"/>
        <v>492.48259999999999</v>
      </c>
      <c r="J5557" s="28">
        <f t="shared" si="159"/>
        <v>502.02949999999998</v>
      </c>
      <c r="K5557" s="28">
        <f t="shared" si="160"/>
        <v>518.03949999999998</v>
      </c>
      <c r="L5557" s="4"/>
      <c r="M5557" s="241">
        <v>492.48259999999999</v>
      </c>
    </row>
    <row r="5558" spans="3:13" hidden="1" outlineLevel="1" x14ac:dyDescent="0.2">
      <c r="C5558" s="139">
        <v>70.000000000000313</v>
      </c>
      <c r="D5558" s="28">
        <f t="shared" si="153"/>
        <v>560.0000000000025</v>
      </c>
      <c r="E5558" s="28">
        <f t="shared" si="154"/>
        <v>525.00000000000239</v>
      </c>
      <c r="F5558" s="28">
        <f t="shared" si="155"/>
        <v>507.00000000000239</v>
      </c>
      <c r="G5558" s="28">
        <f t="shared" si="156"/>
        <v>454.84440000000001</v>
      </c>
      <c r="H5558" s="28">
        <f t="shared" si="157"/>
        <v>480.95800000000003</v>
      </c>
      <c r="I5558" s="28">
        <f t="shared" si="158"/>
        <v>493.48680000000002</v>
      </c>
      <c r="J5558" s="28">
        <f t="shared" si="159"/>
        <v>503.0487</v>
      </c>
      <c r="K5558" s="28">
        <f t="shared" si="160"/>
        <v>519.08450000000005</v>
      </c>
      <c r="L5558" s="4"/>
      <c r="M5558" s="241">
        <v>493.48680000000002</v>
      </c>
    </row>
    <row r="5559" spans="3:13" hidden="1" outlineLevel="1" x14ac:dyDescent="0.2">
      <c r="C5559" s="139">
        <v>70.100000000000307</v>
      </c>
      <c r="D5559" s="28">
        <f t="shared" si="153"/>
        <v>560.80000000000246</v>
      </c>
      <c r="E5559" s="28">
        <f t="shared" si="154"/>
        <v>525.75000000000227</v>
      </c>
      <c r="F5559" s="28">
        <f t="shared" si="155"/>
        <v>507.75000000000227</v>
      </c>
      <c r="G5559" s="28">
        <f t="shared" si="156"/>
        <v>454.84440000000001</v>
      </c>
      <c r="H5559" s="28">
        <f t="shared" si="157"/>
        <v>480.95800000000003</v>
      </c>
      <c r="I5559" s="28">
        <f t="shared" si="158"/>
        <v>493.48680000000002</v>
      </c>
      <c r="J5559" s="28">
        <f t="shared" si="159"/>
        <v>503.0487</v>
      </c>
      <c r="K5559" s="28">
        <f t="shared" si="160"/>
        <v>519.08450000000005</v>
      </c>
      <c r="L5559" s="4"/>
      <c r="M5559" s="241">
        <v>493.48680000000002</v>
      </c>
    </row>
    <row r="5560" spans="3:13" hidden="1" outlineLevel="1" x14ac:dyDescent="0.2">
      <c r="C5560" s="139">
        <v>70.200000000000301</v>
      </c>
      <c r="D5560" s="28">
        <f t="shared" si="153"/>
        <v>561.60000000000241</v>
      </c>
      <c r="E5560" s="28">
        <f t="shared" si="154"/>
        <v>526.50000000000227</v>
      </c>
      <c r="F5560" s="28">
        <f t="shared" si="155"/>
        <v>508.50000000000227</v>
      </c>
      <c r="G5560" s="28">
        <f t="shared" si="156"/>
        <v>455.79969999999997</v>
      </c>
      <c r="H5560" s="28">
        <f t="shared" si="157"/>
        <v>481.94929999999999</v>
      </c>
      <c r="I5560" s="28">
        <f t="shared" si="158"/>
        <v>494.495</v>
      </c>
      <c r="J5560" s="28">
        <f t="shared" si="159"/>
        <v>504.07190000000003</v>
      </c>
      <c r="K5560" s="28">
        <f t="shared" si="160"/>
        <v>520.13390000000004</v>
      </c>
      <c r="L5560" s="4"/>
      <c r="M5560" s="241">
        <v>494.495</v>
      </c>
    </row>
    <row r="5561" spans="3:13" hidden="1" outlineLevel="1" x14ac:dyDescent="0.2">
      <c r="C5561" s="139">
        <v>70.300000000000296</v>
      </c>
      <c r="D5561" s="28">
        <f t="shared" si="153"/>
        <v>562.40000000000236</v>
      </c>
      <c r="E5561" s="28">
        <f t="shared" si="154"/>
        <v>527.25000000000227</v>
      </c>
      <c r="F5561" s="28">
        <f t="shared" si="155"/>
        <v>509.25000000000227</v>
      </c>
      <c r="G5561" s="28">
        <f t="shared" si="156"/>
        <v>456.7552</v>
      </c>
      <c r="H5561" s="28">
        <f t="shared" si="157"/>
        <v>482.93680000000001</v>
      </c>
      <c r="I5561" s="28">
        <f t="shared" si="158"/>
        <v>495.5034</v>
      </c>
      <c r="J5561" s="28">
        <f t="shared" si="159"/>
        <v>505.09140000000002</v>
      </c>
      <c r="K5561" s="28">
        <f t="shared" si="160"/>
        <v>521.17920000000004</v>
      </c>
      <c r="L5561" s="4"/>
      <c r="M5561" s="241">
        <v>495.5034</v>
      </c>
    </row>
    <row r="5562" spans="3:13" hidden="1" outlineLevel="1" x14ac:dyDescent="0.2">
      <c r="C5562" s="139">
        <v>70.40000000000029</v>
      </c>
      <c r="D5562" s="28">
        <f t="shared" si="153"/>
        <v>563.20000000000232</v>
      </c>
      <c r="E5562" s="28">
        <f t="shared" si="154"/>
        <v>528.00000000000216</v>
      </c>
      <c r="F5562" s="28">
        <f t="shared" si="155"/>
        <v>510.00000000000216</v>
      </c>
      <c r="G5562" s="28">
        <f t="shared" si="156"/>
        <v>457.71089999999998</v>
      </c>
      <c r="H5562" s="28">
        <f t="shared" si="157"/>
        <v>483.92840000000001</v>
      </c>
      <c r="I5562" s="28">
        <f t="shared" si="158"/>
        <v>496.50799999999998</v>
      </c>
      <c r="J5562" s="28">
        <f t="shared" si="159"/>
        <v>506.1148</v>
      </c>
      <c r="K5562" s="28">
        <f t="shared" si="160"/>
        <v>522.22879999999998</v>
      </c>
      <c r="L5562" s="4"/>
      <c r="M5562" s="241">
        <v>496.50799999999998</v>
      </c>
    </row>
    <row r="5563" spans="3:13" hidden="1" outlineLevel="1" x14ac:dyDescent="0.2">
      <c r="C5563" s="139">
        <v>70.500000000000284</v>
      </c>
      <c r="D5563" s="28">
        <f t="shared" ref="D5563:D5626" si="161">C5563*Channels.per.TRX</f>
        <v>564.00000000000227</v>
      </c>
      <c r="E5563" s="28">
        <f t="shared" ref="E5563:E5626" si="162">D5563-C5563*sig.channel.per.TRX</f>
        <v>528.75000000000216</v>
      </c>
      <c r="F5563" s="28">
        <f t="shared" ref="F5563:F5626" si="163">MAX(0,E5563-GPRS.channel.per.sector)</f>
        <v>510.75000000000216</v>
      </c>
      <c r="G5563" s="28">
        <f t="shared" ref="G5563:G5626" si="164">INDEX(D$10:D$4326,MATCH($F5563,$C$10:$C$4326,1))</f>
        <v>457.71089999999998</v>
      </c>
      <c r="H5563" s="28">
        <f t="shared" ref="H5563:H5626" si="165">INDEX(E$10:E$4326,MATCH($F5563,$C$10:$C$4326,1))</f>
        <v>483.92840000000001</v>
      </c>
      <c r="I5563" s="28">
        <f t="shared" ref="I5563:I5626" si="166">INDEX(F$10:F$4326,MATCH($F5563,$C$10:$C$4326,1))</f>
        <v>496.50799999999998</v>
      </c>
      <c r="J5563" s="28">
        <f t="shared" ref="J5563:J5626" si="167">INDEX(G$10:G$4326,MATCH($F5563,$C$10:$C$4326,1))</f>
        <v>506.1148</v>
      </c>
      <c r="K5563" s="28">
        <f t="shared" ref="K5563:K5626" si="168">INDEX(H$10:H$4326,MATCH($F5563,$C$10:$C$4326,1))</f>
        <v>522.22879999999998</v>
      </c>
      <c r="L5563" s="4"/>
      <c r="M5563" s="241">
        <v>496.50799999999998</v>
      </c>
    </row>
    <row r="5564" spans="3:13" hidden="1" outlineLevel="1" x14ac:dyDescent="0.2">
      <c r="C5564" s="139">
        <v>70.600000000000279</v>
      </c>
      <c r="D5564" s="28">
        <f t="shared" si="161"/>
        <v>564.80000000000223</v>
      </c>
      <c r="E5564" s="28">
        <f t="shared" si="162"/>
        <v>529.50000000000205</v>
      </c>
      <c r="F5564" s="28">
        <f t="shared" si="163"/>
        <v>511.50000000000205</v>
      </c>
      <c r="G5564" s="28">
        <f t="shared" si="164"/>
        <v>458.6669</v>
      </c>
      <c r="H5564" s="28">
        <f t="shared" si="165"/>
        <v>484.91629999999998</v>
      </c>
      <c r="I5564" s="28">
        <f t="shared" si="166"/>
        <v>497.51659999999998</v>
      </c>
      <c r="J5564" s="28">
        <f t="shared" si="167"/>
        <v>507.1345</v>
      </c>
      <c r="K5564" s="28">
        <f t="shared" si="168"/>
        <v>523.27419999999995</v>
      </c>
      <c r="L5564" s="4"/>
      <c r="M5564" s="241">
        <v>497.51659999999998</v>
      </c>
    </row>
    <row r="5565" spans="3:13" hidden="1" outlineLevel="1" x14ac:dyDescent="0.2">
      <c r="C5565" s="139">
        <v>70.700000000000273</v>
      </c>
      <c r="D5565" s="28">
        <f t="shared" si="161"/>
        <v>565.60000000000218</v>
      </c>
      <c r="E5565" s="28">
        <f t="shared" si="162"/>
        <v>530.25000000000205</v>
      </c>
      <c r="F5565" s="28">
        <f t="shared" si="163"/>
        <v>512.25000000000205</v>
      </c>
      <c r="G5565" s="28">
        <f t="shared" si="164"/>
        <v>459.62299999999999</v>
      </c>
      <c r="H5565" s="28">
        <f t="shared" si="165"/>
        <v>485.90429999999998</v>
      </c>
      <c r="I5565" s="28">
        <f t="shared" si="166"/>
        <v>498.52539999999999</v>
      </c>
      <c r="J5565" s="28">
        <f t="shared" si="167"/>
        <v>508.15820000000002</v>
      </c>
      <c r="K5565" s="28">
        <f t="shared" si="168"/>
        <v>524.32399999999996</v>
      </c>
      <c r="L5565" s="4"/>
      <c r="M5565" s="241">
        <v>498.52539999999999</v>
      </c>
    </row>
    <row r="5566" spans="3:13" hidden="1" outlineLevel="1" x14ac:dyDescent="0.2">
      <c r="C5566" s="139">
        <v>70.800000000000267</v>
      </c>
      <c r="D5566" s="28">
        <f t="shared" si="161"/>
        <v>566.40000000000214</v>
      </c>
      <c r="E5566" s="28">
        <f t="shared" si="162"/>
        <v>531.00000000000205</v>
      </c>
      <c r="F5566" s="28">
        <f t="shared" si="163"/>
        <v>513.00000000000205</v>
      </c>
      <c r="G5566" s="28">
        <f t="shared" si="164"/>
        <v>460.5795</v>
      </c>
      <c r="H5566" s="28">
        <f t="shared" si="165"/>
        <v>486.89640000000003</v>
      </c>
      <c r="I5566" s="28">
        <f t="shared" si="166"/>
        <v>499.53039999999999</v>
      </c>
      <c r="J5566" s="28">
        <f t="shared" si="167"/>
        <v>509.17809999999997</v>
      </c>
      <c r="K5566" s="28">
        <f t="shared" si="168"/>
        <v>525.36959999999999</v>
      </c>
      <c r="L5566" s="4"/>
      <c r="M5566" s="241">
        <v>499.53039999999999</v>
      </c>
    </row>
    <row r="5567" spans="3:13" hidden="1" outlineLevel="1" x14ac:dyDescent="0.2">
      <c r="C5567" s="139">
        <v>70.900000000000261</v>
      </c>
      <c r="D5567" s="28">
        <f t="shared" si="161"/>
        <v>567.20000000000209</v>
      </c>
      <c r="E5567" s="28">
        <f t="shared" si="162"/>
        <v>531.75000000000193</v>
      </c>
      <c r="F5567" s="28">
        <f t="shared" si="163"/>
        <v>513.75000000000193</v>
      </c>
      <c r="G5567" s="28">
        <f t="shared" si="164"/>
        <v>460.5795</v>
      </c>
      <c r="H5567" s="28">
        <f t="shared" si="165"/>
        <v>486.89640000000003</v>
      </c>
      <c r="I5567" s="28">
        <f t="shared" si="166"/>
        <v>499.53039999999999</v>
      </c>
      <c r="J5567" s="28">
        <f t="shared" si="167"/>
        <v>509.17809999999997</v>
      </c>
      <c r="K5567" s="28">
        <f t="shared" si="168"/>
        <v>525.36959999999999</v>
      </c>
      <c r="L5567" s="4"/>
      <c r="M5567" s="241">
        <v>499.53039999999999</v>
      </c>
    </row>
    <row r="5568" spans="3:13" hidden="1" outlineLevel="1" x14ac:dyDescent="0.2">
      <c r="C5568" s="139">
        <v>71.000000000000256</v>
      </c>
      <c r="D5568" s="28">
        <f t="shared" si="161"/>
        <v>568.00000000000205</v>
      </c>
      <c r="E5568" s="28">
        <f t="shared" si="162"/>
        <v>532.50000000000193</v>
      </c>
      <c r="F5568" s="28">
        <f t="shared" si="163"/>
        <v>514.50000000000193</v>
      </c>
      <c r="G5568" s="28">
        <f t="shared" si="164"/>
        <v>461.53219999999999</v>
      </c>
      <c r="H5568" s="28">
        <f t="shared" si="165"/>
        <v>487.88470000000001</v>
      </c>
      <c r="I5568" s="28">
        <f t="shared" si="166"/>
        <v>500.5394</v>
      </c>
      <c r="J5568" s="28">
        <f t="shared" si="167"/>
        <v>510.202</v>
      </c>
      <c r="K5568" s="28">
        <f t="shared" si="168"/>
        <v>526.41959999999995</v>
      </c>
      <c r="L5568" s="4"/>
      <c r="M5568" s="241">
        <v>500.5394</v>
      </c>
    </row>
    <row r="5569" spans="3:13" hidden="1" outlineLevel="1" x14ac:dyDescent="0.2">
      <c r="C5569" s="139">
        <v>71.10000000000025</v>
      </c>
      <c r="D5569" s="28">
        <f t="shared" si="161"/>
        <v>568.800000000002</v>
      </c>
      <c r="E5569" s="28">
        <f t="shared" si="162"/>
        <v>533.25000000000182</v>
      </c>
      <c r="F5569" s="28">
        <f t="shared" si="163"/>
        <v>515.25000000000182</v>
      </c>
      <c r="G5569" s="28">
        <f t="shared" si="164"/>
        <v>462.48899999999998</v>
      </c>
      <c r="H5569" s="28">
        <f t="shared" si="165"/>
        <v>488.8732</v>
      </c>
      <c r="I5569" s="28">
        <f t="shared" si="166"/>
        <v>501.54469999999998</v>
      </c>
      <c r="J5569" s="28">
        <f t="shared" si="167"/>
        <v>511.22210000000001</v>
      </c>
      <c r="K5569" s="28">
        <f t="shared" si="168"/>
        <v>527.46540000000005</v>
      </c>
      <c r="L5569" s="4"/>
      <c r="M5569" s="241">
        <v>501.54469999999998</v>
      </c>
    </row>
    <row r="5570" spans="3:13" hidden="1" outlineLevel="1" x14ac:dyDescent="0.2">
      <c r="C5570" s="139">
        <v>71.200000000000244</v>
      </c>
      <c r="D5570" s="28">
        <f t="shared" si="161"/>
        <v>569.60000000000196</v>
      </c>
      <c r="E5570" s="28">
        <f t="shared" si="162"/>
        <v>534.00000000000182</v>
      </c>
      <c r="F5570" s="28">
        <f t="shared" si="163"/>
        <v>516.00000000000182</v>
      </c>
      <c r="G5570" s="28">
        <f t="shared" si="164"/>
        <v>463.4461</v>
      </c>
      <c r="H5570" s="28">
        <f t="shared" si="165"/>
        <v>489.86180000000002</v>
      </c>
      <c r="I5570" s="28">
        <f t="shared" si="166"/>
        <v>502.55399999999997</v>
      </c>
      <c r="J5570" s="28">
        <f t="shared" si="167"/>
        <v>512.24630000000002</v>
      </c>
      <c r="K5570" s="28">
        <f t="shared" si="168"/>
        <v>528.51559999999995</v>
      </c>
      <c r="L5570" s="4"/>
      <c r="M5570" s="241">
        <v>502.55399999999997</v>
      </c>
    </row>
    <row r="5571" spans="3:13" hidden="1" outlineLevel="1" x14ac:dyDescent="0.2">
      <c r="C5571" s="139">
        <v>71.300000000000239</v>
      </c>
      <c r="D5571" s="28">
        <f t="shared" si="161"/>
        <v>570.40000000000191</v>
      </c>
      <c r="E5571" s="28">
        <f t="shared" si="162"/>
        <v>534.75000000000182</v>
      </c>
      <c r="F5571" s="28">
        <f t="shared" si="163"/>
        <v>516.75000000000182</v>
      </c>
      <c r="G5571" s="28">
        <f t="shared" si="164"/>
        <v>463.4461</v>
      </c>
      <c r="H5571" s="28">
        <f t="shared" si="165"/>
        <v>489.86180000000002</v>
      </c>
      <c r="I5571" s="28">
        <f t="shared" si="166"/>
        <v>502.55399999999997</v>
      </c>
      <c r="J5571" s="28">
        <f t="shared" si="167"/>
        <v>512.24630000000002</v>
      </c>
      <c r="K5571" s="28">
        <f t="shared" si="168"/>
        <v>528.51559999999995</v>
      </c>
      <c r="L5571" s="4"/>
      <c r="M5571" s="241">
        <v>502.55399999999997</v>
      </c>
    </row>
    <row r="5572" spans="3:13" hidden="1" outlineLevel="1" x14ac:dyDescent="0.2">
      <c r="C5572" s="139">
        <v>71.400000000000233</v>
      </c>
      <c r="D5572" s="28">
        <f t="shared" si="161"/>
        <v>571.20000000000186</v>
      </c>
      <c r="E5572" s="28">
        <f t="shared" si="162"/>
        <v>535.50000000000171</v>
      </c>
      <c r="F5572" s="28">
        <f t="shared" si="163"/>
        <v>517.50000000000171</v>
      </c>
      <c r="G5572" s="28">
        <f t="shared" si="164"/>
        <v>464.39949999999999</v>
      </c>
      <c r="H5572" s="28">
        <f t="shared" si="165"/>
        <v>490.85059999999999</v>
      </c>
      <c r="I5572" s="28">
        <f t="shared" si="166"/>
        <v>503.55950000000001</v>
      </c>
      <c r="J5572" s="28">
        <f t="shared" si="167"/>
        <v>513.26660000000004</v>
      </c>
      <c r="K5572" s="28">
        <f t="shared" si="168"/>
        <v>529.56150000000002</v>
      </c>
      <c r="L5572" s="4"/>
      <c r="M5572" s="241">
        <v>503.55950000000001</v>
      </c>
    </row>
    <row r="5573" spans="3:13" hidden="1" outlineLevel="1" x14ac:dyDescent="0.2">
      <c r="C5573" s="139">
        <v>71.500000000000227</v>
      </c>
      <c r="D5573" s="28">
        <f t="shared" si="161"/>
        <v>572.00000000000182</v>
      </c>
      <c r="E5573" s="28">
        <f t="shared" si="162"/>
        <v>536.25000000000171</v>
      </c>
      <c r="F5573" s="28">
        <f t="shared" si="163"/>
        <v>518.25000000000171</v>
      </c>
      <c r="G5573" s="28">
        <f t="shared" si="164"/>
        <v>465.35700000000003</v>
      </c>
      <c r="H5573" s="28">
        <f t="shared" si="165"/>
        <v>491.84350000000001</v>
      </c>
      <c r="I5573" s="28">
        <f t="shared" si="166"/>
        <v>504.56900000000002</v>
      </c>
      <c r="J5573" s="28">
        <f t="shared" si="167"/>
        <v>514.28710000000001</v>
      </c>
      <c r="K5573" s="28">
        <f t="shared" si="168"/>
        <v>530.60760000000005</v>
      </c>
      <c r="L5573" s="4"/>
      <c r="M5573" s="241">
        <v>504.56900000000002</v>
      </c>
    </row>
    <row r="5574" spans="3:13" hidden="1" outlineLevel="1" x14ac:dyDescent="0.2">
      <c r="C5574" s="139">
        <v>71.600000000000222</v>
      </c>
      <c r="D5574" s="28">
        <f t="shared" si="161"/>
        <v>572.80000000000177</v>
      </c>
      <c r="E5574" s="28">
        <f t="shared" si="162"/>
        <v>537.00000000000171</v>
      </c>
      <c r="F5574" s="28">
        <f t="shared" si="163"/>
        <v>519.00000000000171</v>
      </c>
      <c r="G5574" s="28">
        <f t="shared" si="164"/>
        <v>466.31079999999997</v>
      </c>
      <c r="H5574" s="28">
        <f t="shared" si="165"/>
        <v>492.83260000000001</v>
      </c>
      <c r="I5574" s="28">
        <f t="shared" si="166"/>
        <v>505.57479999999998</v>
      </c>
      <c r="J5574" s="28">
        <f t="shared" si="167"/>
        <v>515.3116</v>
      </c>
      <c r="K5574" s="28">
        <f t="shared" si="168"/>
        <v>531.65800000000002</v>
      </c>
      <c r="L5574" s="4"/>
      <c r="M5574" s="241">
        <v>505.57479999999998</v>
      </c>
    </row>
    <row r="5575" spans="3:13" hidden="1" outlineLevel="1" x14ac:dyDescent="0.2">
      <c r="C5575" s="139">
        <v>71.700000000000216</v>
      </c>
      <c r="D5575" s="28">
        <f t="shared" si="161"/>
        <v>573.60000000000173</v>
      </c>
      <c r="E5575" s="28">
        <f t="shared" si="162"/>
        <v>537.75000000000159</v>
      </c>
      <c r="F5575" s="28">
        <f t="shared" si="163"/>
        <v>519.75000000000159</v>
      </c>
      <c r="G5575" s="28">
        <f t="shared" si="164"/>
        <v>466.31079999999997</v>
      </c>
      <c r="H5575" s="28">
        <f t="shared" si="165"/>
        <v>492.83260000000001</v>
      </c>
      <c r="I5575" s="28">
        <f t="shared" si="166"/>
        <v>505.57479999999998</v>
      </c>
      <c r="J5575" s="28">
        <f t="shared" si="167"/>
        <v>515.3116</v>
      </c>
      <c r="K5575" s="28">
        <f t="shared" si="168"/>
        <v>531.65800000000002</v>
      </c>
      <c r="L5575" s="4"/>
      <c r="M5575" s="241">
        <v>505.57479999999998</v>
      </c>
    </row>
    <row r="5576" spans="3:13" hidden="1" outlineLevel="1" x14ac:dyDescent="0.2">
      <c r="C5576" s="139">
        <v>71.80000000000021</v>
      </c>
      <c r="D5576" s="28">
        <f t="shared" si="161"/>
        <v>574.40000000000168</v>
      </c>
      <c r="E5576" s="28">
        <f t="shared" si="162"/>
        <v>538.50000000000159</v>
      </c>
      <c r="F5576" s="28">
        <f t="shared" si="163"/>
        <v>520.50000000000159</v>
      </c>
      <c r="G5576" s="28">
        <f t="shared" si="164"/>
        <v>467.2688</v>
      </c>
      <c r="H5576" s="28">
        <f t="shared" si="165"/>
        <v>493.82190000000003</v>
      </c>
      <c r="I5576" s="28">
        <f t="shared" si="166"/>
        <v>506.58069999999998</v>
      </c>
      <c r="J5576" s="28">
        <f t="shared" si="167"/>
        <v>516.33219999999994</v>
      </c>
      <c r="K5576" s="28">
        <f t="shared" si="168"/>
        <v>532.70420000000001</v>
      </c>
      <c r="L5576" s="4"/>
      <c r="M5576" s="241">
        <v>506.58069999999998</v>
      </c>
    </row>
    <row r="5577" spans="3:13" hidden="1" outlineLevel="1" x14ac:dyDescent="0.2">
      <c r="C5577" s="139">
        <v>71.900000000000205</v>
      </c>
      <c r="D5577" s="28">
        <f t="shared" si="161"/>
        <v>575.20000000000164</v>
      </c>
      <c r="E5577" s="28">
        <f t="shared" si="162"/>
        <v>539.25000000000159</v>
      </c>
      <c r="F5577" s="28">
        <f t="shared" si="163"/>
        <v>521.25000000000159</v>
      </c>
      <c r="G5577" s="28">
        <f t="shared" si="164"/>
        <v>468.22309999999999</v>
      </c>
      <c r="H5577" s="28">
        <f t="shared" si="165"/>
        <v>494.81130000000002</v>
      </c>
      <c r="I5577" s="28">
        <f t="shared" si="166"/>
        <v>507.59059999999999</v>
      </c>
      <c r="J5577" s="28">
        <f t="shared" si="167"/>
        <v>517.35299999999995</v>
      </c>
      <c r="K5577" s="28">
        <f t="shared" si="168"/>
        <v>533.75049999999999</v>
      </c>
      <c r="L5577" s="4"/>
      <c r="M5577" s="241">
        <v>507.59059999999999</v>
      </c>
    </row>
    <row r="5578" spans="3:13" hidden="1" outlineLevel="1" x14ac:dyDescent="0.2">
      <c r="C5578" s="139">
        <v>72.000000000000199</v>
      </c>
      <c r="D5578" s="28">
        <f t="shared" si="161"/>
        <v>576.00000000000159</v>
      </c>
      <c r="E5578" s="28">
        <f t="shared" si="162"/>
        <v>540.00000000000148</v>
      </c>
      <c r="F5578" s="28">
        <f t="shared" si="163"/>
        <v>522.00000000000148</v>
      </c>
      <c r="G5578" s="28">
        <f t="shared" si="164"/>
        <v>469.18150000000003</v>
      </c>
      <c r="H5578" s="28">
        <f t="shared" si="165"/>
        <v>495.80079999999998</v>
      </c>
      <c r="I5578" s="28">
        <f t="shared" si="166"/>
        <v>508.5967</v>
      </c>
      <c r="J5578" s="28">
        <f t="shared" si="167"/>
        <v>518.37789999999995</v>
      </c>
      <c r="K5578" s="28">
        <f t="shared" si="168"/>
        <v>534.80129999999997</v>
      </c>
      <c r="L5578" s="4"/>
      <c r="M5578" s="241">
        <v>508.5967</v>
      </c>
    </row>
    <row r="5579" spans="3:13" hidden="1" outlineLevel="1" x14ac:dyDescent="0.2">
      <c r="C5579" s="139">
        <v>72.100000000000193</v>
      </c>
      <c r="D5579" s="28">
        <f t="shared" si="161"/>
        <v>576.80000000000155</v>
      </c>
      <c r="E5579" s="28">
        <f t="shared" si="162"/>
        <v>540.75000000000148</v>
      </c>
      <c r="F5579" s="28">
        <f t="shared" si="163"/>
        <v>522.75000000000148</v>
      </c>
      <c r="G5579" s="28">
        <f t="shared" si="164"/>
        <v>469.18150000000003</v>
      </c>
      <c r="H5579" s="28">
        <f t="shared" si="165"/>
        <v>495.80079999999998</v>
      </c>
      <c r="I5579" s="28">
        <f t="shared" si="166"/>
        <v>508.5967</v>
      </c>
      <c r="J5579" s="28">
        <f t="shared" si="167"/>
        <v>518.37789999999995</v>
      </c>
      <c r="K5579" s="28">
        <f t="shared" si="168"/>
        <v>534.80129999999997</v>
      </c>
      <c r="L5579" s="4"/>
      <c r="M5579" s="241">
        <v>508.5967</v>
      </c>
    </row>
    <row r="5580" spans="3:13" hidden="1" outlineLevel="1" x14ac:dyDescent="0.2">
      <c r="C5580" s="139">
        <v>72.200000000000188</v>
      </c>
      <c r="D5580" s="28">
        <f t="shared" si="161"/>
        <v>577.6000000000015</v>
      </c>
      <c r="E5580" s="28">
        <f t="shared" si="162"/>
        <v>541.50000000000136</v>
      </c>
      <c r="F5580" s="28">
        <f t="shared" si="163"/>
        <v>523.50000000000136</v>
      </c>
      <c r="G5580" s="28">
        <f t="shared" si="164"/>
        <v>470.13619999999997</v>
      </c>
      <c r="H5580" s="28">
        <f t="shared" si="165"/>
        <v>496.79050000000001</v>
      </c>
      <c r="I5580" s="28">
        <f t="shared" si="166"/>
        <v>509.60300000000001</v>
      </c>
      <c r="J5580" s="28">
        <f t="shared" si="167"/>
        <v>519.39890000000003</v>
      </c>
      <c r="K5580" s="28">
        <f t="shared" si="168"/>
        <v>535.84780000000001</v>
      </c>
      <c r="L5580" s="4"/>
      <c r="M5580" s="241">
        <v>509.60300000000001</v>
      </c>
    </row>
    <row r="5581" spans="3:13" hidden="1" outlineLevel="1" x14ac:dyDescent="0.2">
      <c r="C5581" s="139">
        <v>72.300000000000182</v>
      </c>
      <c r="D5581" s="28">
        <f t="shared" si="161"/>
        <v>578.40000000000146</v>
      </c>
      <c r="E5581" s="28">
        <f t="shared" si="162"/>
        <v>542.25000000000136</v>
      </c>
      <c r="F5581" s="28">
        <f t="shared" si="163"/>
        <v>524.25000000000136</v>
      </c>
      <c r="G5581" s="28">
        <f t="shared" si="164"/>
        <v>471.09109999999998</v>
      </c>
      <c r="H5581" s="28">
        <f t="shared" si="165"/>
        <v>497.78039999999999</v>
      </c>
      <c r="I5581" s="28">
        <f t="shared" si="166"/>
        <v>510.61340000000001</v>
      </c>
      <c r="J5581" s="28">
        <f t="shared" si="167"/>
        <v>520.41999999999996</v>
      </c>
      <c r="K5581" s="28">
        <f t="shared" si="168"/>
        <v>536.89430000000004</v>
      </c>
      <c r="L5581" s="4"/>
      <c r="M5581" s="241">
        <v>510.61340000000001</v>
      </c>
    </row>
    <row r="5582" spans="3:13" hidden="1" outlineLevel="1" x14ac:dyDescent="0.2">
      <c r="C5582" s="139">
        <v>72.400000000000176</v>
      </c>
      <c r="D5582" s="28">
        <f t="shared" si="161"/>
        <v>579.20000000000141</v>
      </c>
      <c r="E5582" s="28">
        <f t="shared" si="162"/>
        <v>543.00000000000136</v>
      </c>
      <c r="F5582" s="28">
        <f t="shared" si="163"/>
        <v>525.00000000000136</v>
      </c>
      <c r="G5582" s="28">
        <f t="shared" si="164"/>
        <v>472.05020000000002</v>
      </c>
      <c r="H5582" s="28">
        <f t="shared" si="165"/>
        <v>498.7704</v>
      </c>
      <c r="I5582" s="28">
        <f t="shared" si="166"/>
        <v>511.61989999999997</v>
      </c>
      <c r="J5582" s="28">
        <f t="shared" si="167"/>
        <v>521.44119999999998</v>
      </c>
      <c r="K5582" s="28">
        <f t="shared" si="168"/>
        <v>537.94100000000003</v>
      </c>
      <c r="L5582" s="4"/>
      <c r="M5582" s="241">
        <v>511.61989999999997</v>
      </c>
    </row>
    <row r="5583" spans="3:13" hidden="1" outlineLevel="1" x14ac:dyDescent="0.2">
      <c r="C5583" s="139">
        <v>72.500000000000171</v>
      </c>
      <c r="D5583" s="28">
        <f t="shared" si="161"/>
        <v>580.00000000000136</v>
      </c>
      <c r="E5583" s="28">
        <f t="shared" si="162"/>
        <v>543.75000000000125</v>
      </c>
      <c r="F5583" s="28">
        <f t="shared" si="163"/>
        <v>525.75000000000125</v>
      </c>
      <c r="G5583" s="28">
        <f t="shared" si="164"/>
        <v>472.05020000000002</v>
      </c>
      <c r="H5583" s="28">
        <f t="shared" si="165"/>
        <v>498.7704</v>
      </c>
      <c r="I5583" s="28">
        <f t="shared" si="166"/>
        <v>511.61989999999997</v>
      </c>
      <c r="J5583" s="28">
        <f t="shared" si="167"/>
        <v>521.44119999999998</v>
      </c>
      <c r="K5583" s="28">
        <f t="shared" si="168"/>
        <v>537.94100000000003</v>
      </c>
      <c r="L5583" s="4"/>
      <c r="M5583" s="241">
        <v>511.61989999999997</v>
      </c>
    </row>
    <row r="5584" spans="3:13" hidden="1" outlineLevel="1" x14ac:dyDescent="0.2">
      <c r="C5584" s="139">
        <v>72.600000000000165</v>
      </c>
      <c r="D5584" s="28">
        <f t="shared" si="161"/>
        <v>580.80000000000132</v>
      </c>
      <c r="E5584" s="28">
        <f t="shared" si="162"/>
        <v>544.50000000000125</v>
      </c>
      <c r="F5584" s="28">
        <f t="shared" si="163"/>
        <v>526.50000000000125</v>
      </c>
      <c r="G5584" s="28">
        <f t="shared" si="164"/>
        <v>473.00549999999998</v>
      </c>
      <c r="H5584" s="28">
        <f t="shared" si="165"/>
        <v>499.76060000000001</v>
      </c>
      <c r="I5584" s="28">
        <f t="shared" si="166"/>
        <v>512.62649999999996</v>
      </c>
      <c r="J5584" s="28">
        <f t="shared" si="167"/>
        <v>522.46249999999998</v>
      </c>
      <c r="K5584" s="28">
        <f t="shared" si="168"/>
        <v>538.99210000000005</v>
      </c>
      <c r="L5584" s="4"/>
      <c r="M5584" s="241">
        <v>512.62649999999996</v>
      </c>
    </row>
    <row r="5585" spans="3:13" hidden="1" outlineLevel="1" x14ac:dyDescent="0.2">
      <c r="C5585" s="139">
        <v>72.700000000000159</v>
      </c>
      <c r="D5585" s="28">
        <f t="shared" si="161"/>
        <v>581.60000000000127</v>
      </c>
      <c r="E5585" s="28">
        <f t="shared" si="162"/>
        <v>545.25000000000114</v>
      </c>
      <c r="F5585" s="28">
        <f t="shared" si="163"/>
        <v>527.25000000000114</v>
      </c>
      <c r="G5585" s="28">
        <f t="shared" si="164"/>
        <v>473.96109999999999</v>
      </c>
      <c r="H5585" s="28">
        <f t="shared" si="165"/>
        <v>500.74689999999998</v>
      </c>
      <c r="I5585" s="28">
        <f t="shared" si="166"/>
        <v>513.63319999999999</v>
      </c>
      <c r="J5585" s="28">
        <f t="shared" si="167"/>
        <v>523.48389999999995</v>
      </c>
      <c r="K5585" s="28">
        <f t="shared" si="168"/>
        <v>540.03890000000001</v>
      </c>
      <c r="L5585" s="4"/>
      <c r="M5585" s="241">
        <v>513.63319999999999</v>
      </c>
    </row>
    <row r="5586" spans="3:13" hidden="1" outlineLevel="1" x14ac:dyDescent="0.2">
      <c r="C5586" s="139">
        <v>72.800000000000153</v>
      </c>
      <c r="D5586" s="28">
        <f t="shared" si="161"/>
        <v>582.40000000000123</v>
      </c>
      <c r="E5586" s="28">
        <f t="shared" si="162"/>
        <v>546.00000000000114</v>
      </c>
      <c r="F5586" s="28">
        <f t="shared" si="163"/>
        <v>528.00000000000114</v>
      </c>
      <c r="G5586" s="28">
        <f t="shared" si="164"/>
        <v>474.91680000000002</v>
      </c>
      <c r="H5586" s="28">
        <f t="shared" si="165"/>
        <v>501.73739999999998</v>
      </c>
      <c r="I5586" s="28">
        <f t="shared" si="166"/>
        <v>514.64009999999996</v>
      </c>
      <c r="J5586" s="28">
        <f t="shared" si="167"/>
        <v>524.5095</v>
      </c>
      <c r="K5586" s="28">
        <f t="shared" si="168"/>
        <v>541.08579999999995</v>
      </c>
      <c r="L5586" s="4"/>
      <c r="M5586" s="241">
        <v>514.64009999999996</v>
      </c>
    </row>
    <row r="5587" spans="3:13" hidden="1" outlineLevel="1" x14ac:dyDescent="0.2">
      <c r="C5587" s="139">
        <v>72.900000000000148</v>
      </c>
      <c r="D5587" s="28">
        <f t="shared" si="161"/>
        <v>583.20000000000118</v>
      </c>
      <c r="E5587" s="28">
        <f t="shared" si="162"/>
        <v>546.75000000000114</v>
      </c>
      <c r="F5587" s="28">
        <f t="shared" si="163"/>
        <v>528.75000000000114</v>
      </c>
      <c r="G5587" s="28">
        <f t="shared" si="164"/>
        <v>474.91680000000002</v>
      </c>
      <c r="H5587" s="28">
        <f t="shared" si="165"/>
        <v>501.73739999999998</v>
      </c>
      <c r="I5587" s="28">
        <f t="shared" si="166"/>
        <v>514.64009999999996</v>
      </c>
      <c r="J5587" s="28">
        <f t="shared" si="167"/>
        <v>524.5095</v>
      </c>
      <c r="K5587" s="28">
        <f t="shared" si="168"/>
        <v>541.08579999999995</v>
      </c>
      <c r="L5587" s="4"/>
      <c r="M5587" s="241">
        <v>514.64009999999996</v>
      </c>
    </row>
    <row r="5588" spans="3:13" hidden="1" outlineLevel="1" x14ac:dyDescent="0.2">
      <c r="C5588" s="139">
        <v>73.000000000000142</v>
      </c>
      <c r="D5588" s="28">
        <f t="shared" si="161"/>
        <v>584.00000000000114</v>
      </c>
      <c r="E5588" s="28">
        <f t="shared" si="162"/>
        <v>547.50000000000102</v>
      </c>
      <c r="F5588" s="28">
        <f t="shared" si="163"/>
        <v>529.50000000000102</v>
      </c>
      <c r="G5588" s="28">
        <f t="shared" si="164"/>
        <v>475.87279999999998</v>
      </c>
      <c r="H5588" s="28">
        <f t="shared" si="165"/>
        <v>502.72800000000001</v>
      </c>
      <c r="I5588" s="28">
        <f t="shared" si="166"/>
        <v>515.65110000000004</v>
      </c>
      <c r="J5588" s="28">
        <f t="shared" si="167"/>
        <v>525.53110000000004</v>
      </c>
      <c r="K5588" s="28">
        <f t="shared" si="168"/>
        <v>542.13279999999997</v>
      </c>
      <c r="L5588" s="4"/>
      <c r="M5588" s="241">
        <v>515.65110000000004</v>
      </c>
    </row>
    <row r="5589" spans="3:13" hidden="1" outlineLevel="1" x14ac:dyDescent="0.2">
      <c r="C5589" s="139">
        <v>73.100000000000136</v>
      </c>
      <c r="D5589" s="28">
        <f t="shared" si="161"/>
        <v>584.80000000000109</v>
      </c>
      <c r="E5589" s="28">
        <f t="shared" si="162"/>
        <v>548.25000000000102</v>
      </c>
      <c r="F5589" s="28">
        <f t="shared" si="163"/>
        <v>530.25000000000102</v>
      </c>
      <c r="G5589" s="28">
        <f t="shared" si="164"/>
        <v>476.82900000000001</v>
      </c>
      <c r="H5589" s="28">
        <f t="shared" si="165"/>
        <v>503.71879999999999</v>
      </c>
      <c r="I5589" s="28">
        <f t="shared" si="166"/>
        <v>516.65819999999997</v>
      </c>
      <c r="J5589" s="28">
        <f t="shared" si="167"/>
        <v>526.55280000000005</v>
      </c>
      <c r="K5589" s="28">
        <f t="shared" si="168"/>
        <v>543.1798</v>
      </c>
      <c r="L5589" s="4"/>
      <c r="M5589" s="241">
        <v>516.65819999999997</v>
      </c>
    </row>
    <row r="5590" spans="3:13" hidden="1" outlineLevel="1" x14ac:dyDescent="0.2">
      <c r="C5590" s="139">
        <v>73.200000000000131</v>
      </c>
      <c r="D5590" s="28">
        <f t="shared" si="161"/>
        <v>585.60000000000105</v>
      </c>
      <c r="E5590" s="28">
        <f t="shared" si="162"/>
        <v>549.00000000000102</v>
      </c>
      <c r="F5590" s="28">
        <f t="shared" si="163"/>
        <v>531.00000000000102</v>
      </c>
      <c r="G5590" s="28">
        <f t="shared" si="164"/>
        <v>477.78539999999998</v>
      </c>
      <c r="H5590" s="28">
        <f t="shared" si="165"/>
        <v>504.7097</v>
      </c>
      <c r="I5590" s="28">
        <f t="shared" si="166"/>
        <v>517.66539999999998</v>
      </c>
      <c r="J5590" s="28">
        <f t="shared" si="167"/>
        <v>527.57470000000001</v>
      </c>
      <c r="K5590" s="28">
        <f t="shared" si="168"/>
        <v>544.22699999999998</v>
      </c>
      <c r="L5590" s="4"/>
      <c r="M5590" s="241">
        <v>517.66539999999998</v>
      </c>
    </row>
    <row r="5591" spans="3:13" hidden="1" outlineLevel="1" x14ac:dyDescent="0.2">
      <c r="C5591" s="139">
        <v>73.300000000000125</v>
      </c>
      <c r="D5591" s="28">
        <f t="shared" si="161"/>
        <v>586.400000000001</v>
      </c>
      <c r="E5591" s="28">
        <f t="shared" si="162"/>
        <v>549.75000000000091</v>
      </c>
      <c r="F5591" s="28">
        <f t="shared" si="163"/>
        <v>531.75000000000091</v>
      </c>
      <c r="G5591" s="28">
        <f t="shared" si="164"/>
        <v>477.78539999999998</v>
      </c>
      <c r="H5591" s="28">
        <f t="shared" si="165"/>
        <v>504.7097</v>
      </c>
      <c r="I5591" s="28">
        <f t="shared" si="166"/>
        <v>517.66539999999998</v>
      </c>
      <c r="J5591" s="28">
        <f t="shared" si="167"/>
        <v>527.57470000000001</v>
      </c>
      <c r="K5591" s="28">
        <f t="shared" si="168"/>
        <v>544.22699999999998</v>
      </c>
      <c r="L5591" s="4"/>
      <c r="M5591" s="241">
        <v>517.66539999999998</v>
      </c>
    </row>
    <row r="5592" spans="3:13" hidden="1" outlineLevel="1" x14ac:dyDescent="0.2">
      <c r="C5592" s="139">
        <v>73.400000000000119</v>
      </c>
      <c r="D5592" s="28">
        <f t="shared" si="161"/>
        <v>587.20000000000095</v>
      </c>
      <c r="E5592" s="28">
        <f t="shared" si="162"/>
        <v>550.50000000000091</v>
      </c>
      <c r="F5592" s="28">
        <f t="shared" si="163"/>
        <v>532.50000000000091</v>
      </c>
      <c r="G5592" s="28">
        <f t="shared" si="164"/>
        <v>478.74200000000002</v>
      </c>
      <c r="H5592" s="28">
        <f t="shared" si="165"/>
        <v>505.69670000000002</v>
      </c>
      <c r="I5592" s="28">
        <f t="shared" si="166"/>
        <v>518.67280000000005</v>
      </c>
      <c r="J5592" s="28">
        <f t="shared" si="167"/>
        <v>528.59670000000006</v>
      </c>
      <c r="K5592" s="28">
        <f t="shared" si="168"/>
        <v>545.27419999999995</v>
      </c>
      <c r="L5592" s="4"/>
      <c r="M5592" s="241">
        <v>518.67280000000005</v>
      </c>
    </row>
    <row r="5593" spans="3:13" hidden="1" outlineLevel="1" x14ac:dyDescent="0.2">
      <c r="C5593" s="139">
        <v>73.500000000000114</v>
      </c>
      <c r="D5593" s="28">
        <f t="shared" si="161"/>
        <v>588.00000000000091</v>
      </c>
      <c r="E5593" s="28">
        <f t="shared" si="162"/>
        <v>551.25000000000091</v>
      </c>
      <c r="F5593" s="28">
        <f t="shared" si="163"/>
        <v>533.25000000000091</v>
      </c>
      <c r="G5593" s="28">
        <f t="shared" si="164"/>
        <v>479.69880000000001</v>
      </c>
      <c r="H5593" s="28">
        <f t="shared" si="165"/>
        <v>506.68790000000001</v>
      </c>
      <c r="I5593" s="28">
        <f t="shared" si="166"/>
        <v>519.68029999999999</v>
      </c>
      <c r="J5593" s="28">
        <f t="shared" si="167"/>
        <v>529.61869999999999</v>
      </c>
      <c r="K5593" s="28">
        <f t="shared" si="168"/>
        <v>546.32600000000002</v>
      </c>
      <c r="L5593" s="4"/>
      <c r="M5593" s="241">
        <v>519.68029999999999</v>
      </c>
    </row>
    <row r="5594" spans="3:13" hidden="1" outlineLevel="1" x14ac:dyDescent="0.2">
      <c r="C5594" s="139">
        <v>73.600000000000108</v>
      </c>
      <c r="D5594" s="28">
        <f t="shared" si="161"/>
        <v>588.80000000000086</v>
      </c>
      <c r="E5594" s="28">
        <f t="shared" si="162"/>
        <v>552.0000000000008</v>
      </c>
      <c r="F5594" s="28">
        <f t="shared" si="163"/>
        <v>534.0000000000008</v>
      </c>
      <c r="G5594" s="28">
        <f t="shared" si="164"/>
        <v>480.6558</v>
      </c>
      <c r="H5594" s="28">
        <f t="shared" si="165"/>
        <v>507.67930000000001</v>
      </c>
      <c r="I5594" s="28">
        <f t="shared" si="166"/>
        <v>520.68790000000001</v>
      </c>
      <c r="J5594" s="28">
        <f t="shared" si="167"/>
        <v>530.64089999999999</v>
      </c>
      <c r="K5594" s="28">
        <f t="shared" si="168"/>
        <v>547.37339999999995</v>
      </c>
      <c r="L5594" s="4"/>
      <c r="M5594" s="241">
        <v>520.68790000000001</v>
      </c>
    </row>
    <row r="5595" spans="3:13" hidden="1" outlineLevel="1" x14ac:dyDescent="0.2">
      <c r="C5595" s="139">
        <v>73.700000000000102</v>
      </c>
      <c r="D5595" s="28">
        <f t="shared" si="161"/>
        <v>589.60000000000082</v>
      </c>
      <c r="E5595" s="28">
        <f t="shared" si="162"/>
        <v>552.7500000000008</v>
      </c>
      <c r="F5595" s="28">
        <f t="shared" si="163"/>
        <v>534.7500000000008</v>
      </c>
      <c r="G5595" s="28">
        <f t="shared" si="164"/>
        <v>480.6558</v>
      </c>
      <c r="H5595" s="28">
        <f t="shared" si="165"/>
        <v>507.67930000000001</v>
      </c>
      <c r="I5595" s="28">
        <f t="shared" si="166"/>
        <v>520.68790000000001</v>
      </c>
      <c r="J5595" s="28">
        <f t="shared" si="167"/>
        <v>530.64089999999999</v>
      </c>
      <c r="K5595" s="28">
        <f t="shared" si="168"/>
        <v>547.37339999999995</v>
      </c>
      <c r="L5595" s="4"/>
      <c r="M5595" s="241">
        <v>520.68790000000001</v>
      </c>
    </row>
    <row r="5596" spans="3:13" hidden="1" outlineLevel="1" x14ac:dyDescent="0.2">
      <c r="C5596" s="139">
        <v>73.800000000000097</v>
      </c>
      <c r="D5596" s="28">
        <f t="shared" si="161"/>
        <v>590.40000000000077</v>
      </c>
      <c r="E5596" s="28">
        <f t="shared" si="162"/>
        <v>553.50000000000068</v>
      </c>
      <c r="F5596" s="28">
        <f t="shared" si="163"/>
        <v>535.50000000000068</v>
      </c>
      <c r="G5596" s="28">
        <f t="shared" si="164"/>
        <v>481.61309999999997</v>
      </c>
      <c r="H5596" s="28">
        <f t="shared" si="165"/>
        <v>508.66669999999999</v>
      </c>
      <c r="I5596" s="28">
        <f t="shared" si="166"/>
        <v>521.69560000000001</v>
      </c>
      <c r="J5596" s="28">
        <f t="shared" si="167"/>
        <v>531.66319999999996</v>
      </c>
      <c r="K5596" s="28">
        <f t="shared" si="168"/>
        <v>548.42089999999996</v>
      </c>
      <c r="L5596" s="4"/>
      <c r="M5596" s="241">
        <v>521.69560000000001</v>
      </c>
    </row>
    <row r="5597" spans="3:13" hidden="1" outlineLevel="1" x14ac:dyDescent="0.2">
      <c r="C5597" s="139">
        <v>73.900000000000091</v>
      </c>
      <c r="D5597" s="28">
        <f t="shared" si="161"/>
        <v>591.20000000000073</v>
      </c>
      <c r="E5597" s="28">
        <f t="shared" si="162"/>
        <v>554.25000000000068</v>
      </c>
      <c r="F5597" s="28">
        <f t="shared" si="163"/>
        <v>536.25000000000068</v>
      </c>
      <c r="G5597" s="28">
        <f t="shared" si="164"/>
        <v>482.57049999999998</v>
      </c>
      <c r="H5597" s="28">
        <f t="shared" si="165"/>
        <v>509.65839999999997</v>
      </c>
      <c r="I5597" s="28">
        <f t="shared" si="166"/>
        <v>522.70349999999996</v>
      </c>
      <c r="J5597" s="28">
        <f t="shared" si="167"/>
        <v>532.68560000000002</v>
      </c>
      <c r="K5597" s="28">
        <f t="shared" si="168"/>
        <v>549.46849999999995</v>
      </c>
      <c r="L5597" s="4"/>
      <c r="M5597" s="241">
        <v>522.70349999999996</v>
      </c>
    </row>
    <row r="5598" spans="3:13" hidden="1" outlineLevel="1" x14ac:dyDescent="0.2">
      <c r="C5598" s="139">
        <v>74.000000000000085</v>
      </c>
      <c r="D5598" s="28">
        <f t="shared" si="161"/>
        <v>592.00000000000068</v>
      </c>
      <c r="E5598" s="28">
        <f t="shared" si="162"/>
        <v>555.00000000000068</v>
      </c>
      <c r="F5598" s="28">
        <f t="shared" si="163"/>
        <v>537.00000000000068</v>
      </c>
      <c r="G5598" s="28">
        <f t="shared" si="164"/>
        <v>483.52820000000003</v>
      </c>
      <c r="H5598" s="28">
        <f t="shared" si="165"/>
        <v>510.64609999999999</v>
      </c>
      <c r="I5598" s="28">
        <f t="shared" si="166"/>
        <v>523.71140000000003</v>
      </c>
      <c r="J5598" s="28">
        <f t="shared" si="167"/>
        <v>533.70809999999994</v>
      </c>
      <c r="K5598" s="28">
        <f t="shared" si="168"/>
        <v>550.51620000000003</v>
      </c>
      <c r="L5598" s="4"/>
      <c r="M5598" s="241">
        <v>523.71140000000003</v>
      </c>
    </row>
    <row r="5599" spans="3:13" hidden="1" outlineLevel="1" x14ac:dyDescent="0.2">
      <c r="C5599" s="139">
        <v>74.10000000000008</v>
      </c>
      <c r="D5599" s="28">
        <f t="shared" si="161"/>
        <v>592.80000000000064</v>
      </c>
      <c r="E5599" s="28">
        <f t="shared" si="162"/>
        <v>555.75000000000057</v>
      </c>
      <c r="F5599" s="28">
        <f t="shared" si="163"/>
        <v>537.75000000000057</v>
      </c>
      <c r="G5599" s="28">
        <f t="shared" si="164"/>
        <v>483.52820000000003</v>
      </c>
      <c r="H5599" s="28">
        <f t="shared" si="165"/>
        <v>510.64609999999999</v>
      </c>
      <c r="I5599" s="28">
        <f t="shared" si="166"/>
        <v>523.71140000000003</v>
      </c>
      <c r="J5599" s="28">
        <f t="shared" si="167"/>
        <v>533.70809999999994</v>
      </c>
      <c r="K5599" s="28">
        <f t="shared" si="168"/>
        <v>550.51620000000003</v>
      </c>
      <c r="L5599" s="4"/>
      <c r="M5599" s="241">
        <v>523.71140000000003</v>
      </c>
    </row>
    <row r="5600" spans="3:13" hidden="1" outlineLevel="1" x14ac:dyDescent="0.2">
      <c r="C5600" s="139">
        <v>74.200000000000074</v>
      </c>
      <c r="D5600" s="28">
        <f t="shared" si="161"/>
        <v>593.60000000000059</v>
      </c>
      <c r="E5600" s="28">
        <f t="shared" si="162"/>
        <v>556.50000000000057</v>
      </c>
      <c r="F5600" s="28">
        <f t="shared" si="163"/>
        <v>538.50000000000057</v>
      </c>
      <c r="G5600" s="28">
        <f t="shared" si="164"/>
        <v>484.48200000000003</v>
      </c>
      <c r="H5600" s="28">
        <f t="shared" si="165"/>
        <v>511.63810000000001</v>
      </c>
      <c r="I5600" s="28">
        <f t="shared" si="166"/>
        <v>524.71950000000004</v>
      </c>
      <c r="J5600" s="28">
        <f t="shared" si="167"/>
        <v>534.72659999999996</v>
      </c>
      <c r="K5600" s="28">
        <f t="shared" si="168"/>
        <v>551.56389999999999</v>
      </c>
      <c r="L5600" s="4"/>
      <c r="M5600" s="241">
        <v>524.71950000000004</v>
      </c>
    </row>
    <row r="5601" spans="3:13" hidden="1" outlineLevel="1" x14ac:dyDescent="0.2">
      <c r="C5601" s="139">
        <v>74.300000000000068</v>
      </c>
      <c r="D5601" s="28">
        <f t="shared" si="161"/>
        <v>594.40000000000055</v>
      </c>
      <c r="E5601" s="28">
        <f t="shared" si="162"/>
        <v>557.25000000000045</v>
      </c>
      <c r="F5601" s="28">
        <f t="shared" si="163"/>
        <v>539.25000000000045</v>
      </c>
      <c r="G5601" s="28">
        <f t="shared" si="164"/>
        <v>485.44009999999997</v>
      </c>
      <c r="H5601" s="28">
        <f t="shared" si="165"/>
        <v>512.62609999999995</v>
      </c>
      <c r="I5601" s="28">
        <f t="shared" si="166"/>
        <v>525.72770000000003</v>
      </c>
      <c r="J5601" s="28">
        <f t="shared" si="167"/>
        <v>535.74929999999995</v>
      </c>
      <c r="K5601" s="28">
        <f t="shared" si="168"/>
        <v>552.61170000000004</v>
      </c>
      <c r="L5601" s="4"/>
      <c r="M5601" s="241">
        <v>525.72770000000003</v>
      </c>
    </row>
    <row r="5602" spans="3:13" hidden="1" outlineLevel="1" x14ac:dyDescent="0.2">
      <c r="C5602" s="139">
        <v>74.400000000000063</v>
      </c>
      <c r="D5602" s="28">
        <f t="shared" si="161"/>
        <v>595.2000000000005</v>
      </c>
      <c r="E5602" s="28">
        <f t="shared" si="162"/>
        <v>558.00000000000045</v>
      </c>
      <c r="F5602" s="28">
        <f t="shared" si="163"/>
        <v>540.00000000000045</v>
      </c>
      <c r="G5602" s="28">
        <f t="shared" si="164"/>
        <v>486.39839999999998</v>
      </c>
      <c r="H5602" s="28">
        <f t="shared" si="165"/>
        <v>513.61839999999995</v>
      </c>
      <c r="I5602" s="28">
        <f t="shared" si="166"/>
        <v>526.73609999999996</v>
      </c>
      <c r="J5602" s="28">
        <f t="shared" si="167"/>
        <v>536.77210000000002</v>
      </c>
      <c r="K5602" s="28">
        <f t="shared" si="168"/>
        <v>553.65959999999995</v>
      </c>
      <c r="L5602" s="4"/>
      <c r="M5602" s="241">
        <v>526.73609999999996</v>
      </c>
    </row>
    <row r="5603" spans="3:13" hidden="1" outlineLevel="1" x14ac:dyDescent="0.2">
      <c r="C5603" s="139">
        <v>74.500000000000057</v>
      </c>
      <c r="D5603" s="28">
        <f t="shared" si="161"/>
        <v>596.00000000000045</v>
      </c>
      <c r="E5603" s="28">
        <f t="shared" si="162"/>
        <v>558.75000000000045</v>
      </c>
      <c r="F5603" s="28">
        <f t="shared" si="163"/>
        <v>540.75000000000045</v>
      </c>
      <c r="G5603" s="28">
        <f t="shared" si="164"/>
        <v>486.39839999999998</v>
      </c>
      <c r="H5603" s="28">
        <f t="shared" si="165"/>
        <v>513.61839999999995</v>
      </c>
      <c r="I5603" s="28">
        <f t="shared" si="166"/>
        <v>526.73609999999996</v>
      </c>
      <c r="J5603" s="28">
        <f t="shared" si="167"/>
        <v>536.77210000000002</v>
      </c>
      <c r="K5603" s="28">
        <f t="shared" si="168"/>
        <v>553.65959999999995</v>
      </c>
      <c r="L5603" s="4"/>
      <c r="M5603" s="241">
        <v>526.73609999999996</v>
      </c>
    </row>
    <row r="5604" spans="3:13" hidden="1" outlineLevel="1" x14ac:dyDescent="0.2">
      <c r="C5604" s="139">
        <v>74.600000000000051</v>
      </c>
      <c r="D5604" s="28">
        <f t="shared" si="161"/>
        <v>596.80000000000041</v>
      </c>
      <c r="E5604" s="28">
        <f t="shared" si="162"/>
        <v>559.50000000000034</v>
      </c>
      <c r="F5604" s="28">
        <f t="shared" si="163"/>
        <v>541.50000000000034</v>
      </c>
      <c r="G5604" s="28">
        <f t="shared" si="164"/>
        <v>487.3528</v>
      </c>
      <c r="H5604" s="28">
        <f t="shared" si="165"/>
        <v>514.60670000000005</v>
      </c>
      <c r="I5604" s="28">
        <f t="shared" si="166"/>
        <v>527.74040000000002</v>
      </c>
      <c r="J5604" s="28">
        <f t="shared" si="167"/>
        <v>537.79499999999996</v>
      </c>
      <c r="K5604" s="28">
        <f t="shared" si="168"/>
        <v>554.70759999999996</v>
      </c>
      <c r="L5604" s="4"/>
      <c r="M5604" s="241">
        <v>527.74040000000002</v>
      </c>
    </row>
    <row r="5605" spans="3:13" hidden="1" outlineLevel="1" x14ac:dyDescent="0.2">
      <c r="C5605" s="139">
        <v>74.700000000000045</v>
      </c>
      <c r="D5605" s="28">
        <f t="shared" si="161"/>
        <v>597.60000000000036</v>
      </c>
      <c r="E5605" s="28">
        <f t="shared" si="162"/>
        <v>560.25000000000034</v>
      </c>
      <c r="F5605" s="28">
        <f t="shared" si="163"/>
        <v>542.25000000000034</v>
      </c>
      <c r="G5605" s="28">
        <f t="shared" si="164"/>
        <v>488.31150000000002</v>
      </c>
      <c r="H5605" s="28">
        <f t="shared" si="165"/>
        <v>515.59929999999997</v>
      </c>
      <c r="I5605" s="28">
        <f t="shared" si="166"/>
        <v>528.74900000000002</v>
      </c>
      <c r="J5605" s="28">
        <f t="shared" si="167"/>
        <v>538.81799999999998</v>
      </c>
      <c r="K5605" s="28">
        <f t="shared" si="168"/>
        <v>555.75570000000005</v>
      </c>
      <c r="L5605" s="4"/>
      <c r="M5605" s="241">
        <v>528.74900000000002</v>
      </c>
    </row>
    <row r="5606" spans="3:13" hidden="1" outlineLevel="1" x14ac:dyDescent="0.2">
      <c r="C5606" s="139">
        <v>74.80000000000004</v>
      </c>
      <c r="D5606" s="28">
        <f t="shared" si="161"/>
        <v>598.40000000000032</v>
      </c>
      <c r="E5606" s="28">
        <f t="shared" si="162"/>
        <v>561.00000000000034</v>
      </c>
      <c r="F5606" s="28">
        <f t="shared" si="163"/>
        <v>543.00000000000034</v>
      </c>
      <c r="G5606" s="28">
        <f t="shared" si="164"/>
        <v>489.2663</v>
      </c>
      <c r="H5606" s="28">
        <f t="shared" si="165"/>
        <v>516.58780000000002</v>
      </c>
      <c r="I5606" s="28">
        <f t="shared" si="166"/>
        <v>529.7577</v>
      </c>
      <c r="J5606" s="28">
        <f t="shared" si="167"/>
        <v>539.84109999999998</v>
      </c>
      <c r="K5606" s="28">
        <f t="shared" si="168"/>
        <v>556.8039</v>
      </c>
      <c r="L5606" s="4"/>
      <c r="M5606" s="241">
        <v>529.7577</v>
      </c>
    </row>
    <row r="5607" spans="3:13" hidden="1" outlineLevel="1" x14ac:dyDescent="0.2">
      <c r="C5607" s="139">
        <v>74.900000000000034</v>
      </c>
      <c r="D5607" s="28">
        <f t="shared" si="161"/>
        <v>599.20000000000027</v>
      </c>
      <c r="E5607" s="28">
        <f t="shared" si="162"/>
        <v>561.75000000000023</v>
      </c>
      <c r="F5607" s="28">
        <f t="shared" si="163"/>
        <v>543.75000000000023</v>
      </c>
      <c r="G5607" s="28">
        <f t="shared" si="164"/>
        <v>489.2663</v>
      </c>
      <c r="H5607" s="28">
        <f t="shared" si="165"/>
        <v>516.58780000000002</v>
      </c>
      <c r="I5607" s="28">
        <f t="shared" si="166"/>
        <v>529.7577</v>
      </c>
      <c r="J5607" s="28">
        <f t="shared" si="167"/>
        <v>539.84109999999998</v>
      </c>
      <c r="K5607" s="28">
        <f t="shared" si="168"/>
        <v>556.8039</v>
      </c>
      <c r="L5607" s="4"/>
      <c r="M5607" s="241">
        <v>529.7577</v>
      </c>
    </row>
    <row r="5608" spans="3:13" hidden="1" outlineLevel="1" x14ac:dyDescent="0.2">
      <c r="C5608" s="139">
        <v>75.000000000000028</v>
      </c>
      <c r="D5608" s="28">
        <f t="shared" si="161"/>
        <v>600.00000000000023</v>
      </c>
      <c r="E5608" s="28">
        <f t="shared" si="162"/>
        <v>562.50000000000023</v>
      </c>
      <c r="F5608" s="28">
        <f t="shared" si="163"/>
        <v>544.50000000000023</v>
      </c>
      <c r="G5608" s="28">
        <f t="shared" si="164"/>
        <v>490.22550000000001</v>
      </c>
      <c r="H5608" s="28">
        <f t="shared" si="165"/>
        <v>517.58069999999998</v>
      </c>
      <c r="I5608" s="28">
        <f t="shared" si="166"/>
        <v>530.76649999999995</v>
      </c>
      <c r="J5608" s="28">
        <f t="shared" si="167"/>
        <v>540.86019999999996</v>
      </c>
      <c r="K5608" s="28">
        <f t="shared" si="168"/>
        <v>557.85209999999995</v>
      </c>
      <c r="L5608" s="4"/>
      <c r="M5608" s="241">
        <v>530.76649999999995</v>
      </c>
    </row>
    <row r="5609" spans="3:13" hidden="1" outlineLevel="1" x14ac:dyDescent="0.2">
      <c r="C5609" s="139">
        <v>75.100000000000023</v>
      </c>
      <c r="D5609" s="28">
        <f t="shared" si="161"/>
        <v>600.80000000000018</v>
      </c>
      <c r="E5609" s="28">
        <f t="shared" si="162"/>
        <v>563.25000000000023</v>
      </c>
      <c r="F5609" s="28">
        <f t="shared" si="163"/>
        <v>545.25000000000023</v>
      </c>
      <c r="G5609" s="28">
        <f t="shared" si="164"/>
        <v>491.1807</v>
      </c>
      <c r="H5609" s="28">
        <f t="shared" si="165"/>
        <v>518.56949999999995</v>
      </c>
      <c r="I5609" s="28">
        <f t="shared" si="166"/>
        <v>531.77539999999999</v>
      </c>
      <c r="J5609" s="28">
        <f t="shared" si="167"/>
        <v>541.8836</v>
      </c>
      <c r="K5609" s="28">
        <f t="shared" si="168"/>
        <v>558.90049999999997</v>
      </c>
      <c r="L5609" s="4"/>
      <c r="M5609" s="241">
        <v>531.77539999999999</v>
      </c>
    </row>
    <row r="5610" spans="3:13" hidden="1" outlineLevel="1" x14ac:dyDescent="0.2">
      <c r="C5610" s="139">
        <v>75.200000000000017</v>
      </c>
      <c r="D5610" s="28">
        <f t="shared" si="161"/>
        <v>601.60000000000014</v>
      </c>
      <c r="E5610" s="28">
        <f t="shared" si="162"/>
        <v>564.00000000000011</v>
      </c>
      <c r="F5610" s="28">
        <f t="shared" si="163"/>
        <v>546.00000000000011</v>
      </c>
      <c r="G5610" s="28">
        <f t="shared" si="164"/>
        <v>492.14019999999999</v>
      </c>
      <c r="H5610" s="28">
        <f t="shared" si="165"/>
        <v>519.55849999999998</v>
      </c>
      <c r="I5610" s="28">
        <f t="shared" si="166"/>
        <v>532.78030000000001</v>
      </c>
      <c r="J5610" s="28">
        <f t="shared" si="167"/>
        <v>542.90700000000004</v>
      </c>
      <c r="K5610" s="28">
        <f t="shared" si="168"/>
        <v>559.9443</v>
      </c>
      <c r="L5610" s="4"/>
      <c r="M5610" s="241">
        <v>532.78030000000001</v>
      </c>
    </row>
    <row r="5611" spans="3:13" hidden="1" outlineLevel="1" x14ac:dyDescent="0.2">
      <c r="C5611" s="139">
        <v>75.300000000000011</v>
      </c>
      <c r="D5611" s="28">
        <f t="shared" si="161"/>
        <v>602.40000000000009</v>
      </c>
      <c r="E5611" s="28">
        <f t="shared" si="162"/>
        <v>564.75000000000011</v>
      </c>
      <c r="F5611" s="28">
        <f t="shared" si="163"/>
        <v>546.75000000000011</v>
      </c>
      <c r="G5611" s="28">
        <f t="shared" si="164"/>
        <v>492.14019999999999</v>
      </c>
      <c r="H5611" s="28">
        <f t="shared" si="165"/>
        <v>519.55849999999998</v>
      </c>
      <c r="I5611" s="28">
        <f t="shared" si="166"/>
        <v>532.78030000000001</v>
      </c>
      <c r="J5611" s="28">
        <f t="shared" si="167"/>
        <v>542.90700000000004</v>
      </c>
      <c r="K5611" s="28">
        <f t="shared" si="168"/>
        <v>559.9443</v>
      </c>
      <c r="L5611" s="4"/>
      <c r="M5611" s="241">
        <v>532.78030000000001</v>
      </c>
    </row>
    <row r="5612" spans="3:13" hidden="1" outlineLevel="1" x14ac:dyDescent="0.2">
      <c r="C5612" s="139">
        <v>75.400000000000006</v>
      </c>
      <c r="D5612" s="28">
        <f t="shared" si="161"/>
        <v>603.20000000000005</v>
      </c>
      <c r="E5612" s="28">
        <f t="shared" si="162"/>
        <v>565.5</v>
      </c>
      <c r="F5612" s="28">
        <f t="shared" si="163"/>
        <v>547.5</v>
      </c>
      <c r="G5612" s="28">
        <f t="shared" si="164"/>
        <v>493.0958</v>
      </c>
      <c r="H5612" s="28">
        <f t="shared" si="165"/>
        <v>520.55179999999996</v>
      </c>
      <c r="I5612" s="28">
        <f t="shared" si="166"/>
        <v>533.78949999999998</v>
      </c>
      <c r="J5612" s="28">
        <f t="shared" si="167"/>
        <v>543.93060000000003</v>
      </c>
      <c r="K5612" s="28">
        <f t="shared" si="168"/>
        <v>560.99279999999999</v>
      </c>
      <c r="L5612" s="4"/>
      <c r="M5612" s="241">
        <v>533.78949999999998</v>
      </c>
    </row>
    <row r="5613" spans="3:13" hidden="1" outlineLevel="1" x14ac:dyDescent="0.2">
      <c r="C5613" s="139">
        <v>75.5</v>
      </c>
      <c r="D5613" s="28">
        <f t="shared" si="161"/>
        <v>604</v>
      </c>
      <c r="E5613" s="28">
        <f t="shared" si="162"/>
        <v>566.25</v>
      </c>
      <c r="F5613" s="28">
        <f t="shared" si="163"/>
        <v>548.25</v>
      </c>
      <c r="G5613" s="28">
        <f t="shared" si="164"/>
        <v>494.05579999999998</v>
      </c>
      <c r="H5613" s="28">
        <f t="shared" si="165"/>
        <v>521.54110000000003</v>
      </c>
      <c r="I5613" s="28">
        <f t="shared" si="166"/>
        <v>534.79880000000003</v>
      </c>
      <c r="J5613" s="28">
        <f t="shared" si="167"/>
        <v>544.95000000000005</v>
      </c>
      <c r="K5613" s="28">
        <f t="shared" si="168"/>
        <v>562.04139999999995</v>
      </c>
      <c r="L5613" s="4"/>
      <c r="M5613" s="241">
        <v>534.79880000000003</v>
      </c>
    </row>
    <row r="5614" spans="3:13" hidden="1" outlineLevel="1" x14ac:dyDescent="0.2">
      <c r="C5614" s="139">
        <v>75.599999999999994</v>
      </c>
      <c r="D5614" s="28">
        <f t="shared" si="161"/>
        <v>604.79999999999995</v>
      </c>
      <c r="E5614" s="28">
        <f t="shared" si="162"/>
        <v>567</v>
      </c>
      <c r="F5614" s="28">
        <f t="shared" si="163"/>
        <v>549</v>
      </c>
      <c r="G5614" s="28">
        <f t="shared" si="164"/>
        <v>495.01179999999999</v>
      </c>
      <c r="H5614" s="28">
        <f t="shared" si="165"/>
        <v>522.53049999999996</v>
      </c>
      <c r="I5614" s="28">
        <f t="shared" si="166"/>
        <v>535.80399999999997</v>
      </c>
      <c r="J5614" s="28">
        <f t="shared" si="167"/>
        <v>545.97379999999998</v>
      </c>
      <c r="K5614" s="28">
        <f t="shared" si="168"/>
        <v>563.09</v>
      </c>
      <c r="L5614" s="4"/>
      <c r="M5614" s="241">
        <v>535.80399999999997</v>
      </c>
    </row>
    <row r="5615" spans="3:13" hidden="1" outlineLevel="1" x14ac:dyDescent="0.2">
      <c r="C5615" s="139">
        <v>75.699999999999989</v>
      </c>
      <c r="D5615" s="28">
        <f t="shared" si="161"/>
        <v>605.59999999999991</v>
      </c>
      <c r="E5615" s="28">
        <f t="shared" si="162"/>
        <v>567.74999999999989</v>
      </c>
      <c r="F5615" s="28">
        <f t="shared" si="163"/>
        <v>549.74999999999989</v>
      </c>
      <c r="G5615" s="28">
        <f t="shared" si="164"/>
        <v>495.01179999999999</v>
      </c>
      <c r="H5615" s="28">
        <f t="shared" si="165"/>
        <v>522.53049999999996</v>
      </c>
      <c r="I5615" s="28">
        <f t="shared" si="166"/>
        <v>535.80399999999997</v>
      </c>
      <c r="J5615" s="28">
        <f t="shared" si="167"/>
        <v>545.97379999999998</v>
      </c>
      <c r="K5615" s="28">
        <f t="shared" si="168"/>
        <v>563.09</v>
      </c>
      <c r="L5615" s="4"/>
      <c r="M5615" s="241">
        <v>535.80399999999997</v>
      </c>
    </row>
    <row r="5616" spans="3:13" hidden="1" outlineLevel="1" x14ac:dyDescent="0.2">
      <c r="C5616" s="139">
        <v>75.799999999999983</v>
      </c>
      <c r="D5616" s="28">
        <f t="shared" si="161"/>
        <v>606.39999999999986</v>
      </c>
      <c r="E5616" s="28">
        <f t="shared" si="162"/>
        <v>568.49999999999989</v>
      </c>
      <c r="F5616" s="28">
        <f t="shared" si="163"/>
        <v>550.49999999999989</v>
      </c>
      <c r="G5616" s="28">
        <f t="shared" si="164"/>
        <v>495.96809999999999</v>
      </c>
      <c r="H5616" s="28">
        <f t="shared" si="165"/>
        <v>523.52009999999996</v>
      </c>
      <c r="I5616" s="28">
        <f t="shared" si="166"/>
        <v>536.81349999999998</v>
      </c>
      <c r="J5616" s="28">
        <f t="shared" si="167"/>
        <v>546.99760000000003</v>
      </c>
      <c r="K5616" s="28">
        <f t="shared" si="168"/>
        <v>564.13879999999995</v>
      </c>
      <c r="L5616" s="4"/>
      <c r="M5616" s="241">
        <v>536.81349999999998</v>
      </c>
    </row>
    <row r="5617" spans="3:13" hidden="1" outlineLevel="1" x14ac:dyDescent="0.2">
      <c r="C5617" s="139">
        <v>75.899999999999977</v>
      </c>
      <c r="D5617" s="28">
        <f t="shared" si="161"/>
        <v>607.19999999999982</v>
      </c>
      <c r="E5617" s="28">
        <f t="shared" si="162"/>
        <v>569.24999999999977</v>
      </c>
      <c r="F5617" s="28">
        <f t="shared" si="163"/>
        <v>551.24999999999977</v>
      </c>
      <c r="G5617" s="28">
        <f t="shared" si="164"/>
        <v>496.92869999999999</v>
      </c>
      <c r="H5617" s="28">
        <f t="shared" si="165"/>
        <v>524.50980000000004</v>
      </c>
      <c r="I5617" s="28">
        <f t="shared" si="166"/>
        <v>537.82320000000004</v>
      </c>
      <c r="J5617" s="28">
        <f t="shared" si="167"/>
        <v>548.01739999999995</v>
      </c>
      <c r="K5617" s="28">
        <f t="shared" si="168"/>
        <v>565.18759999999997</v>
      </c>
      <c r="L5617" s="4"/>
      <c r="M5617" s="241">
        <v>537.82320000000004</v>
      </c>
    </row>
    <row r="5618" spans="3:13" hidden="1" outlineLevel="1" x14ac:dyDescent="0.2">
      <c r="C5618" s="139">
        <v>75.999999999999972</v>
      </c>
      <c r="D5618" s="28">
        <f t="shared" si="161"/>
        <v>607.99999999999977</v>
      </c>
      <c r="E5618" s="28">
        <f t="shared" si="162"/>
        <v>569.99999999999977</v>
      </c>
      <c r="F5618" s="28">
        <f t="shared" si="163"/>
        <v>551.99999999999977</v>
      </c>
      <c r="G5618" s="28">
        <f t="shared" si="164"/>
        <v>496.92869999999999</v>
      </c>
      <c r="H5618" s="28">
        <f t="shared" si="165"/>
        <v>524.50980000000004</v>
      </c>
      <c r="I5618" s="28">
        <f t="shared" si="166"/>
        <v>537.82320000000004</v>
      </c>
      <c r="J5618" s="28">
        <f t="shared" si="167"/>
        <v>548.01739999999995</v>
      </c>
      <c r="K5618" s="28">
        <f t="shared" si="168"/>
        <v>565.18759999999997</v>
      </c>
      <c r="L5618" s="4"/>
      <c r="M5618" s="241">
        <v>537.82320000000004</v>
      </c>
    </row>
    <row r="5619" spans="3:13" hidden="1" outlineLevel="1" x14ac:dyDescent="0.2">
      <c r="C5619" s="139">
        <v>76.099999999999966</v>
      </c>
      <c r="D5619" s="28">
        <f t="shared" si="161"/>
        <v>608.79999999999973</v>
      </c>
      <c r="E5619" s="28">
        <f t="shared" si="162"/>
        <v>570.74999999999977</v>
      </c>
      <c r="F5619" s="28">
        <f t="shared" si="163"/>
        <v>552.74999999999977</v>
      </c>
      <c r="G5619" s="28">
        <f t="shared" si="164"/>
        <v>497.88529999999997</v>
      </c>
      <c r="H5619" s="28">
        <f t="shared" si="165"/>
        <v>525.50379999999996</v>
      </c>
      <c r="I5619" s="28">
        <f t="shared" si="166"/>
        <v>538.8288</v>
      </c>
      <c r="J5619" s="28">
        <f t="shared" si="167"/>
        <v>549.04150000000004</v>
      </c>
      <c r="K5619" s="28">
        <f t="shared" si="168"/>
        <v>566.2319</v>
      </c>
      <c r="L5619" s="4"/>
      <c r="M5619" s="241">
        <v>538.8288</v>
      </c>
    </row>
    <row r="5620" spans="3:13" hidden="1" outlineLevel="1" x14ac:dyDescent="0.2">
      <c r="C5620" s="139">
        <v>76.19999999999996</v>
      </c>
      <c r="D5620" s="28">
        <f t="shared" si="161"/>
        <v>609.59999999999968</v>
      </c>
      <c r="E5620" s="28">
        <f t="shared" si="162"/>
        <v>571.49999999999966</v>
      </c>
      <c r="F5620" s="28">
        <f t="shared" si="163"/>
        <v>553.49999999999966</v>
      </c>
      <c r="G5620" s="28">
        <f t="shared" si="164"/>
        <v>498.84210000000002</v>
      </c>
      <c r="H5620" s="28">
        <f t="shared" si="165"/>
        <v>526.49379999999996</v>
      </c>
      <c r="I5620" s="28">
        <f t="shared" si="166"/>
        <v>539.83870000000002</v>
      </c>
      <c r="J5620" s="28">
        <f t="shared" si="167"/>
        <v>550.06140000000005</v>
      </c>
      <c r="K5620" s="28">
        <f t="shared" si="168"/>
        <v>567.28089999999997</v>
      </c>
      <c r="L5620" s="4"/>
      <c r="M5620" s="241">
        <v>539.83870000000002</v>
      </c>
    </row>
    <row r="5621" spans="3:13" hidden="1" outlineLevel="1" x14ac:dyDescent="0.2">
      <c r="C5621" s="139">
        <v>76.299999999999955</v>
      </c>
      <c r="D5621" s="28">
        <f t="shared" si="161"/>
        <v>610.39999999999964</v>
      </c>
      <c r="E5621" s="28">
        <f t="shared" si="162"/>
        <v>572.24999999999966</v>
      </c>
      <c r="F5621" s="28">
        <f t="shared" si="163"/>
        <v>554.24999999999966</v>
      </c>
      <c r="G5621" s="28">
        <f t="shared" si="164"/>
        <v>499.79910000000001</v>
      </c>
      <c r="H5621" s="28">
        <f t="shared" si="165"/>
        <v>527.48389999999995</v>
      </c>
      <c r="I5621" s="28">
        <f t="shared" si="166"/>
        <v>540.84439999999995</v>
      </c>
      <c r="J5621" s="28">
        <f t="shared" si="167"/>
        <v>551.08569999999997</v>
      </c>
      <c r="K5621" s="28">
        <f t="shared" si="168"/>
        <v>568.32989999999995</v>
      </c>
      <c r="L5621" s="4"/>
      <c r="M5621" s="241">
        <v>540.84439999999995</v>
      </c>
    </row>
    <row r="5622" spans="3:13" hidden="1" outlineLevel="1" x14ac:dyDescent="0.2">
      <c r="C5622" s="139">
        <v>76.399999999999949</v>
      </c>
      <c r="D5622" s="28">
        <f t="shared" si="161"/>
        <v>611.19999999999959</v>
      </c>
      <c r="E5622" s="28">
        <f t="shared" si="162"/>
        <v>572.99999999999966</v>
      </c>
      <c r="F5622" s="28">
        <f t="shared" si="163"/>
        <v>554.99999999999966</v>
      </c>
      <c r="G5622" s="28">
        <f t="shared" si="164"/>
        <v>499.79910000000001</v>
      </c>
      <c r="H5622" s="28">
        <f t="shared" si="165"/>
        <v>527.48389999999995</v>
      </c>
      <c r="I5622" s="28">
        <f t="shared" si="166"/>
        <v>540.84439999999995</v>
      </c>
      <c r="J5622" s="28">
        <f t="shared" si="167"/>
        <v>551.08569999999997</v>
      </c>
      <c r="K5622" s="28">
        <f t="shared" si="168"/>
        <v>568.32989999999995</v>
      </c>
      <c r="L5622" s="4"/>
      <c r="M5622" s="241">
        <v>540.84439999999995</v>
      </c>
    </row>
    <row r="5623" spans="3:13" hidden="1" outlineLevel="1" x14ac:dyDescent="0.2">
      <c r="C5623" s="139">
        <v>76.499999999999943</v>
      </c>
      <c r="D5623" s="28">
        <f t="shared" si="161"/>
        <v>611.99999999999955</v>
      </c>
      <c r="E5623" s="28">
        <f t="shared" si="162"/>
        <v>573.74999999999955</v>
      </c>
      <c r="F5623" s="28">
        <f t="shared" si="163"/>
        <v>555.74999999999955</v>
      </c>
      <c r="G5623" s="28">
        <f t="shared" si="164"/>
        <v>500.75630000000001</v>
      </c>
      <c r="H5623" s="28">
        <f t="shared" si="165"/>
        <v>528.47410000000002</v>
      </c>
      <c r="I5623" s="28">
        <f t="shared" si="166"/>
        <v>541.8546</v>
      </c>
      <c r="J5623" s="28">
        <f t="shared" si="167"/>
        <v>552.10580000000004</v>
      </c>
      <c r="K5623" s="28">
        <f t="shared" si="168"/>
        <v>569.37909999999999</v>
      </c>
      <c r="L5623" s="4"/>
      <c r="M5623" s="241">
        <v>541.8546</v>
      </c>
    </row>
    <row r="5624" spans="3:13" hidden="1" outlineLevel="1" x14ac:dyDescent="0.2">
      <c r="C5624" s="139">
        <v>76.599999999999937</v>
      </c>
      <c r="D5624" s="28">
        <f t="shared" si="161"/>
        <v>612.7999999999995</v>
      </c>
      <c r="E5624" s="28">
        <f t="shared" si="162"/>
        <v>574.49999999999955</v>
      </c>
      <c r="F5624" s="28">
        <f t="shared" si="163"/>
        <v>556.49999999999955</v>
      </c>
      <c r="G5624" s="28">
        <f t="shared" si="164"/>
        <v>501.71370000000002</v>
      </c>
      <c r="H5624" s="28">
        <f t="shared" si="165"/>
        <v>529.46450000000004</v>
      </c>
      <c r="I5624" s="28">
        <f t="shared" si="166"/>
        <v>542.86059999999998</v>
      </c>
      <c r="J5624" s="28">
        <f t="shared" si="167"/>
        <v>553.13030000000003</v>
      </c>
      <c r="K5624" s="28">
        <f t="shared" si="168"/>
        <v>570.42830000000004</v>
      </c>
      <c r="L5624" s="4"/>
      <c r="M5624" s="241">
        <v>542.86059999999998</v>
      </c>
    </row>
    <row r="5625" spans="3:13" hidden="1" outlineLevel="1" x14ac:dyDescent="0.2">
      <c r="C5625" s="139">
        <v>76.699999999999932</v>
      </c>
      <c r="D5625" s="28">
        <f t="shared" si="161"/>
        <v>613.59999999999945</v>
      </c>
      <c r="E5625" s="28">
        <f t="shared" si="162"/>
        <v>575.24999999999955</v>
      </c>
      <c r="F5625" s="28">
        <f t="shared" si="163"/>
        <v>557.24999999999955</v>
      </c>
      <c r="G5625" s="28">
        <f t="shared" si="164"/>
        <v>502.67129999999997</v>
      </c>
      <c r="H5625" s="28">
        <f t="shared" si="165"/>
        <v>530.45500000000004</v>
      </c>
      <c r="I5625" s="28">
        <f t="shared" si="166"/>
        <v>543.87090000000001</v>
      </c>
      <c r="J5625" s="28">
        <f t="shared" si="167"/>
        <v>554.15070000000003</v>
      </c>
      <c r="K5625" s="28">
        <f t="shared" si="168"/>
        <v>571.47299999999996</v>
      </c>
      <c r="L5625" s="4"/>
      <c r="M5625" s="241">
        <v>543.87090000000001</v>
      </c>
    </row>
    <row r="5626" spans="3:13" hidden="1" outlineLevel="1" x14ac:dyDescent="0.2">
      <c r="C5626" s="139">
        <v>76.799999999999926</v>
      </c>
      <c r="D5626" s="28">
        <f t="shared" si="161"/>
        <v>614.39999999999941</v>
      </c>
      <c r="E5626" s="28">
        <f t="shared" si="162"/>
        <v>575.99999999999943</v>
      </c>
      <c r="F5626" s="28">
        <f t="shared" si="163"/>
        <v>557.99999999999943</v>
      </c>
      <c r="G5626" s="28">
        <f t="shared" si="164"/>
        <v>502.67129999999997</v>
      </c>
      <c r="H5626" s="28">
        <f t="shared" si="165"/>
        <v>530.45500000000004</v>
      </c>
      <c r="I5626" s="28">
        <f t="shared" si="166"/>
        <v>543.87090000000001</v>
      </c>
      <c r="J5626" s="28">
        <f t="shared" si="167"/>
        <v>554.15070000000003</v>
      </c>
      <c r="K5626" s="28">
        <f t="shared" si="168"/>
        <v>571.47299999999996</v>
      </c>
      <c r="L5626" s="4"/>
      <c r="M5626" s="241">
        <v>543.87090000000001</v>
      </c>
    </row>
    <row r="5627" spans="3:13" hidden="1" outlineLevel="1" x14ac:dyDescent="0.2">
      <c r="C5627" s="139">
        <v>76.89999999999992</v>
      </c>
      <c r="D5627" s="28">
        <f t="shared" ref="D5627:D5690" si="169">C5627*Channels.per.TRX</f>
        <v>615.19999999999936</v>
      </c>
      <c r="E5627" s="28">
        <f t="shared" ref="E5627:E5690" si="170">D5627-C5627*sig.channel.per.TRX</f>
        <v>576.74999999999943</v>
      </c>
      <c r="F5627" s="28">
        <f t="shared" ref="F5627:F5690" si="171">MAX(0,E5627-GPRS.channel.per.sector)</f>
        <v>558.74999999999943</v>
      </c>
      <c r="G5627" s="28">
        <f t="shared" ref="G5627:G5690" si="172">INDEX(D$10:D$4326,MATCH($F5627,$C$10:$C$4326,1))</f>
        <v>503.62909999999999</v>
      </c>
      <c r="H5627" s="28">
        <f t="shared" ref="H5627:H5690" si="173">INDEX(E$10:E$4326,MATCH($F5627,$C$10:$C$4326,1))</f>
        <v>531.44569999999999</v>
      </c>
      <c r="I5627" s="28">
        <f t="shared" ref="I5627:I5690" si="174">INDEX(F$10:F$4326,MATCH($F5627,$C$10:$C$4326,1))</f>
        <v>544.87720000000002</v>
      </c>
      <c r="J5627" s="28">
        <f t="shared" ref="J5627:J5690" si="175">INDEX(G$10:G$4326,MATCH($F5627,$C$10:$C$4326,1))</f>
        <v>555.17529999999999</v>
      </c>
      <c r="K5627" s="28">
        <f t="shared" ref="K5627:K5690" si="176">INDEX(H$10:H$4326,MATCH($F5627,$C$10:$C$4326,1))</f>
        <v>572.52239999999995</v>
      </c>
      <c r="L5627" s="4"/>
      <c r="M5627" s="241">
        <v>544.87720000000002</v>
      </c>
    </row>
    <row r="5628" spans="3:13" hidden="1" outlineLevel="1" x14ac:dyDescent="0.2">
      <c r="C5628" s="139">
        <v>76.999999999999915</v>
      </c>
      <c r="D5628" s="28">
        <f t="shared" si="169"/>
        <v>615.99999999999932</v>
      </c>
      <c r="E5628" s="28">
        <f t="shared" si="170"/>
        <v>577.49999999999932</v>
      </c>
      <c r="F5628" s="28">
        <f t="shared" si="171"/>
        <v>559.49999999999932</v>
      </c>
      <c r="G5628" s="28">
        <f t="shared" si="172"/>
        <v>504.58710000000002</v>
      </c>
      <c r="H5628" s="28">
        <f t="shared" si="173"/>
        <v>532.43650000000002</v>
      </c>
      <c r="I5628" s="28">
        <f t="shared" si="174"/>
        <v>545.88779999999997</v>
      </c>
      <c r="J5628" s="28">
        <f t="shared" si="175"/>
        <v>556.19590000000005</v>
      </c>
      <c r="K5628" s="28">
        <f t="shared" si="176"/>
        <v>573.57190000000003</v>
      </c>
      <c r="L5628" s="4"/>
      <c r="M5628" s="241">
        <v>545.88779999999997</v>
      </c>
    </row>
    <row r="5629" spans="3:13" hidden="1" outlineLevel="1" x14ac:dyDescent="0.2">
      <c r="C5629" s="139">
        <v>77.099999999999909</v>
      </c>
      <c r="D5629" s="28">
        <f t="shared" si="169"/>
        <v>616.79999999999927</v>
      </c>
      <c r="E5629" s="28">
        <f t="shared" si="170"/>
        <v>578.24999999999932</v>
      </c>
      <c r="F5629" s="28">
        <f t="shared" si="171"/>
        <v>560.24999999999932</v>
      </c>
      <c r="G5629" s="28">
        <f t="shared" si="172"/>
        <v>505.5453</v>
      </c>
      <c r="H5629" s="28">
        <f t="shared" si="173"/>
        <v>533.42740000000003</v>
      </c>
      <c r="I5629" s="28">
        <f t="shared" si="174"/>
        <v>546.89419999999996</v>
      </c>
      <c r="J5629" s="28">
        <f t="shared" si="175"/>
        <v>557.22080000000005</v>
      </c>
      <c r="K5629" s="28">
        <f t="shared" si="176"/>
        <v>574.61670000000004</v>
      </c>
      <c r="L5629" s="4"/>
      <c r="M5629" s="241">
        <v>546.89419999999996</v>
      </c>
    </row>
    <row r="5630" spans="3:13" hidden="1" outlineLevel="1" x14ac:dyDescent="0.2">
      <c r="C5630" s="139">
        <v>77.199999999999903</v>
      </c>
      <c r="D5630" s="28">
        <f t="shared" si="169"/>
        <v>617.59999999999923</v>
      </c>
      <c r="E5630" s="28">
        <f t="shared" si="170"/>
        <v>578.99999999999932</v>
      </c>
      <c r="F5630" s="28">
        <f t="shared" si="171"/>
        <v>560.99999999999932</v>
      </c>
      <c r="G5630" s="28">
        <f t="shared" si="172"/>
        <v>505.5453</v>
      </c>
      <c r="H5630" s="28">
        <f t="shared" si="173"/>
        <v>533.42740000000003</v>
      </c>
      <c r="I5630" s="28">
        <f t="shared" si="174"/>
        <v>546.89419999999996</v>
      </c>
      <c r="J5630" s="28">
        <f t="shared" si="175"/>
        <v>557.22080000000005</v>
      </c>
      <c r="K5630" s="28">
        <f t="shared" si="176"/>
        <v>574.61670000000004</v>
      </c>
      <c r="L5630" s="4"/>
      <c r="M5630" s="241">
        <v>546.89419999999996</v>
      </c>
    </row>
    <row r="5631" spans="3:13" hidden="1" outlineLevel="1" x14ac:dyDescent="0.2">
      <c r="C5631" s="139">
        <v>77.299999999999898</v>
      </c>
      <c r="D5631" s="28">
        <f t="shared" si="169"/>
        <v>618.39999999999918</v>
      </c>
      <c r="E5631" s="28">
        <f t="shared" si="170"/>
        <v>579.7499999999992</v>
      </c>
      <c r="F5631" s="28">
        <f t="shared" si="171"/>
        <v>561.7499999999992</v>
      </c>
      <c r="G5631" s="28">
        <f t="shared" si="172"/>
        <v>506.50369999999998</v>
      </c>
      <c r="H5631" s="28">
        <f t="shared" si="173"/>
        <v>534.41849999999999</v>
      </c>
      <c r="I5631" s="28">
        <f t="shared" si="174"/>
        <v>547.90509999999995</v>
      </c>
      <c r="J5631" s="28">
        <f t="shared" si="175"/>
        <v>558.24149999999997</v>
      </c>
      <c r="K5631" s="28">
        <f t="shared" si="176"/>
        <v>575.66639999999995</v>
      </c>
      <c r="L5631" s="4"/>
      <c r="M5631" s="241">
        <v>547.90509999999995</v>
      </c>
    </row>
    <row r="5632" spans="3:13" hidden="1" outlineLevel="1" x14ac:dyDescent="0.2">
      <c r="C5632" s="139">
        <v>77.399999999999892</v>
      </c>
      <c r="D5632" s="28">
        <f t="shared" si="169"/>
        <v>619.19999999999914</v>
      </c>
      <c r="E5632" s="28">
        <f t="shared" si="170"/>
        <v>580.4999999999992</v>
      </c>
      <c r="F5632" s="28">
        <f t="shared" si="171"/>
        <v>562.4999999999992</v>
      </c>
      <c r="G5632" s="28">
        <f t="shared" si="172"/>
        <v>507.46230000000003</v>
      </c>
      <c r="H5632" s="28">
        <f t="shared" si="173"/>
        <v>535.40970000000004</v>
      </c>
      <c r="I5632" s="28">
        <f t="shared" si="174"/>
        <v>548.9117</v>
      </c>
      <c r="J5632" s="28">
        <f t="shared" si="175"/>
        <v>559.26660000000004</v>
      </c>
      <c r="K5632" s="28">
        <f t="shared" si="176"/>
        <v>576.71609999999998</v>
      </c>
      <c r="L5632" s="4"/>
      <c r="M5632" s="241">
        <v>548.9117</v>
      </c>
    </row>
    <row r="5633" spans="3:13" hidden="1" outlineLevel="1" x14ac:dyDescent="0.2">
      <c r="C5633" s="139">
        <v>77.499999999999886</v>
      </c>
      <c r="D5633" s="28">
        <f t="shared" si="169"/>
        <v>619.99999999999909</v>
      </c>
      <c r="E5633" s="28">
        <f t="shared" si="170"/>
        <v>581.24999999999909</v>
      </c>
      <c r="F5633" s="28">
        <f t="shared" si="171"/>
        <v>563.24999999999909</v>
      </c>
      <c r="G5633" s="28">
        <f t="shared" si="172"/>
        <v>508.42110000000002</v>
      </c>
      <c r="H5633" s="28">
        <f t="shared" si="173"/>
        <v>536.40110000000004</v>
      </c>
      <c r="I5633" s="28">
        <f t="shared" si="174"/>
        <v>549.91849999999999</v>
      </c>
      <c r="J5633" s="28">
        <f t="shared" si="175"/>
        <v>560.28750000000002</v>
      </c>
      <c r="K5633" s="28">
        <f t="shared" si="176"/>
        <v>577.76120000000003</v>
      </c>
      <c r="L5633" s="4"/>
      <c r="M5633" s="241">
        <v>549.91849999999999</v>
      </c>
    </row>
    <row r="5634" spans="3:13" hidden="1" outlineLevel="1" x14ac:dyDescent="0.2">
      <c r="C5634" s="139">
        <v>77.599999999999881</v>
      </c>
      <c r="D5634" s="28">
        <f t="shared" si="169"/>
        <v>620.79999999999905</v>
      </c>
      <c r="E5634" s="28">
        <f t="shared" si="170"/>
        <v>581.99999999999909</v>
      </c>
      <c r="F5634" s="28">
        <f t="shared" si="171"/>
        <v>563.99999999999909</v>
      </c>
      <c r="G5634" s="28">
        <f t="shared" si="172"/>
        <v>508.42110000000002</v>
      </c>
      <c r="H5634" s="28">
        <f t="shared" si="173"/>
        <v>536.40110000000004</v>
      </c>
      <c r="I5634" s="28">
        <f t="shared" si="174"/>
        <v>549.91849999999999</v>
      </c>
      <c r="J5634" s="28">
        <f t="shared" si="175"/>
        <v>560.28750000000002</v>
      </c>
      <c r="K5634" s="28">
        <f t="shared" si="176"/>
        <v>577.76120000000003</v>
      </c>
      <c r="L5634" s="4"/>
      <c r="M5634" s="241">
        <v>549.91849999999999</v>
      </c>
    </row>
    <row r="5635" spans="3:13" hidden="1" outlineLevel="1" x14ac:dyDescent="0.2">
      <c r="C5635" s="139">
        <v>77.699999999999875</v>
      </c>
      <c r="D5635" s="28">
        <f t="shared" si="169"/>
        <v>621.599999999999</v>
      </c>
      <c r="E5635" s="28">
        <f t="shared" si="170"/>
        <v>582.74999999999909</v>
      </c>
      <c r="F5635" s="28">
        <f t="shared" si="171"/>
        <v>564.74999999999909</v>
      </c>
      <c r="G5635" s="28">
        <f t="shared" si="172"/>
        <v>509.38010000000003</v>
      </c>
      <c r="H5635" s="28">
        <f t="shared" si="173"/>
        <v>537.38819999999998</v>
      </c>
      <c r="I5635" s="28">
        <f t="shared" si="174"/>
        <v>550.92970000000003</v>
      </c>
      <c r="J5635" s="28">
        <f t="shared" si="175"/>
        <v>561.30849999999998</v>
      </c>
      <c r="K5635" s="28">
        <f t="shared" si="176"/>
        <v>578.81110000000001</v>
      </c>
      <c r="L5635" s="4"/>
      <c r="M5635" s="241">
        <v>550.92970000000003</v>
      </c>
    </row>
    <row r="5636" spans="3:13" hidden="1" outlineLevel="1" x14ac:dyDescent="0.2">
      <c r="C5636" s="139">
        <v>77.799999999999869</v>
      </c>
      <c r="D5636" s="28">
        <f t="shared" si="169"/>
        <v>622.39999999999895</v>
      </c>
      <c r="E5636" s="28">
        <f t="shared" si="170"/>
        <v>583.49999999999898</v>
      </c>
      <c r="F5636" s="28">
        <f t="shared" si="171"/>
        <v>565.49999999999898</v>
      </c>
      <c r="G5636" s="28">
        <f t="shared" si="172"/>
        <v>510.33499999999998</v>
      </c>
      <c r="H5636" s="28">
        <f t="shared" si="173"/>
        <v>538.37980000000005</v>
      </c>
      <c r="I5636" s="28">
        <f t="shared" si="174"/>
        <v>551.93669999999997</v>
      </c>
      <c r="J5636" s="28">
        <f t="shared" si="175"/>
        <v>562.33389999999997</v>
      </c>
      <c r="K5636" s="28">
        <f t="shared" si="176"/>
        <v>579.85630000000003</v>
      </c>
      <c r="L5636" s="4"/>
      <c r="M5636" s="241">
        <v>551.93669999999997</v>
      </c>
    </row>
    <row r="5637" spans="3:13" hidden="1" outlineLevel="1" x14ac:dyDescent="0.2">
      <c r="C5637" s="139">
        <v>77.899999999999864</v>
      </c>
      <c r="D5637" s="28">
        <f t="shared" si="169"/>
        <v>623.19999999999891</v>
      </c>
      <c r="E5637" s="28">
        <f t="shared" si="170"/>
        <v>584.24999999999898</v>
      </c>
      <c r="F5637" s="28">
        <f t="shared" si="171"/>
        <v>566.24999999999898</v>
      </c>
      <c r="G5637" s="28">
        <f t="shared" si="172"/>
        <v>511.2944</v>
      </c>
      <c r="H5637" s="28">
        <f t="shared" si="173"/>
        <v>539.37159999999994</v>
      </c>
      <c r="I5637" s="28">
        <f t="shared" si="174"/>
        <v>552.94380000000001</v>
      </c>
      <c r="J5637" s="28">
        <f t="shared" si="175"/>
        <v>563.35509999999999</v>
      </c>
      <c r="K5637" s="28">
        <f t="shared" si="176"/>
        <v>580.90629999999999</v>
      </c>
      <c r="L5637" s="4"/>
      <c r="M5637" s="241">
        <v>552.94380000000001</v>
      </c>
    </row>
    <row r="5638" spans="3:13" hidden="1" outlineLevel="1" x14ac:dyDescent="0.2">
      <c r="C5638" s="139">
        <v>77.999999999999858</v>
      </c>
      <c r="D5638" s="28">
        <f t="shared" si="169"/>
        <v>623.99999999999886</v>
      </c>
      <c r="E5638" s="28">
        <f t="shared" si="170"/>
        <v>584.99999999999898</v>
      </c>
      <c r="F5638" s="28">
        <f t="shared" si="171"/>
        <v>566.99999999999898</v>
      </c>
      <c r="G5638" s="28">
        <f t="shared" si="172"/>
        <v>511.2944</v>
      </c>
      <c r="H5638" s="28">
        <f t="shared" si="173"/>
        <v>539.37159999999994</v>
      </c>
      <c r="I5638" s="28">
        <f t="shared" si="174"/>
        <v>552.94380000000001</v>
      </c>
      <c r="J5638" s="28">
        <f t="shared" si="175"/>
        <v>563.35509999999999</v>
      </c>
      <c r="K5638" s="28">
        <f t="shared" si="176"/>
        <v>580.90629999999999</v>
      </c>
      <c r="L5638" s="4"/>
      <c r="M5638" s="241">
        <v>552.94380000000001</v>
      </c>
    </row>
    <row r="5639" spans="3:13" hidden="1" outlineLevel="1" x14ac:dyDescent="0.2">
      <c r="C5639" s="139">
        <v>78.099999999999852</v>
      </c>
      <c r="D5639" s="28">
        <f t="shared" si="169"/>
        <v>624.79999999999882</v>
      </c>
      <c r="E5639" s="28">
        <f t="shared" si="170"/>
        <v>585.74999999999886</v>
      </c>
      <c r="F5639" s="28">
        <f t="shared" si="171"/>
        <v>567.74999999999886</v>
      </c>
      <c r="G5639" s="28">
        <f t="shared" si="172"/>
        <v>512.25400000000002</v>
      </c>
      <c r="H5639" s="28">
        <f t="shared" si="173"/>
        <v>540.36350000000004</v>
      </c>
      <c r="I5639" s="28">
        <f t="shared" si="174"/>
        <v>553.95100000000002</v>
      </c>
      <c r="J5639" s="28">
        <f t="shared" si="175"/>
        <v>564.37639999999999</v>
      </c>
      <c r="K5639" s="28">
        <f t="shared" si="176"/>
        <v>581.95650000000001</v>
      </c>
      <c r="L5639" s="4"/>
      <c r="M5639" s="241">
        <v>553.95100000000002</v>
      </c>
    </row>
    <row r="5640" spans="3:13" hidden="1" outlineLevel="1" x14ac:dyDescent="0.2">
      <c r="C5640" s="139">
        <v>78.199999999999847</v>
      </c>
      <c r="D5640" s="28">
        <f t="shared" si="169"/>
        <v>625.59999999999877</v>
      </c>
      <c r="E5640" s="28">
        <f t="shared" si="170"/>
        <v>586.49999999999886</v>
      </c>
      <c r="F5640" s="28">
        <f t="shared" si="171"/>
        <v>568.49999999999886</v>
      </c>
      <c r="G5640" s="28">
        <f t="shared" si="172"/>
        <v>513.20939999999996</v>
      </c>
      <c r="H5640" s="28">
        <f t="shared" si="173"/>
        <v>541.35119999999995</v>
      </c>
      <c r="I5640" s="28">
        <f t="shared" si="174"/>
        <v>554.96270000000004</v>
      </c>
      <c r="J5640" s="28">
        <f t="shared" si="175"/>
        <v>565.40210000000002</v>
      </c>
      <c r="K5640" s="28">
        <f t="shared" si="176"/>
        <v>583.00189999999998</v>
      </c>
      <c r="L5640" s="4"/>
      <c r="M5640" s="241">
        <v>554.96270000000004</v>
      </c>
    </row>
    <row r="5641" spans="3:13" hidden="1" outlineLevel="1" x14ac:dyDescent="0.2">
      <c r="C5641" s="139">
        <v>78.299999999999841</v>
      </c>
      <c r="D5641" s="28">
        <f t="shared" si="169"/>
        <v>626.39999999999873</v>
      </c>
      <c r="E5641" s="28">
        <f t="shared" si="170"/>
        <v>587.24999999999886</v>
      </c>
      <c r="F5641" s="28">
        <f t="shared" si="171"/>
        <v>569.24999999999886</v>
      </c>
      <c r="G5641" s="28">
        <f t="shared" si="172"/>
        <v>514.1694</v>
      </c>
      <c r="H5641" s="28">
        <f t="shared" si="173"/>
        <v>542.3433</v>
      </c>
      <c r="I5641" s="28">
        <f t="shared" si="174"/>
        <v>555.9701</v>
      </c>
      <c r="J5641" s="28">
        <f t="shared" si="175"/>
        <v>566.42349999999999</v>
      </c>
      <c r="K5641" s="28">
        <f t="shared" si="176"/>
        <v>584.05219999999997</v>
      </c>
      <c r="L5641" s="4"/>
      <c r="M5641" s="241">
        <v>555.9701</v>
      </c>
    </row>
    <row r="5642" spans="3:13" hidden="1" outlineLevel="1" x14ac:dyDescent="0.2">
      <c r="C5642" s="139">
        <v>78.399999999999835</v>
      </c>
      <c r="D5642" s="28">
        <f t="shared" si="169"/>
        <v>627.19999999999868</v>
      </c>
      <c r="E5642" s="28">
        <f t="shared" si="170"/>
        <v>587.99999999999875</v>
      </c>
      <c r="F5642" s="28">
        <f t="shared" si="171"/>
        <v>569.99999999999875</v>
      </c>
      <c r="G5642" s="28">
        <f t="shared" si="172"/>
        <v>514.1694</v>
      </c>
      <c r="H5642" s="28">
        <f t="shared" si="173"/>
        <v>542.3433</v>
      </c>
      <c r="I5642" s="28">
        <f t="shared" si="174"/>
        <v>555.9701</v>
      </c>
      <c r="J5642" s="28">
        <f t="shared" si="175"/>
        <v>566.42349999999999</v>
      </c>
      <c r="K5642" s="28">
        <f t="shared" si="176"/>
        <v>584.05219999999997</v>
      </c>
      <c r="L5642" s="4"/>
      <c r="M5642" s="241">
        <v>555.9701</v>
      </c>
    </row>
    <row r="5643" spans="3:13" hidden="1" outlineLevel="1" x14ac:dyDescent="0.2">
      <c r="C5643" s="139">
        <v>78.499999999999829</v>
      </c>
      <c r="D5643" s="28">
        <f t="shared" si="169"/>
        <v>627.99999999999864</v>
      </c>
      <c r="E5643" s="28">
        <f t="shared" si="170"/>
        <v>588.74999999999875</v>
      </c>
      <c r="F5643" s="28">
        <f t="shared" si="171"/>
        <v>570.74999999999875</v>
      </c>
      <c r="G5643" s="28">
        <f t="shared" si="172"/>
        <v>515.12959999999998</v>
      </c>
      <c r="H5643" s="28">
        <f t="shared" si="173"/>
        <v>543.3356</v>
      </c>
      <c r="I5643" s="28">
        <f t="shared" si="174"/>
        <v>556.97770000000003</v>
      </c>
      <c r="J5643" s="28">
        <f t="shared" si="175"/>
        <v>567.44510000000002</v>
      </c>
      <c r="K5643" s="28">
        <f t="shared" si="176"/>
        <v>585.09780000000001</v>
      </c>
      <c r="L5643" s="4"/>
      <c r="M5643" s="241">
        <v>556.97770000000003</v>
      </c>
    </row>
    <row r="5644" spans="3:13" hidden="1" outlineLevel="1" x14ac:dyDescent="0.2">
      <c r="C5644" s="139">
        <v>78.599999999999824</v>
      </c>
      <c r="D5644" s="28">
        <f t="shared" si="169"/>
        <v>628.79999999999859</v>
      </c>
      <c r="E5644" s="28">
        <f t="shared" si="170"/>
        <v>589.49999999999864</v>
      </c>
      <c r="F5644" s="28">
        <f t="shared" si="171"/>
        <v>571.49999999999864</v>
      </c>
      <c r="G5644" s="28">
        <f t="shared" si="172"/>
        <v>516.0856</v>
      </c>
      <c r="H5644" s="28">
        <f t="shared" si="173"/>
        <v>544.32799999999997</v>
      </c>
      <c r="I5644" s="28">
        <f t="shared" si="174"/>
        <v>557.98530000000005</v>
      </c>
      <c r="J5644" s="28">
        <f t="shared" si="175"/>
        <v>568.46680000000003</v>
      </c>
      <c r="K5644" s="28">
        <f t="shared" si="176"/>
        <v>586.14819999999997</v>
      </c>
      <c r="L5644" s="4"/>
      <c r="M5644" s="241">
        <v>557.98530000000005</v>
      </c>
    </row>
    <row r="5645" spans="3:13" hidden="1" outlineLevel="1" x14ac:dyDescent="0.2">
      <c r="C5645" s="139">
        <v>78.699999999999818</v>
      </c>
      <c r="D5645" s="28">
        <f t="shared" si="169"/>
        <v>629.59999999999854</v>
      </c>
      <c r="E5645" s="28">
        <f t="shared" si="170"/>
        <v>590.24999999999864</v>
      </c>
      <c r="F5645" s="28">
        <f t="shared" si="171"/>
        <v>572.24999999999864</v>
      </c>
      <c r="G5645" s="28">
        <f t="shared" si="172"/>
        <v>517.0462</v>
      </c>
      <c r="H5645" s="28">
        <f t="shared" si="173"/>
        <v>545.31619999999998</v>
      </c>
      <c r="I5645" s="28">
        <f t="shared" si="174"/>
        <v>558.99739999999997</v>
      </c>
      <c r="J5645" s="28">
        <f t="shared" si="175"/>
        <v>569.49289999999996</v>
      </c>
      <c r="K5645" s="28">
        <f t="shared" si="176"/>
        <v>587.19399999999996</v>
      </c>
      <c r="L5645" s="4"/>
      <c r="M5645" s="241">
        <v>558.99739999999997</v>
      </c>
    </row>
    <row r="5646" spans="3:13" hidden="1" outlineLevel="1" x14ac:dyDescent="0.2">
      <c r="C5646" s="139">
        <v>78.799999999999812</v>
      </c>
      <c r="D5646" s="28">
        <f t="shared" si="169"/>
        <v>630.3999999999985</v>
      </c>
      <c r="E5646" s="28">
        <f t="shared" si="170"/>
        <v>590.99999999999864</v>
      </c>
      <c r="F5646" s="28">
        <f t="shared" si="171"/>
        <v>572.99999999999864</v>
      </c>
      <c r="G5646" s="28">
        <f t="shared" si="172"/>
        <v>517.0462</v>
      </c>
      <c r="H5646" s="28">
        <f t="shared" si="173"/>
        <v>545.31619999999998</v>
      </c>
      <c r="I5646" s="28">
        <f t="shared" si="174"/>
        <v>558.99739999999997</v>
      </c>
      <c r="J5646" s="28">
        <f t="shared" si="175"/>
        <v>569.49289999999996</v>
      </c>
      <c r="K5646" s="28">
        <f t="shared" si="176"/>
        <v>587.19399999999996</v>
      </c>
      <c r="L5646" s="4"/>
      <c r="M5646" s="241">
        <v>558.99739999999997</v>
      </c>
    </row>
    <row r="5647" spans="3:13" hidden="1" outlineLevel="1" x14ac:dyDescent="0.2">
      <c r="C5647" s="139">
        <v>78.899999999999807</v>
      </c>
      <c r="D5647" s="28">
        <f t="shared" si="169"/>
        <v>631.19999999999845</v>
      </c>
      <c r="E5647" s="28">
        <f t="shared" si="170"/>
        <v>591.74999999999852</v>
      </c>
      <c r="F5647" s="28">
        <f t="shared" si="171"/>
        <v>573.74999999999852</v>
      </c>
      <c r="G5647" s="28">
        <f t="shared" si="172"/>
        <v>518.00250000000005</v>
      </c>
      <c r="H5647" s="28">
        <f t="shared" si="173"/>
        <v>546.30889999999999</v>
      </c>
      <c r="I5647" s="28">
        <f t="shared" si="174"/>
        <v>560.00530000000003</v>
      </c>
      <c r="J5647" s="28">
        <f t="shared" si="175"/>
        <v>570.51469999999995</v>
      </c>
      <c r="K5647" s="28">
        <f t="shared" si="176"/>
        <v>588.24459999999999</v>
      </c>
      <c r="L5647" s="4"/>
      <c r="M5647" s="241">
        <v>560.00530000000003</v>
      </c>
    </row>
    <row r="5648" spans="3:13" hidden="1" outlineLevel="1" x14ac:dyDescent="0.2">
      <c r="C5648" s="139">
        <v>78.999999999999801</v>
      </c>
      <c r="D5648" s="28">
        <f t="shared" si="169"/>
        <v>631.99999999999841</v>
      </c>
      <c r="E5648" s="28">
        <f t="shared" si="170"/>
        <v>592.49999999999852</v>
      </c>
      <c r="F5648" s="28">
        <f t="shared" si="171"/>
        <v>574.49999999999852</v>
      </c>
      <c r="G5648" s="28">
        <f t="shared" si="172"/>
        <v>518.96349999999995</v>
      </c>
      <c r="H5648" s="28">
        <f t="shared" si="173"/>
        <v>547.29740000000004</v>
      </c>
      <c r="I5648" s="28">
        <f t="shared" si="174"/>
        <v>561.01329999999996</v>
      </c>
      <c r="J5648" s="28">
        <f t="shared" si="175"/>
        <v>571.5367</v>
      </c>
      <c r="K5648" s="28">
        <f t="shared" si="176"/>
        <v>589.29039999999998</v>
      </c>
      <c r="L5648" s="4"/>
      <c r="M5648" s="241">
        <v>561.01329999999996</v>
      </c>
    </row>
    <row r="5649" spans="3:13" hidden="1" outlineLevel="1" x14ac:dyDescent="0.2">
      <c r="C5649" s="139">
        <v>79.099999999999795</v>
      </c>
      <c r="D5649" s="28">
        <f t="shared" si="169"/>
        <v>632.79999999999836</v>
      </c>
      <c r="E5649" s="28">
        <f t="shared" si="170"/>
        <v>593.24999999999841</v>
      </c>
      <c r="F5649" s="28">
        <f t="shared" si="171"/>
        <v>575.24999999999841</v>
      </c>
      <c r="G5649" s="28">
        <f t="shared" si="172"/>
        <v>519.9203</v>
      </c>
      <c r="H5649" s="28">
        <f t="shared" si="173"/>
        <v>548.2903</v>
      </c>
      <c r="I5649" s="28">
        <f t="shared" si="174"/>
        <v>562.02139999999997</v>
      </c>
      <c r="J5649" s="28">
        <f t="shared" si="175"/>
        <v>572.55870000000004</v>
      </c>
      <c r="K5649" s="28">
        <f t="shared" si="176"/>
        <v>590.34119999999996</v>
      </c>
      <c r="L5649" s="4"/>
      <c r="M5649" s="241">
        <v>562.02139999999997</v>
      </c>
    </row>
    <row r="5650" spans="3:13" hidden="1" outlineLevel="1" x14ac:dyDescent="0.2">
      <c r="C5650" s="139">
        <v>79.19999999999979</v>
      </c>
      <c r="D5650" s="28">
        <f t="shared" si="169"/>
        <v>633.59999999999832</v>
      </c>
      <c r="E5650" s="28">
        <f t="shared" si="170"/>
        <v>593.99999999999841</v>
      </c>
      <c r="F5650" s="28">
        <f t="shared" si="171"/>
        <v>575.99999999999841</v>
      </c>
      <c r="G5650" s="28">
        <f t="shared" si="172"/>
        <v>519.9203</v>
      </c>
      <c r="H5650" s="28">
        <f t="shared" si="173"/>
        <v>548.2903</v>
      </c>
      <c r="I5650" s="28">
        <f t="shared" si="174"/>
        <v>562.02139999999997</v>
      </c>
      <c r="J5650" s="28">
        <f t="shared" si="175"/>
        <v>572.55870000000004</v>
      </c>
      <c r="K5650" s="28">
        <f t="shared" si="176"/>
        <v>590.34119999999996</v>
      </c>
      <c r="L5650" s="4"/>
      <c r="M5650" s="241">
        <v>562.02139999999997</v>
      </c>
    </row>
    <row r="5651" spans="3:13" hidden="1" outlineLevel="1" x14ac:dyDescent="0.2">
      <c r="C5651" s="139">
        <v>79.299999999999784</v>
      </c>
      <c r="D5651" s="28">
        <f t="shared" si="169"/>
        <v>634.39999999999827</v>
      </c>
      <c r="E5651" s="28">
        <f t="shared" si="170"/>
        <v>594.74999999999841</v>
      </c>
      <c r="F5651" s="28">
        <f t="shared" si="171"/>
        <v>576.74999999999841</v>
      </c>
      <c r="G5651" s="28">
        <f t="shared" si="172"/>
        <v>520.87720000000002</v>
      </c>
      <c r="H5651" s="28">
        <f t="shared" si="173"/>
        <v>549.28340000000003</v>
      </c>
      <c r="I5651" s="28">
        <f t="shared" si="174"/>
        <v>563.02949999999998</v>
      </c>
      <c r="J5651" s="28">
        <f t="shared" si="175"/>
        <v>573.58079999999995</v>
      </c>
      <c r="K5651" s="28">
        <f t="shared" si="176"/>
        <v>591.38720000000001</v>
      </c>
      <c r="L5651" s="4"/>
      <c r="M5651" s="241">
        <v>563.02949999999998</v>
      </c>
    </row>
    <row r="5652" spans="3:13" hidden="1" outlineLevel="1" x14ac:dyDescent="0.2">
      <c r="C5652" s="139">
        <v>79.399999999999778</v>
      </c>
      <c r="D5652" s="28">
        <f t="shared" si="169"/>
        <v>635.19999999999823</v>
      </c>
      <c r="E5652" s="28">
        <f t="shared" si="170"/>
        <v>595.49999999999829</v>
      </c>
      <c r="F5652" s="28">
        <f t="shared" si="171"/>
        <v>577.49999999999829</v>
      </c>
      <c r="G5652" s="28">
        <f t="shared" si="172"/>
        <v>521.83870000000002</v>
      </c>
      <c r="H5652" s="28">
        <f t="shared" si="173"/>
        <v>550.27229999999997</v>
      </c>
      <c r="I5652" s="28">
        <f t="shared" si="174"/>
        <v>564.03779999999995</v>
      </c>
      <c r="J5652" s="28">
        <f t="shared" si="175"/>
        <v>574.60299999999995</v>
      </c>
      <c r="K5652" s="28">
        <f t="shared" si="176"/>
        <v>592.43820000000005</v>
      </c>
      <c r="L5652" s="4"/>
      <c r="M5652" s="241">
        <v>564.03779999999995</v>
      </c>
    </row>
    <row r="5653" spans="3:13" hidden="1" outlineLevel="1" x14ac:dyDescent="0.2">
      <c r="C5653" s="139">
        <v>79.499999999999773</v>
      </c>
      <c r="D5653" s="28">
        <f t="shared" si="169"/>
        <v>635.99999999999818</v>
      </c>
      <c r="E5653" s="28">
        <f t="shared" si="170"/>
        <v>596.24999999999829</v>
      </c>
      <c r="F5653" s="28">
        <f t="shared" si="171"/>
        <v>578.24999999999829</v>
      </c>
      <c r="G5653" s="28">
        <f t="shared" si="172"/>
        <v>522.79600000000005</v>
      </c>
      <c r="H5653" s="28">
        <f t="shared" si="173"/>
        <v>551.26559999999995</v>
      </c>
      <c r="I5653" s="28">
        <f t="shared" si="174"/>
        <v>565.0462</v>
      </c>
      <c r="J5653" s="28">
        <f t="shared" si="175"/>
        <v>575.62969999999996</v>
      </c>
      <c r="K5653" s="28">
        <f t="shared" si="176"/>
        <v>593.48429999999996</v>
      </c>
      <c r="L5653" s="4"/>
      <c r="M5653" s="241">
        <v>565.0462</v>
      </c>
    </row>
    <row r="5654" spans="3:13" hidden="1" outlineLevel="1" x14ac:dyDescent="0.2">
      <c r="C5654" s="139">
        <v>79.599999999999767</v>
      </c>
      <c r="D5654" s="28">
        <f t="shared" si="169"/>
        <v>636.79999999999814</v>
      </c>
      <c r="E5654" s="28">
        <f t="shared" si="170"/>
        <v>596.99999999999829</v>
      </c>
      <c r="F5654" s="28">
        <f t="shared" si="171"/>
        <v>578.99999999999829</v>
      </c>
      <c r="G5654" s="28">
        <f t="shared" si="172"/>
        <v>522.79600000000005</v>
      </c>
      <c r="H5654" s="28">
        <f t="shared" si="173"/>
        <v>551.26559999999995</v>
      </c>
      <c r="I5654" s="28">
        <f t="shared" si="174"/>
        <v>565.0462</v>
      </c>
      <c r="J5654" s="28">
        <f t="shared" si="175"/>
        <v>575.62969999999996</v>
      </c>
      <c r="K5654" s="28">
        <f t="shared" si="176"/>
        <v>593.48429999999996</v>
      </c>
      <c r="L5654" s="4"/>
      <c r="M5654" s="241">
        <v>565.0462</v>
      </c>
    </row>
    <row r="5655" spans="3:13" hidden="1" outlineLevel="1" x14ac:dyDescent="0.2">
      <c r="C5655" s="139">
        <v>79.699999999999761</v>
      </c>
      <c r="D5655" s="28">
        <f t="shared" si="169"/>
        <v>637.59999999999809</v>
      </c>
      <c r="E5655" s="28">
        <f t="shared" si="170"/>
        <v>597.74999999999818</v>
      </c>
      <c r="F5655" s="28">
        <f t="shared" si="171"/>
        <v>579.74999999999818</v>
      </c>
      <c r="G5655" s="28">
        <f t="shared" si="172"/>
        <v>523.75350000000003</v>
      </c>
      <c r="H5655" s="28">
        <f t="shared" si="173"/>
        <v>552.25469999999996</v>
      </c>
      <c r="I5655" s="28">
        <f t="shared" si="174"/>
        <v>566.0548</v>
      </c>
      <c r="J5655" s="28">
        <f t="shared" si="175"/>
        <v>576.65210000000002</v>
      </c>
      <c r="K5655" s="28">
        <f t="shared" si="176"/>
        <v>594.53539999999998</v>
      </c>
      <c r="L5655" s="4"/>
      <c r="M5655" s="241">
        <v>566.0548</v>
      </c>
    </row>
    <row r="5656" spans="3:13" hidden="1" outlineLevel="1" x14ac:dyDescent="0.2">
      <c r="C5656" s="139">
        <v>79.799999999999756</v>
      </c>
      <c r="D5656" s="28">
        <f t="shared" si="169"/>
        <v>638.39999999999804</v>
      </c>
      <c r="E5656" s="28">
        <f t="shared" si="170"/>
        <v>598.49999999999818</v>
      </c>
      <c r="F5656" s="28">
        <f t="shared" si="171"/>
        <v>580.49999999999818</v>
      </c>
      <c r="G5656" s="28">
        <f t="shared" si="172"/>
        <v>524.71569999999997</v>
      </c>
      <c r="H5656" s="28">
        <f t="shared" si="173"/>
        <v>553.24839999999995</v>
      </c>
      <c r="I5656" s="28">
        <f t="shared" si="174"/>
        <v>567.0634</v>
      </c>
      <c r="J5656" s="28">
        <f t="shared" si="175"/>
        <v>577.67460000000005</v>
      </c>
      <c r="K5656" s="28">
        <f t="shared" si="176"/>
        <v>595.58169999999996</v>
      </c>
      <c r="L5656" s="4"/>
      <c r="M5656" s="241">
        <v>567.0634</v>
      </c>
    </row>
    <row r="5657" spans="3:13" hidden="1" outlineLevel="1" x14ac:dyDescent="0.2">
      <c r="C5657" s="139">
        <v>79.89999999999975</v>
      </c>
      <c r="D5657" s="28">
        <f t="shared" si="169"/>
        <v>639.199999999998</v>
      </c>
      <c r="E5657" s="28">
        <f t="shared" si="170"/>
        <v>599.24999999999818</v>
      </c>
      <c r="F5657" s="28">
        <f t="shared" si="171"/>
        <v>581.24999999999818</v>
      </c>
      <c r="G5657" s="28">
        <f t="shared" si="172"/>
        <v>525.67349999999999</v>
      </c>
      <c r="H5657" s="28">
        <f t="shared" si="173"/>
        <v>554.23770000000002</v>
      </c>
      <c r="I5657" s="28">
        <f t="shared" si="174"/>
        <v>568.07209999999998</v>
      </c>
      <c r="J5657" s="28">
        <f t="shared" si="175"/>
        <v>578.69719999999995</v>
      </c>
      <c r="K5657" s="28">
        <f t="shared" si="176"/>
        <v>596.62810000000002</v>
      </c>
      <c r="L5657" s="4"/>
      <c r="M5657" s="241">
        <v>568.07209999999998</v>
      </c>
    </row>
    <row r="5658" spans="3:13" hidden="1" outlineLevel="1" x14ac:dyDescent="0.2">
      <c r="C5658" s="139">
        <v>79.999999999999744</v>
      </c>
      <c r="D5658" s="28">
        <f t="shared" si="169"/>
        <v>639.99999999999795</v>
      </c>
      <c r="E5658" s="28">
        <f t="shared" si="170"/>
        <v>599.99999999999807</v>
      </c>
      <c r="F5658" s="28">
        <f t="shared" si="171"/>
        <v>581.99999999999807</v>
      </c>
      <c r="G5658" s="28">
        <f t="shared" si="172"/>
        <v>525.67349999999999</v>
      </c>
      <c r="H5658" s="28">
        <f t="shared" si="173"/>
        <v>554.23770000000002</v>
      </c>
      <c r="I5658" s="28">
        <f t="shared" si="174"/>
        <v>568.07209999999998</v>
      </c>
      <c r="J5658" s="28">
        <f t="shared" si="175"/>
        <v>578.69719999999995</v>
      </c>
      <c r="K5658" s="28">
        <f t="shared" si="176"/>
        <v>596.62810000000002</v>
      </c>
      <c r="L5658" s="4"/>
      <c r="M5658" s="241">
        <v>568.07209999999998</v>
      </c>
    </row>
    <row r="5659" spans="3:13" hidden="1" outlineLevel="1" x14ac:dyDescent="0.2">
      <c r="C5659" s="139">
        <v>80.099999999999739</v>
      </c>
      <c r="D5659" s="28">
        <f t="shared" si="169"/>
        <v>640.79999999999791</v>
      </c>
      <c r="E5659" s="28">
        <f t="shared" si="170"/>
        <v>600.74999999999807</v>
      </c>
      <c r="F5659" s="28">
        <f t="shared" si="171"/>
        <v>582.74999999999807</v>
      </c>
      <c r="G5659" s="28">
        <f t="shared" si="172"/>
        <v>526.63160000000005</v>
      </c>
      <c r="H5659" s="28">
        <f t="shared" si="173"/>
        <v>555.22720000000004</v>
      </c>
      <c r="I5659" s="28">
        <f t="shared" si="174"/>
        <v>569.08090000000004</v>
      </c>
      <c r="J5659" s="28">
        <f t="shared" si="175"/>
        <v>579.71990000000005</v>
      </c>
      <c r="K5659" s="28">
        <f t="shared" si="176"/>
        <v>597.67939999999999</v>
      </c>
      <c r="L5659" s="4"/>
      <c r="M5659" s="241">
        <v>569.08090000000004</v>
      </c>
    </row>
    <row r="5660" spans="3:13" hidden="1" outlineLevel="1" x14ac:dyDescent="0.2">
      <c r="C5660" s="139">
        <v>80.199999999999733</v>
      </c>
      <c r="D5660" s="28">
        <f t="shared" si="169"/>
        <v>641.59999999999786</v>
      </c>
      <c r="E5660" s="28">
        <f t="shared" si="170"/>
        <v>601.49999999999795</v>
      </c>
      <c r="F5660" s="28">
        <f t="shared" si="171"/>
        <v>583.49999999999795</v>
      </c>
      <c r="G5660" s="28">
        <f t="shared" si="172"/>
        <v>527.58979999999997</v>
      </c>
      <c r="H5660" s="28">
        <f t="shared" si="173"/>
        <v>556.22119999999995</v>
      </c>
      <c r="I5660" s="28">
        <f t="shared" si="174"/>
        <v>570.08989999999994</v>
      </c>
      <c r="J5660" s="28">
        <f t="shared" si="175"/>
        <v>580.74270000000001</v>
      </c>
      <c r="K5660" s="28">
        <f t="shared" si="176"/>
        <v>598.72590000000002</v>
      </c>
      <c r="L5660" s="4"/>
      <c r="M5660" s="241">
        <v>570.08989999999994</v>
      </c>
    </row>
    <row r="5661" spans="3:13" hidden="1" outlineLevel="1" x14ac:dyDescent="0.2">
      <c r="C5661" s="139">
        <v>80.299999999999727</v>
      </c>
      <c r="D5661" s="28">
        <f t="shared" si="169"/>
        <v>642.39999999999782</v>
      </c>
      <c r="E5661" s="28">
        <f t="shared" si="170"/>
        <v>602.24999999999795</v>
      </c>
      <c r="F5661" s="28">
        <f t="shared" si="171"/>
        <v>584.24999999999795</v>
      </c>
      <c r="G5661" s="28">
        <f t="shared" si="172"/>
        <v>528.54819999999995</v>
      </c>
      <c r="H5661" s="28">
        <f t="shared" si="173"/>
        <v>557.21090000000004</v>
      </c>
      <c r="I5661" s="28">
        <f t="shared" si="174"/>
        <v>571.09889999999996</v>
      </c>
      <c r="J5661" s="28">
        <f t="shared" si="175"/>
        <v>581.76549999999997</v>
      </c>
      <c r="K5661" s="28">
        <f t="shared" si="176"/>
        <v>599.77250000000004</v>
      </c>
      <c r="L5661" s="4"/>
      <c r="M5661" s="241">
        <v>571.09889999999996</v>
      </c>
    </row>
    <row r="5662" spans="3:13" hidden="1" outlineLevel="1" x14ac:dyDescent="0.2">
      <c r="C5662" s="139">
        <v>80.399999999999721</v>
      </c>
      <c r="D5662" s="28">
        <f t="shared" si="169"/>
        <v>643.19999999999777</v>
      </c>
      <c r="E5662" s="28">
        <f t="shared" si="170"/>
        <v>602.99999999999795</v>
      </c>
      <c r="F5662" s="28">
        <f t="shared" si="171"/>
        <v>584.99999999999795</v>
      </c>
      <c r="G5662" s="28">
        <f t="shared" si="172"/>
        <v>528.54819999999995</v>
      </c>
      <c r="H5662" s="28">
        <f t="shared" si="173"/>
        <v>557.21090000000004</v>
      </c>
      <c r="I5662" s="28">
        <f t="shared" si="174"/>
        <v>571.09889999999996</v>
      </c>
      <c r="J5662" s="28">
        <f t="shared" si="175"/>
        <v>581.76549999999997</v>
      </c>
      <c r="K5662" s="28">
        <f t="shared" si="176"/>
        <v>599.77250000000004</v>
      </c>
      <c r="L5662" s="4"/>
      <c r="M5662" s="241">
        <v>571.09889999999996</v>
      </c>
    </row>
    <row r="5663" spans="3:13" hidden="1" outlineLevel="1" x14ac:dyDescent="0.2">
      <c r="C5663" s="139">
        <v>80.499999999999716</v>
      </c>
      <c r="D5663" s="28">
        <f t="shared" si="169"/>
        <v>643.99999999999773</v>
      </c>
      <c r="E5663" s="28">
        <f t="shared" si="170"/>
        <v>603.74999999999784</v>
      </c>
      <c r="F5663" s="28">
        <f t="shared" si="171"/>
        <v>585.74999999999784</v>
      </c>
      <c r="G5663" s="28">
        <f t="shared" si="172"/>
        <v>529.50689999999997</v>
      </c>
      <c r="H5663" s="28">
        <f t="shared" si="173"/>
        <v>558.20069999999998</v>
      </c>
      <c r="I5663" s="28">
        <f t="shared" si="174"/>
        <v>572.10810000000004</v>
      </c>
      <c r="J5663" s="28">
        <f t="shared" si="175"/>
        <v>582.7885</v>
      </c>
      <c r="K5663" s="28">
        <f t="shared" si="176"/>
        <v>600.82399999999996</v>
      </c>
      <c r="L5663" s="4"/>
      <c r="M5663" s="241">
        <v>572.10810000000004</v>
      </c>
    </row>
    <row r="5664" spans="3:13" hidden="1" outlineLevel="1" x14ac:dyDescent="0.2">
      <c r="C5664" s="139">
        <v>80.59999999999971</v>
      </c>
      <c r="D5664" s="28">
        <f t="shared" si="169"/>
        <v>644.79999999999768</v>
      </c>
      <c r="E5664" s="28">
        <f t="shared" si="170"/>
        <v>604.49999999999784</v>
      </c>
      <c r="F5664" s="28">
        <f t="shared" si="171"/>
        <v>586.49999999999784</v>
      </c>
      <c r="G5664" s="28">
        <f t="shared" si="172"/>
        <v>530.46559999999999</v>
      </c>
      <c r="H5664" s="28">
        <f t="shared" si="173"/>
        <v>559.1952</v>
      </c>
      <c r="I5664" s="28">
        <f t="shared" si="174"/>
        <v>573.1173</v>
      </c>
      <c r="J5664" s="28">
        <f t="shared" si="175"/>
        <v>583.81150000000002</v>
      </c>
      <c r="K5664" s="28">
        <f t="shared" si="176"/>
        <v>601.87080000000003</v>
      </c>
      <c r="L5664" s="4"/>
      <c r="M5664" s="241">
        <v>573.1173</v>
      </c>
    </row>
    <row r="5665" spans="3:13" hidden="1" outlineLevel="1" x14ac:dyDescent="0.2">
      <c r="C5665" s="139">
        <v>80.699999999999704</v>
      </c>
      <c r="D5665" s="28">
        <f t="shared" si="169"/>
        <v>645.59999999999764</v>
      </c>
      <c r="E5665" s="28">
        <f t="shared" si="170"/>
        <v>605.24999999999773</v>
      </c>
      <c r="F5665" s="28">
        <f t="shared" si="171"/>
        <v>587.24999999999773</v>
      </c>
      <c r="G5665" s="28">
        <f t="shared" si="172"/>
        <v>531.42909999999995</v>
      </c>
      <c r="H5665" s="28">
        <f t="shared" si="173"/>
        <v>560.18529999999998</v>
      </c>
      <c r="I5665" s="28">
        <f t="shared" si="174"/>
        <v>574.12670000000003</v>
      </c>
      <c r="J5665" s="28">
        <f t="shared" si="175"/>
        <v>584.8347</v>
      </c>
      <c r="K5665" s="28">
        <f t="shared" si="176"/>
        <v>602.91750000000002</v>
      </c>
      <c r="L5665" s="4"/>
      <c r="M5665" s="241">
        <v>574.12670000000003</v>
      </c>
    </row>
    <row r="5666" spans="3:13" hidden="1" outlineLevel="1" x14ac:dyDescent="0.2">
      <c r="C5666" s="139">
        <v>80.799999999999699</v>
      </c>
      <c r="D5666" s="28">
        <f t="shared" si="169"/>
        <v>646.39999999999759</v>
      </c>
      <c r="E5666" s="28">
        <f t="shared" si="170"/>
        <v>605.99999999999773</v>
      </c>
      <c r="F5666" s="28">
        <f t="shared" si="171"/>
        <v>587.99999999999773</v>
      </c>
      <c r="G5666" s="28">
        <f t="shared" si="172"/>
        <v>531.42909999999995</v>
      </c>
      <c r="H5666" s="28">
        <f t="shared" si="173"/>
        <v>560.18529999999998</v>
      </c>
      <c r="I5666" s="28">
        <f t="shared" si="174"/>
        <v>574.12670000000003</v>
      </c>
      <c r="J5666" s="28">
        <f t="shared" si="175"/>
        <v>584.8347</v>
      </c>
      <c r="K5666" s="28">
        <f t="shared" si="176"/>
        <v>602.91750000000002</v>
      </c>
      <c r="L5666" s="4"/>
      <c r="M5666" s="241">
        <v>574.12670000000003</v>
      </c>
    </row>
    <row r="5667" spans="3:13" hidden="1" outlineLevel="1" x14ac:dyDescent="0.2">
      <c r="C5667" s="139">
        <v>80.899999999999693</v>
      </c>
      <c r="D5667" s="28">
        <f t="shared" si="169"/>
        <v>647.19999999999754</v>
      </c>
      <c r="E5667" s="28">
        <f t="shared" si="170"/>
        <v>606.74999999999773</v>
      </c>
      <c r="F5667" s="28">
        <f t="shared" si="171"/>
        <v>588.74999999999773</v>
      </c>
      <c r="G5667" s="28">
        <f t="shared" si="172"/>
        <v>532.38829999999996</v>
      </c>
      <c r="H5667" s="28">
        <f t="shared" si="173"/>
        <v>561.17550000000006</v>
      </c>
      <c r="I5667" s="28">
        <f t="shared" si="174"/>
        <v>575.13170000000002</v>
      </c>
      <c r="J5667" s="28">
        <f t="shared" si="175"/>
        <v>585.85789999999997</v>
      </c>
      <c r="K5667" s="28">
        <f t="shared" si="176"/>
        <v>603.96929999999998</v>
      </c>
      <c r="L5667" s="4"/>
      <c r="M5667" s="241">
        <v>575.13170000000002</v>
      </c>
    </row>
    <row r="5668" spans="3:13" hidden="1" outlineLevel="1" x14ac:dyDescent="0.2">
      <c r="C5668" s="139">
        <v>80.999999999999687</v>
      </c>
      <c r="D5668" s="28">
        <f t="shared" si="169"/>
        <v>647.9999999999975</v>
      </c>
      <c r="E5668" s="28">
        <f t="shared" si="170"/>
        <v>607.49999999999761</v>
      </c>
      <c r="F5668" s="28">
        <f t="shared" si="171"/>
        <v>589.49999999999761</v>
      </c>
      <c r="G5668" s="28">
        <f t="shared" si="172"/>
        <v>533.34310000000005</v>
      </c>
      <c r="H5668" s="28">
        <f t="shared" si="173"/>
        <v>562.1703</v>
      </c>
      <c r="I5668" s="28">
        <f t="shared" si="174"/>
        <v>576.14120000000003</v>
      </c>
      <c r="J5668" s="28">
        <f t="shared" si="175"/>
        <v>586.88120000000004</v>
      </c>
      <c r="K5668" s="28">
        <f t="shared" si="176"/>
        <v>605.0163</v>
      </c>
      <c r="L5668" s="4"/>
      <c r="M5668" s="241">
        <v>576.14120000000003</v>
      </c>
    </row>
    <row r="5669" spans="3:13" hidden="1" outlineLevel="1" x14ac:dyDescent="0.2">
      <c r="C5669" s="139">
        <v>81.099999999999682</v>
      </c>
      <c r="D5669" s="28">
        <f t="shared" si="169"/>
        <v>648.79999999999745</v>
      </c>
      <c r="E5669" s="28">
        <f t="shared" si="170"/>
        <v>608.24999999999761</v>
      </c>
      <c r="F5669" s="28">
        <f t="shared" si="171"/>
        <v>590.24999999999761</v>
      </c>
      <c r="G5669" s="28">
        <f t="shared" si="172"/>
        <v>534.30259999999998</v>
      </c>
      <c r="H5669" s="28">
        <f t="shared" si="173"/>
        <v>563.16070000000002</v>
      </c>
      <c r="I5669" s="28">
        <f t="shared" si="174"/>
        <v>577.15089999999998</v>
      </c>
      <c r="J5669" s="28">
        <f t="shared" si="175"/>
        <v>587.90009999999995</v>
      </c>
      <c r="K5669" s="28">
        <f t="shared" si="176"/>
        <v>606.06330000000003</v>
      </c>
      <c r="L5669" s="4"/>
      <c r="M5669" s="241">
        <v>577.15089999999998</v>
      </c>
    </row>
    <row r="5670" spans="3:13" hidden="1" outlineLevel="1" x14ac:dyDescent="0.2">
      <c r="C5670" s="139">
        <v>81.199999999999676</v>
      </c>
      <c r="D5670" s="28">
        <f t="shared" si="169"/>
        <v>649.59999999999741</v>
      </c>
      <c r="E5670" s="28">
        <f t="shared" si="170"/>
        <v>608.99999999999761</v>
      </c>
      <c r="F5670" s="28">
        <f t="shared" si="171"/>
        <v>590.99999999999761</v>
      </c>
      <c r="G5670" s="28">
        <f t="shared" si="172"/>
        <v>534.30259999999998</v>
      </c>
      <c r="H5670" s="28">
        <f t="shared" si="173"/>
        <v>563.16070000000002</v>
      </c>
      <c r="I5670" s="28">
        <f t="shared" si="174"/>
        <v>577.15089999999998</v>
      </c>
      <c r="J5670" s="28">
        <f t="shared" si="175"/>
        <v>587.90009999999995</v>
      </c>
      <c r="K5670" s="28">
        <f t="shared" si="176"/>
        <v>606.06330000000003</v>
      </c>
      <c r="L5670" s="4"/>
      <c r="M5670" s="241">
        <v>577.15089999999998</v>
      </c>
    </row>
    <row r="5671" spans="3:13" hidden="1" outlineLevel="1" x14ac:dyDescent="0.2">
      <c r="C5671" s="139">
        <v>81.29999999999967</v>
      </c>
      <c r="D5671" s="28">
        <f t="shared" si="169"/>
        <v>650.39999999999736</v>
      </c>
      <c r="E5671" s="28">
        <f t="shared" si="170"/>
        <v>609.7499999999975</v>
      </c>
      <c r="F5671" s="28">
        <f t="shared" si="171"/>
        <v>591.7499999999975</v>
      </c>
      <c r="G5671" s="28">
        <f t="shared" si="172"/>
        <v>535.26229999999998</v>
      </c>
      <c r="H5671" s="28">
        <f t="shared" si="173"/>
        <v>564.15129999999999</v>
      </c>
      <c r="I5671" s="28">
        <f t="shared" si="174"/>
        <v>578.16070000000002</v>
      </c>
      <c r="J5671" s="28">
        <f t="shared" si="175"/>
        <v>588.92359999999996</v>
      </c>
      <c r="K5671" s="28">
        <f t="shared" si="176"/>
        <v>607.11030000000005</v>
      </c>
      <c r="L5671" s="4"/>
      <c r="M5671" s="241">
        <v>578.16070000000002</v>
      </c>
    </row>
    <row r="5672" spans="3:13" hidden="1" outlineLevel="1" x14ac:dyDescent="0.2">
      <c r="C5672" s="139">
        <v>81.399999999999665</v>
      </c>
      <c r="D5672" s="28">
        <f t="shared" si="169"/>
        <v>651.19999999999732</v>
      </c>
      <c r="E5672" s="28">
        <f t="shared" si="170"/>
        <v>610.4999999999975</v>
      </c>
      <c r="F5672" s="28">
        <f t="shared" si="171"/>
        <v>592.4999999999975</v>
      </c>
      <c r="G5672" s="28">
        <f t="shared" si="172"/>
        <v>536.22220000000004</v>
      </c>
      <c r="H5672" s="28">
        <f t="shared" si="173"/>
        <v>565.14200000000005</v>
      </c>
      <c r="I5672" s="28">
        <f t="shared" si="174"/>
        <v>579.17060000000004</v>
      </c>
      <c r="J5672" s="28">
        <f t="shared" si="175"/>
        <v>589.94719999999995</v>
      </c>
      <c r="K5672" s="28">
        <f t="shared" si="176"/>
        <v>608.16240000000005</v>
      </c>
      <c r="L5672" s="4"/>
      <c r="M5672" s="241">
        <v>579.17060000000004</v>
      </c>
    </row>
    <row r="5673" spans="3:13" hidden="1" outlineLevel="1" x14ac:dyDescent="0.2">
      <c r="C5673" s="139">
        <v>81.499999999999659</v>
      </c>
      <c r="D5673" s="28">
        <f t="shared" si="169"/>
        <v>651.99999999999727</v>
      </c>
      <c r="E5673" s="28">
        <f t="shared" si="170"/>
        <v>611.2499999999975</v>
      </c>
      <c r="F5673" s="28">
        <f t="shared" si="171"/>
        <v>593.2499999999975</v>
      </c>
      <c r="G5673" s="28">
        <f t="shared" si="172"/>
        <v>537.18230000000005</v>
      </c>
      <c r="H5673" s="28">
        <f t="shared" si="173"/>
        <v>566.13289999999995</v>
      </c>
      <c r="I5673" s="28">
        <f t="shared" si="174"/>
        <v>580.17610000000002</v>
      </c>
      <c r="J5673" s="28">
        <f t="shared" si="175"/>
        <v>590.97090000000003</v>
      </c>
      <c r="K5673" s="28">
        <f t="shared" si="176"/>
        <v>609.20960000000002</v>
      </c>
      <c r="L5673" s="4"/>
      <c r="M5673" s="241">
        <v>580.17610000000002</v>
      </c>
    </row>
    <row r="5674" spans="3:13" hidden="1" outlineLevel="1" x14ac:dyDescent="0.2">
      <c r="C5674" s="139">
        <v>81.599999999999653</v>
      </c>
      <c r="D5674" s="28">
        <f t="shared" si="169"/>
        <v>652.79999999999723</v>
      </c>
      <c r="E5674" s="28">
        <f t="shared" si="170"/>
        <v>611.99999999999739</v>
      </c>
      <c r="F5674" s="28">
        <f t="shared" si="171"/>
        <v>593.99999999999739</v>
      </c>
      <c r="G5674" s="28">
        <f t="shared" si="172"/>
        <v>537.18230000000005</v>
      </c>
      <c r="H5674" s="28">
        <f t="shared" si="173"/>
        <v>566.13289999999995</v>
      </c>
      <c r="I5674" s="28">
        <f t="shared" si="174"/>
        <v>580.17610000000002</v>
      </c>
      <c r="J5674" s="28">
        <f t="shared" si="175"/>
        <v>590.97090000000003</v>
      </c>
      <c r="K5674" s="28">
        <f t="shared" si="176"/>
        <v>609.20960000000002</v>
      </c>
      <c r="L5674" s="4"/>
      <c r="M5674" s="241">
        <v>580.17610000000002</v>
      </c>
    </row>
    <row r="5675" spans="3:13" hidden="1" outlineLevel="1" x14ac:dyDescent="0.2">
      <c r="C5675" s="139">
        <v>81.699999999999648</v>
      </c>
      <c r="D5675" s="28">
        <f t="shared" si="169"/>
        <v>653.59999999999718</v>
      </c>
      <c r="E5675" s="28">
        <f t="shared" si="170"/>
        <v>612.74999999999739</v>
      </c>
      <c r="F5675" s="28">
        <f t="shared" si="171"/>
        <v>594.74999999999739</v>
      </c>
      <c r="G5675" s="28">
        <f t="shared" si="172"/>
        <v>538.14260000000002</v>
      </c>
      <c r="H5675" s="28">
        <f t="shared" si="173"/>
        <v>567.12829999999997</v>
      </c>
      <c r="I5675" s="28">
        <f t="shared" si="174"/>
        <v>581.18619999999999</v>
      </c>
      <c r="J5675" s="28">
        <f t="shared" si="175"/>
        <v>591.99469999999997</v>
      </c>
      <c r="K5675" s="28">
        <f t="shared" si="176"/>
        <v>610.25689999999997</v>
      </c>
      <c r="L5675" s="4"/>
      <c r="M5675" s="241">
        <v>581.18619999999999</v>
      </c>
    </row>
    <row r="5676" spans="3:13" hidden="1" outlineLevel="1" x14ac:dyDescent="0.2">
      <c r="C5676" s="139">
        <v>81.799999999999642</v>
      </c>
      <c r="D5676" s="28">
        <f t="shared" si="169"/>
        <v>654.39999999999714</v>
      </c>
      <c r="E5676" s="28">
        <f t="shared" si="170"/>
        <v>613.49999999999727</v>
      </c>
      <c r="F5676" s="28">
        <f t="shared" si="171"/>
        <v>595.49999999999727</v>
      </c>
      <c r="G5676" s="28">
        <f t="shared" si="172"/>
        <v>539.10299999999995</v>
      </c>
      <c r="H5676" s="28">
        <f t="shared" si="173"/>
        <v>568.11940000000004</v>
      </c>
      <c r="I5676" s="28">
        <f t="shared" si="174"/>
        <v>582.19640000000004</v>
      </c>
      <c r="J5676" s="28">
        <f t="shared" si="175"/>
        <v>593.01850000000002</v>
      </c>
      <c r="K5676" s="28">
        <f t="shared" si="176"/>
        <v>611.30430000000001</v>
      </c>
      <c r="L5676" s="4"/>
      <c r="M5676" s="241">
        <v>582.19640000000004</v>
      </c>
    </row>
    <row r="5677" spans="3:13" hidden="1" outlineLevel="1" x14ac:dyDescent="0.2">
      <c r="C5677" s="139">
        <v>81.899999999999636</v>
      </c>
      <c r="D5677" s="28">
        <f t="shared" si="169"/>
        <v>655.19999999999709</v>
      </c>
      <c r="E5677" s="28">
        <f t="shared" si="170"/>
        <v>614.24999999999727</v>
      </c>
      <c r="F5677" s="28">
        <f t="shared" si="171"/>
        <v>596.24999999999727</v>
      </c>
      <c r="G5677" s="28">
        <f t="shared" si="172"/>
        <v>540.05909999999994</v>
      </c>
      <c r="H5677" s="28">
        <f t="shared" si="173"/>
        <v>569.11059999999998</v>
      </c>
      <c r="I5677" s="28">
        <f t="shared" si="174"/>
        <v>583.20209999999997</v>
      </c>
      <c r="J5677" s="28">
        <f t="shared" si="175"/>
        <v>594.04250000000002</v>
      </c>
      <c r="K5677" s="28">
        <f t="shared" si="176"/>
        <v>612.35670000000005</v>
      </c>
      <c r="L5677" s="4"/>
      <c r="M5677" s="241">
        <v>583.20209999999997</v>
      </c>
    </row>
    <row r="5678" spans="3:13" hidden="1" outlineLevel="1" x14ac:dyDescent="0.2">
      <c r="C5678" s="139">
        <v>81.999999999999631</v>
      </c>
      <c r="D5678" s="28">
        <f t="shared" si="169"/>
        <v>655.99999999999704</v>
      </c>
      <c r="E5678" s="28">
        <f t="shared" si="170"/>
        <v>614.99999999999727</v>
      </c>
      <c r="F5678" s="28">
        <f t="shared" si="171"/>
        <v>596.99999999999727</v>
      </c>
      <c r="G5678" s="28">
        <f t="shared" si="172"/>
        <v>540.05909999999994</v>
      </c>
      <c r="H5678" s="28">
        <f t="shared" si="173"/>
        <v>569.11059999999998</v>
      </c>
      <c r="I5678" s="28">
        <f t="shared" si="174"/>
        <v>583.20209999999997</v>
      </c>
      <c r="J5678" s="28">
        <f t="shared" si="175"/>
        <v>594.04250000000002</v>
      </c>
      <c r="K5678" s="28">
        <f t="shared" si="176"/>
        <v>612.35670000000005</v>
      </c>
      <c r="L5678" s="4"/>
      <c r="M5678" s="241">
        <v>583.20209999999997</v>
      </c>
    </row>
    <row r="5679" spans="3:13" hidden="1" outlineLevel="1" x14ac:dyDescent="0.2">
      <c r="C5679" s="139">
        <v>82.099999999999625</v>
      </c>
      <c r="D5679" s="28">
        <f t="shared" si="169"/>
        <v>656.799999999997</v>
      </c>
      <c r="E5679" s="28">
        <f t="shared" si="170"/>
        <v>615.74999999999716</v>
      </c>
      <c r="F5679" s="28">
        <f t="shared" si="171"/>
        <v>597.74999999999716</v>
      </c>
      <c r="G5679" s="28">
        <f t="shared" si="172"/>
        <v>541.01990000000001</v>
      </c>
      <c r="H5679" s="28">
        <f t="shared" si="173"/>
        <v>570.1019</v>
      </c>
      <c r="I5679" s="28">
        <f t="shared" si="174"/>
        <v>584.21249999999998</v>
      </c>
      <c r="J5679" s="28">
        <f t="shared" si="175"/>
        <v>595.06200000000001</v>
      </c>
      <c r="K5679" s="28">
        <f t="shared" si="176"/>
        <v>613.40419999999995</v>
      </c>
      <c r="L5679" s="4"/>
      <c r="M5679" s="241">
        <v>584.21249999999998</v>
      </c>
    </row>
    <row r="5680" spans="3:13" hidden="1" outlineLevel="1" x14ac:dyDescent="0.2">
      <c r="C5680" s="139">
        <v>82.199999999999619</v>
      </c>
      <c r="D5680" s="28">
        <f t="shared" si="169"/>
        <v>657.59999999999695</v>
      </c>
      <c r="E5680" s="28">
        <f t="shared" si="170"/>
        <v>616.49999999999716</v>
      </c>
      <c r="F5680" s="28">
        <f t="shared" si="171"/>
        <v>598.49999999999716</v>
      </c>
      <c r="G5680" s="28">
        <f t="shared" si="172"/>
        <v>541.98080000000004</v>
      </c>
      <c r="H5680" s="28">
        <f t="shared" si="173"/>
        <v>571.09339999999997</v>
      </c>
      <c r="I5680" s="28">
        <f t="shared" si="174"/>
        <v>585.22310000000004</v>
      </c>
      <c r="J5680" s="28">
        <f t="shared" si="175"/>
        <v>596.08609999999999</v>
      </c>
      <c r="K5680" s="28">
        <f t="shared" si="176"/>
        <v>614.45169999999996</v>
      </c>
      <c r="L5680" s="4"/>
      <c r="M5680" s="241">
        <v>585.22310000000004</v>
      </c>
    </row>
    <row r="5681" spans="3:13" hidden="1" outlineLevel="1" x14ac:dyDescent="0.2">
      <c r="C5681" s="139">
        <v>82.299999999999613</v>
      </c>
      <c r="D5681" s="28">
        <f t="shared" si="169"/>
        <v>658.39999999999691</v>
      </c>
      <c r="E5681" s="28">
        <f t="shared" si="170"/>
        <v>617.24999999999704</v>
      </c>
      <c r="F5681" s="28">
        <f t="shared" si="171"/>
        <v>599.24999999999704</v>
      </c>
      <c r="G5681" s="28">
        <f t="shared" si="172"/>
        <v>542.94200000000001</v>
      </c>
      <c r="H5681" s="28">
        <f t="shared" si="173"/>
        <v>572.08489999999995</v>
      </c>
      <c r="I5681" s="28">
        <f t="shared" si="174"/>
        <v>586.22910000000002</v>
      </c>
      <c r="J5681" s="28">
        <f t="shared" si="175"/>
        <v>597.11030000000005</v>
      </c>
      <c r="K5681" s="28">
        <f t="shared" si="176"/>
        <v>615.49929999999995</v>
      </c>
      <c r="L5681" s="4"/>
      <c r="M5681" s="241">
        <v>586.22910000000002</v>
      </c>
    </row>
    <row r="5682" spans="3:13" hidden="1" outlineLevel="1" x14ac:dyDescent="0.2">
      <c r="C5682" s="139">
        <v>82.399999999999608</v>
      </c>
      <c r="D5682" s="28">
        <f t="shared" si="169"/>
        <v>659.19999999999686</v>
      </c>
      <c r="E5682" s="28">
        <f t="shared" si="170"/>
        <v>617.99999999999704</v>
      </c>
      <c r="F5682" s="28">
        <f t="shared" si="171"/>
        <v>599.99999999999704</v>
      </c>
      <c r="G5682" s="28">
        <f t="shared" si="172"/>
        <v>542.94200000000001</v>
      </c>
      <c r="H5682" s="28">
        <f t="shared" si="173"/>
        <v>572.08489999999995</v>
      </c>
      <c r="I5682" s="28">
        <f t="shared" si="174"/>
        <v>586.22910000000002</v>
      </c>
      <c r="J5682" s="28">
        <f t="shared" si="175"/>
        <v>597.11030000000005</v>
      </c>
      <c r="K5682" s="28">
        <f t="shared" si="176"/>
        <v>615.49929999999995</v>
      </c>
      <c r="L5682" s="4"/>
      <c r="M5682" s="241">
        <v>586.22910000000002</v>
      </c>
    </row>
    <row r="5683" spans="3:13" hidden="1" outlineLevel="1" x14ac:dyDescent="0.2">
      <c r="C5683" s="139">
        <v>82.499999999999602</v>
      </c>
      <c r="D5683" s="28">
        <f t="shared" si="169"/>
        <v>659.99999999999682</v>
      </c>
      <c r="E5683" s="28">
        <f t="shared" si="170"/>
        <v>618.74999999999704</v>
      </c>
      <c r="F5683" s="28">
        <f t="shared" si="171"/>
        <v>600.74999999999704</v>
      </c>
      <c r="G5683" s="28">
        <f t="shared" si="172"/>
        <v>543.89880000000005</v>
      </c>
      <c r="H5683" s="28">
        <f t="shared" si="173"/>
        <v>573.07659999999998</v>
      </c>
      <c r="I5683" s="28">
        <f t="shared" si="174"/>
        <v>587.23979999999995</v>
      </c>
      <c r="J5683" s="28">
        <f t="shared" si="175"/>
        <v>598.13459999999998</v>
      </c>
      <c r="K5683" s="28">
        <f t="shared" si="176"/>
        <v>616.54700000000003</v>
      </c>
      <c r="L5683" s="4"/>
      <c r="M5683" s="241">
        <v>587.23979999999995</v>
      </c>
    </row>
    <row r="5684" spans="3:13" hidden="1" outlineLevel="1" x14ac:dyDescent="0.2">
      <c r="C5684" s="139">
        <v>82.599999999999596</v>
      </c>
      <c r="D5684" s="28">
        <f t="shared" si="169"/>
        <v>660.79999999999677</v>
      </c>
      <c r="E5684" s="28">
        <f t="shared" si="170"/>
        <v>619.49999999999693</v>
      </c>
      <c r="F5684" s="28">
        <f t="shared" si="171"/>
        <v>601.49999999999693</v>
      </c>
      <c r="G5684" s="28">
        <f t="shared" si="172"/>
        <v>544.86030000000005</v>
      </c>
      <c r="H5684" s="28">
        <f t="shared" si="173"/>
        <v>574.0684</v>
      </c>
      <c r="I5684" s="28">
        <f t="shared" si="174"/>
        <v>588.25070000000005</v>
      </c>
      <c r="J5684" s="28">
        <f t="shared" si="175"/>
        <v>599.15440000000001</v>
      </c>
      <c r="K5684" s="28">
        <f t="shared" si="176"/>
        <v>617.59479999999996</v>
      </c>
      <c r="L5684" s="4"/>
      <c r="M5684" s="241">
        <v>588.25070000000005</v>
      </c>
    </row>
    <row r="5685" spans="3:13" hidden="1" outlineLevel="1" x14ac:dyDescent="0.2">
      <c r="C5685" s="139">
        <v>82.699999999999591</v>
      </c>
      <c r="D5685" s="28">
        <f t="shared" si="169"/>
        <v>661.59999999999673</v>
      </c>
      <c r="E5685" s="28">
        <f t="shared" si="170"/>
        <v>620.24999999999693</v>
      </c>
      <c r="F5685" s="28">
        <f t="shared" si="171"/>
        <v>602.24999999999693</v>
      </c>
      <c r="G5685" s="28">
        <f t="shared" si="172"/>
        <v>545.81740000000002</v>
      </c>
      <c r="H5685" s="28">
        <f t="shared" si="173"/>
        <v>575.06039999999996</v>
      </c>
      <c r="I5685" s="28">
        <f t="shared" si="174"/>
        <v>589.25699999999995</v>
      </c>
      <c r="J5685" s="28">
        <f t="shared" si="175"/>
        <v>600.1789</v>
      </c>
      <c r="K5685" s="28">
        <f t="shared" si="176"/>
        <v>618.64760000000001</v>
      </c>
      <c r="L5685" s="4"/>
      <c r="M5685" s="241">
        <v>589.25699999999995</v>
      </c>
    </row>
    <row r="5686" spans="3:13" hidden="1" outlineLevel="1" x14ac:dyDescent="0.2">
      <c r="C5686" s="139">
        <v>82.799999999999585</v>
      </c>
      <c r="D5686" s="28">
        <f t="shared" si="169"/>
        <v>662.39999999999668</v>
      </c>
      <c r="E5686" s="28">
        <f t="shared" si="170"/>
        <v>620.99999999999693</v>
      </c>
      <c r="F5686" s="28">
        <f t="shared" si="171"/>
        <v>602.99999999999693</v>
      </c>
      <c r="G5686" s="28">
        <f t="shared" si="172"/>
        <v>545.81740000000002</v>
      </c>
      <c r="H5686" s="28">
        <f t="shared" si="173"/>
        <v>575.06039999999996</v>
      </c>
      <c r="I5686" s="28">
        <f t="shared" si="174"/>
        <v>589.25699999999995</v>
      </c>
      <c r="J5686" s="28">
        <f t="shared" si="175"/>
        <v>600.1789</v>
      </c>
      <c r="K5686" s="28">
        <f t="shared" si="176"/>
        <v>618.64760000000001</v>
      </c>
      <c r="L5686" s="4"/>
      <c r="M5686" s="241">
        <v>589.25699999999995</v>
      </c>
    </row>
    <row r="5687" spans="3:13" hidden="1" outlineLevel="1" x14ac:dyDescent="0.2">
      <c r="C5687" s="139">
        <v>82.899999999999579</v>
      </c>
      <c r="D5687" s="28">
        <f t="shared" si="169"/>
        <v>663.19999999999663</v>
      </c>
      <c r="E5687" s="28">
        <f t="shared" si="170"/>
        <v>621.74999999999682</v>
      </c>
      <c r="F5687" s="28">
        <f t="shared" si="171"/>
        <v>603.74999999999682</v>
      </c>
      <c r="G5687" s="28">
        <f t="shared" si="172"/>
        <v>546.77930000000003</v>
      </c>
      <c r="H5687" s="28">
        <f t="shared" si="173"/>
        <v>576.05240000000003</v>
      </c>
      <c r="I5687" s="28">
        <f t="shared" si="174"/>
        <v>590.26800000000003</v>
      </c>
      <c r="J5687" s="28">
        <f t="shared" si="175"/>
        <v>601.20349999999996</v>
      </c>
      <c r="K5687" s="28">
        <f t="shared" si="176"/>
        <v>619.69550000000004</v>
      </c>
      <c r="L5687" s="4"/>
      <c r="M5687" s="241">
        <v>590.26800000000003</v>
      </c>
    </row>
    <row r="5688" spans="3:13" hidden="1" outlineLevel="1" x14ac:dyDescent="0.2">
      <c r="C5688" s="139">
        <v>82.999999999999574</v>
      </c>
      <c r="D5688" s="28">
        <f t="shared" si="169"/>
        <v>663.99999999999659</v>
      </c>
      <c r="E5688" s="28">
        <f t="shared" si="170"/>
        <v>622.49999999999682</v>
      </c>
      <c r="F5688" s="28">
        <f t="shared" si="171"/>
        <v>604.49999999999682</v>
      </c>
      <c r="G5688" s="28">
        <f t="shared" si="172"/>
        <v>547.73670000000004</v>
      </c>
      <c r="H5688" s="28">
        <f t="shared" si="173"/>
        <v>577.04459999999995</v>
      </c>
      <c r="I5688" s="28">
        <f t="shared" si="174"/>
        <v>591.27459999999996</v>
      </c>
      <c r="J5688" s="28">
        <f t="shared" si="175"/>
        <v>602.22360000000003</v>
      </c>
      <c r="K5688" s="28">
        <f t="shared" si="176"/>
        <v>620.74350000000004</v>
      </c>
      <c r="L5688" s="4"/>
      <c r="M5688" s="241">
        <v>591.27459999999996</v>
      </c>
    </row>
    <row r="5689" spans="3:13" hidden="1" outlineLevel="1" x14ac:dyDescent="0.2">
      <c r="C5689" s="139">
        <v>83.099999999999568</v>
      </c>
      <c r="D5689" s="28">
        <f t="shared" si="169"/>
        <v>664.79999999999654</v>
      </c>
      <c r="E5689" s="28">
        <f t="shared" si="170"/>
        <v>623.24999999999682</v>
      </c>
      <c r="F5689" s="28">
        <f t="shared" si="171"/>
        <v>605.24999999999682</v>
      </c>
      <c r="G5689" s="28">
        <f t="shared" si="172"/>
        <v>548.69899999999996</v>
      </c>
      <c r="H5689" s="28">
        <f t="shared" si="173"/>
        <v>578.03689999999995</v>
      </c>
      <c r="I5689" s="28">
        <f t="shared" si="174"/>
        <v>592.28579999999999</v>
      </c>
      <c r="J5689" s="28">
        <f t="shared" si="175"/>
        <v>603.24829999999997</v>
      </c>
      <c r="K5689" s="28">
        <f t="shared" si="176"/>
        <v>621.79150000000004</v>
      </c>
      <c r="L5689" s="4"/>
      <c r="M5689" s="241">
        <v>592.28579999999999</v>
      </c>
    </row>
    <row r="5690" spans="3:13" hidden="1" outlineLevel="1" x14ac:dyDescent="0.2">
      <c r="C5690" s="139">
        <v>83.199999999999562</v>
      </c>
      <c r="D5690" s="28">
        <f t="shared" si="169"/>
        <v>665.5999999999965</v>
      </c>
      <c r="E5690" s="28">
        <f t="shared" si="170"/>
        <v>623.9999999999967</v>
      </c>
      <c r="F5690" s="28">
        <f t="shared" si="171"/>
        <v>605.9999999999967</v>
      </c>
      <c r="G5690" s="28">
        <f t="shared" si="172"/>
        <v>548.69899999999996</v>
      </c>
      <c r="H5690" s="28">
        <f t="shared" si="173"/>
        <v>578.03689999999995</v>
      </c>
      <c r="I5690" s="28">
        <f t="shared" si="174"/>
        <v>592.28579999999999</v>
      </c>
      <c r="J5690" s="28">
        <f t="shared" si="175"/>
        <v>603.24829999999997</v>
      </c>
      <c r="K5690" s="28">
        <f t="shared" si="176"/>
        <v>621.79150000000004</v>
      </c>
      <c r="L5690" s="4"/>
      <c r="M5690" s="241">
        <v>592.28579999999999</v>
      </c>
    </row>
    <row r="5691" spans="3:13" hidden="1" outlineLevel="1" x14ac:dyDescent="0.2">
      <c r="C5691" s="139">
        <v>83.299999999999557</v>
      </c>
      <c r="D5691" s="28">
        <f t="shared" ref="D5691:D5754" si="177">C5691*Channels.per.TRX</f>
        <v>666.39999999999645</v>
      </c>
      <c r="E5691" s="28">
        <f t="shared" ref="E5691:E5754" si="178">D5691-C5691*sig.channel.per.TRX</f>
        <v>624.7499999999967</v>
      </c>
      <c r="F5691" s="28">
        <f t="shared" ref="F5691:F5754" si="179">MAX(0,E5691-GPRS.channel.per.sector)</f>
        <v>606.7499999999967</v>
      </c>
      <c r="G5691" s="28">
        <f t="shared" ref="G5691:G5754" si="180">INDEX(D$10:D$4326,MATCH($F5691,$C$10:$C$4326,1))</f>
        <v>549.65679999999998</v>
      </c>
      <c r="H5691" s="28">
        <f t="shared" ref="H5691:H5754" si="181">INDEX(E$10:E$4326,MATCH($F5691,$C$10:$C$4326,1))</f>
        <v>579.02930000000003</v>
      </c>
      <c r="I5691" s="28">
        <f t="shared" ref="I5691:I5754" si="182">INDEX(F$10:F$4326,MATCH($F5691,$C$10:$C$4326,1))</f>
        <v>593.29250000000002</v>
      </c>
      <c r="J5691" s="28">
        <f t="shared" ref="J5691:J5754" si="183">INDEX(G$10:G$4326,MATCH($F5691,$C$10:$C$4326,1))</f>
        <v>604.27319999999997</v>
      </c>
      <c r="K5691" s="28">
        <f t="shared" ref="K5691:K5754" si="184">INDEX(H$10:H$4326,MATCH($F5691,$C$10:$C$4326,1))</f>
        <v>622.83960000000002</v>
      </c>
      <c r="L5691" s="4"/>
      <c r="M5691" s="241">
        <v>593.29250000000002</v>
      </c>
    </row>
    <row r="5692" spans="3:13" hidden="1" outlineLevel="1" x14ac:dyDescent="0.2">
      <c r="C5692" s="139">
        <v>83.399999999999551</v>
      </c>
      <c r="D5692" s="28">
        <f t="shared" si="177"/>
        <v>667.19999999999641</v>
      </c>
      <c r="E5692" s="28">
        <f t="shared" si="178"/>
        <v>625.49999999999659</v>
      </c>
      <c r="F5692" s="28">
        <f t="shared" si="179"/>
        <v>607.49999999999659</v>
      </c>
      <c r="G5692" s="28">
        <f t="shared" si="180"/>
        <v>550.61940000000004</v>
      </c>
      <c r="H5692" s="28">
        <f t="shared" si="181"/>
        <v>580.0172</v>
      </c>
      <c r="I5692" s="28">
        <f t="shared" si="182"/>
        <v>594.30399999999997</v>
      </c>
      <c r="J5692" s="28">
        <f t="shared" si="183"/>
        <v>605.29349999999999</v>
      </c>
      <c r="K5692" s="28">
        <f t="shared" si="184"/>
        <v>623.88779999999997</v>
      </c>
      <c r="L5692" s="4"/>
      <c r="M5692" s="241">
        <v>594.30399999999997</v>
      </c>
    </row>
    <row r="5693" spans="3:13" hidden="1" outlineLevel="1" x14ac:dyDescent="0.2">
      <c r="C5693" s="139">
        <v>83.499999999999545</v>
      </c>
      <c r="D5693" s="28">
        <f t="shared" si="177"/>
        <v>667.99999999999636</v>
      </c>
      <c r="E5693" s="28">
        <f t="shared" si="178"/>
        <v>626.24999999999659</v>
      </c>
      <c r="F5693" s="28">
        <f t="shared" si="179"/>
        <v>608.24999999999659</v>
      </c>
      <c r="G5693" s="28">
        <f t="shared" si="180"/>
        <v>551.57749999999999</v>
      </c>
      <c r="H5693" s="28">
        <f t="shared" si="181"/>
        <v>581.00990000000002</v>
      </c>
      <c r="I5693" s="28">
        <f t="shared" si="182"/>
        <v>595.31089999999995</v>
      </c>
      <c r="J5693" s="28">
        <f t="shared" si="183"/>
        <v>606.31849999999997</v>
      </c>
      <c r="K5693" s="28">
        <f t="shared" si="184"/>
        <v>624.93600000000004</v>
      </c>
      <c r="L5693" s="4"/>
      <c r="M5693" s="241">
        <v>595.31089999999995</v>
      </c>
    </row>
    <row r="5694" spans="3:13" hidden="1" outlineLevel="1" x14ac:dyDescent="0.2">
      <c r="C5694" s="139">
        <v>83.59999999999954</v>
      </c>
      <c r="D5694" s="28">
        <f t="shared" si="177"/>
        <v>668.79999999999632</v>
      </c>
      <c r="E5694" s="28">
        <f t="shared" si="178"/>
        <v>626.99999999999659</v>
      </c>
      <c r="F5694" s="28">
        <f t="shared" si="179"/>
        <v>608.99999999999659</v>
      </c>
      <c r="G5694" s="28">
        <f t="shared" si="180"/>
        <v>551.57749999999999</v>
      </c>
      <c r="H5694" s="28">
        <f t="shared" si="181"/>
        <v>581.00990000000002</v>
      </c>
      <c r="I5694" s="28">
        <f t="shared" si="182"/>
        <v>595.31089999999995</v>
      </c>
      <c r="J5694" s="28">
        <f t="shared" si="183"/>
        <v>606.31849999999997</v>
      </c>
      <c r="K5694" s="28">
        <f t="shared" si="184"/>
        <v>624.93600000000004</v>
      </c>
      <c r="L5694" s="4"/>
      <c r="M5694" s="241">
        <v>595.31089999999995</v>
      </c>
    </row>
    <row r="5695" spans="3:13" hidden="1" outlineLevel="1" x14ac:dyDescent="0.2">
      <c r="C5695" s="139">
        <v>83.699999999999534</v>
      </c>
      <c r="D5695" s="28">
        <f t="shared" si="177"/>
        <v>669.59999999999627</v>
      </c>
      <c r="E5695" s="28">
        <f t="shared" si="178"/>
        <v>627.74999999999648</v>
      </c>
      <c r="F5695" s="28">
        <f t="shared" si="179"/>
        <v>609.74999999999648</v>
      </c>
      <c r="G5695" s="28">
        <f t="shared" si="180"/>
        <v>552.54049999999995</v>
      </c>
      <c r="H5695" s="28">
        <f t="shared" si="181"/>
        <v>582.0027</v>
      </c>
      <c r="I5695" s="28">
        <f t="shared" si="182"/>
        <v>596.32259999999997</v>
      </c>
      <c r="J5695" s="28">
        <f t="shared" si="183"/>
        <v>607.33889999999997</v>
      </c>
      <c r="K5695" s="28">
        <f t="shared" si="184"/>
        <v>625.98429999999996</v>
      </c>
      <c r="L5695" s="4"/>
      <c r="M5695" s="241">
        <v>596.32259999999997</v>
      </c>
    </row>
    <row r="5696" spans="3:13" hidden="1" outlineLevel="1" x14ac:dyDescent="0.2">
      <c r="C5696" s="139">
        <v>83.799999999999528</v>
      </c>
      <c r="D5696" s="28">
        <f t="shared" si="177"/>
        <v>670.39999999999623</v>
      </c>
      <c r="E5696" s="28">
        <f t="shared" si="178"/>
        <v>628.49999999999648</v>
      </c>
      <c r="F5696" s="28">
        <f t="shared" si="179"/>
        <v>610.49999999999648</v>
      </c>
      <c r="G5696" s="28">
        <f t="shared" si="180"/>
        <v>553.49900000000002</v>
      </c>
      <c r="H5696" s="28">
        <f t="shared" si="181"/>
        <v>582.99559999999997</v>
      </c>
      <c r="I5696" s="28">
        <f t="shared" si="182"/>
        <v>597.3297</v>
      </c>
      <c r="J5696" s="28">
        <f t="shared" si="183"/>
        <v>608.36410000000001</v>
      </c>
      <c r="K5696" s="28">
        <f t="shared" si="184"/>
        <v>627.03269999999998</v>
      </c>
      <c r="L5696" s="4"/>
      <c r="M5696" s="241">
        <v>597.3297</v>
      </c>
    </row>
    <row r="5697" spans="3:13" hidden="1" outlineLevel="1" x14ac:dyDescent="0.2">
      <c r="C5697" s="139">
        <v>83.899999999999523</v>
      </c>
      <c r="D5697" s="28">
        <f t="shared" si="177"/>
        <v>671.19999999999618</v>
      </c>
      <c r="E5697" s="28">
        <f t="shared" si="178"/>
        <v>629.24999999999636</v>
      </c>
      <c r="F5697" s="28">
        <f t="shared" si="179"/>
        <v>611.24999999999636</v>
      </c>
      <c r="G5697" s="28">
        <f t="shared" si="180"/>
        <v>554.45759999999996</v>
      </c>
      <c r="H5697" s="28">
        <f t="shared" si="181"/>
        <v>583.98860000000002</v>
      </c>
      <c r="I5697" s="28">
        <f t="shared" si="182"/>
        <v>598.3415</v>
      </c>
      <c r="J5697" s="28">
        <f t="shared" si="183"/>
        <v>609.38940000000002</v>
      </c>
      <c r="K5697" s="28">
        <f t="shared" si="184"/>
        <v>628.08109999999999</v>
      </c>
      <c r="L5697" s="4"/>
      <c r="M5697" s="241">
        <v>598.3415</v>
      </c>
    </row>
    <row r="5698" spans="3:13" hidden="1" outlineLevel="1" x14ac:dyDescent="0.2">
      <c r="C5698" s="139">
        <v>83.999999999999517</v>
      </c>
      <c r="D5698" s="28">
        <f t="shared" si="177"/>
        <v>671.99999999999613</v>
      </c>
      <c r="E5698" s="28">
        <f t="shared" si="178"/>
        <v>629.99999999999636</v>
      </c>
      <c r="F5698" s="28">
        <f t="shared" si="179"/>
        <v>611.99999999999636</v>
      </c>
      <c r="G5698" s="28">
        <f t="shared" si="180"/>
        <v>554.45759999999996</v>
      </c>
      <c r="H5698" s="28">
        <f t="shared" si="181"/>
        <v>583.98860000000002</v>
      </c>
      <c r="I5698" s="28">
        <f t="shared" si="182"/>
        <v>598.3415</v>
      </c>
      <c r="J5698" s="28">
        <f t="shared" si="183"/>
        <v>609.38940000000002</v>
      </c>
      <c r="K5698" s="28">
        <f t="shared" si="184"/>
        <v>628.08109999999999</v>
      </c>
      <c r="L5698" s="4"/>
      <c r="M5698" s="241">
        <v>598.3415</v>
      </c>
    </row>
    <row r="5699" spans="3:13" hidden="1" outlineLevel="1" x14ac:dyDescent="0.2">
      <c r="C5699" s="139">
        <v>84.099999999999511</v>
      </c>
      <c r="D5699" s="28">
        <f t="shared" si="177"/>
        <v>672.79999999999609</v>
      </c>
      <c r="E5699" s="28">
        <f t="shared" si="178"/>
        <v>630.74999999999636</v>
      </c>
      <c r="F5699" s="28">
        <f t="shared" si="179"/>
        <v>612.74999999999636</v>
      </c>
      <c r="G5699" s="28">
        <f t="shared" si="180"/>
        <v>555.42110000000002</v>
      </c>
      <c r="H5699" s="28">
        <f t="shared" si="181"/>
        <v>584.97709999999995</v>
      </c>
      <c r="I5699" s="28">
        <f t="shared" si="182"/>
        <v>599.34879999999998</v>
      </c>
      <c r="J5699" s="28">
        <f t="shared" si="183"/>
        <v>610.41010000000006</v>
      </c>
      <c r="K5699" s="28">
        <f t="shared" si="184"/>
        <v>629.12959999999998</v>
      </c>
      <c r="L5699" s="4"/>
      <c r="M5699" s="241">
        <v>599.34879999999998</v>
      </c>
    </row>
    <row r="5700" spans="3:13" hidden="1" outlineLevel="1" x14ac:dyDescent="0.2">
      <c r="C5700" s="139">
        <v>84.199999999999505</v>
      </c>
      <c r="D5700" s="28">
        <f t="shared" si="177"/>
        <v>673.59999999999604</v>
      </c>
      <c r="E5700" s="28">
        <f t="shared" si="178"/>
        <v>631.49999999999625</v>
      </c>
      <c r="F5700" s="28">
        <f t="shared" si="179"/>
        <v>613.49999999999625</v>
      </c>
      <c r="G5700" s="28">
        <f t="shared" si="180"/>
        <v>556.38009999999997</v>
      </c>
      <c r="H5700" s="28">
        <f t="shared" si="181"/>
        <v>585.97029999999995</v>
      </c>
      <c r="I5700" s="28">
        <f t="shared" si="182"/>
        <v>600.35619999999994</v>
      </c>
      <c r="J5700" s="28">
        <f t="shared" si="183"/>
        <v>611.43560000000002</v>
      </c>
      <c r="K5700" s="28">
        <f t="shared" si="184"/>
        <v>630.17819999999995</v>
      </c>
      <c r="L5700" s="4"/>
      <c r="M5700" s="241">
        <v>600.35619999999994</v>
      </c>
    </row>
    <row r="5701" spans="3:13" hidden="1" outlineLevel="1" x14ac:dyDescent="0.2">
      <c r="C5701" s="139">
        <v>84.2999999999995</v>
      </c>
      <c r="D5701" s="28">
        <f t="shared" si="177"/>
        <v>674.399999999996</v>
      </c>
      <c r="E5701" s="28">
        <f t="shared" si="178"/>
        <v>632.24999999999625</v>
      </c>
      <c r="F5701" s="28">
        <f t="shared" si="179"/>
        <v>614.24999999999625</v>
      </c>
      <c r="G5701" s="28">
        <f t="shared" si="180"/>
        <v>557.33929999999998</v>
      </c>
      <c r="H5701" s="28">
        <f t="shared" si="181"/>
        <v>586.96370000000002</v>
      </c>
      <c r="I5701" s="28">
        <f t="shared" si="182"/>
        <v>601.36839999999995</v>
      </c>
      <c r="J5701" s="28">
        <f t="shared" si="183"/>
        <v>612.45650000000001</v>
      </c>
      <c r="K5701" s="28">
        <f t="shared" si="184"/>
        <v>631.22680000000003</v>
      </c>
      <c r="L5701" s="4"/>
      <c r="M5701" s="241">
        <v>601.36839999999995</v>
      </c>
    </row>
    <row r="5702" spans="3:13" hidden="1" outlineLevel="1" x14ac:dyDescent="0.2">
      <c r="C5702" s="139">
        <v>84.399999999999494</v>
      </c>
      <c r="D5702" s="28">
        <f t="shared" si="177"/>
        <v>675.19999999999595</v>
      </c>
      <c r="E5702" s="28">
        <f t="shared" si="178"/>
        <v>632.99999999999625</v>
      </c>
      <c r="F5702" s="28">
        <f t="shared" si="179"/>
        <v>614.99999999999625</v>
      </c>
      <c r="G5702" s="28">
        <f t="shared" si="180"/>
        <v>557.33929999999998</v>
      </c>
      <c r="H5702" s="28">
        <f t="shared" si="181"/>
        <v>586.96370000000002</v>
      </c>
      <c r="I5702" s="28">
        <f t="shared" si="182"/>
        <v>601.36839999999995</v>
      </c>
      <c r="J5702" s="28">
        <f t="shared" si="183"/>
        <v>612.45650000000001</v>
      </c>
      <c r="K5702" s="28">
        <f t="shared" si="184"/>
        <v>631.22680000000003</v>
      </c>
      <c r="L5702" s="4"/>
      <c r="M5702" s="241">
        <v>601.36839999999995</v>
      </c>
    </row>
    <row r="5703" spans="3:13" hidden="1" outlineLevel="1" x14ac:dyDescent="0.2">
      <c r="C5703" s="139">
        <v>84.499999999999488</v>
      </c>
      <c r="D5703" s="28">
        <f t="shared" si="177"/>
        <v>675.99999999999591</v>
      </c>
      <c r="E5703" s="28">
        <f t="shared" si="178"/>
        <v>633.74999999999613</v>
      </c>
      <c r="F5703" s="28">
        <f t="shared" si="179"/>
        <v>615.74999999999613</v>
      </c>
      <c r="G5703" s="28">
        <f t="shared" si="180"/>
        <v>558.29859999999996</v>
      </c>
      <c r="H5703" s="28">
        <f t="shared" si="181"/>
        <v>587.95719999999994</v>
      </c>
      <c r="I5703" s="28">
        <f t="shared" si="182"/>
        <v>602.37599999999998</v>
      </c>
      <c r="J5703" s="28">
        <f t="shared" si="183"/>
        <v>613.48209999999995</v>
      </c>
      <c r="K5703" s="28">
        <f t="shared" si="184"/>
        <v>632.27549999999997</v>
      </c>
      <c r="L5703" s="4"/>
      <c r="M5703" s="241">
        <v>602.37599999999998</v>
      </c>
    </row>
    <row r="5704" spans="3:13" hidden="1" outlineLevel="1" x14ac:dyDescent="0.2">
      <c r="C5704" s="139">
        <v>84.599999999999483</v>
      </c>
      <c r="D5704" s="28">
        <f t="shared" si="177"/>
        <v>676.79999999999586</v>
      </c>
      <c r="E5704" s="28">
        <f t="shared" si="178"/>
        <v>634.49999999999613</v>
      </c>
      <c r="F5704" s="28">
        <f t="shared" si="179"/>
        <v>616.49999999999613</v>
      </c>
      <c r="G5704" s="28">
        <f t="shared" si="180"/>
        <v>559.25810000000001</v>
      </c>
      <c r="H5704" s="28">
        <f t="shared" si="181"/>
        <v>588.9461</v>
      </c>
      <c r="I5704" s="28">
        <f t="shared" si="182"/>
        <v>603.38829999999996</v>
      </c>
      <c r="J5704" s="28">
        <f t="shared" si="183"/>
        <v>614.50310000000002</v>
      </c>
      <c r="K5704" s="28">
        <f t="shared" si="184"/>
        <v>633.32429999999999</v>
      </c>
      <c r="L5704" s="4"/>
      <c r="M5704" s="241">
        <v>603.38829999999996</v>
      </c>
    </row>
    <row r="5705" spans="3:13" hidden="1" outlineLevel="1" x14ac:dyDescent="0.2">
      <c r="C5705" s="139">
        <v>84.699999999999477</v>
      </c>
      <c r="D5705" s="28">
        <f t="shared" si="177"/>
        <v>677.59999999999582</v>
      </c>
      <c r="E5705" s="28">
        <f t="shared" si="178"/>
        <v>635.24999999999613</v>
      </c>
      <c r="F5705" s="28">
        <f t="shared" si="179"/>
        <v>617.24999999999613</v>
      </c>
      <c r="G5705" s="28">
        <f t="shared" si="180"/>
        <v>560.22249999999997</v>
      </c>
      <c r="H5705" s="28">
        <f t="shared" si="181"/>
        <v>589.93989999999997</v>
      </c>
      <c r="I5705" s="28">
        <f t="shared" si="182"/>
        <v>604.39610000000005</v>
      </c>
      <c r="J5705" s="28">
        <f t="shared" si="183"/>
        <v>615.529</v>
      </c>
      <c r="K5705" s="28">
        <f t="shared" si="184"/>
        <v>634.37310000000002</v>
      </c>
      <c r="L5705" s="4"/>
      <c r="M5705" s="241">
        <v>604.39610000000005</v>
      </c>
    </row>
    <row r="5706" spans="3:13" hidden="1" outlineLevel="1" x14ac:dyDescent="0.2">
      <c r="C5706" s="139">
        <v>84.799999999999471</v>
      </c>
      <c r="D5706" s="28">
        <f t="shared" si="177"/>
        <v>678.39999999999577</v>
      </c>
      <c r="E5706" s="28">
        <f t="shared" si="178"/>
        <v>635.99999999999602</v>
      </c>
      <c r="F5706" s="28">
        <f t="shared" si="179"/>
        <v>617.99999999999602</v>
      </c>
      <c r="G5706" s="28">
        <f t="shared" si="180"/>
        <v>560.22249999999997</v>
      </c>
      <c r="H5706" s="28">
        <f t="shared" si="181"/>
        <v>589.93989999999997</v>
      </c>
      <c r="I5706" s="28">
        <f t="shared" si="182"/>
        <v>604.39610000000005</v>
      </c>
      <c r="J5706" s="28">
        <f t="shared" si="183"/>
        <v>615.529</v>
      </c>
      <c r="K5706" s="28">
        <f t="shared" si="184"/>
        <v>634.37310000000002</v>
      </c>
      <c r="L5706" s="4"/>
      <c r="M5706" s="241">
        <v>604.39610000000005</v>
      </c>
    </row>
    <row r="5707" spans="3:13" hidden="1" outlineLevel="1" x14ac:dyDescent="0.2">
      <c r="C5707" s="139">
        <v>84.899999999999466</v>
      </c>
      <c r="D5707" s="28">
        <f t="shared" si="177"/>
        <v>679.19999999999573</v>
      </c>
      <c r="E5707" s="28">
        <f t="shared" si="178"/>
        <v>636.74999999999602</v>
      </c>
      <c r="F5707" s="28">
        <f t="shared" si="179"/>
        <v>618.74999999999602</v>
      </c>
      <c r="G5707" s="28">
        <f t="shared" si="180"/>
        <v>561.18230000000005</v>
      </c>
      <c r="H5707" s="28">
        <f t="shared" si="181"/>
        <v>590.93370000000004</v>
      </c>
      <c r="I5707" s="28">
        <f t="shared" si="182"/>
        <v>605.404</v>
      </c>
      <c r="J5707" s="28">
        <f t="shared" si="183"/>
        <v>616.55010000000004</v>
      </c>
      <c r="K5707" s="28">
        <f t="shared" si="184"/>
        <v>635.42200000000003</v>
      </c>
      <c r="L5707" s="4"/>
      <c r="M5707" s="241">
        <v>605.404</v>
      </c>
    </row>
    <row r="5708" spans="3:13" hidden="1" outlineLevel="1" x14ac:dyDescent="0.2">
      <c r="C5708" s="139">
        <v>84.99999999999946</v>
      </c>
      <c r="D5708" s="28">
        <f t="shared" si="177"/>
        <v>679.99999999999568</v>
      </c>
      <c r="E5708" s="28">
        <f t="shared" si="178"/>
        <v>637.49999999999591</v>
      </c>
      <c r="F5708" s="28">
        <f t="shared" si="179"/>
        <v>619.49999999999591</v>
      </c>
      <c r="G5708" s="28">
        <f t="shared" si="180"/>
        <v>562.14229999999998</v>
      </c>
      <c r="H5708" s="28">
        <f t="shared" si="181"/>
        <v>591.923</v>
      </c>
      <c r="I5708" s="28">
        <f t="shared" si="182"/>
        <v>606.41189999999995</v>
      </c>
      <c r="J5708" s="28">
        <f t="shared" si="183"/>
        <v>617.57140000000004</v>
      </c>
      <c r="K5708" s="28">
        <f t="shared" si="184"/>
        <v>636.471</v>
      </c>
      <c r="L5708" s="4"/>
      <c r="M5708" s="241">
        <v>606.41189999999995</v>
      </c>
    </row>
    <row r="5709" spans="3:13" hidden="1" outlineLevel="1" x14ac:dyDescent="0.2">
      <c r="C5709" s="139">
        <v>85.099999999999454</v>
      </c>
      <c r="D5709" s="28">
        <f t="shared" si="177"/>
        <v>680.79999999999563</v>
      </c>
      <c r="E5709" s="28">
        <f t="shared" si="178"/>
        <v>638.24999999999591</v>
      </c>
      <c r="F5709" s="28">
        <f t="shared" si="179"/>
        <v>620.24999999999591</v>
      </c>
      <c r="G5709" s="28">
        <f t="shared" si="180"/>
        <v>563.10249999999996</v>
      </c>
      <c r="H5709" s="28">
        <f t="shared" si="181"/>
        <v>592.9171</v>
      </c>
      <c r="I5709" s="28">
        <f t="shared" si="182"/>
        <v>607.42470000000003</v>
      </c>
      <c r="J5709" s="28">
        <f t="shared" si="183"/>
        <v>618.59749999999997</v>
      </c>
      <c r="K5709" s="28">
        <f t="shared" si="184"/>
        <v>637.52</v>
      </c>
      <c r="L5709" s="4"/>
      <c r="M5709" s="241">
        <v>607.42470000000003</v>
      </c>
    </row>
    <row r="5710" spans="3:13" hidden="1" outlineLevel="1" x14ac:dyDescent="0.2">
      <c r="C5710" s="139">
        <v>85.199999999999449</v>
      </c>
      <c r="D5710" s="28">
        <f t="shared" si="177"/>
        <v>681.59999999999559</v>
      </c>
      <c r="E5710" s="28">
        <f t="shared" si="178"/>
        <v>638.99999999999591</v>
      </c>
      <c r="F5710" s="28">
        <f t="shared" si="179"/>
        <v>620.99999999999591</v>
      </c>
      <c r="G5710" s="28">
        <f t="shared" si="180"/>
        <v>563.10249999999996</v>
      </c>
      <c r="H5710" s="28">
        <f t="shared" si="181"/>
        <v>592.9171</v>
      </c>
      <c r="I5710" s="28">
        <f t="shared" si="182"/>
        <v>607.42470000000003</v>
      </c>
      <c r="J5710" s="28">
        <f t="shared" si="183"/>
        <v>618.59749999999997</v>
      </c>
      <c r="K5710" s="28">
        <f t="shared" si="184"/>
        <v>637.52</v>
      </c>
      <c r="L5710" s="4"/>
      <c r="M5710" s="241">
        <v>607.42470000000003</v>
      </c>
    </row>
    <row r="5711" spans="3:13" hidden="1" outlineLevel="1" x14ac:dyDescent="0.2">
      <c r="C5711" s="139">
        <v>85.299999999999443</v>
      </c>
      <c r="D5711" s="28">
        <f t="shared" si="177"/>
        <v>682.39999999999554</v>
      </c>
      <c r="E5711" s="28">
        <f t="shared" si="178"/>
        <v>639.74999999999579</v>
      </c>
      <c r="F5711" s="28">
        <f t="shared" si="179"/>
        <v>621.74999999999579</v>
      </c>
      <c r="G5711" s="28">
        <f t="shared" si="180"/>
        <v>564.06280000000004</v>
      </c>
      <c r="H5711" s="28">
        <f t="shared" si="181"/>
        <v>593.90660000000003</v>
      </c>
      <c r="I5711" s="28">
        <f t="shared" si="182"/>
        <v>608.43280000000004</v>
      </c>
      <c r="J5711" s="28">
        <f t="shared" si="183"/>
        <v>619.61890000000005</v>
      </c>
      <c r="K5711" s="28">
        <f t="shared" si="184"/>
        <v>638.56910000000005</v>
      </c>
      <c r="L5711" s="4"/>
      <c r="M5711" s="241">
        <v>608.43280000000004</v>
      </c>
    </row>
    <row r="5712" spans="3:13" hidden="1" outlineLevel="1" x14ac:dyDescent="0.2">
      <c r="C5712" s="139">
        <v>85.399999999999437</v>
      </c>
      <c r="D5712" s="28">
        <f t="shared" si="177"/>
        <v>683.1999999999955</v>
      </c>
      <c r="E5712" s="28">
        <f t="shared" si="178"/>
        <v>640.49999999999579</v>
      </c>
      <c r="F5712" s="28">
        <f t="shared" si="179"/>
        <v>622.49999999999579</v>
      </c>
      <c r="G5712" s="28">
        <f t="shared" si="180"/>
        <v>565.02340000000004</v>
      </c>
      <c r="H5712" s="28">
        <f t="shared" si="181"/>
        <v>594.90089999999998</v>
      </c>
      <c r="I5712" s="28">
        <f t="shared" si="182"/>
        <v>609.44110000000001</v>
      </c>
      <c r="J5712" s="28">
        <f t="shared" si="183"/>
        <v>620.64520000000005</v>
      </c>
      <c r="K5712" s="28">
        <f t="shared" si="184"/>
        <v>639.61829999999998</v>
      </c>
      <c r="L5712" s="4"/>
      <c r="M5712" s="241">
        <v>609.44110000000001</v>
      </c>
    </row>
    <row r="5713" spans="3:13" hidden="1" outlineLevel="1" x14ac:dyDescent="0.2">
      <c r="C5713" s="139">
        <v>85.499999999999432</v>
      </c>
      <c r="D5713" s="28">
        <f t="shared" si="177"/>
        <v>683.99999999999545</v>
      </c>
      <c r="E5713" s="28">
        <f t="shared" si="178"/>
        <v>641.24999999999568</v>
      </c>
      <c r="F5713" s="28">
        <f t="shared" si="179"/>
        <v>623.24999999999568</v>
      </c>
      <c r="G5713" s="28">
        <f t="shared" si="180"/>
        <v>565.98400000000004</v>
      </c>
      <c r="H5713" s="28">
        <f t="shared" si="181"/>
        <v>595.89059999999995</v>
      </c>
      <c r="I5713" s="28">
        <f t="shared" si="182"/>
        <v>610.44939999999997</v>
      </c>
      <c r="J5713" s="28">
        <f t="shared" si="183"/>
        <v>621.66679999999997</v>
      </c>
      <c r="K5713" s="28">
        <f t="shared" si="184"/>
        <v>640.66229999999996</v>
      </c>
      <c r="L5713" s="4"/>
      <c r="M5713" s="241">
        <v>610.44939999999997</v>
      </c>
    </row>
    <row r="5714" spans="3:13" hidden="1" outlineLevel="1" x14ac:dyDescent="0.2">
      <c r="C5714" s="139">
        <v>85.599999999999426</v>
      </c>
      <c r="D5714" s="28">
        <f t="shared" si="177"/>
        <v>684.79999999999541</v>
      </c>
      <c r="E5714" s="28">
        <f t="shared" si="178"/>
        <v>641.99999999999568</v>
      </c>
      <c r="F5714" s="28">
        <f t="shared" si="179"/>
        <v>623.99999999999568</v>
      </c>
      <c r="G5714" s="28">
        <f t="shared" si="180"/>
        <v>565.98400000000004</v>
      </c>
      <c r="H5714" s="28">
        <f t="shared" si="181"/>
        <v>595.89059999999995</v>
      </c>
      <c r="I5714" s="28">
        <f t="shared" si="182"/>
        <v>610.44939999999997</v>
      </c>
      <c r="J5714" s="28">
        <f t="shared" si="183"/>
        <v>621.66679999999997</v>
      </c>
      <c r="K5714" s="28">
        <f t="shared" si="184"/>
        <v>640.66229999999996</v>
      </c>
      <c r="L5714" s="4"/>
      <c r="M5714" s="241">
        <v>610.44939999999997</v>
      </c>
    </row>
    <row r="5715" spans="3:13" hidden="1" outlineLevel="1" x14ac:dyDescent="0.2">
      <c r="C5715" s="139">
        <v>85.69999999999942</v>
      </c>
      <c r="D5715" s="28">
        <f t="shared" si="177"/>
        <v>685.59999999999536</v>
      </c>
      <c r="E5715" s="28">
        <f t="shared" si="178"/>
        <v>642.74999999999568</v>
      </c>
      <c r="F5715" s="28">
        <f t="shared" si="179"/>
        <v>624.74999999999568</v>
      </c>
      <c r="G5715" s="28">
        <f t="shared" si="180"/>
        <v>566.94489999999996</v>
      </c>
      <c r="H5715" s="28">
        <f t="shared" si="181"/>
        <v>596.88520000000005</v>
      </c>
      <c r="I5715" s="28">
        <f t="shared" si="182"/>
        <v>611.46259999999995</v>
      </c>
      <c r="J5715" s="28">
        <f t="shared" si="183"/>
        <v>622.6884</v>
      </c>
      <c r="K5715" s="28">
        <f t="shared" si="184"/>
        <v>641.71159999999998</v>
      </c>
      <c r="L5715" s="4"/>
      <c r="M5715" s="241">
        <v>611.46259999999995</v>
      </c>
    </row>
    <row r="5716" spans="3:13" hidden="1" outlineLevel="1" x14ac:dyDescent="0.2">
      <c r="C5716" s="139">
        <v>85.799999999999415</v>
      </c>
      <c r="D5716" s="28">
        <f t="shared" si="177"/>
        <v>686.39999999999532</v>
      </c>
      <c r="E5716" s="28">
        <f t="shared" si="178"/>
        <v>643.49999999999557</v>
      </c>
      <c r="F5716" s="28">
        <f t="shared" si="179"/>
        <v>625.49999999999557</v>
      </c>
      <c r="G5716" s="28">
        <f t="shared" si="180"/>
        <v>567.90589999999997</v>
      </c>
      <c r="H5716" s="28">
        <f t="shared" si="181"/>
        <v>597.87509999999997</v>
      </c>
      <c r="I5716" s="28">
        <f t="shared" si="182"/>
        <v>612.47109999999998</v>
      </c>
      <c r="J5716" s="28">
        <f t="shared" si="183"/>
        <v>623.71489999999994</v>
      </c>
      <c r="K5716" s="28">
        <f t="shared" si="184"/>
        <v>642.76099999999997</v>
      </c>
      <c r="L5716" s="4"/>
      <c r="M5716" s="241">
        <v>612.47109999999998</v>
      </c>
    </row>
    <row r="5717" spans="3:13" hidden="1" outlineLevel="1" x14ac:dyDescent="0.2">
      <c r="C5717" s="139">
        <v>85.899999999999409</v>
      </c>
      <c r="D5717" s="28">
        <f t="shared" si="177"/>
        <v>687.19999999999527</v>
      </c>
      <c r="E5717" s="28">
        <f t="shared" si="178"/>
        <v>644.24999999999557</v>
      </c>
      <c r="F5717" s="28">
        <f t="shared" si="179"/>
        <v>626.24999999999557</v>
      </c>
      <c r="G5717" s="28">
        <f t="shared" si="180"/>
        <v>568.86710000000005</v>
      </c>
      <c r="H5717" s="28">
        <f t="shared" si="181"/>
        <v>598.86990000000003</v>
      </c>
      <c r="I5717" s="28">
        <f t="shared" si="182"/>
        <v>613.47969999999998</v>
      </c>
      <c r="J5717" s="28">
        <f t="shared" si="183"/>
        <v>624.73670000000004</v>
      </c>
      <c r="K5717" s="28">
        <f t="shared" si="184"/>
        <v>643.81039999999996</v>
      </c>
      <c r="L5717" s="4"/>
      <c r="M5717" s="241">
        <v>613.47969999999998</v>
      </c>
    </row>
    <row r="5718" spans="3:13" hidden="1" outlineLevel="1" x14ac:dyDescent="0.2">
      <c r="C5718" s="139">
        <v>85.999999999999403</v>
      </c>
      <c r="D5718" s="28">
        <f t="shared" si="177"/>
        <v>687.99999999999523</v>
      </c>
      <c r="E5718" s="28">
        <f t="shared" si="178"/>
        <v>644.99999999999557</v>
      </c>
      <c r="F5718" s="28">
        <f t="shared" si="179"/>
        <v>626.99999999999557</v>
      </c>
      <c r="G5718" s="28">
        <f t="shared" si="180"/>
        <v>568.86710000000005</v>
      </c>
      <c r="H5718" s="28">
        <f t="shared" si="181"/>
        <v>598.86990000000003</v>
      </c>
      <c r="I5718" s="28">
        <f t="shared" si="182"/>
        <v>613.47969999999998</v>
      </c>
      <c r="J5718" s="28">
        <f t="shared" si="183"/>
        <v>624.73670000000004</v>
      </c>
      <c r="K5718" s="28">
        <f t="shared" si="184"/>
        <v>643.81039999999996</v>
      </c>
      <c r="L5718" s="4"/>
      <c r="M5718" s="241">
        <v>613.47969999999998</v>
      </c>
    </row>
    <row r="5719" spans="3:13" hidden="1" outlineLevel="1" x14ac:dyDescent="0.2">
      <c r="C5719" s="139">
        <v>86.099999999999397</v>
      </c>
      <c r="D5719" s="28">
        <f t="shared" si="177"/>
        <v>688.79999999999518</v>
      </c>
      <c r="E5719" s="28">
        <f t="shared" si="178"/>
        <v>645.74999999999545</v>
      </c>
      <c r="F5719" s="28">
        <f t="shared" si="179"/>
        <v>627.74999999999545</v>
      </c>
      <c r="G5719" s="28">
        <f t="shared" si="180"/>
        <v>569.82839999999999</v>
      </c>
      <c r="H5719" s="28">
        <f t="shared" si="181"/>
        <v>599.86009999999999</v>
      </c>
      <c r="I5719" s="28">
        <f t="shared" si="182"/>
        <v>614.48839999999996</v>
      </c>
      <c r="J5719" s="28">
        <f t="shared" si="183"/>
        <v>625.7586</v>
      </c>
      <c r="K5719" s="28">
        <f t="shared" si="184"/>
        <v>644.85990000000004</v>
      </c>
      <c r="L5719" s="4"/>
      <c r="M5719" s="241">
        <v>614.48839999999996</v>
      </c>
    </row>
    <row r="5720" spans="3:13" hidden="1" outlineLevel="1" x14ac:dyDescent="0.2">
      <c r="C5720" s="139">
        <v>86.199999999999392</v>
      </c>
      <c r="D5720" s="28">
        <f t="shared" si="177"/>
        <v>689.59999999999513</v>
      </c>
      <c r="E5720" s="28">
        <f t="shared" si="178"/>
        <v>646.49999999999545</v>
      </c>
      <c r="F5720" s="28">
        <f t="shared" si="179"/>
        <v>628.49999999999545</v>
      </c>
      <c r="G5720" s="28">
        <f t="shared" si="180"/>
        <v>570.79</v>
      </c>
      <c r="H5720" s="28">
        <f t="shared" si="181"/>
        <v>600.85509999999999</v>
      </c>
      <c r="I5720" s="28">
        <f t="shared" si="182"/>
        <v>615.49720000000002</v>
      </c>
      <c r="J5720" s="28">
        <f t="shared" si="183"/>
        <v>626.78539999999998</v>
      </c>
      <c r="K5720" s="28">
        <f t="shared" si="184"/>
        <v>645.90949999999998</v>
      </c>
      <c r="L5720" s="4"/>
      <c r="M5720" s="241">
        <v>615.49720000000002</v>
      </c>
    </row>
    <row r="5721" spans="3:13" hidden="1" outlineLevel="1" x14ac:dyDescent="0.2">
      <c r="C5721" s="139">
        <v>86.299999999999386</v>
      </c>
      <c r="D5721" s="28">
        <f t="shared" si="177"/>
        <v>690.39999999999509</v>
      </c>
      <c r="E5721" s="28">
        <f t="shared" si="178"/>
        <v>647.24999999999545</v>
      </c>
      <c r="F5721" s="28">
        <f t="shared" si="179"/>
        <v>629.24999999999545</v>
      </c>
      <c r="G5721" s="28">
        <f t="shared" si="180"/>
        <v>571.74689999999998</v>
      </c>
      <c r="H5721" s="28">
        <f t="shared" si="181"/>
        <v>601.84550000000002</v>
      </c>
      <c r="I5721" s="28">
        <f t="shared" si="182"/>
        <v>616.50609999999995</v>
      </c>
      <c r="J5721" s="28">
        <f t="shared" si="183"/>
        <v>627.8075</v>
      </c>
      <c r="K5721" s="28">
        <f t="shared" si="184"/>
        <v>646.9538</v>
      </c>
      <c r="L5721" s="4"/>
      <c r="M5721" s="241">
        <v>616.50609999999995</v>
      </c>
    </row>
    <row r="5722" spans="3:13" hidden="1" outlineLevel="1" x14ac:dyDescent="0.2">
      <c r="C5722" s="139">
        <v>86.39999999999938</v>
      </c>
      <c r="D5722" s="28">
        <f t="shared" si="177"/>
        <v>691.19999999999504</v>
      </c>
      <c r="E5722" s="28">
        <f t="shared" si="178"/>
        <v>647.99999999999534</v>
      </c>
      <c r="F5722" s="28">
        <f t="shared" si="179"/>
        <v>629.99999999999534</v>
      </c>
      <c r="G5722" s="28">
        <f t="shared" si="180"/>
        <v>571.74689999999998</v>
      </c>
      <c r="H5722" s="28">
        <f t="shared" si="181"/>
        <v>601.84550000000002</v>
      </c>
      <c r="I5722" s="28">
        <f t="shared" si="182"/>
        <v>616.50609999999995</v>
      </c>
      <c r="J5722" s="28">
        <f t="shared" si="183"/>
        <v>627.8075</v>
      </c>
      <c r="K5722" s="28">
        <f t="shared" si="184"/>
        <v>646.9538</v>
      </c>
      <c r="L5722" s="4"/>
      <c r="M5722" s="241">
        <v>616.50609999999995</v>
      </c>
    </row>
    <row r="5723" spans="3:13" hidden="1" outlineLevel="1" x14ac:dyDescent="0.2">
      <c r="C5723" s="139">
        <v>86.499999999999375</v>
      </c>
      <c r="D5723" s="28">
        <f t="shared" si="177"/>
        <v>691.999999999995</v>
      </c>
      <c r="E5723" s="28">
        <f t="shared" si="178"/>
        <v>648.74999999999534</v>
      </c>
      <c r="F5723" s="28">
        <f t="shared" si="179"/>
        <v>630.74999999999534</v>
      </c>
      <c r="G5723" s="28">
        <f t="shared" si="180"/>
        <v>572.70870000000002</v>
      </c>
      <c r="H5723" s="28">
        <f t="shared" si="181"/>
        <v>602.84079999999994</v>
      </c>
      <c r="I5723" s="28">
        <f t="shared" si="182"/>
        <v>617.51509999999996</v>
      </c>
      <c r="J5723" s="28">
        <f t="shared" si="183"/>
        <v>628.82960000000003</v>
      </c>
      <c r="K5723" s="28">
        <f t="shared" si="184"/>
        <v>648.00350000000003</v>
      </c>
      <c r="L5723" s="4"/>
      <c r="M5723" s="241">
        <v>617.51509999999996</v>
      </c>
    </row>
    <row r="5724" spans="3:13" hidden="1" outlineLevel="1" x14ac:dyDescent="0.2">
      <c r="C5724" s="139">
        <v>86.599999999999369</v>
      </c>
      <c r="D5724" s="28">
        <f t="shared" si="177"/>
        <v>692.79999999999495</v>
      </c>
      <c r="E5724" s="28">
        <f t="shared" si="178"/>
        <v>649.49999999999523</v>
      </c>
      <c r="F5724" s="28">
        <f t="shared" si="179"/>
        <v>631.49999999999523</v>
      </c>
      <c r="G5724" s="28">
        <f t="shared" si="180"/>
        <v>573.67070000000001</v>
      </c>
      <c r="H5724" s="28">
        <f t="shared" si="181"/>
        <v>603.83140000000003</v>
      </c>
      <c r="I5724" s="28">
        <f t="shared" si="182"/>
        <v>618.52890000000002</v>
      </c>
      <c r="J5724" s="28">
        <f t="shared" si="183"/>
        <v>629.85659999999996</v>
      </c>
      <c r="K5724" s="28">
        <f t="shared" si="184"/>
        <v>649.05330000000004</v>
      </c>
      <c r="L5724" s="4"/>
      <c r="M5724" s="241">
        <v>618.52890000000002</v>
      </c>
    </row>
    <row r="5725" spans="3:13" hidden="1" outlineLevel="1" x14ac:dyDescent="0.2">
      <c r="C5725" s="139">
        <v>86.699999999999363</v>
      </c>
      <c r="D5725" s="28">
        <f t="shared" si="177"/>
        <v>693.59999999999491</v>
      </c>
      <c r="E5725" s="28">
        <f t="shared" si="178"/>
        <v>650.24999999999523</v>
      </c>
      <c r="F5725" s="28">
        <f t="shared" si="179"/>
        <v>632.24999999999523</v>
      </c>
      <c r="G5725" s="28">
        <f t="shared" si="180"/>
        <v>574.63289999999995</v>
      </c>
      <c r="H5725" s="28">
        <f t="shared" si="181"/>
        <v>604.82209999999998</v>
      </c>
      <c r="I5725" s="28">
        <f t="shared" si="182"/>
        <v>619.53809999999999</v>
      </c>
      <c r="J5725" s="28">
        <f t="shared" si="183"/>
        <v>630.87890000000004</v>
      </c>
      <c r="K5725" s="28">
        <f t="shared" si="184"/>
        <v>650.10310000000004</v>
      </c>
      <c r="L5725" s="4"/>
      <c r="M5725" s="241">
        <v>619.53809999999999</v>
      </c>
    </row>
    <row r="5726" spans="3:13" hidden="1" outlineLevel="1" x14ac:dyDescent="0.2">
      <c r="C5726" s="139">
        <v>86.799999999999358</v>
      </c>
      <c r="D5726" s="28">
        <f t="shared" si="177"/>
        <v>694.39999999999486</v>
      </c>
      <c r="E5726" s="28">
        <f t="shared" si="178"/>
        <v>650.99999999999523</v>
      </c>
      <c r="F5726" s="28">
        <f t="shared" si="179"/>
        <v>632.99999999999523</v>
      </c>
      <c r="G5726" s="28">
        <f t="shared" si="180"/>
        <v>574.63289999999995</v>
      </c>
      <c r="H5726" s="28">
        <f t="shared" si="181"/>
        <v>604.82209999999998</v>
      </c>
      <c r="I5726" s="28">
        <f t="shared" si="182"/>
        <v>619.53809999999999</v>
      </c>
      <c r="J5726" s="28">
        <f t="shared" si="183"/>
        <v>630.87890000000004</v>
      </c>
      <c r="K5726" s="28">
        <f t="shared" si="184"/>
        <v>650.10310000000004</v>
      </c>
      <c r="L5726" s="4"/>
      <c r="M5726" s="241">
        <v>619.53809999999999</v>
      </c>
    </row>
    <row r="5727" spans="3:13" hidden="1" outlineLevel="1" x14ac:dyDescent="0.2">
      <c r="C5727" s="139">
        <v>86.899999999999352</v>
      </c>
      <c r="D5727" s="28">
        <f t="shared" si="177"/>
        <v>695.19999999999482</v>
      </c>
      <c r="E5727" s="28">
        <f t="shared" si="178"/>
        <v>651.74999999999511</v>
      </c>
      <c r="F5727" s="28">
        <f t="shared" si="179"/>
        <v>633.74999999999511</v>
      </c>
      <c r="G5727" s="28">
        <f t="shared" si="180"/>
        <v>575.59040000000005</v>
      </c>
      <c r="H5727" s="28">
        <f t="shared" si="181"/>
        <v>605.81769999999995</v>
      </c>
      <c r="I5727" s="28">
        <f t="shared" si="182"/>
        <v>620.54740000000004</v>
      </c>
      <c r="J5727" s="28">
        <f t="shared" si="183"/>
        <v>631.90129999999999</v>
      </c>
      <c r="K5727" s="28">
        <f t="shared" si="184"/>
        <v>651.15300000000002</v>
      </c>
      <c r="L5727" s="4"/>
      <c r="M5727" s="241">
        <v>620.54740000000004</v>
      </c>
    </row>
    <row r="5728" spans="3:13" hidden="1" outlineLevel="1" x14ac:dyDescent="0.2">
      <c r="C5728" s="139">
        <v>86.999999999999346</v>
      </c>
      <c r="D5728" s="28">
        <f t="shared" si="177"/>
        <v>695.99999999999477</v>
      </c>
      <c r="E5728" s="28">
        <f t="shared" si="178"/>
        <v>652.49999999999511</v>
      </c>
      <c r="F5728" s="28">
        <f t="shared" si="179"/>
        <v>634.49999999999511</v>
      </c>
      <c r="G5728" s="28">
        <f t="shared" si="180"/>
        <v>576.55290000000002</v>
      </c>
      <c r="H5728" s="28">
        <f t="shared" si="181"/>
        <v>606.80859999999996</v>
      </c>
      <c r="I5728" s="28">
        <f t="shared" si="182"/>
        <v>621.55669999999998</v>
      </c>
      <c r="J5728" s="28">
        <f t="shared" si="183"/>
        <v>632.92380000000003</v>
      </c>
      <c r="K5728" s="28">
        <f t="shared" si="184"/>
        <v>652.19770000000005</v>
      </c>
      <c r="L5728" s="4"/>
      <c r="M5728" s="241">
        <v>621.55669999999998</v>
      </c>
    </row>
    <row r="5729" spans="3:13" hidden="1" outlineLevel="1" x14ac:dyDescent="0.2">
      <c r="C5729" s="139">
        <v>87.099999999999341</v>
      </c>
      <c r="D5729" s="28">
        <f t="shared" si="177"/>
        <v>696.79999999999472</v>
      </c>
      <c r="E5729" s="28">
        <f t="shared" si="178"/>
        <v>653.249999999995</v>
      </c>
      <c r="F5729" s="28">
        <f t="shared" si="179"/>
        <v>635.249999999995</v>
      </c>
      <c r="G5729" s="28">
        <f t="shared" si="180"/>
        <v>577.51559999999995</v>
      </c>
      <c r="H5729" s="28">
        <f t="shared" si="181"/>
        <v>607.79960000000005</v>
      </c>
      <c r="I5729" s="28">
        <f t="shared" si="182"/>
        <v>622.56619999999998</v>
      </c>
      <c r="J5729" s="28">
        <f t="shared" si="183"/>
        <v>633.94629999999995</v>
      </c>
      <c r="K5729" s="28">
        <f t="shared" si="184"/>
        <v>653.24770000000001</v>
      </c>
      <c r="L5729" s="4"/>
      <c r="M5729" s="241">
        <v>622.56619999999998</v>
      </c>
    </row>
    <row r="5730" spans="3:13" hidden="1" outlineLevel="1" x14ac:dyDescent="0.2">
      <c r="C5730" s="139">
        <v>87.199999999999335</v>
      </c>
      <c r="D5730" s="28">
        <f t="shared" si="177"/>
        <v>697.59999999999468</v>
      </c>
      <c r="E5730" s="28">
        <f t="shared" si="178"/>
        <v>653.999999999995</v>
      </c>
      <c r="F5730" s="28">
        <f t="shared" si="179"/>
        <v>635.999999999995</v>
      </c>
      <c r="G5730" s="28">
        <f t="shared" si="180"/>
        <v>577.51559999999995</v>
      </c>
      <c r="H5730" s="28">
        <f t="shared" si="181"/>
        <v>607.79960000000005</v>
      </c>
      <c r="I5730" s="28">
        <f t="shared" si="182"/>
        <v>622.56619999999998</v>
      </c>
      <c r="J5730" s="28">
        <f t="shared" si="183"/>
        <v>633.94629999999995</v>
      </c>
      <c r="K5730" s="28">
        <f t="shared" si="184"/>
        <v>653.24770000000001</v>
      </c>
      <c r="L5730" s="4"/>
      <c r="M5730" s="241">
        <v>622.56619999999998</v>
      </c>
    </row>
    <row r="5731" spans="3:13" hidden="1" outlineLevel="1" x14ac:dyDescent="0.2">
      <c r="C5731" s="139">
        <v>87.299999999999329</v>
      </c>
      <c r="D5731" s="28">
        <f t="shared" si="177"/>
        <v>698.39999999999463</v>
      </c>
      <c r="E5731" s="28">
        <f t="shared" si="178"/>
        <v>654.749999999995</v>
      </c>
      <c r="F5731" s="28">
        <f t="shared" si="179"/>
        <v>636.749999999995</v>
      </c>
      <c r="G5731" s="28">
        <f t="shared" si="180"/>
        <v>578.47360000000003</v>
      </c>
      <c r="H5731" s="28">
        <f t="shared" si="181"/>
        <v>608.79560000000004</v>
      </c>
      <c r="I5731" s="28">
        <f t="shared" si="182"/>
        <v>623.57569999999998</v>
      </c>
      <c r="J5731" s="28">
        <f t="shared" si="183"/>
        <v>634.97370000000001</v>
      </c>
      <c r="K5731" s="28">
        <f t="shared" si="184"/>
        <v>654.29780000000005</v>
      </c>
      <c r="L5731" s="4"/>
      <c r="M5731" s="241">
        <v>623.57569999999998</v>
      </c>
    </row>
    <row r="5732" spans="3:13" hidden="1" outlineLevel="1" x14ac:dyDescent="0.2">
      <c r="C5732" s="139">
        <v>87.399999999999324</v>
      </c>
      <c r="D5732" s="28">
        <f t="shared" si="177"/>
        <v>699.19999999999459</v>
      </c>
      <c r="E5732" s="28">
        <f t="shared" si="178"/>
        <v>655.49999999999488</v>
      </c>
      <c r="F5732" s="28">
        <f t="shared" si="179"/>
        <v>637.49999999999488</v>
      </c>
      <c r="G5732" s="28">
        <f t="shared" si="180"/>
        <v>579.4366</v>
      </c>
      <c r="H5732" s="28">
        <f t="shared" si="181"/>
        <v>609.78689999999995</v>
      </c>
      <c r="I5732" s="28">
        <f t="shared" si="182"/>
        <v>624.58529999999996</v>
      </c>
      <c r="J5732" s="28">
        <f t="shared" si="183"/>
        <v>635.99639999999999</v>
      </c>
      <c r="K5732" s="28">
        <f t="shared" si="184"/>
        <v>655.34789999999998</v>
      </c>
      <c r="L5732" s="4"/>
      <c r="M5732" s="241">
        <v>624.58529999999996</v>
      </c>
    </row>
    <row r="5733" spans="3:13" hidden="1" outlineLevel="1" x14ac:dyDescent="0.2">
      <c r="C5733" s="139">
        <v>87.499999999999318</v>
      </c>
      <c r="D5733" s="28">
        <f t="shared" si="177"/>
        <v>699.99999999999454</v>
      </c>
      <c r="E5733" s="28">
        <f t="shared" si="178"/>
        <v>656.24999999999488</v>
      </c>
      <c r="F5733" s="28">
        <f t="shared" si="179"/>
        <v>638.24999999999488</v>
      </c>
      <c r="G5733" s="28">
        <f t="shared" si="180"/>
        <v>580.39980000000003</v>
      </c>
      <c r="H5733" s="28">
        <f t="shared" si="181"/>
        <v>610.77819999999997</v>
      </c>
      <c r="I5733" s="28">
        <f t="shared" si="182"/>
        <v>625.59500000000003</v>
      </c>
      <c r="J5733" s="28">
        <f t="shared" si="183"/>
        <v>637.01919999999996</v>
      </c>
      <c r="K5733" s="28">
        <f t="shared" si="184"/>
        <v>656.39279999999997</v>
      </c>
      <c r="L5733" s="4"/>
      <c r="M5733" s="241">
        <v>625.59500000000003</v>
      </c>
    </row>
    <row r="5734" spans="3:13" hidden="1" outlineLevel="1" x14ac:dyDescent="0.2">
      <c r="C5734" s="139">
        <v>87.599999999999312</v>
      </c>
      <c r="D5734" s="28">
        <f t="shared" si="177"/>
        <v>700.7999999999945</v>
      </c>
      <c r="E5734" s="28">
        <f t="shared" si="178"/>
        <v>656.99999999999488</v>
      </c>
      <c r="F5734" s="28">
        <f t="shared" si="179"/>
        <v>638.99999999999488</v>
      </c>
      <c r="G5734" s="28">
        <f t="shared" si="180"/>
        <v>580.39980000000003</v>
      </c>
      <c r="H5734" s="28">
        <f t="shared" si="181"/>
        <v>610.77819999999997</v>
      </c>
      <c r="I5734" s="28">
        <f t="shared" si="182"/>
        <v>625.59500000000003</v>
      </c>
      <c r="J5734" s="28">
        <f t="shared" si="183"/>
        <v>637.01919999999996</v>
      </c>
      <c r="K5734" s="28">
        <f t="shared" si="184"/>
        <v>656.39279999999997</v>
      </c>
      <c r="L5734" s="4"/>
      <c r="M5734" s="241">
        <v>625.59500000000003</v>
      </c>
    </row>
    <row r="5735" spans="3:13" hidden="1" outlineLevel="1" x14ac:dyDescent="0.2">
      <c r="C5735" s="139">
        <v>87.699999999999307</v>
      </c>
      <c r="D5735" s="28">
        <f t="shared" si="177"/>
        <v>701.59999999999445</v>
      </c>
      <c r="E5735" s="28">
        <f t="shared" si="178"/>
        <v>657.74999999999477</v>
      </c>
      <c r="F5735" s="28">
        <f t="shared" si="179"/>
        <v>639.74999999999477</v>
      </c>
      <c r="G5735" s="28">
        <f t="shared" si="180"/>
        <v>581.35829999999999</v>
      </c>
      <c r="H5735" s="28">
        <f t="shared" si="181"/>
        <v>611.77449999999999</v>
      </c>
      <c r="I5735" s="28">
        <f t="shared" si="182"/>
        <v>626.60479999999995</v>
      </c>
      <c r="J5735" s="28">
        <f t="shared" si="183"/>
        <v>638.04200000000003</v>
      </c>
      <c r="K5735" s="28">
        <f t="shared" si="184"/>
        <v>657.44309999999996</v>
      </c>
      <c r="L5735" s="4"/>
      <c r="M5735" s="241">
        <v>626.60479999999995</v>
      </c>
    </row>
    <row r="5736" spans="3:13" hidden="1" outlineLevel="1" x14ac:dyDescent="0.2">
      <c r="C5736" s="139">
        <v>87.799999999999301</v>
      </c>
      <c r="D5736" s="28">
        <f t="shared" si="177"/>
        <v>702.39999999999441</v>
      </c>
      <c r="E5736" s="28">
        <f t="shared" si="178"/>
        <v>658.49999999999477</v>
      </c>
      <c r="F5736" s="28">
        <f t="shared" si="179"/>
        <v>640.49999999999477</v>
      </c>
      <c r="G5736" s="28">
        <f t="shared" si="180"/>
        <v>582.32180000000005</v>
      </c>
      <c r="H5736" s="28">
        <f t="shared" si="181"/>
        <v>612.76610000000005</v>
      </c>
      <c r="I5736" s="28">
        <f t="shared" si="182"/>
        <v>627.61469999999997</v>
      </c>
      <c r="J5736" s="28">
        <f t="shared" si="183"/>
        <v>639.06489999999997</v>
      </c>
      <c r="K5736" s="28">
        <f t="shared" si="184"/>
        <v>658.49339999999995</v>
      </c>
      <c r="L5736" s="4"/>
      <c r="M5736" s="241">
        <v>627.61469999999997</v>
      </c>
    </row>
    <row r="5737" spans="3:13" hidden="1" outlineLevel="1" x14ac:dyDescent="0.2">
      <c r="C5737" s="139">
        <v>87.899999999999295</v>
      </c>
      <c r="D5737" s="28">
        <f t="shared" si="177"/>
        <v>703.19999999999436</v>
      </c>
      <c r="E5737" s="28">
        <f t="shared" si="178"/>
        <v>659.24999999999477</v>
      </c>
      <c r="F5737" s="28">
        <f t="shared" si="179"/>
        <v>641.24999999999477</v>
      </c>
      <c r="G5737" s="28">
        <f t="shared" si="180"/>
        <v>583.28060000000005</v>
      </c>
      <c r="H5737" s="28">
        <f t="shared" si="181"/>
        <v>613.75779999999997</v>
      </c>
      <c r="I5737" s="28">
        <f t="shared" si="182"/>
        <v>628.62469999999996</v>
      </c>
      <c r="J5737" s="28">
        <f t="shared" si="183"/>
        <v>640.08789999999999</v>
      </c>
      <c r="K5737" s="28">
        <f t="shared" si="184"/>
        <v>659.53840000000002</v>
      </c>
      <c r="L5737" s="4"/>
      <c r="M5737" s="241">
        <v>628.62469999999996</v>
      </c>
    </row>
    <row r="5738" spans="3:13" hidden="1" outlineLevel="1" x14ac:dyDescent="0.2">
      <c r="C5738" s="139">
        <v>87.999999999999289</v>
      </c>
      <c r="D5738" s="28">
        <f t="shared" si="177"/>
        <v>703.99999999999432</v>
      </c>
      <c r="E5738" s="28">
        <f t="shared" si="178"/>
        <v>659.99999999999466</v>
      </c>
      <c r="F5738" s="28">
        <f t="shared" si="179"/>
        <v>641.99999999999466</v>
      </c>
      <c r="G5738" s="28">
        <f t="shared" si="180"/>
        <v>583.28060000000005</v>
      </c>
      <c r="H5738" s="28">
        <f t="shared" si="181"/>
        <v>613.75779999999997</v>
      </c>
      <c r="I5738" s="28">
        <f t="shared" si="182"/>
        <v>628.62469999999996</v>
      </c>
      <c r="J5738" s="28">
        <f t="shared" si="183"/>
        <v>640.08789999999999</v>
      </c>
      <c r="K5738" s="28">
        <f t="shared" si="184"/>
        <v>659.53840000000002</v>
      </c>
      <c r="L5738" s="4"/>
      <c r="M5738" s="241">
        <v>628.62469999999996</v>
      </c>
    </row>
    <row r="5739" spans="3:13" hidden="1" outlineLevel="1" x14ac:dyDescent="0.2">
      <c r="C5739" s="139">
        <v>88.099999999999284</v>
      </c>
      <c r="D5739" s="28">
        <f t="shared" si="177"/>
        <v>704.79999999999427</v>
      </c>
      <c r="E5739" s="28">
        <f t="shared" si="178"/>
        <v>660.74999999999466</v>
      </c>
      <c r="F5739" s="28">
        <f t="shared" si="179"/>
        <v>642.74999999999466</v>
      </c>
      <c r="G5739" s="28">
        <f t="shared" si="180"/>
        <v>584.24440000000004</v>
      </c>
      <c r="H5739" s="28">
        <f t="shared" si="181"/>
        <v>614.74959999999999</v>
      </c>
      <c r="I5739" s="28">
        <f t="shared" si="182"/>
        <v>629.63480000000004</v>
      </c>
      <c r="J5739" s="28">
        <f t="shared" si="183"/>
        <v>641.11590000000001</v>
      </c>
      <c r="K5739" s="28">
        <f t="shared" si="184"/>
        <v>660.58889999999997</v>
      </c>
      <c r="L5739" s="4"/>
      <c r="M5739" s="241">
        <v>629.63480000000004</v>
      </c>
    </row>
    <row r="5740" spans="3:13" hidden="1" outlineLevel="1" x14ac:dyDescent="0.2">
      <c r="C5740" s="139">
        <v>88.199999999999278</v>
      </c>
      <c r="D5740" s="28">
        <f t="shared" si="177"/>
        <v>705.59999999999422</v>
      </c>
      <c r="E5740" s="28">
        <f t="shared" si="178"/>
        <v>661.49999999999454</v>
      </c>
      <c r="F5740" s="28">
        <f t="shared" si="179"/>
        <v>643.49999999999454</v>
      </c>
      <c r="G5740" s="28">
        <f t="shared" si="180"/>
        <v>585.20349999999996</v>
      </c>
      <c r="H5740" s="28">
        <f t="shared" si="181"/>
        <v>615.74149999999997</v>
      </c>
      <c r="I5740" s="28">
        <f t="shared" si="182"/>
        <v>630.64009999999996</v>
      </c>
      <c r="J5740" s="28">
        <f t="shared" si="183"/>
        <v>642.13900000000001</v>
      </c>
      <c r="K5740" s="28">
        <f t="shared" si="184"/>
        <v>661.6395</v>
      </c>
      <c r="L5740" s="4"/>
      <c r="M5740" s="241">
        <v>630.64009999999996</v>
      </c>
    </row>
    <row r="5741" spans="3:13" hidden="1" outlineLevel="1" x14ac:dyDescent="0.2">
      <c r="C5741" s="139">
        <v>88.299999999999272</v>
      </c>
      <c r="D5741" s="28">
        <f t="shared" si="177"/>
        <v>706.39999999999418</v>
      </c>
      <c r="E5741" s="28">
        <f t="shared" si="178"/>
        <v>662.24999999999454</v>
      </c>
      <c r="F5741" s="28">
        <f t="shared" si="179"/>
        <v>644.24999999999454</v>
      </c>
      <c r="G5741" s="28">
        <f t="shared" si="180"/>
        <v>586.16759999999999</v>
      </c>
      <c r="H5741" s="28">
        <f t="shared" si="181"/>
        <v>616.73350000000005</v>
      </c>
      <c r="I5741" s="28">
        <f t="shared" si="182"/>
        <v>631.65030000000002</v>
      </c>
      <c r="J5741" s="28">
        <f t="shared" si="183"/>
        <v>643.16229999999996</v>
      </c>
      <c r="K5741" s="28">
        <f t="shared" si="184"/>
        <v>662.68470000000002</v>
      </c>
      <c r="L5741" s="4"/>
      <c r="M5741" s="241">
        <v>631.65030000000002</v>
      </c>
    </row>
    <row r="5742" spans="3:13" hidden="1" outlineLevel="1" x14ac:dyDescent="0.2">
      <c r="C5742" s="139">
        <v>88.399999999999267</v>
      </c>
      <c r="D5742" s="28">
        <f t="shared" si="177"/>
        <v>707.19999999999413</v>
      </c>
      <c r="E5742" s="28">
        <f t="shared" si="178"/>
        <v>662.99999999999454</v>
      </c>
      <c r="F5742" s="28">
        <f t="shared" si="179"/>
        <v>644.99999999999454</v>
      </c>
      <c r="G5742" s="28">
        <f t="shared" si="180"/>
        <v>586.16759999999999</v>
      </c>
      <c r="H5742" s="28">
        <f t="shared" si="181"/>
        <v>616.73350000000005</v>
      </c>
      <c r="I5742" s="28">
        <f t="shared" si="182"/>
        <v>631.65030000000002</v>
      </c>
      <c r="J5742" s="28">
        <f t="shared" si="183"/>
        <v>643.16229999999996</v>
      </c>
      <c r="K5742" s="28">
        <f t="shared" si="184"/>
        <v>662.68470000000002</v>
      </c>
      <c r="L5742" s="4"/>
      <c r="M5742" s="241">
        <v>631.65030000000002</v>
      </c>
    </row>
    <row r="5743" spans="3:13" hidden="1" outlineLevel="1" x14ac:dyDescent="0.2">
      <c r="C5743" s="139">
        <v>88.499999999999261</v>
      </c>
      <c r="D5743" s="28">
        <f t="shared" si="177"/>
        <v>707.99999999999409</v>
      </c>
      <c r="E5743" s="28">
        <f t="shared" si="178"/>
        <v>663.74999999999443</v>
      </c>
      <c r="F5743" s="28">
        <f t="shared" si="179"/>
        <v>645.74999999999443</v>
      </c>
      <c r="G5743" s="28">
        <f t="shared" si="180"/>
        <v>587.12710000000004</v>
      </c>
      <c r="H5743" s="28">
        <f t="shared" si="181"/>
        <v>617.73050000000001</v>
      </c>
      <c r="I5743" s="28">
        <f t="shared" si="182"/>
        <v>632.66070000000002</v>
      </c>
      <c r="J5743" s="28">
        <f t="shared" si="183"/>
        <v>644.18560000000002</v>
      </c>
      <c r="K5743" s="28">
        <f t="shared" si="184"/>
        <v>663.73530000000005</v>
      </c>
      <c r="L5743" s="4"/>
      <c r="M5743" s="241">
        <v>632.66070000000002</v>
      </c>
    </row>
    <row r="5744" spans="3:13" hidden="1" outlineLevel="1" x14ac:dyDescent="0.2">
      <c r="C5744" s="139">
        <v>88.599999999999255</v>
      </c>
      <c r="D5744" s="28">
        <f t="shared" si="177"/>
        <v>708.79999999999404</v>
      </c>
      <c r="E5744" s="28">
        <f t="shared" si="178"/>
        <v>664.49999999999443</v>
      </c>
      <c r="F5744" s="28">
        <f t="shared" si="179"/>
        <v>646.49999999999443</v>
      </c>
      <c r="G5744" s="28">
        <f t="shared" si="180"/>
        <v>588.0915</v>
      </c>
      <c r="H5744" s="28">
        <f t="shared" si="181"/>
        <v>618.72270000000003</v>
      </c>
      <c r="I5744" s="28">
        <f t="shared" si="182"/>
        <v>633.67110000000002</v>
      </c>
      <c r="J5744" s="28">
        <f t="shared" si="183"/>
        <v>645.20899999999995</v>
      </c>
      <c r="K5744" s="28">
        <f t="shared" si="184"/>
        <v>664.78610000000003</v>
      </c>
      <c r="L5744" s="4"/>
      <c r="M5744" s="241">
        <v>633.67110000000002</v>
      </c>
    </row>
    <row r="5745" spans="3:13" hidden="1" outlineLevel="1" x14ac:dyDescent="0.2">
      <c r="C5745" s="139">
        <v>88.69999999999925</v>
      </c>
      <c r="D5745" s="28">
        <f t="shared" si="177"/>
        <v>709.599999999994</v>
      </c>
      <c r="E5745" s="28">
        <f t="shared" si="178"/>
        <v>665.24999999999432</v>
      </c>
      <c r="F5745" s="28">
        <f t="shared" si="179"/>
        <v>647.24999999999432</v>
      </c>
      <c r="G5745" s="28">
        <f t="shared" si="180"/>
        <v>589.05129999999997</v>
      </c>
      <c r="H5745" s="28">
        <f t="shared" si="181"/>
        <v>619.71510000000001</v>
      </c>
      <c r="I5745" s="28">
        <f t="shared" si="182"/>
        <v>634.68169999999998</v>
      </c>
      <c r="J5745" s="28">
        <f t="shared" si="183"/>
        <v>646.23239999999998</v>
      </c>
      <c r="K5745" s="28">
        <f t="shared" si="184"/>
        <v>665.83140000000003</v>
      </c>
      <c r="L5745" s="4"/>
      <c r="M5745" s="241">
        <v>634.68169999999998</v>
      </c>
    </row>
    <row r="5746" spans="3:13" hidden="1" outlineLevel="1" x14ac:dyDescent="0.2">
      <c r="C5746" s="139">
        <v>88.799999999999244</v>
      </c>
      <c r="D5746" s="28">
        <f t="shared" si="177"/>
        <v>710.39999999999395</v>
      </c>
      <c r="E5746" s="28">
        <f t="shared" si="178"/>
        <v>665.99999999999432</v>
      </c>
      <c r="F5746" s="28">
        <f t="shared" si="179"/>
        <v>647.99999999999432</v>
      </c>
      <c r="G5746" s="28">
        <f t="shared" si="180"/>
        <v>589.05129999999997</v>
      </c>
      <c r="H5746" s="28">
        <f t="shared" si="181"/>
        <v>619.71510000000001</v>
      </c>
      <c r="I5746" s="28">
        <f t="shared" si="182"/>
        <v>634.68169999999998</v>
      </c>
      <c r="J5746" s="28">
        <f t="shared" si="183"/>
        <v>646.23239999999998</v>
      </c>
      <c r="K5746" s="28">
        <f t="shared" si="184"/>
        <v>665.83140000000003</v>
      </c>
      <c r="L5746" s="4"/>
      <c r="M5746" s="241">
        <v>634.68169999999998</v>
      </c>
    </row>
    <row r="5747" spans="3:13" hidden="1" outlineLevel="1" x14ac:dyDescent="0.2">
      <c r="C5747" s="139">
        <v>88.899999999999238</v>
      </c>
      <c r="D5747" s="28">
        <f t="shared" si="177"/>
        <v>711.19999999999391</v>
      </c>
      <c r="E5747" s="28">
        <f t="shared" si="178"/>
        <v>666.74999999999432</v>
      </c>
      <c r="F5747" s="28">
        <f t="shared" si="179"/>
        <v>648.74999999999432</v>
      </c>
      <c r="G5747" s="28">
        <f t="shared" si="180"/>
        <v>590.01110000000006</v>
      </c>
      <c r="H5747" s="28">
        <f t="shared" si="181"/>
        <v>620.70749999999998</v>
      </c>
      <c r="I5747" s="28">
        <f t="shared" si="182"/>
        <v>635.69230000000005</v>
      </c>
      <c r="J5747" s="28">
        <f t="shared" si="183"/>
        <v>647.25599999999997</v>
      </c>
      <c r="K5747" s="28">
        <f t="shared" si="184"/>
        <v>666.88229999999999</v>
      </c>
      <c r="L5747" s="4"/>
      <c r="M5747" s="241">
        <v>635.69230000000005</v>
      </c>
    </row>
    <row r="5748" spans="3:13" hidden="1" outlineLevel="1" x14ac:dyDescent="0.2">
      <c r="C5748" s="139">
        <v>88.999999999999233</v>
      </c>
      <c r="D5748" s="28">
        <f t="shared" si="177"/>
        <v>711.99999999999386</v>
      </c>
      <c r="E5748" s="28">
        <f t="shared" si="178"/>
        <v>667.4999999999942</v>
      </c>
      <c r="F5748" s="28">
        <f t="shared" si="179"/>
        <v>649.4999999999942</v>
      </c>
      <c r="G5748" s="28">
        <f t="shared" si="180"/>
        <v>590.97609999999997</v>
      </c>
      <c r="H5748" s="28">
        <f t="shared" si="181"/>
        <v>621.70000000000005</v>
      </c>
      <c r="I5748" s="28">
        <f t="shared" si="182"/>
        <v>636.70299999999997</v>
      </c>
      <c r="J5748" s="28">
        <f t="shared" si="183"/>
        <v>648.27959999999996</v>
      </c>
      <c r="K5748" s="28">
        <f t="shared" si="184"/>
        <v>667.93320000000006</v>
      </c>
      <c r="L5748" s="4"/>
      <c r="M5748" s="241">
        <v>636.70299999999997</v>
      </c>
    </row>
    <row r="5749" spans="3:13" hidden="1" outlineLevel="1" x14ac:dyDescent="0.2">
      <c r="C5749" s="139">
        <v>89.099999999999227</v>
      </c>
      <c r="D5749" s="28">
        <f t="shared" si="177"/>
        <v>712.79999999999382</v>
      </c>
      <c r="E5749" s="28">
        <f t="shared" si="178"/>
        <v>668.2499999999942</v>
      </c>
      <c r="F5749" s="28">
        <f t="shared" si="179"/>
        <v>650.2499999999942</v>
      </c>
      <c r="G5749" s="28">
        <f t="shared" si="180"/>
        <v>591.93629999999996</v>
      </c>
      <c r="H5749" s="28">
        <f t="shared" si="181"/>
        <v>622.69269999999995</v>
      </c>
      <c r="I5749" s="28">
        <f t="shared" si="182"/>
        <v>637.70889999999997</v>
      </c>
      <c r="J5749" s="28">
        <f t="shared" si="183"/>
        <v>649.30319999999995</v>
      </c>
      <c r="K5749" s="28">
        <f t="shared" si="184"/>
        <v>668.9787</v>
      </c>
      <c r="L5749" s="4"/>
      <c r="M5749" s="241">
        <v>637.70889999999997</v>
      </c>
    </row>
    <row r="5750" spans="3:13" hidden="1" outlineLevel="1" x14ac:dyDescent="0.2">
      <c r="C5750" s="139">
        <v>89.199999999999221</v>
      </c>
      <c r="D5750" s="28">
        <f t="shared" si="177"/>
        <v>713.59999999999377</v>
      </c>
      <c r="E5750" s="28">
        <f t="shared" si="178"/>
        <v>668.9999999999942</v>
      </c>
      <c r="F5750" s="28">
        <f t="shared" si="179"/>
        <v>650.9999999999942</v>
      </c>
      <c r="G5750" s="28">
        <f t="shared" si="180"/>
        <v>591.93629999999996</v>
      </c>
      <c r="H5750" s="28">
        <f t="shared" si="181"/>
        <v>622.69269999999995</v>
      </c>
      <c r="I5750" s="28">
        <f t="shared" si="182"/>
        <v>637.70889999999997</v>
      </c>
      <c r="J5750" s="28">
        <f t="shared" si="183"/>
        <v>649.30319999999995</v>
      </c>
      <c r="K5750" s="28">
        <f t="shared" si="184"/>
        <v>668.9787</v>
      </c>
      <c r="L5750" s="4"/>
      <c r="M5750" s="241">
        <v>637.70889999999997</v>
      </c>
    </row>
    <row r="5751" spans="3:13" hidden="1" outlineLevel="1" x14ac:dyDescent="0.2">
      <c r="C5751" s="139">
        <v>89.299999999999216</v>
      </c>
      <c r="D5751" s="28">
        <f t="shared" si="177"/>
        <v>714.39999999999372</v>
      </c>
      <c r="E5751" s="28">
        <f t="shared" si="178"/>
        <v>669.74999999999409</v>
      </c>
      <c r="F5751" s="28">
        <f t="shared" si="179"/>
        <v>651.74999999999409</v>
      </c>
      <c r="G5751" s="28">
        <f t="shared" si="180"/>
        <v>592.89660000000003</v>
      </c>
      <c r="H5751" s="28">
        <f t="shared" si="181"/>
        <v>623.68539999999996</v>
      </c>
      <c r="I5751" s="28">
        <f t="shared" si="182"/>
        <v>638.71969999999999</v>
      </c>
      <c r="J5751" s="28">
        <f t="shared" si="183"/>
        <v>650.327</v>
      </c>
      <c r="K5751" s="28">
        <f t="shared" si="184"/>
        <v>670.02980000000002</v>
      </c>
      <c r="L5751" s="4"/>
      <c r="M5751" s="241">
        <v>638.71969999999999</v>
      </c>
    </row>
    <row r="5752" spans="3:13" hidden="1" outlineLevel="1" x14ac:dyDescent="0.2">
      <c r="C5752" s="139">
        <v>89.39999999999921</v>
      </c>
      <c r="D5752" s="28">
        <f t="shared" si="177"/>
        <v>715.19999999999368</v>
      </c>
      <c r="E5752" s="28">
        <f t="shared" si="178"/>
        <v>670.49999999999409</v>
      </c>
      <c r="F5752" s="28">
        <f t="shared" si="179"/>
        <v>652.49999999999409</v>
      </c>
      <c r="G5752" s="28">
        <f t="shared" si="180"/>
        <v>593.85709999999995</v>
      </c>
      <c r="H5752" s="28">
        <f t="shared" si="181"/>
        <v>624.67830000000004</v>
      </c>
      <c r="I5752" s="28">
        <f t="shared" si="182"/>
        <v>639.73069999999996</v>
      </c>
      <c r="J5752" s="28">
        <f t="shared" si="183"/>
        <v>651.35080000000005</v>
      </c>
      <c r="K5752" s="28">
        <f t="shared" si="184"/>
        <v>671.07539999999995</v>
      </c>
      <c r="L5752" s="4"/>
      <c r="M5752" s="241">
        <v>639.73069999999996</v>
      </c>
    </row>
    <row r="5753" spans="3:13" hidden="1" outlineLevel="1" x14ac:dyDescent="0.2">
      <c r="C5753" s="139">
        <v>89.499999999999204</v>
      </c>
      <c r="D5753" s="28">
        <f t="shared" si="177"/>
        <v>715.99999999999363</v>
      </c>
      <c r="E5753" s="28">
        <f t="shared" si="178"/>
        <v>671.24999999999409</v>
      </c>
      <c r="F5753" s="28">
        <f t="shared" si="179"/>
        <v>653.24999999999409</v>
      </c>
      <c r="G5753" s="28">
        <f t="shared" si="180"/>
        <v>594.82280000000003</v>
      </c>
      <c r="H5753" s="28">
        <f t="shared" si="181"/>
        <v>625.67129999999997</v>
      </c>
      <c r="I5753" s="28">
        <f t="shared" si="182"/>
        <v>640.74180000000001</v>
      </c>
      <c r="J5753" s="28">
        <f t="shared" si="183"/>
        <v>652.37480000000005</v>
      </c>
      <c r="K5753" s="28">
        <f t="shared" si="184"/>
        <v>672.12660000000005</v>
      </c>
      <c r="L5753" s="4"/>
      <c r="M5753" s="241">
        <v>640.74180000000001</v>
      </c>
    </row>
    <row r="5754" spans="3:13" hidden="1" outlineLevel="1" x14ac:dyDescent="0.2">
      <c r="C5754" s="139">
        <v>89.599999999999199</v>
      </c>
      <c r="D5754" s="28">
        <f t="shared" si="177"/>
        <v>716.79999999999359</v>
      </c>
      <c r="E5754" s="28">
        <f t="shared" si="178"/>
        <v>671.99999999999397</v>
      </c>
      <c r="F5754" s="28">
        <f t="shared" si="179"/>
        <v>653.99999999999397</v>
      </c>
      <c r="G5754" s="28">
        <f t="shared" si="180"/>
        <v>594.82280000000003</v>
      </c>
      <c r="H5754" s="28">
        <f t="shared" si="181"/>
        <v>625.67129999999997</v>
      </c>
      <c r="I5754" s="28">
        <f t="shared" si="182"/>
        <v>640.74180000000001</v>
      </c>
      <c r="J5754" s="28">
        <f t="shared" si="183"/>
        <v>652.37480000000005</v>
      </c>
      <c r="K5754" s="28">
        <f t="shared" si="184"/>
        <v>672.12660000000005</v>
      </c>
      <c r="L5754" s="4"/>
      <c r="M5754" s="241">
        <v>640.74180000000001</v>
      </c>
    </row>
    <row r="5755" spans="3:13" hidden="1" outlineLevel="1" x14ac:dyDescent="0.2">
      <c r="C5755" s="139">
        <v>89.699999999999193</v>
      </c>
      <c r="D5755" s="28">
        <f t="shared" ref="D5755:D5818" si="185">C5755*Channels.per.TRX</f>
        <v>717.59999999999354</v>
      </c>
      <c r="E5755" s="28">
        <f t="shared" ref="E5755:E5818" si="186">D5755-C5755*sig.channel.per.TRX</f>
        <v>672.74999999999397</v>
      </c>
      <c r="F5755" s="28">
        <f t="shared" ref="F5755:F5818" si="187">MAX(0,E5755-GPRS.channel.per.sector)</f>
        <v>654.74999999999397</v>
      </c>
      <c r="G5755" s="28">
        <f t="shared" ref="G5755:G5818" si="188">INDEX(D$10:D$4326,MATCH($F5755,$C$10:$C$4326,1))</f>
        <v>595.78359999999998</v>
      </c>
      <c r="H5755" s="28">
        <f t="shared" ref="H5755:H5818" si="189">INDEX(E$10:E$4326,MATCH($F5755,$C$10:$C$4326,1))</f>
        <v>626.66430000000003</v>
      </c>
      <c r="I5755" s="28">
        <f t="shared" ref="I5755:I5818" si="190">INDEX(F$10:F$4326,MATCH($F5755,$C$10:$C$4326,1))</f>
        <v>641.74800000000005</v>
      </c>
      <c r="J5755" s="28">
        <f t="shared" ref="J5755:J5818" si="191">INDEX(G$10:G$4326,MATCH($F5755,$C$10:$C$4326,1))</f>
        <v>653.39880000000005</v>
      </c>
      <c r="K5755" s="28">
        <f t="shared" ref="K5755:K5818" si="192">INDEX(H$10:H$4326,MATCH($F5755,$C$10:$C$4326,1))</f>
        <v>673.17790000000002</v>
      </c>
      <c r="L5755" s="4"/>
      <c r="M5755" s="241">
        <v>641.74800000000005</v>
      </c>
    </row>
    <row r="5756" spans="3:13" hidden="1" outlineLevel="1" x14ac:dyDescent="0.2">
      <c r="C5756" s="139">
        <v>89.799999999999187</v>
      </c>
      <c r="D5756" s="28">
        <f t="shared" si="185"/>
        <v>718.3999999999935</v>
      </c>
      <c r="E5756" s="28">
        <f t="shared" si="186"/>
        <v>673.49999999999386</v>
      </c>
      <c r="F5756" s="28">
        <f t="shared" si="187"/>
        <v>655.49999999999386</v>
      </c>
      <c r="G5756" s="28">
        <f t="shared" si="188"/>
        <v>596.74450000000002</v>
      </c>
      <c r="H5756" s="28">
        <f t="shared" si="189"/>
        <v>627.65750000000003</v>
      </c>
      <c r="I5756" s="28">
        <f t="shared" si="190"/>
        <v>642.75919999999996</v>
      </c>
      <c r="J5756" s="28">
        <f t="shared" si="191"/>
        <v>654.42280000000005</v>
      </c>
      <c r="K5756" s="28">
        <f t="shared" si="192"/>
        <v>674.22370000000001</v>
      </c>
      <c r="L5756" s="4"/>
      <c r="M5756" s="241">
        <v>642.75919999999996</v>
      </c>
    </row>
    <row r="5757" spans="3:13" hidden="1" outlineLevel="1" x14ac:dyDescent="0.2">
      <c r="C5757" s="139">
        <v>89.899999999999181</v>
      </c>
      <c r="D5757" s="28">
        <f t="shared" si="185"/>
        <v>719.19999999999345</v>
      </c>
      <c r="E5757" s="28">
        <f t="shared" si="186"/>
        <v>674.24999999999386</v>
      </c>
      <c r="F5757" s="28">
        <f t="shared" si="187"/>
        <v>656.24999999999386</v>
      </c>
      <c r="G5757" s="28">
        <f t="shared" si="188"/>
        <v>597.7056</v>
      </c>
      <c r="H5757" s="28">
        <f t="shared" si="189"/>
        <v>628.6508</v>
      </c>
      <c r="I5757" s="28">
        <f t="shared" si="190"/>
        <v>643.77059999999994</v>
      </c>
      <c r="J5757" s="28">
        <f t="shared" si="191"/>
        <v>655.447</v>
      </c>
      <c r="K5757" s="28">
        <f t="shared" si="192"/>
        <v>675.27509999999995</v>
      </c>
      <c r="L5757" s="4"/>
      <c r="M5757" s="241">
        <v>643.77059999999994</v>
      </c>
    </row>
    <row r="5758" spans="3:13" hidden="1" outlineLevel="1" x14ac:dyDescent="0.2">
      <c r="C5758" s="139">
        <v>89.999999999999176</v>
      </c>
      <c r="D5758" s="28">
        <f t="shared" si="185"/>
        <v>719.99999999999341</v>
      </c>
      <c r="E5758" s="28">
        <f t="shared" si="186"/>
        <v>674.99999999999386</v>
      </c>
      <c r="F5758" s="28">
        <f t="shared" si="187"/>
        <v>656.99999999999386</v>
      </c>
      <c r="G5758" s="28">
        <f t="shared" si="188"/>
        <v>597.7056</v>
      </c>
      <c r="H5758" s="28">
        <f t="shared" si="189"/>
        <v>628.6508</v>
      </c>
      <c r="I5758" s="28">
        <f t="shared" si="190"/>
        <v>643.77059999999994</v>
      </c>
      <c r="J5758" s="28">
        <f t="shared" si="191"/>
        <v>655.447</v>
      </c>
      <c r="K5758" s="28">
        <f t="shared" si="192"/>
        <v>675.27509999999995</v>
      </c>
      <c r="L5758" s="4"/>
      <c r="M5758" s="241">
        <v>643.77059999999994</v>
      </c>
    </row>
    <row r="5759" spans="3:13" hidden="1" outlineLevel="1" x14ac:dyDescent="0.2">
      <c r="C5759" s="139">
        <v>90.09999999999917</v>
      </c>
      <c r="D5759" s="28">
        <f t="shared" si="185"/>
        <v>720.79999999999336</v>
      </c>
      <c r="E5759" s="28">
        <f t="shared" si="186"/>
        <v>675.74999999999375</v>
      </c>
      <c r="F5759" s="28">
        <f t="shared" si="187"/>
        <v>657.74999999999375</v>
      </c>
      <c r="G5759" s="28">
        <f t="shared" si="188"/>
        <v>598.66690000000006</v>
      </c>
      <c r="H5759" s="28">
        <f t="shared" si="189"/>
        <v>629.64419999999996</v>
      </c>
      <c r="I5759" s="28">
        <f t="shared" si="190"/>
        <v>644.77700000000004</v>
      </c>
      <c r="J5759" s="28">
        <f t="shared" si="191"/>
        <v>656.47119999999995</v>
      </c>
      <c r="K5759" s="28">
        <f t="shared" si="192"/>
        <v>676.32100000000003</v>
      </c>
      <c r="L5759" s="4"/>
      <c r="M5759" s="241">
        <v>644.77700000000004</v>
      </c>
    </row>
    <row r="5760" spans="3:13" hidden="1" outlineLevel="1" x14ac:dyDescent="0.2">
      <c r="C5760" s="139">
        <v>90.199999999999164</v>
      </c>
      <c r="D5760" s="28">
        <f t="shared" si="185"/>
        <v>721.59999999999332</v>
      </c>
      <c r="E5760" s="28">
        <f t="shared" si="186"/>
        <v>676.49999999999375</v>
      </c>
      <c r="F5760" s="28">
        <f t="shared" si="187"/>
        <v>658.49999999999375</v>
      </c>
      <c r="G5760" s="28">
        <f t="shared" si="188"/>
        <v>599.62829999999997</v>
      </c>
      <c r="H5760" s="28">
        <f t="shared" si="189"/>
        <v>630.6377</v>
      </c>
      <c r="I5760" s="28">
        <f t="shared" si="190"/>
        <v>645.7885</v>
      </c>
      <c r="J5760" s="28">
        <f t="shared" si="191"/>
        <v>657.49549999999999</v>
      </c>
      <c r="K5760" s="28">
        <f t="shared" si="192"/>
        <v>677.37249999999995</v>
      </c>
      <c r="L5760" s="4"/>
      <c r="M5760" s="241">
        <v>645.7885</v>
      </c>
    </row>
    <row r="5761" spans="3:13" hidden="1" outlineLevel="1" x14ac:dyDescent="0.2">
      <c r="C5761" s="139">
        <v>90.299999999999159</v>
      </c>
      <c r="D5761" s="28">
        <f t="shared" si="185"/>
        <v>722.39999999999327</v>
      </c>
      <c r="E5761" s="28">
        <f t="shared" si="186"/>
        <v>677.24999999999363</v>
      </c>
      <c r="F5761" s="28">
        <f t="shared" si="187"/>
        <v>659.24999999999363</v>
      </c>
      <c r="G5761" s="28">
        <f t="shared" si="188"/>
        <v>600.59490000000005</v>
      </c>
      <c r="H5761" s="28">
        <f t="shared" si="189"/>
        <v>631.63130000000001</v>
      </c>
      <c r="I5761" s="28">
        <f t="shared" si="190"/>
        <v>646.80010000000004</v>
      </c>
      <c r="J5761" s="28">
        <f t="shared" si="191"/>
        <v>658.51480000000004</v>
      </c>
      <c r="K5761" s="28">
        <f t="shared" si="192"/>
        <v>678.41849999999999</v>
      </c>
      <c r="L5761" s="4"/>
      <c r="M5761" s="241">
        <v>646.80010000000004</v>
      </c>
    </row>
    <row r="5762" spans="3:13" hidden="1" outlineLevel="1" x14ac:dyDescent="0.2">
      <c r="C5762" s="139">
        <v>90.399999999999153</v>
      </c>
      <c r="D5762" s="28">
        <f t="shared" si="185"/>
        <v>723.19999999999322</v>
      </c>
      <c r="E5762" s="28">
        <f t="shared" si="186"/>
        <v>677.99999999999363</v>
      </c>
      <c r="F5762" s="28">
        <f t="shared" si="187"/>
        <v>659.99999999999363</v>
      </c>
      <c r="G5762" s="28">
        <f t="shared" si="188"/>
        <v>600.59490000000005</v>
      </c>
      <c r="H5762" s="28">
        <f t="shared" si="189"/>
        <v>631.63130000000001</v>
      </c>
      <c r="I5762" s="28">
        <f t="shared" si="190"/>
        <v>646.80010000000004</v>
      </c>
      <c r="J5762" s="28">
        <f t="shared" si="191"/>
        <v>658.51480000000004</v>
      </c>
      <c r="K5762" s="28">
        <f t="shared" si="192"/>
        <v>678.41849999999999</v>
      </c>
      <c r="L5762" s="4"/>
      <c r="M5762" s="241">
        <v>646.80010000000004</v>
      </c>
    </row>
    <row r="5763" spans="3:13" hidden="1" outlineLevel="1" x14ac:dyDescent="0.2">
      <c r="C5763" s="139">
        <v>90.499999999999147</v>
      </c>
      <c r="D5763" s="28">
        <f t="shared" si="185"/>
        <v>723.99999999999318</v>
      </c>
      <c r="E5763" s="28">
        <f t="shared" si="186"/>
        <v>678.74999999999363</v>
      </c>
      <c r="F5763" s="28">
        <f t="shared" si="187"/>
        <v>660.74999999999363</v>
      </c>
      <c r="G5763" s="28">
        <f t="shared" si="188"/>
        <v>601.5566</v>
      </c>
      <c r="H5763" s="28">
        <f t="shared" si="189"/>
        <v>632.62</v>
      </c>
      <c r="I5763" s="28">
        <f t="shared" si="190"/>
        <v>647.80679999999995</v>
      </c>
      <c r="J5763" s="28">
        <f t="shared" si="191"/>
        <v>659.53930000000003</v>
      </c>
      <c r="K5763" s="28">
        <f t="shared" si="192"/>
        <v>679.4701</v>
      </c>
      <c r="L5763" s="4"/>
      <c r="M5763" s="241">
        <v>647.80679999999995</v>
      </c>
    </row>
    <row r="5764" spans="3:13" hidden="1" outlineLevel="1" x14ac:dyDescent="0.2">
      <c r="C5764" s="139">
        <v>90.599999999999142</v>
      </c>
      <c r="D5764" s="28">
        <f t="shared" si="185"/>
        <v>724.79999999999313</v>
      </c>
      <c r="E5764" s="28">
        <f t="shared" si="186"/>
        <v>679.49999999999352</v>
      </c>
      <c r="F5764" s="28">
        <f t="shared" si="187"/>
        <v>661.49999999999352</v>
      </c>
      <c r="G5764" s="28">
        <f t="shared" si="188"/>
        <v>602.51850000000002</v>
      </c>
      <c r="H5764" s="28">
        <f t="shared" si="189"/>
        <v>633.61379999999997</v>
      </c>
      <c r="I5764" s="28">
        <f t="shared" si="190"/>
        <v>648.81859999999995</v>
      </c>
      <c r="J5764" s="28">
        <f t="shared" si="191"/>
        <v>660.56380000000001</v>
      </c>
      <c r="K5764" s="28">
        <f t="shared" si="192"/>
        <v>680.5163</v>
      </c>
      <c r="L5764" s="4"/>
      <c r="M5764" s="241">
        <v>648.81859999999995</v>
      </c>
    </row>
    <row r="5765" spans="3:13" hidden="1" outlineLevel="1" x14ac:dyDescent="0.2">
      <c r="C5765" s="139">
        <v>90.699999999999136</v>
      </c>
      <c r="D5765" s="28">
        <f t="shared" si="185"/>
        <v>725.59999999999309</v>
      </c>
      <c r="E5765" s="28">
        <f t="shared" si="186"/>
        <v>680.24999999999352</v>
      </c>
      <c r="F5765" s="28">
        <f t="shared" si="187"/>
        <v>662.24999999999352</v>
      </c>
      <c r="G5765" s="28">
        <f t="shared" si="188"/>
        <v>603.48050000000001</v>
      </c>
      <c r="H5765" s="28">
        <f t="shared" si="189"/>
        <v>634.60770000000002</v>
      </c>
      <c r="I5765" s="28">
        <f t="shared" si="190"/>
        <v>649.83040000000005</v>
      </c>
      <c r="J5765" s="28">
        <f t="shared" si="191"/>
        <v>661.58839999999998</v>
      </c>
      <c r="K5765" s="28">
        <f t="shared" si="192"/>
        <v>681.56799999999998</v>
      </c>
      <c r="L5765" s="4"/>
      <c r="M5765" s="241">
        <v>649.83040000000005</v>
      </c>
    </row>
    <row r="5766" spans="3:13" hidden="1" outlineLevel="1" x14ac:dyDescent="0.2">
      <c r="C5766" s="139">
        <v>90.79999999999913</v>
      </c>
      <c r="D5766" s="28">
        <f t="shared" si="185"/>
        <v>726.39999999999304</v>
      </c>
      <c r="E5766" s="28">
        <f t="shared" si="186"/>
        <v>680.99999999999352</v>
      </c>
      <c r="F5766" s="28">
        <f t="shared" si="187"/>
        <v>662.99999999999352</v>
      </c>
      <c r="G5766" s="28">
        <f t="shared" si="188"/>
        <v>603.48050000000001</v>
      </c>
      <c r="H5766" s="28">
        <f t="shared" si="189"/>
        <v>634.60770000000002</v>
      </c>
      <c r="I5766" s="28">
        <f t="shared" si="190"/>
        <v>649.83040000000005</v>
      </c>
      <c r="J5766" s="28">
        <f t="shared" si="191"/>
        <v>661.58839999999998</v>
      </c>
      <c r="K5766" s="28">
        <f t="shared" si="192"/>
        <v>681.56799999999998</v>
      </c>
      <c r="L5766" s="4"/>
      <c r="M5766" s="241">
        <v>649.83040000000005</v>
      </c>
    </row>
    <row r="5767" spans="3:13" hidden="1" outlineLevel="1" x14ac:dyDescent="0.2">
      <c r="C5767" s="139">
        <v>90.899999999999125</v>
      </c>
      <c r="D5767" s="28">
        <f t="shared" si="185"/>
        <v>727.199999999993</v>
      </c>
      <c r="E5767" s="28">
        <f t="shared" si="186"/>
        <v>681.74999999999341</v>
      </c>
      <c r="F5767" s="28">
        <f t="shared" si="187"/>
        <v>663.74999999999341</v>
      </c>
      <c r="G5767" s="28">
        <f t="shared" si="188"/>
        <v>604.44269999999995</v>
      </c>
      <c r="H5767" s="28">
        <f t="shared" si="189"/>
        <v>635.60180000000003</v>
      </c>
      <c r="I5767" s="28">
        <f t="shared" si="190"/>
        <v>650.83730000000003</v>
      </c>
      <c r="J5767" s="28">
        <f t="shared" si="191"/>
        <v>662.61300000000006</v>
      </c>
      <c r="K5767" s="28">
        <f t="shared" si="192"/>
        <v>682.61429999999996</v>
      </c>
      <c r="L5767" s="4"/>
      <c r="M5767" s="241">
        <v>650.83730000000003</v>
      </c>
    </row>
    <row r="5768" spans="3:13" hidden="1" outlineLevel="1" x14ac:dyDescent="0.2">
      <c r="C5768" s="139">
        <v>90.999999999999119</v>
      </c>
      <c r="D5768" s="28">
        <f t="shared" si="185"/>
        <v>727.99999999999295</v>
      </c>
      <c r="E5768" s="28">
        <f t="shared" si="186"/>
        <v>682.49999999999341</v>
      </c>
      <c r="F5768" s="28">
        <f t="shared" si="187"/>
        <v>664.49999999999341</v>
      </c>
      <c r="G5768" s="28">
        <f t="shared" si="188"/>
        <v>605.40509999999995</v>
      </c>
      <c r="H5768" s="28">
        <f t="shared" si="189"/>
        <v>636.59590000000003</v>
      </c>
      <c r="I5768" s="28">
        <f t="shared" si="190"/>
        <v>651.84939999999995</v>
      </c>
      <c r="J5768" s="28">
        <f t="shared" si="191"/>
        <v>663.63779999999997</v>
      </c>
      <c r="K5768" s="28">
        <f t="shared" si="192"/>
        <v>683.66610000000003</v>
      </c>
      <c r="L5768" s="4"/>
      <c r="M5768" s="241">
        <v>651.84939999999995</v>
      </c>
    </row>
    <row r="5769" spans="3:13" hidden="1" outlineLevel="1" x14ac:dyDescent="0.2">
      <c r="C5769" s="139">
        <v>91.099999999999113</v>
      </c>
      <c r="D5769" s="28">
        <f t="shared" si="185"/>
        <v>728.79999999999291</v>
      </c>
      <c r="E5769" s="28">
        <f t="shared" si="186"/>
        <v>683.24999999999341</v>
      </c>
      <c r="F5769" s="28">
        <f t="shared" si="187"/>
        <v>665.24999999999341</v>
      </c>
      <c r="G5769" s="28">
        <f t="shared" si="188"/>
        <v>606.36749999999995</v>
      </c>
      <c r="H5769" s="28">
        <f t="shared" si="189"/>
        <v>637.59019999999998</v>
      </c>
      <c r="I5769" s="28">
        <f t="shared" si="190"/>
        <v>652.86149999999998</v>
      </c>
      <c r="J5769" s="28">
        <f t="shared" si="191"/>
        <v>664.6626</v>
      </c>
      <c r="K5769" s="28">
        <f t="shared" si="192"/>
        <v>684.71249999999998</v>
      </c>
      <c r="L5769" s="4"/>
      <c r="M5769" s="241">
        <v>652.86149999999998</v>
      </c>
    </row>
    <row r="5770" spans="3:13" hidden="1" outlineLevel="1" x14ac:dyDescent="0.2">
      <c r="C5770" s="139">
        <v>91.199999999999108</v>
      </c>
      <c r="D5770" s="28">
        <f t="shared" si="185"/>
        <v>729.59999999999286</v>
      </c>
      <c r="E5770" s="28">
        <f t="shared" si="186"/>
        <v>683.99999999999329</v>
      </c>
      <c r="F5770" s="28">
        <f t="shared" si="187"/>
        <v>665.99999999999329</v>
      </c>
      <c r="G5770" s="28">
        <f t="shared" si="188"/>
        <v>606.36749999999995</v>
      </c>
      <c r="H5770" s="28">
        <f t="shared" si="189"/>
        <v>637.59019999999998</v>
      </c>
      <c r="I5770" s="28">
        <f t="shared" si="190"/>
        <v>652.86149999999998</v>
      </c>
      <c r="J5770" s="28">
        <f t="shared" si="191"/>
        <v>664.6626</v>
      </c>
      <c r="K5770" s="28">
        <f t="shared" si="192"/>
        <v>684.71249999999998</v>
      </c>
      <c r="L5770" s="4"/>
      <c r="M5770" s="241">
        <v>652.86149999999998</v>
      </c>
    </row>
    <row r="5771" spans="3:13" hidden="1" outlineLevel="1" x14ac:dyDescent="0.2">
      <c r="C5771" s="139">
        <v>91.299999999999102</v>
      </c>
      <c r="D5771" s="28">
        <f t="shared" si="185"/>
        <v>730.39999999999281</v>
      </c>
      <c r="E5771" s="28">
        <f t="shared" si="186"/>
        <v>684.74999999999329</v>
      </c>
      <c r="F5771" s="28">
        <f t="shared" si="187"/>
        <v>666.74999999999329</v>
      </c>
      <c r="G5771" s="28">
        <f t="shared" si="188"/>
        <v>607.33019999999999</v>
      </c>
      <c r="H5771" s="28">
        <f t="shared" si="189"/>
        <v>638.57939999999996</v>
      </c>
      <c r="I5771" s="28">
        <f t="shared" si="190"/>
        <v>653.86869999999999</v>
      </c>
      <c r="J5771" s="28">
        <f t="shared" si="191"/>
        <v>665.68240000000003</v>
      </c>
      <c r="K5771" s="28">
        <f t="shared" si="192"/>
        <v>685.7645</v>
      </c>
      <c r="L5771" s="4"/>
      <c r="M5771" s="241">
        <v>653.86869999999999</v>
      </c>
    </row>
    <row r="5772" spans="3:13" hidden="1" outlineLevel="1" x14ac:dyDescent="0.2">
      <c r="C5772" s="139">
        <v>91.399999999999096</v>
      </c>
      <c r="D5772" s="28">
        <f t="shared" si="185"/>
        <v>731.19999999999277</v>
      </c>
      <c r="E5772" s="28">
        <f t="shared" si="186"/>
        <v>685.49999999999318</v>
      </c>
      <c r="F5772" s="28">
        <f t="shared" si="187"/>
        <v>667.49999999999318</v>
      </c>
      <c r="G5772" s="28">
        <f t="shared" si="188"/>
        <v>608.28790000000004</v>
      </c>
      <c r="H5772" s="28">
        <f t="shared" si="189"/>
        <v>639.57389999999998</v>
      </c>
      <c r="I5772" s="28">
        <f t="shared" si="190"/>
        <v>654.88099999999997</v>
      </c>
      <c r="J5772" s="28">
        <f t="shared" si="191"/>
        <v>666.70740000000001</v>
      </c>
      <c r="K5772" s="28">
        <f t="shared" si="192"/>
        <v>686.81100000000004</v>
      </c>
      <c r="L5772" s="4"/>
      <c r="M5772" s="241">
        <v>654.88099999999997</v>
      </c>
    </row>
    <row r="5773" spans="3:13" hidden="1" outlineLevel="1" x14ac:dyDescent="0.2">
      <c r="C5773" s="139">
        <v>91.499999999999091</v>
      </c>
      <c r="D5773" s="28">
        <f t="shared" si="185"/>
        <v>731.99999999999272</v>
      </c>
      <c r="E5773" s="28">
        <f t="shared" si="186"/>
        <v>686.24999999999318</v>
      </c>
      <c r="F5773" s="28">
        <f t="shared" si="187"/>
        <v>668.24999999999318</v>
      </c>
      <c r="G5773" s="28">
        <f t="shared" si="188"/>
        <v>609.25080000000003</v>
      </c>
      <c r="H5773" s="28">
        <f t="shared" si="189"/>
        <v>640.5684</v>
      </c>
      <c r="I5773" s="28">
        <f t="shared" si="190"/>
        <v>655.88829999999996</v>
      </c>
      <c r="J5773" s="28">
        <f t="shared" si="191"/>
        <v>667.73239999999998</v>
      </c>
      <c r="K5773" s="28">
        <f t="shared" si="192"/>
        <v>687.85749999999996</v>
      </c>
      <c r="L5773" s="4"/>
      <c r="M5773" s="241">
        <v>655.88829999999996</v>
      </c>
    </row>
    <row r="5774" spans="3:13" hidden="1" outlineLevel="1" x14ac:dyDescent="0.2">
      <c r="C5774" s="139">
        <v>91.599999999999085</v>
      </c>
      <c r="D5774" s="28">
        <f t="shared" si="185"/>
        <v>732.79999999999268</v>
      </c>
      <c r="E5774" s="28">
        <f t="shared" si="186"/>
        <v>686.99999999999318</v>
      </c>
      <c r="F5774" s="28">
        <f t="shared" si="187"/>
        <v>668.99999999999318</v>
      </c>
      <c r="G5774" s="28">
        <f t="shared" si="188"/>
        <v>609.25080000000003</v>
      </c>
      <c r="H5774" s="28">
        <f t="shared" si="189"/>
        <v>640.5684</v>
      </c>
      <c r="I5774" s="28">
        <f t="shared" si="190"/>
        <v>655.88829999999996</v>
      </c>
      <c r="J5774" s="28">
        <f t="shared" si="191"/>
        <v>667.73239999999998</v>
      </c>
      <c r="K5774" s="28">
        <f t="shared" si="192"/>
        <v>687.85749999999996</v>
      </c>
      <c r="L5774" s="4"/>
      <c r="M5774" s="241">
        <v>655.88829999999996</v>
      </c>
    </row>
    <row r="5775" spans="3:13" hidden="1" outlineLevel="1" x14ac:dyDescent="0.2">
      <c r="C5775" s="139">
        <v>91.699999999999079</v>
      </c>
      <c r="D5775" s="28">
        <f t="shared" si="185"/>
        <v>733.59999999999263</v>
      </c>
      <c r="E5775" s="28">
        <f t="shared" si="186"/>
        <v>687.74999999999307</v>
      </c>
      <c r="F5775" s="28">
        <f t="shared" si="187"/>
        <v>669.74999999999307</v>
      </c>
      <c r="G5775" s="28">
        <f t="shared" si="188"/>
        <v>610.21389999999997</v>
      </c>
      <c r="H5775" s="28">
        <f t="shared" si="189"/>
        <v>641.56309999999996</v>
      </c>
      <c r="I5775" s="28">
        <f t="shared" si="190"/>
        <v>656.9008</v>
      </c>
      <c r="J5775" s="28">
        <f t="shared" si="191"/>
        <v>668.75760000000002</v>
      </c>
      <c r="K5775" s="28">
        <f t="shared" si="192"/>
        <v>688.90970000000004</v>
      </c>
      <c r="L5775" s="4"/>
      <c r="M5775" s="241">
        <v>656.9008</v>
      </c>
    </row>
    <row r="5776" spans="3:13" hidden="1" outlineLevel="1" x14ac:dyDescent="0.2">
      <c r="C5776" s="139">
        <v>91.799999999999073</v>
      </c>
      <c r="D5776" s="28">
        <f t="shared" si="185"/>
        <v>734.39999999999259</v>
      </c>
      <c r="E5776" s="28">
        <f t="shared" si="186"/>
        <v>688.49999999999307</v>
      </c>
      <c r="F5776" s="28">
        <f t="shared" si="187"/>
        <v>670.49999999999307</v>
      </c>
      <c r="G5776" s="28">
        <f t="shared" si="188"/>
        <v>611.17719999999997</v>
      </c>
      <c r="H5776" s="28">
        <f t="shared" si="189"/>
        <v>642.55280000000005</v>
      </c>
      <c r="I5776" s="28">
        <f t="shared" si="190"/>
        <v>657.90830000000005</v>
      </c>
      <c r="J5776" s="28">
        <f t="shared" si="191"/>
        <v>669.77760000000001</v>
      </c>
      <c r="K5776" s="28">
        <f t="shared" si="192"/>
        <v>689.95630000000006</v>
      </c>
      <c r="L5776" s="4"/>
      <c r="M5776" s="241">
        <v>657.90830000000005</v>
      </c>
    </row>
    <row r="5777" spans="3:13" hidden="1" outlineLevel="1" x14ac:dyDescent="0.2">
      <c r="C5777" s="139">
        <v>91.899999999999068</v>
      </c>
      <c r="D5777" s="28">
        <f t="shared" si="185"/>
        <v>735.19999999999254</v>
      </c>
      <c r="E5777" s="28">
        <f t="shared" si="186"/>
        <v>689.24999999999295</v>
      </c>
      <c r="F5777" s="28">
        <f t="shared" si="187"/>
        <v>671.24999999999295</v>
      </c>
      <c r="G5777" s="28">
        <f t="shared" si="188"/>
        <v>612.14059999999995</v>
      </c>
      <c r="H5777" s="28">
        <f t="shared" si="189"/>
        <v>643.54759999999999</v>
      </c>
      <c r="I5777" s="28">
        <f t="shared" si="190"/>
        <v>658.92100000000005</v>
      </c>
      <c r="J5777" s="28">
        <f t="shared" si="191"/>
        <v>670.80290000000002</v>
      </c>
      <c r="K5777" s="28">
        <f t="shared" si="192"/>
        <v>691.0086</v>
      </c>
      <c r="L5777" s="4"/>
      <c r="M5777" s="241">
        <v>658.92100000000005</v>
      </c>
    </row>
    <row r="5778" spans="3:13" hidden="1" outlineLevel="1" x14ac:dyDescent="0.2">
      <c r="C5778" s="139">
        <v>91.999999999999062</v>
      </c>
      <c r="D5778" s="28">
        <f t="shared" si="185"/>
        <v>735.9999999999925</v>
      </c>
      <c r="E5778" s="28">
        <f t="shared" si="186"/>
        <v>689.99999999999295</v>
      </c>
      <c r="F5778" s="28">
        <f t="shared" si="187"/>
        <v>671.99999999999295</v>
      </c>
      <c r="G5778" s="28">
        <f t="shared" si="188"/>
        <v>612.14059999999995</v>
      </c>
      <c r="H5778" s="28">
        <f t="shared" si="189"/>
        <v>643.54759999999999</v>
      </c>
      <c r="I5778" s="28">
        <f t="shared" si="190"/>
        <v>658.92100000000005</v>
      </c>
      <c r="J5778" s="28">
        <f t="shared" si="191"/>
        <v>670.80290000000002</v>
      </c>
      <c r="K5778" s="28">
        <f t="shared" si="192"/>
        <v>691.0086</v>
      </c>
      <c r="L5778" s="4"/>
      <c r="M5778" s="241">
        <v>658.92100000000005</v>
      </c>
    </row>
    <row r="5779" spans="3:13" hidden="1" outlineLevel="1" x14ac:dyDescent="0.2">
      <c r="C5779" s="139">
        <v>92.099999999999056</v>
      </c>
      <c r="D5779" s="28">
        <f t="shared" si="185"/>
        <v>736.79999999999245</v>
      </c>
      <c r="E5779" s="28">
        <f t="shared" si="186"/>
        <v>690.74999999999295</v>
      </c>
      <c r="F5779" s="28">
        <f t="shared" si="187"/>
        <v>672.74999999999295</v>
      </c>
      <c r="G5779" s="28">
        <f t="shared" si="188"/>
        <v>613.10410000000002</v>
      </c>
      <c r="H5779" s="28">
        <f t="shared" si="189"/>
        <v>644.54259999999999</v>
      </c>
      <c r="I5779" s="28">
        <f t="shared" si="190"/>
        <v>659.92859999999996</v>
      </c>
      <c r="J5779" s="28">
        <f t="shared" si="191"/>
        <v>671.82820000000004</v>
      </c>
      <c r="K5779" s="28">
        <f t="shared" si="192"/>
        <v>692.05539999999996</v>
      </c>
      <c r="L5779" s="4"/>
      <c r="M5779" s="241">
        <v>659.92859999999996</v>
      </c>
    </row>
    <row r="5780" spans="3:13" hidden="1" outlineLevel="1" x14ac:dyDescent="0.2">
      <c r="C5780" s="139">
        <v>92.199999999999051</v>
      </c>
      <c r="D5780" s="28">
        <f t="shared" si="185"/>
        <v>737.59999999999241</v>
      </c>
      <c r="E5780" s="28">
        <f t="shared" si="186"/>
        <v>691.49999999999284</v>
      </c>
      <c r="F5780" s="28">
        <f t="shared" si="187"/>
        <v>673.49999999999284</v>
      </c>
      <c r="G5780" s="28">
        <f t="shared" si="188"/>
        <v>614.06269999999995</v>
      </c>
      <c r="H5780" s="28">
        <f t="shared" si="189"/>
        <v>645.5326</v>
      </c>
      <c r="I5780" s="28">
        <f t="shared" si="190"/>
        <v>660.94140000000004</v>
      </c>
      <c r="J5780" s="28">
        <f t="shared" si="191"/>
        <v>672.8537</v>
      </c>
      <c r="K5780" s="28">
        <f t="shared" si="192"/>
        <v>693.10209999999995</v>
      </c>
      <c r="L5780" s="4"/>
      <c r="M5780" s="241">
        <v>660.94140000000004</v>
      </c>
    </row>
    <row r="5781" spans="3:13" hidden="1" outlineLevel="1" x14ac:dyDescent="0.2">
      <c r="C5781" s="139">
        <v>92.299999999999045</v>
      </c>
      <c r="D5781" s="28">
        <f t="shared" si="185"/>
        <v>738.39999999999236</v>
      </c>
      <c r="E5781" s="28">
        <f t="shared" si="186"/>
        <v>692.24999999999284</v>
      </c>
      <c r="F5781" s="28">
        <f t="shared" si="187"/>
        <v>674.24999999999284</v>
      </c>
      <c r="G5781" s="28">
        <f t="shared" si="188"/>
        <v>615.02650000000006</v>
      </c>
      <c r="H5781" s="28">
        <f t="shared" si="189"/>
        <v>646.52769999999998</v>
      </c>
      <c r="I5781" s="28">
        <f t="shared" si="190"/>
        <v>661.94920000000002</v>
      </c>
      <c r="J5781" s="28">
        <f t="shared" si="191"/>
        <v>673.87400000000002</v>
      </c>
      <c r="K5781" s="28">
        <f t="shared" si="192"/>
        <v>694.15459999999996</v>
      </c>
      <c r="L5781" s="4"/>
      <c r="M5781" s="241">
        <v>661.94920000000002</v>
      </c>
    </row>
    <row r="5782" spans="3:13" hidden="1" outlineLevel="1" x14ac:dyDescent="0.2">
      <c r="C5782" s="139">
        <v>92.399999999999039</v>
      </c>
      <c r="D5782" s="28">
        <f t="shared" si="185"/>
        <v>739.19999999999231</v>
      </c>
      <c r="E5782" s="28">
        <f t="shared" si="186"/>
        <v>692.99999999999284</v>
      </c>
      <c r="F5782" s="28">
        <f t="shared" si="187"/>
        <v>674.99999999999284</v>
      </c>
      <c r="G5782" s="28">
        <f t="shared" si="188"/>
        <v>615.02650000000006</v>
      </c>
      <c r="H5782" s="28">
        <f t="shared" si="189"/>
        <v>646.52769999999998</v>
      </c>
      <c r="I5782" s="28">
        <f t="shared" si="190"/>
        <v>661.94920000000002</v>
      </c>
      <c r="J5782" s="28">
        <f t="shared" si="191"/>
        <v>673.87400000000002</v>
      </c>
      <c r="K5782" s="28">
        <f t="shared" si="192"/>
        <v>694.15459999999996</v>
      </c>
      <c r="L5782" s="4"/>
      <c r="M5782" s="241">
        <v>661.94920000000002</v>
      </c>
    </row>
    <row r="5783" spans="3:13" hidden="1" outlineLevel="1" x14ac:dyDescent="0.2">
      <c r="C5783" s="139">
        <v>92.499999999999034</v>
      </c>
      <c r="D5783" s="28">
        <f t="shared" si="185"/>
        <v>739.99999999999227</v>
      </c>
      <c r="E5783" s="28">
        <f t="shared" si="186"/>
        <v>693.74999999999272</v>
      </c>
      <c r="F5783" s="28">
        <f t="shared" si="187"/>
        <v>675.74999999999272</v>
      </c>
      <c r="G5783" s="28">
        <f t="shared" si="188"/>
        <v>615.9905</v>
      </c>
      <c r="H5783" s="28">
        <f t="shared" si="189"/>
        <v>647.52300000000002</v>
      </c>
      <c r="I5783" s="28">
        <f t="shared" si="190"/>
        <v>662.96220000000005</v>
      </c>
      <c r="J5783" s="28">
        <f t="shared" si="191"/>
        <v>674.89959999999996</v>
      </c>
      <c r="K5783" s="28">
        <f t="shared" si="192"/>
        <v>695.20150000000001</v>
      </c>
      <c r="L5783" s="4"/>
      <c r="M5783" s="241">
        <v>662.96220000000005</v>
      </c>
    </row>
    <row r="5784" spans="3:13" hidden="1" outlineLevel="1" x14ac:dyDescent="0.2">
      <c r="C5784" s="139">
        <v>92.599999999999028</v>
      </c>
      <c r="D5784" s="28">
        <f t="shared" si="185"/>
        <v>740.79999999999222</v>
      </c>
      <c r="E5784" s="28">
        <f t="shared" si="186"/>
        <v>694.49999999999272</v>
      </c>
      <c r="F5784" s="28">
        <f t="shared" si="187"/>
        <v>676.49999999999272</v>
      </c>
      <c r="G5784" s="28">
        <f t="shared" si="188"/>
        <v>616.9547</v>
      </c>
      <c r="H5784" s="28">
        <f t="shared" si="189"/>
        <v>648.51329999999996</v>
      </c>
      <c r="I5784" s="28">
        <f t="shared" si="190"/>
        <v>663.97019999999998</v>
      </c>
      <c r="J5784" s="28">
        <f t="shared" si="191"/>
        <v>675.92520000000002</v>
      </c>
      <c r="K5784" s="28">
        <f t="shared" si="192"/>
        <v>696.25419999999997</v>
      </c>
      <c r="L5784" s="4"/>
      <c r="M5784" s="241">
        <v>663.97019999999998</v>
      </c>
    </row>
    <row r="5785" spans="3:13" hidden="1" outlineLevel="1" x14ac:dyDescent="0.2">
      <c r="C5785" s="139">
        <v>92.699999999999022</v>
      </c>
      <c r="D5785" s="28">
        <f t="shared" si="185"/>
        <v>741.59999999999218</v>
      </c>
      <c r="E5785" s="28">
        <f t="shared" si="186"/>
        <v>695.24999999999272</v>
      </c>
      <c r="F5785" s="28">
        <f t="shared" si="187"/>
        <v>677.24999999999272</v>
      </c>
      <c r="G5785" s="28">
        <f t="shared" si="188"/>
        <v>617.91380000000004</v>
      </c>
      <c r="H5785" s="28">
        <f t="shared" si="189"/>
        <v>649.50879999999995</v>
      </c>
      <c r="I5785" s="28">
        <f t="shared" si="190"/>
        <v>664.97820000000002</v>
      </c>
      <c r="J5785" s="28">
        <f t="shared" si="191"/>
        <v>676.94579999999996</v>
      </c>
      <c r="K5785" s="28">
        <f t="shared" si="192"/>
        <v>697.30119999999999</v>
      </c>
      <c r="L5785" s="4"/>
      <c r="M5785" s="241">
        <v>664.97820000000002</v>
      </c>
    </row>
    <row r="5786" spans="3:13" hidden="1" outlineLevel="1" x14ac:dyDescent="0.2">
      <c r="C5786" s="139">
        <v>92.799999999999017</v>
      </c>
      <c r="D5786" s="28">
        <f t="shared" si="185"/>
        <v>742.39999999999213</v>
      </c>
      <c r="E5786" s="28">
        <f t="shared" si="186"/>
        <v>695.99999999999261</v>
      </c>
      <c r="F5786" s="28">
        <f t="shared" si="187"/>
        <v>677.99999999999261</v>
      </c>
      <c r="G5786" s="28">
        <f t="shared" si="188"/>
        <v>617.91380000000004</v>
      </c>
      <c r="H5786" s="28">
        <f t="shared" si="189"/>
        <v>649.50879999999995</v>
      </c>
      <c r="I5786" s="28">
        <f t="shared" si="190"/>
        <v>664.97820000000002</v>
      </c>
      <c r="J5786" s="28">
        <f t="shared" si="191"/>
        <v>676.94579999999996</v>
      </c>
      <c r="K5786" s="28">
        <f t="shared" si="192"/>
        <v>697.30119999999999</v>
      </c>
      <c r="L5786" s="4"/>
      <c r="M5786" s="241">
        <v>664.97820000000002</v>
      </c>
    </row>
    <row r="5787" spans="3:13" hidden="1" outlineLevel="1" x14ac:dyDescent="0.2">
      <c r="C5787" s="139">
        <v>92.899999999999011</v>
      </c>
      <c r="D5787" s="28">
        <f t="shared" si="185"/>
        <v>743.19999999999209</v>
      </c>
      <c r="E5787" s="28">
        <f t="shared" si="186"/>
        <v>696.74999999999261</v>
      </c>
      <c r="F5787" s="28">
        <f t="shared" si="187"/>
        <v>678.74999999999261</v>
      </c>
      <c r="G5787" s="28">
        <f t="shared" si="188"/>
        <v>618.87829999999997</v>
      </c>
      <c r="H5787" s="28">
        <f t="shared" si="189"/>
        <v>650.49919999999997</v>
      </c>
      <c r="I5787" s="28">
        <f t="shared" si="190"/>
        <v>665.99149999999997</v>
      </c>
      <c r="J5787" s="28">
        <f t="shared" si="191"/>
        <v>677.97149999999999</v>
      </c>
      <c r="K5787" s="28">
        <f t="shared" si="192"/>
        <v>698.34820000000002</v>
      </c>
      <c r="L5787" s="4"/>
      <c r="M5787" s="241">
        <v>665.99149999999997</v>
      </c>
    </row>
    <row r="5788" spans="3:13" hidden="1" outlineLevel="1" x14ac:dyDescent="0.2">
      <c r="C5788" s="139">
        <v>92.999999999999005</v>
      </c>
      <c r="D5788" s="28">
        <f t="shared" si="185"/>
        <v>743.99999999999204</v>
      </c>
      <c r="E5788" s="28">
        <f t="shared" si="186"/>
        <v>697.4999999999925</v>
      </c>
      <c r="F5788" s="28">
        <f t="shared" si="187"/>
        <v>679.4999999999925</v>
      </c>
      <c r="G5788" s="28">
        <f t="shared" si="188"/>
        <v>619.84289999999999</v>
      </c>
      <c r="H5788" s="28">
        <f t="shared" si="189"/>
        <v>651.49490000000003</v>
      </c>
      <c r="I5788" s="28">
        <f t="shared" si="190"/>
        <v>666.99969999999996</v>
      </c>
      <c r="J5788" s="28">
        <f t="shared" si="191"/>
        <v>678.99739999999997</v>
      </c>
      <c r="K5788" s="28">
        <f t="shared" si="192"/>
        <v>699.40099999999995</v>
      </c>
      <c r="L5788" s="4"/>
      <c r="M5788" s="241">
        <v>666.99969999999996</v>
      </c>
    </row>
    <row r="5789" spans="3:13" hidden="1" outlineLevel="1" x14ac:dyDescent="0.2">
      <c r="C5789" s="139">
        <v>93.099999999999</v>
      </c>
      <c r="D5789" s="28">
        <f t="shared" si="185"/>
        <v>744.799999999992</v>
      </c>
      <c r="E5789" s="28">
        <f t="shared" si="186"/>
        <v>698.2499999999925</v>
      </c>
      <c r="F5789" s="28">
        <f t="shared" si="187"/>
        <v>680.2499999999925</v>
      </c>
      <c r="G5789" s="28">
        <f t="shared" si="188"/>
        <v>620.80250000000001</v>
      </c>
      <c r="H5789" s="28">
        <f t="shared" si="189"/>
        <v>652.49069999999995</v>
      </c>
      <c r="I5789" s="28">
        <f t="shared" si="190"/>
        <v>668.01319999999998</v>
      </c>
      <c r="J5789" s="28">
        <f t="shared" si="191"/>
        <v>680.01790000000005</v>
      </c>
      <c r="K5789" s="28">
        <f t="shared" si="192"/>
        <v>700.44820000000004</v>
      </c>
      <c r="L5789" s="4"/>
      <c r="M5789" s="241">
        <v>668.01319999999998</v>
      </c>
    </row>
    <row r="5790" spans="3:13" hidden="1" outlineLevel="1" x14ac:dyDescent="0.2">
      <c r="C5790" s="139">
        <v>93.199999999998994</v>
      </c>
      <c r="D5790" s="28">
        <f t="shared" si="185"/>
        <v>745.59999999999195</v>
      </c>
      <c r="E5790" s="28">
        <f t="shared" si="186"/>
        <v>698.9999999999925</v>
      </c>
      <c r="F5790" s="28">
        <f t="shared" si="187"/>
        <v>680.9999999999925</v>
      </c>
      <c r="G5790" s="28">
        <f t="shared" si="188"/>
        <v>620.80250000000001</v>
      </c>
      <c r="H5790" s="28">
        <f t="shared" si="189"/>
        <v>652.49069999999995</v>
      </c>
      <c r="I5790" s="28">
        <f t="shared" si="190"/>
        <v>668.01319999999998</v>
      </c>
      <c r="J5790" s="28">
        <f t="shared" si="191"/>
        <v>680.01790000000005</v>
      </c>
      <c r="K5790" s="28">
        <f t="shared" si="192"/>
        <v>700.44820000000004</v>
      </c>
      <c r="L5790" s="4"/>
      <c r="M5790" s="241">
        <v>668.01319999999998</v>
      </c>
    </row>
    <row r="5791" spans="3:13" hidden="1" outlineLevel="1" x14ac:dyDescent="0.2">
      <c r="C5791" s="139">
        <v>93.299999999998988</v>
      </c>
      <c r="D5791" s="28">
        <f t="shared" si="185"/>
        <v>746.39999999999191</v>
      </c>
      <c r="E5791" s="28">
        <f t="shared" si="186"/>
        <v>699.74999999999238</v>
      </c>
      <c r="F5791" s="28">
        <f t="shared" si="187"/>
        <v>681.74999999999238</v>
      </c>
      <c r="G5791" s="28">
        <f t="shared" si="188"/>
        <v>621.76739999999995</v>
      </c>
      <c r="H5791" s="28">
        <f t="shared" si="189"/>
        <v>653.48140000000001</v>
      </c>
      <c r="I5791" s="28">
        <f t="shared" si="190"/>
        <v>669.02149999999995</v>
      </c>
      <c r="J5791" s="28">
        <f t="shared" si="191"/>
        <v>681.04650000000004</v>
      </c>
      <c r="K5791" s="28">
        <f t="shared" si="192"/>
        <v>701.49540000000002</v>
      </c>
      <c r="L5791" s="4"/>
      <c r="M5791" s="241">
        <v>669.02149999999995</v>
      </c>
    </row>
    <row r="5792" spans="3:13" hidden="1" outlineLevel="1" x14ac:dyDescent="0.2">
      <c r="C5792" s="139">
        <v>93.399999999998983</v>
      </c>
      <c r="D5792" s="28">
        <f t="shared" si="185"/>
        <v>747.19999999999186</v>
      </c>
      <c r="E5792" s="28">
        <f t="shared" si="186"/>
        <v>700.49999999999238</v>
      </c>
      <c r="F5792" s="28">
        <f t="shared" si="187"/>
        <v>682.49999999999238</v>
      </c>
      <c r="G5792" s="28">
        <f t="shared" si="188"/>
        <v>622.72720000000004</v>
      </c>
      <c r="H5792" s="28">
        <f t="shared" si="189"/>
        <v>654.47739999999999</v>
      </c>
      <c r="I5792" s="28">
        <f t="shared" si="190"/>
        <v>670.0299</v>
      </c>
      <c r="J5792" s="28">
        <f t="shared" si="191"/>
        <v>682.06949999999995</v>
      </c>
      <c r="K5792" s="28">
        <f t="shared" si="192"/>
        <v>702.54840000000002</v>
      </c>
      <c r="L5792" s="4"/>
      <c r="M5792" s="241">
        <v>670.0299</v>
      </c>
    </row>
    <row r="5793" spans="3:13" hidden="1" outlineLevel="1" x14ac:dyDescent="0.2">
      <c r="C5793" s="139">
        <v>93.499999999998977</v>
      </c>
      <c r="D5793" s="28">
        <f t="shared" si="185"/>
        <v>747.99999999999181</v>
      </c>
      <c r="E5793" s="28">
        <f t="shared" si="186"/>
        <v>701.24999999999227</v>
      </c>
      <c r="F5793" s="28">
        <f t="shared" si="187"/>
        <v>683.24999999999227</v>
      </c>
      <c r="G5793" s="28">
        <f t="shared" si="188"/>
        <v>623.69240000000002</v>
      </c>
      <c r="H5793" s="28">
        <f t="shared" si="189"/>
        <v>655.4683</v>
      </c>
      <c r="I5793" s="28">
        <f t="shared" si="190"/>
        <v>671.04359999999997</v>
      </c>
      <c r="J5793" s="28">
        <f t="shared" si="191"/>
        <v>683.09249999999997</v>
      </c>
      <c r="K5793" s="28">
        <f t="shared" si="192"/>
        <v>703.59569999999997</v>
      </c>
      <c r="L5793" s="4"/>
      <c r="M5793" s="241">
        <v>671.04359999999997</v>
      </c>
    </row>
    <row r="5794" spans="3:13" hidden="1" outlineLevel="1" x14ac:dyDescent="0.2">
      <c r="C5794" s="139">
        <v>93.599999999998971</v>
      </c>
      <c r="D5794" s="28">
        <f t="shared" si="185"/>
        <v>748.79999999999177</v>
      </c>
      <c r="E5794" s="28">
        <f t="shared" si="186"/>
        <v>701.99999999999227</v>
      </c>
      <c r="F5794" s="28">
        <f t="shared" si="187"/>
        <v>683.99999999999227</v>
      </c>
      <c r="G5794" s="28">
        <f t="shared" si="188"/>
        <v>623.69240000000002</v>
      </c>
      <c r="H5794" s="28">
        <f t="shared" si="189"/>
        <v>655.4683</v>
      </c>
      <c r="I5794" s="28">
        <f t="shared" si="190"/>
        <v>671.04359999999997</v>
      </c>
      <c r="J5794" s="28">
        <f t="shared" si="191"/>
        <v>683.09249999999997</v>
      </c>
      <c r="K5794" s="28">
        <f t="shared" si="192"/>
        <v>703.59569999999997</v>
      </c>
      <c r="L5794" s="4"/>
      <c r="M5794" s="241">
        <v>671.04359999999997</v>
      </c>
    </row>
    <row r="5795" spans="3:13" hidden="1" outlineLevel="1" x14ac:dyDescent="0.2">
      <c r="C5795" s="139">
        <v>93.699999999998965</v>
      </c>
      <c r="D5795" s="28">
        <f t="shared" si="185"/>
        <v>749.59999999999172</v>
      </c>
      <c r="E5795" s="28">
        <f t="shared" si="186"/>
        <v>702.74999999999227</v>
      </c>
      <c r="F5795" s="28">
        <f t="shared" si="187"/>
        <v>684.74999999999227</v>
      </c>
      <c r="G5795" s="28">
        <f t="shared" si="188"/>
        <v>624.65250000000003</v>
      </c>
      <c r="H5795" s="28">
        <f t="shared" si="189"/>
        <v>656.46460000000002</v>
      </c>
      <c r="I5795" s="28">
        <f t="shared" si="190"/>
        <v>672.05219999999997</v>
      </c>
      <c r="J5795" s="28">
        <f t="shared" si="191"/>
        <v>684.11559999999997</v>
      </c>
      <c r="K5795" s="28">
        <f t="shared" si="192"/>
        <v>704.6431</v>
      </c>
      <c r="L5795" s="4"/>
      <c r="M5795" s="241">
        <v>672.05219999999997</v>
      </c>
    </row>
    <row r="5796" spans="3:13" hidden="1" outlineLevel="1" x14ac:dyDescent="0.2">
      <c r="C5796" s="139">
        <v>93.79999999999896</v>
      </c>
      <c r="D5796" s="28">
        <f t="shared" si="185"/>
        <v>750.39999999999168</v>
      </c>
      <c r="E5796" s="28">
        <f t="shared" si="186"/>
        <v>703.49999999999216</v>
      </c>
      <c r="F5796" s="28">
        <f t="shared" si="187"/>
        <v>685.49999999999216</v>
      </c>
      <c r="G5796" s="28">
        <f t="shared" si="188"/>
        <v>625.61800000000005</v>
      </c>
      <c r="H5796" s="28">
        <f t="shared" si="189"/>
        <v>657.45569999999998</v>
      </c>
      <c r="I5796" s="28">
        <f t="shared" si="190"/>
        <v>673.06089999999995</v>
      </c>
      <c r="J5796" s="28">
        <f t="shared" si="191"/>
        <v>685.13879999999995</v>
      </c>
      <c r="K5796" s="28">
        <f t="shared" si="192"/>
        <v>705.69050000000004</v>
      </c>
      <c r="L5796" s="4"/>
      <c r="M5796" s="241">
        <v>673.06089999999995</v>
      </c>
    </row>
    <row r="5797" spans="3:13" hidden="1" outlineLevel="1" x14ac:dyDescent="0.2">
      <c r="C5797" s="139">
        <v>93.899999999998954</v>
      </c>
      <c r="D5797" s="28">
        <f t="shared" si="185"/>
        <v>751.19999999999163</v>
      </c>
      <c r="E5797" s="28">
        <f t="shared" si="186"/>
        <v>704.24999999999216</v>
      </c>
      <c r="F5797" s="28">
        <f t="shared" si="187"/>
        <v>686.24999999999216</v>
      </c>
      <c r="G5797" s="28">
        <f t="shared" si="188"/>
        <v>626.57849999999996</v>
      </c>
      <c r="H5797" s="28">
        <f t="shared" si="189"/>
        <v>658.45209999999997</v>
      </c>
      <c r="I5797" s="28">
        <f t="shared" si="190"/>
        <v>674.07489999999996</v>
      </c>
      <c r="J5797" s="28">
        <f t="shared" si="191"/>
        <v>686.16200000000003</v>
      </c>
      <c r="K5797" s="28">
        <f t="shared" si="192"/>
        <v>706.74379999999996</v>
      </c>
      <c r="L5797" s="4"/>
      <c r="M5797" s="241">
        <v>674.07489999999996</v>
      </c>
    </row>
    <row r="5798" spans="3:13" hidden="1" outlineLevel="1" x14ac:dyDescent="0.2">
      <c r="C5798" s="139">
        <v>93.999999999998948</v>
      </c>
      <c r="D5798" s="28">
        <f t="shared" si="185"/>
        <v>751.99999999999159</v>
      </c>
      <c r="E5798" s="28">
        <f t="shared" si="186"/>
        <v>704.99999999999216</v>
      </c>
      <c r="F5798" s="28">
        <f t="shared" si="187"/>
        <v>686.99999999999216</v>
      </c>
      <c r="G5798" s="28">
        <f t="shared" si="188"/>
        <v>626.57849999999996</v>
      </c>
      <c r="H5798" s="28">
        <f t="shared" si="189"/>
        <v>658.45209999999997</v>
      </c>
      <c r="I5798" s="28">
        <f t="shared" si="190"/>
        <v>674.07489999999996</v>
      </c>
      <c r="J5798" s="28">
        <f t="shared" si="191"/>
        <v>686.16200000000003</v>
      </c>
      <c r="K5798" s="28">
        <f t="shared" si="192"/>
        <v>706.74379999999996</v>
      </c>
      <c r="L5798" s="4"/>
      <c r="M5798" s="241">
        <v>674.07489999999996</v>
      </c>
    </row>
    <row r="5799" spans="3:13" hidden="1" outlineLevel="1" x14ac:dyDescent="0.2">
      <c r="C5799" s="139">
        <v>94.099999999998943</v>
      </c>
      <c r="D5799" s="28">
        <f t="shared" si="185"/>
        <v>752.79999999999154</v>
      </c>
      <c r="E5799" s="28">
        <f t="shared" si="186"/>
        <v>705.74999999999204</v>
      </c>
      <c r="F5799" s="28">
        <f t="shared" si="187"/>
        <v>687.74999999999204</v>
      </c>
      <c r="G5799" s="28">
        <f t="shared" si="188"/>
        <v>627.54420000000005</v>
      </c>
      <c r="H5799" s="28">
        <f t="shared" si="189"/>
        <v>659.4434</v>
      </c>
      <c r="I5799" s="28">
        <f t="shared" si="190"/>
        <v>675.08370000000002</v>
      </c>
      <c r="J5799" s="28">
        <f t="shared" si="191"/>
        <v>687.19100000000003</v>
      </c>
      <c r="K5799" s="28">
        <f t="shared" si="192"/>
        <v>707.79129999999998</v>
      </c>
      <c r="L5799" s="4"/>
      <c r="M5799" s="241">
        <v>675.08370000000002</v>
      </c>
    </row>
    <row r="5800" spans="3:13" hidden="1" outlineLevel="1" x14ac:dyDescent="0.2">
      <c r="C5800" s="139">
        <v>94.199999999998937</v>
      </c>
      <c r="D5800" s="28">
        <f t="shared" si="185"/>
        <v>753.5999999999915</v>
      </c>
      <c r="E5800" s="28">
        <f t="shared" si="186"/>
        <v>706.49999999999204</v>
      </c>
      <c r="F5800" s="28">
        <f t="shared" si="187"/>
        <v>688.49999999999204</v>
      </c>
      <c r="G5800" s="28">
        <f t="shared" si="188"/>
        <v>628.50490000000002</v>
      </c>
      <c r="H5800" s="28">
        <f t="shared" si="189"/>
        <v>660.4348</v>
      </c>
      <c r="I5800" s="28">
        <f t="shared" si="190"/>
        <v>676.09259999999995</v>
      </c>
      <c r="J5800" s="28">
        <f t="shared" si="191"/>
        <v>688.21439999999996</v>
      </c>
      <c r="K5800" s="28">
        <f t="shared" si="192"/>
        <v>708.83889999999997</v>
      </c>
      <c r="L5800" s="4"/>
      <c r="M5800" s="241">
        <v>676.09259999999995</v>
      </c>
    </row>
    <row r="5801" spans="3:13" hidden="1" outlineLevel="1" x14ac:dyDescent="0.2">
      <c r="C5801" s="139">
        <v>94.299999999998931</v>
      </c>
      <c r="D5801" s="28">
        <f t="shared" si="185"/>
        <v>754.39999999999145</v>
      </c>
      <c r="E5801" s="28">
        <f t="shared" si="186"/>
        <v>707.24999999999204</v>
      </c>
      <c r="F5801" s="28">
        <f t="shared" si="187"/>
        <v>689.24999999999204</v>
      </c>
      <c r="G5801" s="28">
        <f t="shared" si="188"/>
        <v>629.471</v>
      </c>
      <c r="H5801" s="28">
        <f t="shared" si="189"/>
        <v>661.43150000000003</v>
      </c>
      <c r="I5801" s="28">
        <f t="shared" si="190"/>
        <v>677.10159999999996</v>
      </c>
      <c r="J5801" s="28">
        <f t="shared" si="191"/>
        <v>689.23789999999997</v>
      </c>
      <c r="K5801" s="28">
        <f t="shared" si="192"/>
        <v>709.88649999999996</v>
      </c>
      <c r="L5801" s="4"/>
      <c r="M5801" s="241">
        <v>677.10159999999996</v>
      </c>
    </row>
    <row r="5802" spans="3:13" hidden="1" outlineLevel="1" x14ac:dyDescent="0.2">
      <c r="C5802" s="139">
        <v>94.399999999998926</v>
      </c>
      <c r="D5802" s="28">
        <f t="shared" si="185"/>
        <v>755.19999999999141</v>
      </c>
      <c r="E5802" s="28">
        <f t="shared" si="186"/>
        <v>707.99999999999193</v>
      </c>
      <c r="F5802" s="28">
        <f t="shared" si="187"/>
        <v>689.99999999999193</v>
      </c>
      <c r="G5802" s="28">
        <f t="shared" si="188"/>
        <v>629.471</v>
      </c>
      <c r="H5802" s="28">
        <f t="shared" si="189"/>
        <v>661.43150000000003</v>
      </c>
      <c r="I5802" s="28">
        <f t="shared" si="190"/>
        <v>677.10159999999996</v>
      </c>
      <c r="J5802" s="28">
        <f t="shared" si="191"/>
        <v>689.23789999999997</v>
      </c>
      <c r="K5802" s="28">
        <f t="shared" si="192"/>
        <v>709.88649999999996</v>
      </c>
      <c r="L5802" s="4"/>
      <c r="M5802" s="241">
        <v>677.10159999999996</v>
      </c>
    </row>
    <row r="5803" spans="3:13" hidden="1" outlineLevel="1" x14ac:dyDescent="0.2">
      <c r="C5803" s="139">
        <v>94.49999999999892</v>
      </c>
      <c r="D5803" s="28">
        <f t="shared" si="185"/>
        <v>755.99999999999136</v>
      </c>
      <c r="E5803" s="28">
        <f t="shared" si="186"/>
        <v>708.74999999999193</v>
      </c>
      <c r="F5803" s="28">
        <f t="shared" si="187"/>
        <v>690.74999999999193</v>
      </c>
      <c r="G5803" s="28">
        <f t="shared" si="188"/>
        <v>630.43200000000002</v>
      </c>
      <c r="H5803" s="28">
        <f t="shared" si="189"/>
        <v>662.42309999999998</v>
      </c>
      <c r="I5803" s="28">
        <f t="shared" si="190"/>
        <v>678.11590000000001</v>
      </c>
      <c r="J5803" s="28">
        <f t="shared" si="191"/>
        <v>690.26139999999998</v>
      </c>
      <c r="K5803" s="28">
        <f t="shared" si="192"/>
        <v>710.94</v>
      </c>
      <c r="L5803" s="4"/>
      <c r="M5803" s="241">
        <v>678.11590000000001</v>
      </c>
    </row>
    <row r="5804" spans="3:13" hidden="1" outlineLevel="1" x14ac:dyDescent="0.2">
      <c r="C5804" s="139">
        <v>94.599999999998914</v>
      </c>
      <c r="D5804" s="28">
        <f t="shared" si="185"/>
        <v>756.79999999999131</v>
      </c>
      <c r="E5804" s="28">
        <f t="shared" si="186"/>
        <v>709.49999999999181</v>
      </c>
      <c r="F5804" s="28">
        <f t="shared" si="187"/>
        <v>691.49999999999181</v>
      </c>
      <c r="G5804" s="28">
        <f t="shared" si="188"/>
        <v>631.39840000000004</v>
      </c>
      <c r="H5804" s="28">
        <f t="shared" si="189"/>
        <v>663.42</v>
      </c>
      <c r="I5804" s="28">
        <f t="shared" si="190"/>
        <v>679.125</v>
      </c>
      <c r="J5804" s="28">
        <f t="shared" si="191"/>
        <v>691.28489999999999</v>
      </c>
      <c r="K5804" s="28">
        <f t="shared" si="192"/>
        <v>711.98770000000002</v>
      </c>
      <c r="L5804" s="4"/>
      <c r="M5804" s="241">
        <v>679.125</v>
      </c>
    </row>
    <row r="5805" spans="3:13" hidden="1" outlineLevel="1" x14ac:dyDescent="0.2">
      <c r="C5805" s="139">
        <v>94.699999999998909</v>
      </c>
      <c r="D5805" s="28">
        <f t="shared" si="185"/>
        <v>757.59999999999127</v>
      </c>
      <c r="E5805" s="28">
        <f t="shared" si="186"/>
        <v>710.24999999999181</v>
      </c>
      <c r="F5805" s="28">
        <f t="shared" si="187"/>
        <v>692.24999999999181</v>
      </c>
      <c r="G5805" s="28">
        <f t="shared" si="188"/>
        <v>632.35969999999998</v>
      </c>
      <c r="H5805" s="28">
        <f t="shared" si="189"/>
        <v>664.41179999999997</v>
      </c>
      <c r="I5805" s="28">
        <f t="shared" si="190"/>
        <v>680.13419999999996</v>
      </c>
      <c r="J5805" s="28">
        <f t="shared" si="191"/>
        <v>692.30859999999996</v>
      </c>
      <c r="K5805" s="28">
        <f t="shared" si="192"/>
        <v>713.03549999999996</v>
      </c>
      <c r="L5805" s="4"/>
      <c r="M5805" s="241">
        <v>680.13419999999996</v>
      </c>
    </row>
    <row r="5806" spans="3:13" hidden="1" outlineLevel="1" x14ac:dyDescent="0.2">
      <c r="C5806" s="139">
        <v>94.799999999998903</v>
      </c>
      <c r="D5806" s="28">
        <f t="shared" si="185"/>
        <v>758.39999999999122</v>
      </c>
      <c r="E5806" s="28">
        <f t="shared" si="186"/>
        <v>710.99999999999181</v>
      </c>
      <c r="F5806" s="28">
        <f t="shared" si="187"/>
        <v>692.99999999999181</v>
      </c>
      <c r="G5806" s="28">
        <f t="shared" si="188"/>
        <v>632.35969999999998</v>
      </c>
      <c r="H5806" s="28">
        <f t="shared" si="189"/>
        <v>664.41179999999997</v>
      </c>
      <c r="I5806" s="28">
        <f t="shared" si="190"/>
        <v>680.13419999999996</v>
      </c>
      <c r="J5806" s="28">
        <f t="shared" si="191"/>
        <v>692.30859999999996</v>
      </c>
      <c r="K5806" s="28">
        <f t="shared" si="192"/>
        <v>713.03549999999996</v>
      </c>
      <c r="L5806" s="4"/>
      <c r="M5806" s="241">
        <v>680.13419999999996</v>
      </c>
    </row>
    <row r="5807" spans="3:13" hidden="1" outlineLevel="1" x14ac:dyDescent="0.2">
      <c r="C5807" s="139">
        <v>94.899999999998897</v>
      </c>
      <c r="D5807" s="28">
        <f t="shared" si="185"/>
        <v>759.19999999999118</v>
      </c>
      <c r="E5807" s="28">
        <f t="shared" si="186"/>
        <v>711.7499999999917</v>
      </c>
      <c r="F5807" s="28">
        <f t="shared" si="187"/>
        <v>693.7499999999917</v>
      </c>
      <c r="G5807" s="28">
        <f t="shared" si="188"/>
        <v>633.3211</v>
      </c>
      <c r="H5807" s="28">
        <f t="shared" si="189"/>
        <v>665.40359999999998</v>
      </c>
      <c r="I5807" s="28">
        <f t="shared" si="190"/>
        <v>681.14350000000002</v>
      </c>
      <c r="J5807" s="28">
        <f t="shared" si="191"/>
        <v>693.33230000000003</v>
      </c>
      <c r="K5807" s="28">
        <f t="shared" si="192"/>
        <v>714.08339999999998</v>
      </c>
      <c r="L5807" s="4"/>
      <c r="M5807" s="241">
        <v>681.14350000000002</v>
      </c>
    </row>
    <row r="5808" spans="3:13" hidden="1" outlineLevel="1" x14ac:dyDescent="0.2">
      <c r="C5808" s="139">
        <v>94.999999999998892</v>
      </c>
      <c r="D5808" s="28">
        <f t="shared" si="185"/>
        <v>759.99999999999113</v>
      </c>
      <c r="E5808" s="28">
        <f t="shared" si="186"/>
        <v>712.4999999999917</v>
      </c>
      <c r="F5808" s="28">
        <f t="shared" si="187"/>
        <v>694.4999999999917</v>
      </c>
      <c r="G5808" s="28">
        <f t="shared" si="188"/>
        <v>634.28790000000004</v>
      </c>
      <c r="H5808" s="28">
        <f t="shared" si="189"/>
        <v>666.40089999999998</v>
      </c>
      <c r="I5808" s="28">
        <f t="shared" si="190"/>
        <v>682.15819999999997</v>
      </c>
      <c r="J5808" s="28">
        <f t="shared" si="191"/>
        <v>694.35609999999997</v>
      </c>
      <c r="K5808" s="28">
        <f t="shared" si="192"/>
        <v>715.13710000000003</v>
      </c>
      <c r="L5808" s="4"/>
      <c r="M5808" s="241">
        <v>682.15819999999997</v>
      </c>
    </row>
    <row r="5809" spans="3:13" hidden="1" outlineLevel="1" x14ac:dyDescent="0.2">
      <c r="C5809" s="139">
        <v>95.099999999998886</v>
      </c>
      <c r="D5809" s="28">
        <f t="shared" si="185"/>
        <v>760.79999999999109</v>
      </c>
      <c r="E5809" s="28">
        <f t="shared" si="186"/>
        <v>713.24999999999159</v>
      </c>
      <c r="F5809" s="28">
        <f t="shared" si="187"/>
        <v>695.24999999999159</v>
      </c>
      <c r="G5809" s="28">
        <f t="shared" si="188"/>
        <v>635.24959999999999</v>
      </c>
      <c r="H5809" s="28">
        <f t="shared" si="189"/>
        <v>667.39290000000005</v>
      </c>
      <c r="I5809" s="28">
        <f t="shared" si="190"/>
        <v>683.16759999999999</v>
      </c>
      <c r="J5809" s="28">
        <f t="shared" si="191"/>
        <v>695.37990000000002</v>
      </c>
      <c r="K5809" s="28">
        <f t="shared" si="192"/>
        <v>716.18510000000003</v>
      </c>
      <c r="L5809" s="4"/>
      <c r="M5809" s="241">
        <v>683.16759999999999</v>
      </c>
    </row>
    <row r="5810" spans="3:13" hidden="1" outlineLevel="1" x14ac:dyDescent="0.2">
      <c r="C5810" s="139">
        <v>95.19999999999888</v>
      </c>
      <c r="D5810" s="28">
        <f t="shared" si="185"/>
        <v>761.59999999999104</v>
      </c>
      <c r="E5810" s="28">
        <f t="shared" si="186"/>
        <v>713.99999999999159</v>
      </c>
      <c r="F5810" s="28">
        <f t="shared" si="187"/>
        <v>695.99999999999159</v>
      </c>
      <c r="G5810" s="28">
        <f t="shared" si="188"/>
        <v>635.24959999999999</v>
      </c>
      <c r="H5810" s="28">
        <f t="shared" si="189"/>
        <v>667.39290000000005</v>
      </c>
      <c r="I5810" s="28">
        <f t="shared" si="190"/>
        <v>683.16759999999999</v>
      </c>
      <c r="J5810" s="28">
        <f t="shared" si="191"/>
        <v>695.37990000000002</v>
      </c>
      <c r="K5810" s="28">
        <f t="shared" si="192"/>
        <v>716.18510000000003</v>
      </c>
      <c r="L5810" s="4"/>
      <c r="M5810" s="241">
        <v>683.16759999999999</v>
      </c>
    </row>
    <row r="5811" spans="3:13" hidden="1" outlineLevel="1" x14ac:dyDescent="0.2">
      <c r="C5811" s="139">
        <v>95.299999999998875</v>
      </c>
      <c r="D5811" s="28">
        <f t="shared" si="185"/>
        <v>762.399999999991</v>
      </c>
      <c r="E5811" s="28">
        <f t="shared" si="186"/>
        <v>714.74999999999159</v>
      </c>
      <c r="F5811" s="28">
        <f t="shared" si="187"/>
        <v>696.74999999999159</v>
      </c>
      <c r="G5811" s="28">
        <f t="shared" si="188"/>
        <v>636.21140000000003</v>
      </c>
      <c r="H5811" s="28">
        <f t="shared" si="189"/>
        <v>668.38499999999999</v>
      </c>
      <c r="I5811" s="28">
        <f t="shared" si="190"/>
        <v>684.17719999999997</v>
      </c>
      <c r="J5811" s="28">
        <f t="shared" si="191"/>
        <v>696.40380000000005</v>
      </c>
      <c r="K5811" s="28">
        <f t="shared" si="192"/>
        <v>717.23310000000004</v>
      </c>
      <c r="L5811" s="4"/>
      <c r="M5811" s="241">
        <v>684.17719999999997</v>
      </c>
    </row>
    <row r="5812" spans="3:13" hidden="1" outlineLevel="1" x14ac:dyDescent="0.2">
      <c r="C5812" s="139">
        <v>95.399999999998869</v>
      </c>
      <c r="D5812" s="28">
        <f t="shared" si="185"/>
        <v>763.19999999999095</v>
      </c>
      <c r="E5812" s="28">
        <f t="shared" si="186"/>
        <v>715.49999999999147</v>
      </c>
      <c r="F5812" s="28">
        <f t="shared" si="187"/>
        <v>697.49999999999147</v>
      </c>
      <c r="G5812" s="28">
        <f t="shared" si="188"/>
        <v>637.17340000000002</v>
      </c>
      <c r="H5812" s="28">
        <f t="shared" si="189"/>
        <v>669.38260000000002</v>
      </c>
      <c r="I5812" s="28">
        <f t="shared" si="190"/>
        <v>685.18679999999995</v>
      </c>
      <c r="J5812" s="28">
        <f t="shared" si="191"/>
        <v>697.42780000000005</v>
      </c>
      <c r="K5812" s="28">
        <f t="shared" si="192"/>
        <v>718.28110000000004</v>
      </c>
      <c r="L5812" s="4"/>
      <c r="M5812" s="241">
        <v>685.18679999999995</v>
      </c>
    </row>
    <row r="5813" spans="3:13" hidden="1" outlineLevel="1" x14ac:dyDescent="0.2">
      <c r="C5813" s="139">
        <v>95.499999999998863</v>
      </c>
      <c r="D5813" s="28">
        <f t="shared" si="185"/>
        <v>763.99999999999091</v>
      </c>
      <c r="E5813" s="28">
        <f t="shared" si="186"/>
        <v>716.24999999999147</v>
      </c>
      <c r="F5813" s="28">
        <f t="shared" si="187"/>
        <v>698.24999999999147</v>
      </c>
      <c r="G5813" s="28">
        <f t="shared" si="188"/>
        <v>638.14080000000001</v>
      </c>
      <c r="H5813" s="28">
        <f t="shared" si="189"/>
        <v>670.37490000000003</v>
      </c>
      <c r="I5813" s="28">
        <f t="shared" si="190"/>
        <v>686.19640000000004</v>
      </c>
      <c r="J5813" s="28">
        <f t="shared" si="191"/>
        <v>698.45190000000002</v>
      </c>
      <c r="K5813" s="28">
        <f t="shared" si="192"/>
        <v>719.32920000000001</v>
      </c>
      <c r="L5813" s="4"/>
      <c r="M5813" s="241">
        <v>686.19640000000004</v>
      </c>
    </row>
    <row r="5814" spans="3:13" hidden="1" outlineLevel="1" x14ac:dyDescent="0.2">
      <c r="C5814" s="139">
        <v>95.599999999998857</v>
      </c>
      <c r="D5814" s="28">
        <f t="shared" si="185"/>
        <v>764.79999999999086</v>
      </c>
      <c r="E5814" s="28">
        <f t="shared" si="186"/>
        <v>716.99999999999147</v>
      </c>
      <c r="F5814" s="28">
        <f t="shared" si="187"/>
        <v>698.99999999999147</v>
      </c>
      <c r="G5814" s="28">
        <f t="shared" si="188"/>
        <v>638.14080000000001</v>
      </c>
      <c r="H5814" s="28">
        <f t="shared" si="189"/>
        <v>670.37490000000003</v>
      </c>
      <c r="I5814" s="28">
        <f t="shared" si="190"/>
        <v>686.19640000000004</v>
      </c>
      <c r="J5814" s="28">
        <f t="shared" si="191"/>
        <v>698.45190000000002</v>
      </c>
      <c r="K5814" s="28">
        <f t="shared" si="192"/>
        <v>719.32920000000001</v>
      </c>
      <c r="L5814" s="4"/>
      <c r="M5814" s="241">
        <v>686.19640000000004</v>
      </c>
    </row>
    <row r="5815" spans="3:13" hidden="1" outlineLevel="1" x14ac:dyDescent="0.2">
      <c r="C5815" s="139">
        <v>95.699999999998852</v>
      </c>
      <c r="D5815" s="28">
        <f t="shared" si="185"/>
        <v>765.59999999999081</v>
      </c>
      <c r="E5815" s="28">
        <f t="shared" si="186"/>
        <v>717.74999999999136</v>
      </c>
      <c r="F5815" s="28">
        <f t="shared" si="187"/>
        <v>699.74999999999136</v>
      </c>
      <c r="G5815" s="28">
        <f t="shared" si="188"/>
        <v>639.10299999999995</v>
      </c>
      <c r="H5815" s="28">
        <f t="shared" si="189"/>
        <v>671.3673</v>
      </c>
      <c r="I5815" s="28">
        <f t="shared" si="190"/>
        <v>687.20619999999997</v>
      </c>
      <c r="J5815" s="28">
        <f t="shared" si="191"/>
        <v>699.476</v>
      </c>
      <c r="K5815" s="28">
        <f t="shared" si="192"/>
        <v>720.38329999999996</v>
      </c>
      <c r="L5815" s="4"/>
      <c r="M5815" s="241">
        <v>687.20619999999997</v>
      </c>
    </row>
    <row r="5816" spans="3:13" hidden="1" outlineLevel="1" x14ac:dyDescent="0.2">
      <c r="C5816" s="139">
        <v>95.799999999998846</v>
      </c>
      <c r="D5816" s="28">
        <f t="shared" si="185"/>
        <v>766.39999999999077</v>
      </c>
      <c r="E5816" s="28">
        <f t="shared" si="186"/>
        <v>718.49999999999136</v>
      </c>
      <c r="F5816" s="28">
        <f t="shared" si="187"/>
        <v>700.49999999999136</v>
      </c>
      <c r="G5816" s="28">
        <f t="shared" si="188"/>
        <v>640.06539999999995</v>
      </c>
      <c r="H5816" s="28">
        <f t="shared" si="189"/>
        <v>672.35979999999995</v>
      </c>
      <c r="I5816" s="28">
        <f t="shared" si="190"/>
        <v>688.22140000000002</v>
      </c>
      <c r="J5816" s="28">
        <f t="shared" si="191"/>
        <v>700.50009999999997</v>
      </c>
      <c r="K5816" s="28">
        <f t="shared" si="192"/>
        <v>721.43150000000003</v>
      </c>
      <c r="L5816" s="4"/>
      <c r="M5816" s="241">
        <v>688.22140000000002</v>
      </c>
    </row>
    <row r="5817" spans="3:13" hidden="1" outlineLevel="1" x14ac:dyDescent="0.2">
      <c r="C5817" s="139">
        <v>95.89999999999884</v>
      </c>
      <c r="D5817" s="28">
        <f t="shared" si="185"/>
        <v>767.19999999999072</v>
      </c>
      <c r="E5817" s="28">
        <f t="shared" si="186"/>
        <v>719.24999999999136</v>
      </c>
      <c r="F5817" s="28">
        <f t="shared" si="187"/>
        <v>701.24999999999136</v>
      </c>
      <c r="G5817" s="28">
        <f t="shared" si="188"/>
        <v>641.02790000000005</v>
      </c>
      <c r="H5817" s="28">
        <f t="shared" si="189"/>
        <v>673.3578</v>
      </c>
      <c r="I5817" s="28">
        <f t="shared" si="190"/>
        <v>689.23130000000003</v>
      </c>
      <c r="J5817" s="28">
        <f t="shared" si="191"/>
        <v>701.52440000000001</v>
      </c>
      <c r="K5817" s="28">
        <f t="shared" si="192"/>
        <v>722.47969999999998</v>
      </c>
      <c r="L5817" s="4"/>
      <c r="M5817" s="241">
        <v>689.23130000000003</v>
      </c>
    </row>
    <row r="5818" spans="3:13" hidden="1" outlineLevel="1" x14ac:dyDescent="0.2">
      <c r="C5818" s="139">
        <v>95.999999999998835</v>
      </c>
      <c r="D5818" s="28">
        <f t="shared" si="185"/>
        <v>767.99999999999068</v>
      </c>
      <c r="E5818" s="28">
        <f t="shared" si="186"/>
        <v>719.99999999999125</v>
      </c>
      <c r="F5818" s="28">
        <f t="shared" si="187"/>
        <v>701.99999999999125</v>
      </c>
      <c r="G5818" s="28">
        <f t="shared" si="188"/>
        <v>641.02790000000005</v>
      </c>
      <c r="H5818" s="28">
        <f t="shared" si="189"/>
        <v>673.3578</v>
      </c>
      <c r="I5818" s="28">
        <f t="shared" si="190"/>
        <v>689.23130000000003</v>
      </c>
      <c r="J5818" s="28">
        <f t="shared" si="191"/>
        <v>701.52440000000001</v>
      </c>
      <c r="K5818" s="28">
        <f t="shared" si="192"/>
        <v>722.47969999999998</v>
      </c>
      <c r="L5818" s="4"/>
      <c r="M5818" s="241">
        <v>689.23130000000003</v>
      </c>
    </row>
    <row r="5819" spans="3:13" hidden="1" outlineLevel="1" x14ac:dyDescent="0.2">
      <c r="C5819" s="139">
        <v>96.099999999998829</v>
      </c>
      <c r="D5819" s="28">
        <f t="shared" ref="D5819:D5882" si="193">C5819*Channels.per.TRX</f>
        <v>768.79999999999063</v>
      </c>
      <c r="E5819" s="28">
        <f t="shared" ref="E5819:E5882" si="194">D5819-C5819*sig.channel.per.TRX</f>
        <v>720.74999999999125</v>
      </c>
      <c r="F5819" s="28">
        <f t="shared" ref="F5819:F5882" si="195">MAX(0,E5819-GPRS.channel.per.sector)</f>
        <v>702.74999999999125</v>
      </c>
      <c r="G5819" s="28">
        <f t="shared" ref="G5819:G5882" si="196">INDEX(D$10:D$4326,MATCH($F5819,$C$10:$C$4326,1))</f>
        <v>641.9905</v>
      </c>
      <c r="H5819" s="28">
        <f t="shared" ref="H5819:H5882" si="197">INDEX(E$10:E$4326,MATCH($F5819,$C$10:$C$4326,1))</f>
        <v>674.35050000000001</v>
      </c>
      <c r="I5819" s="28">
        <f t="shared" ref="I5819:I5882" si="198">INDEX(F$10:F$4326,MATCH($F5819,$C$10:$C$4326,1))</f>
        <v>690.24130000000002</v>
      </c>
      <c r="J5819" s="28">
        <f t="shared" ref="J5819:J5882" si="199">INDEX(G$10:G$4326,MATCH($F5819,$C$10:$C$4326,1))</f>
        <v>702.54870000000005</v>
      </c>
      <c r="K5819" s="28">
        <f t="shared" ref="K5819:K5882" si="200">INDEX(H$10:H$4326,MATCH($F5819,$C$10:$C$4326,1))</f>
        <v>723.52800000000002</v>
      </c>
      <c r="L5819" s="4"/>
      <c r="M5819" s="241">
        <v>690.24130000000002</v>
      </c>
    </row>
    <row r="5820" spans="3:13" hidden="1" outlineLevel="1" x14ac:dyDescent="0.2">
      <c r="C5820" s="139">
        <v>96.199999999998823</v>
      </c>
      <c r="D5820" s="28">
        <f t="shared" si="193"/>
        <v>769.59999999999059</v>
      </c>
      <c r="E5820" s="28">
        <f t="shared" si="194"/>
        <v>721.49999999999113</v>
      </c>
      <c r="F5820" s="28">
        <f t="shared" si="195"/>
        <v>703.49999999999113</v>
      </c>
      <c r="G5820" s="28">
        <f t="shared" si="196"/>
        <v>642.95870000000002</v>
      </c>
      <c r="H5820" s="28">
        <f t="shared" si="197"/>
        <v>675.3433</v>
      </c>
      <c r="I5820" s="28">
        <f t="shared" si="198"/>
        <v>691.25130000000001</v>
      </c>
      <c r="J5820" s="28">
        <f t="shared" si="199"/>
        <v>703.57309999999995</v>
      </c>
      <c r="K5820" s="28">
        <f t="shared" si="200"/>
        <v>724.57640000000004</v>
      </c>
      <c r="L5820" s="4"/>
      <c r="M5820" s="241">
        <v>691.25130000000001</v>
      </c>
    </row>
    <row r="5821" spans="3:13" hidden="1" outlineLevel="1" x14ac:dyDescent="0.2">
      <c r="C5821" s="139">
        <v>96.299999999998818</v>
      </c>
      <c r="D5821" s="28">
        <f t="shared" si="193"/>
        <v>770.39999999999054</v>
      </c>
      <c r="E5821" s="28">
        <f t="shared" si="194"/>
        <v>722.24999999999113</v>
      </c>
      <c r="F5821" s="28">
        <f t="shared" si="195"/>
        <v>704.24999999999113</v>
      </c>
      <c r="G5821" s="28">
        <f t="shared" si="196"/>
        <v>643.92160000000001</v>
      </c>
      <c r="H5821" s="28">
        <f t="shared" si="197"/>
        <v>676.33619999999996</v>
      </c>
      <c r="I5821" s="28">
        <f t="shared" si="198"/>
        <v>692.26149999999996</v>
      </c>
      <c r="J5821" s="28">
        <f t="shared" si="199"/>
        <v>704.59749999999997</v>
      </c>
      <c r="K5821" s="28">
        <f t="shared" si="200"/>
        <v>725.62480000000005</v>
      </c>
      <c r="L5821" s="4"/>
      <c r="M5821" s="241">
        <v>692.26149999999996</v>
      </c>
    </row>
    <row r="5822" spans="3:13" hidden="1" outlineLevel="1" x14ac:dyDescent="0.2">
      <c r="C5822" s="139">
        <v>96.399999999998812</v>
      </c>
      <c r="D5822" s="28">
        <f t="shared" si="193"/>
        <v>771.1999999999905</v>
      </c>
      <c r="E5822" s="28">
        <f t="shared" si="194"/>
        <v>722.99999999999113</v>
      </c>
      <c r="F5822" s="28">
        <f t="shared" si="195"/>
        <v>704.99999999999113</v>
      </c>
      <c r="G5822" s="28">
        <f t="shared" si="196"/>
        <v>643.92160000000001</v>
      </c>
      <c r="H5822" s="28">
        <f t="shared" si="197"/>
        <v>676.33619999999996</v>
      </c>
      <c r="I5822" s="28">
        <f t="shared" si="198"/>
        <v>692.26149999999996</v>
      </c>
      <c r="J5822" s="28">
        <f t="shared" si="199"/>
        <v>704.59749999999997</v>
      </c>
      <c r="K5822" s="28">
        <f t="shared" si="200"/>
        <v>725.62480000000005</v>
      </c>
      <c r="L5822" s="4"/>
      <c r="M5822" s="241">
        <v>692.26149999999996</v>
      </c>
    </row>
    <row r="5823" spans="3:13" hidden="1" outlineLevel="1" x14ac:dyDescent="0.2">
      <c r="C5823" s="139">
        <v>96.499999999998806</v>
      </c>
      <c r="D5823" s="28">
        <f t="shared" si="193"/>
        <v>771.99999999999045</v>
      </c>
      <c r="E5823" s="28">
        <f t="shared" si="194"/>
        <v>723.74999999999102</v>
      </c>
      <c r="F5823" s="28">
        <f t="shared" si="195"/>
        <v>705.74999999999102</v>
      </c>
      <c r="G5823" s="28">
        <f t="shared" si="196"/>
        <v>644.88469999999995</v>
      </c>
      <c r="H5823" s="28">
        <f t="shared" si="197"/>
        <v>677.32920000000001</v>
      </c>
      <c r="I5823" s="28">
        <f t="shared" si="198"/>
        <v>693.27170000000001</v>
      </c>
      <c r="J5823" s="28">
        <f t="shared" si="199"/>
        <v>705.62199999999996</v>
      </c>
      <c r="K5823" s="28">
        <f t="shared" si="200"/>
        <v>726.67330000000004</v>
      </c>
      <c r="L5823" s="4"/>
      <c r="M5823" s="241">
        <v>693.27170000000001</v>
      </c>
    </row>
    <row r="5824" spans="3:13" hidden="1" outlineLevel="1" x14ac:dyDescent="0.2">
      <c r="C5824" s="139">
        <v>96.599999999998801</v>
      </c>
      <c r="D5824" s="28">
        <f t="shared" si="193"/>
        <v>772.7999999999904</v>
      </c>
      <c r="E5824" s="28">
        <f t="shared" si="194"/>
        <v>724.49999999999102</v>
      </c>
      <c r="F5824" s="28">
        <f t="shared" si="195"/>
        <v>706.49999999999102</v>
      </c>
      <c r="G5824" s="28">
        <f t="shared" si="196"/>
        <v>645.84789999999998</v>
      </c>
      <c r="H5824" s="28">
        <f t="shared" si="197"/>
        <v>678.32759999999996</v>
      </c>
      <c r="I5824" s="28">
        <f t="shared" si="198"/>
        <v>694.28200000000004</v>
      </c>
      <c r="J5824" s="28">
        <f t="shared" si="199"/>
        <v>706.64660000000003</v>
      </c>
      <c r="K5824" s="28">
        <f t="shared" si="200"/>
        <v>727.72180000000003</v>
      </c>
      <c r="L5824" s="4"/>
      <c r="M5824" s="241">
        <v>694.28200000000004</v>
      </c>
    </row>
    <row r="5825" spans="3:13" hidden="1" outlineLevel="1" x14ac:dyDescent="0.2">
      <c r="C5825" s="139">
        <v>96.699999999998795</v>
      </c>
      <c r="D5825" s="28">
        <f t="shared" si="193"/>
        <v>773.59999999999036</v>
      </c>
      <c r="E5825" s="28">
        <f t="shared" si="194"/>
        <v>725.24999999999091</v>
      </c>
      <c r="F5825" s="28">
        <f t="shared" si="195"/>
        <v>707.24999999999091</v>
      </c>
      <c r="G5825" s="28">
        <f t="shared" si="196"/>
        <v>646.81129999999996</v>
      </c>
      <c r="H5825" s="28">
        <f t="shared" si="197"/>
        <v>679.32079999999996</v>
      </c>
      <c r="I5825" s="28">
        <f t="shared" si="198"/>
        <v>695.29240000000004</v>
      </c>
      <c r="J5825" s="28">
        <f t="shared" si="199"/>
        <v>707.67129999999997</v>
      </c>
      <c r="K5825" s="28">
        <f t="shared" si="200"/>
        <v>728.77629999999999</v>
      </c>
      <c r="L5825" s="4"/>
      <c r="M5825" s="241">
        <v>695.29240000000004</v>
      </c>
    </row>
    <row r="5826" spans="3:13" hidden="1" outlineLevel="1" x14ac:dyDescent="0.2">
      <c r="C5826" s="139">
        <v>96.799999999998789</v>
      </c>
      <c r="D5826" s="28">
        <f t="shared" si="193"/>
        <v>774.39999999999031</v>
      </c>
      <c r="E5826" s="28">
        <f t="shared" si="194"/>
        <v>725.99999999999091</v>
      </c>
      <c r="F5826" s="28">
        <f t="shared" si="195"/>
        <v>707.99999999999091</v>
      </c>
      <c r="G5826" s="28">
        <f t="shared" si="196"/>
        <v>646.81129999999996</v>
      </c>
      <c r="H5826" s="28">
        <f t="shared" si="197"/>
        <v>679.32079999999996</v>
      </c>
      <c r="I5826" s="28">
        <f t="shared" si="198"/>
        <v>695.29240000000004</v>
      </c>
      <c r="J5826" s="28">
        <f t="shared" si="199"/>
        <v>707.67129999999997</v>
      </c>
      <c r="K5826" s="28">
        <f t="shared" si="200"/>
        <v>728.77629999999999</v>
      </c>
      <c r="L5826" s="4"/>
      <c r="M5826" s="241">
        <v>695.29240000000004</v>
      </c>
    </row>
    <row r="5827" spans="3:13" hidden="1" outlineLevel="1" x14ac:dyDescent="0.2">
      <c r="C5827" s="139">
        <v>96.899999999998784</v>
      </c>
      <c r="D5827" s="28">
        <f t="shared" si="193"/>
        <v>775.19999999999027</v>
      </c>
      <c r="E5827" s="28">
        <f t="shared" si="194"/>
        <v>726.74999999999091</v>
      </c>
      <c r="F5827" s="28">
        <f t="shared" si="195"/>
        <v>708.74999999999091</v>
      </c>
      <c r="G5827" s="28">
        <f t="shared" si="196"/>
        <v>647.77470000000005</v>
      </c>
      <c r="H5827" s="28">
        <f t="shared" si="197"/>
        <v>680.31399999999996</v>
      </c>
      <c r="I5827" s="28">
        <f t="shared" si="198"/>
        <v>696.30280000000005</v>
      </c>
      <c r="J5827" s="28">
        <f t="shared" si="199"/>
        <v>708.69600000000003</v>
      </c>
      <c r="K5827" s="28">
        <f t="shared" si="200"/>
        <v>729.82489999999996</v>
      </c>
      <c r="L5827" s="4"/>
      <c r="M5827" s="241">
        <v>696.30280000000005</v>
      </c>
    </row>
    <row r="5828" spans="3:13" hidden="1" outlineLevel="1" x14ac:dyDescent="0.2">
      <c r="C5828" s="139">
        <v>96.999999999998778</v>
      </c>
      <c r="D5828" s="28">
        <f t="shared" si="193"/>
        <v>775.99999999999022</v>
      </c>
      <c r="E5828" s="28">
        <f t="shared" si="194"/>
        <v>727.49999999999079</v>
      </c>
      <c r="F5828" s="28">
        <f t="shared" si="195"/>
        <v>709.49999999999079</v>
      </c>
      <c r="G5828" s="28">
        <f t="shared" si="196"/>
        <v>648.73839999999996</v>
      </c>
      <c r="H5828" s="28">
        <f t="shared" si="197"/>
        <v>681.30740000000003</v>
      </c>
      <c r="I5828" s="28">
        <f t="shared" si="198"/>
        <v>697.31330000000003</v>
      </c>
      <c r="J5828" s="28">
        <f t="shared" si="199"/>
        <v>709.72080000000005</v>
      </c>
      <c r="K5828" s="28">
        <f t="shared" si="200"/>
        <v>730.87360000000001</v>
      </c>
      <c r="L5828" s="4"/>
      <c r="M5828" s="241">
        <v>697.31330000000003</v>
      </c>
    </row>
    <row r="5829" spans="3:13" hidden="1" outlineLevel="1" x14ac:dyDescent="0.2">
      <c r="C5829" s="139">
        <v>97.099999999998772</v>
      </c>
      <c r="D5829" s="28">
        <f t="shared" si="193"/>
        <v>776.79999999999018</v>
      </c>
      <c r="E5829" s="28">
        <f t="shared" si="194"/>
        <v>728.24999999999079</v>
      </c>
      <c r="F5829" s="28">
        <f t="shared" si="195"/>
        <v>710.24999999999079</v>
      </c>
      <c r="G5829" s="28">
        <f t="shared" si="196"/>
        <v>649.70209999999997</v>
      </c>
      <c r="H5829" s="28">
        <f t="shared" si="197"/>
        <v>682.30079999999998</v>
      </c>
      <c r="I5829" s="28">
        <f t="shared" si="198"/>
        <v>698.32389999999998</v>
      </c>
      <c r="J5829" s="28">
        <f t="shared" si="199"/>
        <v>710.74559999999997</v>
      </c>
      <c r="K5829" s="28">
        <f t="shared" si="200"/>
        <v>731.92229999999995</v>
      </c>
      <c r="L5829" s="4"/>
      <c r="M5829" s="241">
        <v>698.32389999999998</v>
      </c>
    </row>
    <row r="5830" spans="3:13" hidden="1" outlineLevel="1" x14ac:dyDescent="0.2">
      <c r="C5830" s="139">
        <v>97.199999999998766</v>
      </c>
      <c r="D5830" s="28">
        <f t="shared" si="193"/>
        <v>777.59999999999013</v>
      </c>
      <c r="E5830" s="28">
        <f t="shared" si="194"/>
        <v>728.99999999999079</v>
      </c>
      <c r="F5830" s="28">
        <f t="shared" si="195"/>
        <v>710.99999999999079</v>
      </c>
      <c r="G5830" s="28">
        <f t="shared" si="196"/>
        <v>649.70209999999997</v>
      </c>
      <c r="H5830" s="28">
        <f t="shared" si="197"/>
        <v>682.30079999999998</v>
      </c>
      <c r="I5830" s="28">
        <f t="shared" si="198"/>
        <v>698.32389999999998</v>
      </c>
      <c r="J5830" s="28">
        <f t="shared" si="199"/>
        <v>710.74559999999997</v>
      </c>
      <c r="K5830" s="28">
        <f t="shared" si="200"/>
        <v>731.92229999999995</v>
      </c>
      <c r="L5830" s="4"/>
      <c r="M5830" s="241">
        <v>698.32389999999998</v>
      </c>
    </row>
    <row r="5831" spans="3:13" hidden="1" outlineLevel="1" x14ac:dyDescent="0.2">
      <c r="C5831" s="139">
        <v>97.299999999998761</v>
      </c>
      <c r="D5831" s="28">
        <f t="shared" si="193"/>
        <v>778.39999999999009</v>
      </c>
      <c r="E5831" s="28">
        <f t="shared" si="194"/>
        <v>729.74999999999068</v>
      </c>
      <c r="F5831" s="28">
        <f t="shared" si="195"/>
        <v>711.74999999999068</v>
      </c>
      <c r="G5831" s="28">
        <f t="shared" si="196"/>
        <v>650.66600000000005</v>
      </c>
      <c r="H5831" s="28">
        <f t="shared" si="197"/>
        <v>683.2944</v>
      </c>
      <c r="I5831" s="28">
        <f t="shared" si="198"/>
        <v>699.33460000000002</v>
      </c>
      <c r="J5831" s="28">
        <f t="shared" si="199"/>
        <v>711.77059999999994</v>
      </c>
      <c r="K5831" s="28">
        <f t="shared" si="200"/>
        <v>732.97109999999998</v>
      </c>
      <c r="L5831" s="4"/>
      <c r="M5831" s="241">
        <v>699.33460000000002</v>
      </c>
    </row>
    <row r="5832" spans="3:13" hidden="1" outlineLevel="1" x14ac:dyDescent="0.2">
      <c r="C5832" s="139">
        <v>97.399999999998755</v>
      </c>
      <c r="D5832" s="28">
        <f t="shared" si="193"/>
        <v>779.19999999999004</v>
      </c>
      <c r="E5832" s="28">
        <f t="shared" si="194"/>
        <v>730.49999999999068</v>
      </c>
      <c r="F5832" s="28">
        <f t="shared" si="195"/>
        <v>712.49999999999068</v>
      </c>
      <c r="G5832" s="28">
        <f t="shared" si="196"/>
        <v>651.63</v>
      </c>
      <c r="H5832" s="28">
        <f t="shared" si="197"/>
        <v>684.28800000000001</v>
      </c>
      <c r="I5832" s="28">
        <f t="shared" si="198"/>
        <v>700.34540000000004</v>
      </c>
      <c r="J5832" s="28">
        <f t="shared" si="199"/>
        <v>712.79549999999995</v>
      </c>
      <c r="K5832" s="28">
        <f t="shared" si="200"/>
        <v>734.01990000000001</v>
      </c>
      <c r="L5832" s="4"/>
      <c r="M5832" s="241">
        <v>700.34540000000004</v>
      </c>
    </row>
    <row r="5833" spans="3:13" hidden="1" outlineLevel="1" x14ac:dyDescent="0.2">
      <c r="C5833" s="139">
        <v>97.499999999998749</v>
      </c>
      <c r="D5833" s="28">
        <f t="shared" si="193"/>
        <v>779.99999999999</v>
      </c>
      <c r="E5833" s="28">
        <f t="shared" si="194"/>
        <v>731.24999999999068</v>
      </c>
      <c r="F5833" s="28">
        <f t="shared" si="195"/>
        <v>713.24999999999068</v>
      </c>
      <c r="G5833" s="28">
        <f t="shared" si="196"/>
        <v>652.5942</v>
      </c>
      <c r="H5833" s="28">
        <f t="shared" si="197"/>
        <v>685.2817</v>
      </c>
      <c r="I5833" s="28">
        <f t="shared" si="198"/>
        <v>701.35619999999994</v>
      </c>
      <c r="J5833" s="28">
        <f t="shared" si="199"/>
        <v>713.82060000000001</v>
      </c>
      <c r="K5833" s="28">
        <f t="shared" si="200"/>
        <v>735.06880000000001</v>
      </c>
      <c r="L5833" s="4"/>
      <c r="M5833" s="241">
        <v>701.35619999999994</v>
      </c>
    </row>
    <row r="5834" spans="3:13" hidden="1" outlineLevel="1" x14ac:dyDescent="0.2">
      <c r="C5834" s="139">
        <v>97.599999999998744</v>
      </c>
      <c r="D5834" s="28">
        <f t="shared" si="193"/>
        <v>780.79999999998995</v>
      </c>
      <c r="E5834" s="28">
        <f t="shared" si="194"/>
        <v>731.99999999999056</v>
      </c>
      <c r="F5834" s="28">
        <f t="shared" si="195"/>
        <v>713.99999999999056</v>
      </c>
      <c r="G5834" s="28">
        <f t="shared" si="196"/>
        <v>652.5942</v>
      </c>
      <c r="H5834" s="28">
        <f t="shared" si="197"/>
        <v>685.2817</v>
      </c>
      <c r="I5834" s="28">
        <f t="shared" si="198"/>
        <v>701.35619999999994</v>
      </c>
      <c r="J5834" s="28">
        <f t="shared" si="199"/>
        <v>713.82060000000001</v>
      </c>
      <c r="K5834" s="28">
        <f t="shared" si="200"/>
        <v>735.06880000000001</v>
      </c>
      <c r="L5834" s="4"/>
      <c r="M5834" s="241">
        <v>701.35619999999994</v>
      </c>
    </row>
    <row r="5835" spans="3:13" hidden="1" outlineLevel="1" x14ac:dyDescent="0.2">
      <c r="C5835" s="139">
        <v>97.699999999998738</v>
      </c>
      <c r="D5835" s="28">
        <f t="shared" si="193"/>
        <v>781.5999999999899</v>
      </c>
      <c r="E5835" s="28">
        <f t="shared" si="194"/>
        <v>732.74999999999056</v>
      </c>
      <c r="F5835" s="28">
        <f t="shared" si="195"/>
        <v>714.74999999999056</v>
      </c>
      <c r="G5835" s="28">
        <f t="shared" si="196"/>
        <v>653.55849999999998</v>
      </c>
      <c r="H5835" s="28">
        <f t="shared" si="197"/>
        <v>686.27549999999997</v>
      </c>
      <c r="I5835" s="28">
        <f t="shared" si="198"/>
        <v>702.36710000000005</v>
      </c>
      <c r="J5835" s="28">
        <f t="shared" si="199"/>
        <v>714.84569999999997</v>
      </c>
      <c r="K5835" s="28">
        <f t="shared" si="200"/>
        <v>736.11779999999999</v>
      </c>
      <c r="L5835" s="4"/>
      <c r="M5835" s="241">
        <v>702.36710000000005</v>
      </c>
    </row>
    <row r="5836" spans="3:13" hidden="1" outlineLevel="1" x14ac:dyDescent="0.2">
      <c r="C5836" s="139">
        <v>97.799999999998732</v>
      </c>
      <c r="D5836" s="28">
        <f t="shared" si="193"/>
        <v>782.39999999998986</v>
      </c>
      <c r="E5836" s="28">
        <f t="shared" si="194"/>
        <v>733.49999999999045</v>
      </c>
      <c r="F5836" s="28">
        <f t="shared" si="195"/>
        <v>715.49999999999045</v>
      </c>
      <c r="G5836" s="28">
        <f t="shared" si="196"/>
        <v>654.52300000000002</v>
      </c>
      <c r="H5836" s="28">
        <f t="shared" si="197"/>
        <v>687.26940000000002</v>
      </c>
      <c r="I5836" s="28">
        <f t="shared" si="198"/>
        <v>703.37810000000002</v>
      </c>
      <c r="J5836" s="28">
        <f t="shared" si="199"/>
        <v>715.86490000000003</v>
      </c>
      <c r="K5836" s="28">
        <f t="shared" si="200"/>
        <v>737.16669999999999</v>
      </c>
      <c r="L5836" s="4"/>
      <c r="M5836" s="241">
        <v>703.37810000000002</v>
      </c>
    </row>
    <row r="5837" spans="3:13" hidden="1" outlineLevel="1" x14ac:dyDescent="0.2">
      <c r="C5837" s="139">
        <v>97.899999999998727</v>
      </c>
      <c r="D5837" s="28">
        <f t="shared" si="193"/>
        <v>783.19999999998981</v>
      </c>
      <c r="E5837" s="28">
        <f t="shared" si="194"/>
        <v>734.24999999999045</v>
      </c>
      <c r="F5837" s="28">
        <f t="shared" si="195"/>
        <v>716.24999999999045</v>
      </c>
      <c r="G5837" s="28">
        <f t="shared" si="196"/>
        <v>655.48749999999995</v>
      </c>
      <c r="H5837" s="28">
        <f t="shared" si="197"/>
        <v>688.26890000000003</v>
      </c>
      <c r="I5837" s="28">
        <f t="shared" si="198"/>
        <v>704.38909999999998</v>
      </c>
      <c r="J5837" s="28">
        <f t="shared" si="199"/>
        <v>716.89009999999996</v>
      </c>
      <c r="K5837" s="28">
        <f t="shared" si="200"/>
        <v>738.21579999999994</v>
      </c>
      <c r="L5837" s="4"/>
      <c r="M5837" s="241">
        <v>704.38909999999998</v>
      </c>
    </row>
    <row r="5838" spans="3:13" hidden="1" outlineLevel="1" x14ac:dyDescent="0.2">
      <c r="C5838" s="139">
        <v>97.999999999998721</v>
      </c>
      <c r="D5838" s="28">
        <f t="shared" si="193"/>
        <v>783.99999999998977</v>
      </c>
      <c r="E5838" s="28">
        <f t="shared" si="194"/>
        <v>734.99999999999045</v>
      </c>
      <c r="F5838" s="28">
        <f t="shared" si="195"/>
        <v>716.99999999999045</v>
      </c>
      <c r="G5838" s="28">
        <f t="shared" si="196"/>
        <v>655.48749999999995</v>
      </c>
      <c r="H5838" s="28">
        <f t="shared" si="197"/>
        <v>688.26890000000003</v>
      </c>
      <c r="I5838" s="28">
        <f t="shared" si="198"/>
        <v>704.38909999999998</v>
      </c>
      <c r="J5838" s="28">
        <f t="shared" si="199"/>
        <v>716.89009999999996</v>
      </c>
      <c r="K5838" s="28">
        <f t="shared" si="200"/>
        <v>738.21579999999994</v>
      </c>
      <c r="L5838" s="4"/>
      <c r="M5838" s="241">
        <v>704.38909999999998</v>
      </c>
    </row>
    <row r="5839" spans="3:13" hidden="1" outlineLevel="1" x14ac:dyDescent="0.2">
      <c r="C5839" s="139">
        <v>98.099999999998715</v>
      </c>
      <c r="D5839" s="28">
        <f t="shared" si="193"/>
        <v>784.79999999998972</v>
      </c>
      <c r="E5839" s="28">
        <f t="shared" si="194"/>
        <v>735.74999999999034</v>
      </c>
      <c r="F5839" s="28">
        <f t="shared" si="195"/>
        <v>717.74999999999034</v>
      </c>
      <c r="G5839" s="28">
        <f t="shared" si="196"/>
        <v>656.44680000000005</v>
      </c>
      <c r="H5839" s="28">
        <f t="shared" si="197"/>
        <v>689.26300000000003</v>
      </c>
      <c r="I5839" s="28">
        <f t="shared" si="198"/>
        <v>705.40030000000002</v>
      </c>
      <c r="J5839" s="28">
        <f t="shared" si="199"/>
        <v>717.91549999999995</v>
      </c>
      <c r="K5839" s="28">
        <f t="shared" si="200"/>
        <v>739.26480000000004</v>
      </c>
      <c r="L5839" s="4"/>
      <c r="M5839" s="241">
        <v>705.40030000000002</v>
      </c>
    </row>
    <row r="5840" spans="3:13" hidden="1" outlineLevel="1" x14ac:dyDescent="0.2">
      <c r="C5840" s="139">
        <v>98.19999999999871</v>
      </c>
      <c r="D5840" s="28">
        <f t="shared" si="193"/>
        <v>785.59999999998968</v>
      </c>
      <c r="E5840" s="28">
        <f t="shared" si="194"/>
        <v>736.49999999999034</v>
      </c>
      <c r="F5840" s="28">
        <f t="shared" si="195"/>
        <v>718.49999999999034</v>
      </c>
      <c r="G5840" s="28">
        <f t="shared" si="196"/>
        <v>657.41160000000002</v>
      </c>
      <c r="H5840" s="28">
        <f t="shared" si="197"/>
        <v>690.25710000000004</v>
      </c>
      <c r="I5840" s="28">
        <f t="shared" si="198"/>
        <v>706.41150000000005</v>
      </c>
      <c r="J5840" s="28">
        <f t="shared" si="199"/>
        <v>718.94079999999997</v>
      </c>
      <c r="K5840" s="28">
        <f t="shared" si="200"/>
        <v>740.31399999999996</v>
      </c>
      <c r="L5840" s="4"/>
      <c r="M5840" s="241">
        <v>706.41150000000005</v>
      </c>
    </row>
    <row r="5841" spans="3:13" hidden="1" outlineLevel="1" x14ac:dyDescent="0.2">
      <c r="C5841" s="139">
        <v>98.299999999998704</v>
      </c>
      <c r="D5841" s="28">
        <f t="shared" si="193"/>
        <v>786.39999999998963</v>
      </c>
      <c r="E5841" s="28">
        <f t="shared" si="194"/>
        <v>737.24999999999022</v>
      </c>
      <c r="F5841" s="28">
        <f t="shared" si="195"/>
        <v>719.24999999999022</v>
      </c>
      <c r="G5841" s="28">
        <f t="shared" si="196"/>
        <v>658.37660000000005</v>
      </c>
      <c r="H5841" s="28">
        <f t="shared" si="197"/>
        <v>691.25139999999999</v>
      </c>
      <c r="I5841" s="28">
        <f t="shared" si="198"/>
        <v>707.42280000000005</v>
      </c>
      <c r="J5841" s="28">
        <f t="shared" si="199"/>
        <v>719.96630000000005</v>
      </c>
      <c r="K5841" s="28">
        <f t="shared" si="200"/>
        <v>741.36320000000001</v>
      </c>
      <c r="L5841" s="4"/>
      <c r="M5841" s="241">
        <v>707.42280000000005</v>
      </c>
    </row>
    <row r="5842" spans="3:13" hidden="1" outlineLevel="1" x14ac:dyDescent="0.2">
      <c r="C5842" s="139">
        <v>98.399999999998698</v>
      </c>
      <c r="D5842" s="28">
        <f t="shared" si="193"/>
        <v>787.19999999998959</v>
      </c>
      <c r="E5842" s="28">
        <f t="shared" si="194"/>
        <v>737.99999999999022</v>
      </c>
      <c r="F5842" s="28">
        <f t="shared" si="195"/>
        <v>719.99999999999022</v>
      </c>
      <c r="G5842" s="28">
        <f t="shared" si="196"/>
        <v>658.37660000000005</v>
      </c>
      <c r="H5842" s="28">
        <f t="shared" si="197"/>
        <v>691.25139999999999</v>
      </c>
      <c r="I5842" s="28">
        <f t="shared" si="198"/>
        <v>707.42280000000005</v>
      </c>
      <c r="J5842" s="28">
        <f t="shared" si="199"/>
        <v>719.96630000000005</v>
      </c>
      <c r="K5842" s="28">
        <f t="shared" si="200"/>
        <v>741.36320000000001</v>
      </c>
      <c r="L5842" s="4"/>
      <c r="M5842" s="241">
        <v>707.42280000000005</v>
      </c>
    </row>
    <row r="5843" spans="3:13" hidden="1" outlineLevel="1" x14ac:dyDescent="0.2">
      <c r="C5843" s="139">
        <v>98.499999999998693</v>
      </c>
      <c r="D5843" s="28">
        <f t="shared" si="193"/>
        <v>787.99999999998954</v>
      </c>
      <c r="E5843" s="28">
        <f t="shared" si="194"/>
        <v>738.74999999999022</v>
      </c>
      <c r="F5843" s="28">
        <f t="shared" si="195"/>
        <v>720.74999999999022</v>
      </c>
      <c r="G5843" s="28">
        <f t="shared" si="196"/>
        <v>659.34169999999995</v>
      </c>
      <c r="H5843" s="28">
        <f t="shared" si="197"/>
        <v>692.24580000000003</v>
      </c>
      <c r="I5843" s="28">
        <f t="shared" si="198"/>
        <v>708.43409999999994</v>
      </c>
      <c r="J5843" s="28">
        <f t="shared" si="199"/>
        <v>720.99180000000001</v>
      </c>
      <c r="K5843" s="28">
        <f t="shared" si="200"/>
        <v>742.41240000000005</v>
      </c>
      <c r="L5843" s="4"/>
      <c r="M5843" s="241">
        <v>708.43409999999994</v>
      </c>
    </row>
    <row r="5844" spans="3:13" hidden="1" outlineLevel="1" x14ac:dyDescent="0.2">
      <c r="C5844" s="139">
        <v>98.599999999998687</v>
      </c>
      <c r="D5844" s="28">
        <f t="shared" si="193"/>
        <v>788.7999999999895</v>
      </c>
      <c r="E5844" s="28">
        <f t="shared" si="194"/>
        <v>739.49999999999011</v>
      </c>
      <c r="F5844" s="28">
        <f t="shared" si="195"/>
        <v>721.49999999999011</v>
      </c>
      <c r="G5844" s="28">
        <f t="shared" si="196"/>
        <v>660.30700000000002</v>
      </c>
      <c r="H5844" s="28">
        <f t="shared" si="197"/>
        <v>693.23469999999998</v>
      </c>
      <c r="I5844" s="28">
        <f t="shared" si="198"/>
        <v>709.44560000000001</v>
      </c>
      <c r="J5844" s="28">
        <f t="shared" si="199"/>
        <v>722.01739999999995</v>
      </c>
      <c r="K5844" s="28">
        <f t="shared" si="200"/>
        <v>743.46169999999995</v>
      </c>
      <c r="L5844" s="4"/>
      <c r="M5844" s="241">
        <v>709.44560000000001</v>
      </c>
    </row>
    <row r="5845" spans="3:13" hidden="1" outlineLevel="1" x14ac:dyDescent="0.2">
      <c r="C5845" s="139">
        <v>98.699999999998681</v>
      </c>
      <c r="D5845" s="28">
        <f t="shared" si="193"/>
        <v>789.59999999998945</v>
      </c>
      <c r="E5845" s="28">
        <f t="shared" si="194"/>
        <v>740.24999999999011</v>
      </c>
      <c r="F5845" s="28">
        <f t="shared" si="195"/>
        <v>722.24999999999011</v>
      </c>
      <c r="G5845" s="28">
        <f t="shared" si="196"/>
        <v>661.26689999999996</v>
      </c>
      <c r="H5845" s="28">
        <f t="shared" si="197"/>
        <v>694.22929999999997</v>
      </c>
      <c r="I5845" s="28">
        <f t="shared" si="198"/>
        <v>710.45159999999998</v>
      </c>
      <c r="J5845" s="28">
        <f t="shared" si="199"/>
        <v>723.03700000000003</v>
      </c>
      <c r="K5845" s="28">
        <f t="shared" si="200"/>
        <v>744.51099999999997</v>
      </c>
      <c r="L5845" s="4"/>
      <c r="M5845" s="241">
        <v>710.45159999999998</v>
      </c>
    </row>
    <row r="5846" spans="3:13" hidden="1" outlineLevel="1" x14ac:dyDescent="0.2">
      <c r="C5846" s="139">
        <v>98.799999999998676</v>
      </c>
      <c r="D5846" s="28">
        <f t="shared" si="193"/>
        <v>790.3999999999894</v>
      </c>
      <c r="E5846" s="28">
        <f t="shared" si="194"/>
        <v>740.99999999999011</v>
      </c>
      <c r="F5846" s="28">
        <f t="shared" si="195"/>
        <v>722.99999999999011</v>
      </c>
      <c r="G5846" s="28">
        <f t="shared" si="196"/>
        <v>661.26689999999996</v>
      </c>
      <c r="H5846" s="28">
        <f t="shared" si="197"/>
        <v>694.22929999999997</v>
      </c>
      <c r="I5846" s="28">
        <f t="shared" si="198"/>
        <v>710.45159999999998</v>
      </c>
      <c r="J5846" s="28">
        <f t="shared" si="199"/>
        <v>723.03700000000003</v>
      </c>
      <c r="K5846" s="28">
        <f t="shared" si="200"/>
        <v>744.51099999999997</v>
      </c>
      <c r="L5846" s="4"/>
      <c r="M5846" s="241">
        <v>710.45159999999998</v>
      </c>
    </row>
    <row r="5847" spans="3:13" hidden="1" outlineLevel="1" x14ac:dyDescent="0.2">
      <c r="C5847" s="139">
        <v>98.89999999999867</v>
      </c>
      <c r="D5847" s="28">
        <f t="shared" si="193"/>
        <v>791.19999999998936</v>
      </c>
      <c r="E5847" s="28">
        <f t="shared" si="194"/>
        <v>741.74999999999</v>
      </c>
      <c r="F5847" s="28">
        <f t="shared" si="195"/>
        <v>723.74999999999</v>
      </c>
      <c r="G5847" s="28">
        <f t="shared" si="196"/>
        <v>662.23239999999998</v>
      </c>
      <c r="H5847" s="28">
        <f t="shared" si="197"/>
        <v>695.22389999999996</v>
      </c>
      <c r="I5847" s="28">
        <f t="shared" si="198"/>
        <v>711.46320000000003</v>
      </c>
      <c r="J5847" s="28">
        <f t="shared" si="199"/>
        <v>724.06269999999995</v>
      </c>
      <c r="K5847" s="28">
        <f t="shared" si="200"/>
        <v>745.56039999999996</v>
      </c>
      <c r="L5847" s="4"/>
      <c r="M5847" s="241">
        <v>711.46320000000003</v>
      </c>
    </row>
    <row r="5848" spans="3:13" hidden="1" outlineLevel="1" x14ac:dyDescent="0.2">
      <c r="C5848" s="139">
        <v>98.999999999998664</v>
      </c>
      <c r="D5848" s="28">
        <f t="shared" si="193"/>
        <v>791.99999999998931</v>
      </c>
      <c r="E5848" s="28">
        <f t="shared" si="194"/>
        <v>742.49999999999</v>
      </c>
      <c r="F5848" s="28">
        <f t="shared" si="195"/>
        <v>724.49999999999</v>
      </c>
      <c r="G5848" s="28">
        <f t="shared" si="196"/>
        <v>663.19809999999995</v>
      </c>
      <c r="H5848" s="28">
        <f t="shared" si="197"/>
        <v>696.21860000000004</v>
      </c>
      <c r="I5848" s="28">
        <f t="shared" si="198"/>
        <v>712.47479999999996</v>
      </c>
      <c r="J5848" s="28">
        <f t="shared" si="199"/>
        <v>725.08839999999998</v>
      </c>
      <c r="K5848" s="28">
        <f t="shared" si="200"/>
        <v>746.60979999999995</v>
      </c>
      <c r="L5848" s="4"/>
      <c r="M5848" s="241">
        <v>712.47479999999996</v>
      </c>
    </row>
    <row r="5849" spans="3:13" hidden="1" outlineLevel="1" x14ac:dyDescent="0.2">
      <c r="C5849" s="139">
        <v>99.099999999998658</v>
      </c>
      <c r="D5849" s="28">
        <f t="shared" si="193"/>
        <v>792.79999999998927</v>
      </c>
      <c r="E5849" s="28">
        <f t="shared" si="194"/>
        <v>743.24999999999</v>
      </c>
      <c r="F5849" s="28">
        <f t="shared" si="195"/>
        <v>725.24999999999</v>
      </c>
      <c r="G5849" s="28">
        <f t="shared" si="196"/>
        <v>664.16390000000001</v>
      </c>
      <c r="H5849" s="28">
        <f t="shared" si="197"/>
        <v>697.21349999999995</v>
      </c>
      <c r="I5849" s="28">
        <f t="shared" si="198"/>
        <v>713.48659999999995</v>
      </c>
      <c r="J5849" s="28">
        <f t="shared" si="199"/>
        <v>726.11429999999996</v>
      </c>
      <c r="K5849" s="28">
        <f t="shared" si="200"/>
        <v>747.65930000000003</v>
      </c>
      <c r="L5849" s="4"/>
      <c r="M5849" s="241">
        <v>713.48659999999995</v>
      </c>
    </row>
    <row r="5850" spans="3:13" hidden="1" outlineLevel="1" x14ac:dyDescent="0.2">
      <c r="C5850" s="139">
        <v>99.199999999998653</v>
      </c>
      <c r="D5850" s="28">
        <f t="shared" si="193"/>
        <v>793.59999999998922</v>
      </c>
      <c r="E5850" s="28">
        <f t="shared" si="194"/>
        <v>743.99999999998988</v>
      </c>
      <c r="F5850" s="28">
        <f t="shared" si="195"/>
        <v>725.99999999998988</v>
      </c>
      <c r="G5850" s="28">
        <f t="shared" si="196"/>
        <v>664.16390000000001</v>
      </c>
      <c r="H5850" s="28">
        <f t="shared" si="197"/>
        <v>697.21349999999995</v>
      </c>
      <c r="I5850" s="28">
        <f t="shared" si="198"/>
        <v>713.48659999999995</v>
      </c>
      <c r="J5850" s="28">
        <f t="shared" si="199"/>
        <v>726.11429999999996</v>
      </c>
      <c r="K5850" s="28">
        <f t="shared" si="200"/>
        <v>747.65930000000003</v>
      </c>
      <c r="L5850" s="4"/>
      <c r="M5850" s="241">
        <v>713.48659999999995</v>
      </c>
    </row>
    <row r="5851" spans="3:13" hidden="1" outlineLevel="1" x14ac:dyDescent="0.2">
      <c r="C5851" s="139">
        <v>99.299999999998647</v>
      </c>
      <c r="D5851" s="28">
        <f t="shared" si="193"/>
        <v>794.39999999998918</v>
      </c>
      <c r="E5851" s="28">
        <f t="shared" si="194"/>
        <v>744.74999999998988</v>
      </c>
      <c r="F5851" s="28">
        <f t="shared" si="195"/>
        <v>726.74999999998988</v>
      </c>
      <c r="G5851" s="28">
        <f t="shared" si="196"/>
        <v>665.12429999999995</v>
      </c>
      <c r="H5851" s="28">
        <f t="shared" si="197"/>
        <v>698.20839999999998</v>
      </c>
      <c r="I5851" s="28">
        <f t="shared" si="198"/>
        <v>714.49839999999995</v>
      </c>
      <c r="J5851" s="28">
        <f t="shared" si="199"/>
        <v>727.13409999999999</v>
      </c>
      <c r="K5851" s="28">
        <f t="shared" si="200"/>
        <v>748.7088</v>
      </c>
      <c r="L5851" s="4"/>
      <c r="M5851" s="241">
        <v>714.49839999999995</v>
      </c>
    </row>
    <row r="5852" spans="3:13" hidden="1" outlineLevel="1" x14ac:dyDescent="0.2">
      <c r="C5852" s="139">
        <v>99.399999999998641</v>
      </c>
      <c r="D5852" s="28">
        <f t="shared" si="193"/>
        <v>795.19999999998913</v>
      </c>
      <c r="E5852" s="28">
        <f t="shared" si="194"/>
        <v>745.49999999998977</v>
      </c>
      <c r="F5852" s="28">
        <f t="shared" si="195"/>
        <v>727.49999999998977</v>
      </c>
      <c r="G5852" s="28">
        <f t="shared" si="196"/>
        <v>666.09029999999996</v>
      </c>
      <c r="H5852" s="28">
        <f t="shared" si="197"/>
        <v>699.20339999999999</v>
      </c>
      <c r="I5852" s="28">
        <f t="shared" si="198"/>
        <v>715.51030000000003</v>
      </c>
      <c r="J5852" s="28">
        <f t="shared" si="199"/>
        <v>728.16010000000006</v>
      </c>
      <c r="K5852" s="28">
        <f t="shared" si="200"/>
        <v>749.75840000000005</v>
      </c>
      <c r="L5852" s="4"/>
      <c r="M5852" s="241">
        <v>715.51030000000003</v>
      </c>
    </row>
    <row r="5853" spans="3:13" hidden="1" outlineLevel="1" x14ac:dyDescent="0.2">
      <c r="C5853" s="139">
        <v>99.499999999998636</v>
      </c>
      <c r="D5853" s="28">
        <f t="shared" si="193"/>
        <v>795.99999999998909</v>
      </c>
      <c r="E5853" s="28">
        <f t="shared" si="194"/>
        <v>746.24999999998977</v>
      </c>
      <c r="F5853" s="28">
        <f t="shared" si="195"/>
        <v>728.24999999998977</v>
      </c>
      <c r="G5853" s="28">
        <f t="shared" si="196"/>
        <v>667.05650000000003</v>
      </c>
      <c r="H5853" s="28">
        <f t="shared" si="197"/>
        <v>700.19849999999997</v>
      </c>
      <c r="I5853" s="28">
        <f t="shared" si="198"/>
        <v>716.51670000000001</v>
      </c>
      <c r="J5853" s="28">
        <f t="shared" si="199"/>
        <v>729.18610000000001</v>
      </c>
      <c r="K5853" s="28">
        <f t="shared" si="200"/>
        <v>750.80799999999999</v>
      </c>
      <c r="L5853" s="4"/>
      <c r="M5853" s="241">
        <v>716.51670000000001</v>
      </c>
    </row>
    <row r="5854" spans="3:13" hidden="1" outlineLevel="1" x14ac:dyDescent="0.2">
      <c r="C5854" s="139">
        <v>99.59999999999863</v>
      </c>
      <c r="D5854" s="28">
        <f t="shared" si="193"/>
        <v>796.79999999998904</v>
      </c>
      <c r="E5854" s="28">
        <f t="shared" si="194"/>
        <v>746.99999999998977</v>
      </c>
      <c r="F5854" s="28">
        <f t="shared" si="195"/>
        <v>728.99999999998977</v>
      </c>
      <c r="G5854" s="28">
        <f t="shared" si="196"/>
        <v>667.05650000000003</v>
      </c>
      <c r="H5854" s="28">
        <f t="shared" si="197"/>
        <v>700.19849999999997</v>
      </c>
      <c r="I5854" s="28">
        <f t="shared" si="198"/>
        <v>716.51670000000001</v>
      </c>
      <c r="J5854" s="28">
        <f t="shared" si="199"/>
        <v>729.18610000000001</v>
      </c>
      <c r="K5854" s="28">
        <f t="shared" si="200"/>
        <v>750.80799999999999</v>
      </c>
      <c r="L5854" s="4"/>
      <c r="M5854" s="241">
        <v>716.51670000000001</v>
      </c>
    </row>
    <row r="5855" spans="3:13" hidden="1" outlineLevel="1" x14ac:dyDescent="0.2">
      <c r="C5855" s="139">
        <v>99.699999999998624</v>
      </c>
      <c r="D5855" s="28">
        <f t="shared" si="193"/>
        <v>797.599999999989</v>
      </c>
      <c r="E5855" s="28">
        <f t="shared" si="194"/>
        <v>747.74999999998965</v>
      </c>
      <c r="F5855" s="28">
        <f t="shared" si="195"/>
        <v>729.74999999998965</v>
      </c>
      <c r="G5855" s="28">
        <f t="shared" si="196"/>
        <v>668.01729999999998</v>
      </c>
      <c r="H5855" s="28">
        <f t="shared" si="197"/>
        <v>701.19359999999995</v>
      </c>
      <c r="I5855" s="28">
        <f t="shared" si="198"/>
        <v>717.52869999999996</v>
      </c>
      <c r="J5855" s="28">
        <f t="shared" si="199"/>
        <v>730.21220000000005</v>
      </c>
      <c r="K5855" s="28">
        <f t="shared" si="200"/>
        <v>751.85770000000002</v>
      </c>
      <c r="L5855" s="4"/>
      <c r="M5855" s="241">
        <v>717.52869999999996</v>
      </c>
    </row>
    <row r="5856" spans="3:13" hidden="1" outlineLevel="1" x14ac:dyDescent="0.2">
      <c r="C5856" s="139">
        <v>99.799999999998619</v>
      </c>
      <c r="D5856" s="28">
        <f t="shared" si="193"/>
        <v>798.39999999998895</v>
      </c>
      <c r="E5856" s="28">
        <f t="shared" si="194"/>
        <v>748.49999999998965</v>
      </c>
      <c r="F5856" s="28">
        <f t="shared" si="195"/>
        <v>730.49999999998965</v>
      </c>
      <c r="G5856" s="28">
        <f t="shared" si="196"/>
        <v>668.98379999999997</v>
      </c>
      <c r="H5856" s="28">
        <f t="shared" si="197"/>
        <v>702.18889999999999</v>
      </c>
      <c r="I5856" s="28">
        <f t="shared" si="198"/>
        <v>718.54079999999999</v>
      </c>
      <c r="J5856" s="28">
        <f t="shared" si="199"/>
        <v>731.23220000000003</v>
      </c>
      <c r="K5856" s="28">
        <f t="shared" si="200"/>
        <v>752.90750000000003</v>
      </c>
      <c r="L5856" s="4"/>
      <c r="M5856" s="241">
        <v>718.54079999999999</v>
      </c>
    </row>
    <row r="5857" spans="3:13" hidden="1" outlineLevel="1" x14ac:dyDescent="0.2">
      <c r="C5857" s="139">
        <v>99.899999999998613</v>
      </c>
      <c r="D5857" s="28">
        <f t="shared" si="193"/>
        <v>799.1999999999889</v>
      </c>
      <c r="E5857" s="28">
        <f t="shared" si="194"/>
        <v>749.24999999998954</v>
      </c>
      <c r="F5857" s="28">
        <f t="shared" si="195"/>
        <v>731.24999999998954</v>
      </c>
      <c r="G5857" s="28">
        <f t="shared" si="196"/>
        <v>669.95039999999995</v>
      </c>
      <c r="H5857" s="28">
        <f t="shared" si="197"/>
        <v>703.17870000000005</v>
      </c>
      <c r="I5857" s="28">
        <f t="shared" si="198"/>
        <v>719.553</v>
      </c>
      <c r="J5857" s="28">
        <f t="shared" si="199"/>
        <v>732.25850000000003</v>
      </c>
      <c r="K5857" s="28">
        <f t="shared" si="200"/>
        <v>753.95719999999994</v>
      </c>
      <c r="L5857" s="4"/>
      <c r="M5857" s="241">
        <v>719.553</v>
      </c>
    </row>
    <row r="5858" spans="3:13" hidden="1" outlineLevel="1" x14ac:dyDescent="0.2">
      <c r="C5858" s="139">
        <v>99.999999999998607</v>
      </c>
      <c r="D5858" s="28">
        <f t="shared" si="193"/>
        <v>799.99999999998886</v>
      </c>
      <c r="E5858" s="28">
        <f t="shared" si="194"/>
        <v>749.99999999998954</v>
      </c>
      <c r="F5858" s="28">
        <f t="shared" si="195"/>
        <v>731.99999999998954</v>
      </c>
      <c r="G5858" s="28">
        <f t="shared" si="196"/>
        <v>669.95039999999995</v>
      </c>
      <c r="H5858" s="28">
        <f t="shared" si="197"/>
        <v>703.17870000000005</v>
      </c>
      <c r="I5858" s="28">
        <f t="shared" si="198"/>
        <v>719.553</v>
      </c>
      <c r="J5858" s="28">
        <f t="shared" si="199"/>
        <v>732.25850000000003</v>
      </c>
      <c r="K5858" s="28">
        <f t="shared" si="200"/>
        <v>753.95719999999994</v>
      </c>
      <c r="L5858" s="4"/>
      <c r="M5858" s="241">
        <v>719.553</v>
      </c>
    </row>
    <row r="5859" spans="3:13" hidden="1" outlineLevel="1" x14ac:dyDescent="0.2">
      <c r="C5859" s="139">
        <v>100.0999999999986</v>
      </c>
      <c r="D5859" s="28">
        <f t="shared" si="193"/>
        <v>800.79999999998881</v>
      </c>
      <c r="E5859" s="28">
        <f t="shared" si="194"/>
        <v>750.74999999998954</v>
      </c>
      <c r="F5859" s="28">
        <f t="shared" si="195"/>
        <v>732.74999999998954</v>
      </c>
      <c r="G5859" s="28">
        <f t="shared" si="196"/>
        <v>670.91160000000002</v>
      </c>
      <c r="H5859" s="28">
        <f t="shared" si="197"/>
        <v>704.17409999999995</v>
      </c>
      <c r="I5859" s="28">
        <f t="shared" si="198"/>
        <v>720.55970000000002</v>
      </c>
      <c r="J5859" s="28">
        <f t="shared" si="199"/>
        <v>733.28480000000002</v>
      </c>
      <c r="K5859" s="28">
        <f t="shared" si="200"/>
        <v>755.00710000000004</v>
      </c>
      <c r="L5859" s="4"/>
      <c r="M5859" s="241">
        <v>720.55970000000002</v>
      </c>
    </row>
    <row r="5860" spans="3:13" hidden="1" outlineLevel="1" x14ac:dyDescent="0.2">
      <c r="C5860" s="139">
        <v>100.1999999999986</v>
      </c>
      <c r="D5860" s="28">
        <f t="shared" si="193"/>
        <v>801.59999999998877</v>
      </c>
      <c r="E5860" s="28">
        <f t="shared" si="194"/>
        <v>751.49999999998943</v>
      </c>
      <c r="F5860" s="28">
        <f t="shared" si="195"/>
        <v>733.49999999998943</v>
      </c>
      <c r="G5860" s="28">
        <f t="shared" si="196"/>
        <v>671.87850000000003</v>
      </c>
      <c r="H5860" s="28">
        <f t="shared" si="197"/>
        <v>705.16970000000003</v>
      </c>
      <c r="I5860" s="28">
        <f t="shared" si="198"/>
        <v>721.572</v>
      </c>
      <c r="J5860" s="28">
        <f t="shared" si="199"/>
        <v>734.31110000000001</v>
      </c>
      <c r="K5860" s="28">
        <f t="shared" si="200"/>
        <v>756.05700000000002</v>
      </c>
      <c r="L5860" s="4"/>
      <c r="M5860" s="241">
        <v>721.572</v>
      </c>
    </row>
    <row r="5861" spans="3:13" hidden="1" outlineLevel="1" x14ac:dyDescent="0.2">
      <c r="C5861" s="139">
        <v>100.29999999999859</v>
      </c>
      <c r="D5861" s="28">
        <f t="shared" si="193"/>
        <v>802.39999999998872</v>
      </c>
      <c r="E5861" s="28">
        <f t="shared" si="194"/>
        <v>752.24999999998943</v>
      </c>
      <c r="F5861" s="28">
        <f t="shared" si="195"/>
        <v>734.24999999998943</v>
      </c>
      <c r="G5861" s="28">
        <f t="shared" si="196"/>
        <v>672.83989999999994</v>
      </c>
      <c r="H5861" s="28">
        <f t="shared" si="197"/>
        <v>706.1653</v>
      </c>
      <c r="I5861" s="28">
        <f t="shared" si="198"/>
        <v>722.58439999999996</v>
      </c>
      <c r="J5861" s="28">
        <f t="shared" si="199"/>
        <v>735.33140000000003</v>
      </c>
      <c r="K5861" s="28">
        <f t="shared" si="200"/>
        <v>757.1069</v>
      </c>
      <c r="L5861" s="4"/>
      <c r="M5861" s="241">
        <v>722.58439999999996</v>
      </c>
    </row>
    <row r="5862" spans="3:13" hidden="1" outlineLevel="1" x14ac:dyDescent="0.2">
      <c r="C5862" s="139">
        <v>100.39999999999858</v>
      </c>
      <c r="D5862" s="28">
        <f t="shared" si="193"/>
        <v>803.19999999998868</v>
      </c>
      <c r="E5862" s="28">
        <f t="shared" si="194"/>
        <v>752.99999999998943</v>
      </c>
      <c r="F5862" s="28">
        <f t="shared" si="195"/>
        <v>734.99999999998943</v>
      </c>
      <c r="G5862" s="28">
        <f t="shared" si="196"/>
        <v>672.83989999999994</v>
      </c>
      <c r="H5862" s="28">
        <f t="shared" si="197"/>
        <v>706.1653</v>
      </c>
      <c r="I5862" s="28">
        <f t="shared" si="198"/>
        <v>722.58439999999996</v>
      </c>
      <c r="J5862" s="28">
        <f t="shared" si="199"/>
        <v>735.33140000000003</v>
      </c>
      <c r="K5862" s="28">
        <f t="shared" si="200"/>
        <v>757.1069</v>
      </c>
      <c r="L5862" s="4"/>
      <c r="M5862" s="241">
        <v>722.58439999999996</v>
      </c>
    </row>
    <row r="5863" spans="3:13" hidden="1" outlineLevel="1" x14ac:dyDescent="0.2">
      <c r="C5863" s="139">
        <v>100.49999999999858</v>
      </c>
      <c r="D5863" s="28">
        <f t="shared" si="193"/>
        <v>803.99999999998863</v>
      </c>
      <c r="E5863" s="28">
        <f t="shared" si="194"/>
        <v>753.74999999998931</v>
      </c>
      <c r="F5863" s="28">
        <f t="shared" si="195"/>
        <v>735.74999999998931</v>
      </c>
      <c r="G5863" s="28">
        <f t="shared" si="196"/>
        <v>673.80700000000002</v>
      </c>
      <c r="H5863" s="28">
        <f t="shared" si="197"/>
        <v>707.16099999999994</v>
      </c>
      <c r="I5863" s="28">
        <f t="shared" si="198"/>
        <v>723.59690000000001</v>
      </c>
      <c r="J5863" s="28">
        <f t="shared" si="199"/>
        <v>736.35789999999997</v>
      </c>
      <c r="K5863" s="28">
        <f t="shared" si="200"/>
        <v>758.15070000000003</v>
      </c>
      <c r="L5863" s="4"/>
      <c r="M5863" s="241">
        <v>723.59690000000001</v>
      </c>
    </row>
    <row r="5864" spans="3:13" hidden="1" outlineLevel="1" x14ac:dyDescent="0.2">
      <c r="C5864" s="139">
        <v>100.59999999999857</v>
      </c>
      <c r="D5864" s="28">
        <f t="shared" si="193"/>
        <v>804.79999999998859</v>
      </c>
      <c r="E5864" s="28">
        <f t="shared" si="194"/>
        <v>754.49999999998931</v>
      </c>
      <c r="F5864" s="28">
        <f t="shared" si="195"/>
        <v>736.49999999998931</v>
      </c>
      <c r="G5864" s="28">
        <f t="shared" si="196"/>
        <v>674.76869999999997</v>
      </c>
      <c r="H5864" s="28">
        <f t="shared" si="197"/>
        <v>708.15120000000002</v>
      </c>
      <c r="I5864" s="28">
        <f t="shared" si="198"/>
        <v>724.60389999999995</v>
      </c>
      <c r="J5864" s="28">
        <f t="shared" si="199"/>
        <v>737.38440000000003</v>
      </c>
      <c r="K5864" s="28">
        <f t="shared" si="200"/>
        <v>759.20069999999998</v>
      </c>
      <c r="L5864" s="4"/>
      <c r="M5864" s="241">
        <v>724.60389999999995</v>
      </c>
    </row>
    <row r="5865" spans="3:13" hidden="1" outlineLevel="1" x14ac:dyDescent="0.2">
      <c r="C5865" s="139">
        <v>100.69999999999857</v>
      </c>
      <c r="D5865" s="28">
        <f t="shared" si="193"/>
        <v>805.59999999998854</v>
      </c>
      <c r="E5865" s="28">
        <f t="shared" si="194"/>
        <v>755.24999999998931</v>
      </c>
      <c r="F5865" s="28">
        <f t="shared" si="195"/>
        <v>737.24999999998931</v>
      </c>
      <c r="G5865" s="28">
        <f t="shared" si="196"/>
        <v>675.73609999999996</v>
      </c>
      <c r="H5865" s="28">
        <f t="shared" si="197"/>
        <v>709.14710000000002</v>
      </c>
      <c r="I5865" s="28">
        <f t="shared" si="198"/>
        <v>725.61649999999997</v>
      </c>
      <c r="J5865" s="28">
        <f t="shared" si="199"/>
        <v>738.4049</v>
      </c>
      <c r="K5865" s="28">
        <f t="shared" si="200"/>
        <v>760.25080000000003</v>
      </c>
      <c r="L5865" s="4"/>
      <c r="M5865" s="241">
        <v>725.61649999999997</v>
      </c>
    </row>
    <row r="5866" spans="3:13" hidden="1" outlineLevel="1" x14ac:dyDescent="0.2">
      <c r="C5866" s="139">
        <v>100.79999999999856</v>
      </c>
      <c r="D5866" s="28">
        <f t="shared" si="193"/>
        <v>806.39999999998849</v>
      </c>
      <c r="E5866" s="28">
        <f t="shared" si="194"/>
        <v>755.9999999999892</v>
      </c>
      <c r="F5866" s="28">
        <f t="shared" si="195"/>
        <v>737.9999999999892</v>
      </c>
      <c r="G5866" s="28">
        <f t="shared" si="196"/>
        <v>675.73609999999996</v>
      </c>
      <c r="H5866" s="28">
        <f t="shared" si="197"/>
        <v>709.14710000000002</v>
      </c>
      <c r="I5866" s="28">
        <f t="shared" si="198"/>
        <v>725.61649999999997</v>
      </c>
      <c r="J5866" s="28">
        <f t="shared" si="199"/>
        <v>738.4049</v>
      </c>
      <c r="K5866" s="28">
        <f t="shared" si="200"/>
        <v>760.25080000000003</v>
      </c>
      <c r="L5866" s="4"/>
      <c r="M5866" s="241">
        <v>725.61649999999997</v>
      </c>
    </row>
    <row r="5867" spans="3:13" hidden="1" outlineLevel="1" x14ac:dyDescent="0.2">
      <c r="C5867" s="139">
        <v>100.89999999999856</v>
      </c>
      <c r="D5867" s="28">
        <f t="shared" si="193"/>
        <v>807.19999999998845</v>
      </c>
      <c r="E5867" s="28">
        <f t="shared" si="194"/>
        <v>756.7499999999892</v>
      </c>
      <c r="F5867" s="28">
        <f t="shared" si="195"/>
        <v>738.7499999999892</v>
      </c>
      <c r="G5867" s="28">
        <f t="shared" si="196"/>
        <v>676.69799999999998</v>
      </c>
      <c r="H5867" s="28">
        <f t="shared" si="197"/>
        <v>710.1431</v>
      </c>
      <c r="I5867" s="28">
        <f t="shared" si="198"/>
        <v>726.62919999999997</v>
      </c>
      <c r="J5867" s="28">
        <f t="shared" si="199"/>
        <v>739.4316</v>
      </c>
      <c r="K5867" s="28">
        <f t="shared" si="200"/>
        <v>761.30100000000004</v>
      </c>
      <c r="L5867" s="4"/>
      <c r="M5867" s="241">
        <v>726.62919999999997</v>
      </c>
    </row>
    <row r="5868" spans="3:13" hidden="1" outlineLevel="1" x14ac:dyDescent="0.2">
      <c r="C5868" s="139">
        <v>100.99999999999855</v>
      </c>
      <c r="D5868" s="28">
        <f t="shared" si="193"/>
        <v>807.9999999999884</v>
      </c>
      <c r="E5868" s="28">
        <f t="shared" si="194"/>
        <v>757.49999999998909</v>
      </c>
      <c r="F5868" s="28">
        <f t="shared" si="195"/>
        <v>739.49999999998909</v>
      </c>
      <c r="G5868" s="28">
        <f t="shared" si="196"/>
        <v>677.66570000000002</v>
      </c>
      <c r="H5868" s="28">
        <f t="shared" si="197"/>
        <v>711.13919999999996</v>
      </c>
      <c r="I5868" s="28">
        <f t="shared" si="198"/>
        <v>727.64200000000005</v>
      </c>
      <c r="J5868" s="28">
        <f t="shared" si="199"/>
        <v>740.45830000000001</v>
      </c>
      <c r="K5868" s="28">
        <f t="shared" si="200"/>
        <v>762.35109999999997</v>
      </c>
      <c r="L5868" s="4"/>
      <c r="M5868" s="241">
        <v>727.64200000000005</v>
      </c>
    </row>
    <row r="5869" spans="3:13" hidden="1" outlineLevel="1" x14ac:dyDescent="0.2">
      <c r="C5869" s="139">
        <v>101.09999999999854</v>
      </c>
      <c r="D5869" s="28">
        <f t="shared" si="193"/>
        <v>808.79999999998836</v>
      </c>
      <c r="E5869" s="28">
        <f t="shared" si="194"/>
        <v>758.24999999998909</v>
      </c>
      <c r="F5869" s="28">
        <f t="shared" si="195"/>
        <v>740.24999999998909</v>
      </c>
      <c r="G5869" s="28">
        <f t="shared" si="196"/>
        <v>678.62789999999995</v>
      </c>
      <c r="H5869" s="28">
        <f t="shared" si="197"/>
        <v>712.12969999999996</v>
      </c>
      <c r="I5869" s="28">
        <f t="shared" si="198"/>
        <v>728.64919999999995</v>
      </c>
      <c r="J5869" s="28">
        <f t="shared" si="199"/>
        <v>741.47889999999995</v>
      </c>
      <c r="K5869" s="28">
        <f t="shared" si="200"/>
        <v>763.40139999999997</v>
      </c>
      <c r="L5869" s="4"/>
      <c r="M5869" s="241">
        <v>728.64919999999995</v>
      </c>
    </row>
    <row r="5870" spans="3:13" hidden="1" outlineLevel="1" x14ac:dyDescent="0.2">
      <c r="C5870" s="139">
        <v>101.19999999999854</v>
      </c>
      <c r="D5870" s="28">
        <f t="shared" si="193"/>
        <v>809.59999999998831</v>
      </c>
      <c r="E5870" s="28">
        <f t="shared" si="194"/>
        <v>758.99999999998909</v>
      </c>
      <c r="F5870" s="28">
        <f t="shared" si="195"/>
        <v>740.99999999998909</v>
      </c>
      <c r="G5870" s="28">
        <f t="shared" si="196"/>
        <v>678.62789999999995</v>
      </c>
      <c r="H5870" s="28">
        <f t="shared" si="197"/>
        <v>712.12969999999996</v>
      </c>
      <c r="I5870" s="28">
        <f t="shared" si="198"/>
        <v>728.64919999999995</v>
      </c>
      <c r="J5870" s="28">
        <f t="shared" si="199"/>
        <v>741.47889999999995</v>
      </c>
      <c r="K5870" s="28">
        <f t="shared" si="200"/>
        <v>763.40139999999997</v>
      </c>
      <c r="L5870" s="4"/>
      <c r="M5870" s="241">
        <v>728.64919999999995</v>
      </c>
    </row>
    <row r="5871" spans="3:13" hidden="1" outlineLevel="1" x14ac:dyDescent="0.2">
      <c r="C5871" s="139">
        <v>101.29999999999853</v>
      </c>
      <c r="D5871" s="28">
        <f t="shared" si="193"/>
        <v>810.39999999998827</v>
      </c>
      <c r="E5871" s="28">
        <f t="shared" si="194"/>
        <v>759.74999999998897</v>
      </c>
      <c r="F5871" s="28">
        <f t="shared" si="195"/>
        <v>741.74999999998897</v>
      </c>
      <c r="G5871" s="28">
        <f t="shared" si="196"/>
        <v>679.59580000000005</v>
      </c>
      <c r="H5871" s="28">
        <f t="shared" si="197"/>
        <v>713.12599999999998</v>
      </c>
      <c r="I5871" s="28">
        <f t="shared" si="198"/>
        <v>729.66210000000001</v>
      </c>
      <c r="J5871" s="28">
        <f t="shared" si="199"/>
        <v>742.50580000000002</v>
      </c>
      <c r="K5871" s="28">
        <f t="shared" si="200"/>
        <v>764.45159999999998</v>
      </c>
      <c r="L5871" s="4"/>
      <c r="M5871" s="241">
        <v>729.66210000000001</v>
      </c>
    </row>
    <row r="5872" spans="3:13" hidden="1" outlineLevel="1" x14ac:dyDescent="0.2">
      <c r="C5872" s="139">
        <v>101.39999999999853</v>
      </c>
      <c r="D5872" s="28">
        <f t="shared" si="193"/>
        <v>811.19999999998822</v>
      </c>
      <c r="E5872" s="28">
        <f t="shared" si="194"/>
        <v>760.49999999998897</v>
      </c>
      <c r="F5872" s="28">
        <f t="shared" si="195"/>
        <v>742.49999999998897</v>
      </c>
      <c r="G5872" s="28">
        <f t="shared" si="196"/>
        <v>680.55820000000006</v>
      </c>
      <c r="H5872" s="28">
        <f t="shared" si="197"/>
        <v>714.12239999999997</v>
      </c>
      <c r="I5872" s="28">
        <f t="shared" si="198"/>
        <v>730.66949999999997</v>
      </c>
      <c r="J5872" s="28">
        <f t="shared" si="199"/>
        <v>743.53269999999998</v>
      </c>
      <c r="K5872" s="28">
        <f t="shared" si="200"/>
        <v>765.50199999999995</v>
      </c>
      <c r="L5872" s="4"/>
      <c r="M5872" s="241">
        <v>730.66949999999997</v>
      </c>
    </row>
    <row r="5873" spans="3:13" hidden="1" outlineLevel="1" x14ac:dyDescent="0.2">
      <c r="C5873" s="139">
        <v>101.49999999999852</v>
      </c>
      <c r="D5873" s="28">
        <f t="shared" si="193"/>
        <v>811.99999999998818</v>
      </c>
      <c r="E5873" s="28">
        <f t="shared" si="194"/>
        <v>761.24999999998886</v>
      </c>
      <c r="F5873" s="28">
        <f t="shared" si="195"/>
        <v>743.24999999998886</v>
      </c>
      <c r="G5873" s="28">
        <f t="shared" si="196"/>
        <v>681.52639999999997</v>
      </c>
      <c r="H5873" s="28">
        <f t="shared" si="197"/>
        <v>715.11310000000003</v>
      </c>
      <c r="I5873" s="28">
        <f t="shared" si="198"/>
        <v>731.68259999999998</v>
      </c>
      <c r="J5873" s="28">
        <f t="shared" si="199"/>
        <v>744.55349999999999</v>
      </c>
      <c r="K5873" s="28">
        <f t="shared" si="200"/>
        <v>766.54610000000002</v>
      </c>
      <c r="L5873" s="4"/>
      <c r="M5873" s="241">
        <v>731.68259999999998</v>
      </c>
    </row>
    <row r="5874" spans="3:13" hidden="1" outlineLevel="1" x14ac:dyDescent="0.2">
      <c r="C5874" s="139">
        <v>101.59999999999852</v>
      </c>
      <c r="D5874" s="28">
        <f t="shared" si="193"/>
        <v>812.79999999998813</v>
      </c>
      <c r="E5874" s="28">
        <f t="shared" si="194"/>
        <v>761.99999999998886</v>
      </c>
      <c r="F5874" s="28">
        <f t="shared" si="195"/>
        <v>743.99999999998886</v>
      </c>
      <c r="G5874" s="28">
        <f t="shared" si="196"/>
        <v>681.52639999999997</v>
      </c>
      <c r="H5874" s="28">
        <f t="shared" si="197"/>
        <v>715.11310000000003</v>
      </c>
      <c r="I5874" s="28">
        <f t="shared" si="198"/>
        <v>731.68259999999998</v>
      </c>
      <c r="J5874" s="28">
        <f t="shared" si="199"/>
        <v>744.55349999999999</v>
      </c>
      <c r="K5874" s="28">
        <f t="shared" si="200"/>
        <v>766.54610000000002</v>
      </c>
      <c r="L5874" s="4"/>
      <c r="M5874" s="241">
        <v>731.68259999999998</v>
      </c>
    </row>
    <row r="5875" spans="3:13" hidden="1" outlineLevel="1" x14ac:dyDescent="0.2">
      <c r="C5875" s="139">
        <v>101.69999999999851</v>
      </c>
      <c r="D5875" s="28">
        <f t="shared" si="193"/>
        <v>813.59999999998809</v>
      </c>
      <c r="E5875" s="28">
        <f t="shared" si="194"/>
        <v>762.74999999998886</v>
      </c>
      <c r="F5875" s="28">
        <f t="shared" si="195"/>
        <v>744.74999999998886</v>
      </c>
      <c r="G5875" s="28">
        <f t="shared" si="196"/>
        <v>682.48910000000001</v>
      </c>
      <c r="H5875" s="28">
        <f t="shared" si="197"/>
        <v>716.1096</v>
      </c>
      <c r="I5875" s="28">
        <f t="shared" si="198"/>
        <v>732.69569999999999</v>
      </c>
      <c r="J5875" s="28">
        <f t="shared" si="199"/>
        <v>745.5806</v>
      </c>
      <c r="K5875" s="28">
        <f t="shared" si="200"/>
        <v>767.59649999999999</v>
      </c>
      <c r="L5875" s="4"/>
      <c r="M5875" s="241">
        <v>732.69569999999999</v>
      </c>
    </row>
    <row r="5876" spans="3:13" hidden="1" outlineLevel="1" x14ac:dyDescent="0.2">
      <c r="C5876" s="139">
        <v>101.79999999999851</v>
      </c>
      <c r="D5876" s="28">
        <f t="shared" si="193"/>
        <v>814.39999999998804</v>
      </c>
      <c r="E5876" s="28">
        <f t="shared" si="194"/>
        <v>763.49999999998875</v>
      </c>
      <c r="F5876" s="28">
        <f t="shared" si="195"/>
        <v>745.49999999998875</v>
      </c>
      <c r="G5876" s="28">
        <f t="shared" si="196"/>
        <v>683.45190000000002</v>
      </c>
      <c r="H5876" s="28">
        <f t="shared" si="197"/>
        <v>717.10630000000003</v>
      </c>
      <c r="I5876" s="28">
        <f t="shared" si="198"/>
        <v>733.70330000000001</v>
      </c>
      <c r="J5876" s="28">
        <f t="shared" si="199"/>
        <v>746.60140000000001</v>
      </c>
      <c r="K5876" s="28">
        <f t="shared" si="200"/>
        <v>768.64700000000005</v>
      </c>
      <c r="L5876" s="4"/>
      <c r="M5876" s="241">
        <v>733.70330000000001</v>
      </c>
    </row>
    <row r="5877" spans="3:13" hidden="1" outlineLevel="1" x14ac:dyDescent="0.2">
      <c r="C5877" s="139">
        <v>101.8999999999985</v>
      </c>
      <c r="D5877" s="28">
        <f t="shared" si="193"/>
        <v>815.19999999998799</v>
      </c>
      <c r="E5877" s="28">
        <f t="shared" si="194"/>
        <v>764.24999999998875</v>
      </c>
      <c r="F5877" s="28">
        <f t="shared" si="195"/>
        <v>746.24999999998875</v>
      </c>
      <c r="G5877" s="28">
        <f t="shared" si="196"/>
        <v>684.42049999999995</v>
      </c>
      <c r="H5877" s="28">
        <f t="shared" si="197"/>
        <v>718.09730000000002</v>
      </c>
      <c r="I5877" s="28">
        <f t="shared" si="198"/>
        <v>734.7165</v>
      </c>
      <c r="J5877" s="28">
        <f t="shared" si="199"/>
        <v>747.62860000000001</v>
      </c>
      <c r="K5877" s="28">
        <f t="shared" si="200"/>
        <v>769.69749999999999</v>
      </c>
      <c r="L5877" s="4"/>
      <c r="M5877" s="241">
        <v>734.7165</v>
      </c>
    </row>
    <row r="5878" spans="3:13" hidden="1" outlineLevel="1" x14ac:dyDescent="0.2">
      <c r="C5878" s="139">
        <v>101.99999999999849</v>
      </c>
      <c r="D5878" s="28">
        <f t="shared" si="193"/>
        <v>815.99999999998795</v>
      </c>
      <c r="E5878" s="28">
        <f t="shared" si="194"/>
        <v>764.99999999998875</v>
      </c>
      <c r="F5878" s="28">
        <f t="shared" si="195"/>
        <v>746.99999999998875</v>
      </c>
      <c r="G5878" s="28">
        <f t="shared" si="196"/>
        <v>684.42049999999995</v>
      </c>
      <c r="H5878" s="28">
        <f t="shared" si="197"/>
        <v>718.09730000000002</v>
      </c>
      <c r="I5878" s="28">
        <f t="shared" si="198"/>
        <v>734.7165</v>
      </c>
      <c r="J5878" s="28">
        <f t="shared" si="199"/>
        <v>747.62860000000001</v>
      </c>
      <c r="K5878" s="28">
        <f t="shared" si="200"/>
        <v>769.69749999999999</v>
      </c>
      <c r="L5878" s="4"/>
      <c r="M5878" s="241">
        <v>734.7165</v>
      </c>
    </row>
    <row r="5879" spans="3:13" hidden="1" outlineLevel="1" x14ac:dyDescent="0.2">
      <c r="C5879" s="139">
        <v>102.09999999999849</v>
      </c>
      <c r="D5879" s="28">
        <f t="shared" si="193"/>
        <v>816.7999999999879</v>
      </c>
      <c r="E5879" s="28">
        <f t="shared" si="194"/>
        <v>765.74999999998863</v>
      </c>
      <c r="F5879" s="28">
        <f t="shared" si="195"/>
        <v>747.74999999998863</v>
      </c>
      <c r="G5879" s="28">
        <f t="shared" si="196"/>
        <v>685.3836</v>
      </c>
      <c r="H5879" s="28">
        <f t="shared" si="197"/>
        <v>719.09410000000003</v>
      </c>
      <c r="I5879" s="28">
        <f t="shared" si="198"/>
        <v>735.72990000000004</v>
      </c>
      <c r="J5879" s="28">
        <f t="shared" si="199"/>
        <v>748.65589999999997</v>
      </c>
      <c r="K5879" s="28">
        <f t="shared" si="200"/>
        <v>770.74810000000002</v>
      </c>
      <c r="L5879" s="4"/>
      <c r="M5879" s="241">
        <v>735.72990000000004</v>
      </c>
    </row>
    <row r="5880" spans="3:13" hidden="1" outlineLevel="1" x14ac:dyDescent="0.2">
      <c r="C5880" s="139">
        <v>102.19999999999848</v>
      </c>
      <c r="D5880" s="28">
        <f t="shared" si="193"/>
        <v>817.59999999998786</v>
      </c>
      <c r="E5880" s="28">
        <f t="shared" si="194"/>
        <v>766.49999999998863</v>
      </c>
      <c r="F5880" s="28">
        <f t="shared" si="195"/>
        <v>748.49999999998863</v>
      </c>
      <c r="G5880" s="28">
        <f t="shared" si="196"/>
        <v>686.34670000000006</v>
      </c>
      <c r="H5880" s="28">
        <f t="shared" si="197"/>
        <v>720.09100000000001</v>
      </c>
      <c r="I5880" s="28">
        <f t="shared" si="198"/>
        <v>736.73770000000002</v>
      </c>
      <c r="J5880" s="28">
        <f t="shared" si="199"/>
        <v>749.67690000000005</v>
      </c>
      <c r="K5880" s="28">
        <f t="shared" si="200"/>
        <v>771.79870000000005</v>
      </c>
      <c r="L5880" s="4"/>
      <c r="M5880" s="241">
        <v>736.73770000000002</v>
      </c>
    </row>
    <row r="5881" spans="3:13" hidden="1" outlineLevel="1" x14ac:dyDescent="0.2">
      <c r="C5881" s="139">
        <v>102.29999999999848</v>
      </c>
      <c r="D5881" s="28">
        <f t="shared" si="193"/>
        <v>818.39999999998781</v>
      </c>
      <c r="E5881" s="28">
        <f t="shared" si="194"/>
        <v>767.24999999998863</v>
      </c>
      <c r="F5881" s="28">
        <f t="shared" si="195"/>
        <v>749.24999999998863</v>
      </c>
      <c r="G5881" s="28">
        <f t="shared" si="196"/>
        <v>687.31569999999999</v>
      </c>
      <c r="H5881" s="28">
        <f t="shared" si="197"/>
        <v>721.08219999999994</v>
      </c>
      <c r="I5881" s="28">
        <f t="shared" si="198"/>
        <v>737.75120000000004</v>
      </c>
      <c r="J5881" s="28">
        <f t="shared" si="199"/>
        <v>750.70429999999999</v>
      </c>
      <c r="K5881" s="28">
        <f t="shared" si="200"/>
        <v>772.84310000000005</v>
      </c>
      <c r="L5881" s="4"/>
      <c r="M5881" s="241">
        <v>737.75120000000004</v>
      </c>
    </row>
    <row r="5882" spans="3:13" hidden="1" outlineLevel="1" x14ac:dyDescent="0.2">
      <c r="C5882" s="139">
        <v>102.39999999999847</v>
      </c>
      <c r="D5882" s="28">
        <f t="shared" si="193"/>
        <v>819.19999999998777</v>
      </c>
      <c r="E5882" s="28">
        <f t="shared" si="194"/>
        <v>767.99999999998852</v>
      </c>
      <c r="F5882" s="28">
        <f t="shared" si="195"/>
        <v>749.99999999998852</v>
      </c>
      <c r="G5882" s="28">
        <f t="shared" si="196"/>
        <v>687.31569999999999</v>
      </c>
      <c r="H5882" s="28">
        <f t="shared" si="197"/>
        <v>721.08219999999994</v>
      </c>
      <c r="I5882" s="28">
        <f t="shared" si="198"/>
        <v>737.75120000000004</v>
      </c>
      <c r="J5882" s="28">
        <f t="shared" si="199"/>
        <v>750.70429999999999</v>
      </c>
      <c r="K5882" s="28">
        <f t="shared" si="200"/>
        <v>772.84310000000005</v>
      </c>
      <c r="L5882" s="4"/>
      <c r="M5882" s="241">
        <v>737.75120000000004</v>
      </c>
    </row>
    <row r="5883" spans="3:13" hidden="1" outlineLevel="1" x14ac:dyDescent="0.2">
      <c r="C5883" s="139">
        <v>102.49999999999847</v>
      </c>
      <c r="D5883" s="28">
        <f t="shared" ref="D5883:D5946" si="201">C5883*Channels.per.TRX</f>
        <v>819.99999999998772</v>
      </c>
      <c r="E5883" s="28">
        <f t="shared" ref="E5883:E5946" si="202">D5883-C5883*sig.channel.per.TRX</f>
        <v>768.74999999998852</v>
      </c>
      <c r="F5883" s="28">
        <f t="shared" ref="F5883:F5946" si="203">MAX(0,E5883-GPRS.channel.per.sector)</f>
        <v>750.74999999998852</v>
      </c>
      <c r="G5883" s="28">
        <f t="shared" ref="G5883:G5946" si="204">INDEX(D$10:D$4326,MATCH($F5883,$C$10:$C$4326,1))</f>
        <v>688.27919999999995</v>
      </c>
      <c r="H5883" s="28">
        <f t="shared" ref="H5883:H5946" si="205">INDEX(E$10:E$4326,MATCH($F5883,$C$10:$C$4326,1))</f>
        <v>722.07929999999999</v>
      </c>
      <c r="I5883" s="28">
        <f t="shared" ref="I5883:I5946" si="206">INDEX(F$10:F$4326,MATCH($F5883,$C$10:$C$4326,1))</f>
        <v>738.75900000000001</v>
      </c>
      <c r="J5883" s="28">
        <f t="shared" ref="J5883:J5946" si="207">INDEX(G$10:G$4326,MATCH($F5883,$C$10:$C$4326,1))</f>
        <v>751.72550000000001</v>
      </c>
      <c r="K5883" s="28">
        <f t="shared" ref="K5883:K5946" si="208">INDEX(H$10:H$4326,MATCH($F5883,$C$10:$C$4326,1))</f>
        <v>773.89380000000006</v>
      </c>
      <c r="L5883" s="4"/>
      <c r="M5883" s="241">
        <v>738.75900000000001</v>
      </c>
    </row>
    <row r="5884" spans="3:13" hidden="1" outlineLevel="1" x14ac:dyDescent="0.2">
      <c r="C5884" s="139">
        <v>102.59999999999846</v>
      </c>
      <c r="D5884" s="28">
        <f t="shared" si="201"/>
        <v>820.79999999998768</v>
      </c>
      <c r="E5884" s="28">
        <f t="shared" si="202"/>
        <v>769.4999999999884</v>
      </c>
      <c r="F5884" s="28">
        <f t="shared" si="203"/>
        <v>751.4999999999884</v>
      </c>
      <c r="G5884" s="28">
        <f t="shared" si="204"/>
        <v>689.24270000000001</v>
      </c>
      <c r="H5884" s="28">
        <f t="shared" si="205"/>
        <v>723.07069999999999</v>
      </c>
      <c r="I5884" s="28">
        <f t="shared" si="206"/>
        <v>739.77269999999999</v>
      </c>
      <c r="J5884" s="28">
        <f t="shared" si="207"/>
        <v>752.75300000000004</v>
      </c>
      <c r="K5884" s="28">
        <f t="shared" si="208"/>
        <v>774.94460000000004</v>
      </c>
      <c r="L5884" s="4"/>
      <c r="M5884" s="241">
        <v>739.77269999999999</v>
      </c>
    </row>
    <row r="5885" spans="3:13" hidden="1" outlineLevel="1" x14ac:dyDescent="0.2">
      <c r="C5885" s="139">
        <v>102.69999999999845</v>
      </c>
      <c r="D5885" s="28">
        <f t="shared" si="201"/>
        <v>821.59999999998763</v>
      </c>
      <c r="E5885" s="28">
        <f t="shared" si="202"/>
        <v>770.2499999999884</v>
      </c>
      <c r="F5885" s="28">
        <f t="shared" si="203"/>
        <v>752.2499999999884</v>
      </c>
      <c r="G5885" s="28">
        <f t="shared" si="204"/>
        <v>690.20640000000003</v>
      </c>
      <c r="H5885" s="28">
        <f t="shared" si="205"/>
        <v>724.06790000000001</v>
      </c>
      <c r="I5885" s="28">
        <f t="shared" si="206"/>
        <v>740.78070000000002</v>
      </c>
      <c r="J5885" s="28">
        <f t="shared" si="207"/>
        <v>753.77430000000004</v>
      </c>
      <c r="K5885" s="28">
        <f t="shared" si="208"/>
        <v>775.99540000000002</v>
      </c>
      <c r="L5885" s="4"/>
      <c r="M5885" s="241">
        <v>740.78070000000002</v>
      </c>
    </row>
    <row r="5886" spans="3:13" hidden="1" outlineLevel="1" x14ac:dyDescent="0.2">
      <c r="C5886" s="139">
        <v>102.79999999999845</v>
      </c>
      <c r="D5886" s="28">
        <f t="shared" si="201"/>
        <v>822.39999999998759</v>
      </c>
      <c r="E5886" s="28">
        <f t="shared" si="202"/>
        <v>770.9999999999884</v>
      </c>
      <c r="F5886" s="28">
        <f t="shared" si="203"/>
        <v>752.9999999999884</v>
      </c>
      <c r="G5886" s="28">
        <f t="shared" si="204"/>
        <v>690.20640000000003</v>
      </c>
      <c r="H5886" s="28">
        <f t="shared" si="205"/>
        <v>724.06790000000001</v>
      </c>
      <c r="I5886" s="28">
        <f t="shared" si="206"/>
        <v>740.78070000000002</v>
      </c>
      <c r="J5886" s="28">
        <f t="shared" si="207"/>
        <v>753.77430000000004</v>
      </c>
      <c r="K5886" s="28">
        <f t="shared" si="208"/>
        <v>775.99540000000002</v>
      </c>
      <c r="L5886" s="4"/>
      <c r="M5886" s="241">
        <v>740.78070000000002</v>
      </c>
    </row>
    <row r="5887" spans="3:13" hidden="1" outlineLevel="1" x14ac:dyDescent="0.2">
      <c r="C5887" s="139">
        <v>102.89999999999844</v>
      </c>
      <c r="D5887" s="28">
        <f t="shared" si="201"/>
        <v>823.19999999998754</v>
      </c>
      <c r="E5887" s="28">
        <f t="shared" si="202"/>
        <v>771.74999999998829</v>
      </c>
      <c r="F5887" s="28">
        <f t="shared" si="203"/>
        <v>753.74999999998829</v>
      </c>
      <c r="G5887" s="28">
        <f t="shared" si="204"/>
        <v>691.17589999999996</v>
      </c>
      <c r="H5887" s="28">
        <f t="shared" si="205"/>
        <v>725.06529999999998</v>
      </c>
      <c r="I5887" s="28">
        <f t="shared" si="206"/>
        <v>741.79449999999997</v>
      </c>
      <c r="J5887" s="28">
        <f t="shared" si="207"/>
        <v>754.80190000000005</v>
      </c>
      <c r="K5887" s="28">
        <f t="shared" si="208"/>
        <v>777.04629999999997</v>
      </c>
      <c r="L5887" s="4"/>
      <c r="M5887" s="241">
        <v>741.79449999999997</v>
      </c>
    </row>
    <row r="5888" spans="3:13" hidden="1" outlineLevel="1" x14ac:dyDescent="0.2">
      <c r="C5888" s="139">
        <v>102.99999999999844</v>
      </c>
      <c r="D5888" s="28">
        <f t="shared" si="201"/>
        <v>823.99999999998749</v>
      </c>
      <c r="E5888" s="28">
        <f t="shared" si="202"/>
        <v>772.49999999998829</v>
      </c>
      <c r="F5888" s="28">
        <f t="shared" si="203"/>
        <v>754.49999999998829</v>
      </c>
      <c r="G5888" s="28">
        <f t="shared" si="204"/>
        <v>692.13980000000004</v>
      </c>
      <c r="H5888" s="28">
        <f t="shared" si="205"/>
        <v>726.05690000000004</v>
      </c>
      <c r="I5888" s="28">
        <f t="shared" si="206"/>
        <v>742.80840000000001</v>
      </c>
      <c r="J5888" s="28">
        <f t="shared" si="207"/>
        <v>755.82960000000003</v>
      </c>
      <c r="K5888" s="28">
        <f t="shared" si="208"/>
        <v>778.09090000000003</v>
      </c>
      <c r="L5888" s="4"/>
      <c r="M5888" s="241">
        <v>742.80840000000001</v>
      </c>
    </row>
    <row r="5889" spans="3:13" hidden="1" outlineLevel="1" x14ac:dyDescent="0.2">
      <c r="C5889" s="139">
        <v>103.09999999999843</v>
      </c>
      <c r="D5889" s="28">
        <f t="shared" si="201"/>
        <v>824.79999999998745</v>
      </c>
      <c r="E5889" s="28">
        <f t="shared" si="202"/>
        <v>773.24999999998818</v>
      </c>
      <c r="F5889" s="28">
        <f t="shared" si="203"/>
        <v>755.24999999998818</v>
      </c>
      <c r="G5889" s="28">
        <f t="shared" si="204"/>
        <v>693.10379999999998</v>
      </c>
      <c r="H5889" s="28">
        <f t="shared" si="205"/>
        <v>727.05439999999999</v>
      </c>
      <c r="I5889" s="28">
        <f t="shared" si="206"/>
        <v>743.81659999999999</v>
      </c>
      <c r="J5889" s="28">
        <f t="shared" si="207"/>
        <v>756.851</v>
      </c>
      <c r="K5889" s="28">
        <f t="shared" si="208"/>
        <v>779.14179999999999</v>
      </c>
      <c r="L5889" s="4"/>
      <c r="M5889" s="241">
        <v>743.81659999999999</v>
      </c>
    </row>
    <row r="5890" spans="3:13" hidden="1" outlineLevel="1" x14ac:dyDescent="0.2">
      <c r="C5890" s="139">
        <v>103.19999999999843</v>
      </c>
      <c r="D5890" s="28">
        <f t="shared" si="201"/>
        <v>825.5999999999874</v>
      </c>
      <c r="E5890" s="28">
        <f t="shared" si="202"/>
        <v>773.99999999998818</v>
      </c>
      <c r="F5890" s="28">
        <f t="shared" si="203"/>
        <v>755.99999999998818</v>
      </c>
      <c r="G5890" s="28">
        <f t="shared" si="204"/>
        <v>693.10379999999998</v>
      </c>
      <c r="H5890" s="28">
        <f t="shared" si="205"/>
        <v>727.05439999999999</v>
      </c>
      <c r="I5890" s="28">
        <f t="shared" si="206"/>
        <v>743.81659999999999</v>
      </c>
      <c r="J5890" s="28">
        <f t="shared" si="207"/>
        <v>756.851</v>
      </c>
      <c r="K5890" s="28">
        <f t="shared" si="208"/>
        <v>779.14179999999999</v>
      </c>
      <c r="L5890" s="4"/>
      <c r="M5890" s="241">
        <v>743.81659999999999</v>
      </c>
    </row>
    <row r="5891" spans="3:13" hidden="1" outlineLevel="1" x14ac:dyDescent="0.2">
      <c r="C5891" s="139">
        <v>103.29999999999842</v>
      </c>
      <c r="D5891" s="28">
        <f t="shared" si="201"/>
        <v>826.39999999998736</v>
      </c>
      <c r="E5891" s="28">
        <f t="shared" si="202"/>
        <v>774.74999999998818</v>
      </c>
      <c r="F5891" s="28">
        <f t="shared" si="203"/>
        <v>756.74999999998818</v>
      </c>
      <c r="G5891" s="28">
        <f t="shared" si="204"/>
        <v>694.06799999999998</v>
      </c>
      <c r="H5891" s="28">
        <f t="shared" si="205"/>
        <v>728.0462</v>
      </c>
      <c r="I5891" s="28">
        <f t="shared" si="206"/>
        <v>744.8306</v>
      </c>
      <c r="J5891" s="28">
        <f t="shared" si="207"/>
        <v>757.87890000000004</v>
      </c>
      <c r="K5891" s="28">
        <f t="shared" si="208"/>
        <v>780.19280000000003</v>
      </c>
      <c r="L5891" s="4"/>
      <c r="M5891" s="241">
        <v>744.8306</v>
      </c>
    </row>
    <row r="5892" spans="3:13" hidden="1" outlineLevel="1" x14ac:dyDescent="0.2">
      <c r="C5892" s="139">
        <v>103.39999999999841</v>
      </c>
      <c r="D5892" s="28">
        <f t="shared" si="201"/>
        <v>827.19999999998731</v>
      </c>
      <c r="E5892" s="28">
        <f t="shared" si="202"/>
        <v>775.49999999998806</v>
      </c>
      <c r="F5892" s="28">
        <f t="shared" si="203"/>
        <v>757.49999999998806</v>
      </c>
      <c r="G5892" s="28">
        <f t="shared" si="204"/>
        <v>695.03229999999996</v>
      </c>
      <c r="H5892" s="28">
        <f t="shared" si="205"/>
        <v>729.04390000000001</v>
      </c>
      <c r="I5892" s="28">
        <f t="shared" si="206"/>
        <v>745.83889999999997</v>
      </c>
      <c r="J5892" s="28">
        <f t="shared" si="207"/>
        <v>758.90039999999999</v>
      </c>
      <c r="K5892" s="28">
        <f t="shared" si="208"/>
        <v>781.24390000000005</v>
      </c>
      <c r="L5892" s="4"/>
      <c r="M5892" s="241">
        <v>745.83889999999997</v>
      </c>
    </row>
    <row r="5893" spans="3:13" hidden="1" outlineLevel="1" x14ac:dyDescent="0.2">
      <c r="C5893" s="139">
        <v>103.49999999999841</v>
      </c>
      <c r="D5893" s="28">
        <f t="shared" si="201"/>
        <v>827.99999999998727</v>
      </c>
      <c r="E5893" s="28">
        <f t="shared" si="202"/>
        <v>776.24999999998806</v>
      </c>
      <c r="F5893" s="28">
        <f t="shared" si="203"/>
        <v>758.24999999998806</v>
      </c>
      <c r="G5893" s="28">
        <f t="shared" si="204"/>
        <v>695.99670000000003</v>
      </c>
      <c r="H5893" s="28">
        <f t="shared" si="205"/>
        <v>730.03589999999997</v>
      </c>
      <c r="I5893" s="28">
        <f t="shared" si="206"/>
        <v>746.85310000000004</v>
      </c>
      <c r="J5893" s="28">
        <f t="shared" si="207"/>
        <v>759.92840000000001</v>
      </c>
      <c r="K5893" s="28">
        <f t="shared" si="208"/>
        <v>782.28869999999995</v>
      </c>
      <c r="L5893" s="4"/>
      <c r="M5893" s="241">
        <v>746.85310000000004</v>
      </c>
    </row>
    <row r="5894" spans="3:13" hidden="1" outlineLevel="1" x14ac:dyDescent="0.2">
      <c r="C5894" s="139">
        <v>103.5999999999984</v>
      </c>
      <c r="D5894" s="28">
        <f t="shared" si="201"/>
        <v>828.79999999998722</v>
      </c>
      <c r="E5894" s="28">
        <f t="shared" si="202"/>
        <v>776.99999999998806</v>
      </c>
      <c r="F5894" s="28">
        <f t="shared" si="203"/>
        <v>758.99999999998806</v>
      </c>
      <c r="G5894" s="28">
        <f t="shared" si="204"/>
        <v>695.99670000000003</v>
      </c>
      <c r="H5894" s="28">
        <f t="shared" si="205"/>
        <v>730.03589999999997</v>
      </c>
      <c r="I5894" s="28">
        <f t="shared" si="206"/>
        <v>746.85310000000004</v>
      </c>
      <c r="J5894" s="28">
        <f t="shared" si="207"/>
        <v>759.92840000000001</v>
      </c>
      <c r="K5894" s="28">
        <f t="shared" si="208"/>
        <v>782.28869999999995</v>
      </c>
      <c r="L5894" s="4"/>
      <c r="M5894" s="241">
        <v>746.85310000000004</v>
      </c>
    </row>
    <row r="5895" spans="3:13" hidden="1" outlineLevel="1" x14ac:dyDescent="0.2">
      <c r="C5895" s="139">
        <v>103.6999999999984</v>
      </c>
      <c r="D5895" s="28">
        <f t="shared" si="201"/>
        <v>829.59999999998718</v>
      </c>
      <c r="E5895" s="28">
        <f t="shared" si="202"/>
        <v>777.74999999998795</v>
      </c>
      <c r="F5895" s="28">
        <f t="shared" si="203"/>
        <v>759.74999999998795</v>
      </c>
      <c r="G5895" s="28">
        <f t="shared" si="204"/>
        <v>696.96699999999998</v>
      </c>
      <c r="H5895" s="28">
        <f t="shared" si="205"/>
        <v>731.03380000000004</v>
      </c>
      <c r="I5895" s="28">
        <f t="shared" si="206"/>
        <v>747.86159999999995</v>
      </c>
      <c r="J5895" s="28">
        <f t="shared" si="207"/>
        <v>760.95</v>
      </c>
      <c r="K5895" s="28">
        <f t="shared" si="208"/>
        <v>783.33979999999997</v>
      </c>
      <c r="L5895" s="4"/>
      <c r="M5895" s="241">
        <v>747.86159999999995</v>
      </c>
    </row>
    <row r="5896" spans="3:13" hidden="1" outlineLevel="1" x14ac:dyDescent="0.2">
      <c r="C5896" s="139">
        <v>103.79999999999839</v>
      </c>
      <c r="D5896" s="28">
        <f t="shared" si="201"/>
        <v>830.39999999998713</v>
      </c>
      <c r="E5896" s="28">
        <f t="shared" si="202"/>
        <v>778.49999999998795</v>
      </c>
      <c r="F5896" s="28">
        <f t="shared" si="203"/>
        <v>760.49999999998795</v>
      </c>
      <c r="G5896" s="28">
        <f t="shared" si="204"/>
        <v>697.93169999999998</v>
      </c>
      <c r="H5896" s="28">
        <f t="shared" si="205"/>
        <v>732.02589999999998</v>
      </c>
      <c r="I5896" s="28">
        <f t="shared" si="206"/>
        <v>748.8759</v>
      </c>
      <c r="J5896" s="28">
        <f t="shared" si="207"/>
        <v>761.97810000000004</v>
      </c>
      <c r="K5896" s="28">
        <f t="shared" si="208"/>
        <v>784.39099999999996</v>
      </c>
      <c r="L5896" s="4"/>
      <c r="M5896" s="241">
        <v>748.8759</v>
      </c>
    </row>
    <row r="5897" spans="3:13" hidden="1" outlineLevel="1" x14ac:dyDescent="0.2">
      <c r="C5897" s="139">
        <v>103.89999999999839</v>
      </c>
      <c r="D5897" s="28">
        <f t="shared" si="201"/>
        <v>831.19999999998709</v>
      </c>
      <c r="E5897" s="28">
        <f t="shared" si="202"/>
        <v>779.24999999998795</v>
      </c>
      <c r="F5897" s="28">
        <f t="shared" si="203"/>
        <v>761.24999999998795</v>
      </c>
      <c r="G5897" s="28">
        <f t="shared" si="204"/>
        <v>698.89649999999995</v>
      </c>
      <c r="H5897" s="28">
        <f t="shared" si="205"/>
        <v>733.02390000000003</v>
      </c>
      <c r="I5897" s="28">
        <f t="shared" si="206"/>
        <v>749.8845</v>
      </c>
      <c r="J5897" s="28">
        <f t="shared" si="207"/>
        <v>762.99990000000003</v>
      </c>
      <c r="K5897" s="28">
        <f t="shared" si="208"/>
        <v>785.43589999999995</v>
      </c>
      <c r="L5897" s="4"/>
      <c r="M5897" s="241">
        <v>749.8845</v>
      </c>
    </row>
    <row r="5898" spans="3:13" hidden="1" outlineLevel="1" x14ac:dyDescent="0.2">
      <c r="C5898" s="139">
        <v>103.99999999999838</v>
      </c>
      <c r="D5898" s="28">
        <f t="shared" si="201"/>
        <v>831.99999999998704</v>
      </c>
      <c r="E5898" s="28">
        <f t="shared" si="202"/>
        <v>779.99999999998784</v>
      </c>
      <c r="F5898" s="28">
        <f t="shared" si="203"/>
        <v>761.99999999998784</v>
      </c>
      <c r="G5898" s="28">
        <f t="shared" si="204"/>
        <v>698.89649999999995</v>
      </c>
      <c r="H5898" s="28">
        <f t="shared" si="205"/>
        <v>733.02390000000003</v>
      </c>
      <c r="I5898" s="28">
        <f t="shared" si="206"/>
        <v>749.8845</v>
      </c>
      <c r="J5898" s="28">
        <f t="shared" si="207"/>
        <v>762.99990000000003</v>
      </c>
      <c r="K5898" s="28">
        <f t="shared" si="208"/>
        <v>785.43589999999995</v>
      </c>
      <c r="L5898" s="4"/>
      <c r="M5898" s="241">
        <v>749.8845</v>
      </c>
    </row>
    <row r="5899" spans="3:13" hidden="1" outlineLevel="1" x14ac:dyDescent="0.2">
      <c r="C5899" s="139">
        <v>104.09999999999837</v>
      </c>
      <c r="D5899" s="28">
        <f t="shared" si="201"/>
        <v>832.79999999998699</v>
      </c>
      <c r="E5899" s="28">
        <f t="shared" si="202"/>
        <v>780.74999999998784</v>
      </c>
      <c r="F5899" s="28">
        <f t="shared" si="203"/>
        <v>762.74999999998784</v>
      </c>
      <c r="G5899" s="28">
        <f t="shared" si="204"/>
        <v>699.8614</v>
      </c>
      <c r="H5899" s="28">
        <f t="shared" si="205"/>
        <v>734.01620000000003</v>
      </c>
      <c r="I5899" s="28">
        <f t="shared" si="206"/>
        <v>750.8931</v>
      </c>
      <c r="J5899" s="28">
        <f t="shared" si="207"/>
        <v>764.02809999999999</v>
      </c>
      <c r="K5899" s="28">
        <f t="shared" si="208"/>
        <v>786.48720000000003</v>
      </c>
      <c r="L5899" s="4"/>
      <c r="M5899" s="241">
        <v>750.8931</v>
      </c>
    </row>
    <row r="5900" spans="3:13" hidden="1" outlineLevel="1" x14ac:dyDescent="0.2">
      <c r="C5900" s="139">
        <v>104.19999999999837</v>
      </c>
      <c r="D5900" s="28">
        <f t="shared" si="201"/>
        <v>833.59999999998695</v>
      </c>
      <c r="E5900" s="28">
        <f t="shared" si="202"/>
        <v>781.49999999998772</v>
      </c>
      <c r="F5900" s="28">
        <f t="shared" si="203"/>
        <v>763.49999999998772</v>
      </c>
      <c r="G5900" s="28">
        <f t="shared" si="204"/>
        <v>700.82640000000004</v>
      </c>
      <c r="H5900" s="28">
        <f t="shared" si="205"/>
        <v>735.0086</v>
      </c>
      <c r="I5900" s="28">
        <f t="shared" si="206"/>
        <v>751.9076</v>
      </c>
      <c r="J5900" s="28">
        <f t="shared" si="207"/>
        <v>765.04989999999998</v>
      </c>
      <c r="K5900" s="28">
        <f t="shared" si="208"/>
        <v>787.5385</v>
      </c>
      <c r="L5900" s="4"/>
      <c r="M5900" s="241">
        <v>751.9076</v>
      </c>
    </row>
    <row r="5901" spans="3:13" hidden="1" outlineLevel="1" x14ac:dyDescent="0.2">
      <c r="C5901" s="139">
        <v>104.29999999999836</v>
      </c>
      <c r="D5901" s="28">
        <f t="shared" si="201"/>
        <v>834.3999999999869</v>
      </c>
      <c r="E5901" s="28">
        <f t="shared" si="202"/>
        <v>782.24999999998772</v>
      </c>
      <c r="F5901" s="28">
        <f t="shared" si="203"/>
        <v>764.24999999998772</v>
      </c>
      <c r="G5901" s="28">
        <f t="shared" si="204"/>
        <v>701.79150000000004</v>
      </c>
      <c r="H5901" s="28">
        <f t="shared" si="205"/>
        <v>736.00689999999997</v>
      </c>
      <c r="I5901" s="28">
        <f t="shared" si="206"/>
        <v>752.91639999999995</v>
      </c>
      <c r="J5901" s="28">
        <f t="shared" si="207"/>
        <v>766.07190000000003</v>
      </c>
      <c r="K5901" s="28">
        <f t="shared" si="208"/>
        <v>788.58989999999994</v>
      </c>
      <c r="L5901" s="4"/>
      <c r="M5901" s="241">
        <v>752.91639999999995</v>
      </c>
    </row>
    <row r="5902" spans="3:13" hidden="1" outlineLevel="1" x14ac:dyDescent="0.2">
      <c r="C5902" s="139">
        <v>104.39999999999836</v>
      </c>
      <c r="D5902" s="28">
        <f t="shared" si="201"/>
        <v>835.19999999998686</v>
      </c>
      <c r="E5902" s="28">
        <f t="shared" si="202"/>
        <v>782.99999999998772</v>
      </c>
      <c r="F5902" s="28">
        <f t="shared" si="203"/>
        <v>764.99999999998772</v>
      </c>
      <c r="G5902" s="28">
        <f t="shared" si="204"/>
        <v>701.79150000000004</v>
      </c>
      <c r="H5902" s="28">
        <f t="shared" si="205"/>
        <v>736.00689999999997</v>
      </c>
      <c r="I5902" s="28">
        <f t="shared" si="206"/>
        <v>752.91639999999995</v>
      </c>
      <c r="J5902" s="28">
        <f t="shared" si="207"/>
        <v>766.07190000000003</v>
      </c>
      <c r="K5902" s="28">
        <f t="shared" si="208"/>
        <v>788.58989999999994</v>
      </c>
      <c r="L5902" s="4"/>
      <c r="M5902" s="241">
        <v>752.91639999999995</v>
      </c>
    </row>
    <row r="5903" spans="3:13" hidden="1" outlineLevel="1" x14ac:dyDescent="0.2">
      <c r="C5903" s="139">
        <v>104.49999999999835</v>
      </c>
      <c r="D5903" s="28">
        <f t="shared" si="201"/>
        <v>835.99999999998681</v>
      </c>
      <c r="E5903" s="28">
        <f t="shared" si="202"/>
        <v>783.74999999998761</v>
      </c>
      <c r="F5903" s="28">
        <f t="shared" si="203"/>
        <v>765.74999999998761</v>
      </c>
      <c r="G5903" s="28">
        <f t="shared" si="204"/>
        <v>702.7568</v>
      </c>
      <c r="H5903" s="28">
        <f t="shared" si="205"/>
        <v>736.99950000000001</v>
      </c>
      <c r="I5903" s="28">
        <f t="shared" si="206"/>
        <v>753.93110000000001</v>
      </c>
      <c r="J5903" s="28">
        <f t="shared" si="207"/>
        <v>767.10029999999995</v>
      </c>
      <c r="K5903" s="28">
        <f t="shared" si="208"/>
        <v>789.63490000000002</v>
      </c>
      <c r="L5903" s="4"/>
      <c r="M5903" s="241">
        <v>753.93110000000001</v>
      </c>
    </row>
    <row r="5904" spans="3:13" hidden="1" outlineLevel="1" x14ac:dyDescent="0.2">
      <c r="C5904" s="139">
        <v>104.59999999999835</v>
      </c>
      <c r="D5904" s="28">
        <f t="shared" si="201"/>
        <v>836.79999999998677</v>
      </c>
      <c r="E5904" s="28">
        <f t="shared" si="202"/>
        <v>784.49999999998761</v>
      </c>
      <c r="F5904" s="28">
        <f t="shared" si="203"/>
        <v>766.49999999998761</v>
      </c>
      <c r="G5904" s="28">
        <f t="shared" si="204"/>
        <v>703.72220000000004</v>
      </c>
      <c r="H5904" s="28">
        <f t="shared" si="205"/>
        <v>737.99789999999996</v>
      </c>
      <c r="I5904" s="28">
        <f t="shared" si="206"/>
        <v>754.93709999999999</v>
      </c>
      <c r="J5904" s="28">
        <f t="shared" si="207"/>
        <v>768.1223</v>
      </c>
      <c r="K5904" s="28">
        <f t="shared" si="208"/>
        <v>790.68640000000005</v>
      </c>
      <c r="L5904" s="4"/>
      <c r="M5904" s="241">
        <v>754.93709999999999</v>
      </c>
    </row>
    <row r="5905" spans="3:13" hidden="1" outlineLevel="1" x14ac:dyDescent="0.2">
      <c r="C5905" s="139">
        <v>104.69999999999834</v>
      </c>
      <c r="D5905" s="28">
        <f t="shared" si="201"/>
        <v>837.59999999998672</v>
      </c>
      <c r="E5905" s="28">
        <f t="shared" si="202"/>
        <v>785.24999999998749</v>
      </c>
      <c r="F5905" s="28">
        <f t="shared" si="203"/>
        <v>767.24999999998749</v>
      </c>
      <c r="G5905" s="28">
        <f t="shared" si="204"/>
        <v>704.68769999999995</v>
      </c>
      <c r="H5905" s="28">
        <f t="shared" si="205"/>
        <v>738.99059999999997</v>
      </c>
      <c r="I5905" s="28">
        <f t="shared" si="206"/>
        <v>755.95780000000002</v>
      </c>
      <c r="J5905" s="28">
        <f t="shared" si="207"/>
        <v>769.1508</v>
      </c>
      <c r="K5905" s="28">
        <f t="shared" si="208"/>
        <v>791.73800000000006</v>
      </c>
      <c r="L5905" s="4"/>
      <c r="M5905" s="241">
        <v>755.95780000000002</v>
      </c>
    </row>
    <row r="5906" spans="3:13" hidden="1" outlineLevel="1" x14ac:dyDescent="0.2">
      <c r="C5906" s="139">
        <v>104.79999999999833</v>
      </c>
      <c r="D5906" s="28">
        <f t="shared" si="201"/>
        <v>838.39999999998668</v>
      </c>
      <c r="E5906" s="28">
        <f t="shared" si="202"/>
        <v>785.99999999998749</v>
      </c>
      <c r="F5906" s="28">
        <f t="shared" si="203"/>
        <v>767.99999999998749</v>
      </c>
      <c r="G5906" s="28">
        <f t="shared" si="204"/>
        <v>704.68769999999995</v>
      </c>
      <c r="H5906" s="28">
        <f t="shared" si="205"/>
        <v>738.99059999999997</v>
      </c>
      <c r="I5906" s="28">
        <f t="shared" si="206"/>
        <v>755.95780000000002</v>
      </c>
      <c r="J5906" s="28">
        <f t="shared" si="207"/>
        <v>769.1508</v>
      </c>
      <c r="K5906" s="28">
        <f t="shared" si="208"/>
        <v>791.73800000000006</v>
      </c>
      <c r="L5906" s="4"/>
      <c r="M5906" s="241">
        <v>755.95780000000002</v>
      </c>
    </row>
    <row r="5907" spans="3:13" hidden="1" outlineLevel="1" x14ac:dyDescent="0.2">
      <c r="C5907" s="139">
        <v>104.89999999999833</v>
      </c>
      <c r="D5907" s="28">
        <f t="shared" si="201"/>
        <v>839.19999999998663</v>
      </c>
      <c r="E5907" s="28">
        <f t="shared" si="202"/>
        <v>786.74999999998749</v>
      </c>
      <c r="F5907" s="28">
        <f t="shared" si="203"/>
        <v>768.74999999998749</v>
      </c>
      <c r="G5907" s="28">
        <f t="shared" si="204"/>
        <v>705.65329999999994</v>
      </c>
      <c r="H5907" s="28">
        <f t="shared" si="205"/>
        <v>739.98339999999996</v>
      </c>
      <c r="I5907" s="28">
        <f t="shared" si="206"/>
        <v>756.96680000000003</v>
      </c>
      <c r="J5907" s="28">
        <f t="shared" si="207"/>
        <v>770.17290000000003</v>
      </c>
      <c r="K5907" s="28">
        <f t="shared" si="208"/>
        <v>792.78309999999999</v>
      </c>
      <c r="L5907" s="4"/>
      <c r="M5907" s="241">
        <v>756.96680000000003</v>
      </c>
    </row>
    <row r="5908" spans="3:13" hidden="1" outlineLevel="1" x14ac:dyDescent="0.2">
      <c r="C5908" s="139">
        <v>104.99999999999832</v>
      </c>
      <c r="D5908" s="28">
        <f t="shared" si="201"/>
        <v>839.99999999998658</v>
      </c>
      <c r="E5908" s="28">
        <f t="shared" si="202"/>
        <v>787.49999999998738</v>
      </c>
      <c r="F5908" s="28">
        <f t="shared" si="203"/>
        <v>769.49999999998738</v>
      </c>
      <c r="G5908" s="28">
        <f t="shared" si="204"/>
        <v>706.6191</v>
      </c>
      <c r="H5908" s="28">
        <f t="shared" si="205"/>
        <v>740.98209999999995</v>
      </c>
      <c r="I5908" s="28">
        <f t="shared" si="206"/>
        <v>757.97590000000002</v>
      </c>
      <c r="J5908" s="28">
        <f t="shared" si="207"/>
        <v>771.20159999999998</v>
      </c>
      <c r="K5908" s="28">
        <f t="shared" si="208"/>
        <v>793.8347</v>
      </c>
      <c r="L5908" s="4"/>
      <c r="M5908" s="241">
        <v>757.97590000000002</v>
      </c>
    </row>
    <row r="5909" spans="3:13" hidden="1" outlineLevel="1" x14ac:dyDescent="0.2">
      <c r="C5909" s="139">
        <v>105.09999999999832</v>
      </c>
      <c r="D5909" s="28">
        <f t="shared" si="201"/>
        <v>840.79999999998654</v>
      </c>
      <c r="E5909" s="28">
        <f t="shared" si="202"/>
        <v>788.24999999998738</v>
      </c>
      <c r="F5909" s="28">
        <f t="shared" si="203"/>
        <v>770.24999999998738</v>
      </c>
      <c r="G5909" s="28">
        <f t="shared" si="204"/>
        <v>707.58500000000004</v>
      </c>
      <c r="H5909" s="28">
        <f t="shared" si="205"/>
        <v>741.9751</v>
      </c>
      <c r="I5909" s="28">
        <f t="shared" si="206"/>
        <v>758.98509999999999</v>
      </c>
      <c r="J5909" s="28">
        <f t="shared" si="207"/>
        <v>772.22379999999998</v>
      </c>
      <c r="K5909" s="28">
        <f t="shared" si="208"/>
        <v>794.88639999999998</v>
      </c>
      <c r="L5909" s="4"/>
      <c r="M5909" s="241">
        <v>758.98509999999999</v>
      </c>
    </row>
    <row r="5910" spans="3:13" hidden="1" outlineLevel="1" x14ac:dyDescent="0.2">
      <c r="C5910" s="139">
        <v>105.19999999999831</v>
      </c>
      <c r="D5910" s="28">
        <f t="shared" si="201"/>
        <v>841.59999999998649</v>
      </c>
      <c r="E5910" s="28">
        <f t="shared" si="202"/>
        <v>788.99999999998738</v>
      </c>
      <c r="F5910" s="28">
        <f t="shared" si="203"/>
        <v>770.99999999998738</v>
      </c>
      <c r="G5910" s="28">
        <f t="shared" si="204"/>
        <v>707.58500000000004</v>
      </c>
      <c r="H5910" s="28">
        <f t="shared" si="205"/>
        <v>741.9751</v>
      </c>
      <c r="I5910" s="28">
        <f t="shared" si="206"/>
        <v>758.98509999999999</v>
      </c>
      <c r="J5910" s="28">
        <f t="shared" si="207"/>
        <v>772.22379999999998</v>
      </c>
      <c r="K5910" s="28">
        <f t="shared" si="208"/>
        <v>794.88639999999998</v>
      </c>
      <c r="L5910" s="4"/>
      <c r="M5910" s="241">
        <v>758.98509999999999</v>
      </c>
    </row>
    <row r="5911" spans="3:13" hidden="1" outlineLevel="1" x14ac:dyDescent="0.2">
      <c r="C5911" s="139">
        <v>105.29999999999831</v>
      </c>
      <c r="D5911" s="28">
        <f t="shared" si="201"/>
        <v>842.39999999998645</v>
      </c>
      <c r="E5911" s="28">
        <f t="shared" si="202"/>
        <v>789.74999999998727</v>
      </c>
      <c r="F5911" s="28">
        <f t="shared" si="203"/>
        <v>771.74999999998727</v>
      </c>
      <c r="G5911" s="28">
        <f t="shared" si="204"/>
        <v>708.55100000000004</v>
      </c>
      <c r="H5911" s="28">
        <f t="shared" si="205"/>
        <v>742.97400000000005</v>
      </c>
      <c r="I5911" s="28">
        <f t="shared" si="206"/>
        <v>759.99429999999995</v>
      </c>
      <c r="J5911" s="28">
        <f t="shared" si="207"/>
        <v>773.24609999999996</v>
      </c>
      <c r="K5911" s="28">
        <f t="shared" si="208"/>
        <v>795.93169999999998</v>
      </c>
      <c r="L5911" s="4"/>
      <c r="M5911" s="241">
        <v>759.99429999999995</v>
      </c>
    </row>
    <row r="5912" spans="3:13" hidden="1" outlineLevel="1" x14ac:dyDescent="0.2">
      <c r="C5912" s="139">
        <v>105.3999999999983</v>
      </c>
      <c r="D5912" s="28">
        <f t="shared" si="201"/>
        <v>843.1999999999864</v>
      </c>
      <c r="E5912" s="28">
        <f t="shared" si="202"/>
        <v>790.49999999998727</v>
      </c>
      <c r="F5912" s="28">
        <f t="shared" si="203"/>
        <v>772.49999999998727</v>
      </c>
      <c r="G5912" s="28">
        <f t="shared" si="204"/>
        <v>709.51710000000003</v>
      </c>
      <c r="H5912" s="28">
        <f t="shared" si="205"/>
        <v>743.96709999999996</v>
      </c>
      <c r="I5912" s="28">
        <f t="shared" si="206"/>
        <v>761.00360000000001</v>
      </c>
      <c r="J5912" s="28">
        <f t="shared" si="207"/>
        <v>774.27499999999998</v>
      </c>
      <c r="K5912" s="28">
        <f t="shared" si="208"/>
        <v>796.98350000000005</v>
      </c>
      <c r="L5912" s="4"/>
      <c r="M5912" s="241">
        <v>761.00360000000001</v>
      </c>
    </row>
    <row r="5913" spans="3:13" hidden="1" outlineLevel="1" x14ac:dyDescent="0.2">
      <c r="C5913" s="139">
        <v>105.49999999999829</v>
      </c>
      <c r="D5913" s="28">
        <f t="shared" si="201"/>
        <v>843.99999999998636</v>
      </c>
      <c r="E5913" s="28">
        <f t="shared" si="202"/>
        <v>791.24999999998727</v>
      </c>
      <c r="F5913" s="28">
        <f t="shared" si="203"/>
        <v>773.24999999998727</v>
      </c>
      <c r="G5913" s="28">
        <f t="shared" si="204"/>
        <v>710.48329999999999</v>
      </c>
      <c r="H5913" s="28">
        <f t="shared" si="205"/>
        <v>744.96019999999999</v>
      </c>
      <c r="I5913" s="28">
        <f t="shared" si="206"/>
        <v>762.02470000000005</v>
      </c>
      <c r="J5913" s="28">
        <f t="shared" si="207"/>
        <v>775.29740000000004</v>
      </c>
      <c r="K5913" s="28">
        <f t="shared" si="208"/>
        <v>798.03530000000001</v>
      </c>
      <c r="L5913" s="4"/>
      <c r="M5913" s="241">
        <v>762.02470000000005</v>
      </c>
    </row>
    <row r="5914" spans="3:13" hidden="1" outlineLevel="1" x14ac:dyDescent="0.2">
      <c r="C5914" s="139">
        <v>105.59999999999829</v>
      </c>
      <c r="D5914" s="28">
        <f t="shared" si="201"/>
        <v>844.79999999998631</v>
      </c>
      <c r="E5914" s="28">
        <f t="shared" si="202"/>
        <v>791.99999999998715</v>
      </c>
      <c r="F5914" s="28">
        <f t="shared" si="203"/>
        <v>773.99999999998715</v>
      </c>
      <c r="G5914" s="28">
        <f t="shared" si="204"/>
        <v>710.48329999999999</v>
      </c>
      <c r="H5914" s="28">
        <f t="shared" si="205"/>
        <v>744.96019999999999</v>
      </c>
      <c r="I5914" s="28">
        <f t="shared" si="206"/>
        <v>762.02470000000005</v>
      </c>
      <c r="J5914" s="28">
        <f t="shared" si="207"/>
        <v>775.29740000000004</v>
      </c>
      <c r="K5914" s="28">
        <f t="shared" si="208"/>
        <v>798.03530000000001</v>
      </c>
      <c r="L5914" s="4"/>
      <c r="M5914" s="241">
        <v>762.02470000000005</v>
      </c>
    </row>
    <row r="5915" spans="3:13" hidden="1" outlineLevel="1" x14ac:dyDescent="0.2">
      <c r="C5915" s="139">
        <v>105.69999999999828</v>
      </c>
      <c r="D5915" s="28">
        <f t="shared" si="201"/>
        <v>845.59999999998627</v>
      </c>
      <c r="E5915" s="28">
        <f t="shared" si="202"/>
        <v>792.74999999998715</v>
      </c>
      <c r="F5915" s="28">
        <f t="shared" si="203"/>
        <v>774.74999999998715</v>
      </c>
      <c r="G5915" s="28">
        <f t="shared" si="204"/>
        <v>711.44970000000001</v>
      </c>
      <c r="H5915" s="28">
        <f t="shared" si="205"/>
        <v>745.95939999999996</v>
      </c>
      <c r="I5915" s="28">
        <f t="shared" si="206"/>
        <v>763.03409999999997</v>
      </c>
      <c r="J5915" s="28">
        <f t="shared" si="207"/>
        <v>776.32629999999995</v>
      </c>
      <c r="K5915" s="28">
        <f t="shared" si="208"/>
        <v>799.08069999999998</v>
      </c>
      <c r="L5915" s="4"/>
      <c r="M5915" s="241">
        <v>763.03409999999997</v>
      </c>
    </row>
    <row r="5916" spans="3:13" hidden="1" outlineLevel="1" x14ac:dyDescent="0.2">
      <c r="C5916" s="139">
        <v>105.79999999999828</v>
      </c>
      <c r="D5916" s="28">
        <f t="shared" si="201"/>
        <v>846.39999999998622</v>
      </c>
      <c r="E5916" s="28">
        <f t="shared" si="202"/>
        <v>793.49999999998704</v>
      </c>
      <c r="F5916" s="28">
        <f t="shared" si="203"/>
        <v>775.49999999998704</v>
      </c>
      <c r="G5916" s="28">
        <f t="shared" si="204"/>
        <v>712.41030000000001</v>
      </c>
      <c r="H5916" s="28">
        <f t="shared" si="205"/>
        <v>746.95270000000005</v>
      </c>
      <c r="I5916" s="28">
        <f t="shared" si="206"/>
        <v>764.04359999999997</v>
      </c>
      <c r="J5916" s="28">
        <f t="shared" si="207"/>
        <v>777.34889999999996</v>
      </c>
      <c r="K5916" s="28">
        <f t="shared" si="208"/>
        <v>800.13260000000002</v>
      </c>
      <c r="L5916" s="4"/>
      <c r="M5916" s="241">
        <v>764.04359999999997</v>
      </c>
    </row>
    <row r="5917" spans="3:13" hidden="1" outlineLevel="1" x14ac:dyDescent="0.2">
      <c r="C5917" s="139">
        <v>105.89999999999827</v>
      </c>
      <c r="D5917" s="28">
        <f t="shared" si="201"/>
        <v>847.19999999998618</v>
      </c>
      <c r="E5917" s="28">
        <f t="shared" si="202"/>
        <v>794.24999999998704</v>
      </c>
      <c r="F5917" s="28">
        <f t="shared" si="203"/>
        <v>776.24999999998704</v>
      </c>
      <c r="G5917" s="28">
        <f t="shared" si="204"/>
        <v>713.37689999999998</v>
      </c>
      <c r="H5917" s="28">
        <f t="shared" si="205"/>
        <v>747.9461</v>
      </c>
      <c r="I5917" s="28">
        <f t="shared" si="206"/>
        <v>765.05319999999995</v>
      </c>
      <c r="J5917" s="28">
        <f t="shared" si="207"/>
        <v>778.37139999999999</v>
      </c>
      <c r="K5917" s="28">
        <f t="shared" si="208"/>
        <v>801.18449999999996</v>
      </c>
      <c r="L5917" s="4"/>
      <c r="M5917" s="241">
        <v>765.05319999999995</v>
      </c>
    </row>
    <row r="5918" spans="3:13" hidden="1" outlineLevel="1" x14ac:dyDescent="0.2">
      <c r="C5918" s="139">
        <v>105.99999999999827</v>
      </c>
      <c r="D5918" s="28">
        <f t="shared" si="201"/>
        <v>847.99999999998613</v>
      </c>
      <c r="E5918" s="28">
        <f t="shared" si="202"/>
        <v>794.99999999998704</v>
      </c>
      <c r="F5918" s="28">
        <f t="shared" si="203"/>
        <v>776.99999999998704</v>
      </c>
      <c r="G5918" s="28">
        <f t="shared" si="204"/>
        <v>713.37689999999998</v>
      </c>
      <c r="H5918" s="28">
        <f t="shared" si="205"/>
        <v>747.9461</v>
      </c>
      <c r="I5918" s="28">
        <f t="shared" si="206"/>
        <v>765.05319999999995</v>
      </c>
      <c r="J5918" s="28">
        <f t="shared" si="207"/>
        <v>778.37139999999999</v>
      </c>
      <c r="K5918" s="28">
        <f t="shared" si="208"/>
        <v>801.18449999999996</v>
      </c>
      <c r="L5918" s="4"/>
      <c r="M5918" s="241">
        <v>765.05319999999995</v>
      </c>
    </row>
    <row r="5919" spans="3:13" hidden="1" outlineLevel="1" x14ac:dyDescent="0.2">
      <c r="C5919" s="139">
        <v>106.09999999999826</v>
      </c>
      <c r="D5919" s="28">
        <f t="shared" si="201"/>
        <v>848.79999999998608</v>
      </c>
      <c r="E5919" s="28">
        <f t="shared" si="202"/>
        <v>795.74999999998693</v>
      </c>
      <c r="F5919" s="28">
        <f t="shared" si="203"/>
        <v>777.74999999998693</v>
      </c>
      <c r="G5919" s="28">
        <f t="shared" si="204"/>
        <v>714.34360000000004</v>
      </c>
      <c r="H5919" s="28">
        <f t="shared" si="205"/>
        <v>748.93960000000004</v>
      </c>
      <c r="I5919" s="28">
        <f t="shared" si="206"/>
        <v>766.06280000000004</v>
      </c>
      <c r="J5919" s="28">
        <f t="shared" si="207"/>
        <v>779.40060000000005</v>
      </c>
      <c r="K5919" s="28">
        <f t="shared" si="208"/>
        <v>802.23</v>
      </c>
      <c r="L5919" s="4"/>
      <c r="M5919" s="241">
        <v>766.06280000000004</v>
      </c>
    </row>
    <row r="5920" spans="3:13" hidden="1" outlineLevel="1" x14ac:dyDescent="0.2">
      <c r="C5920" s="139">
        <v>106.19999999999825</v>
      </c>
      <c r="D5920" s="28">
        <f t="shared" si="201"/>
        <v>849.59999999998604</v>
      </c>
      <c r="E5920" s="28">
        <f t="shared" si="202"/>
        <v>796.49999999998693</v>
      </c>
      <c r="F5920" s="28">
        <f t="shared" si="203"/>
        <v>778.49999999998693</v>
      </c>
      <c r="G5920" s="28">
        <f t="shared" si="204"/>
        <v>715.31039999999996</v>
      </c>
      <c r="H5920" s="28">
        <f t="shared" si="205"/>
        <v>749.93910000000005</v>
      </c>
      <c r="I5920" s="28">
        <f t="shared" si="206"/>
        <v>767.07240000000002</v>
      </c>
      <c r="J5920" s="28">
        <f t="shared" si="207"/>
        <v>780.42319999999995</v>
      </c>
      <c r="K5920" s="28">
        <f t="shared" si="208"/>
        <v>803.28210000000001</v>
      </c>
      <c r="L5920" s="4"/>
      <c r="M5920" s="241">
        <v>767.07240000000002</v>
      </c>
    </row>
    <row r="5921" spans="3:13" hidden="1" outlineLevel="1" x14ac:dyDescent="0.2">
      <c r="C5921" s="139">
        <v>106.29999999999825</v>
      </c>
      <c r="D5921" s="28">
        <f t="shared" si="201"/>
        <v>850.39999999998599</v>
      </c>
      <c r="E5921" s="28">
        <f t="shared" si="202"/>
        <v>797.24999999998681</v>
      </c>
      <c r="F5921" s="28">
        <f t="shared" si="203"/>
        <v>779.24999999998681</v>
      </c>
      <c r="G5921" s="28">
        <f t="shared" si="204"/>
        <v>716.27739999999994</v>
      </c>
      <c r="H5921" s="28">
        <f t="shared" si="205"/>
        <v>750.93280000000004</v>
      </c>
      <c r="I5921" s="28">
        <f t="shared" si="206"/>
        <v>768.09400000000005</v>
      </c>
      <c r="J5921" s="28">
        <f t="shared" si="207"/>
        <v>781.44600000000003</v>
      </c>
      <c r="K5921" s="28">
        <f t="shared" si="208"/>
        <v>804.32770000000005</v>
      </c>
      <c r="L5921" s="4"/>
      <c r="M5921" s="241">
        <v>768.09400000000005</v>
      </c>
    </row>
    <row r="5922" spans="3:13" hidden="1" outlineLevel="1" x14ac:dyDescent="0.2">
      <c r="C5922" s="139">
        <v>106.39999999999824</v>
      </c>
      <c r="D5922" s="28">
        <f t="shared" si="201"/>
        <v>851.19999999998595</v>
      </c>
      <c r="E5922" s="28">
        <f t="shared" si="202"/>
        <v>797.99999999998681</v>
      </c>
      <c r="F5922" s="28">
        <f t="shared" si="203"/>
        <v>779.99999999998681</v>
      </c>
      <c r="G5922" s="28">
        <f t="shared" si="204"/>
        <v>716.27739999999994</v>
      </c>
      <c r="H5922" s="28">
        <f t="shared" si="205"/>
        <v>750.93280000000004</v>
      </c>
      <c r="I5922" s="28">
        <f t="shared" si="206"/>
        <v>768.09400000000005</v>
      </c>
      <c r="J5922" s="28">
        <f t="shared" si="207"/>
        <v>781.44600000000003</v>
      </c>
      <c r="K5922" s="28">
        <f t="shared" si="208"/>
        <v>804.32770000000005</v>
      </c>
      <c r="L5922" s="4"/>
      <c r="M5922" s="241">
        <v>768.09400000000005</v>
      </c>
    </row>
    <row r="5923" spans="3:13" hidden="1" outlineLevel="1" x14ac:dyDescent="0.2">
      <c r="C5923" s="139">
        <v>106.49999999999824</v>
      </c>
      <c r="D5923" s="28">
        <f t="shared" si="201"/>
        <v>851.9999999999859</v>
      </c>
      <c r="E5923" s="28">
        <f t="shared" si="202"/>
        <v>798.74999999998681</v>
      </c>
      <c r="F5923" s="28">
        <f t="shared" si="203"/>
        <v>780.74999999998681</v>
      </c>
      <c r="G5923" s="28">
        <f t="shared" si="204"/>
        <v>717.24450000000002</v>
      </c>
      <c r="H5923" s="28">
        <f t="shared" si="205"/>
        <v>751.92650000000003</v>
      </c>
      <c r="I5923" s="28">
        <f t="shared" si="206"/>
        <v>769.10389999999995</v>
      </c>
      <c r="J5923" s="28">
        <f t="shared" si="207"/>
        <v>782.47529999999995</v>
      </c>
      <c r="K5923" s="28">
        <f t="shared" si="208"/>
        <v>805.37980000000005</v>
      </c>
      <c r="L5923" s="4"/>
      <c r="M5923" s="241">
        <v>769.10389999999995</v>
      </c>
    </row>
    <row r="5924" spans="3:13" hidden="1" outlineLevel="1" x14ac:dyDescent="0.2">
      <c r="C5924" s="139">
        <v>106.59999999999823</v>
      </c>
      <c r="D5924" s="28">
        <f t="shared" si="201"/>
        <v>852.79999999998586</v>
      </c>
      <c r="E5924" s="28">
        <f t="shared" si="202"/>
        <v>799.4999999999867</v>
      </c>
      <c r="F5924" s="28">
        <f t="shared" si="203"/>
        <v>781.4999999999867</v>
      </c>
      <c r="G5924" s="28">
        <f t="shared" si="204"/>
        <v>718.20569999999998</v>
      </c>
      <c r="H5924" s="28">
        <f t="shared" si="205"/>
        <v>752.9203</v>
      </c>
      <c r="I5924" s="28">
        <f t="shared" si="206"/>
        <v>770.11369999999999</v>
      </c>
      <c r="J5924" s="28">
        <f t="shared" si="207"/>
        <v>783.49810000000002</v>
      </c>
      <c r="K5924" s="28">
        <f t="shared" si="208"/>
        <v>806.43200000000002</v>
      </c>
      <c r="L5924" s="4"/>
      <c r="M5924" s="241">
        <v>770.11369999999999</v>
      </c>
    </row>
    <row r="5925" spans="3:13" hidden="1" outlineLevel="1" x14ac:dyDescent="0.2">
      <c r="C5925" s="139">
        <v>106.69999999999823</v>
      </c>
      <c r="D5925" s="28">
        <f t="shared" si="201"/>
        <v>853.59999999998581</v>
      </c>
      <c r="E5925" s="28">
        <f t="shared" si="202"/>
        <v>800.2499999999867</v>
      </c>
      <c r="F5925" s="28">
        <f t="shared" si="203"/>
        <v>782.2499999999867</v>
      </c>
      <c r="G5925" s="28">
        <f t="shared" si="204"/>
        <v>719.17309999999998</v>
      </c>
      <c r="H5925" s="28">
        <f t="shared" si="205"/>
        <v>753.92010000000005</v>
      </c>
      <c r="I5925" s="28">
        <f t="shared" si="206"/>
        <v>771.12360000000001</v>
      </c>
      <c r="J5925" s="28">
        <f t="shared" si="207"/>
        <v>784.52099999999996</v>
      </c>
      <c r="K5925" s="28">
        <f t="shared" si="208"/>
        <v>807.47770000000003</v>
      </c>
      <c r="L5925" s="4"/>
      <c r="M5925" s="241">
        <v>771.12360000000001</v>
      </c>
    </row>
    <row r="5926" spans="3:13" hidden="1" outlineLevel="1" x14ac:dyDescent="0.2">
      <c r="C5926" s="139">
        <v>106.79999999999822</v>
      </c>
      <c r="D5926" s="28">
        <f t="shared" si="201"/>
        <v>854.39999999998577</v>
      </c>
      <c r="E5926" s="28">
        <f t="shared" si="202"/>
        <v>800.9999999999867</v>
      </c>
      <c r="F5926" s="28">
        <f t="shared" si="203"/>
        <v>782.9999999999867</v>
      </c>
      <c r="G5926" s="28">
        <f t="shared" si="204"/>
        <v>719.17309999999998</v>
      </c>
      <c r="H5926" s="28">
        <f t="shared" si="205"/>
        <v>753.92010000000005</v>
      </c>
      <c r="I5926" s="28">
        <f t="shared" si="206"/>
        <v>771.12360000000001</v>
      </c>
      <c r="J5926" s="28">
        <f t="shared" si="207"/>
        <v>784.52099999999996</v>
      </c>
      <c r="K5926" s="28">
        <f t="shared" si="208"/>
        <v>807.47770000000003</v>
      </c>
      <c r="L5926" s="4"/>
      <c r="M5926" s="241">
        <v>771.12360000000001</v>
      </c>
    </row>
    <row r="5927" spans="3:13" hidden="1" outlineLevel="1" x14ac:dyDescent="0.2">
      <c r="C5927" s="139">
        <v>106.89999999999822</v>
      </c>
      <c r="D5927" s="28">
        <f t="shared" si="201"/>
        <v>855.19999999998572</v>
      </c>
      <c r="E5927" s="28">
        <f t="shared" si="202"/>
        <v>801.74999999998658</v>
      </c>
      <c r="F5927" s="28">
        <f t="shared" si="203"/>
        <v>783.74999999998658</v>
      </c>
      <c r="G5927" s="28">
        <f t="shared" si="204"/>
        <v>720.14049999999997</v>
      </c>
      <c r="H5927" s="28">
        <f t="shared" si="205"/>
        <v>754.9171</v>
      </c>
      <c r="I5927" s="28">
        <f t="shared" si="206"/>
        <v>772.1336</v>
      </c>
      <c r="J5927" s="28">
        <f t="shared" si="207"/>
        <v>785.55050000000006</v>
      </c>
      <c r="K5927" s="28">
        <f t="shared" si="208"/>
        <v>808.53</v>
      </c>
      <c r="L5927" s="4"/>
      <c r="M5927" s="241">
        <v>772.1336</v>
      </c>
    </row>
    <row r="5928" spans="3:13" hidden="1" outlineLevel="1" x14ac:dyDescent="0.2">
      <c r="C5928" s="139">
        <v>106.99999999999821</v>
      </c>
      <c r="D5928" s="28">
        <f t="shared" si="201"/>
        <v>855.99999999998568</v>
      </c>
      <c r="E5928" s="28">
        <f t="shared" si="202"/>
        <v>802.49999999998658</v>
      </c>
      <c r="F5928" s="28">
        <f t="shared" si="203"/>
        <v>784.49999999998658</v>
      </c>
      <c r="G5928" s="28">
        <f t="shared" si="204"/>
        <v>721.10810000000004</v>
      </c>
      <c r="H5928" s="28">
        <f t="shared" si="205"/>
        <v>755.90520000000004</v>
      </c>
      <c r="I5928" s="28">
        <f t="shared" si="206"/>
        <v>773.14369999999997</v>
      </c>
      <c r="J5928" s="28">
        <f t="shared" si="207"/>
        <v>786.57349999999997</v>
      </c>
      <c r="K5928" s="28">
        <f t="shared" si="208"/>
        <v>809.57579999999996</v>
      </c>
      <c r="L5928" s="4"/>
      <c r="M5928" s="241">
        <v>773.14369999999997</v>
      </c>
    </row>
    <row r="5929" spans="3:13" hidden="1" outlineLevel="1" x14ac:dyDescent="0.2">
      <c r="C5929" s="139">
        <v>107.0999999999982</v>
      </c>
      <c r="D5929" s="28">
        <f t="shared" si="201"/>
        <v>856.79999999998563</v>
      </c>
      <c r="E5929" s="28">
        <f t="shared" si="202"/>
        <v>803.24999999998658</v>
      </c>
      <c r="F5929" s="28">
        <f t="shared" si="203"/>
        <v>785.24999999998658</v>
      </c>
      <c r="G5929" s="28">
        <f t="shared" si="204"/>
        <v>722.06979999999999</v>
      </c>
      <c r="H5929" s="28">
        <f t="shared" si="205"/>
        <v>756.90530000000001</v>
      </c>
      <c r="I5929" s="28">
        <f t="shared" si="206"/>
        <v>774.15380000000005</v>
      </c>
      <c r="J5929" s="28">
        <f t="shared" si="207"/>
        <v>787.59659999999997</v>
      </c>
      <c r="K5929" s="28">
        <f t="shared" si="208"/>
        <v>810.62810000000002</v>
      </c>
      <c r="L5929" s="4"/>
      <c r="M5929" s="241">
        <v>774.15380000000005</v>
      </c>
    </row>
    <row r="5930" spans="3:13" hidden="1" outlineLevel="1" x14ac:dyDescent="0.2">
      <c r="C5930" s="139">
        <v>107.1999999999982</v>
      </c>
      <c r="D5930" s="28">
        <f t="shared" si="201"/>
        <v>857.59999999998558</v>
      </c>
      <c r="E5930" s="28">
        <f t="shared" si="202"/>
        <v>803.99999999998647</v>
      </c>
      <c r="F5930" s="28">
        <f t="shared" si="203"/>
        <v>785.99999999998647</v>
      </c>
      <c r="G5930" s="28">
        <f t="shared" si="204"/>
        <v>722.06979999999999</v>
      </c>
      <c r="H5930" s="28">
        <f t="shared" si="205"/>
        <v>756.90530000000001</v>
      </c>
      <c r="I5930" s="28">
        <f t="shared" si="206"/>
        <v>774.15380000000005</v>
      </c>
      <c r="J5930" s="28">
        <f t="shared" si="207"/>
        <v>787.59659999999997</v>
      </c>
      <c r="K5930" s="28">
        <f t="shared" si="208"/>
        <v>810.62810000000002</v>
      </c>
      <c r="L5930" s="4"/>
      <c r="M5930" s="241">
        <v>774.15380000000005</v>
      </c>
    </row>
    <row r="5931" spans="3:13" hidden="1" outlineLevel="1" x14ac:dyDescent="0.2">
      <c r="C5931" s="139">
        <v>107.29999999999819</v>
      </c>
      <c r="D5931" s="28">
        <f t="shared" si="201"/>
        <v>858.39999999998554</v>
      </c>
      <c r="E5931" s="28">
        <f t="shared" si="202"/>
        <v>804.74999999998647</v>
      </c>
      <c r="F5931" s="28">
        <f t="shared" si="203"/>
        <v>786.74999999998647</v>
      </c>
      <c r="G5931" s="28">
        <f t="shared" si="204"/>
        <v>723.0376</v>
      </c>
      <c r="H5931" s="28">
        <f t="shared" si="205"/>
        <v>757.90539999999999</v>
      </c>
      <c r="I5931" s="28">
        <f t="shared" si="206"/>
        <v>775.16399999999999</v>
      </c>
      <c r="J5931" s="28">
        <f t="shared" si="207"/>
        <v>788.62630000000001</v>
      </c>
      <c r="K5931" s="28">
        <f t="shared" si="208"/>
        <v>811.68060000000003</v>
      </c>
      <c r="L5931" s="4"/>
      <c r="M5931" s="241">
        <v>775.16399999999999</v>
      </c>
    </row>
    <row r="5932" spans="3:13" hidden="1" outlineLevel="1" x14ac:dyDescent="0.2">
      <c r="C5932" s="139">
        <v>107.39999999999819</v>
      </c>
      <c r="D5932" s="28">
        <f t="shared" si="201"/>
        <v>859.19999999998549</v>
      </c>
      <c r="E5932" s="28">
        <f t="shared" si="202"/>
        <v>805.49999999998636</v>
      </c>
      <c r="F5932" s="28">
        <f t="shared" si="203"/>
        <v>787.49999999998636</v>
      </c>
      <c r="G5932" s="28">
        <f t="shared" si="204"/>
        <v>724.00549999999998</v>
      </c>
      <c r="H5932" s="28">
        <f t="shared" si="205"/>
        <v>758.89369999999997</v>
      </c>
      <c r="I5932" s="28">
        <f t="shared" si="206"/>
        <v>776.18619999999999</v>
      </c>
      <c r="J5932" s="28">
        <f t="shared" si="207"/>
        <v>789.64940000000001</v>
      </c>
      <c r="K5932" s="28">
        <f t="shared" si="208"/>
        <v>812.72649999999999</v>
      </c>
      <c r="L5932" s="4"/>
      <c r="M5932" s="241">
        <v>776.18619999999999</v>
      </c>
    </row>
    <row r="5933" spans="3:13" hidden="1" outlineLevel="1" x14ac:dyDescent="0.2">
      <c r="C5933" s="139">
        <v>107.49999999999818</v>
      </c>
      <c r="D5933" s="28">
        <f t="shared" si="201"/>
        <v>859.99999999998545</v>
      </c>
      <c r="E5933" s="28">
        <f t="shared" si="202"/>
        <v>806.24999999998636</v>
      </c>
      <c r="F5933" s="28">
        <f t="shared" si="203"/>
        <v>788.24999999998636</v>
      </c>
      <c r="G5933" s="28">
        <f t="shared" si="204"/>
        <v>724.96759999999995</v>
      </c>
      <c r="H5933" s="28">
        <f t="shared" si="205"/>
        <v>759.89409999999998</v>
      </c>
      <c r="I5933" s="28">
        <f t="shared" si="206"/>
        <v>777.19650000000001</v>
      </c>
      <c r="J5933" s="28">
        <f t="shared" si="207"/>
        <v>790.67259999999999</v>
      </c>
      <c r="K5933" s="28">
        <f t="shared" si="208"/>
        <v>813.779</v>
      </c>
      <c r="L5933" s="4"/>
      <c r="M5933" s="241">
        <v>777.19650000000001</v>
      </c>
    </row>
    <row r="5934" spans="3:13" hidden="1" outlineLevel="1" x14ac:dyDescent="0.2">
      <c r="C5934" s="139">
        <v>107.59999999999818</v>
      </c>
      <c r="D5934" s="28">
        <f t="shared" si="201"/>
        <v>860.7999999999854</v>
      </c>
      <c r="E5934" s="28">
        <f t="shared" si="202"/>
        <v>806.99999999998636</v>
      </c>
      <c r="F5934" s="28">
        <f t="shared" si="203"/>
        <v>788.99999999998636</v>
      </c>
      <c r="G5934" s="28">
        <f t="shared" si="204"/>
        <v>724.96759999999995</v>
      </c>
      <c r="H5934" s="28">
        <f t="shared" si="205"/>
        <v>759.89409999999998</v>
      </c>
      <c r="I5934" s="28">
        <f t="shared" si="206"/>
        <v>777.19650000000001</v>
      </c>
      <c r="J5934" s="28">
        <f t="shared" si="207"/>
        <v>790.67259999999999</v>
      </c>
      <c r="K5934" s="28">
        <f t="shared" si="208"/>
        <v>813.779</v>
      </c>
      <c r="L5934" s="4"/>
      <c r="M5934" s="241">
        <v>777.19650000000001</v>
      </c>
    </row>
    <row r="5935" spans="3:13" hidden="1" outlineLevel="1" x14ac:dyDescent="0.2">
      <c r="C5935" s="139">
        <v>107.69999999999817</v>
      </c>
      <c r="D5935" s="28">
        <f t="shared" si="201"/>
        <v>861.59999999998536</v>
      </c>
      <c r="E5935" s="28">
        <f t="shared" si="202"/>
        <v>807.74999999998624</v>
      </c>
      <c r="F5935" s="28">
        <f t="shared" si="203"/>
        <v>789.74999999998624</v>
      </c>
      <c r="G5935" s="28">
        <f t="shared" si="204"/>
        <v>725.9357</v>
      </c>
      <c r="H5935" s="28">
        <f t="shared" si="205"/>
        <v>760.88250000000005</v>
      </c>
      <c r="I5935" s="28">
        <f t="shared" si="206"/>
        <v>778.20690000000002</v>
      </c>
      <c r="J5935" s="28">
        <f t="shared" si="207"/>
        <v>791.69590000000005</v>
      </c>
      <c r="K5935" s="28">
        <f t="shared" si="208"/>
        <v>814.82500000000005</v>
      </c>
      <c r="L5935" s="4"/>
      <c r="M5935" s="241">
        <v>778.20690000000002</v>
      </c>
    </row>
    <row r="5936" spans="3:13" hidden="1" outlineLevel="1" x14ac:dyDescent="0.2">
      <c r="C5936" s="139">
        <v>107.79999999999816</v>
      </c>
      <c r="D5936" s="28">
        <f t="shared" si="201"/>
        <v>862.39999999998531</v>
      </c>
      <c r="E5936" s="28">
        <f t="shared" si="202"/>
        <v>808.49999999998624</v>
      </c>
      <c r="F5936" s="28">
        <f t="shared" si="203"/>
        <v>790.49999999998624</v>
      </c>
      <c r="G5936" s="28">
        <f t="shared" si="204"/>
        <v>726.904</v>
      </c>
      <c r="H5936" s="28">
        <f t="shared" si="205"/>
        <v>761.88300000000004</v>
      </c>
      <c r="I5936" s="28">
        <f t="shared" si="206"/>
        <v>779.21730000000002</v>
      </c>
      <c r="J5936" s="28">
        <f t="shared" si="207"/>
        <v>792.72580000000005</v>
      </c>
      <c r="K5936" s="28">
        <f t="shared" si="208"/>
        <v>815.87760000000003</v>
      </c>
      <c r="L5936" s="4"/>
      <c r="M5936" s="241">
        <v>779.21730000000002</v>
      </c>
    </row>
    <row r="5937" spans="3:13" hidden="1" outlineLevel="1" x14ac:dyDescent="0.2">
      <c r="C5937" s="139">
        <v>107.89999999999816</v>
      </c>
      <c r="D5937" s="28">
        <f t="shared" si="201"/>
        <v>863.19999999998527</v>
      </c>
      <c r="E5937" s="28">
        <f t="shared" si="202"/>
        <v>809.24999999998613</v>
      </c>
      <c r="F5937" s="28">
        <f t="shared" si="203"/>
        <v>791.24999999998613</v>
      </c>
      <c r="G5937" s="28">
        <f t="shared" si="204"/>
        <v>727.8664</v>
      </c>
      <c r="H5937" s="28">
        <f t="shared" si="205"/>
        <v>762.87159999999994</v>
      </c>
      <c r="I5937" s="28">
        <f t="shared" si="206"/>
        <v>780.2278</v>
      </c>
      <c r="J5937" s="28">
        <f t="shared" si="207"/>
        <v>793.74919999999997</v>
      </c>
      <c r="K5937" s="28">
        <f t="shared" si="208"/>
        <v>816.92359999999996</v>
      </c>
      <c r="L5937" s="4"/>
      <c r="M5937" s="241">
        <v>780.2278</v>
      </c>
    </row>
    <row r="5938" spans="3:13" hidden="1" outlineLevel="1" x14ac:dyDescent="0.2">
      <c r="C5938" s="139">
        <v>107.99999999999815</v>
      </c>
      <c r="D5938" s="28">
        <f t="shared" si="201"/>
        <v>863.99999999998522</v>
      </c>
      <c r="E5938" s="28">
        <f t="shared" si="202"/>
        <v>809.99999999998613</v>
      </c>
      <c r="F5938" s="28">
        <f t="shared" si="203"/>
        <v>791.99999999998613</v>
      </c>
      <c r="G5938" s="28">
        <f t="shared" si="204"/>
        <v>727.8664</v>
      </c>
      <c r="H5938" s="28">
        <f t="shared" si="205"/>
        <v>762.87159999999994</v>
      </c>
      <c r="I5938" s="28">
        <f t="shared" si="206"/>
        <v>780.2278</v>
      </c>
      <c r="J5938" s="28">
        <f t="shared" si="207"/>
        <v>793.74919999999997</v>
      </c>
      <c r="K5938" s="28">
        <f t="shared" si="208"/>
        <v>816.92359999999996</v>
      </c>
      <c r="L5938" s="4"/>
      <c r="M5938" s="241">
        <v>780.2278</v>
      </c>
    </row>
    <row r="5939" spans="3:13" hidden="1" outlineLevel="1" x14ac:dyDescent="0.2">
      <c r="C5939" s="139">
        <v>108.09999999999815</v>
      </c>
      <c r="D5939" s="28">
        <f t="shared" si="201"/>
        <v>864.79999999998518</v>
      </c>
      <c r="E5939" s="28">
        <f t="shared" si="202"/>
        <v>810.74999999998613</v>
      </c>
      <c r="F5939" s="28">
        <f t="shared" si="203"/>
        <v>792.74999999998613</v>
      </c>
      <c r="G5939" s="28">
        <f t="shared" si="204"/>
        <v>728.83489999999995</v>
      </c>
      <c r="H5939" s="28">
        <f t="shared" si="205"/>
        <v>763.8723</v>
      </c>
      <c r="I5939" s="28">
        <f t="shared" si="206"/>
        <v>781.23829999999998</v>
      </c>
      <c r="J5939" s="28">
        <f t="shared" si="207"/>
        <v>794.77260000000001</v>
      </c>
      <c r="K5939" s="28">
        <f t="shared" si="208"/>
        <v>817.97630000000004</v>
      </c>
      <c r="L5939" s="4"/>
      <c r="M5939" s="241">
        <v>781.23829999999998</v>
      </c>
    </row>
    <row r="5940" spans="3:13" hidden="1" outlineLevel="1" x14ac:dyDescent="0.2">
      <c r="C5940" s="139">
        <v>108.19999999999814</v>
      </c>
      <c r="D5940" s="28">
        <f t="shared" si="201"/>
        <v>865.59999999998513</v>
      </c>
      <c r="E5940" s="28">
        <f t="shared" si="202"/>
        <v>811.49999999998602</v>
      </c>
      <c r="F5940" s="28">
        <f t="shared" si="203"/>
        <v>793.49999999998602</v>
      </c>
      <c r="G5940" s="28">
        <f t="shared" si="204"/>
        <v>729.80359999999996</v>
      </c>
      <c r="H5940" s="28">
        <f t="shared" si="205"/>
        <v>764.87300000000005</v>
      </c>
      <c r="I5940" s="28">
        <f t="shared" si="206"/>
        <v>782.24900000000002</v>
      </c>
      <c r="J5940" s="28">
        <f t="shared" si="207"/>
        <v>795.79610000000002</v>
      </c>
      <c r="K5940" s="28">
        <f t="shared" si="208"/>
        <v>819.02239999999995</v>
      </c>
      <c r="L5940" s="4"/>
      <c r="M5940" s="241">
        <v>782.24900000000002</v>
      </c>
    </row>
    <row r="5941" spans="3:13" hidden="1" outlineLevel="1" x14ac:dyDescent="0.2">
      <c r="C5941" s="139">
        <v>108.29999999999814</v>
      </c>
      <c r="D5941" s="28">
        <f t="shared" si="201"/>
        <v>866.39999999998508</v>
      </c>
      <c r="E5941" s="28">
        <f t="shared" si="202"/>
        <v>812.24999999998602</v>
      </c>
      <c r="F5941" s="28">
        <f t="shared" si="203"/>
        <v>794.24999999998602</v>
      </c>
      <c r="G5941" s="28">
        <f t="shared" si="204"/>
        <v>730.7663</v>
      </c>
      <c r="H5941" s="28">
        <f t="shared" si="205"/>
        <v>765.86180000000002</v>
      </c>
      <c r="I5941" s="28">
        <f t="shared" si="206"/>
        <v>783.25959999999998</v>
      </c>
      <c r="J5941" s="28">
        <f t="shared" si="207"/>
        <v>796.82619999999997</v>
      </c>
      <c r="K5941" s="28">
        <f t="shared" si="208"/>
        <v>820.0752</v>
      </c>
      <c r="L5941" s="4"/>
      <c r="M5941" s="241">
        <v>783.25959999999998</v>
      </c>
    </row>
    <row r="5942" spans="3:13" hidden="1" outlineLevel="1" x14ac:dyDescent="0.2">
      <c r="C5942" s="139">
        <v>108.39999999999813</v>
      </c>
      <c r="D5942" s="28">
        <f t="shared" si="201"/>
        <v>867.19999999998504</v>
      </c>
      <c r="E5942" s="28">
        <f t="shared" si="202"/>
        <v>812.99999999998602</v>
      </c>
      <c r="F5942" s="28">
        <f t="shared" si="203"/>
        <v>794.99999999998602</v>
      </c>
      <c r="G5942" s="28">
        <f t="shared" si="204"/>
        <v>730.7663</v>
      </c>
      <c r="H5942" s="28">
        <f t="shared" si="205"/>
        <v>765.86180000000002</v>
      </c>
      <c r="I5942" s="28">
        <f t="shared" si="206"/>
        <v>783.25959999999998</v>
      </c>
      <c r="J5942" s="28">
        <f t="shared" si="207"/>
        <v>796.82619999999997</v>
      </c>
      <c r="K5942" s="28">
        <f t="shared" si="208"/>
        <v>820.0752</v>
      </c>
      <c r="L5942" s="4"/>
      <c r="M5942" s="241">
        <v>783.25959999999998</v>
      </c>
    </row>
    <row r="5943" spans="3:13" hidden="1" outlineLevel="1" x14ac:dyDescent="0.2">
      <c r="C5943" s="139">
        <v>108.49999999999812</v>
      </c>
      <c r="D5943" s="28">
        <f t="shared" si="201"/>
        <v>867.99999999998499</v>
      </c>
      <c r="E5943" s="28">
        <f t="shared" si="202"/>
        <v>813.7499999999859</v>
      </c>
      <c r="F5943" s="28">
        <f t="shared" si="203"/>
        <v>795.7499999999859</v>
      </c>
      <c r="G5943" s="28">
        <f t="shared" si="204"/>
        <v>731.73519999999996</v>
      </c>
      <c r="H5943" s="28">
        <f t="shared" si="205"/>
        <v>766.86279999999999</v>
      </c>
      <c r="I5943" s="28">
        <f t="shared" si="206"/>
        <v>784.2704</v>
      </c>
      <c r="J5943" s="28">
        <f t="shared" si="207"/>
        <v>797.84979999999996</v>
      </c>
      <c r="K5943" s="28">
        <f t="shared" si="208"/>
        <v>821.12810000000002</v>
      </c>
      <c r="L5943" s="4"/>
      <c r="M5943" s="241">
        <v>784.2704</v>
      </c>
    </row>
    <row r="5944" spans="3:13" hidden="1" outlineLevel="1" x14ac:dyDescent="0.2">
      <c r="C5944" s="139">
        <v>108.59999999999812</v>
      </c>
      <c r="D5944" s="28">
        <f t="shared" si="201"/>
        <v>868.79999999998495</v>
      </c>
      <c r="E5944" s="28">
        <f t="shared" si="202"/>
        <v>814.4999999999859</v>
      </c>
      <c r="F5944" s="28">
        <f t="shared" si="203"/>
        <v>796.4999999999859</v>
      </c>
      <c r="G5944" s="28">
        <f t="shared" si="204"/>
        <v>732.69809999999995</v>
      </c>
      <c r="H5944" s="28">
        <f t="shared" si="205"/>
        <v>767.85170000000005</v>
      </c>
      <c r="I5944" s="28">
        <f t="shared" si="206"/>
        <v>785.28120000000001</v>
      </c>
      <c r="J5944" s="28">
        <f t="shared" si="207"/>
        <v>798.87339999999995</v>
      </c>
      <c r="K5944" s="28">
        <f t="shared" si="208"/>
        <v>822.17430000000002</v>
      </c>
      <c r="L5944" s="4"/>
      <c r="M5944" s="241">
        <v>785.28120000000001</v>
      </c>
    </row>
    <row r="5945" spans="3:13" hidden="1" outlineLevel="1" x14ac:dyDescent="0.2">
      <c r="C5945" s="139">
        <v>108.69999999999811</v>
      </c>
      <c r="D5945" s="28">
        <f t="shared" si="201"/>
        <v>869.5999999999849</v>
      </c>
      <c r="E5945" s="28">
        <f t="shared" si="202"/>
        <v>815.2499999999859</v>
      </c>
      <c r="F5945" s="28">
        <f t="shared" si="203"/>
        <v>797.2499999999859</v>
      </c>
      <c r="G5945" s="28">
        <f t="shared" si="204"/>
        <v>733.66719999999998</v>
      </c>
      <c r="H5945" s="28">
        <f t="shared" si="205"/>
        <v>768.8528</v>
      </c>
      <c r="I5945" s="28">
        <f t="shared" si="206"/>
        <v>786.29200000000003</v>
      </c>
      <c r="J5945" s="28">
        <f t="shared" si="207"/>
        <v>799.89710000000002</v>
      </c>
      <c r="K5945" s="28">
        <f t="shared" si="208"/>
        <v>823.22730000000001</v>
      </c>
      <c r="L5945" s="4"/>
      <c r="M5945" s="241">
        <v>786.29200000000003</v>
      </c>
    </row>
    <row r="5946" spans="3:13" hidden="1" outlineLevel="1" x14ac:dyDescent="0.2">
      <c r="C5946" s="139">
        <v>108.79999999999811</v>
      </c>
      <c r="D5946" s="28">
        <f t="shared" si="201"/>
        <v>870.39999999998486</v>
      </c>
      <c r="E5946" s="28">
        <f t="shared" si="202"/>
        <v>815.99999999998579</v>
      </c>
      <c r="F5946" s="28">
        <f t="shared" si="203"/>
        <v>797.99999999998579</v>
      </c>
      <c r="G5946" s="28">
        <f t="shared" si="204"/>
        <v>733.66719999999998</v>
      </c>
      <c r="H5946" s="28">
        <f t="shared" si="205"/>
        <v>768.8528</v>
      </c>
      <c r="I5946" s="28">
        <f t="shared" si="206"/>
        <v>786.29200000000003</v>
      </c>
      <c r="J5946" s="28">
        <f t="shared" si="207"/>
        <v>799.89710000000002</v>
      </c>
      <c r="K5946" s="28">
        <f t="shared" si="208"/>
        <v>823.22730000000001</v>
      </c>
      <c r="L5946" s="4"/>
      <c r="M5946" s="241">
        <v>786.29200000000003</v>
      </c>
    </row>
    <row r="5947" spans="3:13" hidden="1" outlineLevel="1" x14ac:dyDescent="0.2">
      <c r="C5947" s="139">
        <v>108.8999999999981</v>
      </c>
      <c r="D5947" s="28">
        <f t="shared" ref="D5947:D6010" si="209">C5947*Channels.per.TRX</f>
        <v>871.19999999998481</v>
      </c>
      <c r="E5947" s="28">
        <f t="shared" ref="E5947:E6010" si="210">D5947-C5947*sig.channel.per.TRX</f>
        <v>816.74999999998579</v>
      </c>
      <c r="F5947" s="28">
        <f t="shared" ref="F5947:F6010" si="211">MAX(0,E5947-GPRS.channel.per.sector)</f>
        <v>798.74999999998579</v>
      </c>
      <c r="G5947" s="28">
        <f t="shared" ref="G5947:G6010" si="212">INDEX(D$10:D$4326,MATCH($F5947,$C$10:$C$4326,1))</f>
        <v>734.63040000000001</v>
      </c>
      <c r="H5947" s="28">
        <f t="shared" ref="H5947:H6010" si="213">INDEX(E$10:E$4326,MATCH($F5947,$C$10:$C$4326,1))</f>
        <v>769.84180000000003</v>
      </c>
      <c r="I5947" s="28">
        <f t="shared" ref="I5947:I6010" si="214">INDEX(F$10:F$4326,MATCH($F5947,$C$10:$C$4326,1))</f>
        <v>787.31510000000003</v>
      </c>
      <c r="J5947" s="28">
        <f t="shared" ref="J5947:J6010" si="215">INDEX(G$10:G$4326,MATCH($F5947,$C$10:$C$4326,1))</f>
        <v>800.92750000000001</v>
      </c>
      <c r="K5947" s="28">
        <f t="shared" ref="K5947:K6010" si="216">INDEX(H$10:H$4326,MATCH($F5947,$C$10:$C$4326,1))</f>
        <v>824.27359999999999</v>
      </c>
      <c r="L5947" s="4"/>
      <c r="M5947" s="241">
        <v>787.31510000000003</v>
      </c>
    </row>
    <row r="5948" spans="3:13" hidden="1" outlineLevel="1" x14ac:dyDescent="0.2">
      <c r="C5948" s="139">
        <v>108.9999999999981</v>
      </c>
      <c r="D5948" s="28">
        <f t="shared" si="209"/>
        <v>871.99999999998477</v>
      </c>
      <c r="E5948" s="28">
        <f t="shared" si="210"/>
        <v>817.49999999998568</v>
      </c>
      <c r="F5948" s="28">
        <f t="shared" si="211"/>
        <v>799.49999999998568</v>
      </c>
      <c r="G5948" s="28">
        <f t="shared" si="212"/>
        <v>735.59969999999998</v>
      </c>
      <c r="H5948" s="28">
        <f t="shared" si="213"/>
        <v>770.84310000000005</v>
      </c>
      <c r="I5948" s="28">
        <f t="shared" si="214"/>
        <v>788.3261</v>
      </c>
      <c r="J5948" s="28">
        <f t="shared" si="215"/>
        <v>801.95129999999995</v>
      </c>
      <c r="K5948" s="28">
        <f t="shared" si="216"/>
        <v>825.32659999999998</v>
      </c>
      <c r="L5948" s="4"/>
      <c r="M5948" s="241">
        <v>788.3261</v>
      </c>
    </row>
    <row r="5949" spans="3:13" hidden="1" outlineLevel="1" x14ac:dyDescent="0.2">
      <c r="C5949" s="139">
        <v>109.09999999999809</v>
      </c>
      <c r="D5949" s="28">
        <f t="shared" si="209"/>
        <v>872.79999999998472</v>
      </c>
      <c r="E5949" s="28">
        <f t="shared" si="210"/>
        <v>818.24999999998568</v>
      </c>
      <c r="F5949" s="28">
        <f t="shared" si="211"/>
        <v>800.24999999998568</v>
      </c>
      <c r="G5949" s="28">
        <f t="shared" si="212"/>
        <v>736.56309999999996</v>
      </c>
      <c r="H5949" s="28">
        <f t="shared" si="213"/>
        <v>771.83230000000003</v>
      </c>
      <c r="I5949" s="28">
        <f t="shared" si="214"/>
        <v>789.33720000000005</v>
      </c>
      <c r="J5949" s="28">
        <f t="shared" si="215"/>
        <v>802.97519999999997</v>
      </c>
      <c r="K5949" s="28">
        <f t="shared" si="216"/>
        <v>826.37300000000005</v>
      </c>
      <c r="L5949" s="4"/>
      <c r="M5949" s="241">
        <v>789.33720000000005</v>
      </c>
    </row>
    <row r="5950" spans="3:13" hidden="1" outlineLevel="1" x14ac:dyDescent="0.2">
      <c r="C5950" s="139">
        <v>109.19999999999808</v>
      </c>
      <c r="D5950" s="28">
        <f t="shared" si="209"/>
        <v>873.59999999998468</v>
      </c>
      <c r="E5950" s="28">
        <f t="shared" si="210"/>
        <v>818.99999999998568</v>
      </c>
      <c r="F5950" s="28">
        <f t="shared" si="211"/>
        <v>800.99999999998568</v>
      </c>
      <c r="G5950" s="28">
        <f t="shared" si="212"/>
        <v>736.56309999999996</v>
      </c>
      <c r="H5950" s="28">
        <f t="shared" si="213"/>
        <v>771.83230000000003</v>
      </c>
      <c r="I5950" s="28">
        <f t="shared" si="214"/>
        <v>789.33720000000005</v>
      </c>
      <c r="J5950" s="28">
        <f t="shared" si="215"/>
        <v>802.97519999999997</v>
      </c>
      <c r="K5950" s="28">
        <f t="shared" si="216"/>
        <v>826.37300000000005</v>
      </c>
      <c r="L5950" s="4"/>
      <c r="M5950" s="241">
        <v>789.33720000000005</v>
      </c>
    </row>
    <row r="5951" spans="3:13" hidden="1" outlineLevel="1" x14ac:dyDescent="0.2">
      <c r="C5951" s="139">
        <v>109.29999999999808</v>
      </c>
      <c r="D5951" s="28">
        <f t="shared" si="209"/>
        <v>874.39999999998463</v>
      </c>
      <c r="E5951" s="28">
        <f t="shared" si="210"/>
        <v>819.74999999998556</v>
      </c>
      <c r="F5951" s="28">
        <f t="shared" si="211"/>
        <v>801.74999999998556</v>
      </c>
      <c r="G5951" s="28">
        <f t="shared" si="212"/>
        <v>737.53269999999998</v>
      </c>
      <c r="H5951" s="28">
        <f t="shared" si="213"/>
        <v>772.83370000000002</v>
      </c>
      <c r="I5951" s="28">
        <f t="shared" si="214"/>
        <v>790.34829999999999</v>
      </c>
      <c r="J5951" s="28">
        <f t="shared" si="215"/>
        <v>803.99900000000002</v>
      </c>
      <c r="K5951" s="28">
        <f t="shared" si="216"/>
        <v>827.42610000000002</v>
      </c>
      <c r="L5951" s="4"/>
      <c r="M5951" s="241">
        <v>790.34829999999999</v>
      </c>
    </row>
    <row r="5952" spans="3:13" hidden="1" outlineLevel="1" x14ac:dyDescent="0.2">
      <c r="C5952" s="139">
        <v>109.39999999999807</v>
      </c>
      <c r="D5952" s="28">
        <f t="shared" si="209"/>
        <v>875.19999999998458</v>
      </c>
      <c r="E5952" s="28">
        <f t="shared" si="210"/>
        <v>820.49999999998556</v>
      </c>
      <c r="F5952" s="28">
        <f t="shared" si="211"/>
        <v>802.49999999998556</v>
      </c>
      <c r="G5952" s="28">
        <f t="shared" si="212"/>
        <v>738.49630000000002</v>
      </c>
      <c r="H5952" s="28">
        <f t="shared" si="213"/>
        <v>773.82299999999998</v>
      </c>
      <c r="I5952" s="28">
        <f t="shared" si="214"/>
        <v>791.35950000000003</v>
      </c>
      <c r="J5952" s="28">
        <f t="shared" si="215"/>
        <v>805.02300000000002</v>
      </c>
      <c r="K5952" s="28">
        <f t="shared" si="216"/>
        <v>828.47260000000006</v>
      </c>
      <c r="L5952" s="4"/>
      <c r="M5952" s="241">
        <v>791.35950000000003</v>
      </c>
    </row>
    <row r="5953" spans="3:13" hidden="1" outlineLevel="1" x14ac:dyDescent="0.2">
      <c r="C5953" s="139">
        <v>109.49999999999807</v>
      </c>
      <c r="D5953" s="28">
        <f t="shared" si="209"/>
        <v>875.99999999998454</v>
      </c>
      <c r="E5953" s="28">
        <f t="shared" si="210"/>
        <v>821.24999999998545</v>
      </c>
      <c r="F5953" s="28">
        <f t="shared" si="211"/>
        <v>803.24999999998545</v>
      </c>
      <c r="G5953" s="28">
        <f t="shared" si="212"/>
        <v>739.46609999999998</v>
      </c>
      <c r="H5953" s="28">
        <f t="shared" si="213"/>
        <v>774.82470000000001</v>
      </c>
      <c r="I5953" s="28">
        <f t="shared" si="214"/>
        <v>792.37070000000006</v>
      </c>
      <c r="J5953" s="28">
        <f t="shared" si="215"/>
        <v>806.05370000000005</v>
      </c>
      <c r="K5953" s="28">
        <f t="shared" si="216"/>
        <v>829.5258</v>
      </c>
      <c r="L5953" s="4"/>
      <c r="M5953" s="241">
        <v>792.37070000000006</v>
      </c>
    </row>
    <row r="5954" spans="3:13" hidden="1" outlineLevel="1" x14ac:dyDescent="0.2">
      <c r="C5954" s="139">
        <v>109.59999999999806</v>
      </c>
      <c r="D5954" s="28">
        <f t="shared" si="209"/>
        <v>876.79999999998449</v>
      </c>
      <c r="E5954" s="28">
        <f t="shared" si="210"/>
        <v>821.99999999998545</v>
      </c>
      <c r="F5954" s="28">
        <f t="shared" si="211"/>
        <v>803.99999999998545</v>
      </c>
      <c r="G5954" s="28">
        <f t="shared" si="212"/>
        <v>739.46609999999998</v>
      </c>
      <c r="H5954" s="28">
        <f t="shared" si="213"/>
        <v>774.82470000000001</v>
      </c>
      <c r="I5954" s="28">
        <f t="shared" si="214"/>
        <v>792.37070000000006</v>
      </c>
      <c r="J5954" s="28">
        <f t="shared" si="215"/>
        <v>806.05370000000005</v>
      </c>
      <c r="K5954" s="28">
        <f t="shared" si="216"/>
        <v>829.5258</v>
      </c>
      <c r="L5954" s="4"/>
      <c r="M5954" s="241">
        <v>792.37070000000006</v>
      </c>
    </row>
    <row r="5955" spans="3:13" hidden="1" outlineLevel="1" x14ac:dyDescent="0.2">
      <c r="C5955" s="139">
        <v>109.69999999999806</v>
      </c>
      <c r="D5955" s="28">
        <f t="shared" si="209"/>
        <v>877.59999999998445</v>
      </c>
      <c r="E5955" s="28">
        <f t="shared" si="210"/>
        <v>822.74999999998545</v>
      </c>
      <c r="F5955" s="28">
        <f t="shared" si="211"/>
        <v>804.74999999998545</v>
      </c>
      <c r="G5955" s="28">
        <f t="shared" si="212"/>
        <v>740.42989999999998</v>
      </c>
      <c r="H5955" s="28">
        <f t="shared" si="213"/>
        <v>775.81410000000005</v>
      </c>
      <c r="I5955" s="28">
        <f t="shared" si="214"/>
        <v>793.38199999999995</v>
      </c>
      <c r="J5955" s="28">
        <f t="shared" si="215"/>
        <v>807.07780000000002</v>
      </c>
      <c r="K5955" s="28">
        <f t="shared" si="216"/>
        <v>830.57569999999998</v>
      </c>
      <c r="L5955" s="4"/>
      <c r="M5955" s="241">
        <v>793.38199999999995</v>
      </c>
    </row>
    <row r="5956" spans="3:13" hidden="1" outlineLevel="1" x14ac:dyDescent="0.2">
      <c r="C5956" s="139">
        <v>109.79999999999805</v>
      </c>
      <c r="D5956" s="28">
        <f t="shared" si="209"/>
        <v>878.3999999999844</v>
      </c>
      <c r="E5956" s="28">
        <f t="shared" si="210"/>
        <v>823.49999999998533</v>
      </c>
      <c r="F5956" s="28">
        <f t="shared" si="211"/>
        <v>805.49999999998533</v>
      </c>
      <c r="G5956" s="28">
        <f t="shared" si="212"/>
        <v>741.4</v>
      </c>
      <c r="H5956" s="28">
        <f t="shared" si="213"/>
        <v>776.81590000000006</v>
      </c>
      <c r="I5956" s="28">
        <f t="shared" si="214"/>
        <v>794.39329999999995</v>
      </c>
      <c r="J5956" s="28">
        <f t="shared" si="215"/>
        <v>808.10180000000003</v>
      </c>
      <c r="K5956" s="28">
        <f t="shared" si="216"/>
        <v>831.6223</v>
      </c>
      <c r="L5956" s="4"/>
      <c r="M5956" s="241">
        <v>794.39329999999995</v>
      </c>
    </row>
    <row r="5957" spans="3:13" hidden="1" outlineLevel="1" x14ac:dyDescent="0.2">
      <c r="C5957" s="139">
        <v>109.89999999999804</v>
      </c>
      <c r="D5957" s="28">
        <f t="shared" si="209"/>
        <v>879.19999999998436</v>
      </c>
      <c r="E5957" s="28">
        <f t="shared" si="210"/>
        <v>824.24999999998533</v>
      </c>
      <c r="F5957" s="28">
        <f t="shared" si="211"/>
        <v>806.24999999998533</v>
      </c>
      <c r="G5957" s="28">
        <f t="shared" si="212"/>
        <v>742.36410000000001</v>
      </c>
      <c r="H5957" s="28">
        <f t="shared" si="213"/>
        <v>777.80550000000005</v>
      </c>
      <c r="I5957" s="28">
        <f t="shared" si="214"/>
        <v>795.40480000000002</v>
      </c>
      <c r="J5957" s="28">
        <f t="shared" si="215"/>
        <v>809.12599999999998</v>
      </c>
      <c r="K5957" s="28">
        <f t="shared" si="216"/>
        <v>832.66890000000001</v>
      </c>
      <c r="L5957" s="4"/>
      <c r="M5957" s="241">
        <v>795.40480000000002</v>
      </c>
    </row>
    <row r="5958" spans="3:13" hidden="1" outlineLevel="1" x14ac:dyDescent="0.2">
      <c r="C5958" s="139">
        <v>109.99999999999804</v>
      </c>
      <c r="D5958" s="28">
        <f t="shared" si="209"/>
        <v>879.99999999998431</v>
      </c>
      <c r="E5958" s="28">
        <f t="shared" si="210"/>
        <v>824.99999999998533</v>
      </c>
      <c r="F5958" s="28">
        <f t="shared" si="211"/>
        <v>806.99999999998533</v>
      </c>
      <c r="G5958" s="28">
        <f t="shared" si="212"/>
        <v>742.36410000000001</v>
      </c>
      <c r="H5958" s="28">
        <f t="shared" si="213"/>
        <v>777.80550000000005</v>
      </c>
      <c r="I5958" s="28">
        <f t="shared" si="214"/>
        <v>795.40480000000002</v>
      </c>
      <c r="J5958" s="28">
        <f t="shared" si="215"/>
        <v>809.12599999999998</v>
      </c>
      <c r="K5958" s="28">
        <f t="shared" si="216"/>
        <v>832.66890000000001</v>
      </c>
      <c r="L5958" s="4"/>
      <c r="M5958" s="241">
        <v>795.40480000000002</v>
      </c>
    </row>
    <row r="5959" spans="3:13" hidden="1" outlineLevel="1" x14ac:dyDescent="0.2">
      <c r="C5959" s="139">
        <v>110.09999999999803</v>
      </c>
      <c r="D5959" s="28">
        <f t="shared" si="209"/>
        <v>880.79999999998427</v>
      </c>
      <c r="E5959" s="28">
        <f t="shared" si="210"/>
        <v>825.74999999998522</v>
      </c>
      <c r="F5959" s="28">
        <f t="shared" si="211"/>
        <v>807.74999999998522</v>
      </c>
      <c r="G5959" s="28">
        <f t="shared" si="212"/>
        <v>743.32820000000004</v>
      </c>
      <c r="H5959" s="28">
        <f t="shared" si="213"/>
        <v>778.8075</v>
      </c>
      <c r="I5959" s="28">
        <f t="shared" si="214"/>
        <v>796.41629999999998</v>
      </c>
      <c r="J5959" s="28">
        <f t="shared" si="215"/>
        <v>810.15020000000004</v>
      </c>
      <c r="K5959" s="28">
        <f t="shared" si="216"/>
        <v>833.71550000000002</v>
      </c>
      <c r="L5959" s="4"/>
      <c r="M5959" s="241">
        <v>796.41629999999998</v>
      </c>
    </row>
    <row r="5960" spans="3:13" hidden="1" outlineLevel="1" x14ac:dyDescent="0.2">
      <c r="C5960" s="139">
        <v>110.19999999999803</v>
      </c>
      <c r="D5960" s="28">
        <f t="shared" si="209"/>
        <v>881.59999999998422</v>
      </c>
      <c r="E5960" s="28">
        <f t="shared" si="210"/>
        <v>826.49999999998522</v>
      </c>
      <c r="F5960" s="28">
        <f t="shared" si="211"/>
        <v>808.49999999998522</v>
      </c>
      <c r="G5960" s="28">
        <f t="shared" si="212"/>
        <v>744.29859999999996</v>
      </c>
      <c r="H5960" s="28">
        <f t="shared" si="213"/>
        <v>779.79719999999998</v>
      </c>
      <c r="I5960" s="28">
        <f t="shared" si="214"/>
        <v>797.42780000000005</v>
      </c>
      <c r="J5960" s="28">
        <f t="shared" si="215"/>
        <v>811.17439999999999</v>
      </c>
      <c r="K5960" s="28">
        <f t="shared" si="216"/>
        <v>834.77570000000003</v>
      </c>
      <c r="L5960" s="4"/>
      <c r="M5960" s="241">
        <v>797.42780000000005</v>
      </c>
    </row>
    <row r="5961" spans="3:13" hidden="1" outlineLevel="1" x14ac:dyDescent="0.2">
      <c r="C5961" s="139">
        <v>110.29999999999802</v>
      </c>
      <c r="D5961" s="28">
        <f t="shared" si="209"/>
        <v>882.39999999998417</v>
      </c>
      <c r="E5961" s="28">
        <f t="shared" si="210"/>
        <v>827.24999999998522</v>
      </c>
      <c r="F5961" s="28">
        <f t="shared" si="211"/>
        <v>809.24999999998522</v>
      </c>
      <c r="G5961" s="28">
        <f t="shared" si="212"/>
        <v>745.26300000000003</v>
      </c>
      <c r="H5961" s="28">
        <f t="shared" si="213"/>
        <v>780.79930000000002</v>
      </c>
      <c r="I5961" s="28">
        <f t="shared" si="214"/>
        <v>798.43939999999998</v>
      </c>
      <c r="J5961" s="28">
        <f t="shared" si="215"/>
        <v>812.19870000000003</v>
      </c>
      <c r="K5961" s="28">
        <f t="shared" si="216"/>
        <v>835.82240000000002</v>
      </c>
      <c r="L5961" s="4"/>
      <c r="M5961" s="241">
        <v>798.43939999999998</v>
      </c>
    </row>
    <row r="5962" spans="3:13" hidden="1" outlineLevel="1" x14ac:dyDescent="0.2">
      <c r="C5962" s="139">
        <v>110.39999999999802</v>
      </c>
      <c r="D5962" s="28">
        <f t="shared" si="209"/>
        <v>883.19999999998413</v>
      </c>
      <c r="E5962" s="28">
        <f t="shared" si="210"/>
        <v>827.99999999998511</v>
      </c>
      <c r="F5962" s="28">
        <f t="shared" si="211"/>
        <v>809.99999999998511</v>
      </c>
      <c r="G5962" s="28">
        <f t="shared" si="212"/>
        <v>745.26300000000003</v>
      </c>
      <c r="H5962" s="28">
        <f t="shared" si="213"/>
        <v>780.79930000000002</v>
      </c>
      <c r="I5962" s="28">
        <f t="shared" si="214"/>
        <v>798.43939999999998</v>
      </c>
      <c r="J5962" s="28">
        <f t="shared" si="215"/>
        <v>812.19870000000003</v>
      </c>
      <c r="K5962" s="28">
        <f t="shared" si="216"/>
        <v>835.82240000000002</v>
      </c>
      <c r="L5962" s="4"/>
      <c r="M5962" s="241">
        <v>798.43939999999998</v>
      </c>
    </row>
    <row r="5963" spans="3:13" hidden="1" outlineLevel="1" x14ac:dyDescent="0.2">
      <c r="C5963" s="139">
        <v>110.49999999999801</v>
      </c>
      <c r="D5963" s="28">
        <f t="shared" si="209"/>
        <v>883.99999999998408</v>
      </c>
      <c r="E5963" s="28">
        <f t="shared" si="210"/>
        <v>828.74999999998511</v>
      </c>
      <c r="F5963" s="28">
        <f t="shared" si="211"/>
        <v>810.74999999998511</v>
      </c>
      <c r="G5963" s="28">
        <f t="shared" si="212"/>
        <v>746.23360000000002</v>
      </c>
      <c r="H5963" s="28">
        <f t="shared" si="213"/>
        <v>781.78920000000005</v>
      </c>
      <c r="I5963" s="28">
        <f t="shared" si="214"/>
        <v>799.4511</v>
      </c>
      <c r="J5963" s="28">
        <f t="shared" si="215"/>
        <v>813.22990000000004</v>
      </c>
      <c r="K5963" s="28">
        <f t="shared" si="216"/>
        <v>836.86919999999998</v>
      </c>
      <c r="L5963" s="4"/>
      <c r="M5963" s="241">
        <v>799.4511</v>
      </c>
    </row>
    <row r="5964" spans="3:13" hidden="1" outlineLevel="1" x14ac:dyDescent="0.2">
      <c r="C5964" s="139">
        <v>110.599999999998</v>
      </c>
      <c r="D5964" s="28">
        <f t="shared" si="209"/>
        <v>884.79999999998404</v>
      </c>
      <c r="E5964" s="28">
        <f t="shared" si="210"/>
        <v>829.49999999998499</v>
      </c>
      <c r="F5964" s="28">
        <f t="shared" si="211"/>
        <v>811.49999999998499</v>
      </c>
      <c r="G5964" s="28">
        <f t="shared" si="212"/>
        <v>747.19820000000004</v>
      </c>
      <c r="H5964" s="28">
        <f t="shared" si="213"/>
        <v>782.79150000000004</v>
      </c>
      <c r="I5964" s="28">
        <f t="shared" si="214"/>
        <v>800.46280000000002</v>
      </c>
      <c r="J5964" s="28">
        <f t="shared" si="215"/>
        <v>814.25429999999994</v>
      </c>
      <c r="K5964" s="28">
        <f t="shared" si="216"/>
        <v>837.91600000000005</v>
      </c>
      <c r="L5964" s="4"/>
      <c r="M5964" s="241">
        <v>800.46280000000002</v>
      </c>
    </row>
    <row r="5965" spans="3:13" hidden="1" outlineLevel="1" x14ac:dyDescent="0.2">
      <c r="C5965" s="139">
        <v>110.699999999998</v>
      </c>
      <c r="D5965" s="28">
        <f t="shared" si="209"/>
        <v>885.59999999998399</v>
      </c>
      <c r="E5965" s="28">
        <f t="shared" si="210"/>
        <v>830.24999999998499</v>
      </c>
      <c r="F5965" s="28">
        <f t="shared" si="211"/>
        <v>812.24999999998499</v>
      </c>
      <c r="G5965" s="28">
        <f t="shared" si="212"/>
        <v>748.16290000000004</v>
      </c>
      <c r="H5965" s="28">
        <f t="shared" si="213"/>
        <v>783.78150000000005</v>
      </c>
      <c r="I5965" s="28">
        <f t="shared" si="214"/>
        <v>801.47460000000001</v>
      </c>
      <c r="J5965" s="28">
        <f t="shared" si="215"/>
        <v>815.27869999999996</v>
      </c>
      <c r="K5965" s="28">
        <f t="shared" si="216"/>
        <v>838.97640000000001</v>
      </c>
      <c r="L5965" s="4"/>
      <c r="M5965" s="241">
        <v>801.47460000000001</v>
      </c>
    </row>
    <row r="5966" spans="3:13" hidden="1" outlineLevel="1" x14ac:dyDescent="0.2">
      <c r="C5966" s="139">
        <v>110.79999999999799</v>
      </c>
      <c r="D5966" s="28">
        <f t="shared" si="209"/>
        <v>886.39999999998395</v>
      </c>
      <c r="E5966" s="28">
        <f t="shared" si="210"/>
        <v>830.99999999998499</v>
      </c>
      <c r="F5966" s="28">
        <f t="shared" si="211"/>
        <v>812.99999999998499</v>
      </c>
      <c r="G5966" s="28">
        <f t="shared" si="212"/>
        <v>748.16290000000004</v>
      </c>
      <c r="H5966" s="28">
        <f t="shared" si="213"/>
        <v>783.78150000000005</v>
      </c>
      <c r="I5966" s="28">
        <f t="shared" si="214"/>
        <v>801.47460000000001</v>
      </c>
      <c r="J5966" s="28">
        <f t="shared" si="215"/>
        <v>815.27869999999996</v>
      </c>
      <c r="K5966" s="28">
        <f t="shared" si="216"/>
        <v>838.97640000000001</v>
      </c>
      <c r="L5966" s="4"/>
      <c r="M5966" s="241">
        <v>801.47460000000001</v>
      </c>
    </row>
    <row r="5967" spans="3:13" hidden="1" outlineLevel="1" x14ac:dyDescent="0.2">
      <c r="C5967" s="139">
        <v>110.89999999999799</v>
      </c>
      <c r="D5967" s="28">
        <f t="shared" si="209"/>
        <v>887.1999999999839</v>
      </c>
      <c r="E5967" s="28">
        <f t="shared" si="210"/>
        <v>831.74999999998488</v>
      </c>
      <c r="F5967" s="28">
        <f t="shared" si="211"/>
        <v>813.74999999998488</v>
      </c>
      <c r="G5967" s="28">
        <f t="shared" si="212"/>
        <v>749.13390000000004</v>
      </c>
      <c r="H5967" s="28">
        <f t="shared" si="213"/>
        <v>784.78390000000002</v>
      </c>
      <c r="I5967" s="28">
        <f t="shared" si="214"/>
        <v>802.4864</v>
      </c>
      <c r="J5967" s="28">
        <f t="shared" si="215"/>
        <v>816.30319999999995</v>
      </c>
      <c r="K5967" s="28">
        <f t="shared" si="216"/>
        <v>840.02329999999995</v>
      </c>
      <c r="L5967" s="4"/>
      <c r="M5967" s="241">
        <v>802.4864</v>
      </c>
    </row>
    <row r="5968" spans="3:13" hidden="1" outlineLevel="1" x14ac:dyDescent="0.2">
      <c r="C5968" s="139">
        <v>110.99999999999798</v>
      </c>
      <c r="D5968" s="28">
        <f t="shared" si="209"/>
        <v>887.99999999998386</v>
      </c>
      <c r="E5968" s="28">
        <f t="shared" si="210"/>
        <v>832.49999999998488</v>
      </c>
      <c r="F5968" s="28">
        <f t="shared" si="211"/>
        <v>814.49999999998488</v>
      </c>
      <c r="G5968" s="28">
        <f t="shared" si="212"/>
        <v>750.09879999999998</v>
      </c>
      <c r="H5968" s="28">
        <f t="shared" si="213"/>
        <v>785.77409999999998</v>
      </c>
      <c r="I5968" s="28">
        <f t="shared" si="214"/>
        <v>803.49829999999997</v>
      </c>
      <c r="J5968" s="28">
        <f t="shared" si="215"/>
        <v>817.32780000000002</v>
      </c>
      <c r="K5968" s="28">
        <f t="shared" si="216"/>
        <v>841.0702</v>
      </c>
      <c r="L5968" s="4"/>
      <c r="M5968" s="241">
        <v>803.49829999999997</v>
      </c>
    </row>
    <row r="5969" spans="3:13" hidden="1" outlineLevel="1" x14ac:dyDescent="0.2">
      <c r="C5969" s="139">
        <v>111.09999999999798</v>
      </c>
      <c r="D5969" s="28">
        <f t="shared" si="209"/>
        <v>888.79999999998381</v>
      </c>
      <c r="E5969" s="28">
        <f t="shared" si="210"/>
        <v>833.24999999998477</v>
      </c>
      <c r="F5969" s="28">
        <f t="shared" si="211"/>
        <v>815.24999999998477</v>
      </c>
      <c r="G5969" s="28">
        <f t="shared" si="212"/>
        <v>751.06389999999999</v>
      </c>
      <c r="H5969" s="28">
        <f t="shared" si="213"/>
        <v>786.77670000000001</v>
      </c>
      <c r="I5969" s="28">
        <f t="shared" si="214"/>
        <v>804.51030000000003</v>
      </c>
      <c r="J5969" s="28">
        <f t="shared" si="215"/>
        <v>818.35239999999999</v>
      </c>
      <c r="K5969" s="28">
        <f t="shared" si="216"/>
        <v>842.11710000000005</v>
      </c>
      <c r="L5969" s="4"/>
      <c r="M5969" s="241">
        <v>804.51030000000003</v>
      </c>
    </row>
    <row r="5970" spans="3:13" hidden="1" outlineLevel="1" x14ac:dyDescent="0.2">
      <c r="C5970" s="139">
        <v>111.19999999999797</v>
      </c>
      <c r="D5970" s="28">
        <f t="shared" si="209"/>
        <v>889.59999999998377</v>
      </c>
      <c r="E5970" s="28">
        <f t="shared" si="210"/>
        <v>833.99999999998477</v>
      </c>
      <c r="F5970" s="28">
        <f t="shared" si="211"/>
        <v>815.99999999998477</v>
      </c>
      <c r="G5970" s="28">
        <f t="shared" si="212"/>
        <v>751.06389999999999</v>
      </c>
      <c r="H5970" s="28">
        <f t="shared" si="213"/>
        <v>786.77670000000001</v>
      </c>
      <c r="I5970" s="28">
        <f t="shared" si="214"/>
        <v>804.51030000000003</v>
      </c>
      <c r="J5970" s="28">
        <f t="shared" si="215"/>
        <v>818.35239999999999</v>
      </c>
      <c r="K5970" s="28">
        <f t="shared" si="216"/>
        <v>842.11710000000005</v>
      </c>
      <c r="L5970" s="4"/>
      <c r="M5970" s="241">
        <v>804.51030000000003</v>
      </c>
    </row>
    <row r="5971" spans="3:13" hidden="1" outlineLevel="1" x14ac:dyDescent="0.2">
      <c r="C5971" s="139">
        <v>111.29999999999797</v>
      </c>
      <c r="D5971" s="28">
        <f t="shared" si="209"/>
        <v>890.39999999998372</v>
      </c>
      <c r="E5971" s="28">
        <f t="shared" si="210"/>
        <v>834.74999999998477</v>
      </c>
      <c r="F5971" s="28">
        <f t="shared" si="211"/>
        <v>816.74999999998477</v>
      </c>
      <c r="G5971" s="28">
        <f t="shared" si="212"/>
        <v>752.029</v>
      </c>
      <c r="H5971" s="28">
        <f t="shared" si="213"/>
        <v>787.76700000000005</v>
      </c>
      <c r="I5971" s="28">
        <f t="shared" si="214"/>
        <v>805.52229999999997</v>
      </c>
      <c r="J5971" s="28">
        <f t="shared" si="215"/>
        <v>819.37710000000004</v>
      </c>
      <c r="K5971" s="28">
        <f t="shared" si="216"/>
        <v>843.16409999999996</v>
      </c>
      <c r="L5971" s="4"/>
      <c r="M5971" s="241">
        <v>805.52229999999997</v>
      </c>
    </row>
    <row r="5972" spans="3:13" hidden="1" outlineLevel="1" x14ac:dyDescent="0.2">
      <c r="C5972" s="139">
        <v>111.39999999999796</v>
      </c>
      <c r="D5972" s="28">
        <f t="shared" si="209"/>
        <v>891.19999999998367</v>
      </c>
      <c r="E5972" s="28">
        <f t="shared" si="210"/>
        <v>835.49999999998465</v>
      </c>
      <c r="F5972" s="28">
        <f t="shared" si="211"/>
        <v>817.49999999998465</v>
      </c>
      <c r="G5972" s="28">
        <f t="shared" si="212"/>
        <v>753.00049999999999</v>
      </c>
      <c r="H5972" s="28">
        <f t="shared" si="213"/>
        <v>788.75729999999999</v>
      </c>
      <c r="I5972" s="28">
        <f t="shared" si="214"/>
        <v>806.53440000000001</v>
      </c>
      <c r="J5972" s="28">
        <f t="shared" si="215"/>
        <v>820.40179999999998</v>
      </c>
      <c r="K5972" s="28">
        <f t="shared" si="216"/>
        <v>844.22479999999996</v>
      </c>
      <c r="L5972" s="4"/>
      <c r="M5972" s="241">
        <v>806.53440000000001</v>
      </c>
    </row>
    <row r="5973" spans="3:13" hidden="1" outlineLevel="1" x14ac:dyDescent="0.2">
      <c r="C5973" s="139">
        <v>111.49999999999795</v>
      </c>
      <c r="D5973" s="28">
        <f t="shared" si="209"/>
        <v>891.99999999998363</v>
      </c>
      <c r="E5973" s="28">
        <f t="shared" si="210"/>
        <v>836.24999999998465</v>
      </c>
      <c r="F5973" s="28">
        <f t="shared" si="211"/>
        <v>818.24999999998465</v>
      </c>
      <c r="G5973" s="28">
        <f t="shared" si="212"/>
        <v>753.96579999999994</v>
      </c>
      <c r="H5973" s="28">
        <f t="shared" si="213"/>
        <v>789.76020000000005</v>
      </c>
      <c r="I5973" s="28">
        <f t="shared" si="214"/>
        <v>807.54660000000001</v>
      </c>
      <c r="J5973" s="28">
        <f t="shared" si="215"/>
        <v>821.42650000000003</v>
      </c>
      <c r="K5973" s="28">
        <f t="shared" si="216"/>
        <v>845.27189999999996</v>
      </c>
      <c r="L5973" s="4"/>
      <c r="M5973" s="241">
        <v>807.54660000000001</v>
      </c>
    </row>
    <row r="5974" spans="3:13" hidden="1" outlineLevel="1" x14ac:dyDescent="0.2">
      <c r="C5974" s="139">
        <v>111.59999999999795</v>
      </c>
      <c r="D5974" s="28">
        <f t="shared" si="209"/>
        <v>892.79999999998358</v>
      </c>
      <c r="E5974" s="28">
        <f t="shared" si="210"/>
        <v>836.99999999998465</v>
      </c>
      <c r="F5974" s="28">
        <f t="shared" si="211"/>
        <v>818.99999999998465</v>
      </c>
      <c r="G5974" s="28">
        <f t="shared" si="212"/>
        <v>753.96579999999994</v>
      </c>
      <c r="H5974" s="28">
        <f t="shared" si="213"/>
        <v>789.76020000000005</v>
      </c>
      <c r="I5974" s="28">
        <f t="shared" si="214"/>
        <v>807.54660000000001</v>
      </c>
      <c r="J5974" s="28">
        <f t="shared" si="215"/>
        <v>821.42650000000003</v>
      </c>
      <c r="K5974" s="28">
        <f t="shared" si="216"/>
        <v>845.27189999999996</v>
      </c>
      <c r="L5974" s="4"/>
      <c r="M5974" s="241">
        <v>807.54660000000001</v>
      </c>
    </row>
    <row r="5975" spans="3:13" hidden="1" outlineLevel="1" x14ac:dyDescent="0.2">
      <c r="C5975" s="139">
        <v>111.69999999999794</v>
      </c>
      <c r="D5975" s="28">
        <f t="shared" si="209"/>
        <v>893.59999999998354</v>
      </c>
      <c r="E5975" s="28">
        <f t="shared" si="210"/>
        <v>837.74999999998454</v>
      </c>
      <c r="F5975" s="28">
        <f t="shared" si="211"/>
        <v>819.74999999998454</v>
      </c>
      <c r="G5975" s="28">
        <f t="shared" si="212"/>
        <v>754.93439999999998</v>
      </c>
      <c r="H5975" s="28">
        <f t="shared" si="213"/>
        <v>790.75059999999996</v>
      </c>
      <c r="I5975" s="28">
        <f t="shared" si="214"/>
        <v>808.55880000000002</v>
      </c>
      <c r="J5975" s="28">
        <f t="shared" si="215"/>
        <v>822.45129999999995</v>
      </c>
      <c r="K5975" s="28">
        <f t="shared" si="216"/>
        <v>846.31899999999996</v>
      </c>
      <c r="L5975" s="4"/>
      <c r="M5975" s="241">
        <v>808.55880000000002</v>
      </c>
    </row>
    <row r="5976" spans="3:13" hidden="1" outlineLevel="1" x14ac:dyDescent="0.2">
      <c r="C5976" s="139">
        <v>111.79999999999794</v>
      </c>
      <c r="D5976" s="28">
        <f t="shared" si="209"/>
        <v>894.39999999998349</v>
      </c>
      <c r="E5976" s="28">
        <f t="shared" si="210"/>
        <v>838.49999999998454</v>
      </c>
      <c r="F5976" s="28">
        <f t="shared" si="211"/>
        <v>820.49999999998454</v>
      </c>
      <c r="G5976" s="28">
        <f t="shared" si="212"/>
        <v>755.89369999999997</v>
      </c>
      <c r="H5976" s="28">
        <f t="shared" si="213"/>
        <v>791.75369999999998</v>
      </c>
      <c r="I5976" s="28">
        <f t="shared" si="214"/>
        <v>809.5711</v>
      </c>
      <c r="J5976" s="28">
        <f t="shared" si="215"/>
        <v>823.47619999999995</v>
      </c>
      <c r="K5976" s="28">
        <f t="shared" si="216"/>
        <v>847.36609999999996</v>
      </c>
      <c r="L5976" s="4"/>
      <c r="M5976" s="241">
        <v>809.5711</v>
      </c>
    </row>
    <row r="5977" spans="3:13" hidden="1" outlineLevel="1" x14ac:dyDescent="0.2">
      <c r="C5977" s="139">
        <v>111.89999999999793</v>
      </c>
      <c r="D5977" s="28">
        <f t="shared" si="209"/>
        <v>895.19999999998345</v>
      </c>
      <c r="E5977" s="28">
        <f t="shared" si="210"/>
        <v>839.24999999998454</v>
      </c>
      <c r="F5977" s="28">
        <f t="shared" si="211"/>
        <v>821.24999999998454</v>
      </c>
      <c r="G5977" s="28">
        <f t="shared" si="212"/>
        <v>756.86559999999997</v>
      </c>
      <c r="H5977" s="28">
        <f t="shared" si="213"/>
        <v>792.74429999999995</v>
      </c>
      <c r="I5977" s="28">
        <f t="shared" si="214"/>
        <v>810.58339999999998</v>
      </c>
      <c r="J5977" s="28">
        <f t="shared" si="215"/>
        <v>824.50800000000004</v>
      </c>
      <c r="K5977" s="28">
        <f t="shared" si="216"/>
        <v>848.41319999999996</v>
      </c>
      <c r="L5977" s="4"/>
      <c r="M5977" s="241">
        <v>810.58339999999998</v>
      </c>
    </row>
    <row r="5978" spans="3:13" hidden="1" outlineLevel="1" x14ac:dyDescent="0.2">
      <c r="C5978" s="139">
        <v>111.99999999999793</v>
      </c>
      <c r="D5978" s="28">
        <f t="shared" si="209"/>
        <v>895.9999999999834</v>
      </c>
      <c r="E5978" s="28">
        <f t="shared" si="210"/>
        <v>839.99999999998442</v>
      </c>
      <c r="F5978" s="28">
        <f t="shared" si="211"/>
        <v>821.99999999998442</v>
      </c>
      <c r="G5978" s="28">
        <f t="shared" si="212"/>
        <v>756.86559999999997</v>
      </c>
      <c r="H5978" s="28">
        <f t="shared" si="213"/>
        <v>792.74429999999995</v>
      </c>
      <c r="I5978" s="28">
        <f t="shared" si="214"/>
        <v>810.58339999999998</v>
      </c>
      <c r="J5978" s="28">
        <f t="shared" si="215"/>
        <v>824.50800000000004</v>
      </c>
      <c r="K5978" s="28">
        <f t="shared" si="216"/>
        <v>848.41319999999996</v>
      </c>
      <c r="L5978" s="4"/>
      <c r="M5978" s="241">
        <v>810.58339999999998</v>
      </c>
    </row>
    <row r="5979" spans="3:13" hidden="1" outlineLevel="1" x14ac:dyDescent="0.2">
      <c r="C5979" s="139">
        <v>112.09999999999792</v>
      </c>
      <c r="D5979" s="28">
        <f t="shared" si="209"/>
        <v>896.79999999998336</v>
      </c>
      <c r="E5979" s="28">
        <f t="shared" si="210"/>
        <v>840.74999999998442</v>
      </c>
      <c r="F5979" s="28">
        <f t="shared" si="211"/>
        <v>822.74999999998442</v>
      </c>
      <c r="G5979" s="28">
        <f t="shared" si="212"/>
        <v>757.83770000000004</v>
      </c>
      <c r="H5979" s="28">
        <f t="shared" si="213"/>
        <v>793.73500000000001</v>
      </c>
      <c r="I5979" s="28">
        <f t="shared" si="214"/>
        <v>811.59580000000005</v>
      </c>
      <c r="J5979" s="28">
        <f t="shared" si="215"/>
        <v>825.53300000000002</v>
      </c>
      <c r="K5979" s="28">
        <f t="shared" si="216"/>
        <v>849.4742</v>
      </c>
      <c r="L5979" s="4"/>
      <c r="M5979" s="241">
        <v>811.59580000000005</v>
      </c>
    </row>
    <row r="5980" spans="3:13" hidden="1" outlineLevel="1" x14ac:dyDescent="0.2">
      <c r="C5980" s="139">
        <v>112.19999999999791</v>
      </c>
      <c r="D5980" s="28">
        <f t="shared" si="209"/>
        <v>897.59999999998331</v>
      </c>
      <c r="E5980" s="28">
        <f t="shared" si="210"/>
        <v>841.49999999998431</v>
      </c>
      <c r="F5980" s="28">
        <f t="shared" si="211"/>
        <v>823.49999999998431</v>
      </c>
      <c r="G5980" s="28">
        <f t="shared" si="212"/>
        <v>758.79729999999995</v>
      </c>
      <c r="H5980" s="28">
        <f t="shared" si="213"/>
        <v>794.73829999999998</v>
      </c>
      <c r="I5980" s="28">
        <f t="shared" si="214"/>
        <v>812.60829999999999</v>
      </c>
      <c r="J5980" s="28">
        <f t="shared" si="215"/>
        <v>826.55799999999999</v>
      </c>
      <c r="K5980" s="28">
        <f t="shared" si="216"/>
        <v>850.52139999999997</v>
      </c>
      <c r="L5980" s="4"/>
      <c r="M5980" s="241">
        <v>812.60829999999999</v>
      </c>
    </row>
    <row r="5981" spans="3:13" hidden="1" outlineLevel="1" x14ac:dyDescent="0.2">
      <c r="C5981" s="139">
        <v>112.29999999999791</v>
      </c>
      <c r="D5981" s="28">
        <f t="shared" si="209"/>
        <v>898.39999999998327</v>
      </c>
      <c r="E5981" s="28">
        <f t="shared" si="210"/>
        <v>842.24999999998431</v>
      </c>
      <c r="F5981" s="28">
        <f t="shared" si="211"/>
        <v>824.24999999998431</v>
      </c>
      <c r="G5981" s="28">
        <f t="shared" si="212"/>
        <v>759.76959999999997</v>
      </c>
      <c r="H5981" s="28">
        <f t="shared" si="213"/>
        <v>795.72910000000002</v>
      </c>
      <c r="I5981" s="28">
        <f t="shared" si="214"/>
        <v>813.62080000000003</v>
      </c>
      <c r="J5981" s="28">
        <f t="shared" si="215"/>
        <v>827.58309999999994</v>
      </c>
      <c r="K5981" s="28">
        <f t="shared" si="216"/>
        <v>851.56870000000004</v>
      </c>
      <c r="L5981" s="4"/>
      <c r="M5981" s="241">
        <v>813.62080000000003</v>
      </c>
    </row>
    <row r="5982" spans="3:13" hidden="1" outlineLevel="1" x14ac:dyDescent="0.2">
      <c r="C5982" s="139">
        <v>112.3999999999979</v>
      </c>
      <c r="D5982" s="28">
        <f t="shared" si="209"/>
        <v>899.19999999998322</v>
      </c>
      <c r="E5982" s="28">
        <f t="shared" si="210"/>
        <v>842.99999999998431</v>
      </c>
      <c r="F5982" s="28">
        <f t="shared" si="211"/>
        <v>824.99999999998431</v>
      </c>
      <c r="G5982" s="28">
        <f t="shared" si="212"/>
        <v>759.76959999999997</v>
      </c>
      <c r="H5982" s="28">
        <f t="shared" si="213"/>
        <v>795.72910000000002</v>
      </c>
      <c r="I5982" s="28">
        <f t="shared" si="214"/>
        <v>813.62080000000003</v>
      </c>
      <c r="J5982" s="28">
        <f t="shared" si="215"/>
        <v>827.58309999999994</v>
      </c>
      <c r="K5982" s="28">
        <f t="shared" si="216"/>
        <v>851.56870000000004</v>
      </c>
      <c r="L5982" s="4"/>
      <c r="M5982" s="241">
        <v>813.62080000000003</v>
      </c>
    </row>
    <row r="5983" spans="3:13" hidden="1" outlineLevel="1" x14ac:dyDescent="0.2">
      <c r="C5983" s="139">
        <v>112.4999999999979</v>
      </c>
      <c r="D5983" s="28">
        <f t="shared" si="209"/>
        <v>899.99999999998317</v>
      </c>
      <c r="E5983" s="28">
        <f t="shared" si="210"/>
        <v>843.7499999999842</v>
      </c>
      <c r="F5983" s="28">
        <f t="shared" si="211"/>
        <v>825.7499999999842</v>
      </c>
      <c r="G5983" s="28">
        <f t="shared" si="212"/>
        <v>760.72940000000006</v>
      </c>
      <c r="H5983" s="28">
        <f t="shared" si="213"/>
        <v>796.73249999999996</v>
      </c>
      <c r="I5983" s="28">
        <f t="shared" si="214"/>
        <v>814.63340000000005</v>
      </c>
      <c r="J5983" s="28">
        <f t="shared" si="215"/>
        <v>828.60820000000001</v>
      </c>
      <c r="K5983" s="28">
        <f t="shared" si="216"/>
        <v>852.61599999999999</v>
      </c>
      <c r="L5983" s="4"/>
      <c r="M5983" s="241">
        <v>814.63340000000005</v>
      </c>
    </row>
    <row r="5984" spans="3:13" hidden="1" outlineLevel="1" x14ac:dyDescent="0.2">
      <c r="C5984" s="139">
        <v>112.59999999999789</v>
      </c>
      <c r="D5984" s="28">
        <f t="shared" si="209"/>
        <v>900.79999999998313</v>
      </c>
      <c r="E5984" s="28">
        <f t="shared" si="210"/>
        <v>844.4999999999842</v>
      </c>
      <c r="F5984" s="28">
        <f t="shared" si="211"/>
        <v>826.4999999999842</v>
      </c>
      <c r="G5984" s="28">
        <f t="shared" si="212"/>
        <v>761.70190000000002</v>
      </c>
      <c r="H5984" s="28">
        <f t="shared" si="213"/>
        <v>797.72349999999994</v>
      </c>
      <c r="I5984" s="28">
        <f t="shared" si="214"/>
        <v>815.64599999999996</v>
      </c>
      <c r="J5984" s="28">
        <f t="shared" si="215"/>
        <v>829.63329999999996</v>
      </c>
      <c r="K5984" s="28">
        <f t="shared" si="216"/>
        <v>853.66340000000002</v>
      </c>
      <c r="L5984" s="4"/>
      <c r="M5984" s="241">
        <v>815.64599999999996</v>
      </c>
    </row>
    <row r="5985" spans="3:13" hidden="1" outlineLevel="1" x14ac:dyDescent="0.2">
      <c r="C5985" s="139">
        <v>112.69999999999789</v>
      </c>
      <c r="D5985" s="28">
        <f t="shared" si="209"/>
        <v>901.59999999998308</v>
      </c>
      <c r="E5985" s="28">
        <f t="shared" si="210"/>
        <v>845.24999999998408</v>
      </c>
      <c r="F5985" s="28">
        <f t="shared" si="211"/>
        <v>827.24999999998408</v>
      </c>
      <c r="G5985" s="28">
        <f t="shared" si="212"/>
        <v>762.66189999999995</v>
      </c>
      <c r="H5985" s="28">
        <f t="shared" si="213"/>
        <v>798.71450000000004</v>
      </c>
      <c r="I5985" s="28">
        <f t="shared" si="214"/>
        <v>816.64610000000005</v>
      </c>
      <c r="J5985" s="28">
        <f t="shared" si="215"/>
        <v>830.65509999999995</v>
      </c>
      <c r="K5985" s="28">
        <f t="shared" si="216"/>
        <v>854.71069999999997</v>
      </c>
      <c r="L5985" s="4"/>
      <c r="M5985" s="241">
        <v>816.64610000000005</v>
      </c>
    </row>
    <row r="5986" spans="3:13" hidden="1" outlineLevel="1" x14ac:dyDescent="0.2">
      <c r="C5986" s="139">
        <v>112.79999999999788</v>
      </c>
      <c r="D5986" s="28">
        <f t="shared" si="209"/>
        <v>902.39999999998304</v>
      </c>
      <c r="E5986" s="28">
        <f t="shared" si="210"/>
        <v>845.99999999998408</v>
      </c>
      <c r="F5986" s="28">
        <f t="shared" si="211"/>
        <v>827.99999999998408</v>
      </c>
      <c r="G5986" s="28">
        <f t="shared" si="212"/>
        <v>762.66189999999995</v>
      </c>
      <c r="H5986" s="28">
        <f t="shared" si="213"/>
        <v>798.71450000000004</v>
      </c>
      <c r="I5986" s="28">
        <f t="shared" si="214"/>
        <v>816.64610000000005</v>
      </c>
      <c r="J5986" s="28">
        <f t="shared" si="215"/>
        <v>830.65509999999995</v>
      </c>
      <c r="K5986" s="28">
        <f t="shared" si="216"/>
        <v>854.71069999999997</v>
      </c>
      <c r="L5986" s="4"/>
      <c r="M5986" s="241">
        <v>816.64610000000005</v>
      </c>
    </row>
    <row r="5987" spans="3:13" hidden="1" outlineLevel="1" x14ac:dyDescent="0.2">
      <c r="C5987" s="139">
        <v>112.89999999999787</v>
      </c>
      <c r="D5987" s="28">
        <f t="shared" si="209"/>
        <v>903.19999999998299</v>
      </c>
      <c r="E5987" s="28">
        <f t="shared" si="210"/>
        <v>846.74999999998408</v>
      </c>
      <c r="F5987" s="28">
        <f t="shared" si="211"/>
        <v>828.74999999998408</v>
      </c>
      <c r="G5987" s="28">
        <f t="shared" si="212"/>
        <v>763.63469999999995</v>
      </c>
      <c r="H5987" s="28">
        <f t="shared" si="213"/>
        <v>799.71820000000002</v>
      </c>
      <c r="I5987" s="28">
        <f t="shared" si="214"/>
        <v>817.65880000000004</v>
      </c>
      <c r="J5987" s="28">
        <f t="shared" si="215"/>
        <v>831.68730000000005</v>
      </c>
      <c r="K5987" s="28">
        <f t="shared" si="216"/>
        <v>855.77200000000005</v>
      </c>
      <c r="L5987" s="4"/>
      <c r="M5987" s="241">
        <v>817.65880000000004</v>
      </c>
    </row>
    <row r="5988" spans="3:13" hidden="1" outlineLevel="1" x14ac:dyDescent="0.2">
      <c r="C5988" s="139">
        <v>112.99999999999787</v>
      </c>
      <c r="D5988" s="28">
        <f t="shared" si="209"/>
        <v>903.99999999998295</v>
      </c>
      <c r="E5988" s="28">
        <f t="shared" si="210"/>
        <v>847.49999999998397</v>
      </c>
      <c r="F5988" s="28">
        <f t="shared" si="211"/>
        <v>829.49999999998397</v>
      </c>
      <c r="G5988" s="28">
        <f t="shared" si="212"/>
        <v>764.60749999999996</v>
      </c>
      <c r="H5988" s="28">
        <f t="shared" si="213"/>
        <v>800.70929999999998</v>
      </c>
      <c r="I5988" s="28">
        <f t="shared" si="214"/>
        <v>818.67169999999999</v>
      </c>
      <c r="J5988" s="28">
        <f t="shared" si="215"/>
        <v>832.70569999999998</v>
      </c>
      <c r="K5988" s="28">
        <f t="shared" si="216"/>
        <v>856.81949999999995</v>
      </c>
      <c r="L5988" s="4"/>
      <c r="M5988" s="241">
        <v>818.67169999999999</v>
      </c>
    </row>
    <row r="5989" spans="3:13" hidden="1" outlineLevel="1" x14ac:dyDescent="0.2">
      <c r="C5989" s="139">
        <v>113.09999999999786</v>
      </c>
      <c r="D5989" s="28">
        <f t="shared" si="209"/>
        <v>904.7999999999829</v>
      </c>
      <c r="E5989" s="28">
        <f t="shared" si="210"/>
        <v>848.24999999998397</v>
      </c>
      <c r="F5989" s="28">
        <f t="shared" si="211"/>
        <v>830.24999999998397</v>
      </c>
      <c r="G5989" s="28">
        <f t="shared" si="212"/>
        <v>765.56790000000001</v>
      </c>
      <c r="H5989" s="28">
        <f t="shared" si="213"/>
        <v>801.71320000000003</v>
      </c>
      <c r="I5989" s="28">
        <f t="shared" si="214"/>
        <v>819.68449999999996</v>
      </c>
      <c r="J5989" s="28">
        <f t="shared" si="215"/>
        <v>833.73800000000006</v>
      </c>
      <c r="K5989" s="28">
        <f t="shared" si="216"/>
        <v>857.86699999999996</v>
      </c>
      <c r="L5989" s="4"/>
      <c r="M5989" s="241">
        <v>819.68449999999996</v>
      </c>
    </row>
    <row r="5990" spans="3:13" hidden="1" outlineLevel="1" x14ac:dyDescent="0.2">
      <c r="C5990" s="139">
        <v>113.19999999999786</v>
      </c>
      <c r="D5990" s="28">
        <f t="shared" si="209"/>
        <v>905.59999999998286</v>
      </c>
      <c r="E5990" s="28">
        <f t="shared" si="210"/>
        <v>848.99999999998397</v>
      </c>
      <c r="F5990" s="28">
        <f t="shared" si="211"/>
        <v>830.99999999998397</v>
      </c>
      <c r="G5990" s="28">
        <f t="shared" si="212"/>
        <v>765.56790000000001</v>
      </c>
      <c r="H5990" s="28">
        <f t="shared" si="213"/>
        <v>801.71320000000003</v>
      </c>
      <c r="I5990" s="28">
        <f t="shared" si="214"/>
        <v>819.68449999999996</v>
      </c>
      <c r="J5990" s="28">
        <f t="shared" si="215"/>
        <v>833.73800000000006</v>
      </c>
      <c r="K5990" s="28">
        <f t="shared" si="216"/>
        <v>857.86699999999996</v>
      </c>
      <c r="L5990" s="4"/>
      <c r="M5990" s="241">
        <v>819.68449999999996</v>
      </c>
    </row>
    <row r="5991" spans="3:13" hidden="1" outlineLevel="1" x14ac:dyDescent="0.2">
      <c r="C5991" s="139">
        <v>113.29999999999785</v>
      </c>
      <c r="D5991" s="28">
        <f t="shared" si="209"/>
        <v>906.39999999998281</v>
      </c>
      <c r="E5991" s="28">
        <f t="shared" si="210"/>
        <v>849.74999999998386</v>
      </c>
      <c r="F5991" s="28">
        <f t="shared" si="211"/>
        <v>831.74999999998386</v>
      </c>
      <c r="G5991" s="28">
        <f t="shared" si="212"/>
        <v>766.54089999999997</v>
      </c>
      <c r="H5991" s="28">
        <f t="shared" si="213"/>
        <v>802.70450000000005</v>
      </c>
      <c r="I5991" s="28">
        <f t="shared" si="214"/>
        <v>820.69749999999999</v>
      </c>
      <c r="J5991" s="28">
        <f t="shared" si="215"/>
        <v>834.75649999999996</v>
      </c>
      <c r="K5991" s="28">
        <f t="shared" si="216"/>
        <v>858.91449999999998</v>
      </c>
      <c r="L5991" s="4"/>
      <c r="M5991" s="241">
        <v>820.69749999999999</v>
      </c>
    </row>
    <row r="5992" spans="3:13" hidden="1" outlineLevel="1" x14ac:dyDescent="0.2">
      <c r="C5992" s="139">
        <v>113.39999999999785</v>
      </c>
      <c r="D5992" s="28">
        <f t="shared" si="209"/>
        <v>907.19999999998277</v>
      </c>
      <c r="E5992" s="28">
        <f t="shared" si="210"/>
        <v>850.49999999998386</v>
      </c>
      <c r="F5992" s="28">
        <f t="shared" si="211"/>
        <v>832.49999999998386</v>
      </c>
      <c r="G5992" s="28">
        <f t="shared" si="212"/>
        <v>767.50149999999996</v>
      </c>
      <c r="H5992" s="28">
        <f t="shared" si="213"/>
        <v>803.69579999999996</v>
      </c>
      <c r="I5992" s="28">
        <f t="shared" si="214"/>
        <v>821.71040000000005</v>
      </c>
      <c r="J5992" s="28">
        <f t="shared" si="215"/>
        <v>835.78890000000001</v>
      </c>
      <c r="K5992" s="28">
        <f t="shared" si="216"/>
        <v>859.96209999999996</v>
      </c>
      <c r="L5992" s="4"/>
      <c r="M5992" s="241">
        <v>821.71040000000005</v>
      </c>
    </row>
    <row r="5993" spans="3:13" hidden="1" outlineLevel="1" x14ac:dyDescent="0.2">
      <c r="C5993" s="139">
        <v>113.49999999999784</v>
      </c>
      <c r="D5993" s="28">
        <f t="shared" si="209"/>
        <v>907.99999999998272</v>
      </c>
      <c r="E5993" s="28">
        <f t="shared" si="210"/>
        <v>851.24999999998386</v>
      </c>
      <c r="F5993" s="28">
        <f t="shared" si="211"/>
        <v>833.24999999998386</v>
      </c>
      <c r="G5993" s="28">
        <f t="shared" si="212"/>
        <v>768.47479999999996</v>
      </c>
      <c r="H5993" s="28">
        <f t="shared" si="213"/>
        <v>804.69989999999996</v>
      </c>
      <c r="I5993" s="28">
        <f t="shared" si="214"/>
        <v>822.72349999999994</v>
      </c>
      <c r="J5993" s="28">
        <f t="shared" si="215"/>
        <v>836.8075</v>
      </c>
      <c r="K5993" s="28">
        <f t="shared" si="216"/>
        <v>861.00969999999995</v>
      </c>
      <c r="L5993" s="4"/>
      <c r="M5993" s="241">
        <v>822.72349999999994</v>
      </c>
    </row>
    <row r="5994" spans="3:13" hidden="1" outlineLevel="1" x14ac:dyDescent="0.2">
      <c r="C5994" s="139">
        <v>113.59999999999783</v>
      </c>
      <c r="D5994" s="28">
        <f t="shared" si="209"/>
        <v>908.79999999998267</v>
      </c>
      <c r="E5994" s="28">
        <f t="shared" si="210"/>
        <v>851.99999999998374</v>
      </c>
      <c r="F5994" s="28">
        <f t="shared" si="211"/>
        <v>833.99999999998374</v>
      </c>
      <c r="G5994" s="28">
        <f t="shared" si="212"/>
        <v>768.47479999999996</v>
      </c>
      <c r="H5994" s="28">
        <f t="shared" si="213"/>
        <v>804.69989999999996</v>
      </c>
      <c r="I5994" s="28">
        <f t="shared" si="214"/>
        <v>822.72349999999994</v>
      </c>
      <c r="J5994" s="28">
        <f t="shared" si="215"/>
        <v>836.8075</v>
      </c>
      <c r="K5994" s="28">
        <f t="shared" si="216"/>
        <v>861.00969999999995</v>
      </c>
      <c r="L5994" s="4"/>
      <c r="M5994" s="241">
        <v>822.72349999999994</v>
      </c>
    </row>
    <row r="5995" spans="3:13" hidden="1" outlineLevel="1" x14ac:dyDescent="0.2">
      <c r="C5995" s="139">
        <v>113.69999999999783</v>
      </c>
      <c r="D5995" s="28">
        <f t="shared" si="209"/>
        <v>909.59999999998263</v>
      </c>
      <c r="E5995" s="28">
        <f t="shared" si="210"/>
        <v>852.74999999998374</v>
      </c>
      <c r="F5995" s="28">
        <f t="shared" si="211"/>
        <v>834.74999999998374</v>
      </c>
      <c r="G5995" s="28">
        <f t="shared" si="212"/>
        <v>769.43550000000005</v>
      </c>
      <c r="H5995" s="28">
        <f t="shared" si="213"/>
        <v>805.69140000000004</v>
      </c>
      <c r="I5995" s="28">
        <f t="shared" si="214"/>
        <v>823.73659999999995</v>
      </c>
      <c r="J5995" s="28">
        <f t="shared" si="215"/>
        <v>837.84</v>
      </c>
      <c r="K5995" s="28">
        <f t="shared" si="216"/>
        <v>862.07129999999995</v>
      </c>
      <c r="L5995" s="4"/>
      <c r="M5995" s="241">
        <v>823.73659999999995</v>
      </c>
    </row>
    <row r="5996" spans="3:13" hidden="1" outlineLevel="1" x14ac:dyDescent="0.2">
      <c r="C5996" s="139">
        <v>113.79999999999782</v>
      </c>
      <c r="D5996" s="28">
        <f t="shared" si="209"/>
        <v>910.39999999998258</v>
      </c>
      <c r="E5996" s="28">
        <f t="shared" si="210"/>
        <v>853.49999999998363</v>
      </c>
      <c r="F5996" s="28">
        <f t="shared" si="211"/>
        <v>835.49999999998363</v>
      </c>
      <c r="G5996" s="28">
        <f t="shared" si="212"/>
        <v>770.40899999999999</v>
      </c>
      <c r="H5996" s="28">
        <f t="shared" si="213"/>
        <v>806.68290000000002</v>
      </c>
      <c r="I5996" s="28">
        <f t="shared" si="214"/>
        <v>824.74980000000005</v>
      </c>
      <c r="J5996" s="28">
        <f t="shared" si="215"/>
        <v>838.85860000000002</v>
      </c>
      <c r="K5996" s="28">
        <f t="shared" si="216"/>
        <v>863.11890000000005</v>
      </c>
      <c r="L5996" s="4"/>
      <c r="M5996" s="241">
        <v>824.74980000000005</v>
      </c>
    </row>
    <row r="5997" spans="3:13" hidden="1" outlineLevel="1" x14ac:dyDescent="0.2">
      <c r="C5997" s="139">
        <v>113.89999999999782</v>
      </c>
      <c r="D5997" s="28">
        <f t="shared" si="209"/>
        <v>911.19999999998254</v>
      </c>
      <c r="E5997" s="28">
        <f t="shared" si="210"/>
        <v>854.24999999998363</v>
      </c>
      <c r="F5997" s="28">
        <f t="shared" si="211"/>
        <v>836.24999999998363</v>
      </c>
      <c r="G5997" s="28">
        <f t="shared" si="212"/>
        <v>771.37</v>
      </c>
      <c r="H5997" s="28">
        <f t="shared" si="213"/>
        <v>807.68730000000005</v>
      </c>
      <c r="I5997" s="28">
        <f t="shared" si="214"/>
        <v>825.76300000000003</v>
      </c>
      <c r="J5997" s="28">
        <f t="shared" si="215"/>
        <v>839.8913</v>
      </c>
      <c r="K5997" s="28">
        <f t="shared" si="216"/>
        <v>864.16669999999999</v>
      </c>
      <c r="L5997" s="4"/>
      <c r="M5997" s="241">
        <v>825.76300000000003</v>
      </c>
    </row>
    <row r="5998" spans="3:13" hidden="1" outlineLevel="1" x14ac:dyDescent="0.2">
      <c r="C5998" s="139">
        <v>113.99999999999781</v>
      </c>
      <c r="D5998" s="28">
        <f t="shared" si="209"/>
        <v>911.99999999998249</v>
      </c>
      <c r="E5998" s="28">
        <f t="shared" si="210"/>
        <v>854.99999999998363</v>
      </c>
      <c r="F5998" s="28">
        <f t="shared" si="211"/>
        <v>836.99999999998363</v>
      </c>
      <c r="G5998" s="28">
        <f t="shared" si="212"/>
        <v>771.37</v>
      </c>
      <c r="H5998" s="28">
        <f t="shared" si="213"/>
        <v>807.68730000000005</v>
      </c>
      <c r="I5998" s="28">
        <f t="shared" si="214"/>
        <v>825.76300000000003</v>
      </c>
      <c r="J5998" s="28">
        <f t="shared" si="215"/>
        <v>839.8913</v>
      </c>
      <c r="K5998" s="28">
        <f t="shared" si="216"/>
        <v>864.16669999999999</v>
      </c>
      <c r="L5998" s="4"/>
      <c r="M5998" s="241">
        <v>825.76300000000003</v>
      </c>
    </row>
    <row r="5999" spans="3:13" hidden="1" outlineLevel="1" x14ac:dyDescent="0.2">
      <c r="C5999" s="139">
        <v>114.09999999999781</v>
      </c>
      <c r="D5999" s="28">
        <f t="shared" si="209"/>
        <v>912.79999999998245</v>
      </c>
      <c r="E5999" s="28">
        <f t="shared" si="210"/>
        <v>855.74999999998352</v>
      </c>
      <c r="F5999" s="28">
        <f t="shared" si="211"/>
        <v>837.74999999998352</v>
      </c>
      <c r="G5999" s="28">
        <f t="shared" si="212"/>
        <v>772.34370000000001</v>
      </c>
      <c r="H5999" s="28">
        <f t="shared" si="213"/>
        <v>808.67899999999997</v>
      </c>
      <c r="I5999" s="28">
        <f t="shared" si="214"/>
        <v>826.77629999999999</v>
      </c>
      <c r="J5999" s="28">
        <f t="shared" si="215"/>
        <v>840.91</v>
      </c>
      <c r="K5999" s="28">
        <f t="shared" si="216"/>
        <v>865.21439999999996</v>
      </c>
      <c r="L5999" s="4"/>
      <c r="M5999" s="241">
        <v>826.77629999999999</v>
      </c>
    </row>
    <row r="6000" spans="3:13" hidden="1" outlineLevel="1" x14ac:dyDescent="0.2">
      <c r="C6000" s="139">
        <v>114.1999999999978</v>
      </c>
      <c r="D6000" s="28">
        <f t="shared" si="209"/>
        <v>913.5999999999824</v>
      </c>
      <c r="E6000" s="28">
        <f t="shared" si="210"/>
        <v>856.49999999998352</v>
      </c>
      <c r="F6000" s="28">
        <f t="shared" si="211"/>
        <v>838.49999999998352</v>
      </c>
      <c r="G6000" s="28">
        <f t="shared" si="212"/>
        <v>773.30489999999998</v>
      </c>
      <c r="H6000" s="28">
        <f t="shared" si="213"/>
        <v>809.67070000000001</v>
      </c>
      <c r="I6000" s="28">
        <f t="shared" si="214"/>
        <v>827.78970000000004</v>
      </c>
      <c r="J6000" s="28">
        <f t="shared" si="215"/>
        <v>841.94280000000003</v>
      </c>
      <c r="K6000" s="28">
        <f t="shared" si="216"/>
        <v>866.26220000000001</v>
      </c>
      <c r="L6000" s="4"/>
      <c r="M6000" s="241">
        <v>827.78970000000004</v>
      </c>
    </row>
    <row r="6001" spans="3:13" hidden="1" outlineLevel="1" x14ac:dyDescent="0.2">
      <c r="C6001" s="139">
        <v>114.29999999999779</v>
      </c>
      <c r="D6001" s="28">
        <f t="shared" si="209"/>
        <v>914.39999999998236</v>
      </c>
      <c r="E6001" s="28">
        <f t="shared" si="210"/>
        <v>857.2499999999834</v>
      </c>
      <c r="F6001" s="28">
        <f t="shared" si="211"/>
        <v>839.2499999999834</v>
      </c>
      <c r="G6001" s="28">
        <f t="shared" si="212"/>
        <v>774.27890000000002</v>
      </c>
      <c r="H6001" s="28">
        <f t="shared" si="213"/>
        <v>810.67529999999999</v>
      </c>
      <c r="I6001" s="28">
        <f t="shared" si="214"/>
        <v>828.7903</v>
      </c>
      <c r="J6001" s="28">
        <f t="shared" si="215"/>
        <v>842.96159999999998</v>
      </c>
      <c r="K6001" s="28">
        <f t="shared" si="216"/>
        <v>867.31</v>
      </c>
      <c r="L6001" s="4"/>
      <c r="M6001" s="241">
        <v>828.7903</v>
      </c>
    </row>
    <row r="6002" spans="3:13" hidden="1" outlineLevel="1" x14ac:dyDescent="0.2">
      <c r="C6002" s="139">
        <v>114.39999999999779</v>
      </c>
      <c r="D6002" s="28">
        <f t="shared" si="209"/>
        <v>915.19999999998231</v>
      </c>
      <c r="E6002" s="28">
        <f t="shared" si="210"/>
        <v>857.9999999999834</v>
      </c>
      <c r="F6002" s="28">
        <f t="shared" si="211"/>
        <v>839.9999999999834</v>
      </c>
      <c r="G6002" s="28">
        <f t="shared" si="212"/>
        <v>774.27890000000002</v>
      </c>
      <c r="H6002" s="28">
        <f t="shared" si="213"/>
        <v>810.67529999999999</v>
      </c>
      <c r="I6002" s="28">
        <f t="shared" si="214"/>
        <v>828.7903</v>
      </c>
      <c r="J6002" s="28">
        <f t="shared" si="215"/>
        <v>842.96159999999998</v>
      </c>
      <c r="K6002" s="28">
        <f t="shared" si="216"/>
        <v>867.31</v>
      </c>
      <c r="L6002" s="4"/>
      <c r="M6002" s="241">
        <v>828.7903</v>
      </c>
    </row>
    <row r="6003" spans="3:13" hidden="1" outlineLevel="1" x14ac:dyDescent="0.2">
      <c r="C6003" s="139">
        <v>114.49999999999778</v>
      </c>
      <c r="D6003" s="28">
        <f t="shared" si="209"/>
        <v>915.99999999998226</v>
      </c>
      <c r="E6003" s="28">
        <f t="shared" si="210"/>
        <v>858.7499999999834</v>
      </c>
      <c r="F6003" s="28">
        <f t="shared" si="211"/>
        <v>840.7499999999834</v>
      </c>
      <c r="G6003" s="28">
        <f t="shared" si="212"/>
        <v>775.24019999999996</v>
      </c>
      <c r="H6003" s="28">
        <f t="shared" si="213"/>
        <v>811.66719999999998</v>
      </c>
      <c r="I6003" s="28">
        <f t="shared" si="214"/>
        <v>829.80380000000002</v>
      </c>
      <c r="J6003" s="28">
        <f t="shared" si="215"/>
        <v>843.98040000000003</v>
      </c>
      <c r="K6003" s="28">
        <f t="shared" si="216"/>
        <v>868.3578</v>
      </c>
      <c r="L6003" s="4"/>
      <c r="M6003" s="241">
        <v>829.80380000000002</v>
      </c>
    </row>
    <row r="6004" spans="3:13" hidden="1" outlineLevel="1" x14ac:dyDescent="0.2">
      <c r="C6004" s="139">
        <v>114.59999999999778</v>
      </c>
      <c r="D6004" s="28">
        <f t="shared" si="209"/>
        <v>916.79999999998222</v>
      </c>
      <c r="E6004" s="28">
        <f t="shared" si="210"/>
        <v>859.49999999998329</v>
      </c>
      <c r="F6004" s="28">
        <f t="shared" si="211"/>
        <v>841.49999999998329</v>
      </c>
      <c r="G6004" s="28">
        <f t="shared" si="212"/>
        <v>776.21439999999996</v>
      </c>
      <c r="H6004" s="28">
        <f t="shared" si="213"/>
        <v>812.65909999999997</v>
      </c>
      <c r="I6004" s="28">
        <f t="shared" si="214"/>
        <v>830.81730000000005</v>
      </c>
      <c r="J6004" s="28">
        <f t="shared" si="215"/>
        <v>845.01340000000005</v>
      </c>
      <c r="K6004" s="28">
        <f t="shared" si="216"/>
        <v>869.41980000000001</v>
      </c>
      <c r="L6004" s="4"/>
      <c r="M6004" s="241">
        <v>830.81730000000005</v>
      </c>
    </row>
    <row r="6005" spans="3:13" hidden="1" outlineLevel="1" x14ac:dyDescent="0.2">
      <c r="C6005" s="139">
        <v>114.69999999999777</v>
      </c>
      <c r="D6005" s="28">
        <f t="shared" si="209"/>
        <v>917.59999999998217</v>
      </c>
      <c r="E6005" s="28">
        <f t="shared" si="210"/>
        <v>860.24999999998329</v>
      </c>
      <c r="F6005" s="28">
        <f t="shared" si="211"/>
        <v>842.24999999998329</v>
      </c>
      <c r="G6005" s="28">
        <f t="shared" si="212"/>
        <v>777.17589999999996</v>
      </c>
      <c r="H6005" s="28">
        <f t="shared" si="213"/>
        <v>813.66399999999999</v>
      </c>
      <c r="I6005" s="28">
        <f t="shared" si="214"/>
        <v>831.83090000000004</v>
      </c>
      <c r="J6005" s="28">
        <f t="shared" si="215"/>
        <v>846.03229999999996</v>
      </c>
      <c r="K6005" s="28">
        <f t="shared" si="216"/>
        <v>870.46770000000004</v>
      </c>
      <c r="L6005" s="4"/>
      <c r="M6005" s="241">
        <v>831.83090000000004</v>
      </c>
    </row>
    <row r="6006" spans="3:13" hidden="1" outlineLevel="1" x14ac:dyDescent="0.2">
      <c r="C6006" s="139">
        <v>114.79999999999777</v>
      </c>
      <c r="D6006" s="28">
        <f t="shared" si="209"/>
        <v>918.39999999998213</v>
      </c>
      <c r="E6006" s="28">
        <f t="shared" si="210"/>
        <v>860.99999999998329</v>
      </c>
      <c r="F6006" s="28">
        <f t="shared" si="211"/>
        <v>842.99999999998329</v>
      </c>
      <c r="G6006" s="28">
        <f t="shared" si="212"/>
        <v>777.17589999999996</v>
      </c>
      <c r="H6006" s="28">
        <f t="shared" si="213"/>
        <v>813.66399999999999</v>
      </c>
      <c r="I6006" s="28">
        <f t="shared" si="214"/>
        <v>831.83090000000004</v>
      </c>
      <c r="J6006" s="28">
        <f t="shared" si="215"/>
        <v>846.03229999999996</v>
      </c>
      <c r="K6006" s="28">
        <f t="shared" si="216"/>
        <v>870.46770000000004</v>
      </c>
      <c r="L6006" s="4"/>
      <c r="M6006" s="241">
        <v>831.83090000000004</v>
      </c>
    </row>
    <row r="6007" spans="3:13" hidden="1" outlineLevel="1" x14ac:dyDescent="0.2">
      <c r="C6007" s="139">
        <v>114.89999999999776</v>
      </c>
      <c r="D6007" s="28">
        <f t="shared" si="209"/>
        <v>919.19999999998208</v>
      </c>
      <c r="E6007" s="28">
        <f t="shared" si="210"/>
        <v>861.74999999998317</v>
      </c>
      <c r="F6007" s="28">
        <f t="shared" si="211"/>
        <v>843.74999999998317</v>
      </c>
      <c r="G6007" s="28">
        <f t="shared" si="212"/>
        <v>778.15039999999999</v>
      </c>
      <c r="H6007" s="28">
        <f t="shared" si="213"/>
        <v>814.65599999999995</v>
      </c>
      <c r="I6007" s="28">
        <f t="shared" si="214"/>
        <v>832.84450000000004</v>
      </c>
      <c r="J6007" s="28">
        <f t="shared" si="215"/>
        <v>847.06539999999995</v>
      </c>
      <c r="K6007" s="28">
        <f t="shared" si="216"/>
        <v>871.51570000000004</v>
      </c>
      <c r="L6007" s="4"/>
      <c r="M6007" s="241">
        <v>832.84450000000004</v>
      </c>
    </row>
    <row r="6008" spans="3:13" hidden="1" outlineLevel="1" x14ac:dyDescent="0.2">
      <c r="C6008" s="139">
        <v>114.99999999999775</v>
      </c>
      <c r="D6008" s="28">
        <f t="shared" si="209"/>
        <v>919.99999999998204</v>
      </c>
      <c r="E6008" s="28">
        <f t="shared" si="210"/>
        <v>862.49999999998317</v>
      </c>
      <c r="F6008" s="28">
        <f t="shared" si="211"/>
        <v>844.49999999998317</v>
      </c>
      <c r="G6008" s="28">
        <f t="shared" si="212"/>
        <v>779.11210000000005</v>
      </c>
      <c r="H6008" s="28">
        <f t="shared" si="213"/>
        <v>815.64819999999997</v>
      </c>
      <c r="I6008" s="28">
        <f t="shared" si="214"/>
        <v>833.85820000000001</v>
      </c>
      <c r="J6008" s="28">
        <f t="shared" si="215"/>
        <v>848.08439999999996</v>
      </c>
      <c r="K6008" s="28">
        <f t="shared" si="216"/>
        <v>872.56370000000004</v>
      </c>
      <c r="L6008" s="4"/>
      <c r="M6008" s="241">
        <v>833.85820000000001</v>
      </c>
    </row>
    <row r="6009" spans="3:13" hidden="1" outlineLevel="1" x14ac:dyDescent="0.2">
      <c r="C6009" s="139">
        <v>115.09999999999775</v>
      </c>
      <c r="D6009" s="28">
        <f t="shared" si="209"/>
        <v>920.79999999998199</v>
      </c>
      <c r="E6009" s="28">
        <f t="shared" si="210"/>
        <v>863.24999999998317</v>
      </c>
      <c r="F6009" s="28">
        <f t="shared" si="211"/>
        <v>845.24999999998317</v>
      </c>
      <c r="G6009" s="28">
        <f t="shared" si="212"/>
        <v>780.08680000000004</v>
      </c>
      <c r="H6009" s="28">
        <f t="shared" si="213"/>
        <v>816.65329999999994</v>
      </c>
      <c r="I6009" s="28">
        <f t="shared" si="214"/>
        <v>834.87199999999996</v>
      </c>
      <c r="J6009" s="28">
        <f t="shared" si="215"/>
        <v>849.11760000000004</v>
      </c>
      <c r="K6009" s="28">
        <f t="shared" si="216"/>
        <v>873.61170000000004</v>
      </c>
      <c r="L6009" s="4"/>
      <c r="M6009" s="241">
        <v>834.87199999999996</v>
      </c>
    </row>
    <row r="6010" spans="3:13" hidden="1" outlineLevel="1" x14ac:dyDescent="0.2">
      <c r="C6010" s="139">
        <v>115.19999999999774</v>
      </c>
      <c r="D6010" s="28">
        <f t="shared" si="209"/>
        <v>921.59999999998195</v>
      </c>
      <c r="E6010" s="28">
        <f t="shared" si="210"/>
        <v>863.99999999998306</v>
      </c>
      <c r="F6010" s="28">
        <f t="shared" si="211"/>
        <v>845.99999999998306</v>
      </c>
      <c r="G6010" s="28">
        <f t="shared" si="212"/>
        <v>780.08680000000004</v>
      </c>
      <c r="H6010" s="28">
        <f t="shared" si="213"/>
        <v>816.65329999999994</v>
      </c>
      <c r="I6010" s="28">
        <f t="shared" si="214"/>
        <v>834.87199999999996</v>
      </c>
      <c r="J6010" s="28">
        <f t="shared" si="215"/>
        <v>849.11760000000004</v>
      </c>
      <c r="K6010" s="28">
        <f t="shared" si="216"/>
        <v>873.61170000000004</v>
      </c>
      <c r="L6010" s="4"/>
      <c r="M6010" s="241">
        <v>834.87199999999996</v>
      </c>
    </row>
    <row r="6011" spans="3:13" hidden="1" outlineLevel="1" x14ac:dyDescent="0.2">
      <c r="C6011" s="139">
        <v>115.29999999999774</v>
      </c>
      <c r="D6011" s="28">
        <f t="shared" ref="D6011:D6074" si="217">C6011*Channels.per.TRX</f>
        <v>922.3999999999819</v>
      </c>
      <c r="E6011" s="28">
        <f t="shared" ref="E6011:E6074" si="218">D6011-C6011*sig.channel.per.TRX</f>
        <v>864.74999999998306</v>
      </c>
      <c r="F6011" s="28">
        <f t="shared" ref="F6011:F6074" si="219">MAX(0,E6011-GPRS.channel.per.sector)</f>
        <v>846.74999999998306</v>
      </c>
      <c r="G6011" s="28">
        <f t="shared" ref="G6011:G6074" si="220">INDEX(D$10:D$4326,MATCH($F6011,$C$10:$C$4326,1))</f>
        <v>781.04870000000005</v>
      </c>
      <c r="H6011" s="28">
        <f t="shared" ref="H6011:H6074" si="221">INDEX(E$10:E$4326,MATCH($F6011,$C$10:$C$4326,1))</f>
        <v>817.64549999999997</v>
      </c>
      <c r="I6011" s="28">
        <f t="shared" ref="I6011:I6074" si="222">INDEX(F$10:F$4326,MATCH($F6011,$C$10:$C$4326,1))</f>
        <v>835.88580000000002</v>
      </c>
      <c r="J6011" s="28">
        <f t="shared" ref="J6011:J6074" si="223">INDEX(G$10:G$4326,MATCH($F6011,$C$10:$C$4326,1))</f>
        <v>850.13670000000002</v>
      </c>
      <c r="K6011" s="28">
        <f t="shared" ref="K6011:K6074" si="224">INDEX(H$10:H$4326,MATCH($F6011,$C$10:$C$4326,1))</f>
        <v>874.65980000000002</v>
      </c>
      <c r="L6011" s="4"/>
      <c r="M6011" s="241">
        <v>835.88580000000002</v>
      </c>
    </row>
    <row r="6012" spans="3:13" hidden="1" outlineLevel="1" x14ac:dyDescent="0.2">
      <c r="C6012" s="139">
        <v>115.39999999999773</v>
      </c>
      <c r="D6012" s="28">
        <f t="shared" si="217"/>
        <v>923.19999999998186</v>
      </c>
      <c r="E6012" s="28">
        <f t="shared" si="218"/>
        <v>865.49999999998295</v>
      </c>
      <c r="F6012" s="28">
        <f t="shared" si="219"/>
        <v>847.49999999998295</v>
      </c>
      <c r="G6012" s="28">
        <f t="shared" si="220"/>
        <v>782.01070000000004</v>
      </c>
      <c r="H6012" s="28">
        <f t="shared" si="221"/>
        <v>818.63789999999995</v>
      </c>
      <c r="I6012" s="28">
        <f t="shared" si="222"/>
        <v>836.89970000000005</v>
      </c>
      <c r="J6012" s="28">
        <f t="shared" si="223"/>
        <v>851.17</v>
      </c>
      <c r="K6012" s="28">
        <f t="shared" si="224"/>
        <v>875.7079</v>
      </c>
      <c r="L6012" s="4"/>
      <c r="M6012" s="241">
        <v>836.89970000000005</v>
      </c>
    </row>
    <row r="6013" spans="3:13" hidden="1" outlineLevel="1" x14ac:dyDescent="0.2">
      <c r="C6013" s="139">
        <v>115.49999999999773</v>
      </c>
      <c r="D6013" s="28">
        <f t="shared" si="217"/>
        <v>923.99999999998181</v>
      </c>
      <c r="E6013" s="28">
        <f t="shared" si="218"/>
        <v>866.24999999998295</v>
      </c>
      <c r="F6013" s="28">
        <f t="shared" si="219"/>
        <v>848.24999999998295</v>
      </c>
      <c r="G6013" s="28">
        <f t="shared" si="220"/>
        <v>782.98569999999995</v>
      </c>
      <c r="H6013" s="28">
        <f t="shared" si="221"/>
        <v>819.64319999999998</v>
      </c>
      <c r="I6013" s="28">
        <f t="shared" si="222"/>
        <v>837.9008</v>
      </c>
      <c r="J6013" s="28">
        <f t="shared" si="223"/>
        <v>852.18910000000005</v>
      </c>
      <c r="K6013" s="28">
        <f t="shared" si="224"/>
        <v>876.77020000000005</v>
      </c>
      <c r="L6013" s="4"/>
      <c r="M6013" s="241">
        <v>837.9008</v>
      </c>
    </row>
    <row r="6014" spans="3:13" hidden="1" outlineLevel="1" x14ac:dyDescent="0.2">
      <c r="C6014" s="139">
        <v>115.59999999999772</v>
      </c>
      <c r="D6014" s="28">
        <f t="shared" si="217"/>
        <v>924.79999999998176</v>
      </c>
      <c r="E6014" s="28">
        <f t="shared" si="218"/>
        <v>866.99999999998295</v>
      </c>
      <c r="F6014" s="28">
        <f t="shared" si="219"/>
        <v>848.99999999998295</v>
      </c>
      <c r="G6014" s="28">
        <f t="shared" si="220"/>
        <v>782.98569999999995</v>
      </c>
      <c r="H6014" s="28">
        <f t="shared" si="221"/>
        <v>819.64319999999998</v>
      </c>
      <c r="I6014" s="28">
        <f t="shared" si="222"/>
        <v>837.9008</v>
      </c>
      <c r="J6014" s="28">
        <f t="shared" si="223"/>
        <v>852.18910000000005</v>
      </c>
      <c r="K6014" s="28">
        <f t="shared" si="224"/>
        <v>876.77020000000005</v>
      </c>
      <c r="L6014" s="4"/>
      <c r="M6014" s="241">
        <v>837.9008</v>
      </c>
    </row>
    <row r="6015" spans="3:13" hidden="1" outlineLevel="1" x14ac:dyDescent="0.2">
      <c r="C6015" s="139">
        <v>115.69999999999771</v>
      </c>
      <c r="D6015" s="28">
        <f t="shared" si="217"/>
        <v>925.59999999998172</v>
      </c>
      <c r="E6015" s="28">
        <f t="shared" si="218"/>
        <v>867.74999999998283</v>
      </c>
      <c r="F6015" s="28">
        <f t="shared" si="219"/>
        <v>849.74999999998283</v>
      </c>
      <c r="G6015" s="28">
        <f t="shared" si="220"/>
        <v>783.9479</v>
      </c>
      <c r="H6015" s="28">
        <f t="shared" si="221"/>
        <v>820.63570000000004</v>
      </c>
      <c r="I6015" s="28">
        <f t="shared" si="222"/>
        <v>838.91480000000001</v>
      </c>
      <c r="J6015" s="28">
        <f t="shared" si="223"/>
        <v>853.22260000000006</v>
      </c>
      <c r="K6015" s="28">
        <f t="shared" si="224"/>
        <v>877.8184</v>
      </c>
      <c r="L6015" s="4"/>
      <c r="M6015" s="241">
        <v>838.91480000000001</v>
      </c>
    </row>
    <row r="6016" spans="3:13" hidden="1" outlineLevel="1" x14ac:dyDescent="0.2">
      <c r="C6016" s="139">
        <v>115.79999999999771</v>
      </c>
      <c r="D6016" s="28">
        <f t="shared" si="217"/>
        <v>926.39999999998167</v>
      </c>
      <c r="E6016" s="28">
        <f t="shared" si="218"/>
        <v>868.49999999998283</v>
      </c>
      <c r="F6016" s="28">
        <f t="shared" si="219"/>
        <v>850.49999999998283</v>
      </c>
      <c r="G6016" s="28">
        <f t="shared" si="220"/>
        <v>784.92319999999995</v>
      </c>
      <c r="H6016" s="28">
        <f t="shared" si="221"/>
        <v>821.62819999999999</v>
      </c>
      <c r="I6016" s="28">
        <f t="shared" si="222"/>
        <v>839.92880000000002</v>
      </c>
      <c r="J6016" s="28">
        <f t="shared" si="223"/>
        <v>854.24180000000001</v>
      </c>
      <c r="K6016" s="28">
        <f t="shared" si="224"/>
        <v>878.86659999999995</v>
      </c>
      <c r="L6016" s="4"/>
      <c r="M6016" s="241">
        <v>839.92880000000002</v>
      </c>
    </row>
    <row r="6017" spans="3:13" hidden="1" outlineLevel="1" x14ac:dyDescent="0.2">
      <c r="C6017" s="139">
        <v>115.8999999999977</v>
      </c>
      <c r="D6017" s="28">
        <f t="shared" si="217"/>
        <v>927.19999999998163</v>
      </c>
      <c r="E6017" s="28">
        <f t="shared" si="218"/>
        <v>869.24999999998272</v>
      </c>
      <c r="F6017" s="28">
        <f t="shared" si="219"/>
        <v>851.24999999998272</v>
      </c>
      <c r="G6017" s="28">
        <f t="shared" si="220"/>
        <v>785.88559999999995</v>
      </c>
      <c r="H6017" s="28">
        <f t="shared" si="221"/>
        <v>822.62080000000003</v>
      </c>
      <c r="I6017" s="28">
        <f t="shared" si="222"/>
        <v>840.94290000000001</v>
      </c>
      <c r="J6017" s="28">
        <f t="shared" si="223"/>
        <v>855.26110000000006</v>
      </c>
      <c r="K6017" s="28">
        <f t="shared" si="224"/>
        <v>879.91489999999999</v>
      </c>
      <c r="L6017" s="4"/>
      <c r="M6017" s="241">
        <v>840.94290000000001</v>
      </c>
    </row>
    <row r="6018" spans="3:13" hidden="1" outlineLevel="1" x14ac:dyDescent="0.2">
      <c r="C6018" s="139">
        <v>115.9999999999977</v>
      </c>
      <c r="D6018" s="28">
        <f t="shared" si="217"/>
        <v>927.99999999998158</v>
      </c>
      <c r="E6018" s="28">
        <f t="shared" si="218"/>
        <v>869.99999999998272</v>
      </c>
      <c r="F6018" s="28">
        <f t="shared" si="219"/>
        <v>851.99999999998272</v>
      </c>
      <c r="G6018" s="28">
        <f t="shared" si="220"/>
        <v>785.88559999999995</v>
      </c>
      <c r="H6018" s="28">
        <f t="shared" si="221"/>
        <v>822.62080000000003</v>
      </c>
      <c r="I6018" s="28">
        <f t="shared" si="222"/>
        <v>840.94290000000001</v>
      </c>
      <c r="J6018" s="28">
        <f t="shared" si="223"/>
        <v>855.26110000000006</v>
      </c>
      <c r="K6018" s="28">
        <f t="shared" si="224"/>
        <v>879.91489999999999</v>
      </c>
      <c r="L6018" s="4"/>
      <c r="M6018" s="241">
        <v>840.94290000000001</v>
      </c>
    </row>
    <row r="6019" spans="3:13" hidden="1" outlineLevel="1" x14ac:dyDescent="0.2">
      <c r="C6019" s="139">
        <v>116.09999999999769</v>
      </c>
      <c r="D6019" s="28">
        <f t="shared" si="217"/>
        <v>928.79999999998154</v>
      </c>
      <c r="E6019" s="28">
        <f t="shared" si="218"/>
        <v>870.74999999998272</v>
      </c>
      <c r="F6019" s="28">
        <f t="shared" si="219"/>
        <v>852.74999999998272</v>
      </c>
      <c r="G6019" s="28">
        <f t="shared" si="220"/>
        <v>786.84810000000004</v>
      </c>
      <c r="H6019" s="28">
        <f t="shared" si="221"/>
        <v>823.62639999999999</v>
      </c>
      <c r="I6019" s="28">
        <f t="shared" si="222"/>
        <v>841.95709999999997</v>
      </c>
      <c r="J6019" s="28">
        <f t="shared" si="223"/>
        <v>856.29470000000003</v>
      </c>
      <c r="K6019" s="28">
        <f t="shared" si="224"/>
        <v>880.96310000000005</v>
      </c>
      <c r="L6019" s="4"/>
      <c r="M6019" s="241">
        <v>841.95709999999997</v>
      </c>
    </row>
    <row r="6020" spans="3:13" hidden="1" outlineLevel="1" x14ac:dyDescent="0.2">
      <c r="C6020" s="139">
        <v>116.19999999999769</v>
      </c>
      <c r="D6020" s="28">
        <f t="shared" si="217"/>
        <v>929.59999999998149</v>
      </c>
      <c r="E6020" s="28">
        <f t="shared" si="218"/>
        <v>871.49999999998261</v>
      </c>
      <c r="F6020" s="28">
        <f t="shared" si="219"/>
        <v>853.49999999998261</v>
      </c>
      <c r="G6020" s="28">
        <f t="shared" si="220"/>
        <v>787.82360000000006</v>
      </c>
      <c r="H6020" s="28">
        <f t="shared" si="221"/>
        <v>824.61919999999998</v>
      </c>
      <c r="I6020" s="28">
        <f t="shared" si="222"/>
        <v>842.97140000000002</v>
      </c>
      <c r="J6020" s="28">
        <f t="shared" si="223"/>
        <v>857.31410000000005</v>
      </c>
      <c r="K6020" s="28">
        <f t="shared" si="224"/>
        <v>882.01139999999998</v>
      </c>
      <c r="L6020" s="4"/>
      <c r="M6020" s="241">
        <v>842.97140000000002</v>
      </c>
    </row>
    <row r="6021" spans="3:13" hidden="1" outlineLevel="1" x14ac:dyDescent="0.2">
      <c r="C6021" s="139">
        <v>116.29999999999768</v>
      </c>
      <c r="D6021" s="28">
        <f t="shared" si="217"/>
        <v>930.39999999998145</v>
      </c>
      <c r="E6021" s="28">
        <f t="shared" si="218"/>
        <v>872.24999999998261</v>
      </c>
      <c r="F6021" s="28">
        <f t="shared" si="219"/>
        <v>854.24999999998261</v>
      </c>
      <c r="G6021" s="28">
        <f t="shared" si="220"/>
        <v>788.78629999999998</v>
      </c>
      <c r="H6021" s="28">
        <f t="shared" si="221"/>
        <v>825.61199999999997</v>
      </c>
      <c r="I6021" s="28">
        <f t="shared" si="222"/>
        <v>843.97260000000006</v>
      </c>
      <c r="J6021" s="28">
        <f t="shared" si="223"/>
        <v>858.34780000000001</v>
      </c>
      <c r="K6021" s="28">
        <f t="shared" si="224"/>
        <v>883.0598</v>
      </c>
      <c r="L6021" s="4"/>
      <c r="M6021" s="241">
        <v>843.97260000000006</v>
      </c>
    </row>
    <row r="6022" spans="3:13" hidden="1" outlineLevel="1" x14ac:dyDescent="0.2">
      <c r="C6022" s="139">
        <v>116.39999999999768</v>
      </c>
      <c r="D6022" s="28">
        <f t="shared" si="217"/>
        <v>931.1999999999814</v>
      </c>
      <c r="E6022" s="28">
        <f t="shared" si="218"/>
        <v>872.99999999998261</v>
      </c>
      <c r="F6022" s="28">
        <f t="shared" si="219"/>
        <v>854.99999999998261</v>
      </c>
      <c r="G6022" s="28">
        <f t="shared" si="220"/>
        <v>788.78629999999998</v>
      </c>
      <c r="H6022" s="28">
        <f t="shared" si="221"/>
        <v>825.61199999999997</v>
      </c>
      <c r="I6022" s="28">
        <f t="shared" si="222"/>
        <v>843.97260000000006</v>
      </c>
      <c r="J6022" s="28">
        <f t="shared" si="223"/>
        <v>858.34780000000001</v>
      </c>
      <c r="K6022" s="28">
        <f t="shared" si="224"/>
        <v>883.0598</v>
      </c>
      <c r="L6022" s="4"/>
      <c r="M6022" s="241">
        <v>843.97260000000006</v>
      </c>
    </row>
    <row r="6023" spans="3:13" hidden="1" outlineLevel="1" x14ac:dyDescent="0.2">
      <c r="C6023" s="139">
        <v>116.49999999999767</v>
      </c>
      <c r="D6023" s="28">
        <f t="shared" si="217"/>
        <v>931.99999999998136</v>
      </c>
      <c r="E6023" s="28">
        <f t="shared" si="218"/>
        <v>873.74999999998249</v>
      </c>
      <c r="F6023" s="28">
        <f t="shared" si="219"/>
        <v>855.74999999998249</v>
      </c>
      <c r="G6023" s="28">
        <f t="shared" si="220"/>
        <v>789.76220000000001</v>
      </c>
      <c r="H6023" s="28">
        <f t="shared" si="221"/>
        <v>826.61789999999996</v>
      </c>
      <c r="I6023" s="28">
        <f t="shared" si="222"/>
        <v>844.98699999999997</v>
      </c>
      <c r="J6023" s="28">
        <f t="shared" si="223"/>
        <v>859.36720000000003</v>
      </c>
      <c r="K6023" s="28">
        <f t="shared" si="224"/>
        <v>884.10820000000001</v>
      </c>
      <c r="L6023" s="4"/>
      <c r="M6023" s="241">
        <v>844.98699999999997</v>
      </c>
    </row>
    <row r="6024" spans="3:13" hidden="1" outlineLevel="1" x14ac:dyDescent="0.2">
      <c r="C6024" s="139">
        <v>116.59999999999766</v>
      </c>
      <c r="D6024" s="28">
        <f t="shared" si="217"/>
        <v>932.79999999998131</v>
      </c>
      <c r="E6024" s="28">
        <f t="shared" si="218"/>
        <v>874.49999999998249</v>
      </c>
      <c r="F6024" s="28">
        <f t="shared" si="219"/>
        <v>856.49999999998249</v>
      </c>
      <c r="G6024" s="28">
        <f t="shared" si="220"/>
        <v>790.72500000000002</v>
      </c>
      <c r="H6024" s="28">
        <f t="shared" si="221"/>
        <v>827.61080000000004</v>
      </c>
      <c r="I6024" s="28">
        <f t="shared" si="222"/>
        <v>846.00139999999999</v>
      </c>
      <c r="J6024" s="28">
        <f t="shared" si="223"/>
        <v>860.40110000000004</v>
      </c>
      <c r="K6024" s="28">
        <f t="shared" si="224"/>
        <v>885.15660000000003</v>
      </c>
      <c r="L6024" s="4"/>
      <c r="M6024" s="241">
        <v>846.00139999999999</v>
      </c>
    </row>
    <row r="6025" spans="3:13" hidden="1" outlineLevel="1" x14ac:dyDescent="0.2">
      <c r="C6025" s="139">
        <v>116.69999999999766</v>
      </c>
      <c r="D6025" s="28">
        <f t="shared" si="217"/>
        <v>933.59999999998126</v>
      </c>
      <c r="E6025" s="28">
        <f t="shared" si="218"/>
        <v>875.24999999998249</v>
      </c>
      <c r="F6025" s="28">
        <f t="shared" si="219"/>
        <v>857.24999999998249</v>
      </c>
      <c r="G6025" s="28">
        <f t="shared" si="220"/>
        <v>791.68799999999999</v>
      </c>
      <c r="H6025" s="28">
        <f t="shared" si="221"/>
        <v>828.60379999999998</v>
      </c>
      <c r="I6025" s="28">
        <f t="shared" si="222"/>
        <v>847.01589999999999</v>
      </c>
      <c r="J6025" s="28">
        <f t="shared" si="223"/>
        <v>861.42060000000004</v>
      </c>
      <c r="K6025" s="28">
        <f t="shared" si="224"/>
        <v>886.21939999999995</v>
      </c>
      <c r="L6025" s="4"/>
      <c r="M6025" s="241">
        <v>847.01589999999999</v>
      </c>
    </row>
    <row r="6026" spans="3:13" hidden="1" outlineLevel="1" x14ac:dyDescent="0.2">
      <c r="C6026" s="139">
        <v>116.79999999999765</v>
      </c>
      <c r="D6026" s="28">
        <f t="shared" si="217"/>
        <v>934.39999999998122</v>
      </c>
      <c r="E6026" s="28">
        <f t="shared" si="218"/>
        <v>875.99999999998238</v>
      </c>
      <c r="F6026" s="28">
        <f t="shared" si="219"/>
        <v>857.99999999998238</v>
      </c>
      <c r="G6026" s="28">
        <f t="shared" si="220"/>
        <v>791.68799999999999</v>
      </c>
      <c r="H6026" s="28">
        <f t="shared" si="221"/>
        <v>828.60379999999998</v>
      </c>
      <c r="I6026" s="28">
        <f t="shared" si="222"/>
        <v>847.01589999999999</v>
      </c>
      <c r="J6026" s="28">
        <f t="shared" si="223"/>
        <v>861.42060000000004</v>
      </c>
      <c r="K6026" s="28">
        <f t="shared" si="224"/>
        <v>886.21939999999995</v>
      </c>
      <c r="L6026" s="4"/>
      <c r="M6026" s="241">
        <v>847.01589999999999</v>
      </c>
    </row>
    <row r="6027" spans="3:13" hidden="1" outlineLevel="1" x14ac:dyDescent="0.2">
      <c r="C6027" s="139">
        <v>116.89999999999765</v>
      </c>
      <c r="D6027" s="28">
        <f t="shared" si="217"/>
        <v>935.19999999998117</v>
      </c>
      <c r="E6027" s="28">
        <f t="shared" si="218"/>
        <v>876.74999999998238</v>
      </c>
      <c r="F6027" s="28">
        <f t="shared" si="219"/>
        <v>858.74999999998238</v>
      </c>
      <c r="G6027" s="28">
        <f t="shared" si="220"/>
        <v>792.66420000000005</v>
      </c>
      <c r="H6027" s="28">
        <f t="shared" si="221"/>
        <v>829.59680000000003</v>
      </c>
      <c r="I6027" s="28">
        <f t="shared" si="222"/>
        <v>848.03039999999999</v>
      </c>
      <c r="J6027" s="28">
        <f t="shared" si="223"/>
        <v>862.4402</v>
      </c>
      <c r="K6027" s="28">
        <f t="shared" si="224"/>
        <v>887.26790000000005</v>
      </c>
      <c r="L6027" s="4"/>
      <c r="M6027" s="241">
        <v>848.03039999999999</v>
      </c>
    </row>
    <row r="6028" spans="3:13" hidden="1" outlineLevel="1" x14ac:dyDescent="0.2">
      <c r="C6028" s="139">
        <v>116.99999999999764</v>
      </c>
      <c r="D6028" s="28">
        <f t="shared" si="217"/>
        <v>935.99999999998113</v>
      </c>
      <c r="E6028" s="28">
        <f t="shared" si="218"/>
        <v>877.49999999998226</v>
      </c>
      <c r="F6028" s="28">
        <f t="shared" si="219"/>
        <v>859.49999999998226</v>
      </c>
      <c r="G6028" s="28">
        <f t="shared" si="220"/>
        <v>793.62729999999999</v>
      </c>
      <c r="H6028" s="28">
        <f t="shared" si="221"/>
        <v>830.60299999999995</v>
      </c>
      <c r="I6028" s="28">
        <f t="shared" si="222"/>
        <v>849.04499999999996</v>
      </c>
      <c r="J6028" s="28">
        <f t="shared" si="223"/>
        <v>863.4742</v>
      </c>
      <c r="K6028" s="28">
        <f t="shared" si="224"/>
        <v>888.31640000000004</v>
      </c>
      <c r="L6028" s="4"/>
      <c r="M6028" s="241">
        <v>849.04499999999996</v>
      </c>
    </row>
    <row r="6029" spans="3:13" hidden="1" outlineLevel="1" x14ac:dyDescent="0.2">
      <c r="C6029" s="139">
        <v>117.09999999999764</v>
      </c>
      <c r="D6029" s="28">
        <f t="shared" si="217"/>
        <v>936.79999999998108</v>
      </c>
      <c r="E6029" s="28">
        <f t="shared" si="218"/>
        <v>878.24999999998226</v>
      </c>
      <c r="F6029" s="28">
        <f t="shared" si="219"/>
        <v>860.24999999998226</v>
      </c>
      <c r="G6029" s="28">
        <f t="shared" si="220"/>
        <v>794.59059999999999</v>
      </c>
      <c r="H6029" s="28">
        <f t="shared" si="221"/>
        <v>831.59619999999995</v>
      </c>
      <c r="I6029" s="28">
        <f t="shared" si="222"/>
        <v>850.04650000000004</v>
      </c>
      <c r="J6029" s="28">
        <f t="shared" si="223"/>
        <v>864.49379999999996</v>
      </c>
      <c r="K6029" s="28">
        <f t="shared" si="224"/>
        <v>889.36500000000001</v>
      </c>
      <c r="L6029" s="4"/>
      <c r="M6029" s="241">
        <v>850.04650000000004</v>
      </c>
    </row>
    <row r="6030" spans="3:13" hidden="1" outlineLevel="1" x14ac:dyDescent="0.2">
      <c r="C6030" s="139">
        <v>117.19999999999763</v>
      </c>
      <c r="D6030" s="28">
        <f t="shared" si="217"/>
        <v>937.59999999998104</v>
      </c>
      <c r="E6030" s="28">
        <f t="shared" si="218"/>
        <v>878.99999999998226</v>
      </c>
      <c r="F6030" s="28">
        <f t="shared" si="219"/>
        <v>860.99999999998226</v>
      </c>
      <c r="G6030" s="28">
        <f t="shared" si="220"/>
        <v>794.59059999999999</v>
      </c>
      <c r="H6030" s="28">
        <f t="shared" si="221"/>
        <v>831.59619999999995</v>
      </c>
      <c r="I6030" s="28">
        <f t="shared" si="222"/>
        <v>850.04650000000004</v>
      </c>
      <c r="J6030" s="28">
        <f t="shared" si="223"/>
        <v>864.49379999999996</v>
      </c>
      <c r="K6030" s="28">
        <f t="shared" si="224"/>
        <v>889.36500000000001</v>
      </c>
      <c r="L6030" s="4"/>
      <c r="M6030" s="241">
        <v>850.04650000000004</v>
      </c>
    </row>
    <row r="6031" spans="3:13" hidden="1" outlineLevel="1" x14ac:dyDescent="0.2">
      <c r="C6031" s="139">
        <v>117.29999999999762</v>
      </c>
      <c r="D6031" s="28">
        <f t="shared" si="217"/>
        <v>938.39999999998099</v>
      </c>
      <c r="E6031" s="28">
        <f t="shared" si="218"/>
        <v>879.74999999998215</v>
      </c>
      <c r="F6031" s="28">
        <f t="shared" si="219"/>
        <v>861.74999999998215</v>
      </c>
      <c r="G6031" s="28">
        <f t="shared" si="220"/>
        <v>795.56709999999998</v>
      </c>
      <c r="H6031" s="28">
        <f t="shared" si="221"/>
        <v>832.58950000000004</v>
      </c>
      <c r="I6031" s="28">
        <f t="shared" si="222"/>
        <v>851.06119999999999</v>
      </c>
      <c r="J6031" s="28">
        <f t="shared" si="223"/>
        <v>865.52790000000005</v>
      </c>
      <c r="K6031" s="28">
        <f t="shared" si="224"/>
        <v>890.41359999999997</v>
      </c>
      <c r="L6031" s="4"/>
      <c r="M6031" s="241">
        <v>851.06119999999999</v>
      </c>
    </row>
    <row r="6032" spans="3:13" hidden="1" outlineLevel="1" x14ac:dyDescent="0.2">
      <c r="C6032" s="139">
        <v>117.39999999999762</v>
      </c>
      <c r="D6032" s="28">
        <f t="shared" si="217"/>
        <v>939.19999999998095</v>
      </c>
      <c r="E6032" s="28">
        <f t="shared" si="218"/>
        <v>880.49999999998215</v>
      </c>
      <c r="F6032" s="28">
        <f t="shared" si="219"/>
        <v>862.49999999998215</v>
      </c>
      <c r="G6032" s="28">
        <f t="shared" si="220"/>
        <v>796.53060000000005</v>
      </c>
      <c r="H6032" s="28">
        <f t="shared" si="221"/>
        <v>833.58280000000002</v>
      </c>
      <c r="I6032" s="28">
        <f t="shared" si="222"/>
        <v>852.07600000000002</v>
      </c>
      <c r="J6032" s="28">
        <f t="shared" si="223"/>
        <v>866.54769999999996</v>
      </c>
      <c r="K6032" s="28">
        <f t="shared" si="224"/>
        <v>891.46220000000005</v>
      </c>
      <c r="L6032" s="4"/>
      <c r="M6032" s="241">
        <v>852.07600000000002</v>
      </c>
    </row>
    <row r="6033" spans="3:13" hidden="1" outlineLevel="1" x14ac:dyDescent="0.2">
      <c r="C6033" s="139">
        <v>117.49999999999761</v>
      </c>
      <c r="D6033" s="28">
        <f t="shared" si="217"/>
        <v>939.9999999999809</v>
      </c>
      <c r="E6033" s="28">
        <f t="shared" si="218"/>
        <v>881.24999999998204</v>
      </c>
      <c r="F6033" s="28">
        <f t="shared" si="219"/>
        <v>863.24999999998204</v>
      </c>
      <c r="G6033" s="28">
        <f t="shared" si="220"/>
        <v>797.50729999999999</v>
      </c>
      <c r="H6033" s="28">
        <f t="shared" si="221"/>
        <v>834.58929999999998</v>
      </c>
      <c r="I6033" s="28">
        <f t="shared" si="222"/>
        <v>853.09079999999994</v>
      </c>
      <c r="J6033" s="28">
        <f t="shared" si="223"/>
        <v>867.56740000000002</v>
      </c>
      <c r="K6033" s="28">
        <f t="shared" si="224"/>
        <v>892.51089999999999</v>
      </c>
      <c r="L6033" s="4"/>
      <c r="M6033" s="241">
        <v>853.09079999999994</v>
      </c>
    </row>
    <row r="6034" spans="3:13" hidden="1" outlineLevel="1" x14ac:dyDescent="0.2">
      <c r="C6034" s="139">
        <v>117.59999999999761</v>
      </c>
      <c r="D6034" s="28">
        <f t="shared" si="217"/>
        <v>940.79999999998086</v>
      </c>
      <c r="E6034" s="28">
        <f t="shared" si="218"/>
        <v>881.99999999998204</v>
      </c>
      <c r="F6034" s="28">
        <f t="shared" si="219"/>
        <v>863.99999999998204</v>
      </c>
      <c r="G6034" s="28">
        <f t="shared" si="220"/>
        <v>797.50729999999999</v>
      </c>
      <c r="H6034" s="28">
        <f t="shared" si="221"/>
        <v>834.58929999999998</v>
      </c>
      <c r="I6034" s="28">
        <f t="shared" si="222"/>
        <v>853.09079999999994</v>
      </c>
      <c r="J6034" s="28">
        <f t="shared" si="223"/>
        <v>867.56740000000002</v>
      </c>
      <c r="K6034" s="28">
        <f t="shared" si="224"/>
        <v>892.51089999999999</v>
      </c>
      <c r="L6034" s="4"/>
      <c r="M6034" s="241">
        <v>853.09079999999994</v>
      </c>
    </row>
    <row r="6035" spans="3:13" hidden="1" outlineLevel="1" x14ac:dyDescent="0.2">
      <c r="C6035" s="139">
        <v>117.6999999999976</v>
      </c>
      <c r="D6035" s="28">
        <f t="shared" si="217"/>
        <v>941.59999999998081</v>
      </c>
      <c r="E6035" s="28">
        <f t="shared" si="218"/>
        <v>882.74999999998204</v>
      </c>
      <c r="F6035" s="28">
        <f t="shared" si="219"/>
        <v>864.74999999998204</v>
      </c>
      <c r="G6035" s="28">
        <f t="shared" si="220"/>
        <v>798.47090000000003</v>
      </c>
      <c r="H6035" s="28">
        <f t="shared" si="221"/>
        <v>835.58280000000002</v>
      </c>
      <c r="I6035" s="28">
        <f t="shared" si="222"/>
        <v>854.10569999999996</v>
      </c>
      <c r="J6035" s="28">
        <f t="shared" si="223"/>
        <v>868.60170000000005</v>
      </c>
      <c r="K6035" s="28">
        <f t="shared" si="224"/>
        <v>893.55960000000005</v>
      </c>
      <c r="L6035" s="4"/>
      <c r="M6035" s="241">
        <v>854.10569999999996</v>
      </c>
    </row>
    <row r="6036" spans="3:13" hidden="1" outlineLevel="1" x14ac:dyDescent="0.2">
      <c r="C6036" s="139">
        <v>117.7999999999976</v>
      </c>
      <c r="D6036" s="28">
        <f t="shared" si="217"/>
        <v>942.39999999998076</v>
      </c>
      <c r="E6036" s="28">
        <f t="shared" si="218"/>
        <v>883.49999999998192</v>
      </c>
      <c r="F6036" s="28">
        <f t="shared" si="219"/>
        <v>865.49999999998192</v>
      </c>
      <c r="G6036" s="28">
        <f t="shared" si="220"/>
        <v>799.43470000000002</v>
      </c>
      <c r="H6036" s="28">
        <f t="shared" si="221"/>
        <v>836.57629999999995</v>
      </c>
      <c r="I6036" s="28">
        <f t="shared" si="222"/>
        <v>855.10749999999996</v>
      </c>
      <c r="J6036" s="28">
        <f t="shared" si="223"/>
        <v>869.62159999999994</v>
      </c>
      <c r="K6036" s="28">
        <f t="shared" si="224"/>
        <v>894.60829999999999</v>
      </c>
      <c r="L6036" s="4"/>
      <c r="M6036" s="241">
        <v>855.10749999999996</v>
      </c>
    </row>
    <row r="6037" spans="3:13" hidden="1" outlineLevel="1" x14ac:dyDescent="0.2">
      <c r="C6037" s="139">
        <v>117.89999999999759</v>
      </c>
      <c r="D6037" s="28">
        <f t="shared" si="217"/>
        <v>943.19999999998072</v>
      </c>
      <c r="E6037" s="28">
        <f t="shared" si="218"/>
        <v>884.24999999998192</v>
      </c>
      <c r="F6037" s="28">
        <f t="shared" si="219"/>
        <v>866.24999999998192</v>
      </c>
      <c r="G6037" s="28">
        <f t="shared" si="220"/>
        <v>800.41179999999997</v>
      </c>
      <c r="H6037" s="28">
        <f t="shared" si="221"/>
        <v>837.56979999999999</v>
      </c>
      <c r="I6037" s="28">
        <f t="shared" si="222"/>
        <v>856.12249999999995</v>
      </c>
      <c r="J6037" s="28">
        <f t="shared" si="223"/>
        <v>870.65599999999995</v>
      </c>
      <c r="K6037" s="28">
        <f t="shared" si="224"/>
        <v>895.65710000000001</v>
      </c>
      <c r="L6037" s="4"/>
      <c r="M6037" s="241">
        <v>856.12249999999995</v>
      </c>
    </row>
    <row r="6038" spans="3:13" hidden="1" outlineLevel="1" x14ac:dyDescent="0.2">
      <c r="C6038" s="139">
        <v>117.99999999999758</v>
      </c>
      <c r="D6038" s="28">
        <f t="shared" si="217"/>
        <v>943.99999999998067</v>
      </c>
      <c r="E6038" s="28">
        <f t="shared" si="218"/>
        <v>884.99999999998192</v>
      </c>
      <c r="F6038" s="28">
        <f t="shared" si="219"/>
        <v>866.99999999998192</v>
      </c>
      <c r="G6038" s="28">
        <f t="shared" si="220"/>
        <v>800.41179999999997</v>
      </c>
      <c r="H6038" s="28">
        <f t="shared" si="221"/>
        <v>837.56979999999999</v>
      </c>
      <c r="I6038" s="28">
        <f t="shared" si="222"/>
        <v>856.12249999999995</v>
      </c>
      <c r="J6038" s="28">
        <f t="shared" si="223"/>
        <v>870.65599999999995</v>
      </c>
      <c r="K6038" s="28">
        <f t="shared" si="224"/>
        <v>895.65710000000001</v>
      </c>
      <c r="L6038" s="4"/>
      <c r="M6038" s="241">
        <v>856.12249999999995</v>
      </c>
    </row>
    <row r="6039" spans="3:13" hidden="1" outlineLevel="1" x14ac:dyDescent="0.2">
      <c r="C6039" s="139">
        <v>118.09999999999758</v>
      </c>
      <c r="D6039" s="28">
        <f t="shared" si="217"/>
        <v>944.79999999998063</v>
      </c>
      <c r="E6039" s="28">
        <f t="shared" si="218"/>
        <v>885.74999999998181</v>
      </c>
      <c r="F6039" s="28">
        <f t="shared" si="219"/>
        <v>867.74999999998181</v>
      </c>
      <c r="G6039" s="28">
        <f t="shared" si="220"/>
        <v>801.37570000000005</v>
      </c>
      <c r="H6039" s="28">
        <f t="shared" si="221"/>
        <v>838.56349999999998</v>
      </c>
      <c r="I6039" s="28">
        <f t="shared" si="222"/>
        <v>857.13750000000005</v>
      </c>
      <c r="J6039" s="28">
        <f t="shared" si="223"/>
        <v>871.67589999999996</v>
      </c>
      <c r="K6039" s="28">
        <f t="shared" si="224"/>
        <v>896.70590000000004</v>
      </c>
      <c r="L6039" s="4"/>
      <c r="M6039" s="241">
        <v>857.13750000000005</v>
      </c>
    </row>
    <row r="6040" spans="3:13" hidden="1" outlineLevel="1" x14ac:dyDescent="0.2">
      <c r="C6040" s="139">
        <v>118.19999999999757</v>
      </c>
      <c r="D6040" s="28">
        <f t="shared" si="217"/>
        <v>945.59999999998058</v>
      </c>
      <c r="E6040" s="28">
        <f t="shared" si="218"/>
        <v>886.49999999998181</v>
      </c>
      <c r="F6040" s="28">
        <f t="shared" si="219"/>
        <v>868.49999999998181</v>
      </c>
      <c r="G6040" s="28">
        <f t="shared" si="220"/>
        <v>802.33979999999997</v>
      </c>
      <c r="H6040" s="28">
        <f t="shared" si="221"/>
        <v>839.57039999999995</v>
      </c>
      <c r="I6040" s="28">
        <f t="shared" si="222"/>
        <v>858.15260000000001</v>
      </c>
      <c r="J6040" s="28">
        <f t="shared" si="223"/>
        <v>872.69590000000005</v>
      </c>
      <c r="K6040" s="28">
        <f t="shared" si="224"/>
        <v>897.76930000000004</v>
      </c>
      <c r="L6040" s="4"/>
      <c r="M6040" s="241">
        <v>858.15260000000001</v>
      </c>
    </row>
    <row r="6041" spans="3:13" hidden="1" outlineLevel="1" x14ac:dyDescent="0.2">
      <c r="C6041" s="139">
        <v>118.29999999999757</v>
      </c>
      <c r="D6041" s="28">
        <f t="shared" si="217"/>
        <v>946.39999999998054</v>
      </c>
      <c r="E6041" s="28">
        <f t="shared" si="218"/>
        <v>887.24999999998181</v>
      </c>
      <c r="F6041" s="28">
        <f t="shared" si="219"/>
        <v>869.24999999998181</v>
      </c>
      <c r="G6041" s="28">
        <f t="shared" si="220"/>
        <v>803.3039</v>
      </c>
      <c r="H6041" s="28">
        <f t="shared" si="221"/>
        <v>840.56420000000003</v>
      </c>
      <c r="I6041" s="28">
        <f t="shared" si="222"/>
        <v>859.16780000000006</v>
      </c>
      <c r="J6041" s="28">
        <f t="shared" si="223"/>
        <v>873.73050000000001</v>
      </c>
      <c r="K6041" s="28">
        <f t="shared" si="224"/>
        <v>898.81820000000005</v>
      </c>
      <c r="L6041" s="4"/>
      <c r="M6041" s="241">
        <v>859.16780000000006</v>
      </c>
    </row>
    <row r="6042" spans="3:13" hidden="1" outlineLevel="1" x14ac:dyDescent="0.2">
      <c r="C6042" s="139">
        <v>118.39999999999756</v>
      </c>
      <c r="D6042" s="28">
        <f t="shared" si="217"/>
        <v>947.19999999998049</v>
      </c>
      <c r="E6042" s="28">
        <f t="shared" si="218"/>
        <v>887.9999999999817</v>
      </c>
      <c r="F6042" s="28">
        <f t="shared" si="219"/>
        <v>869.9999999999817</v>
      </c>
      <c r="G6042" s="28">
        <f t="shared" si="220"/>
        <v>803.3039</v>
      </c>
      <c r="H6042" s="28">
        <f t="shared" si="221"/>
        <v>840.56420000000003</v>
      </c>
      <c r="I6042" s="28">
        <f t="shared" si="222"/>
        <v>859.16780000000006</v>
      </c>
      <c r="J6042" s="28">
        <f t="shared" si="223"/>
        <v>873.73050000000001</v>
      </c>
      <c r="K6042" s="28">
        <f t="shared" si="224"/>
        <v>898.81820000000005</v>
      </c>
      <c r="L6042" s="4"/>
      <c r="M6042" s="241">
        <v>859.16780000000006</v>
      </c>
    </row>
    <row r="6043" spans="3:13" hidden="1" outlineLevel="1" x14ac:dyDescent="0.2">
      <c r="C6043" s="139">
        <v>118.49999999999756</v>
      </c>
      <c r="D6043" s="28">
        <f t="shared" si="217"/>
        <v>947.99999999998045</v>
      </c>
      <c r="E6043" s="28">
        <f t="shared" si="218"/>
        <v>888.7499999999817</v>
      </c>
      <c r="F6043" s="28">
        <f t="shared" si="219"/>
        <v>870.7499999999817</v>
      </c>
      <c r="G6043" s="28">
        <f t="shared" si="220"/>
        <v>804.28139999999996</v>
      </c>
      <c r="H6043" s="28">
        <f t="shared" si="221"/>
        <v>841.55799999999999</v>
      </c>
      <c r="I6043" s="28">
        <f t="shared" si="222"/>
        <v>860.16980000000001</v>
      </c>
      <c r="J6043" s="28">
        <f t="shared" si="223"/>
        <v>874.75049999999999</v>
      </c>
      <c r="K6043" s="28">
        <f t="shared" si="224"/>
        <v>899.86710000000005</v>
      </c>
      <c r="L6043" s="4"/>
      <c r="M6043" s="241">
        <v>860.16980000000001</v>
      </c>
    </row>
    <row r="6044" spans="3:13" hidden="1" outlineLevel="1" x14ac:dyDescent="0.2">
      <c r="C6044" s="139">
        <v>118.59999999999755</v>
      </c>
      <c r="D6044" s="28">
        <f t="shared" si="217"/>
        <v>948.7999999999804</v>
      </c>
      <c r="E6044" s="28">
        <f t="shared" si="218"/>
        <v>889.49999999998158</v>
      </c>
      <c r="F6044" s="28">
        <f t="shared" si="219"/>
        <v>871.49999999998158</v>
      </c>
      <c r="G6044" s="28">
        <f t="shared" si="220"/>
        <v>805.24570000000006</v>
      </c>
      <c r="H6044" s="28">
        <f t="shared" si="221"/>
        <v>842.55190000000005</v>
      </c>
      <c r="I6044" s="28">
        <f t="shared" si="222"/>
        <v>861.18499999999995</v>
      </c>
      <c r="J6044" s="28">
        <f t="shared" si="223"/>
        <v>875.78520000000003</v>
      </c>
      <c r="K6044" s="28">
        <f t="shared" si="224"/>
        <v>900.91600000000005</v>
      </c>
      <c r="L6044" s="4"/>
      <c r="M6044" s="241">
        <v>861.18499999999995</v>
      </c>
    </row>
    <row r="6045" spans="3:13" hidden="1" outlineLevel="1" x14ac:dyDescent="0.2">
      <c r="C6045" s="139">
        <v>118.69999999999754</v>
      </c>
      <c r="D6045" s="28">
        <f t="shared" si="217"/>
        <v>949.59999999998035</v>
      </c>
      <c r="E6045" s="28">
        <f t="shared" si="218"/>
        <v>890.24999999998158</v>
      </c>
      <c r="F6045" s="28">
        <f t="shared" si="219"/>
        <v>872.24999999998158</v>
      </c>
      <c r="G6045" s="28">
        <f t="shared" si="220"/>
        <v>806.21010000000001</v>
      </c>
      <c r="H6045" s="28">
        <f t="shared" si="221"/>
        <v>843.54579999999999</v>
      </c>
      <c r="I6045" s="28">
        <f t="shared" si="222"/>
        <v>862.20039999999995</v>
      </c>
      <c r="J6045" s="28">
        <f t="shared" si="223"/>
        <v>876.80529999999999</v>
      </c>
      <c r="K6045" s="28">
        <f t="shared" si="224"/>
        <v>901.96500000000003</v>
      </c>
      <c r="L6045" s="4"/>
      <c r="M6045" s="241">
        <v>862.20039999999995</v>
      </c>
    </row>
    <row r="6046" spans="3:13" hidden="1" outlineLevel="1" x14ac:dyDescent="0.2">
      <c r="C6046" s="139">
        <v>118.79999999999754</v>
      </c>
      <c r="D6046" s="28">
        <f t="shared" si="217"/>
        <v>950.39999999998031</v>
      </c>
      <c r="E6046" s="28">
        <f t="shared" si="218"/>
        <v>890.99999999998158</v>
      </c>
      <c r="F6046" s="28">
        <f t="shared" si="219"/>
        <v>872.99999999998158</v>
      </c>
      <c r="G6046" s="28">
        <f t="shared" si="220"/>
        <v>806.21010000000001</v>
      </c>
      <c r="H6046" s="28">
        <f t="shared" si="221"/>
        <v>843.54579999999999</v>
      </c>
      <c r="I6046" s="28">
        <f t="shared" si="222"/>
        <v>862.20039999999995</v>
      </c>
      <c r="J6046" s="28">
        <f t="shared" si="223"/>
        <v>876.80529999999999</v>
      </c>
      <c r="K6046" s="28">
        <f t="shared" si="224"/>
        <v>901.96500000000003</v>
      </c>
      <c r="L6046" s="4"/>
      <c r="M6046" s="241">
        <v>862.20039999999995</v>
      </c>
    </row>
    <row r="6047" spans="3:13" hidden="1" outlineLevel="1" x14ac:dyDescent="0.2">
      <c r="C6047" s="139">
        <v>118.89999999999753</v>
      </c>
      <c r="D6047" s="28">
        <f t="shared" si="217"/>
        <v>951.19999999998026</v>
      </c>
      <c r="E6047" s="28">
        <f t="shared" si="218"/>
        <v>891.74999999998147</v>
      </c>
      <c r="F6047" s="28">
        <f t="shared" si="219"/>
        <v>873.74999999998147</v>
      </c>
      <c r="G6047" s="28">
        <f t="shared" si="220"/>
        <v>807.18799999999999</v>
      </c>
      <c r="H6047" s="28">
        <f t="shared" si="221"/>
        <v>844.55319999999995</v>
      </c>
      <c r="I6047" s="28">
        <f t="shared" si="222"/>
        <v>863.21579999999994</v>
      </c>
      <c r="J6047" s="28">
        <f t="shared" si="223"/>
        <v>877.82550000000003</v>
      </c>
      <c r="K6047" s="28">
        <f t="shared" si="224"/>
        <v>903.01400000000001</v>
      </c>
      <c r="L6047" s="4"/>
      <c r="M6047" s="241">
        <v>863.21579999999994</v>
      </c>
    </row>
    <row r="6048" spans="3:13" hidden="1" outlineLevel="1" x14ac:dyDescent="0.2">
      <c r="C6048" s="139">
        <v>118.99999999999753</v>
      </c>
      <c r="D6048" s="28">
        <f t="shared" si="217"/>
        <v>951.99999999998022</v>
      </c>
      <c r="E6048" s="28">
        <f t="shared" si="218"/>
        <v>892.49999999998147</v>
      </c>
      <c r="F6048" s="28">
        <f t="shared" si="219"/>
        <v>874.49999999998147</v>
      </c>
      <c r="G6048" s="28">
        <f t="shared" si="220"/>
        <v>808.15260000000001</v>
      </c>
      <c r="H6048" s="28">
        <f t="shared" si="221"/>
        <v>845.54729999999995</v>
      </c>
      <c r="I6048" s="28">
        <f t="shared" si="222"/>
        <v>864.23119999999994</v>
      </c>
      <c r="J6048" s="28">
        <f t="shared" si="223"/>
        <v>878.86040000000003</v>
      </c>
      <c r="K6048" s="28">
        <f t="shared" si="224"/>
        <v>904.06309999999996</v>
      </c>
      <c r="L6048" s="4"/>
      <c r="M6048" s="241">
        <v>864.23119999999994</v>
      </c>
    </row>
    <row r="6049" spans="3:13" hidden="1" outlineLevel="1" x14ac:dyDescent="0.2">
      <c r="C6049" s="139">
        <v>119.09999999999752</v>
      </c>
      <c r="D6049" s="28">
        <f t="shared" si="217"/>
        <v>952.79999999998017</v>
      </c>
      <c r="E6049" s="28">
        <f t="shared" si="218"/>
        <v>893.24999999998136</v>
      </c>
      <c r="F6049" s="28">
        <f t="shared" si="219"/>
        <v>875.24999999998136</v>
      </c>
      <c r="G6049" s="28">
        <f t="shared" si="220"/>
        <v>809.1173</v>
      </c>
      <c r="H6049" s="28">
        <f t="shared" si="221"/>
        <v>846.54139999999995</v>
      </c>
      <c r="I6049" s="28">
        <f t="shared" si="222"/>
        <v>865.23339999999996</v>
      </c>
      <c r="J6049" s="28">
        <f t="shared" si="223"/>
        <v>879.88059999999996</v>
      </c>
      <c r="K6049" s="28">
        <f t="shared" si="224"/>
        <v>905.11220000000003</v>
      </c>
      <c r="L6049" s="4"/>
      <c r="M6049" s="241">
        <v>865.23339999999996</v>
      </c>
    </row>
    <row r="6050" spans="3:13" hidden="1" outlineLevel="1" x14ac:dyDescent="0.2">
      <c r="C6050" s="139">
        <v>119.19999999999752</v>
      </c>
      <c r="D6050" s="28">
        <f t="shared" si="217"/>
        <v>953.59999999998013</v>
      </c>
      <c r="E6050" s="28">
        <f t="shared" si="218"/>
        <v>893.99999999998136</v>
      </c>
      <c r="F6050" s="28">
        <f t="shared" si="219"/>
        <v>875.99999999998136</v>
      </c>
      <c r="G6050" s="28">
        <f t="shared" si="220"/>
        <v>809.1173</v>
      </c>
      <c r="H6050" s="28">
        <f t="shared" si="221"/>
        <v>846.54139999999995</v>
      </c>
      <c r="I6050" s="28">
        <f t="shared" si="222"/>
        <v>865.23339999999996</v>
      </c>
      <c r="J6050" s="28">
        <f t="shared" si="223"/>
        <v>879.88059999999996</v>
      </c>
      <c r="K6050" s="28">
        <f t="shared" si="224"/>
        <v>905.11220000000003</v>
      </c>
      <c r="L6050" s="4"/>
      <c r="M6050" s="241">
        <v>865.23339999999996</v>
      </c>
    </row>
    <row r="6051" spans="3:13" hidden="1" outlineLevel="1" x14ac:dyDescent="0.2">
      <c r="C6051" s="139">
        <v>119.29999999999751</v>
      </c>
      <c r="D6051" s="28">
        <f t="shared" si="217"/>
        <v>954.39999999998008</v>
      </c>
      <c r="E6051" s="28">
        <f t="shared" si="218"/>
        <v>894.74999999998136</v>
      </c>
      <c r="F6051" s="28">
        <f t="shared" si="219"/>
        <v>876.74999999998136</v>
      </c>
      <c r="G6051" s="28">
        <f t="shared" si="220"/>
        <v>810.08209999999997</v>
      </c>
      <c r="H6051" s="28">
        <f t="shared" si="221"/>
        <v>847.53560000000004</v>
      </c>
      <c r="I6051" s="28">
        <f t="shared" si="222"/>
        <v>866.24900000000002</v>
      </c>
      <c r="J6051" s="28">
        <f t="shared" si="223"/>
        <v>880.90089999999998</v>
      </c>
      <c r="K6051" s="28">
        <f t="shared" si="224"/>
        <v>906.16129999999998</v>
      </c>
      <c r="L6051" s="4"/>
      <c r="M6051" s="241">
        <v>866.24900000000002</v>
      </c>
    </row>
    <row r="6052" spans="3:13" hidden="1" outlineLevel="1" x14ac:dyDescent="0.2">
      <c r="C6052" s="139">
        <v>119.3999999999975</v>
      </c>
      <c r="D6052" s="28">
        <f t="shared" si="217"/>
        <v>955.19999999998004</v>
      </c>
      <c r="E6052" s="28">
        <f t="shared" si="218"/>
        <v>895.49999999998124</v>
      </c>
      <c r="F6052" s="28">
        <f t="shared" si="219"/>
        <v>877.49999999998124</v>
      </c>
      <c r="G6052" s="28">
        <f t="shared" si="220"/>
        <v>811.06039999999996</v>
      </c>
      <c r="H6052" s="28">
        <f t="shared" si="221"/>
        <v>848.5299</v>
      </c>
      <c r="I6052" s="28">
        <f t="shared" si="222"/>
        <v>867.26459999999997</v>
      </c>
      <c r="J6052" s="28">
        <f t="shared" si="223"/>
        <v>881.93589999999995</v>
      </c>
      <c r="K6052" s="28">
        <f t="shared" si="224"/>
        <v>907.21040000000005</v>
      </c>
      <c r="L6052" s="4"/>
      <c r="M6052" s="241">
        <v>867.26459999999997</v>
      </c>
    </row>
    <row r="6053" spans="3:13" hidden="1" outlineLevel="1" x14ac:dyDescent="0.2">
      <c r="C6053" s="139">
        <v>119.4999999999975</v>
      </c>
      <c r="D6053" s="28">
        <f t="shared" si="217"/>
        <v>955.99999999997999</v>
      </c>
      <c r="E6053" s="28">
        <f t="shared" si="218"/>
        <v>896.24999999998124</v>
      </c>
      <c r="F6053" s="28">
        <f t="shared" si="219"/>
        <v>878.24999999998124</v>
      </c>
      <c r="G6053" s="28">
        <f t="shared" si="220"/>
        <v>812.02539999999999</v>
      </c>
      <c r="H6053" s="28">
        <f t="shared" si="221"/>
        <v>849.52419999999995</v>
      </c>
      <c r="I6053" s="28">
        <f t="shared" si="222"/>
        <v>868.28030000000001</v>
      </c>
      <c r="J6053" s="28">
        <f t="shared" si="223"/>
        <v>882.95630000000006</v>
      </c>
      <c r="K6053" s="28">
        <f t="shared" si="224"/>
        <v>908.25959999999998</v>
      </c>
      <c r="L6053" s="4"/>
      <c r="M6053" s="241">
        <v>868.28030000000001</v>
      </c>
    </row>
    <row r="6054" spans="3:13" hidden="1" outlineLevel="1" x14ac:dyDescent="0.2">
      <c r="C6054" s="139">
        <v>119.59999999999749</v>
      </c>
      <c r="D6054" s="28">
        <f t="shared" si="217"/>
        <v>956.79999999997995</v>
      </c>
      <c r="E6054" s="28">
        <f t="shared" si="218"/>
        <v>896.99999999998124</v>
      </c>
      <c r="F6054" s="28">
        <f t="shared" si="219"/>
        <v>878.99999999998124</v>
      </c>
      <c r="G6054" s="28">
        <f t="shared" si="220"/>
        <v>812.02539999999999</v>
      </c>
      <c r="H6054" s="28">
        <f t="shared" si="221"/>
        <v>849.52419999999995</v>
      </c>
      <c r="I6054" s="28">
        <f t="shared" si="222"/>
        <v>868.28030000000001</v>
      </c>
      <c r="J6054" s="28">
        <f t="shared" si="223"/>
        <v>882.95630000000006</v>
      </c>
      <c r="K6054" s="28">
        <f t="shared" si="224"/>
        <v>908.25959999999998</v>
      </c>
      <c r="L6054" s="4"/>
      <c r="M6054" s="241">
        <v>868.28030000000001</v>
      </c>
    </row>
    <row r="6055" spans="3:13" hidden="1" outlineLevel="1" x14ac:dyDescent="0.2">
      <c r="C6055" s="139">
        <v>119.69999999999749</v>
      </c>
      <c r="D6055" s="28">
        <f t="shared" si="217"/>
        <v>957.5999999999799</v>
      </c>
      <c r="E6055" s="28">
        <f t="shared" si="218"/>
        <v>897.74999999998113</v>
      </c>
      <c r="F6055" s="28">
        <f t="shared" si="219"/>
        <v>879.74999999998113</v>
      </c>
      <c r="G6055" s="28">
        <f t="shared" si="220"/>
        <v>812.9905</v>
      </c>
      <c r="H6055" s="28">
        <f t="shared" si="221"/>
        <v>850.53200000000004</v>
      </c>
      <c r="I6055" s="28">
        <f t="shared" si="222"/>
        <v>869.28269999999998</v>
      </c>
      <c r="J6055" s="28">
        <f t="shared" si="223"/>
        <v>883.99149999999997</v>
      </c>
      <c r="K6055" s="28">
        <f t="shared" si="224"/>
        <v>909.30880000000002</v>
      </c>
      <c r="L6055" s="4"/>
      <c r="M6055" s="241">
        <v>869.28269999999998</v>
      </c>
    </row>
    <row r="6056" spans="3:13" hidden="1" outlineLevel="1" x14ac:dyDescent="0.2">
      <c r="C6056" s="139">
        <v>119.79999999999748</v>
      </c>
      <c r="D6056" s="28">
        <f t="shared" si="217"/>
        <v>958.39999999997985</v>
      </c>
      <c r="E6056" s="28">
        <f t="shared" si="218"/>
        <v>898.49999999998113</v>
      </c>
      <c r="F6056" s="28">
        <f t="shared" si="219"/>
        <v>880.49999999998113</v>
      </c>
      <c r="G6056" s="28">
        <f t="shared" si="220"/>
        <v>813.95569999999998</v>
      </c>
      <c r="H6056" s="28">
        <f t="shared" si="221"/>
        <v>851.52650000000006</v>
      </c>
      <c r="I6056" s="28">
        <f t="shared" si="222"/>
        <v>870.29849999999999</v>
      </c>
      <c r="J6056" s="28">
        <f t="shared" si="223"/>
        <v>885.01189999999997</v>
      </c>
      <c r="K6056" s="28">
        <f t="shared" si="224"/>
        <v>910.35810000000004</v>
      </c>
      <c r="L6056" s="4"/>
      <c r="M6056" s="241">
        <v>870.29849999999999</v>
      </c>
    </row>
    <row r="6057" spans="3:13" hidden="1" outlineLevel="1" x14ac:dyDescent="0.2">
      <c r="C6057" s="139">
        <v>119.89999999999748</v>
      </c>
      <c r="D6057" s="28">
        <f t="shared" si="217"/>
        <v>959.19999999997981</v>
      </c>
      <c r="E6057" s="28">
        <f t="shared" si="218"/>
        <v>899.24999999998113</v>
      </c>
      <c r="F6057" s="28">
        <f t="shared" si="219"/>
        <v>881.24999999998113</v>
      </c>
      <c r="G6057" s="28">
        <f t="shared" si="220"/>
        <v>814.93439999999998</v>
      </c>
      <c r="H6057" s="28">
        <f t="shared" si="221"/>
        <v>852.52099999999996</v>
      </c>
      <c r="I6057" s="28">
        <f t="shared" si="222"/>
        <v>871.3143</v>
      </c>
      <c r="J6057" s="28">
        <f t="shared" si="223"/>
        <v>886.03240000000005</v>
      </c>
      <c r="K6057" s="28">
        <f t="shared" si="224"/>
        <v>911.40740000000005</v>
      </c>
      <c r="L6057" s="4"/>
      <c r="M6057" s="241">
        <v>871.3143</v>
      </c>
    </row>
    <row r="6058" spans="3:13" hidden="1" outlineLevel="1" x14ac:dyDescent="0.2">
      <c r="C6058" s="139">
        <v>119.99999999999747</v>
      </c>
      <c r="D6058" s="28">
        <f t="shared" si="217"/>
        <v>959.99999999997976</v>
      </c>
      <c r="E6058" s="28">
        <f t="shared" si="218"/>
        <v>899.99999999998101</v>
      </c>
      <c r="F6058" s="28">
        <f t="shared" si="219"/>
        <v>881.99999999998101</v>
      </c>
      <c r="G6058" s="28">
        <f t="shared" si="220"/>
        <v>814.93439999999998</v>
      </c>
      <c r="H6058" s="28">
        <f t="shared" si="221"/>
        <v>852.52099999999996</v>
      </c>
      <c r="I6058" s="28">
        <f t="shared" si="222"/>
        <v>871.3143</v>
      </c>
      <c r="J6058" s="28">
        <f t="shared" si="223"/>
        <v>886.03240000000005</v>
      </c>
      <c r="K6058" s="28">
        <f t="shared" si="224"/>
        <v>911.40740000000005</v>
      </c>
      <c r="L6058" s="4"/>
      <c r="M6058" s="241">
        <v>871.3143</v>
      </c>
    </row>
    <row r="6059" spans="3:13" hidden="1" outlineLevel="1" x14ac:dyDescent="0.2">
      <c r="C6059" s="139">
        <v>120.09999999999746</v>
      </c>
      <c r="D6059" s="28">
        <f t="shared" si="217"/>
        <v>960.79999999997972</v>
      </c>
      <c r="E6059" s="28">
        <f t="shared" si="218"/>
        <v>900.74999999998101</v>
      </c>
      <c r="F6059" s="28">
        <f t="shared" si="219"/>
        <v>882.74999999998101</v>
      </c>
      <c r="G6059" s="28">
        <f t="shared" si="220"/>
        <v>815.89980000000003</v>
      </c>
      <c r="H6059" s="28">
        <f t="shared" si="221"/>
        <v>853.51559999999995</v>
      </c>
      <c r="I6059" s="28">
        <f t="shared" si="222"/>
        <v>872.33019999999999</v>
      </c>
      <c r="J6059" s="28">
        <f t="shared" si="223"/>
        <v>887.06769999999995</v>
      </c>
      <c r="K6059" s="28">
        <f t="shared" si="224"/>
        <v>912.45669999999996</v>
      </c>
      <c r="L6059" s="4"/>
      <c r="M6059" s="241">
        <v>872.33019999999999</v>
      </c>
    </row>
    <row r="6060" spans="3:13" hidden="1" outlineLevel="1" x14ac:dyDescent="0.2">
      <c r="C6060" s="139">
        <v>120.19999999999746</v>
      </c>
      <c r="D6060" s="28">
        <f t="shared" si="217"/>
        <v>961.59999999997967</v>
      </c>
      <c r="E6060" s="28">
        <f t="shared" si="218"/>
        <v>901.4999999999809</v>
      </c>
      <c r="F6060" s="28">
        <f t="shared" si="219"/>
        <v>883.4999999999809</v>
      </c>
      <c r="G6060" s="28">
        <f t="shared" si="220"/>
        <v>816.86530000000005</v>
      </c>
      <c r="H6060" s="28">
        <f t="shared" si="221"/>
        <v>854.51030000000003</v>
      </c>
      <c r="I6060" s="28">
        <f t="shared" si="222"/>
        <v>873.33280000000002</v>
      </c>
      <c r="J6060" s="28">
        <f t="shared" si="223"/>
        <v>888.0883</v>
      </c>
      <c r="K6060" s="28">
        <f t="shared" si="224"/>
        <v>913.50599999999997</v>
      </c>
      <c r="L6060" s="4"/>
      <c r="M6060" s="241">
        <v>873.33280000000002</v>
      </c>
    </row>
    <row r="6061" spans="3:13" hidden="1" outlineLevel="1" x14ac:dyDescent="0.2">
      <c r="C6061" s="139">
        <v>120.29999999999745</v>
      </c>
      <c r="D6061" s="28">
        <f t="shared" si="217"/>
        <v>962.39999999997963</v>
      </c>
      <c r="E6061" s="28">
        <f t="shared" si="218"/>
        <v>902.2499999999809</v>
      </c>
      <c r="F6061" s="28">
        <f t="shared" si="219"/>
        <v>884.2499999999809</v>
      </c>
      <c r="G6061" s="28">
        <f t="shared" si="220"/>
        <v>817.83079999999995</v>
      </c>
      <c r="H6061" s="28">
        <f t="shared" si="221"/>
        <v>855.505</v>
      </c>
      <c r="I6061" s="28">
        <f t="shared" si="222"/>
        <v>874.34879999999998</v>
      </c>
      <c r="J6061" s="28">
        <f t="shared" si="223"/>
        <v>889.10889999999995</v>
      </c>
      <c r="K6061" s="28">
        <f t="shared" si="224"/>
        <v>914.57029999999997</v>
      </c>
      <c r="L6061" s="4"/>
      <c r="M6061" s="241">
        <v>874.34879999999998</v>
      </c>
    </row>
    <row r="6062" spans="3:13" hidden="1" outlineLevel="1" x14ac:dyDescent="0.2">
      <c r="C6062" s="139">
        <v>120.39999999999745</v>
      </c>
      <c r="D6062" s="28">
        <f t="shared" si="217"/>
        <v>963.19999999997958</v>
      </c>
      <c r="E6062" s="28">
        <f t="shared" si="218"/>
        <v>902.9999999999809</v>
      </c>
      <c r="F6062" s="28">
        <f t="shared" si="219"/>
        <v>884.9999999999809</v>
      </c>
      <c r="G6062" s="28">
        <f t="shared" si="220"/>
        <v>817.83079999999995</v>
      </c>
      <c r="H6062" s="28">
        <f t="shared" si="221"/>
        <v>855.505</v>
      </c>
      <c r="I6062" s="28">
        <f t="shared" si="222"/>
        <v>874.34879999999998</v>
      </c>
      <c r="J6062" s="28">
        <f t="shared" si="223"/>
        <v>889.10889999999995</v>
      </c>
      <c r="K6062" s="28">
        <f t="shared" si="224"/>
        <v>914.57029999999997</v>
      </c>
      <c r="L6062" s="4"/>
      <c r="M6062" s="241">
        <v>874.34879999999998</v>
      </c>
    </row>
    <row r="6063" spans="3:13" hidden="1" outlineLevel="1" x14ac:dyDescent="0.2">
      <c r="C6063" s="139">
        <v>120.49999999999744</v>
      </c>
      <c r="D6063" s="28">
        <f t="shared" si="217"/>
        <v>963.99999999997954</v>
      </c>
      <c r="E6063" s="28">
        <f t="shared" si="218"/>
        <v>903.74999999998079</v>
      </c>
      <c r="F6063" s="28">
        <f t="shared" si="219"/>
        <v>885.74999999998079</v>
      </c>
      <c r="G6063" s="28">
        <f t="shared" si="220"/>
        <v>818.79650000000004</v>
      </c>
      <c r="H6063" s="28">
        <f t="shared" si="221"/>
        <v>856.51329999999996</v>
      </c>
      <c r="I6063" s="28">
        <f t="shared" si="222"/>
        <v>875.36490000000003</v>
      </c>
      <c r="J6063" s="28">
        <f t="shared" si="223"/>
        <v>890.14440000000002</v>
      </c>
      <c r="K6063" s="28">
        <f t="shared" si="224"/>
        <v>915.61969999999997</v>
      </c>
      <c r="L6063" s="4"/>
      <c r="M6063" s="241">
        <v>875.36490000000003</v>
      </c>
    </row>
    <row r="6064" spans="3:13" hidden="1" outlineLevel="1" x14ac:dyDescent="0.2">
      <c r="C6064" s="139">
        <v>120.59999999999744</v>
      </c>
      <c r="D6064" s="28">
        <f t="shared" si="217"/>
        <v>964.79999999997949</v>
      </c>
      <c r="E6064" s="28">
        <f t="shared" si="218"/>
        <v>904.49999999998079</v>
      </c>
      <c r="F6064" s="28">
        <f t="shared" si="219"/>
        <v>886.49999999998079</v>
      </c>
      <c r="G6064" s="28">
        <f t="shared" si="220"/>
        <v>819.7758</v>
      </c>
      <c r="H6064" s="28">
        <f t="shared" si="221"/>
        <v>857.50810000000001</v>
      </c>
      <c r="I6064" s="28">
        <f t="shared" si="222"/>
        <v>876.38099999999997</v>
      </c>
      <c r="J6064" s="28">
        <f t="shared" si="223"/>
        <v>891.16499999999996</v>
      </c>
      <c r="K6064" s="28">
        <f t="shared" si="224"/>
        <v>916.66920000000005</v>
      </c>
      <c r="L6064" s="4"/>
      <c r="M6064" s="241">
        <v>876.38099999999997</v>
      </c>
    </row>
    <row r="6065" spans="3:13" hidden="1" outlineLevel="1" x14ac:dyDescent="0.2">
      <c r="C6065" s="139">
        <v>120.69999999999743</v>
      </c>
      <c r="D6065" s="28">
        <f t="shared" si="217"/>
        <v>965.59999999997945</v>
      </c>
      <c r="E6065" s="28">
        <f t="shared" si="218"/>
        <v>905.24999999998067</v>
      </c>
      <c r="F6065" s="28">
        <f t="shared" si="219"/>
        <v>887.24999999998067</v>
      </c>
      <c r="G6065" s="28">
        <f t="shared" si="220"/>
        <v>820.74159999999995</v>
      </c>
      <c r="H6065" s="28">
        <f t="shared" si="221"/>
        <v>858.50300000000004</v>
      </c>
      <c r="I6065" s="28">
        <f t="shared" si="222"/>
        <v>877.38369999999998</v>
      </c>
      <c r="J6065" s="28">
        <f t="shared" si="223"/>
        <v>892.18579999999997</v>
      </c>
      <c r="K6065" s="28">
        <f t="shared" si="224"/>
        <v>917.71870000000001</v>
      </c>
      <c r="L6065" s="4"/>
      <c r="M6065" s="241">
        <v>877.38369999999998</v>
      </c>
    </row>
    <row r="6066" spans="3:13" hidden="1" outlineLevel="1" x14ac:dyDescent="0.2">
      <c r="C6066" s="139">
        <v>120.79999999999742</v>
      </c>
      <c r="D6066" s="28">
        <f t="shared" si="217"/>
        <v>966.3999999999794</v>
      </c>
      <c r="E6066" s="28">
        <f t="shared" si="218"/>
        <v>905.99999999998067</v>
      </c>
      <c r="F6066" s="28">
        <f t="shared" si="219"/>
        <v>887.99999999998067</v>
      </c>
      <c r="G6066" s="28">
        <f t="shared" si="220"/>
        <v>820.74159999999995</v>
      </c>
      <c r="H6066" s="28">
        <f t="shared" si="221"/>
        <v>858.50300000000004</v>
      </c>
      <c r="I6066" s="28">
        <f t="shared" si="222"/>
        <v>877.38369999999998</v>
      </c>
      <c r="J6066" s="28">
        <f t="shared" si="223"/>
        <v>892.18579999999997</v>
      </c>
      <c r="K6066" s="28">
        <f t="shared" si="224"/>
        <v>917.71870000000001</v>
      </c>
      <c r="L6066" s="4"/>
      <c r="M6066" s="241">
        <v>877.38369999999998</v>
      </c>
    </row>
    <row r="6067" spans="3:13" hidden="1" outlineLevel="1" x14ac:dyDescent="0.2">
      <c r="C6067" s="139">
        <v>120.89999999999742</v>
      </c>
      <c r="D6067" s="28">
        <f t="shared" si="217"/>
        <v>967.19999999997935</v>
      </c>
      <c r="E6067" s="28">
        <f t="shared" si="218"/>
        <v>906.74999999998067</v>
      </c>
      <c r="F6067" s="28">
        <f t="shared" si="219"/>
        <v>888.74999999998067</v>
      </c>
      <c r="G6067" s="28">
        <f t="shared" si="220"/>
        <v>821.70759999999996</v>
      </c>
      <c r="H6067" s="28">
        <f t="shared" si="221"/>
        <v>859.49800000000005</v>
      </c>
      <c r="I6067" s="28">
        <f t="shared" si="222"/>
        <v>878.4</v>
      </c>
      <c r="J6067" s="28">
        <f t="shared" si="223"/>
        <v>893.22140000000002</v>
      </c>
      <c r="K6067" s="28">
        <f t="shared" si="224"/>
        <v>918.76819999999998</v>
      </c>
      <c r="L6067" s="4"/>
      <c r="M6067" s="241">
        <v>878.4</v>
      </c>
    </row>
    <row r="6068" spans="3:13" hidden="1" outlineLevel="1" x14ac:dyDescent="0.2">
      <c r="C6068" s="139">
        <v>120.99999999999741</v>
      </c>
      <c r="D6068" s="28">
        <f t="shared" si="217"/>
        <v>967.99999999997931</v>
      </c>
      <c r="E6068" s="28">
        <f t="shared" si="218"/>
        <v>907.49999999998056</v>
      </c>
      <c r="F6068" s="28">
        <f t="shared" si="219"/>
        <v>889.49999999998056</v>
      </c>
      <c r="G6068" s="28">
        <f t="shared" si="220"/>
        <v>822.67359999999996</v>
      </c>
      <c r="H6068" s="28">
        <f t="shared" si="221"/>
        <v>860.49300000000005</v>
      </c>
      <c r="I6068" s="28">
        <f t="shared" si="222"/>
        <v>879.41629999999998</v>
      </c>
      <c r="J6068" s="28">
        <f t="shared" si="223"/>
        <v>894.24220000000003</v>
      </c>
      <c r="K6068" s="28">
        <f t="shared" si="224"/>
        <v>919.81780000000003</v>
      </c>
      <c r="L6068" s="4"/>
      <c r="M6068" s="241">
        <v>879.41629999999998</v>
      </c>
    </row>
    <row r="6069" spans="3:13" hidden="1" outlineLevel="1" x14ac:dyDescent="0.2">
      <c r="C6069" s="139">
        <v>121.09999999999741</v>
      </c>
      <c r="D6069" s="28">
        <f t="shared" si="217"/>
        <v>968.79999999997926</v>
      </c>
      <c r="E6069" s="28">
        <f t="shared" si="218"/>
        <v>908.24999999998056</v>
      </c>
      <c r="F6069" s="28">
        <f t="shared" si="219"/>
        <v>890.24999999998056</v>
      </c>
      <c r="G6069" s="28">
        <f t="shared" si="220"/>
        <v>823.63980000000004</v>
      </c>
      <c r="H6069" s="28">
        <f t="shared" si="221"/>
        <v>861.48810000000003</v>
      </c>
      <c r="I6069" s="28">
        <f t="shared" si="222"/>
        <v>880.41909999999996</v>
      </c>
      <c r="J6069" s="28">
        <f t="shared" si="223"/>
        <v>895.26310000000001</v>
      </c>
      <c r="K6069" s="28">
        <f t="shared" si="224"/>
        <v>920.86739999999998</v>
      </c>
      <c r="L6069" s="4"/>
      <c r="M6069" s="241">
        <v>880.41909999999996</v>
      </c>
    </row>
    <row r="6070" spans="3:13" hidden="1" outlineLevel="1" x14ac:dyDescent="0.2">
      <c r="C6070" s="139">
        <v>121.1999999999974</v>
      </c>
      <c r="D6070" s="28">
        <f t="shared" si="217"/>
        <v>969.59999999997922</v>
      </c>
      <c r="E6070" s="28">
        <f t="shared" si="218"/>
        <v>908.99999999998056</v>
      </c>
      <c r="F6070" s="28">
        <f t="shared" si="219"/>
        <v>890.99999999998056</v>
      </c>
      <c r="G6070" s="28">
        <f t="shared" si="220"/>
        <v>823.63980000000004</v>
      </c>
      <c r="H6070" s="28">
        <f t="shared" si="221"/>
        <v>861.48810000000003</v>
      </c>
      <c r="I6070" s="28">
        <f t="shared" si="222"/>
        <v>880.41909999999996</v>
      </c>
      <c r="J6070" s="28">
        <f t="shared" si="223"/>
        <v>895.26310000000001</v>
      </c>
      <c r="K6070" s="28">
        <f t="shared" si="224"/>
        <v>920.86739999999998</v>
      </c>
      <c r="L6070" s="4"/>
      <c r="M6070" s="241">
        <v>880.41909999999996</v>
      </c>
    </row>
    <row r="6071" spans="3:13" hidden="1" outlineLevel="1" x14ac:dyDescent="0.2">
      <c r="C6071" s="139">
        <v>121.2999999999974</v>
      </c>
      <c r="D6071" s="28">
        <f t="shared" si="217"/>
        <v>970.39999999997917</v>
      </c>
      <c r="E6071" s="28">
        <f t="shared" si="218"/>
        <v>909.74999999998045</v>
      </c>
      <c r="F6071" s="28">
        <f t="shared" si="219"/>
        <v>891.74999999998045</v>
      </c>
      <c r="G6071" s="28">
        <f t="shared" si="220"/>
        <v>824.61959999999999</v>
      </c>
      <c r="H6071" s="28">
        <f t="shared" si="221"/>
        <v>862.48329999999999</v>
      </c>
      <c r="I6071" s="28">
        <f t="shared" si="222"/>
        <v>881.43550000000005</v>
      </c>
      <c r="J6071" s="28">
        <f t="shared" si="223"/>
        <v>896.2989</v>
      </c>
      <c r="K6071" s="28">
        <f t="shared" si="224"/>
        <v>921.91700000000003</v>
      </c>
      <c r="L6071" s="4"/>
      <c r="M6071" s="241">
        <v>881.43550000000005</v>
      </c>
    </row>
    <row r="6072" spans="3:13" hidden="1" outlineLevel="1" x14ac:dyDescent="0.2">
      <c r="C6072" s="139">
        <v>121.39999999999739</v>
      </c>
      <c r="D6072" s="28">
        <f t="shared" si="217"/>
        <v>971.19999999997913</v>
      </c>
      <c r="E6072" s="28">
        <f t="shared" si="218"/>
        <v>910.49999999998045</v>
      </c>
      <c r="F6072" s="28">
        <f t="shared" si="219"/>
        <v>892.49999999998045</v>
      </c>
      <c r="G6072" s="28">
        <f t="shared" si="220"/>
        <v>825.58590000000004</v>
      </c>
      <c r="H6072" s="28">
        <f t="shared" si="221"/>
        <v>863.47850000000005</v>
      </c>
      <c r="I6072" s="28">
        <f t="shared" si="222"/>
        <v>882.452</v>
      </c>
      <c r="J6072" s="28">
        <f t="shared" si="223"/>
        <v>897.31979999999999</v>
      </c>
      <c r="K6072" s="28">
        <f t="shared" si="224"/>
        <v>922.96669999999995</v>
      </c>
      <c r="L6072" s="4"/>
      <c r="M6072" s="241">
        <v>882.452</v>
      </c>
    </row>
    <row r="6073" spans="3:13" hidden="1" outlineLevel="1" x14ac:dyDescent="0.2">
      <c r="C6073" s="139">
        <v>121.49999999999739</v>
      </c>
      <c r="D6073" s="28">
        <f t="shared" si="217"/>
        <v>971.99999999997908</v>
      </c>
      <c r="E6073" s="28">
        <f t="shared" si="218"/>
        <v>911.24999999998045</v>
      </c>
      <c r="F6073" s="28">
        <f t="shared" si="219"/>
        <v>893.24999999998045</v>
      </c>
      <c r="G6073" s="28">
        <f t="shared" si="220"/>
        <v>826.55229999999995</v>
      </c>
      <c r="H6073" s="28">
        <f t="shared" si="221"/>
        <v>864.48739999999998</v>
      </c>
      <c r="I6073" s="28">
        <f t="shared" si="222"/>
        <v>883.46849999999995</v>
      </c>
      <c r="J6073" s="28">
        <f t="shared" si="223"/>
        <v>898.34069999999997</v>
      </c>
      <c r="K6073" s="28">
        <f t="shared" si="224"/>
        <v>924.01639999999998</v>
      </c>
      <c r="L6073" s="4"/>
      <c r="M6073" s="241">
        <v>883.46849999999995</v>
      </c>
    </row>
    <row r="6074" spans="3:13" hidden="1" outlineLevel="1" x14ac:dyDescent="0.2">
      <c r="C6074" s="139">
        <v>121.59999999999738</v>
      </c>
      <c r="D6074" s="28">
        <f t="shared" si="217"/>
        <v>972.79999999997904</v>
      </c>
      <c r="E6074" s="28">
        <f t="shared" si="218"/>
        <v>911.99999999998033</v>
      </c>
      <c r="F6074" s="28">
        <f t="shared" si="219"/>
        <v>893.99999999998033</v>
      </c>
      <c r="G6074" s="28">
        <f t="shared" si="220"/>
        <v>826.55229999999995</v>
      </c>
      <c r="H6074" s="28">
        <f t="shared" si="221"/>
        <v>864.48739999999998</v>
      </c>
      <c r="I6074" s="28">
        <f t="shared" si="222"/>
        <v>883.46849999999995</v>
      </c>
      <c r="J6074" s="28">
        <f t="shared" si="223"/>
        <v>898.34069999999997</v>
      </c>
      <c r="K6074" s="28">
        <f t="shared" si="224"/>
        <v>924.01639999999998</v>
      </c>
      <c r="L6074" s="4"/>
      <c r="M6074" s="241">
        <v>883.46849999999995</v>
      </c>
    </row>
    <row r="6075" spans="3:13" hidden="1" outlineLevel="1" x14ac:dyDescent="0.2">
      <c r="C6075" s="139">
        <v>121.69999999999737</v>
      </c>
      <c r="D6075" s="28">
        <f t="shared" ref="D6075:D6138" si="225">C6075*Channels.per.TRX</f>
        <v>973.59999999997899</v>
      </c>
      <c r="E6075" s="28">
        <f t="shared" ref="E6075:E6138" si="226">D6075-C6075*sig.channel.per.TRX</f>
        <v>912.74999999998033</v>
      </c>
      <c r="F6075" s="28">
        <f t="shared" ref="F6075:F6138" si="227">MAX(0,E6075-GPRS.channel.per.sector)</f>
        <v>894.74999999998033</v>
      </c>
      <c r="G6075" s="28">
        <f t="shared" ref="G6075:G6138" si="228">INDEX(D$10:D$4326,MATCH($F6075,$C$10:$C$4326,1))</f>
        <v>827.51880000000006</v>
      </c>
      <c r="H6075" s="28">
        <f t="shared" ref="H6075:H6138" si="229">INDEX(E$10:E$4326,MATCH($F6075,$C$10:$C$4326,1))</f>
        <v>865.48270000000002</v>
      </c>
      <c r="I6075" s="28">
        <f t="shared" ref="I6075:I6138" si="230">INDEX(F$10:F$4326,MATCH($F6075,$C$10:$C$4326,1))</f>
        <v>884.47149999999999</v>
      </c>
      <c r="J6075" s="28">
        <f t="shared" ref="J6075:J6138" si="231">INDEX(G$10:G$4326,MATCH($F6075,$C$10:$C$4326,1))</f>
        <v>899.37670000000003</v>
      </c>
      <c r="K6075" s="28">
        <f t="shared" ref="K6075:K6138" si="232">INDEX(H$10:H$4326,MATCH($F6075,$C$10:$C$4326,1))</f>
        <v>925.06610000000001</v>
      </c>
      <c r="L6075" s="4"/>
      <c r="M6075" s="241">
        <v>884.47149999999999</v>
      </c>
    </row>
    <row r="6076" spans="3:13" hidden="1" outlineLevel="1" x14ac:dyDescent="0.2">
      <c r="C6076" s="139">
        <v>121.79999999999737</v>
      </c>
      <c r="D6076" s="28">
        <f t="shared" si="225"/>
        <v>974.39999999997895</v>
      </c>
      <c r="E6076" s="28">
        <f t="shared" si="226"/>
        <v>913.49999999998022</v>
      </c>
      <c r="F6076" s="28">
        <f t="shared" si="227"/>
        <v>895.49999999998022</v>
      </c>
      <c r="G6076" s="28">
        <f t="shared" si="228"/>
        <v>828.4855</v>
      </c>
      <c r="H6076" s="28">
        <f t="shared" si="229"/>
        <v>866.47820000000002</v>
      </c>
      <c r="I6076" s="28">
        <f t="shared" si="230"/>
        <v>885.48820000000001</v>
      </c>
      <c r="J6076" s="28">
        <f t="shared" si="231"/>
        <v>900.39779999999996</v>
      </c>
      <c r="K6076" s="28">
        <f t="shared" si="232"/>
        <v>926.11590000000001</v>
      </c>
      <c r="L6076" s="4"/>
      <c r="M6076" s="241">
        <v>885.48820000000001</v>
      </c>
    </row>
    <row r="6077" spans="3:13" hidden="1" outlineLevel="1" x14ac:dyDescent="0.2">
      <c r="C6077" s="139">
        <v>121.89999999999736</v>
      </c>
      <c r="D6077" s="28">
        <f t="shared" si="225"/>
        <v>975.1999999999789</v>
      </c>
      <c r="E6077" s="28">
        <f t="shared" si="226"/>
        <v>914.24999999998022</v>
      </c>
      <c r="F6077" s="28">
        <f t="shared" si="227"/>
        <v>896.24999999998022</v>
      </c>
      <c r="G6077" s="28">
        <f t="shared" si="228"/>
        <v>829.45209999999997</v>
      </c>
      <c r="H6077" s="28">
        <f t="shared" si="229"/>
        <v>867.47360000000003</v>
      </c>
      <c r="I6077" s="28">
        <f t="shared" si="230"/>
        <v>886.50490000000002</v>
      </c>
      <c r="J6077" s="28">
        <f t="shared" si="231"/>
        <v>901.41880000000003</v>
      </c>
      <c r="K6077" s="28">
        <f t="shared" si="232"/>
        <v>927.16570000000002</v>
      </c>
      <c r="L6077" s="4"/>
      <c r="M6077" s="241">
        <v>886.50490000000002</v>
      </c>
    </row>
    <row r="6078" spans="3:13" hidden="1" outlineLevel="1" x14ac:dyDescent="0.2">
      <c r="C6078" s="139">
        <v>121.99999999999736</v>
      </c>
      <c r="D6078" s="28">
        <f t="shared" si="225"/>
        <v>975.99999999997885</v>
      </c>
      <c r="E6078" s="28">
        <f t="shared" si="226"/>
        <v>914.99999999998022</v>
      </c>
      <c r="F6078" s="28">
        <f t="shared" si="227"/>
        <v>896.99999999998022</v>
      </c>
      <c r="G6078" s="28">
        <f t="shared" si="228"/>
        <v>829.45209999999997</v>
      </c>
      <c r="H6078" s="28">
        <f t="shared" si="229"/>
        <v>867.47360000000003</v>
      </c>
      <c r="I6078" s="28">
        <f t="shared" si="230"/>
        <v>886.50490000000002</v>
      </c>
      <c r="J6078" s="28">
        <f t="shared" si="231"/>
        <v>901.41880000000003</v>
      </c>
      <c r="K6078" s="28">
        <f t="shared" si="232"/>
        <v>927.16570000000002</v>
      </c>
      <c r="L6078" s="4"/>
      <c r="M6078" s="241">
        <v>886.50490000000002</v>
      </c>
    </row>
    <row r="6079" spans="3:13" hidden="1" outlineLevel="1" x14ac:dyDescent="0.2">
      <c r="C6079" s="139">
        <v>122.09999999999735</v>
      </c>
      <c r="D6079" s="28">
        <f t="shared" si="225"/>
        <v>976.79999999997881</v>
      </c>
      <c r="E6079" s="28">
        <f t="shared" si="226"/>
        <v>915.7499999999801</v>
      </c>
      <c r="F6079" s="28">
        <f t="shared" si="227"/>
        <v>897.7499999999801</v>
      </c>
      <c r="G6079" s="28">
        <f t="shared" si="228"/>
        <v>830.43259999999998</v>
      </c>
      <c r="H6079" s="28">
        <f t="shared" si="229"/>
        <v>868.4692</v>
      </c>
      <c r="I6079" s="28">
        <f t="shared" si="230"/>
        <v>887.50800000000004</v>
      </c>
      <c r="J6079" s="28">
        <f t="shared" si="231"/>
        <v>902.45500000000004</v>
      </c>
      <c r="K6079" s="28">
        <f t="shared" si="232"/>
        <v>928.21559999999999</v>
      </c>
      <c r="L6079" s="4"/>
      <c r="M6079" s="241">
        <v>887.50800000000004</v>
      </c>
    </row>
    <row r="6080" spans="3:13" hidden="1" outlineLevel="1" x14ac:dyDescent="0.2">
      <c r="C6080" s="139">
        <v>122.19999999999735</v>
      </c>
      <c r="D6080" s="28">
        <f t="shared" si="225"/>
        <v>977.59999999997876</v>
      </c>
      <c r="E6080" s="28">
        <f t="shared" si="226"/>
        <v>916.4999999999801</v>
      </c>
      <c r="F6080" s="28">
        <f t="shared" si="227"/>
        <v>898.4999999999801</v>
      </c>
      <c r="G6080" s="28">
        <f t="shared" si="228"/>
        <v>831.39949999999999</v>
      </c>
      <c r="H6080" s="28">
        <f t="shared" si="229"/>
        <v>869.46479999999997</v>
      </c>
      <c r="I6080" s="28">
        <f t="shared" si="230"/>
        <v>888.52480000000003</v>
      </c>
      <c r="J6080" s="28">
        <f t="shared" si="231"/>
        <v>903.47619999999995</v>
      </c>
      <c r="K6080" s="28">
        <f t="shared" si="232"/>
        <v>929.2654</v>
      </c>
      <c r="L6080" s="4"/>
      <c r="M6080" s="241">
        <v>888.52480000000003</v>
      </c>
    </row>
    <row r="6081" spans="3:13" hidden="1" outlineLevel="1" x14ac:dyDescent="0.2">
      <c r="C6081" s="139">
        <v>122.29999999999734</v>
      </c>
      <c r="D6081" s="28">
        <f t="shared" si="225"/>
        <v>978.39999999997872</v>
      </c>
      <c r="E6081" s="28">
        <f t="shared" si="226"/>
        <v>917.24999999997999</v>
      </c>
      <c r="F6081" s="28">
        <f t="shared" si="227"/>
        <v>899.24999999997999</v>
      </c>
      <c r="G6081" s="28">
        <f t="shared" si="228"/>
        <v>832.36649999999997</v>
      </c>
      <c r="H6081" s="28">
        <f t="shared" si="229"/>
        <v>870.46040000000005</v>
      </c>
      <c r="I6081" s="28">
        <f t="shared" si="230"/>
        <v>889.54169999999999</v>
      </c>
      <c r="J6081" s="28">
        <f t="shared" si="231"/>
        <v>904.4973</v>
      </c>
      <c r="K6081" s="28">
        <f t="shared" si="232"/>
        <v>930.31529999999998</v>
      </c>
      <c r="L6081" s="4"/>
      <c r="M6081" s="241">
        <v>889.54169999999999</v>
      </c>
    </row>
    <row r="6082" spans="3:13" hidden="1" outlineLevel="1" x14ac:dyDescent="0.2">
      <c r="C6082" s="139">
        <v>122.39999999999733</v>
      </c>
      <c r="D6082" s="28">
        <f t="shared" si="225"/>
        <v>979.19999999997867</v>
      </c>
      <c r="E6082" s="28">
        <f t="shared" si="226"/>
        <v>917.99999999997999</v>
      </c>
      <c r="F6082" s="28">
        <f t="shared" si="227"/>
        <v>899.99999999997999</v>
      </c>
      <c r="G6082" s="28">
        <f t="shared" si="228"/>
        <v>832.36649999999997</v>
      </c>
      <c r="H6082" s="28">
        <f t="shared" si="229"/>
        <v>870.46040000000005</v>
      </c>
      <c r="I6082" s="28">
        <f t="shared" si="230"/>
        <v>889.54169999999999</v>
      </c>
      <c r="J6082" s="28">
        <f t="shared" si="231"/>
        <v>904.4973</v>
      </c>
      <c r="K6082" s="28">
        <f t="shared" si="232"/>
        <v>930.31529999999998</v>
      </c>
      <c r="L6082" s="4"/>
      <c r="M6082" s="241">
        <v>889.54169999999999</v>
      </c>
    </row>
    <row r="6083" spans="3:13" hidden="1" outlineLevel="1" x14ac:dyDescent="0.2">
      <c r="C6083" s="139">
        <v>122.49999999999733</v>
      </c>
      <c r="D6083" s="28">
        <f t="shared" si="225"/>
        <v>979.99999999997863</v>
      </c>
      <c r="E6083" s="28">
        <f t="shared" si="226"/>
        <v>918.74999999997999</v>
      </c>
      <c r="F6083" s="28">
        <f t="shared" si="227"/>
        <v>900.74999999997999</v>
      </c>
      <c r="G6083" s="28">
        <f t="shared" si="228"/>
        <v>833.33360000000005</v>
      </c>
      <c r="H6083" s="28">
        <f t="shared" si="229"/>
        <v>871.45609999999999</v>
      </c>
      <c r="I6083" s="28">
        <f t="shared" si="230"/>
        <v>890.54489999999998</v>
      </c>
      <c r="J6083" s="28">
        <f t="shared" si="231"/>
        <v>905.51859999999999</v>
      </c>
      <c r="K6083" s="28">
        <f t="shared" si="232"/>
        <v>931.36530000000005</v>
      </c>
      <c r="L6083" s="4"/>
      <c r="M6083" s="241">
        <v>890.54489999999998</v>
      </c>
    </row>
    <row r="6084" spans="3:13" hidden="1" outlineLevel="1" x14ac:dyDescent="0.2">
      <c r="C6084" s="139">
        <v>122.59999999999732</v>
      </c>
      <c r="D6084" s="28">
        <f t="shared" si="225"/>
        <v>980.79999999997858</v>
      </c>
      <c r="E6084" s="28">
        <f t="shared" si="226"/>
        <v>919.49999999997988</v>
      </c>
      <c r="F6084" s="28">
        <f t="shared" si="227"/>
        <v>901.49999999997988</v>
      </c>
      <c r="G6084" s="28">
        <f t="shared" si="228"/>
        <v>834.30079999999998</v>
      </c>
      <c r="H6084" s="28">
        <f t="shared" si="229"/>
        <v>872.45190000000002</v>
      </c>
      <c r="I6084" s="28">
        <f t="shared" si="230"/>
        <v>891.56190000000004</v>
      </c>
      <c r="J6084" s="28">
        <f t="shared" si="231"/>
        <v>906.55489999999998</v>
      </c>
      <c r="K6084" s="28">
        <f t="shared" si="232"/>
        <v>932.4153</v>
      </c>
      <c r="L6084" s="4"/>
      <c r="M6084" s="241">
        <v>891.56190000000004</v>
      </c>
    </row>
    <row r="6085" spans="3:13" hidden="1" outlineLevel="1" x14ac:dyDescent="0.2">
      <c r="C6085" s="139">
        <v>122.69999999999732</v>
      </c>
      <c r="D6085" s="28">
        <f t="shared" si="225"/>
        <v>981.59999999997854</v>
      </c>
      <c r="E6085" s="28">
        <f t="shared" si="226"/>
        <v>920.24999999997988</v>
      </c>
      <c r="F6085" s="28">
        <f t="shared" si="227"/>
        <v>902.24999999997988</v>
      </c>
      <c r="G6085" s="28">
        <f t="shared" si="228"/>
        <v>835.26800000000003</v>
      </c>
      <c r="H6085" s="28">
        <f t="shared" si="229"/>
        <v>873.44780000000003</v>
      </c>
      <c r="I6085" s="28">
        <f t="shared" si="230"/>
        <v>892.57889999999998</v>
      </c>
      <c r="J6085" s="28">
        <f t="shared" si="231"/>
        <v>907.57629999999995</v>
      </c>
      <c r="K6085" s="28">
        <f t="shared" si="232"/>
        <v>933.46529999999996</v>
      </c>
      <c r="L6085" s="4"/>
      <c r="M6085" s="241">
        <v>892.57889999999998</v>
      </c>
    </row>
    <row r="6086" spans="3:13" hidden="1" outlineLevel="1" x14ac:dyDescent="0.2">
      <c r="C6086" s="139">
        <v>122.79999999999731</v>
      </c>
      <c r="D6086" s="28">
        <f t="shared" si="225"/>
        <v>982.39999999997849</v>
      </c>
      <c r="E6086" s="28">
        <f t="shared" si="226"/>
        <v>920.99999999997988</v>
      </c>
      <c r="F6086" s="28">
        <f t="shared" si="227"/>
        <v>902.99999999997988</v>
      </c>
      <c r="G6086" s="28">
        <f t="shared" si="228"/>
        <v>835.26800000000003</v>
      </c>
      <c r="H6086" s="28">
        <f t="shared" si="229"/>
        <v>873.44780000000003</v>
      </c>
      <c r="I6086" s="28">
        <f t="shared" si="230"/>
        <v>892.57889999999998</v>
      </c>
      <c r="J6086" s="28">
        <f t="shared" si="231"/>
        <v>907.57629999999995</v>
      </c>
      <c r="K6086" s="28">
        <f t="shared" si="232"/>
        <v>933.46529999999996</v>
      </c>
      <c r="L6086" s="4"/>
      <c r="M6086" s="241">
        <v>892.57889999999998</v>
      </c>
    </row>
    <row r="6087" spans="3:13" hidden="1" outlineLevel="1" x14ac:dyDescent="0.2">
      <c r="C6087" s="139">
        <v>122.89999999999731</v>
      </c>
      <c r="D6087" s="28">
        <f t="shared" si="225"/>
        <v>983.19999999997844</v>
      </c>
      <c r="E6087" s="28">
        <f t="shared" si="226"/>
        <v>921.74999999997976</v>
      </c>
      <c r="F6087" s="28">
        <f t="shared" si="227"/>
        <v>903.74999999997976</v>
      </c>
      <c r="G6087" s="28">
        <f t="shared" si="228"/>
        <v>836.23540000000003</v>
      </c>
      <c r="H6087" s="28">
        <f t="shared" si="229"/>
        <v>874.44370000000004</v>
      </c>
      <c r="I6087" s="28">
        <f t="shared" si="230"/>
        <v>893.58230000000003</v>
      </c>
      <c r="J6087" s="28">
        <f t="shared" si="231"/>
        <v>908.59760000000006</v>
      </c>
      <c r="K6087" s="28">
        <f t="shared" si="232"/>
        <v>934.51530000000002</v>
      </c>
      <c r="L6087" s="4"/>
      <c r="M6087" s="241">
        <v>893.58230000000003</v>
      </c>
    </row>
    <row r="6088" spans="3:13" hidden="1" outlineLevel="1" x14ac:dyDescent="0.2">
      <c r="C6088" s="139">
        <v>122.9999999999973</v>
      </c>
      <c r="D6088" s="28">
        <f t="shared" si="225"/>
        <v>983.9999999999784</v>
      </c>
      <c r="E6088" s="28">
        <f t="shared" si="226"/>
        <v>922.49999999997976</v>
      </c>
      <c r="F6088" s="28">
        <f t="shared" si="227"/>
        <v>904.49999999997976</v>
      </c>
      <c r="G6088" s="28">
        <f t="shared" si="228"/>
        <v>837.20280000000002</v>
      </c>
      <c r="H6088" s="28">
        <f t="shared" si="229"/>
        <v>875.45339999999999</v>
      </c>
      <c r="I6088" s="28">
        <f t="shared" si="230"/>
        <v>894.59939999999995</v>
      </c>
      <c r="J6088" s="28">
        <f t="shared" si="231"/>
        <v>909.63409999999999</v>
      </c>
      <c r="K6088" s="28">
        <f t="shared" si="232"/>
        <v>935.56539999999995</v>
      </c>
      <c r="L6088" s="4"/>
      <c r="M6088" s="241">
        <v>894.59939999999995</v>
      </c>
    </row>
    <row r="6089" spans="3:13" hidden="1" outlineLevel="1" x14ac:dyDescent="0.2">
      <c r="C6089" s="139">
        <v>123.09999999999729</v>
      </c>
      <c r="D6089" s="28">
        <f t="shared" si="225"/>
        <v>984.79999999997835</v>
      </c>
      <c r="E6089" s="28">
        <f t="shared" si="226"/>
        <v>923.24999999997976</v>
      </c>
      <c r="F6089" s="28">
        <f t="shared" si="227"/>
        <v>905.24999999997976</v>
      </c>
      <c r="G6089" s="28">
        <f t="shared" si="228"/>
        <v>838.18420000000003</v>
      </c>
      <c r="H6089" s="28">
        <f t="shared" si="229"/>
        <v>876.44949999999994</v>
      </c>
      <c r="I6089" s="28">
        <f t="shared" si="230"/>
        <v>895.61659999999995</v>
      </c>
      <c r="J6089" s="28">
        <f t="shared" si="231"/>
        <v>910.65560000000005</v>
      </c>
      <c r="K6089" s="28">
        <f t="shared" si="232"/>
        <v>936.6155</v>
      </c>
      <c r="L6089" s="4"/>
      <c r="M6089" s="241">
        <v>895.61659999999995</v>
      </c>
    </row>
    <row r="6090" spans="3:13" hidden="1" outlineLevel="1" x14ac:dyDescent="0.2">
      <c r="C6090" s="139">
        <v>123.19999999999729</v>
      </c>
      <c r="D6090" s="28">
        <f t="shared" si="225"/>
        <v>985.59999999997831</v>
      </c>
      <c r="E6090" s="28">
        <f t="shared" si="226"/>
        <v>923.99999999997965</v>
      </c>
      <c r="F6090" s="28">
        <f t="shared" si="227"/>
        <v>905.99999999997965</v>
      </c>
      <c r="G6090" s="28">
        <f t="shared" si="228"/>
        <v>838.18420000000003</v>
      </c>
      <c r="H6090" s="28">
        <f t="shared" si="229"/>
        <v>876.44949999999994</v>
      </c>
      <c r="I6090" s="28">
        <f t="shared" si="230"/>
        <v>895.61659999999995</v>
      </c>
      <c r="J6090" s="28">
        <f t="shared" si="231"/>
        <v>910.65560000000005</v>
      </c>
      <c r="K6090" s="28">
        <f t="shared" si="232"/>
        <v>936.6155</v>
      </c>
      <c r="L6090" s="4"/>
      <c r="M6090" s="241">
        <v>895.61659999999995</v>
      </c>
    </row>
    <row r="6091" spans="3:13" hidden="1" outlineLevel="1" x14ac:dyDescent="0.2">
      <c r="C6091" s="139">
        <v>123.29999999999728</v>
      </c>
      <c r="D6091" s="28">
        <f t="shared" si="225"/>
        <v>986.39999999997826</v>
      </c>
      <c r="E6091" s="28">
        <f t="shared" si="226"/>
        <v>924.74999999997965</v>
      </c>
      <c r="F6091" s="28">
        <f t="shared" si="227"/>
        <v>906.74999999997965</v>
      </c>
      <c r="G6091" s="28">
        <f t="shared" si="228"/>
        <v>839.15179999999998</v>
      </c>
      <c r="H6091" s="28">
        <f t="shared" si="229"/>
        <v>877.44560000000001</v>
      </c>
      <c r="I6091" s="28">
        <f t="shared" si="230"/>
        <v>896.62009999999998</v>
      </c>
      <c r="J6091" s="28">
        <f t="shared" si="231"/>
        <v>911.67700000000002</v>
      </c>
      <c r="K6091" s="28">
        <f t="shared" si="232"/>
        <v>937.66560000000004</v>
      </c>
      <c r="L6091" s="4"/>
      <c r="M6091" s="241">
        <v>896.62009999999998</v>
      </c>
    </row>
    <row r="6092" spans="3:13" hidden="1" outlineLevel="1" x14ac:dyDescent="0.2">
      <c r="C6092" s="139">
        <v>123.39999999999728</v>
      </c>
      <c r="D6092" s="28">
        <f t="shared" si="225"/>
        <v>987.19999999997822</v>
      </c>
      <c r="E6092" s="28">
        <f t="shared" si="226"/>
        <v>925.49999999997954</v>
      </c>
      <c r="F6092" s="28">
        <f t="shared" si="227"/>
        <v>907.49999999997954</v>
      </c>
      <c r="G6092" s="28">
        <f t="shared" si="228"/>
        <v>840.11950000000002</v>
      </c>
      <c r="H6092" s="28">
        <f t="shared" si="229"/>
        <v>878.44169999999997</v>
      </c>
      <c r="I6092" s="28">
        <f t="shared" si="230"/>
        <v>897.63739999999996</v>
      </c>
      <c r="J6092" s="28">
        <f t="shared" si="231"/>
        <v>912.71370000000002</v>
      </c>
      <c r="K6092" s="28">
        <f t="shared" si="232"/>
        <v>938.71579999999994</v>
      </c>
      <c r="L6092" s="4"/>
      <c r="M6092" s="241">
        <v>897.63739999999996</v>
      </c>
    </row>
    <row r="6093" spans="3:13" hidden="1" outlineLevel="1" x14ac:dyDescent="0.2">
      <c r="C6093" s="139">
        <v>123.49999999999727</v>
      </c>
      <c r="D6093" s="28">
        <f t="shared" si="225"/>
        <v>987.99999999997817</v>
      </c>
      <c r="E6093" s="28">
        <f t="shared" si="226"/>
        <v>926.24999999997954</v>
      </c>
      <c r="F6093" s="28">
        <f t="shared" si="227"/>
        <v>908.24999999997954</v>
      </c>
      <c r="G6093" s="28">
        <f t="shared" si="228"/>
        <v>841.0874</v>
      </c>
      <c r="H6093" s="28">
        <f t="shared" si="229"/>
        <v>879.43799999999999</v>
      </c>
      <c r="I6093" s="28">
        <f t="shared" si="230"/>
        <v>898.65480000000002</v>
      </c>
      <c r="J6093" s="28">
        <f t="shared" si="231"/>
        <v>913.73530000000005</v>
      </c>
      <c r="K6093" s="28">
        <f t="shared" si="232"/>
        <v>939.76599999999996</v>
      </c>
      <c r="L6093" s="4"/>
      <c r="M6093" s="241">
        <v>898.65480000000002</v>
      </c>
    </row>
    <row r="6094" spans="3:13" hidden="1" outlineLevel="1" x14ac:dyDescent="0.2">
      <c r="C6094" s="139">
        <v>123.59999999999727</v>
      </c>
      <c r="D6094" s="28">
        <f t="shared" si="225"/>
        <v>988.79999999997813</v>
      </c>
      <c r="E6094" s="28">
        <f t="shared" si="226"/>
        <v>926.99999999997954</v>
      </c>
      <c r="F6094" s="28">
        <f t="shared" si="227"/>
        <v>908.99999999997954</v>
      </c>
      <c r="G6094" s="28">
        <f t="shared" si="228"/>
        <v>841.0874</v>
      </c>
      <c r="H6094" s="28">
        <f t="shared" si="229"/>
        <v>879.43799999999999</v>
      </c>
      <c r="I6094" s="28">
        <f t="shared" si="230"/>
        <v>898.65480000000002</v>
      </c>
      <c r="J6094" s="28">
        <f t="shared" si="231"/>
        <v>913.73530000000005</v>
      </c>
      <c r="K6094" s="28">
        <f t="shared" si="232"/>
        <v>939.76599999999996</v>
      </c>
      <c r="L6094" s="4"/>
      <c r="M6094" s="241">
        <v>898.65480000000002</v>
      </c>
    </row>
    <row r="6095" spans="3:13" hidden="1" outlineLevel="1" x14ac:dyDescent="0.2">
      <c r="C6095" s="139">
        <v>123.69999999999726</v>
      </c>
      <c r="D6095" s="28">
        <f t="shared" si="225"/>
        <v>989.59999999997808</v>
      </c>
      <c r="E6095" s="28">
        <f t="shared" si="226"/>
        <v>927.74999999997942</v>
      </c>
      <c r="F6095" s="28">
        <f t="shared" si="227"/>
        <v>909.74999999997942</v>
      </c>
      <c r="G6095" s="28">
        <f t="shared" si="228"/>
        <v>842.05529999999999</v>
      </c>
      <c r="H6095" s="28">
        <f t="shared" si="229"/>
        <v>880.43420000000003</v>
      </c>
      <c r="I6095" s="28">
        <f t="shared" si="230"/>
        <v>899.65840000000003</v>
      </c>
      <c r="J6095" s="28">
        <f t="shared" si="231"/>
        <v>914.7568</v>
      </c>
      <c r="K6095" s="28">
        <f t="shared" si="232"/>
        <v>940.81619999999998</v>
      </c>
      <c r="L6095" s="4"/>
      <c r="M6095" s="241">
        <v>899.65840000000003</v>
      </c>
    </row>
    <row r="6096" spans="3:13" hidden="1" outlineLevel="1" x14ac:dyDescent="0.2">
      <c r="C6096" s="139">
        <v>123.79999999999725</v>
      </c>
      <c r="D6096" s="28">
        <f t="shared" si="225"/>
        <v>990.39999999997804</v>
      </c>
      <c r="E6096" s="28">
        <f t="shared" si="226"/>
        <v>928.49999999997942</v>
      </c>
      <c r="F6096" s="28">
        <f t="shared" si="227"/>
        <v>910.49999999997942</v>
      </c>
      <c r="G6096" s="28">
        <f t="shared" si="228"/>
        <v>843.02329999999995</v>
      </c>
      <c r="H6096" s="28">
        <f t="shared" si="229"/>
        <v>881.43060000000003</v>
      </c>
      <c r="I6096" s="28">
        <f t="shared" si="230"/>
        <v>900.67589999999996</v>
      </c>
      <c r="J6096" s="28">
        <f t="shared" si="231"/>
        <v>915.77850000000001</v>
      </c>
      <c r="K6096" s="28">
        <f t="shared" si="232"/>
        <v>941.86649999999997</v>
      </c>
      <c r="L6096" s="4"/>
      <c r="M6096" s="241">
        <v>900.67589999999996</v>
      </c>
    </row>
    <row r="6097" spans="3:13" hidden="1" outlineLevel="1" x14ac:dyDescent="0.2">
      <c r="C6097" s="139">
        <v>123.89999999999725</v>
      </c>
      <c r="D6097" s="28">
        <f t="shared" si="225"/>
        <v>991.19999999997799</v>
      </c>
      <c r="E6097" s="28">
        <f t="shared" si="226"/>
        <v>929.24999999997931</v>
      </c>
      <c r="F6097" s="28">
        <f t="shared" si="227"/>
        <v>911.24999999997931</v>
      </c>
      <c r="G6097" s="28">
        <f t="shared" si="228"/>
        <v>843.9914</v>
      </c>
      <c r="H6097" s="28">
        <f t="shared" si="229"/>
        <v>882.42700000000002</v>
      </c>
      <c r="I6097" s="28">
        <f t="shared" si="230"/>
        <v>901.6934</v>
      </c>
      <c r="J6097" s="28">
        <f t="shared" si="231"/>
        <v>916.81539999999995</v>
      </c>
      <c r="K6097" s="28">
        <f t="shared" si="232"/>
        <v>942.91679999999997</v>
      </c>
      <c r="L6097" s="4"/>
      <c r="M6097" s="241">
        <v>901.6934</v>
      </c>
    </row>
    <row r="6098" spans="3:13" hidden="1" outlineLevel="1" x14ac:dyDescent="0.2">
      <c r="C6098" s="139">
        <v>123.99999999999724</v>
      </c>
      <c r="D6098" s="28">
        <f t="shared" si="225"/>
        <v>991.99999999997794</v>
      </c>
      <c r="E6098" s="28">
        <f t="shared" si="226"/>
        <v>929.99999999997931</v>
      </c>
      <c r="F6098" s="28">
        <f t="shared" si="227"/>
        <v>911.99999999997931</v>
      </c>
      <c r="G6098" s="28">
        <f t="shared" si="228"/>
        <v>843.9914</v>
      </c>
      <c r="H6098" s="28">
        <f t="shared" si="229"/>
        <v>882.42700000000002</v>
      </c>
      <c r="I6098" s="28">
        <f t="shared" si="230"/>
        <v>901.6934</v>
      </c>
      <c r="J6098" s="28">
        <f t="shared" si="231"/>
        <v>916.81539999999995</v>
      </c>
      <c r="K6098" s="28">
        <f t="shared" si="232"/>
        <v>942.91679999999997</v>
      </c>
      <c r="L6098" s="4"/>
      <c r="M6098" s="241">
        <v>901.6934</v>
      </c>
    </row>
    <row r="6099" spans="3:13" hidden="1" outlineLevel="1" x14ac:dyDescent="0.2">
      <c r="C6099" s="139">
        <v>124.09999999999724</v>
      </c>
      <c r="D6099" s="28">
        <f t="shared" si="225"/>
        <v>992.7999999999779</v>
      </c>
      <c r="E6099" s="28">
        <f t="shared" si="226"/>
        <v>930.74999999997931</v>
      </c>
      <c r="F6099" s="28">
        <f t="shared" si="227"/>
        <v>912.74999999997931</v>
      </c>
      <c r="G6099" s="28">
        <f t="shared" si="228"/>
        <v>844.95960000000002</v>
      </c>
      <c r="H6099" s="28">
        <f t="shared" si="229"/>
        <v>883.42349999999999</v>
      </c>
      <c r="I6099" s="28">
        <f t="shared" si="230"/>
        <v>902.69709999999998</v>
      </c>
      <c r="J6099" s="28">
        <f t="shared" si="231"/>
        <v>917.83709999999996</v>
      </c>
      <c r="K6099" s="28">
        <f t="shared" si="232"/>
        <v>943.96720000000005</v>
      </c>
      <c r="L6099" s="4"/>
      <c r="M6099" s="241">
        <v>902.69709999999998</v>
      </c>
    </row>
    <row r="6100" spans="3:13" hidden="1" outlineLevel="1" x14ac:dyDescent="0.2">
      <c r="C6100" s="139">
        <v>124.19999999999723</v>
      </c>
      <c r="D6100" s="28">
        <f t="shared" si="225"/>
        <v>993.59999999997785</v>
      </c>
      <c r="E6100" s="28">
        <f t="shared" si="226"/>
        <v>931.4999999999792</v>
      </c>
      <c r="F6100" s="28">
        <f t="shared" si="227"/>
        <v>913.4999999999792</v>
      </c>
      <c r="G6100" s="28">
        <f t="shared" si="228"/>
        <v>845.92790000000002</v>
      </c>
      <c r="H6100" s="28">
        <f t="shared" si="229"/>
        <v>884.42</v>
      </c>
      <c r="I6100" s="28">
        <f t="shared" si="230"/>
        <v>903.71479999999997</v>
      </c>
      <c r="J6100" s="28">
        <f t="shared" si="231"/>
        <v>918.85879999999997</v>
      </c>
      <c r="K6100" s="28">
        <f t="shared" si="232"/>
        <v>945.01760000000002</v>
      </c>
      <c r="L6100" s="4"/>
      <c r="M6100" s="241">
        <v>903.71479999999997</v>
      </c>
    </row>
    <row r="6101" spans="3:13" hidden="1" outlineLevel="1" x14ac:dyDescent="0.2">
      <c r="C6101" s="139">
        <v>124.29999999999723</v>
      </c>
      <c r="D6101" s="28">
        <f t="shared" si="225"/>
        <v>994.39999999997781</v>
      </c>
      <c r="E6101" s="28">
        <f t="shared" si="226"/>
        <v>932.2499999999792</v>
      </c>
      <c r="F6101" s="28">
        <f t="shared" si="227"/>
        <v>914.2499999999792</v>
      </c>
      <c r="G6101" s="28">
        <f t="shared" si="228"/>
        <v>846.8963</v>
      </c>
      <c r="H6101" s="28">
        <f t="shared" si="229"/>
        <v>885.41660000000002</v>
      </c>
      <c r="I6101" s="28">
        <f t="shared" si="230"/>
        <v>904.73249999999996</v>
      </c>
      <c r="J6101" s="28">
        <f t="shared" si="231"/>
        <v>919.88059999999996</v>
      </c>
      <c r="K6101" s="28">
        <f t="shared" si="232"/>
        <v>946.06799999999998</v>
      </c>
      <c r="L6101" s="4"/>
      <c r="M6101" s="241">
        <v>904.73249999999996</v>
      </c>
    </row>
    <row r="6102" spans="3:13" hidden="1" outlineLevel="1" x14ac:dyDescent="0.2">
      <c r="C6102" s="139">
        <v>124.39999999999722</v>
      </c>
      <c r="D6102" s="28">
        <f t="shared" si="225"/>
        <v>995.19999999997776</v>
      </c>
      <c r="E6102" s="28">
        <f t="shared" si="226"/>
        <v>932.9999999999792</v>
      </c>
      <c r="F6102" s="28">
        <f t="shared" si="227"/>
        <v>914.9999999999792</v>
      </c>
      <c r="G6102" s="28">
        <f t="shared" si="228"/>
        <v>846.8963</v>
      </c>
      <c r="H6102" s="28">
        <f t="shared" si="229"/>
        <v>885.41660000000002</v>
      </c>
      <c r="I6102" s="28">
        <f t="shared" si="230"/>
        <v>904.73249999999996</v>
      </c>
      <c r="J6102" s="28">
        <f t="shared" si="231"/>
        <v>919.88059999999996</v>
      </c>
      <c r="K6102" s="28">
        <f t="shared" si="232"/>
        <v>946.06799999999998</v>
      </c>
      <c r="L6102" s="4"/>
      <c r="M6102" s="241">
        <v>904.73249999999996</v>
      </c>
    </row>
    <row r="6103" spans="3:13" hidden="1" outlineLevel="1" x14ac:dyDescent="0.2">
      <c r="C6103" s="139">
        <v>124.49999999999721</v>
      </c>
      <c r="D6103" s="28">
        <f t="shared" si="225"/>
        <v>995.99999999997772</v>
      </c>
      <c r="E6103" s="28">
        <f t="shared" si="226"/>
        <v>933.74999999997908</v>
      </c>
      <c r="F6103" s="28">
        <f t="shared" si="227"/>
        <v>915.74999999997908</v>
      </c>
      <c r="G6103" s="28">
        <f t="shared" si="228"/>
        <v>847.86469999999997</v>
      </c>
      <c r="H6103" s="28">
        <f t="shared" si="229"/>
        <v>886.41319999999996</v>
      </c>
      <c r="I6103" s="28">
        <f t="shared" si="230"/>
        <v>905.7364</v>
      </c>
      <c r="J6103" s="28">
        <f t="shared" si="231"/>
        <v>920.91769999999997</v>
      </c>
      <c r="K6103" s="28">
        <f t="shared" si="232"/>
        <v>947.11839999999995</v>
      </c>
      <c r="L6103" s="4"/>
      <c r="M6103" s="241">
        <v>905.7364</v>
      </c>
    </row>
    <row r="6104" spans="3:13" hidden="1" outlineLevel="1" x14ac:dyDescent="0.2">
      <c r="C6104" s="139">
        <v>124.59999999999721</v>
      </c>
      <c r="D6104" s="28">
        <f t="shared" si="225"/>
        <v>996.79999999997767</v>
      </c>
      <c r="E6104" s="28">
        <f t="shared" si="226"/>
        <v>934.49999999997908</v>
      </c>
      <c r="F6104" s="28">
        <f t="shared" si="227"/>
        <v>916.49999999997908</v>
      </c>
      <c r="G6104" s="28">
        <f t="shared" si="228"/>
        <v>848.83330000000001</v>
      </c>
      <c r="H6104" s="28">
        <f t="shared" si="229"/>
        <v>887.40989999999999</v>
      </c>
      <c r="I6104" s="28">
        <f t="shared" si="230"/>
        <v>906.75419999999997</v>
      </c>
      <c r="J6104" s="28">
        <f t="shared" si="231"/>
        <v>921.93949999999995</v>
      </c>
      <c r="K6104" s="28">
        <f t="shared" si="232"/>
        <v>948.16890000000001</v>
      </c>
      <c r="L6104" s="4"/>
      <c r="M6104" s="241">
        <v>906.75419999999997</v>
      </c>
    </row>
    <row r="6105" spans="3:13" hidden="1" outlineLevel="1" x14ac:dyDescent="0.2">
      <c r="C6105" s="139">
        <v>124.6999999999972</v>
      </c>
      <c r="D6105" s="28">
        <f t="shared" si="225"/>
        <v>997.59999999997763</v>
      </c>
      <c r="E6105" s="28">
        <f t="shared" si="226"/>
        <v>935.24999999997908</v>
      </c>
      <c r="F6105" s="28">
        <f t="shared" si="227"/>
        <v>917.24999999997908</v>
      </c>
      <c r="G6105" s="28">
        <f t="shared" si="228"/>
        <v>849.80190000000005</v>
      </c>
      <c r="H6105" s="28">
        <f t="shared" si="229"/>
        <v>888.4067</v>
      </c>
      <c r="I6105" s="28">
        <f t="shared" si="230"/>
        <v>907.77210000000002</v>
      </c>
      <c r="J6105" s="28">
        <f t="shared" si="231"/>
        <v>922.96140000000003</v>
      </c>
      <c r="K6105" s="28">
        <f t="shared" si="232"/>
        <v>949.21939999999995</v>
      </c>
      <c r="L6105" s="4"/>
      <c r="M6105" s="241">
        <v>907.77210000000002</v>
      </c>
    </row>
    <row r="6106" spans="3:13" hidden="1" outlineLevel="1" x14ac:dyDescent="0.2">
      <c r="C6106" s="139">
        <v>124.7999999999972</v>
      </c>
      <c r="D6106" s="28">
        <f t="shared" si="225"/>
        <v>998.39999999997758</v>
      </c>
      <c r="E6106" s="28">
        <f t="shared" si="226"/>
        <v>935.99999999997897</v>
      </c>
      <c r="F6106" s="28">
        <f t="shared" si="227"/>
        <v>917.99999999997897</v>
      </c>
      <c r="G6106" s="28">
        <f t="shared" si="228"/>
        <v>849.80190000000005</v>
      </c>
      <c r="H6106" s="28">
        <f t="shared" si="229"/>
        <v>888.4067</v>
      </c>
      <c r="I6106" s="28">
        <f t="shared" si="230"/>
        <v>907.77210000000002</v>
      </c>
      <c r="J6106" s="28">
        <f t="shared" si="231"/>
        <v>922.96140000000003</v>
      </c>
      <c r="K6106" s="28">
        <f t="shared" si="232"/>
        <v>949.21939999999995</v>
      </c>
      <c r="L6106" s="4"/>
      <c r="M6106" s="241">
        <v>907.77210000000002</v>
      </c>
    </row>
    <row r="6107" spans="3:13" hidden="1" outlineLevel="1" x14ac:dyDescent="0.2">
      <c r="C6107" s="139">
        <v>124.89999999999719</v>
      </c>
      <c r="D6107" s="28">
        <f t="shared" si="225"/>
        <v>999.19999999997754</v>
      </c>
      <c r="E6107" s="28">
        <f t="shared" si="226"/>
        <v>936.74999999997897</v>
      </c>
      <c r="F6107" s="28">
        <f t="shared" si="227"/>
        <v>918.74999999997897</v>
      </c>
      <c r="G6107" s="28">
        <f t="shared" si="228"/>
        <v>850.77070000000003</v>
      </c>
      <c r="H6107" s="28">
        <f t="shared" si="229"/>
        <v>889.40350000000001</v>
      </c>
      <c r="I6107" s="28">
        <f t="shared" si="230"/>
        <v>908.77599999999995</v>
      </c>
      <c r="J6107" s="28">
        <f t="shared" si="231"/>
        <v>923.99869999999999</v>
      </c>
      <c r="K6107" s="28">
        <f t="shared" si="232"/>
        <v>950.26990000000001</v>
      </c>
      <c r="L6107" s="4"/>
      <c r="M6107" s="241">
        <v>908.77599999999995</v>
      </c>
    </row>
    <row r="6108" spans="3:13" hidden="1" outlineLevel="1" x14ac:dyDescent="0.2">
      <c r="C6108" s="139">
        <v>124.99999999999719</v>
      </c>
      <c r="D6108" s="28">
        <f t="shared" si="225"/>
        <v>999.99999999997749</v>
      </c>
      <c r="E6108" s="28">
        <f t="shared" si="226"/>
        <v>937.49999999997885</v>
      </c>
      <c r="F6108" s="28">
        <f t="shared" si="227"/>
        <v>919.49999999997885</v>
      </c>
      <c r="G6108" s="28">
        <f t="shared" si="228"/>
        <v>851.73950000000002</v>
      </c>
      <c r="H6108" s="28">
        <f t="shared" si="229"/>
        <v>890.40039999999999</v>
      </c>
      <c r="I6108" s="28">
        <f t="shared" si="230"/>
        <v>909.79399999999998</v>
      </c>
      <c r="J6108" s="28">
        <f t="shared" si="231"/>
        <v>925.02070000000003</v>
      </c>
      <c r="K6108" s="28">
        <f t="shared" si="232"/>
        <v>951.32050000000004</v>
      </c>
      <c r="L6108" s="4"/>
      <c r="M6108" s="241">
        <v>909.79399999999998</v>
      </c>
    </row>
    <row r="6109" spans="3:13" hidden="1" outlineLevel="1" x14ac:dyDescent="0.2">
      <c r="C6109" s="139">
        <v>125.09999999999718</v>
      </c>
      <c r="D6109" s="28">
        <f t="shared" si="225"/>
        <v>1000.7999999999774</v>
      </c>
      <c r="E6109" s="28">
        <f t="shared" si="226"/>
        <v>938.24999999997885</v>
      </c>
      <c r="F6109" s="28">
        <f t="shared" si="227"/>
        <v>920.24999999997885</v>
      </c>
      <c r="G6109" s="28">
        <f t="shared" si="228"/>
        <v>852.70839999999998</v>
      </c>
      <c r="H6109" s="28">
        <f t="shared" si="229"/>
        <v>891.39739999999995</v>
      </c>
      <c r="I6109" s="28">
        <f t="shared" si="230"/>
        <v>910.81209999999999</v>
      </c>
      <c r="J6109" s="28">
        <f t="shared" si="231"/>
        <v>926.04269999999997</v>
      </c>
      <c r="K6109" s="28">
        <f t="shared" si="232"/>
        <v>952.37109999999996</v>
      </c>
      <c r="L6109" s="4"/>
      <c r="M6109" s="241">
        <v>910.81209999999999</v>
      </c>
    </row>
    <row r="6110" spans="3:13" hidden="1" outlineLevel="1" x14ac:dyDescent="0.2">
      <c r="C6110" s="139">
        <v>125.19999999999717</v>
      </c>
      <c r="D6110" s="28">
        <f t="shared" si="225"/>
        <v>1001.5999999999774</v>
      </c>
      <c r="E6110" s="28">
        <f t="shared" si="226"/>
        <v>938.99999999997885</v>
      </c>
      <c r="F6110" s="28">
        <f t="shared" si="227"/>
        <v>920.99999999997885</v>
      </c>
      <c r="G6110" s="28">
        <f t="shared" si="228"/>
        <v>852.70839999999998</v>
      </c>
      <c r="H6110" s="28">
        <f t="shared" si="229"/>
        <v>891.39739999999995</v>
      </c>
      <c r="I6110" s="28">
        <f t="shared" si="230"/>
        <v>910.81209999999999</v>
      </c>
      <c r="J6110" s="28">
        <f t="shared" si="231"/>
        <v>926.04269999999997</v>
      </c>
      <c r="K6110" s="28">
        <f t="shared" si="232"/>
        <v>952.37109999999996</v>
      </c>
      <c r="L6110" s="4"/>
      <c r="M6110" s="241">
        <v>910.81209999999999</v>
      </c>
    </row>
    <row r="6111" spans="3:13" hidden="1" outlineLevel="1" x14ac:dyDescent="0.2">
      <c r="C6111" s="139">
        <v>125.29999999999717</v>
      </c>
      <c r="D6111" s="28">
        <f t="shared" si="225"/>
        <v>1002.3999999999774</v>
      </c>
      <c r="E6111" s="28">
        <f t="shared" si="226"/>
        <v>939.74999999997874</v>
      </c>
      <c r="F6111" s="28">
        <f t="shared" si="227"/>
        <v>921.74999999997874</v>
      </c>
      <c r="G6111" s="28">
        <f t="shared" si="228"/>
        <v>853.69150000000002</v>
      </c>
      <c r="H6111" s="28">
        <f t="shared" si="229"/>
        <v>892.39440000000002</v>
      </c>
      <c r="I6111" s="28">
        <f t="shared" si="230"/>
        <v>911.81610000000001</v>
      </c>
      <c r="J6111" s="28">
        <f t="shared" si="231"/>
        <v>927.06470000000002</v>
      </c>
      <c r="K6111" s="28">
        <f t="shared" si="232"/>
        <v>953.42179999999996</v>
      </c>
      <c r="L6111" s="4"/>
      <c r="M6111" s="241">
        <v>911.81610000000001</v>
      </c>
    </row>
    <row r="6112" spans="3:13" hidden="1" outlineLevel="1" x14ac:dyDescent="0.2">
      <c r="C6112" s="139">
        <v>125.39999999999716</v>
      </c>
      <c r="D6112" s="28">
        <f t="shared" si="225"/>
        <v>1003.1999999999773</v>
      </c>
      <c r="E6112" s="28">
        <f t="shared" si="226"/>
        <v>940.49999999997874</v>
      </c>
      <c r="F6112" s="28">
        <f t="shared" si="227"/>
        <v>922.49999999997874</v>
      </c>
      <c r="G6112" s="28">
        <f t="shared" si="228"/>
        <v>854.66060000000004</v>
      </c>
      <c r="H6112" s="28">
        <f t="shared" si="229"/>
        <v>893.39149999999995</v>
      </c>
      <c r="I6112" s="28">
        <f t="shared" si="230"/>
        <v>912.83429999999998</v>
      </c>
      <c r="J6112" s="28">
        <f t="shared" si="231"/>
        <v>928.10230000000001</v>
      </c>
      <c r="K6112" s="28">
        <f t="shared" si="232"/>
        <v>954.47239999999999</v>
      </c>
      <c r="L6112" s="4"/>
      <c r="M6112" s="241">
        <v>912.83429999999998</v>
      </c>
    </row>
    <row r="6113" spans="3:13" hidden="1" outlineLevel="1" x14ac:dyDescent="0.2">
      <c r="C6113" s="139">
        <v>125.49999999999716</v>
      </c>
      <c r="D6113" s="28">
        <f t="shared" si="225"/>
        <v>1003.9999999999773</v>
      </c>
      <c r="E6113" s="28">
        <f t="shared" si="226"/>
        <v>941.24999999997863</v>
      </c>
      <c r="F6113" s="28">
        <f t="shared" si="227"/>
        <v>923.24999999997863</v>
      </c>
      <c r="G6113" s="28">
        <f t="shared" si="228"/>
        <v>855.62980000000005</v>
      </c>
      <c r="H6113" s="28">
        <f t="shared" si="229"/>
        <v>894.3886</v>
      </c>
      <c r="I6113" s="28">
        <f t="shared" si="230"/>
        <v>913.83839999999998</v>
      </c>
      <c r="J6113" s="28">
        <f t="shared" si="231"/>
        <v>929.12440000000004</v>
      </c>
      <c r="K6113" s="28">
        <f t="shared" si="232"/>
        <v>955.52319999999997</v>
      </c>
      <c r="L6113" s="4"/>
      <c r="M6113" s="241">
        <v>913.83839999999998</v>
      </c>
    </row>
    <row r="6114" spans="3:13" hidden="1" outlineLevel="1" x14ac:dyDescent="0.2">
      <c r="C6114" s="139">
        <v>125.59999999999715</v>
      </c>
      <c r="D6114" s="28">
        <f t="shared" si="225"/>
        <v>1004.7999999999772</v>
      </c>
      <c r="E6114" s="28">
        <f t="shared" si="226"/>
        <v>941.99999999997863</v>
      </c>
      <c r="F6114" s="28">
        <f t="shared" si="227"/>
        <v>923.99999999997863</v>
      </c>
      <c r="G6114" s="28">
        <f t="shared" si="228"/>
        <v>855.62980000000005</v>
      </c>
      <c r="H6114" s="28">
        <f t="shared" si="229"/>
        <v>894.3886</v>
      </c>
      <c r="I6114" s="28">
        <f t="shared" si="230"/>
        <v>913.83839999999998</v>
      </c>
      <c r="J6114" s="28">
        <f t="shared" si="231"/>
        <v>929.12440000000004</v>
      </c>
      <c r="K6114" s="28">
        <f t="shared" si="232"/>
        <v>955.52319999999997</v>
      </c>
      <c r="L6114" s="4"/>
      <c r="M6114" s="241">
        <v>913.83839999999998</v>
      </c>
    </row>
    <row r="6115" spans="3:13" hidden="1" outlineLevel="1" x14ac:dyDescent="0.2">
      <c r="C6115" s="139">
        <v>125.69999999999715</v>
      </c>
      <c r="D6115" s="28">
        <f t="shared" si="225"/>
        <v>1005.5999999999772</v>
      </c>
      <c r="E6115" s="28">
        <f t="shared" si="226"/>
        <v>942.74999999997863</v>
      </c>
      <c r="F6115" s="28">
        <f t="shared" si="227"/>
        <v>924.74999999997863</v>
      </c>
      <c r="G6115" s="28">
        <f t="shared" si="228"/>
        <v>856.5992</v>
      </c>
      <c r="H6115" s="28">
        <f t="shared" si="229"/>
        <v>895.38580000000002</v>
      </c>
      <c r="I6115" s="28">
        <f t="shared" si="230"/>
        <v>914.85670000000005</v>
      </c>
      <c r="J6115" s="28">
        <f t="shared" si="231"/>
        <v>930.14649999999995</v>
      </c>
      <c r="K6115" s="28">
        <f t="shared" si="232"/>
        <v>956.57389999999998</v>
      </c>
      <c r="L6115" s="4"/>
      <c r="M6115" s="241">
        <v>914.85670000000005</v>
      </c>
    </row>
    <row r="6116" spans="3:13" hidden="1" outlineLevel="1" x14ac:dyDescent="0.2">
      <c r="C6116" s="139">
        <v>125.79999999999714</v>
      </c>
      <c r="D6116" s="28">
        <f t="shared" si="225"/>
        <v>1006.3999999999771</v>
      </c>
      <c r="E6116" s="28">
        <f t="shared" si="226"/>
        <v>943.49999999997851</v>
      </c>
      <c r="F6116" s="28">
        <f t="shared" si="227"/>
        <v>925.49999999997851</v>
      </c>
      <c r="G6116" s="28">
        <f t="shared" si="228"/>
        <v>857.56859999999995</v>
      </c>
      <c r="H6116" s="28">
        <f t="shared" si="229"/>
        <v>896.38310000000001</v>
      </c>
      <c r="I6116" s="28">
        <f t="shared" si="230"/>
        <v>915.87509999999997</v>
      </c>
      <c r="J6116" s="28">
        <f t="shared" si="231"/>
        <v>931.16869999999994</v>
      </c>
      <c r="K6116" s="28">
        <f t="shared" si="232"/>
        <v>957.62469999999996</v>
      </c>
      <c r="L6116" s="4"/>
      <c r="M6116" s="241">
        <v>915.87509999999997</v>
      </c>
    </row>
    <row r="6117" spans="3:13" hidden="1" outlineLevel="1" x14ac:dyDescent="0.2">
      <c r="C6117" s="139">
        <v>125.89999999999714</v>
      </c>
      <c r="D6117" s="28">
        <f t="shared" si="225"/>
        <v>1007.1999999999771</v>
      </c>
      <c r="E6117" s="28">
        <f t="shared" si="226"/>
        <v>944.24999999997851</v>
      </c>
      <c r="F6117" s="28">
        <f t="shared" si="227"/>
        <v>926.24999999997851</v>
      </c>
      <c r="G6117" s="28">
        <f t="shared" si="228"/>
        <v>858.53800000000001</v>
      </c>
      <c r="H6117" s="28">
        <f t="shared" si="229"/>
        <v>897.38040000000001</v>
      </c>
      <c r="I6117" s="28">
        <f t="shared" si="230"/>
        <v>916.87929999999994</v>
      </c>
      <c r="J6117" s="28">
        <f t="shared" si="231"/>
        <v>932.20640000000003</v>
      </c>
      <c r="K6117" s="28">
        <f t="shared" si="232"/>
        <v>958.67550000000006</v>
      </c>
      <c r="L6117" s="4"/>
      <c r="M6117" s="241">
        <v>916.87929999999994</v>
      </c>
    </row>
    <row r="6118" spans="3:13" hidden="1" outlineLevel="1" x14ac:dyDescent="0.2">
      <c r="C6118" s="139">
        <v>125.99999999999713</v>
      </c>
      <c r="D6118" s="28">
        <f t="shared" si="225"/>
        <v>1007.999999999977</v>
      </c>
      <c r="E6118" s="28">
        <f t="shared" si="226"/>
        <v>944.99999999997851</v>
      </c>
      <c r="F6118" s="28">
        <f t="shared" si="227"/>
        <v>926.99999999997851</v>
      </c>
      <c r="G6118" s="28">
        <f t="shared" si="228"/>
        <v>858.53800000000001</v>
      </c>
      <c r="H6118" s="28">
        <f t="shared" si="229"/>
        <v>897.38040000000001</v>
      </c>
      <c r="I6118" s="28">
        <f t="shared" si="230"/>
        <v>916.87929999999994</v>
      </c>
      <c r="J6118" s="28">
        <f t="shared" si="231"/>
        <v>932.20640000000003</v>
      </c>
      <c r="K6118" s="28">
        <f t="shared" si="232"/>
        <v>958.67550000000006</v>
      </c>
      <c r="L6118" s="4"/>
      <c r="M6118" s="241">
        <v>916.87929999999994</v>
      </c>
    </row>
    <row r="6119" spans="3:13" hidden="1" outlineLevel="1" x14ac:dyDescent="0.2">
      <c r="C6119" s="139">
        <v>126.09999999999712</v>
      </c>
      <c r="D6119" s="28">
        <f t="shared" si="225"/>
        <v>1008.799999999977</v>
      </c>
      <c r="E6119" s="28">
        <f t="shared" si="226"/>
        <v>945.7499999999784</v>
      </c>
      <c r="F6119" s="28">
        <f t="shared" si="227"/>
        <v>927.7499999999784</v>
      </c>
      <c r="G6119" s="28">
        <f t="shared" si="228"/>
        <v>859.50760000000002</v>
      </c>
      <c r="H6119" s="28">
        <f t="shared" si="229"/>
        <v>898.37779999999998</v>
      </c>
      <c r="I6119" s="28">
        <f t="shared" si="230"/>
        <v>917.89779999999996</v>
      </c>
      <c r="J6119" s="28">
        <f t="shared" si="231"/>
        <v>933.2287</v>
      </c>
      <c r="K6119" s="28">
        <f t="shared" si="232"/>
        <v>959.72630000000004</v>
      </c>
      <c r="L6119" s="4"/>
      <c r="M6119" s="241">
        <v>917.89779999999996</v>
      </c>
    </row>
    <row r="6120" spans="3:13" hidden="1" outlineLevel="1" x14ac:dyDescent="0.2">
      <c r="C6120" s="139">
        <v>126.19999999999712</v>
      </c>
      <c r="D6120" s="28">
        <f t="shared" si="225"/>
        <v>1009.5999999999769</v>
      </c>
      <c r="E6120" s="28">
        <f t="shared" si="226"/>
        <v>946.4999999999784</v>
      </c>
      <c r="F6120" s="28">
        <f t="shared" si="227"/>
        <v>928.4999999999784</v>
      </c>
      <c r="G6120" s="28">
        <f t="shared" si="228"/>
        <v>860.47730000000001</v>
      </c>
      <c r="H6120" s="28">
        <f t="shared" si="229"/>
        <v>899.37519999999995</v>
      </c>
      <c r="I6120" s="28">
        <f t="shared" si="230"/>
        <v>918.90210000000002</v>
      </c>
      <c r="J6120" s="28">
        <f t="shared" si="231"/>
        <v>934.25099999999998</v>
      </c>
      <c r="K6120" s="28">
        <f t="shared" si="232"/>
        <v>960.76160000000004</v>
      </c>
      <c r="L6120" s="4"/>
      <c r="M6120" s="241">
        <v>918.90210000000002</v>
      </c>
    </row>
    <row r="6121" spans="3:13" hidden="1" outlineLevel="1" x14ac:dyDescent="0.2">
      <c r="C6121" s="139">
        <v>126.29999999999711</v>
      </c>
      <c r="D6121" s="28">
        <f t="shared" si="225"/>
        <v>1010.3999999999769</v>
      </c>
      <c r="E6121" s="28">
        <f t="shared" si="226"/>
        <v>947.2499999999784</v>
      </c>
      <c r="F6121" s="28">
        <f t="shared" si="227"/>
        <v>929.2499999999784</v>
      </c>
      <c r="G6121" s="28">
        <f t="shared" si="228"/>
        <v>861.43290000000002</v>
      </c>
      <c r="H6121" s="28">
        <f t="shared" si="229"/>
        <v>900.37270000000001</v>
      </c>
      <c r="I6121" s="28">
        <f t="shared" si="230"/>
        <v>919.92060000000004</v>
      </c>
      <c r="J6121" s="28">
        <f t="shared" si="231"/>
        <v>935.27329999999995</v>
      </c>
      <c r="K6121" s="28">
        <f t="shared" si="232"/>
        <v>961.8125</v>
      </c>
      <c r="L6121" s="4"/>
      <c r="M6121" s="241">
        <v>919.92060000000004</v>
      </c>
    </row>
    <row r="6122" spans="3:13" hidden="1" outlineLevel="1" x14ac:dyDescent="0.2">
      <c r="C6122" s="139">
        <v>126.39999999999711</v>
      </c>
      <c r="D6122" s="28">
        <f t="shared" si="225"/>
        <v>1011.1999999999769</v>
      </c>
      <c r="E6122" s="28">
        <f t="shared" si="226"/>
        <v>947.99999999997829</v>
      </c>
      <c r="F6122" s="28">
        <f t="shared" si="227"/>
        <v>929.99999999997829</v>
      </c>
      <c r="G6122" s="28">
        <f t="shared" si="228"/>
        <v>861.43290000000002</v>
      </c>
      <c r="H6122" s="28">
        <f t="shared" si="229"/>
        <v>900.37270000000001</v>
      </c>
      <c r="I6122" s="28">
        <f t="shared" si="230"/>
        <v>919.92060000000004</v>
      </c>
      <c r="J6122" s="28">
        <f t="shared" si="231"/>
        <v>935.27329999999995</v>
      </c>
      <c r="K6122" s="28">
        <f t="shared" si="232"/>
        <v>961.8125</v>
      </c>
      <c r="L6122" s="4"/>
      <c r="M6122" s="241">
        <v>919.92060000000004</v>
      </c>
    </row>
    <row r="6123" spans="3:13" hidden="1" outlineLevel="1" x14ac:dyDescent="0.2">
      <c r="C6123" s="139">
        <v>126.4999999999971</v>
      </c>
      <c r="D6123" s="28">
        <f t="shared" si="225"/>
        <v>1011.9999999999768</v>
      </c>
      <c r="E6123" s="28">
        <f t="shared" si="226"/>
        <v>948.74999999997829</v>
      </c>
      <c r="F6123" s="28">
        <f t="shared" si="227"/>
        <v>930.74999999997829</v>
      </c>
      <c r="G6123" s="28">
        <f t="shared" si="228"/>
        <v>862.40269999999998</v>
      </c>
      <c r="H6123" s="28">
        <f t="shared" si="229"/>
        <v>901.37030000000004</v>
      </c>
      <c r="I6123" s="28">
        <f t="shared" si="230"/>
        <v>920.9393</v>
      </c>
      <c r="J6123" s="28">
        <f t="shared" si="231"/>
        <v>936.31129999999996</v>
      </c>
      <c r="K6123" s="28">
        <f t="shared" si="232"/>
        <v>962.86350000000004</v>
      </c>
      <c r="L6123" s="4"/>
      <c r="M6123" s="241">
        <v>920.9393</v>
      </c>
    </row>
    <row r="6124" spans="3:13" hidden="1" outlineLevel="1" x14ac:dyDescent="0.2">
      <c r="C6124" s="139">
        <v>126.5999999999971</v>
      </c>
      <c r="D6124" s="28">
        <f t="shared" si="225"/>
        <v>1012.7999999999768</v>
      </c>
      <c r="E6124" s="28">
        <f t="shared" si="226"/>
        <v>949.49999999997817</v>
      </c>
      <c r="F6124" s="28">
        <f t="shared" si="227"/>
        <v>931.49999999997817</v>
      </c>
      <c r="G6124" s="28">
        <f t="shared" si="228"/>
        <v>863.37270000000001</v>
      </c>
      <c r="H6124" s="28">
        <f t="shared" si="229"/>
        <v>902.36789999999996</v>
      </c>
      <c r="I6124" s="28">
        <f t="shared" si="230"/>
        <v>921.94370000000004</v>
      </c>
      <c r="J6124" s="28">
        <f t="shared" si="231"/>
        <v>937.33370000000002</v>
      </c>
      <c r="K6124" s="28">
        <f t="shared" si="232"/>
        <v>963.9144</v>
      </c>
      <c r="L6124" s="4"/>
      <c r="M6124" s="241">
        <v>921.94370000000004</v>
      </c>
    </row>
    <row r="6125" spans="3:13" hidden="1" outlineLevel="1" x14ac:dyDescent="0.2">
      <c r="C6125" s="139">
        <v>126.69999999999709</v>
      </c>
      <c r="D6125" s="28">
        <f t="shared" si="225"/>
        <v>1013.5999999999767</v>
      </c>
      <c r="E6125" s="28">
        <f t="shared" si="226"/>
        <v>950.24999999997817</v>
      </c>
      <c r="F6125" s="28">
        <f t="shared" si="227"/>
        <v>932.24999999997817</v>
      </c>
      <c r="G6125" s="28">
        <f t="shared" si="228"/>
        <v>864.34270000000004</v>
      </c>
      <c r="H6125" s="28">
        <f t="shared" si="229"/>
        <v>903.36559999999997</v>
      </c>
      <c r="I6125" s="28">
        <f t="shared" si="230"/>
        <v>922.9624</v>
      </c>
      <c r="J6125" s="28">
        <f t="shared" si="231"/>
        <v>938.35619999999994</v>
      </c>
      <c r="K6125" s="28">
        <f t="shared" si="232"/>
        <v>964.96540000000005</v>
      </c>
      <c r="L6125" s="4"/>
      <c r="M6125" s="241">
        <v>922.9624</v>
      </c>
    </row>
    <row r="6126" spans="3:13" hidden="1" outlineLevel="1" x14ac:dyDescent="0.2">
      <c r="C6126" s="139">
        <v>126.79999999999708</v>
      </c>
      <c r="D6126" s="28">
        <f t="shared" si="225"/>
        <v>1014.3999999999767</v>
      </c>
      <c r="E6126" s="28">
        <f t="shared" si="226"/>
        <v>950.99999999997817</v>
      </c>
      <c r="F6126" s="28">
        <f t="shared" si="227"/>
        <v>932.99999999997817</v>
      </c>
      <c r="G6126" s="28">
        <f t="shared" si="228"/>
        <v>864.34270000000004</v>
      </c>
      <c r="H6126" s="28">
        <f t="shared" si="229"/>
        <v>903.36559999999997</v>
      </c>
      <c r="I6126" s="28">
        <f t="shared" si="230"/>
        <v>922.9624</v>
      </c>
      <c r="J6126" s="28">
        <f t="shared" si="231"/>
        <v>938.35619999999994</v>
      </c>
      <c r="K6126" s="28">
        <f t="shared" si="232"/>
        <v>964.96540000000005</v>
      </c>
      <c r="L6126" s="4"/>
      <c r="M6126" s="241">
        <v>922.9624</v>
      </c>
    </row>
    <row r="6127" spans="3:13" hidden="1" outlineLevel="1" x14ac:dyDescent="0.2">
      <c r="C6127" s="139">
        <v>126.89999999999708</v>
      </c>
      <c r="D6127" s="28">
        <f t="shared" si="225"/>
        <v>1015.1999999999766</v>
      </c>
      <c r="E6127" s="28">
        <f t="shared" si="226"/>
        <v>951.74999999997806</v>
      </c>
      <c r="F6127" s="28">
        <f t="shared" si="227"/>
        <v>933.74999999997806</v>
      </c>
      <c r="G6127" s="28">
        <f t="shared" si="228"/>
        <v>865.31280000000004</v>
      </c>
      <c r="H6127" s="28">
        <f t="shared" si="229"/>
        <v>904.36339999999996</v>
      </c>
      <c r="I6127" s="28">
        <f t="shared" si="230"/>
        <v>923.96699999999998</v>
      </c>
      <c r="J6127" s="28">
        <f t="shared" si="231"/>
        <v>939.37860000000001</v>
      </c>
      <c r="K6127" s="28">
        <f t="shared" si="232"/>
        <v>966.01649999999995</v>
      </c>
      <c r="L6127" s="4"/>
      <c r="M6127" s="241">
        <v>923.96699999999998</v>
      </c>
    </row>
    <row r="6128" spans="3:13" hidden="1" outlineLevel="1" x14ac:dyDescent="0.2">
      <c r="C6128" s="139">
        <v>126.99999999999707</v>
      </c>
      <c r="D6128" s="28">
        <f t="shared" si="225"/>
        <v>1015.9999999999766</v>
      </c>
      <c r="E6128" s="28">
        <f t="shared" si="226"/>
        <v>952.49999999997806</v>
      </c>
      <c r="F6128" s="28">
        <f t="shared" si="227"/>
        <v>934.49999999997806</v>
      </c>
      <c r="G6128" s="28">
        <f t="shared" si="228"/>
        <v>866.28300000000002</v>
      </c>
      <c r="H6128" s="28">
        <f t="shared" si="229"/>
        <v>905.36120000000005</v>
      </c>
      <c r="I6128" s="28">
        <f t="shared" si="230"/>
        <v>924.98580000000004</v>
      </c>
      <c r="J6128" s="28">
        <f t="shared" si="231"/>
        <v>940.40120000000002</v>
      </c>
      <c r="K6128" s="28">
        <f t="shared" si="232"/>
        <v>967.0675</v>
      </c>
      <c r="L6128" s="4"/>
      <c r="M6128" s="241">
        <v>924.98580000000004</v>
      </c>
    </row>
    <row r="6129" spans="3:13" hidden="1" outlineLevel="1" x14ac:dyDescent="0.2">
      <c r="C6129" s="139">
        <v>127.09999999999707</v>
      </c>
      <c r="D6129" s="28">
        <f t="shared" si="225"/>
        <v>1016.7999999999765</v>
      </c>
      <c r="E6129" s="28">
        <f t="shared" si="226"/>
        <v>953.24999999997794</v>
      </c>
      <c r="F6129" s="28">
        <f t="shared" si="227"/>
        <v>935.24999999997794</v>
      </c>
      <c r="G6129" s="28">
        <f t="shared" si="228"/>
        <v>867.25329999999997</v>
      </c>
      <c r="H6129" s="28">
        <f t="shared" si="229"/>
        <v>906.35910000000001</v>
      </c>
      <c r="I6129" s="28">
        <f t="shared" si="230"/>
        <v>926.00469999999996</v>
      </c>
      <c r="J6129" s="28">
        <f t="shared" si="231"/>
        <v>941.43939999999998</v>
      </c>
      <c r="K6129" s="28">
        <f t="shared" si="232"/>
        <v>968.11860000000001</v>
      </c>
      <c r="L6129" s="4"/>
      <c r="M6129" s="241">
        <v>926.00469999999996</v>
      </c>
    </row>
    <row r="6130" spans="3:13" hidden="1" outlineLevel="1" x14ac:dyDescent="0.2">
      <c r="C6130" s="139">
        <v>127.19999999999706</v>
      </c>
      <c r="D6130" s="28">
        <f t="shared" si="225"/>
        <v>1017.5999999999765</v>
      </c>
      <c r="E6130" s="28">
        <f t="shared" si="226"/>
        <v>953.99999999997794</v>
      </c>
      <c r="F6130" s="28">
        <f t="shared" si="227"/>
        <v>935.99999999997794</v>
      </c>
      <c r="G6130" s="28">
        <f t="shared" si="228"/>
        <v>867.25329999999997</v>
      </c>
      <c r="H6130" s="28">
        <f t="shared" si="229"/>
        <v>906.35910000000001</v>
      </c>
      <c r="I6130" s="28">
        <f t="shared" si="230"/>
        <v>926.00469999999996</v>
      </c>
      <c r="J6130" s="28">
        <f t="shared" si="231"/>
        <v>941.43939999999998</v>
      </c>
      <c r="K6130" s="28">
        <f t="shared" si="232"/>
        <v>968.11860000000001</v>
      </c>
      <c r="L6130" s="4"/>
      <c r="M6130" s="241">
        <v>926.00469999999996</v>
      </c>
    </row>
    <row r="6131" spans="3:13" hidden="1" outlineLevel="1" x14ac:dyDescent="0.2">
      <c r="C6131" s="139">
        <v>127.29999999999706</v>
      </c>
      <c r="D6131" s="28">
        <f t="shared" si="225"/>
        <v>1018.3999999999764</v>
      </c>
      <c r="E6131" s="28">
        <f t="shared" si="226"/>
        <v>954.74999999997794</v>
      </c>
      <c r="F6131" s="28">
        <f t="shared" si="227"/>
        <v>936.74999999997794</v>
      </c>
      <c r="G6131" s="28">
        <f t="shared" si="228"/>
        <v>868.22370000000001</v>
      </c>
      <c r="H6131" s="28">
        <f t="shared" si="229"/>
        <v>907.35699999999997</v>
      </c>
      <c r="I6131" s="28">
        <f t="shared" si="230"/>
        <v>927.00930000000005</v>
      </c>
      <c r="J6131" s="28">
        <f t="shared" si="231"/>
        <v>942.46199999999999</v>
      </c>
      <c r="K6131" s="28">
        <f t="shared" si="232"/>
        <v>969.16980000000001</v>
      </c>
      <c r="L6131" s="4"/>
      <c r="M6131" s="241">
        <v>927.00930000000005</v>
      </c>
    </row>
    <row r="6132" spans="3:13" hidden="1" outlineLevel="1" x14ac:dyDescent="0.2">
      <c r="C6132" s="139">
        <v>127.39999999999705</v>
      </c>
      <c r="D6132" s="28">
        <f t="shared" si="225"/>
        <v>1019.1999999999764</v>
      </c>
      <c r="E6132" s="28">
        <f t="shared" si="226"/>
        <v>955.49999999997783</v>
      </c>
      <c r="F6132" s="28">
        <f t="shared" si="227"/>
        <v>937.49999999997783</v>
      </c>
      <c r="G6132" s="28">
        <f t="shared" si="228"/>
        <v>869.19420000000002</v>
      </c>
      <c r="H6132" s="28">
        <f t="shared" si="229"/>
        <v>908.35500000000002</v>
      </c>
      <c r="I6132" s="28">
        <f t="shared" si="230"/>
        <v>928.02829999999994</v>
      </c>
      <c r="J6132" s="28">
        <f t="shared" si="231"/>
        <v>943.4846</v>
      </c>
      <c r="K6132" s="28">
        <f t="shared" si="232"/>
        <v>970.22090000000003</v>
      </c>
      <c r="L6132" s="4"/>
      <c r="M6132" s="241">
        <v>928.02829999999994</v>
      </c>
    </row>
    <row r="6133" spans="3:13" hidden="1" outlineLevel="1" x14ac:dyDescent="0.2">
      <c r="C6133" s="139">
        <v>127.49999999999704</v>
      </c>
      <c r="D6133" s="28">
        <f t="shared" si="225"/>
        <v>1019.9999999999764</v>
      </c>
      <c r="E6133" s="28">
        <f t="shared" si="226"/>
        <v>956.24999999997783</v>
      </c>
      <c r="F6133" s="28">
        <f t="shared" si="227"/>
        <v>938.24999999997783</v>
      </c>
      <c r="G6133" s="28">
        <f t="shared" si="228"/>
        <v>870.16470000000004</v>
      </c>
      <c r="H6133" s="28">
        <f t="shared" si="229"/>
        <v>909.35299999999995</v>
      </c>
      <c r="I6133" s="28">
        <f t="shared" si="230"/>
        <v>929.03309999999999</v>
      </c>
      <c r="J6133" s="28">
        <f t="shared" si="231"/>
        <v>944.50729999999999</v>
      </c>
      <c r="K6133" s="28">
        <f t="shared" si="232"/>
        <v>971.27210000000002</v>
      </c>
      <c r="L6133" s="4"/>
      <c r="M6133" s="241">
        <v>929.03309999999999</v>
      </c>
    </row>
    <row r="6134" spans="3:13" hidden="1" outlineLevel="1" x14ac:dyDescent="0.2">
      <c r="C6134" s="139">
        <v>127.59999999999704</v>
      </c>
      <c r="D6134" s="28">
        <f t="shared" si="225"/>
        <v>1020.7999999999763</v>
      </c>
      <c r="E6134" s="28">
        <f t="shared" si="226"/>
        <v>956.99999999997783</v>
      </c>
      <c r="F6134" s="28">
        <f t="shared" si="227"/>
        <v>938.99999999997783</v>
      </c>
      <c r="G6134" s="28">
        <f t="shared" si="228"/>
        <v>870.16470000000004</v>
      </c>
      <c r="H6134" s="28">
        <f t="shared" si="229"/>
        <v>909.35299999999995</v>
      </c>
      <c r="I6134" s="28">
        <f t="shared" si="230"/>
        <v>929.03309999999999</v>
      </c>
      <c r="J6134" s="28">
        <f t="shared" si="231"/>
        <v>944.50729999999999</v>
      </c>
      <c r="K6134" s="28">
        <f t="shared" si="232"/>
        <v>971.27210000000002</v>
      </c>
      <c r="L6134" s="4"/>
      <c r="M6134" s="241">
        <v>929.03309999999999</v>
      </c>
    </row>
    <row r="6135" spans="3:13" hidden="1" outlineLevel="1" x14ac:dyDescent="0.2">
      <c r="C6135" s="139">
        <v>127.69999999999703</v>
      </c>
      <c r="D6135" s="28">
        <f t="shared" si="225"/>
        <v>1021.5999999999763</v>
      </c>
      <c r="E6135" s="28">
        <f t="shared" si="226"/>
        <v>957.74999999997772</v>
      </c>
      <c r="F6135" s="28">
        <f t="shared" si="227"/>
        <v>939.74999999997772</v>
      </c>
      <c r="G6135" s="28">
        <f t="shared" si="228"/>
        <v>871.1354</v>
      </c>
      <c r="H6135" s="28">
        <f t="shared" si="229"/>
        <v>910.35119999999995</v>
      </c>
      <c r="I6135" s="28">
        <f t="shared" si="230"/>
        <v>930.05219999999997</v>
      </c>
      <c r="J6135" s="28">
        <f t="shared" si="231"/>
        <v>945.54570000000001</v>
      </c>
      <c r="K6135" s="28">
        <f t="shared" si="232"/>
        <v>972.32339999999999</v>
      </c>
      <c r="L6135" s="4"/>
      <c r="M6135" s="241">
        <v>930.05219999999997</v>
      </c>
    </row>
    <row r="6136" spans="3:13" hidden="1" outlineLevel="1" x14ac:dyDescent="0.2">
      <c r="C6136" s="139">
        <v>127.79999999999703</v>
      </c>
      <c r="D6136" s="28">
        <f t="shared" si="225"/>
        <v>1022.3999999999762</v>
      </c>
      <c r="E6136" s="28">
        <f t="shared" si="226"/>
        <v>958.49999999997772</v>
      </c>
      <c r="F6136" s="28">
        <f t="shared" si="227"/>
        <v>940.49999999997772</v>
      </c>
      <c r="G6136" s="28">
        <f t="shared" si="228"/>
        <v>872.10619999999994</v>
      </c>
      <c r="H6136" s="28">
        <f t="shared" si="229"/>
        <v>911.34929999999997</v>
      </c>
      <c r="I6136" s="28">
        <f t="shared" si="230"/>
        <v>931.05700000000002</v>
      </c>
      <c r="J6136" s="28">
        <f t="shared" si="231"/>
        <v>946.56849999999997</v>
      </c>
      <c r="K6136" s="28">
        <f t="shared" si="232"/>
        <v>973.37459999999999</v>
      </c>
      <c r="L6136" s="4"/>
      <c r="M6136" s="241">
        <v>931.05700000000002</v>
      </c>
    </row>
    <row r="6137" spans="3:13" hidden="1" outlineLevel="1" x14ac:dyDescent="0.2">
      <c r="C6137" s="139">
        <v>127.89999999999702</v>
      </c>
      <c r="D6137" s="28">
        <f t="shared" si="225"/>
        <v>1023.1999999999762</v>
      </c>
      <c r="E6137" s="28">
        <f t="shared" si="226"/>
        <v>959.24999999997772</v>
      </c>
      <c r="F6137" s="28">
        <f t="shared" si="227"/>
        <v>941.24999999997772</v>
      </c>
      <c r="G6137" s="28">
        <f t="shared" si="228"/>
        <v>873.077</v>
      </c>
      <c r="H6137" s="28">
        <f t="shared" si="229"/>
        <v>912.34760000000006</v>
      </c>
      <c r="I6137" s="28">
        <f t="shared" si="230"/>
        <v>932.07619999999997</v>
      </c>
      <c r="J6137" s="28">
        <f t="shared" si="231"/>
        <v>947.59130000000005</v>
      </c>
      <c r="K6137" s="28">
        <f t="shared" si="232"/>
        <v>974.42589999999996</v>
      </c>
      <c r="L6137" s="4"/>
      <c r="M6137" s="241">
        <v>932.07619999999997</v>
      </c>
    </row>
    <row r="6138" spans="3:13" hidden="1" outlineLevel="1" x14ac:dyDescent="0.2">
      <c r="C6138" s="139">
        <v>127.99999999999702</v>
      </c>
      <c r="D6138" s="28">
        <f t="shared" si="225"/>
        <v>1023.9999999999761</v>
      </c>
      <c r="E6138" s="28">
        <f t="shared" si="226"/>
        <v>959.9999999999776</v>
      </c>
      <c r="F6138" s="28">
        <f t="shared" si="227"/>
        <v>941.9999999999776</v>
      </c>
      <c r="G6138" s="28">
        <f t="shared" si="228"/>
        <v>873.077</v>
      </c>
      <c r="H6138" s="28">
        <f t="shared" si="229"/>
        <v>912.34760000000006</v>
      </c>
      <c r="I6138" s="28">
        <f t="shared" si="230"/>
        <v>932.07619999999997</v>
      </c>
      <c r="J6138" s="28">
        <f t="shared" si="231"/>
        <v>947.59130000000005</v>
      </c>
      <c r="K6138" s="28">
        <f t="shared" si="232"/>
        <v>974.42589999999996</v>
      </c>
      <c r="L6138" s="4"/>
      <c r="M6138" s="241">
        <v>932.07619999999997</v>
      </c>
    </row>
    <row r="6139" spans="3:13" hidden="1" outlineLevel="1" x14ac:dyDescent="0.2">
      <c r="C6139" s="139">
        <v>128.09999999999701</v>
      </c>
      <c r="D6139" s="28">
        <f t="shared" ref="D6139:D6202" si="233">C6139*Channels.per.TRX</f>
        <v>1024.7999999999761</v>
      </c>
      <c r="E6139" s="28">
        <f t="shared" ref="E6139:E6202" si="234">D6139-C6139*sig.channel.per.TRX</f>
        <v>960.7499999999776</v>
      </c>
      <c r="F6139" s="28">
        <f t="shared" ref="F6139:F6202" si="235">MAX(0,E6139-GPRS.channel.per.sector)</f>
        <v>942.7499999999776</v>
      </c>
      <c r="G6139" s="28">
        <f t="shared" ref="G6139:G6202" si="236">INDEX(D$10:D$4326,MATCH($F6139,$C$10:$C$4326,1))</f>
        <v>874.048</v>
      </c>
      <c r="H6139" s="28">
        <f t="shared" ref="H6139:H6202" si="237">INDEX(E$10:E$4326,MATCH($F6139,$C$10:$C$4326,1))</f>
        <v>913.33150000000001</v>
      </c>
      <c r="I6139" s="28">
        <f t="shared" ref="I6139:I6202" si="238">INDEX(F$10:F$4326,MATCH($F6139,$C$10:$C$4326,1))</f>
        <v>933.09540000000004</v>
      </c>
      <c r="J6139" s="28">
        <f t="shared" ref="J6139:J6202" si="239">INDEX(G$10:G$4326,MATCH($F6139,$C$10:$C$4326,1))</f>
        <v>948.61410000000001</v>
      </c>
      <c r="K6139" s="28">
        <f t="shared" ref="K6139:K6202" si="240">INDEX(H$10:H$4326,MATCH($F6139,$C$10:$C$4326,1))</f>
        <v>975.47730000000001</v>
      </c>
      <c r="L6139" s="4"/>
      <c r="M6139" s="241">
        <v>933.09540000000004</v>
      </c>
    </row>
    <row r="6140" spans="3:13" hidden="1" outlineLevel="1" x14ac:dyDescent="0.2">
      <c r="C6140" s="139">
        <v>128.199999999997</v>
      </c>
      <c r="D6140" s="28">
        <f t="shared" si="233"/>
        <v>1025.599999999976</v>
      </c>
      <c r="E6140" s="28">
        <f t="shared" si="234"/>
        <v>961.49999999997749</v>
      </c>
      <c r="F6140" s="28">
        <f t="shared" si="235"/>
        <v>943.49999999997749</v>
      </c>
      <c r="G6140" s="28">
        <f t="shared" si="236"/>
        <v>875.01900000000001</v>
      </c>
      <c r="H6140" s="28">
        <f t="shared" si="237"/>
        <v>914.32979999999998</v>
      </c>
      <c r="I6140" s="28">
        <f t="shared" si="238"/>
        <v>934.10040000000004</v>
      </c>
      <c r="J6140" s="28">
        <f t="shared" si="239"/>
        <v>949.63689999999997</v>
      </c>
      <c r="K6140" s="28">
        <f t="shared" si="240"/>
        <v>976.52859999999998</v>
      </c>
      <c r="L6140" s="4"/>
      <c r="M6140" s="241">
        <v>934.10040000000004</v>
      </c>
    </row>
    <row r="6141" spans="3:13" hidden="1" outlineLevel="1" x14ac:dyDescent="0.2">
      <c r="C6141" s="139">
        <v>128.299999999997</v>
      </c>
      <c r="D6141" s="28">
        <f t="shared" si="233"/>
        <v>1026.399999999976</v>
      </c>
      <c r="E6141" s="28">
        <f t="shared" si="234"/>
        <v>962.24999999997749</v>
      </c>
      <c r="F6141" s="28">
        <f t="shared" si="235"/>
        <v>944.24999999997749</v>
      </c>
      <c r="G6141" s="28">
        <f t="shared" si="236"/>
        <v>875.99009999999998</v>
      </c>
      <c r="H6141" s="28">
        <f t="shared" si="237"/>
        <v>915.32820000000004</v>
      </c>
      <c r="I6141" s="28">
        <f t="shared" si="238"/>
        <v>935.11980000000005</v>
      </c>
      <c r="J6141" s="28">
        <f t="shared" si="239"/>
        <v>950.67570000000001</v>
      </c>
      <c r="K6141" s="28">
        <f t="shared" si="240"/>
        <v>977.58</v>
      </c>
      <c r="L6141" s="4"/>
      <c r="M6141" s="241">
        <v>935.11980000000005</v>
      </c>
    </row>
    <row r="6142" spans="3:13" hidden="1" outlineLevel="1" x14ac:dyDescent="0.2">
      <c r="C6142" s="139">
        <v>128.39999999999699</v>
      </c>
      <c r="D6142" s="28">
        <f t="shared" si="233"/>
        <v>1027.1999999999759</v>
      </c>
      <c r="E6142" s="28">
        <f t="shared" si="234"/>
        <v>962.99999999997749</v>
      </c>
      <c r="F6142" s="28">
        <f t="shared" si="235"/>
        <v>944.99999999997749</v>
      </c>
      <c r="G6142" s="28">
        <f t="shared" si="236"/>
        <v>875.99009999999998</v>
      </c>
      <c r="H6142" s="28">
        <f t="shared" si="237"/>
        <v>915.32820000000004</v>
      </c>
      <c r="I6142" s="28">
        <f t="shared" si="238"/>
        <v>935.11980000000005</v>
      </c>
      <c r="J6142" s="28">
        <f t="shared" si="239"/>
        <v>950.67570000000001</v>
      </c>
      <c r="K6142" s="28">
        <f t="shared" si="240"/>
        <v>977.58</v>
      </c>
      <c r="L6142" s="4"/>
      <c r="M6142" s="241">
        <v>935.11980000000005</v>
      </c>
    </row>
    <row r="6143" spans="3:13" hidden="1" outlineLevel="1" x14ac:dyDescent="0.2">
      <c r="C6143" s="139">
        <v>128.49999999999699</v>
      </c>
      <c r="D6143" s="28">
        <f t="shared" si="233"/>
        <v>1027.9999999999759</v>
      </c>
      <c r="E6143" s="28">
        <f t="shared" si="234"/>
        <v>963.74999999997738</v>
      </c>
      <c r="F6143" s="28">
        <f t="shared" si="235"/>
        <v>945.74999999997738</v>
      </c>
      <c r="G6143" s="28">
        <f t="shared" si="236"/>
        <v>876.96130000000005</v>
      </c>
      <c r="H6143" s="28">
        <f t="shared" si="237"/>
        <v>916.32669999999996</v>
      </c>
      <c r="I6143" s="28">
        <f t="shared" si="238"/>
        <v>936.12480000000005</v>
      </c>
      <c r="J6143" s="28">
        <f t="shared" si="239"/>
        <v>951.69860000000006</v>
      </c>
      <c r="K6143" s="28">
        <f t="shared" si="240"/>
        <v>978.61559999999997</v>
      </c>
      <c r="L6143" s="4"/>
      <c r="M6143" s="241">
        <v>936.12480000000005</v>
      </c>
    </row>
    <row r="6144" spans="3:13" hidden="1" outlineLevel="1" x14ac:dyDescent="0.2">
      <c r="C6144" s="139">
        <v>128.59999999999698</v>
      </c>
      <c r="D6144" s="28">
        <f t="shared" si="233"/>
        <v>1028.7999999999759</v>
      </c>
      <c r="E6144" s="28">
        <f t="shared" si="234"/>
        <v>964.49999999997738</v>
      </c>
      <c r="F6144" s="28">
        <f t="shared" si="235"/>
        <v>946.49999999997738</v>
      </c>
      <c r="G6144" s="28">
        <f t="shared" si="236"/>
        <v>877.91819999999996</v>
      </c>
      <c r="H6144" s="28">
        <f t="shared" si="237"/>
        <v>917.3252</v>
      </c>
      <c r="I6144" s="28">
        <f t="shared" si="238"/>
        <v>937.14419999999996</v>
      </c>
      <c r="J6144" s="28">
        <f t="shared" si="239"/>
        <v>952.72159999999997</v>
      </c>
      <c r="K6144" s="28">
        <f t="shared" si="240"/>
        <v>979.66700000000003</v>
      </c>
      <c r="L6144" s="4"/>
      <c r="M6144" s="241">
        <v>937.14419999999996</v>
      </c>
    </row>
    <row r="6145" spans="3:13" hidden="1" outlineLevel="1" x14ac:dyDescent="0.2">
      <c r="C6145" s="139">
        <v>128.69999999999698</v>
      </c>
      <c r="D6145" s="28">
        <f t="shared" si="233"/>
        <v>1029.5999999999758</v>
      </c>
      <c r="E6145" s="28">
        <f t="shared" si="234"/>
        <v>965.24999999997726</v>
      </c>
      <c r="F6145" s="28">
        <f t="shared" si="235"/>
        <v>947.24999999997726</v>
      </c>
      <c r="G6145" s="28">
        <f t="shared" si="236"/>
        <v>878.88959999999997</v>
      </c>
      <c r="H6145" s="28">
        <f t="shared" si="237"/>
        <v>918.32380000000001</v>
      </c>
      <c r="I6145" s="28">
        <f t="shared" si="238"/>
        <v>938.14930000000004</v>
      </c>
      <c r="J6145" s="28">
        <f t="shared" si="239"/>
        <v>953.74459999999999</v>
      </c>
      <c r="K6145" s="28">
        <f t="shared" si="240"/>
        <v>980.71849999999995</v>
      </c>
      <c r="L6145" s="4"/>
      <c r="M6145" s="241">
        <v>938.14930000000004</v>
      </c>
    </row>
    <row r="6146" spans="3:13" hidden="1" outlineLevel="1" x14ac:dyDescent="0.2">
      <c r="C6146" s="139">
        <v>128.79999999999697</v>
      </c>
      <c r="D6146" s="28">
        <f t="shared" si="233"/>
        <v>1030.3999999999758</v>
      </c>
      <c r="E6146" s="28">
        <f t="shared" si="234"/>
        <v>965.99999999997726</v>
      </c>
      <c r="F6146" s="28">
        <f t="shared" si="235"/>
        <v>947.99999999997726</v>
      </c>
      <c r="G6146" s="28">
        <f t="shared" si="236"/>
        <v>878.88959999999997</v>
      </c>
      <c r="H6146" s="28">
        <f t="shared" si="237"/>
        <v>918.32380000000001</v>
      </c>
      <c r="I6146" s="28">
        <f t="shared" si="238"/>
        <v>938.14930000000004</v>
      </c>
      <c r="J6146" s="28">
        <f t="shared" si="239"/>
        <v>953.74459999999999</v>
      </c>
      <c r="K6146" s="28">
        <f t="shared" si="240"/>
        <v>980.71849999999995</v>
      </c>
      <c r="L6146" s="4"/>
      <c r="M6146" s="241">
        <v>938.14930000000004</v>
      </c>
    </row>
    <row r="6147" spans="3:13" hidden="1" outlineLevel="1" x14ac:dyDescent="0.2">
      <c r="C6147" s="139">
        <v>128.89999999999696</v>
      </c>
      <c r="D6147" s="28">
        <f t="shared" si="233"/>
        <v>1031.1999999999757</v>
      </c>
      <c r="E6147" s="28">
        <f t="shared" si="234"/>
        <v>966.74999999997726</v>
      </c>
      <c r="F6147" s="28">
        <f t="shared" si="235"/>
        <v>948.74999999997726</v>
      </c>
      <c r="G6147" s="28">
        <f t="shared" si="236"/>
        <v>879.86109999999996</v>
      </c>
      <c r="H6147" s="28">
        <f t="shared" si="237"/>
        <v>919.32249999999999</v>
      </c>
      <c r="I6147" s="28">
        <f t="shared" si="238"/>
        <v>939.16890000000001</v>
      </c>
      <c r="J6147" s="28">
        <f t="shared" si="239"/>
        <v>954.76760000000002</v>
      </c>
      <c r="K6147" s="28">
        <f t="shared" si="240"/>
        <v>981.77</v>
      </c>
      <c r="L6147" s="4"/>
      <c r="M6147" s="241">
        <v>939.16890000000001</v>
      </c>
    </row>
    <row r="6148" spans="3:13" hidden="1" outlineLevel="1" x14ac:dyDescent="0.2">
      <c r="C6148" s="139">
        <v>128.99999999999696</v>
      </c>
      <c r="D6148" s="28">
        <f t="shared" si="233"/>
        <v>1031.9999999999757</v>
      </c>
      <c r="E6148" s="28">
        <f t="shared" si="234"/>
        <v>967.49999999997715</v>
      </c>
      <c r="F6148" s="28">
        <f t="shared" si="235"/>
        <v>949.49999999997715</v>
      </c>
      <c r="G6148" s="28">
        <f t="shared" si="236"/>
        <v>880.83259999999996</v>
      </c>
      <c r="H6148" s="28">
        <f t="shared" si="237"/>
        <v>920.32119999999998</v>
      </c>
      <c r="I6148" s="28">
        <f t="shared" si="238"/>
        <v>940.17409999999995</v>
      </c>
      <c r="J6148" s="28">
        <f t="shared" si="239"/>
        <v>955.8066</v>
      </c>
      <c r="K6148" s="28">
        <f t="shared" si="240"/>
        <v>982.82159999999999</v>
      </c>
      <c r="L6148" s="4"/>
      <c r="M6148" s="241">
        <v>940.17409999999995</v>
      </c>
    </row>
    <row r="6149" spans="3:13" hidden="1" outlineLevel="1" x14ac:dyDescent="0.2">
      <c r="C6149" s="139">
        <v>129.09999999999695</v>
      </c>
      <c r="D6149" s="28">
        <f t="shared" si="233"/>
        <v>1032.7999999999756</v>
      </c>
      <c r="E6149" s="28">
        <f t="shared" si="234"/>
        <v>968.24999999997715</v>
      </c>
      <c r="F6149" s="28">
        <f t="shared" si="235"/>
        <v>950.24999999997715</v>
      </c>
      <c r="G6149" s="28">
        <f t="shared" si="236"/>
        <v>881.80430000000001</v>
      </c>
      <c r="H6149" s="28">
        <f t="shared" si="237"/>
        <v>921.32</v>
      </c>
      <c r="I6149" s="28">
        <f t="shared" si="238"/>
        <v>941.19380000000001</v>
      </c>
      <c r="J6149" s="28">
        <f t="shared" si="239"/>
        <v>956.8297</v>
      </c>
      <c r="K6149" s="28">
        <f t="shared" si="240"/>
        <v>983.8732</v>
      </c>
      <c r="L6149" s="4"/>
      <c r="M6149" s="241">
        <v>941.19380000000001</v>
      </c>
    </row>
    <row r="6150" spans="3:13" hidden="1" outlineLevel="1" x14ac:dyDescent="0.2">
      <c r="C6150" s="139">
        <v>129.19999999999695</v>
      </c>
      <c r="D6150" s="28">
        <f t="shared" si="233"/>
        <v>1033.5999999999756</v>
      </c>
      <c r="E6150" s="28">
        <f t="shared" si="234"/>
        <v>968.99999999997715</v>
      </c>
      <c r="F6150" s="28">
        <f t="shared" si="235"/>
        <v>950.99999999997715</v>
      </c>
      <c r="G6150" s="28">
        <f t="shared" si="236"/>
        <v>881.80430000000001</v>
      </c>
      <c r="H6150" s="28">
        <f t="shared" si="237"/>
        <v>921.32</v>
      </c>
      <c r="I6150" s="28">
        <f t="shared" si="238"/>
        <v>941.19380000000001</v>
      </c>
      <c r="J6150" s="28">
        <f t="shared" si="239"/>
        <v>956.8297</v>
      </c>
      <c r="K6150" s="28">
        <f t="shared" si="240"/>
        <v>983.8732</v>
      </c>
      <c r="L6150" s="4"/>
      <c r="M6150" s="241">
        <v>941.19380000000001</v>
      </c>
    </row>
    <row r="6151" spans="3:13" hidden="1" outlineLevel="1" x14ac:dyDescent="0.2">
      <c r="C6151" s="139">
        <v>129.29999999999694</v>
      </c>
      <c r="D6151" s="28">
        <f t="shared" si="233"/>
        <v>1034.3999999999755</v>
      </c>
      <c r="E6151" s="28">
        <f t="shared" si="234"/>
        <v>969.74999999997704</v>
      </c>
      <c r="F6151" s="28">
        <f t="shared" si="235"/>
        <v>951.74999999997704</v>
      </c>
      <c r="G6151" s="28">
        <f t="shared" si="236"/>
        <v>882.77599999999995</v>
      </c>
      <c r="H6151" s="28">
        <f t="shared" si="237"/>
        <v>922.31880000000001</v>
      </c>
      <c r="I6151" s="28">
        <f t="shared" si="238"/>
        <v>942.19899999999996</v>
      </c>
      <c r="J6151" s="28">
        <f t="shared" si="239"/>
        <v>957.85289999999998</v>
      </c>
      <c r="K6151" s="28">
        <f t="shared" si="240"/>
        <v>984.9248</v>
      </c>
      <c r="L6151" s="4"/>
      <c r="M6151" s="241">
        <v>942.19899999999996</v>
      </c>
    </row>
    <row r="6152" spans="3:13" hidden="1" outlineLevel="1" x14ac:dyDescent="0.2">
      <c r="C6152" s="139">
        <v>129.39999999999694</v>
      </c>
      <c r="D6152" s="28">
        <f t="shared" si="233"/>
        <v>1035.1999999999755</v>
      </c>
      <c r="E6152" s="28">
        <f t="shared" si="234"/>
        <v>970.49999999997704</v>
      </c>
      <c r="F6152" s="28">
        <f t="shared" si="235"/>
        <v>952.49999999997704</v>
      </c>
      <c r="G6152" s="28">
        <f t="shared" si="236"/>
        <v>883.74789999999996</v>
      </c>
      <c r="H6152" s="28">
        <f t="shared" si="237"/>
        <v>923.31769999999995</v>
      </c>
      <c r="I6152" s="28">
        <f t="shared" si="238"/>
        <v>943.21879999999999</v>
      </c>
      <c r="J6152" s="28">
        <f t="shared" si="239"/>
        <v>958.87609999999995</v>
      </c>
      <c r="K6152" s="28">
        <f t="shared" si="240"/>
        <v>985.97640000000001</v>
      </c>
      <c r="L6152" s="4"/>
      <c r="M6152" s="241">
        <v>943.21879999999999</v>
      </c>
    </row>
    <row r="6153" spans="3:13" hidden="1" outlineLevel="1" x14ac:dyDescent="0.2">
      <c r="C6153" s="139">
        <v>129.49999999999693</v>
      </c>
      <c r="D6153" s="28">
        <f t="shared" si="233"/>
        <v>1035.9999999999754</v>
      </c>
      <c r="E6153" s="28">
        <f t="shared" si="234"/>
        <v>971.24999999997704</v>
      </c>
      <c r="F6153" s="28">
        <f t="shared" si="235"/>
        <v>953.24999999997704</v>
      </c>
      <c r="G6153" s="28">
        <f t="shared" si="236"/>
        <v>884.71979999999996</v>
      </c>
      <c r="H6153" s="28">
        <f t="shared" si="237"/>
        <v>924.31659999999999</v>
      </c>
      <c r="I6153" s="28">
        <f t="shared" si="238"/>
        <v>944.23869999999999</v>
      </c>
      <c r="J6153" s="28">
        <f t="shared" si="239"/>
        <v>959.89930000000004</v>
      </c>
      <c r="K6153" s="28">
        <f t="shared" si="240"/>
        <v>987.02809999999999</v>
      </c>
      <c r="L6153" s="4"/>
      <c r="M6153" s="241">
        <v>944.23869999999999</v>
      </c>
    </row>
    <row r="6154" spans="3:13" hidden="1" outlineLevel="1" x14ac:dyDescent="0.2">
      <c r="C6154" s="139">
        <v>129.59999999999692</v>
      </c>
      <c r="D6154" s="28">
        <f t="shared" si="233"/>
        <v>1036.7999999999754</v>
      </c>
      <c r="E6154" s="28">
        <f t="shared" si="234"/>
        <v>971.99999999997692</v>
      </c>
      <c r="F6154" s="28">
        <f t="shared" si="235"/>
        <v>953.99999999997692</v>
      </c>
      <c r="G6154" s="28">
        <f t="shared" si="236"/>
        <v>884.71979999999996</v>
      </c>
      <c r="H6154" s="28">
        <f t="shared" si="237"/>
        <v>924.31659999999999</v>
      </c>
      <c r="I6154" s="28">
        <f t="shared" si="238"/>
        <v>944.23869999999999</v>
      </c>
      <c r="J6154" s="28">
        <f t="shared" si="239"/>
        <v>959.89930000000004</v>
      </c>
      <c r="K6154" s="28">
        <f t="shared" si="240"/>
        <v>987.02809999999999</v>
      </c>
      <c r="L6154" s="4"/>
      <c r="M6154" s="241">
        <v>944.23869999999999</v>
      </c>
    </row>
    <row r="6155" spans="3:13" hidden="1" outlineLevel="1" x14ac:dyDescent="0.2">
      <c r="C6155" s="139">
        <v>129.69999999999692</v>
      </c>
      <c r="D6155" s="28">
        <f t="shared" si="233"/>
        <v>1037.5999999999754</v>
      </c>
      <c r="E6155" s="28">
        <f t="shared" si="234"/>
        <v>972.74999999997692</v>
      </c>
      <c r="F6155" s="28">
        <f t="shared" si="235"/>
        <v>954.74999999997692</v>
      </c>
      <c r="G6155" s="28">
        <f t="shared" si="236"/>
        <v>885.67729999999995</v>
      </c>
      <c r="H6155" s="28">
        <f t="shared" si="237"/>
        <v>925.30110000000002</v>
      </c>
      <c r="I6155" s="28">
        <f t="shared" si="238"/>
        <v>945.24400000000003</v>
      </c>
      <c r="J6155" s="28">
        <f t="shared" si="239"/>
        <v>960.92250000000001</v>
      </c>
      <c r="K6155" s="28">
        <f t="shared" si="240"/>
        <v>988.07989999999995</v>
      </c>
      <c r="L6155" s="4"/>
      <c r="M6155" s="241">
        <v>945.24400000000003</v>
      </c>
    </row>
    <row r="6156" spans="3:13" hidden="1" outlineLevel="1" x14ac:dyDescent="0.2">
      <c r="C6156" s="139">
        <v>129.79999999999691</v>
      </c>
      <c r="D6156" s="28">
        <f t="shared" si="233"/>
        <v>1038.3999999999753</v>
      </c>
      <c r="E6156" s="28">
        <f t="shared" si="234"/>
        <v>973.49999999997681</v>
      </c>
      <c r="F6156" s="28">
        <f t="shared" si="235"/>
        <v>955.49999999997681</v>
      </c>
      <c r="G6156" s="28">
        <f t="shared" si="236"/>
        <v>886.64940000000001</v>
      </c>
      <c r="H6156" s="28">
        <f t="shared" si="237"/>
        <v>926.30020000000002</v>
      </c>
      <c r="I6156" s="28">
        <f t="shared" si="238"/>
        <v>946.26400000000001</v>
      </c>
      <c r="J6156" s="28">
        <f t="shared" si="239"/>
        <v>961.96180000000004</v>
      </c>
      <c r="K6156" s="28">
        <f t="shared" si="240"/>
        <v>989.13160000000005</v>
      </c>
      <c r="L6156" s="4"/>
      <c r="M6156" s="241">
        <v>946.26400000000001</v>
      </c>
    </row>
    <row r="6157" spans="3:13" hidden="1" outlineLevel="1" x14ac:dyDescent="0.2">
      <c r="C6157" s="139">
        <v>129.89999999999691</v>
      </c>
      <c r="D6157" s="28">
        <f t="shared" si="233"/>
        <v>1039.1999999999753</v>
      </c>
      <c r="E6157" s="28">
        <f t="shared" si="234"/>
        <v>974.24999999997681</v>
      </c>
      <c r="F6157" s="28">
        <f t="shared" si="235"/>
        <v>956.24999999997681</v>
      </c>
      <c r="G6157" s="28">
        <f t="shared" si="236"/>
        <v>887.62159999999994</v>
      </c>
      <c r="H6157" s="28">
        <f t="shared" si="237"/>
        <v>927.29930000000002</v>
      </c>
      <c r="I6157" s="28">
        <f t="shared" si="238"/>
        <v>947.26940000000002</v>
      </c>
      <c r="J6157" s="28">
        <f t="shared" si="239"/>
        <v>962.98519999999996</v>
      </c>
      <c r="K6157" s="28">
        <f t="shared" si="240"/>
        <v>990.18340000000001</v>
      </c>
      <c r="L6157" s="4"/>
      <c r="M6157" s="241">
        <v>947.26940000000002</v>
      </c>
    </row>
    <row r="6158" spans="3:13" hidden="1" outlineLevel="1" x14ac:dyDescent="0.2">
      <c r="C6158" s="139">
        <v>129.9999999999969</v>
      </c>
      <c r="D6158" s="28">
        <f t="shared" si="233"/>
        <v>1039.9999999999752</v>
      </c>
      <c r="E6158" s="28">
        <f t="shared" si="234"/>
        <v>974.99999999997681</v>
      </c>
      <c r="F6158" s="28">
        <f t="shared" si="235"/>
        <v>956.99999999997681</v>
      </c>
      <c r="G6158" s="28">
        <f t="shared" si="236"/>
        <v>887.62159999999994</v>
      </c>
      <c r="H6158" s="28">
        <f t="shared" si="237"/>
        <v>927.29930000000002</v>
      </c>
      <c r="I6158" s="28">
        <f t="shared" si="238"/>
        <v>947.26940000000002</v>
      </c>
      <c r="J6158" s="28">
        <f t="shared" si="239"/>
        <v>962.98519999999996</v>
      </c>
      <c r="K6158" s="28">
        <f t="shared" si="240"/>
        <v>990.18340000000001</v>
      </c>
      <c r="L6158" s="4"/>
      <c r="M6158" s="241">
        <v>947.26940000000002</v>
      </c>
    </row>
    <row r="6159" spans="3:13" hidden="1" outlineLevel="1" x14ac:dyDescent="0.2">
      <c r="C6159" s="139">
        <v>130.0999999999969</v>
      </c>
      <c r="D6159" s="28">
        <f t="shared" si="233"/>
        <v>1040.7999999999752</v>
      </c>
      <c r="E6159" s="28">
        <f t="shared" si="234"/>
        <v>975.74999999997669</v>
      </c>
      <c r="F6159" s="28">
        <f t="shared" si="235"/>
        <v>957.74999999997669</v>
      </c>
      <c r="G6159" s="28">
        <f t="shared" si="236"/>
        <v>888.59379999999999</v>
      </c>
      <c r="H6159" s="28">
        <f t="shared" si="237"/>
        <v>928.29849999999999</v>
      </c>
      <c r="I6159" s="28">
        <f t="shared" si="238"/>
        <v>948.28949999999998</v>
      </c>
      <c r="J6159" s="28">
        <f t="shared" si="239"/>
        <v>964.00850000000003</v>
      </c>
      <c r="K6159" s="28">
        <f t="shared" si="240"/>
        <v>991.21910000000003</v>
      </c>
      <c r="L6159" s="4"/>
      <c r="M6159" s="241">
        <v>948.28949999999998</v>
      </c>
    </row>
    <row r="6160" spans="3:13" hidden="1" outlineLevel="1" x14ac:dyDescent="0.2">
      <c r="C6160" s="139">
        <v>130.19999999999689</v>
      </c>
      <c r="D6160" s="28">
        <f t="shared" si="233"/>
        <v>1041.5999999999751</v>
      </c>
      <c r="E6160" s="28">
        <f t="shared" si="234"/>
        <v>976.49999999997669</v>
      </c>
      <c r="F6160" s="28">
        <f t="shared" si="235"/>
        <v>958.49999999997669</v>
      </c>
      <c r="G6160" s="28">
        <f t="shared" si="236"/>
        <v>889.56619999999998</v>
      </c>
      <c r="H6160" s="28">
        <f t="shared" si="237"/>
        <v>929.29769999999996</v>
      </c>
      <c r="I6160" s="28">
        <f t="shared" si="238"/>
        <v>949.29499999999996</v>
      </c>
      <c r="J6160" s="28">
        <f t="shared" si="239"/>
        <v>965.03200000000004</v>
      </c>
      <c r="K6160" s="28">
        <f t="shared" si="240"/>
        <v>992.27099999999996</v>
      </c>
      <c r="L6160" s="4"/>
      <c r="M6160" s="241">
        <v>949.29499999999996</v>
      </c>
    </row>
    <row r="6161" spans="3:13" hidden="1" outlineLevel="1" x14ac:dyDescent="0.2">
      <c r="C6161" s="139">
        <v>130.29999999999688</v>
      </c>
      <c r="D6161" s="28">
        <f t="shared" si="233"/>
        <v>1042.3999999999751</v>
      </c>
      <c r="E6161" s="28">
        <f t="shared" si="234"/>
        <v>977.24999999997658</v>
      </c>
      <c r="F6161" s="28">
        <f t="shared" si="235"/>
        <v>959.24999999997658</v>
      </c>
      <c r="G6161" s="28">
        <f t="shared" si="236"/>
        <v>890.53869999999995</v>
      </c>
      <c r="H6161" s="28">
        <f t="shared" si="237"/>
        <v>930.29700000000003</v>
      </c>
      <c r="I6161" s="28">
        <f t="shared" si="238"/>
        <v>950.3152</v>
      </c>
      <c r="J6161" s="28">
        <f t="shared" si="239"/>
        <v>966.05539999999996</v>
      </c>
      <c r="K6161" s="28">
        <f t="shared" si="240"/>
        <v>993.3229</v>
      </c>
      <c r="L6161" s="4"/>
      <c r="M6161" s="241">
        <v>950.3152</v>
      </c>
    </row>
    <row r="6162" spans="3:13" hidden="1" outlineLevel="1" x14ac:dyDescent="0.2">
      <c r="C6162" s="139">
        <v>130.39999999999688</v>
      </c>
      <c r="D6162" s="28">
        <f t="shared" si="233"/>
        <v>1043.199999999975</v>
      </c>
      <c r="E6162" s="28">
        <f t="shared" si="234"/>
        <v>977.99999999997658</v>
      </c>
      <c r="F6162" s="28">
        <f t="shared" si="235"/>
        <v>959.99999999997658</v>
      </c>
      <c r="G6162" s="28">
        <f t="shared" si="236"/>
        <v>890.53869999999995</v>
      </c>
      <c r="H6162" s="28">
        <f t="shared" si="237"/>
        <v>930.29700000000003</v>
      </c>
      <c r="I6162" s="28">
        <f t="shared" si="238"/>
        <v>950.3152</v>
      </c>
      <c r="J6162" s="28">
        <f t="shared" si="239"/>
        <v>966.05539999999996</v>
      </c>
      <c r="K6162" s="28">
        <f t="shared" si="240"/>
        <v>993.3229</v>
      </c>
      <c r="L6162" s="4"/>
      <c r="M6162" s="241">
        <v>950.3152</v>
      </c>
    </row>
    <row r="6163" spans="3:13" hidden="1" outlineLevel="1" x14ac:dyDescent="0.2">
      <c r="C6163" s="139">
        <v>130.49999999999687</v>
      </c>
      <c r="D6163" s="28">
        <f t="shared" si="233"/>
        <v>1043.999999999975</v>
      </c>
      <c r="E6163" s="28">
        <f t="shared" si="234"/>
        <v>978.74999999997658</v>
      </c>
      <c r="F6163" s="28">
        <f t="shared" si="235"/>
        <v>960.74999999997658</v>
      </c>
      <c r="G6163" s="28">
        <f t="shared" si="236"/>
        <v>891.51120000000003</v>
      </c>
      <c r="H6163" s="28">
        <f t="shared" si="237"/>
        <v>931.29639999999995</v>
      </c>
      <c r="I6163" s="28">
        <f t="shared" si="238"/>
        <v>951.32079999999996</v>
      </c>
      <c r="J6163" s="28">
        <f t="shared" si="239"/>
        <v>967.07889999999998</v>
      </c>
      <c r="K6163" s="28">
        <f t="shared" si="240"/>
        <v>994.37480000000005</v>
      </c>
      <c r="L6163" s="4"/>
      <c r="M6163" s="241">
        <v>951.32079999999996</v>
      </c>
    </row>
    <row r="6164" spans="3:13" hidden="1" outlineLevel="1" x14ac:dyDescent="0.2">
      <c r="C6164" s="139">
        <v>130.59999999999687</v>
      </c>
      <c r="D6164" s="28">
        <f t="shared" si="233"/>
        <v>1044.7999999999749</v>
      </c>
      <c r="E6164" s="28">
        <f t="shared" si="234"/>
        <v>979.49999999997647</v>
      </c>
      <c r="F6164" s="28">
        <f t="shared" si="235"/>
        <v>961.49999999997647</v>
      </c>
      <c r="G6164" s="28">
        <f t="shared" si="236"/>
        <v>892.4692</v>
      </c>
      <c r="H6164" s="28">
        <f t="shared" si="237"/>
        <v>932.29579999999999</v>
      </c>
      <c r="I6164" s="28">
        <f t="shared" si="238"/>
        <v>952.34109999999998</v>
      </c>
      <c r="J6164" s="28">
        <f t="shared" si="239"/>
        <v>968.11850000000004</v>
      </c>
      <c r="K6164" s="28">
        <f t="shared" si="240"/>
        <v>995.42669999999998</v>
      </c>
      <c r="L6164" s="4"/>
      <c r="M6164" s="241">
        <v>952.34109999999998</v>
      </c>
    </row>
    <row r="6165" spans="3:13" hidden="1" outlineLevel="1" x14ac:dyDescent="0.2">
      <c r="C6165" s="139">
        <v>130.69999999999686</v>
      </c>
      <c r="D6165" s="28">
        <f t="shared" si="233"/>
        <v>1045.5999999999749</v>
      </c>
      <c r="E6165" s="28">
        <f t="shared" si="234"/>
        <v>980.24999999997647</v>
      </c>
      <c r="F6165" s="28">
        <f t="shared" si="235"/>
        <v>962.24999999997647</v>
      </c>
      <c r="G6165" s="28">
        <f t="shared" si="236"/>
        <v>893.44190000000003</v>
      </c>
      <c r="H6165" s="28">
        <f t="shared" si="237"/>
        <v>933.2953</v>
      </c>
      <c r="I6165" s="28">
        <f t="shared" si="238"/>
        <v>953.34680000000003</v>
      </c>
      <c r="J6165" s="28">
        <f t="shared" si="239"/>
        <v>969.14200000000005</v>
      </c>
      <c r="K6165" s="28">
        <f t="shared" si="240"/>
        <v>996.4787</v>
      </c>
      <c r="L6165" s="4"/>
      <c r="M6165" s="241">
        <v>953.34680000000003</v>
      </c>
    </row>
    <row r="6166" spans="3:13" hidden="1" outlineLevel="1" x14ac:dyDescent="0.2">
      <c r="C6166" s="139">
        <v>130.79999999999686</v>
      </c>
      <c r="D6166" s="28">
        <f t="shared" si="233"/>
        <v>1046.3999999999749</v>
      </c>
      <c r="E6166" s="28">
        <f t="shared" si="234"/>
        <v>980.99999999997647</v>
      </c>
      <c r="F6166" s="28">
        <f t="shared" si="235"/>
        <v>962.99999999997647</v>
      </c>
      <c r="G6166" s="28">
        <f t="shared" si="236"/>
        <v>893.44190000000003</v>
      </c>
      <c r="H6166" s="28">
        <f t="shared" si="237"/>
        <v>933.2953</v>
      </c>
      <c r="I6166" s="28">
        <f t="shared" si="238"/>
        <v>953.34680000000003</v>
      </c>
      <c r="J6166" s="28">
        <f t="shared" si="239"/>
        <v>969.14200000000005</v>
      </c>
      <c r="K6166" s="28">
        <f t="shared" si="240"/>
        <v>996.4787</v>
      </c>
      <c r="L6166" s="4"/>
      <c r="M6166" s="241">
        <v>953.34680000000003</v>
      </c>
    </row>
    <row r="6167" spans="3:13" hidden="1" outlineLevel="1" x14ac:dyDescent="0.2">
      <c r="C6167" s="139">
        <v>130.89999999999685</v>
      </c>
      <c r="D6167" s="28">
        <f t="shared" si="233"/>
        <v>1047.1999999999748</v>
      </c>
      <c r="E6167" s="28">
        <f t="shared" si="234"/>
        <v>981.74999999997635</v>
      </c>
      <c r="F6167" s="28">
        <f t="shared" si="235"/>
        <v>963.74999999997635</v>
      </c>
      <c r="G6167" s="28">
        <f t="shared" si="236"/>
        <v>894.41480000000001</v>
      </c>
      <c r="H6167" s="28">
        <f t="shared" si="237"/>
        <v>934.28020000000004</v>
      </c>
      <c r="I6167" s="28">
        <f t="shared" si="238"/>
        <v>954.36710000000005</v>
      </c>
      <c r="J6167" s="28">
        <f t="shared" si="239"/>
        <v>970.16560000000004</v>
      </c>
      <c r="K6167" s="28">
        <f t="shared" si="240"/>
        <v>997.53070000000002</v>
      </c>
      <c r="L6167" s="4"/>
      <c r="M6167" s="241">
        <v>954.36710000000005</v>
      </c>
    </row>
    <row r="6168" spans="3:13" hidden="1" outlineLevel="1" x14ac:dyDescent="0.2">
      <c r="C6168" s="139">
        <v>130.99999999999685</v>
      </c>
      <c r="D6168" s="28">
        <f t="shared" si="233"/>
        <v>1047.9999999999748</v>
      </c>
      <c r="E6168" s="28">
        <f t="shared" si="234"/>
        <v>982.49999999997635</v>
      </c>
      <c r="F6168" s="28">
        <f t="shared" si="235"/>
        <v>964.49999999997635</v>
      </c>
      <c r="G6168" s="28">
        <f t="shared" si="236"/>
        <v>895.3877</v>
      </c>
      <c r="H6168" s="28">
        <f t="shared" si="237"/>
        <v>935.27980000000002</v>
      </c>
      <c r="I6168" s="28">
        <f t="shared" si="238"/>
        <v>955.37289999999996</v>
      </c>
      <c r="J6168" s="28">
        <f t="shared" si="239"/>
        <v>971.1893</v>
      </c>
      <c r="K6168" s="28">
        <f t="shared" si="240"/>
        <v>998.58270000000005</v>
      </c>
      <c r="L6168" s="4"/>
      <c r="M6168" s="241">
        <v>955.37289999999996</v>
      </c>
    </row>
    <row r="6169" spans="3:13" hidden="1" outlineLevel="1" x14ac:dyDescent="0.2">
      <c r="C6169" s="139">
        <v>131.09999999999684</v>
      </c>
      <c r="D6169" s="28">
        <f t="shared" si="233"/>
        <v>1048.7999999999747</v>
      </c>
      <c r="E6169" s="28">
        <f t="shared" si="234"/>
        <v>983.24999999997635</v>
      </c>
      <c r="F6169" s="28">
        <f t="shared" si="235"/>
        <v>965.24999999997635</v>
      </c>
      <c r="G6169" s="28">
        <f t="shared" si="236"/>
        <v>896.36069999999995</v>
      </c>
      <c r="H6169" s="28">
        <f t="shared" si="237"/>
        <v>936.27940000000001</v>
      </c>
      <c r="I6169" s="28">
        <f t="shared" si="238"/>
        <v>956.39340000000004</v>
      </c>
      <c r="J6169" s="28">
        <f t="shared" si="239"/>
        <v>972.21289999999999</v>
      </c>
      <c r="K6169" s="28">
        <f t="shared" si="240"/>
        <v>999.63480000000004</v>
      </c>
      <c r="L6169" s="4"/>
      <c r="M6169" s="241">
        <v>956.39340000000004</v>
      </c>
    </row>
    <row r="6170" spans="3:13" hidden="1" outlineLevel="1" x14ac:dyDescent="0.2">
      <c r="C6170" s="139">
        <v>131.19999999999683</v>
      </c>
      <c r="D6170" s="28">
        <f t="shared" si="233"/>
        <v>1049.5999999999747</v>
      </c>
      <c r="E6170" s="28">
        <f t="shared" si="234"/>
        <v>983.99999999997624</v>
      </c>
      <c r="F6170" s="28">
        <f t="shared" si="235"/>
        <v>965.99999999997624</v>
      </c>
      <c r="G6170" s="28">
        <f t="shared" si="236"/>
        <v>896.36069999999995</v>
      </c>
      <c r="H6170" s="28">
        <f t="shared" si="237"/>
        <v>936.27940000000001</v>
      </c>
      <c r="I6170" s="28">
        <f t="shared" si="238"/>
        <v>956.39340000000004</v>
      </c>
      <c r="J6170" s="28">
        <f t="shared" si="239"/>
        <v>972.21289999999999</v>
      </c>
      <c r="K6170" s="28">
        <f t="shared" si="240"/>
        <v>999.63480000000004</v>
      </c>
      <c r="L6170" s="4"/>
      <c r="M6170" s="241">
        <v>956.39340000000004</v>
      </c>
    </row>
    <row r="6171" spans="3:13" hidden="1" outlineLevel="1" x14ac:dyDescent="0.2">
      <c r="C6171" s="139">
        <v>131.29999999999683</v>
      </c>
      <c r="D6171" s="28">
        <f t="shared" si="233"/>
        <v>1050.3999999999746</v>
      </c>
      <c r="E6171" s="28">
        <f t="shared" si="234"/>
        <v>984.74999999997624</v>
      </c>
      <c r="F6171" s="28">
        <f t="shared" si="235"/>
        <v>966.74999999997624</v>
      </c>
      <c r="G6171" s="28">
        <f t="shared" si="236"/>
        <v>897.31899999999996</v>
      </c>
      <c r="H6171" s="28">
        <f t="shared" si="237"/>
        <v>937.27909999999997</v>
      </c>
      <c r="I6171" s="28">
        <f t="shared" si="238"/>
        <v>957.39919999999995</v>
      </c>
      <c r="J6171" s="28">
        <f t="shared" si="239"/>
        <v>973.23659999999995</v>
      </c>
      <c r="K6171" s="28">
        <f t="shared" si="240"/>
        <v>1000.6869</v>
      </c>
      <c r="L6171" s="4"/>
      <c r="M6171" s="241">
        <v>957.39919999999995</v>
      </c>
    </row>
    <row r="6172" spans="3:13" hidden="1" outlineLevel="1" x14ac:dyDescent="0.2">
      <c r="C6172" s="139">
        <v>131.39999999999682</v>
      </c>
      <c r="D6172" s="28">
        <f t="shared" si="233"/>
        <v>1051.1999999999746</v>
      </c>
      <c r="E6172" s="28">
        <f t="shared" si="234"/>
        <v>985.49999999997613</v>
      </c>
      <c r="F6172" s="28">
        <f t="shared" si="235"/>
        <v>967.49999999997613</v>
      </c>
      <c r="G6172" s="28">
        <f t="shared" si="236"/>
        <v>898.29219999999998</v>
      </c>
      <c r="H6172" s="28">
        <f t="shared" si="237"/>
        <v>938.27890000000002</v>
      </c>
      <c r="I6172" s="28">
        <f t="shared" si="238"/>
        <v>958.41980000000001</v>
      </c>
      <c r="J6172" s="28">
        <f t="shared" si="239"/>
        <v>974.27660000000003</v>
      </c>
      <c r="K6172" s="28">
        <f t="shared" si="240"/>
        <v>1001.7228</v>
      </c>
      <c r="L6172" s="4"/>
      <c r="M6172" s="241">
        <v>958.41980000000001</v>
      </c>
    </row>
    <row r="6173" spans="3:13" hidden="1" outlineLevel="1" x14ac:dyDescent="0.2">
      <c r="C6173" s="139">
        <v>131.49999999999682</v>
      </c>
      <c r="D6173" s="28">
        <f t="shared" si="233"/>
        <v>1051.9999999999745</v>
      </c>
      <c r="E6173" s="28">
        <f t="shared" si="234"/>
        <v>986.24999999997613</v>
      </c>
      <c r="F6173" s="28">
        <f t="shared" si="235"/>
        <v>968.24999999997613</v>
      </c>
      <c r="G6173" s="28">
        <f t="shared" si="236"/>
        <v>899.2654</v>
      </c>
      <c r="H6173" s="28">
        <f t="shared" si="237"/>
        <v>939.27869999999996</v>
      </c>
      <c r="I6173" s="28">
        <f t="shared" si="238"/>
        <v>959.42570000000001</v>
      </c>
      <c r="J6173" s="28">
        <f t="shared" si="239"/>
        <v>975.30029999999999</v>
      </c>
      <c r="K6173" s="28">
        <f t="shared" si="240"/>
        <v>1002.7749</v>
      </c>
      <c r="L6173" s="4"/>
      <c r="M6173" s="241">
        <v>959.42570000000001</v>
      </c>
    </row>
    <row r="6174" spans="3:13" hidden="1" outlineLevel="1" x14ac:dyDescent="0.2">
      <c r="C6174" s="139">
        <v>131.59999999999681</v>
      </c>
      <c r="D6174" s="28">
        <f t="shared" si="233"/>
        <v>1052.7999999999745</v>
      </c>
      <c r="E6174" s="28">
        <f t="shared" si="234"/>
        <v>986.99999999997613</v>
      </c>
      <c r="F6174" s="28">
        <f t="shared" si="235"/>
        <v>968.99999999997613</v>
      </c>
      <c r="G6174" s="28">
        <f t="shared" si="236"/>
        <v>899.2654</v>
      </c>
      <c r="H6174" s="28">
        <f t="shared" si="237"/>
        <v>939.27869999999996</v>
      </c>
      <c r="I6174" s="28">
        <f t="shared" si="238"/>
        <v>959.42570000000001</v>
      </c>
      <c r="J6174" s="28">
        <f t="shared" si="239"/>
        <v>975.30029999999999</v>
      </c>
      <c r="K6174" s="28">
        <f t="shared" si="240"/>
        <v>1002.7749</v>
      </c>
      <c r="L6174" s="4"/>
      <c r="M6174" s="241">
        <v>959.42570000000001</v>
      </c>
    </row>
    <row r="6175" spans="3:13" hidden="1" outlineLevel="1" x14ac:dyDescent="0.2">
      <c r="C6175" s="139">
        <v>131.69999999999681</v>
      </c>
      <c r="D6175" s="28">
        <f t="shared" si="233"/>
        <v>1053.5999999999744</v>
      </c>
      <c r="E6175" s="28">
        <f t="shared" si="234"/>
        <v>987.74999999997601</v>
      </c>
      <c r="F6175" s="28">
        <f t="shared" si="235"/>
        <v>969.74999999997601</v>
      </c>
      <c r="G6175" s="28">
        <f t="shared" si="236"/>
        <v>900.23879999999997</v>
      </c>
      <c r="H6175" s="28">
        <f t="shared" si="237"/>
        <v>940.27859999999998</v>
      </c>
      <c r="I6175" s="28">
        <f t="shared" si="238"/>
        <v>960.44640000000004</v>
      </c>
      <c r="J6175" s="28">
        <f t="shared" si="239"/>
        <v>976.32410000000004</v>
      </c>
      <c r="K6175" s="28">
        <f t="shared" si="240"/>
        <v>1003.8271</v>
      </c>
      <c r="L6175" s="4"/>
      <c r="M6175" s="241">
        <v>960.44640000000004</v>
      </c>
    </row>
    <row r="6176" spans="3:13" hidden="1" outlineLevel="1" x14ac:dyDescent="0.2">
      <c r="C6176" s="139">
        <v>131.7999999999968</v>
      </c>
      <c r="D6176" s="28">
        <f t="shared" si="233"/>
        <v>1054.3999999999744</v>
      </c>
      <c r="E6176" s="28">
        <f t="shared" si="234"/>
        <v>988.49999999997601</v>
      </c>
      <c r="F6176" s="28">
        <f t="shared" si="235"/>
        <v>970.49999999997601</v>
      </c>
      <c r="G6176" s="28">
        <f t="shared" si="236"/>
        <v>901.21220000000005</v>
      </c>
      <c r="H6176" s="28">
        <f t="shared" si="237"/>
        <v>941.26379999999995</v>
      </c>
      <c r="I6176" s="28">
        <f t="shared" si="238"/>
        <v>961.45240000000001</v>
      </c>
      <c r="J6176" s="28">
        <f t="shared" si="239"/>
        <v>977.34799999999996</v>
      </c>
      <c r="K6176" s="28">
        <f t="shared" si="240"/>
        <v>1004.8794</v>
      </c>
      <c r="L6176" s="4"/>
      <c r="M6176" s="241">
        <v>961.45240000000001</v>
      </c>
    </row>
    <row r="6177" spans="3:13" hidden="1" outlineLevel="1" x14ac:dyDescent="0.2">
      <c r="C6177" s="139">
        <v>131.89999999999679</v>
      </c>
      <c r="D6177" s="28">
        <f t="shared" si="233"/>
        <v>1055.1999999999744</v>
      </c>
      <c r="E6177" s="28">
        <f t="shared" si="234"/>
        <v>989.2499999999759</v>
      </c>
      <c r="F6177" s="28">
        <f t="shared" si="235"/>
        <v>971.2499999999759</v>
      </c>
      <c r="G6177" s="28">
        <f t="shared" si="236"/>
        <v>902.17100000000005</v>
      </c>
      <c r="H6177" s="28">
        <f t="shared" si="237"/>
        <v>942.26379999999995</v>
      </c>
      <c r="I6177" s="28">
        <f t="shared" si="238"/>
        <v>962.47320000000002</v>
      </c>
      <c r="J6177" s="28">
        <f t="shared" si="239"/>
        <v>978.37180000000001</v>
      </c>
      <c r="K6177" s="28">
        <f t="shared" si="240"/>
        <v>1005.9316</v>
      </c>
      <c r="L6177" s="4"/>
      <c r="M6177" s="241">
        <v>962.47320000000002</v>
      </c>
    </row>
    <row r="6178" spans="3:13" hidden="1" outlineLevel="1" x14ac:dyDescent="0.2">
      <c r="C6178" s="139">
        <v>131.99999999999679</v>
      </c>
      <c r="D6178" s="28">
        <f t="shared" si="233"/>
        <v>1055.9999999999743</v>
      </c>
      <c r="E6178" s="28">
        <f t="shared" si="234"/>
        <v>989.9999999999759</v>
      </c>
      <c r="F6178" s="28">
        <f t="shared" si="235"/>
        <v>971.9999999999759</v>
      </c>
      <c r="G6178" s="28">
        <f t="shared" si="236"/>
        <v>902.17100000000005</v>
      </c>
      <c r="H6178" s="28">
        <f t="shared" si="237"/>
        <v>942.26379999999995</v>
      </c>
      <c r="I6178" s="28">
        <f t="shared" si="238"/>
        <v>962.47320000000002</v>
      </c>
      <c r="J6178" s="28">
        <f t="shared" si="239"/>
        <v>978.37180000000001</v>
      </c>
      <c r="K6178" s="28">
        <f t="shared" si="240"/>
        <v>1005.9316</v>
      </c>
      <c r="L6178" s="4"/>
      <c r="M6178" s="241">
        <v>962.47320000000002</v>
      </c>
    </row>
    <row r="6179" spans="3:13" hidden="1" outlineLevel="1" x14ac:dyDescent="0.2">
      <c r="C6179" s="139">
        <v>132.09999999999678</v>
      </c>
      <c r="D6179" s="28">
        <f t="shared" si="233"/>
        <v>1056.7999999999743</v>
      </c>
      <c r="E6179" s="28">
        <f t="shared" si="234"/>
        <v>990.7499999999759</v>
      </c>
      <c r="F6179" s="28">
        <f t="shared" si="235"/>
        <v>972.7499999999759</v>
      </c>
      <c r="G6179" s="28">
        <f t="shared" si="236"/>
        <v>903.14459999999997</v>
      </c>
      <c r="H6179" s="28">
        <f t="shared" si="237"/>
        <v>943.26390000000004</v>
      </c>
      <c r="I6179" s="28">
        <f t="shared" si="238"/>
        <v>963.47929999999997</v>
      </c>
      <c r="J6179" s="28">
        <f t="shared" si="239"/>
        <v>979.39570000000003</v>
      </c>
      <c r="K6179" s="28">
        <f t="shared" si="240"/>
        <v>1006.9838999999999</v>
      </c>
      <c r="L6179" s="4"/>
      <c r="M6179" s="241">
        <v>963.47929999999997</v>
      </c>
    </row>
    <row r="6180" spans="3:13" hidden="1" outlineLevel="1" x14ac:dyDescent="0.2">
      <c r="C6180" s="139">
        <v>132.19999999999678</v>
      </c>
      <c r="D6180" s="28">
        <f t="shared" si="233"/>
        <v>1057.5999999999742</v>
      </c>
      <c r="E6180" s="28">
        <f t="shared" si="234"/>
        <v>991.49999999997578</v>
      </c>
      <c r="F6180" s="28">
        <f t="shared" si="235"/>
        <v>973.49999999997578</v>
      </c>
      <c r="G6180" s="28">
        <f t="shared" si="236"/>
        <v>904.11829999999998</v>
      </c>
      <c r="H6180" s="28">
        <f t="shared" si="237"/>
        <v>944.26400000000001</v>
      </c>
      <c r="I6180" s="28">
        <f t="shared" si="238"/>
        <v>964.50019999999995</v>
      </c>
      <c r="J6180" s="28">
        <f t="shared" si="239"/>
        <v>980.41970000000003</v>
      </c>
      <c r="K6180" s="28">
        <f t="shared" si="240"/>
        <v>1008.0362</v>
      </c>
      <c r="L6180" s="4"/>
      <c r="M6180" s="241">
        <v>964.50019999999995</v>
      </c>
    </row>
    <row r="6181" spans="3:13" hidden="1" outlineLevel="1" x14ac:dyDescent="0.2">
      <c r="C6181" s="139">
        <v>132.29999999999677</v>
      </c>
      <c r="D6181" s="28">
        <f t="shared" si="233"/>
        <v>1058.3999999999742</v>
      </c>
      <c r="E6181" s="28">
        <f t="shared" si="234"/>
        <v>992.24999999997578</v>
      </c>
      <c r="F6181" s="28">
        <f t="shared" si="235"/>
        <v>974.24999999997578</v>
      </c>
      <c r="G6181" s="28">
        <f t="shared" si="236"/>
        <v>905.09209999999996</v>
      </c>
      <c r="H6181" s="28">
        <f t="shared" si="237"/>
        <v>945.26419999999996</v>
      </c>
      <c r="I6181" s="28">
        <f t="shared" si="238"/>
        <v>965.50630000000001</v>
      </c>
      <c r="J6181" s="28">
        <f t="shared" si="239"/>
        <v>981.46</v>
      </c>
      <c r="K6181" s="28">
        <f t="shared" si="240"/>
        <v>1009.0886</v>
      </c>
      <c r="L6181" s="4"/>
      <c r="M6181" s="241">
        <v>965.50630000000001</v>
      </c>
    </row>
    <row r="6182" spans="3:13" hidden="1" outlineLevel="1" x14ac:dyDescent="0.2">
      <c r="C6182" s="139">
        <v>132.39999999999677</v>
      </c>
      <c r="D6182" s="28">
        <f t="shared" si="233"/>
        <v>1059.1999999999741</v>
      </c>
      <c r="E6182" s="28">
        <f t="shared" si="234"/>
        <v>992.99999999997578</v>
      </c>
      <c r="F6182" s="28">
        <f t="shared" si="235"/>
        <v>974.99999999997578</v>
      </c>
      <c r="G6182" s="28">
        <f t="shared" si="236"/>
        <v>905.09209999999996</v>
      </c>
      <c r="H6182" s="28">
        <f t="shared" si="237"/>
        <v>945.26419999999996</v>
      </c>
      <c r="I6182" s="28">
        <f t="shared" si="238"/>
        <v>965.50630000000001</v>
      </c>
      <c r="J6182" s="28">
        <f t="shared" si="239"/>
        <v>981.46</v>
      </c>
      <c r="K6182" s="28">
        <f t="shared" si="240"/>
        <v>1009.0886</v>
      </c>
      <c r="L6182" s="4"/>
      <c r="M6182" s="241">
        <v>965.50630000000001</v>
      </c>
    </row>
    <row r="6183" spans="3:13" hidden="1" outlineLevel="1" x14ac:dyDescent="0.2">
      <c r="C6183" s="139">
        <v>132.49999999999676</v>
      </c>
      <c r="D6183" s="28">
        <f t="shared" si="233"/>
        <v>1059.9999999999741</v>
      </c>
      <c r="E6183" s="28">
        <f t="shared" si="234"/>
        <v>993.74999999997567</v>
      </c>
      <c r="F6183" s="28">
        <f t="shared" si="235"/>
        <v>975.74999999997567</v>
      </c>
      <c r="G6183" s="28">
        <f t="shared" si="236"/>
        <v>906.05110000000002</v>
      </c>
      <c r="H6183" s="28">
        <f t="shared" si="237"/>
        <v>946.2645</v>
      </c>
      <c r="I6183" s="28">
        <f t="shared" si="238"/>
        <v>966.52739999999994</v>
      </c>
      <c r="J6183" s="28">
        <f t="shared" si="239"/>
        <v>982.48400000000004</v>
      </c>
      <c r="K6183" s="28">
        <f t="shared" si="240"/>
        <v>1010.1246</v>
      </c>
      <c r="L6183" s="4"/>
      <c r="M6183" s="241">
        <v>966.52739999999994</v>
      </c>
    </row>
    <row r="6184" spans="3:13" hidden="1" outlineLevel="1" x14ac:dyDescent="0.2">
      <c r="C6184" s="139">
        <v>132.59999999999675</v>
      </c>
      <c r="D6184" s="28">
        <f t="shared" si="233"/>
        <v>1060.799999999974</v>
      </c>
      <c r="E6184" s="28">
        <f t="shared" si="234"/>
        <v>994.49999999997567</v>
      </c>
      <c r="F6184" s="28">
        <f t="shared" si="235"/>
        <v>976.49999999997567</v>
      </c>
      <c r="G6184" s="28">
        <f t="shared" si="236"/>
        <v>907.02499999999998</v>
      </c>
      <c r="H6184" s="28">
        <f t="shared" si="237"/>
        <v>947.24990000000003</v>
      </c>
      <c r="I6184" s="28">
        <f t="shared" si="238"/>
        <v>967.53359999999998</v>
      </c>
      <c r="J6184" s="28">
        <f t="shared" si="239"/>
        <v>983.50810000000001</v>
      </c>
      <c r="K6184" s="28">
        <f t="shared" si="240"/>
        <v>1011.177</v>
      </c>
      <c r="L6184" s="4"/>
      <c r="M6184" s="241">
        <v>967.53359999999998</v>
      </c>
    </row>
    <row r="6185" spans="3:13" hidden="1" outlineLevel="1" x14ac:dyDescent="0.2">
      <c r="C6185" s="139">
        <v>132.69999999999675</v>
      </c>
      <c r="D6185" s="28">
        <f t="shared" si="233"/>
        <v>1061.599999999974</v>
      </c>
      <c r="E6185" s="28">
        <f t="shared" si="234"/>
        <v>995.24999999997567</v>
      </c>
      <c r="F6185" s="28">
        <f t="shared" si="235"/>
        <v>977.24999999997567</v>
      </c>
      <c r="G6185" s="28">
        <f t="shared" si="236"/>
        <v>907.9991</v>
      </c>
      <c r="H6185" s="28">
        <f t="shared" si="237"/>
        <v>948.25019999999995</v>
      </c>
      <c r="I6185" s="28">
        <f t="shared" si="238"/>
        <v>968.55470000000003</v>
      </c>
      <c r="J6185" s="28">
        <f t="shared" si="239"/>
        <v>984.53219999999999</v>
      </c>
      <c r="K6185" s="28">
        <f t="shared" si="240"/>
        <v>1012.2295</v>
      </c>
      <c r="L6185" s="4"/>
      <c r="M6185" s="241">
        <v>968.55470000000003</v>
      </c>
    </row>
    <row r="6186" spans="3:13" hidden="1" outlineLevel="1" x14ac:dyDescent="0.2">
      <c r="C6186" s="139">
        <v>132.79999999999674</v>
      </c>
      <c r="D6186" s="28">
        <f t="shared" si="233"/>
        <v>1062.3999999999739</v>
      </c>
      <c r="E6186" s="28">
        <f t="shared" si="234"/>
        <v>995.99999999997556</v>
      </c>
      <c r="F6186" s="28">
        <f t="shared" si="235"/>
        <v>977.99999999997556</v>
      </c>
      <c r="G6186" s="28">
        <f t="shared" si="236"/>
        <v>907.9991</v>
      </c>
      <c r="H6186" s="28">
        <f t="shared" si="237"/>
        <v>948.25019999999995</v>
      </c>
      <c r="I6186" s="28">
        <f t="shared" si="238"/>
        <v>968.55470000000003</v>
      </c>
      <c r="J6186" s="28">
        <f t="shared" si="239"/>
        <v>984.53219999999999</v>
      </c>
      <c r="K6186" s="28">
        <f t="shared" si="240"/>
        <v>1012.2295</v>
      </c>
      <c r="L6186" s="4"/>
      <c r="M6186" s="241">
        <v>968.55470000000003</v>
      </c>
    </row>
    <row r="6187" spans="3:13" hidden="1" outlineLevel="1" x14ac:dyDescent="0.2">
      <c r="C6187" s="139">
        <v>132.89999999999674</v>
      </c>
      <c r="D6187" s="28">
        <f t="shared" si="233"/>
        <v>1063.1999999999739</v>
      </c>
      <c r="E6187" s="28">
        <f t="shared" si="234"/>
        <v>996.74999999997556</v>
      </c>
      <c r="F6187" s="28">
        <f t="shared" si="235"/>
        <v>978.74999999997556</v>
      </c>
      <c r="G6187" s="28">
        <f t="shared" si="236"/>
        <v>908.97320000000002</v>
      </c>
      <c r="H6187" s="28">
        <f t="shared" si="237"/>
        <v>949.25070000000005</v>
      </c>
      <c r="I6187" s="28">
        <f t="shared" si="238"/>
        <v>969.56100000000004</v>
      </c>
      <c r="J6187" s="28">
        <f t="shared" si="239"/>
        <v>985.55629999999996</v>
      </c>
      <c r="K6187" s="28">
        <f t="shared" si="240"/>
        <v>1013.2819</v>
      </c>
      <c r="L6187" s="4"/>
      <c r="M6187" s="241">
        <v>969.56100000000004</v>
      </c>
    </row>
    <row r="6188" spans="3:13" hidden="1" outlineLevel="1" x14ac:dyDescent="0.2">
      <c r="C6188" s="139">
        <v>132.99999999999673</v>
      </c>
      <c r="D6188" s="28">
        <f t="shared" si="233"/>
        <v>1063.9999999999739</v>
      </c>
      <c r="E6188" s="28">
        <f t="shared" si="234"/>
        <v>997.49999999997544</v>
      </c>
      <c r="F6188" s="28">
        <f t="shared" si="235"/>
        <v>979.49999999997544</v>
      </c>
      <c r="G6188" s="28">
        <f t="shared" si="236"/>
        <v>909.94749999999999</v>
      </c>
      <c r="H6188" s="28">
        <f t="shared" si="237"/>
        <v>950.25109999999995</v>
      </c>
      <c r="I6188" s="28">
        <f t="shared" si="238"/>
        <v>970.56730000000005</v>
      </c>
      <c r="J6188" s="28">
        <f t="shared" si="239"/>
        <v>986.58050000000003</v>
      </c>
      <c r="K6188" s="28">
        <f t="shared" si="240"/>
        <v>1014.3344</v>
      </c>
      <c r="L6188" s="4"/>
      <c r="M6188" s="241">
        <v>970.56730000000005</v>
      </c>
    </row>
    <row r="6189" spans="3:13" hidden="1" outlineLevel="1" x14ac:dyDescent="0.2">
      <c r="C6189" s="139">
        <v>133.09999999999673</v>
      </c>
      <c r="D6189" s="28">
        <f t="shared" si="233"/>
        <v>1064.7999999999738</v>
      </c>
      <c r="E6189" s="28">
        <f t="shared" si="234"/>
        <v>998.24999999997544</v>
      </c>
      <c r="F6189" s="28">
        <f t="shared" si="235"/>
        <v>980.24999999997544</v>
      </c>
      <c r="G6189" s="28">
        <f t="shared" si="236"/>
        <v>910.90679999999998</v>
      </c>
      <c r="H6189" s="28">
        <f t="shared" si="237"/>
        <v>951.25170000000003</v>
      </c>
      <c r="I6189" s="28">
        <f t="shared" si="238"/>
        <v>971.58860000000004</v>
      </c>
      <c r="J6189" s="28">
        <f t="shared" si="239"/>
        <v>987.60469999999998</v>
      </c>
      <c r="K6189" s="28">
        <f t="shared" si="240"/>
        <v>1015.3869999999999</v>
      </c>
      <c r="L6189" s="4"/>
      <c r="M6189" s="241">
        <v>971.58860000000004</v>
      </c>
    </row>
    <row r="6190" spans="3:13" hidden="1" outlineLevel="1" x14ac:dyDescent="0.2">
      <c r="C6190" s="139">
        <v>133.19999999999672</v>
      </c>
      <c r="D6190" s="28">
        <f t="shared" si="233"/>
        <v>1065.5999999999738</v>
      </c>
      <c r="E6190" s="28">
        <f t="shared" si="234"/>
        <v>998.99999999997544</v>
      </c>
      <c r="F6190" s="28">
        <f t="shared" si="235"/>
        <v>980.99999999997544</v>
      </c>
      <c r="G6190" s="28">
        <f t="shared" si="236"/>
        <v>910.90679999999998</v>
      </c>
      <c r="H6190" s="28">
        <f t="shared" si="237"/>
        <v>951.25170000000003</v>
      </c>
      <c r="I6190" s="28">
        <f t="shared" si="238"/>
        <v>971.58860000000004</v>
      </c>
      <c r="J6190" s="28">
        <f t="shared" si="239"/>
        <v>987.60469999999998</v>
      </c>
      <c r="K6190" s="28">
        <f t="shared" si="240"/>
        <v>1015.3869999999999</v>
      </c>
      <c r="L6190" s="4"/>
      <c r="M6190" s="241">
        <v>971.58860000000004</v>
      </c>
    </row>
    <row r="6191" spans="3:13" hidden="1" outlineLevel="1" x14ac:dyDescent="0.2">
      <c r="C6191" s="139">
        <v>133.29999999999671</v>
      </c>
      <c r="D6191" s="28">
        <f t="shared" si="233"/>
        <v>1066.3999999999737</v>
      </c>
      <c r="E6191" s="28">
        <f t="shared" si="234"/>
        <v>999.74999999997533</v>
      </c>
      <c r="F6191" s="28">
        <f t="shared" si="235"/>
        <v>981.74999999997533</v>
      </c>
      <c r="G6191" s="28">
        <f t="shared" si="236"/>
        <v>911.88120000000004</v>
      </c>
      <c r="H6191" s="28">
        <f t="shared" si="237"/>
        <v>952.2373</v>
      </c>
      <c r="I6191" s="28">
        <f t="shared" si="238"/>
        <v>972.59500000000003</v>
      </c>
      <c r="J6191" s="28">
        <f t="shared" si="239"/>
        <v>988.6454</v>
      </c>
      <c r="K6191" s="28">
        <f t="shared" si="240"/>
        <v>1016.4396</v>
      </c>
      <c r="L6191" s="4"/>
      <c r="M6191" s="241">
        <v>972.59500000000003</v>
      </c>
    </row>
    <row r="6192" spans="3:13" hidden="1" outlineLevel="1" x14ac:dyDescent="0.2">
      <c r="C6192" s="139">
        <v>133.39999999999671</v>
      </c>
      <c r="D6192" s="28">
        <f t="shared" si="233"/>
        <v>1067.1999999999737</v>
      </c>
      <c r="E6192" s="28">
        <f t="shared" si="234"/>
        <v>1000.4999999999753</v>
      </c>
      <c r="F6192" s="28">
        <f t="shared" si="235"/>
        <v>982.49999999997533</v>
      </c>
      <c r="G6192" s="28">
        <f t="shared" si="236"/>
        <v>912.85569999999996</v>
      </c>
      <c r="H6192" s="28">
        <f t="shared" si="237"/>
        <v>953.23800000000006</v>
      </c>
      <c r="I6192" s="28">
        <f t="shared" si="238"/>
        <v>973.6164</v>
      </c>
      <c r="J6192" s="28">
        <f t="shared" si="239"/>
        <v>989.66959999999995</v>
      </c>
      <c r="K6192" s="28">
        <f t="shared" si="240"/>
        <v>1017.4922</v>
      </c>
      <c r="L6192" s="4"/>
      <c r="M6192" s="241">
        <v>973.6164</v>
      </c>
    </row>
    <row r="6193" spans="3:13" hidden="1" outlineLevel="1" x14ac:dyDescent="0.2">
      <c r="C6193" s="139">
        <v>133.4999999999967</v>
      </c>
      <c r="D6193" s="28">
        <f t="shared" si="233"/>
        <v>1067.9999999999736</v>
      </c>
      <c r="E6193" s="28">
        <f t="shared" si="234"/>
        <v>1001.2499999999752</v>
      </c>
      <c r="F6193" s="28">
        <f t="shared" si="235"/>
        <v>983.24999999997522</v>
      </c>
      <c r="G6193" s="28">
        <f t="shared" si="236"/>
        <v>913.81529999999998</v>
      </c>
      <c r="H6193" s="28">
        <f t="shared" si="237"/>
        <v>954.23869999999999</v>
      </c>
      <c r="I6193" s="28">
        <f t="shared" si="238"/>
        <v>974.62279999999998</v>
      </c>
      <c r="J6193" s="28">
        <f t="shared" si="239"/>
        <v>990.69389999999999</v>
      </c>
      <c r="K6193" s="28">
        <f t="shared" si="240"/>
        <v>1018.5282999999999</v>
      </c>
      <c r="L6193" s="4"/>
      <c r="M6193" s="241">
        <v>974.62279999999998</v>
      </c>
    </row>
    <row r="6194" spans="3:13" hidden="1" outlineLevel="1" x14ac:dyDescent="0.2">
      <c r="C6194" s="139">
        <v>133.5999999999967</v>
      </c>
      <c r="D6194" s="28">
        <f t="shared" si="233"/>
        <v>1068.7999999999736</v>
      </c>
      <c r="E6194" s="28">
        <f t="shared" si="234"/>
        <v>1001.9999999999752</v>
      </c>
      <c r="F6194" s="28">
        <f t="shared" si="235"/>
        <v>983.99999999997522</v>
      </c>
      <c r="G6194" s="28">
        <f t="shared" si="236"/>
        <v>913.81529999999998</v>
      </c>
      <c r="H6194" s="28">
        <f t="shared" si="237"/>
        <v>954.23869999999999</v>
      </c>
      <c r="I6194" s="28">
        <f t="shared" si="238"/>
        <v>974.62279999999998</v>
      </c>
      <c r="J6194" s="28">
        <f t="shared" si="239"/>
        <v>990.69389999999999</v>
      </c>
      <c r="K6194" s="28">
        <f t="shared" si="240"/>
        <v>1018.5282999999999</v>
      </c>
      <c r="L6194" s="4"/>
      <c r="M6194" s="241">
        <v>974.62279999999998</v>
      </c>
    </row>
    <row r="6195" spans="3:13" hidden="1" outlineLevel="1" x14ac:dyDescent="0.2">
      <c r="C6195" s="139">
        <v>133.69999999999669</v>
      </c>
      <c r="D6195" s="28">
        <f t="shared" si="233"/>
        <v>1069.5999999999735</v>
      </c>
      <c r="E6195" s="28">
        <f t="shared" si="234"/>
        <v>1002.7499999999752</v>
      </c>
      <c r="F6195" s="28">
        <f t="shared" si="235"/>
        <v>984.74999999997522</v>
      </c>
      <c r="G6195" s="28">
        <f t="shared" si="236"/>
        <v>914.79</v>
      </c>
      <c r="H6195" s="28">
        <f t="shared" si="237"/>
        <v>955.23940000000005</v>
      </c>
      <c r="I6195" s="28">
        <f t="shared" si="238"/>
        <v>975.64430000000004</v>
      </c>
      <c r="J6195" s="28">
        <f t="shared" si="239"/>
        <v>991.7183</v>
      </c>
      <c r="K6195" s="28">
        <f t="shared" si="240"/>
        <v>1019.581</v>
      </c>
      <c r="L6195" s="4"/>
      <c r="M6195" s="241">
        <v>975.64430000000004</v>
      </c>
    </row>
    <row r="6196" spans="3:13" hidden="1" outlineLevel="1" x14ac:dyDescent="0.2">
      <c r="C6196" s="139">
        <v>133.79999999999669</v>
      </c>
      <c r="D6196" s="28">
        <f t="shared" si="233"/>
        <v>1070.3999999999735</v>
      </c>
      <c r="E6196" s="28">
        <f t="shared" si="234"/>
        <v>1003.4999999999751</v>
      </c>
      <c r="F6196" s="28">
        <f t="shared" si="235"/>
        <v>985.4999999999751</v>
      </c>
      <c r="G6196" s="28">
        <f t="shared" si="236"/>
        <v>915.76469999999995</v>
      </c>
      <c r="H6196" s="28">
        <f t="shared" si="237"/>
        <v>956.24030000000005</v>
      </c>
      <c r="I6196" s="28">
        <f t="shared" si="238"/>
        <v>976.65089999999998</v>
      </c>
      <c r="J6196" s="28">
        <f t="shared" si="239"/>
        <v>992.74270000000001</v>
      </c>
      <c r="K6196" s="28">
        <f t="shared" si="240"/>
        <v>1020.6337</v>
      </c>
      <c r="L6196" s="4"/>
      <c r="M6196" s="241">
        <v>976.65089999999998</v>
      </c>
    </row>
    <row r="6197" spans="3:13" hidden="1" outlineLevel="1" x14ac:dyDescent="0.2">
      <c r="C6197" s="139">
        <v>133.89999999999668</v>
      </c>
      <c r="D6197" s="28">
        <f t="shared" si="233"/>
        <v>1071.1999999999734</v>
      </c>
      <c r="E6197" s="28">
        <f t="shared" si="234"/>
        <v>1004.2499999999751</v>
      </c>
      <c r="F6197" s="28">
        <f t="shared" si="235"/>
        <v>986.2499999999751</v>
      </c>
      <c r="G6197" s="28">
        <f t="shared" si="236"/>
        <v>916.7396</v>
      </c>
      <c r="H6197" s="28">
        <f t="shared" si="237"/>
        <v>957.22609999999997</v>
      </c>
      <c r="I6197" s="28">
        <f t="shared" si="238"/>
        <v>977.67250000000001</v>
      </c>
      <c r="J6197" s="28">
        <f t="shared" si="239"/>
        <v>993.76710000000003</v>
      </c>
      <c r="K6197" s="28">
        <f t="shared" si="240"/>
        <v>1021.6864</v>
      </c>
      <c r="L6197" s="4"/>
      <c r="M6197" s="241">
        <v>977.67250000000001</v>
      </c>
    </row>
    <row r="6198" spans="3:13" hidden="1" outlineLevel="1" x14ac:dyDescent="0.2">
      <c r="C6198" s="139">
        <v>133.99999999999667</v>
      </c>
      <c r="D6198" s="28">
        <f t="shared" si="233"/>
        <v>1071.9999999999734</v>
      </c>
      <c r="E6198" s="28">
        <f t="shared" si="234"/>
        <v>1004.9999999999751</v>
      </c>
      <c r="F6198" s="28">
        <f t="shared" si="235"/>
        <v>986.9999999999751</v>
      </c>
      <c r="G6198" s="28">
        <f t="shared" si="236"/>
        <v>916.7396</v>
      </c>
      <c r="H6198" s="28">
        <f t="shared" si="237"/>
        <v>957.22609999999997</v>
      </c>
      <c r="I6198" s="28">
        <f t="shared" si="238"/>
        <v>977.67250000000001</v>
      </c>
      <c r="J6198" s="28">
        <f t="shared" si="239"/>
        <v>993.76710000000003</v>
      </c>
      <c r="K6198" s="28">
        <f t="shared" si="240"/>
        <v>1021.6864</v>
      </c>
      <c r="L6198" s="4"/>
      <c r="M6198" s="241">
        <v>977.67250000000001</v>
      </c>
    </row>
    <row r="6199" spans="3:13" hidden="1" outlineLevel="1" x14ac:dyDescent="0.2">
      <c r="C6199" s="139">
        <v>134.09999999999667</v>
      </c>
      <c r="D6199" s="28">
        <f t="shared" si="233"/>
        <v>1072.7999999999734</v>
      </c>
      <c r="E6199" s="28">
        <f t="shared" si="234"/>
        <v>1005.749999999975</v>
      </c>
      <c r="F6199" s="28">
        <f t="shared" si="235"/>
        <v>987.74999999997499</v>
      </c>
      <c r="G6199" s="28">
        <f t="shared" si="236"/>
        <v>917.69949999999994</v>
      </c>
      <c r="H6199" s="28">
        <f t="shared" si="237"/>
        <v>958.22709999999995</v>
      </c>
      <c r="I6199" s="28">
        <f t="shared" si="238"/>
        <v>978.67909999999995</v>
      </c>
      <c r="J6199" s="28">
        <f t="shared" si="239"/>
        <v>994.79150000000004</v>
      </c>
      <c r="K6199" s="28">
        <f t="shared" si="240"/>
        <v>1022.7391</v>
      </c>
      <c r="L6199" s="4"/>
      <c r="M6199" s="241">
        <v>978.67909999999995</v>
      </c>
    </row>
    <row r="6200" spans="3:13" hidden="1" outlineLevel="1" x14ac:dyDescent="0.2">
      <c r="C6200" s="139">
        <v>134.19999999999666</v>
      </c>
      <c r="D6200" s="28">
        <f t="shared" si="233"/>
        <v>1073.5999999999733</v>
      </c>
      <c r="E6200" s="28">
        <f t="shared" si="234"/>
        <v>1006.499999999975</v>
      </c>
      <c r="F6200" s="28">
        <f t="shared" si="235"/>
        <v>988.49999999997499</v>
      </c>
      <c r="G6200" s="28">
        <f t="shared" si="236"/>
        <v>918.67449999999997</v>
      </c>
      <c r="H6200" s="28">
        <f t="shared" si="237"/>
        <v>959.22810000000004</v>
      </c>
      <c r="I6200" s="28">
        <f t="shared" si="238"/>
        <v>979.70079999999996</v>
      </c>
      <c r="J6200" s="28">
        <f t="shared" si="239"/>
        <v>995.81600000000003</v>
      </c>
      <c r="K6200" s="28">
        <f t="shared" si="240"/>
        <v>1023.7919000000001</v>
      </c>
      <c r="L6200" s="4"/>
      <c r="M6200" s="241">
        <v>979.70079999999996</v>
      </c>
    </row>
    <row r="6201" spans="3:13" hidden="1" outlineLevel="1" x14ac:dyDescent="0.2">
      <c r="C6201" s="139">
        <v>134.29999999999666</v>
      </c>
      <c r="D6201" s="28">
        <f t="shared" si="233"/>
        <v>1074.3999999999733</v>
      </c>
      <c r="E6201" s="28">
        <f t="shared" si="234"/>
        <v>1007.249999999975</v>
      </c>
      <c r="F6201" s="28">
        <f t="shared" si="235"/>
        <v>989.24999999997499</v>
      </c>
      <c r="G6201" s="28">
        <f t="shared" si="236"/>
        <v>919.64959999999996</v>
      </c>
      <c r="H6201" s="28">
        <f t="shared" si="237"/>
        <v>960.22910000000002</v>
      </c>
      <c r="I6201" s="28">
        <f t="shared" si="238"/>
        <v>980.70749999999998</v>
      </c>
      <c r="J6201" s="28">
        <f t="shared" si="239"/>
        <v>996.84050000000002</v>
      </c>
      <c r="K6201" s="28">
        <f t="shared" si="240"/>
        <v>1024.8448000000001</v>
      </c>
      <c r="L6201" s="4"/>
      <c r="M6201" s="241">
        <v>980.70749999999998</v>
      </c>
    </row>
    <row r="6202" spans="3:13" hidden="1" outlineLevel="1" x14ac:dyDescent="0.2">
      <c r="C6202" s="139">
        <v>134.39999999999665</v>
      </c>
      <c r="D6202" s="28">
        <f t="shared" si="233"/>
        <v>1075.1999999999732</v>
      </c>
      <c r="E6202" s="28">
        <f t="shared" si="234"/>
        <v>1007.9999999999749</v>
      </c>
      <c r="F6202" s="28">
        <f t="shared" si="235"/>
        <v>989.99999999997488</v>
      </c>
      <c r="G6202" s="28">
        <f t="shared" si="236"/>
        <v>919.64959999999996</v>
      </c>
      <c r="H6202" s="28">
        <f t="shared" si="237"/>
        <v>960.22910000000002</v>
      </c>
      <c r="I6202" s="28">
        <f t="shared" si="238"/>
        <v>980.70749999999998</v>
      </c>
      <c r="J6202" s="28">
        <f t="shared" si="239"/>
        <v>996.84050000000002</v>
      </c>
      <c r="K6202" s="28">
        <f t="shared" si="240"/>
        <v>1024.8448000000001</v>
      </c>
      <c r="L6202" s="4"/>
      <c r="M6202" s="241">
        <v>980.70749999999998</v>
      </c>
    </row>
    <row r="6203" spans="3:13" hidden="1" outlineLevel="1" x14ac:dyDescent="0.2">
      <c r="C6203" s="139">
        <v>134.49999999999665</v>
      </c>
      <c r="D6203" s="28">
        <f t="shared" ref="D6203:D6266" si="241">C6203*Channels.per.TRX</f>
        <v>1075.9999999999732</v>
      </c>
      <c r="E6203" s="28">
        <f t="shared" ref="E6203:E6266" si="242">D6203-C6203*sig.channel.per.TRX</f>
        <v>1008.7499999999749</v>
      </c>
      <c r="F6203" s="28">
        <f t="shared" ref="F6203:F6266" si="243">MAX(0,E6203-GPRS.channel.per.sector)</f>
        <v>990.74999999997488</v>
      </c>
      <c r="G6203" s="28">
        <f t="shared" ref="G6203:G6266" si="244">INDEX(D$10:D$4326,MATCH($F6203,$C$10:$C$4326,1))</f>
        <v>920.60969999999998</v>
      </c>
      <c r="H6203" s="28">
        <f t="shared" ref="H6203:H6266" si="245">INDEX(E$10:E$4326,MATCH($F6203,$C$10:$C$4326,1))</f>
        <v>961.23019999999997</v>
      </c>
      <c r="I6203" s="28">
        <f t="shared" ref="I6203:I6266" si="246">INDEX(F$10:F$4326,MATCH($F6203,$C$10:$C$4326,1))</f>
        <v>981.71420000000001</v>
      </c>
      <c r="J6203" s="28">
        <f t="shared" ref="J6203:J6266" si="247">INDEX(G$10:G$4326,MATCH($F6203,$C$10:$C$4326,1))</f>
        <v>997.88170000000002</v>
      </c>
      <c r="K6203" s="28">
        <f t="shared" ref="K6203:K6266" si="248">INDEX(H$10:H$4326,MATCH($F6203,$C$10:$C$4326,1))</f>
        <v>1025.8810000000001</v>
      </c>
      <c r="L6203" s="4"/>
      <c r="M6203" s="241">
        <v>981.71420000000001</v>
      </c>
    </row>
    <row r="6204" spans="3:13" hidden="1" outlineLevel="1" x14ac:dyDescent="0.2">
      <c r="C6204" s="139">
        <v>134.59999999999664</v>
      </c>
      <c r="D6204" s="28">
        <f t="shared" si="241"/>
        <v>1076.7999999999731</v>
      </c>
      <c r="E6204" s="28">
        <f t="shared" si="242"/>
        <v>1009.4999999999748</v>
      </c>
      <c r="F6204" s="28">
        <f t="shared" si="243"/>
        <v>991.49999999997476</v>
      </c>
      <c r="G6204" s="28">
        <f t="shared" si="244"/>
        <v>921.58489999999995</v>
      </c>
      <c r="H6204" s="28">
        <f t="shared" si="245"/>
        <v>962.21630000000005</v>
      </c>
      <c r="I6204" s="28">
        <f t="shared" si="246"/>
        <v>982.73609999999996</v>
      </c>
      <c r="J6204" s="28">
        <f t="shared" si="247"/>
        <v>998.90629999999999</v>
      </c>
      <c r="K6204" s="28">
        <f t="shared" si="248"/>
        <v>1026.9339</v>
      </c>
      <c r="L6204" s="4"/>
      <c r="M6204" s="241">
        <v>982.73609999999996</v>
      </c>
    </row>
    <row r="6205" spans="3:13" hidden="1" outlineLevel="1" x14ac:dyDescent="0.2">
      <c r="C6205" s="139">
        <v>134.69999999999663</v>
      </c>
      <c r="D6205" s="28">
        <f t="shared" si="241"/>
        <v>1077.5999999999731</v>
      </c>
      <c r="E6205" s="28">
        <f t="shared" si="242"/>
        <v>1010.2499999999748</v>
      </c>
      <c r="F6205" s="28">
        <f t="shared" si="243"/>
        <v>992.24999999997476</v>
      </c>
      <c r="G6205" s="28">
        <f t="shared" si="244"/>
        <v>922.56029999999998</v>
      </c>
      <c r="H6205" s="28">
        <f t="shared" si="245"/>
        <v>963.21749999999997</v>
      </c>
      <c r="I6205" s="28">
        <f t="shared" si="246"/>
        <v>983.74289999999996</v>
      </c>
      <c r="J6205" s="28">
        <f t="shared" si="247"/>
        <v>999.93089999999995</v>
      </c>
      <c r="K6205" s="28">
        <f t="shared" si="248"/>
        <v>1027.9867999999999</v>
      </c>
      <c r="L6205" s="4"/>
      <c r="M6205" s="241">
        <v>983.74289999999996</v>
      </c>
    </row>
    <row r="6206" spans="3:13" hidden="1" outlineLevel="1" x14ac:dyDescent="0.2">
      <c r="C6206" s="139">
        <v>134.79999999999663</v>
      </c>
      <c r="D6206" s="28">
        <f t="shared" si="241"/>
        <v>1078.399999999973</v>
      </c>
      <c r="E6206" s="28">
        <f t="shared" si="242"/>
        <v>1010.9999999999748</v>
      </c>
      <c r="F6206" s="28">
        <f t="shared" si="243"/>
        <v>992.99999999997476</v>
      </c>
      <c r="G6206" s="28">
        <f t="shared" si="244"/>
        <v>922.56029999999998</v>
      </c>
      <c r="H6206" s="28">
        <f t="shared" si="245"/>
        <v>963.21749999999997</v>
      </c>
      <c r="I6206" s="28">
        <f t="shared" si="246"/>
        <v>983.74289999999996</v>
      </c>
      <c r="J6206" s="28">
        <f t="shared" si="247"/>
        <v>999.93089999999995</v>
      </c>
      <c r="K6206" s="28">
        <f t="shared" si="248"/>
        <v>1027.9867999999999</v>
      </c>
      <c r="L6206" s="4"/>
      <c r="M6206" s="241">
        <v>983.74289999999996</v>
      </c>
    </row>
    <row r="6207" spans="3:13" hidden="1" outlineLevel="1" x14ac:dyDescent="0.2">
      <c r="C6207" s="139">
        <v>134.89999999999662</v>
      </c>
      <c r="D6207" s="28">
        <f t="shared" si="241"/>
        <v>1079.199999999973</v>
      </c>
      <c r="E6207" s="28">
        <f t="shared" si="242"/>
        <v>1011.7499999999746</v>
      </c>
      <c r="F6207" s="28">
        <f t="shared" si="243"/>
        <v>993.74999999997465</v>
      </c>
      <c r="G6207" s="28">
        <f t="shared" si="244"/>
        <v>923.53579999999999</v>
      </c>
      <c r="H6207" s="28">
        <f t="shared" si="245"/>
        <v>964.21879999999999</v>
      </c>
      <c r="I6207" s="28">
        <f t="shared" si="246"/>
        <v>984.76490000000001</v>
      </c>
      <c r="J6207" s="28">
        <f t="shared" si="247"/>
        <v>1000.9555</v>
      </c>
      <c r="K6207" s="28">
        <f t="shared" si="248"/>
        <v>1029.0397</v>
      </c>
      <c r="L6207" s="4"/>
      <c r="M6207" s="241">
        <v>984.76490000000001</v>
      </c>
    </row>
    <row r="6208" spans="3:13" hidden="1" outlineLevel="1" x14ac:dyDescent="0.2">
      <c r="C6208" s="139">
        <v>134.99999999999662</v>
      </c>
      <c r="D6208" s="28">
        <f t="shared" si="241"/>
        <v>1079.9999999999729</v>
      </c>
      <c r="E6208" s="28">
        <f t="shared" si="242"/>
        <v>1012.4999999999746</v>
      </c>
      <c r="F6208" s="28">
        <f t="shared" si="243"/>
        <v>994.49999999997465</v>
      </c>
      <c r="G6208" s="28">
        <f t="shared" si="244"/>
        <v>924.49609999999996</v>
      </c>
      <c r="H6208" s="28">
        <f t="shared" si="245"/>
        <v>965.22019999999998</v>
      </c>
      <c r="I6208" s="28">
        <f t="shared" si="246"/>
        <v>985.77179999999998</v>
      </c>
      <c r="J6208" s="28">
        <f t="shared" si="247"/>
        <v>1001.9802</v>
      </c>
      <c r="K6208" s="28">
        <f t="shared" si="248"/>
        <v>1030.0926999999999</v>
      </c>
      <c r="L6208" s="4"/>
      <c r="M6208" s="241">
        <v>985.77179999999998</v>
      </c>
    </row>
    <row r="6209" spans="3:13" hidden="1" outlineLevel="1" x14ac:dyDescent="0.2">
      <c r="C6209" s="139">
        <v>135.09999999999661</v>
      </c>
      <c r="D6209" s="28">
        <f t="shared" si="241"/>
        <v>1080.7999999999729</v>
      </c>
      <c r="E6209" s="28">
        <f t="shared" si="242"/>
        <v>1013.2499999999745</v>
      </c>
      <c r="F6209" s="28">
        <f t="shared" si="243"/>
        <v>995.24999999997453</v>
      </c>
      <c r="G6209" s="28">
        <f t="shared" si="244"/>
        <v>925.47180000000003</v>
      </c>
      <c r="H6209" s="28">
        <f t="shared" si="245"/>
        <v>966.22159999999997</v>
      </c>
      <c r="I6209" s="28">
        <f t="shared" si="246"/>
        <v>986.79390000000001</v>
      </c>
      <c r="J6209" s="28">
        <f t="shared" si="247"/>
        <v>1003.005</v>
      </c>
      <c r="K6209" s="28">
        <f t="shared" si="248"/>
        <v>1031.1457</v>
      </c>
      <c r="L6209" s="4"/>
      <c r="M6209" s="241">
        <v>986.79390000000001</v>
      </c>
    </row>
    <row r="6210" spans="3:13" hidden="1" outlineLevel="1" x14ac:dyDescent="0.2">
      <c r="C6210" s="139">
        <v>135.19999999999661</v>
      </c>
      <c r="D6210" s="28">
        <f t="shared" si="241"/>
        <v>1081.5999999999729</v>
      </c>
      <c r="E6210" s="28">
        <f t="shared" si="242"/>
        <v>1013.9999999999745</v>
      </c>
      <c r="F6210" s="28">
        <f t="shared" si="243"/>
        <v>995.99999999997453</v>
      </c>
      <c r="G6210" s="28">
        <f t="shared" si="244"/>
        <v>925.47180000000003</v>
      </c>
      <c r="H6210" s="28">
        <f t="shared" si="245"/>
        <v>966.22159999999997</v>
      </c>
      <c r="I6210" s="28">
        <f t="shared" si="246"/>
        <v>986.79390000000001</v>
      </c>
      <c r="J6210" s="28">
        <f t="shared" si="247"/>
        <v>1003.005</v>
      </c>
      <c r="K6210" s="28">
        <f t="shared" si="248"/>
        <v>1031.1457</v>
      </c>
      <c r="L6210" s="4"/>
      <c r="M6210" s="241">
        <v>986.79390000000001</v>
      </c>
    </row>
    <row r="6211" spans="3:13" hidden="1" outlineLevel="1" x14ac:dyDescent="0.2">
      <c r="C6211" s="139">
        <v>135.2999999999966</v>
      </c>
      <c r="D6211" s="28">
        <f t="shared" si="241"/>
        <v>1082.3999999999728</v>
      </c>
      <c r="E6211" s="28">
        <f t="shared" si="242"/>
        <v>1014.7499999999745</v>
      </c>
      <c r="F6211" s="28">
        <f t="shared" si="243"/>
        <v>996.74999999997453</v>
      </c>
      <c r="G6211" s="28">
        <f t="shared" si="244"/>
        <v>926.44749999999999</v>
      </c>
      <c r="H6211" s="28">
        <f t="shared" si="245"/>
        <v>967.2079</v>
      </c>
      <c r="I6211" s="28">
        <f t="shared" si="246"/>
        <v>987.80079999999998</v>
      </c>
      <c r="J6211" s="28">
        <f t="shared" si="247"/>
        <v>1004.0297</v>
      </c>
      <c r="K6211" s="28">
        <f t="shared" si="248"/>
        <v>1032.1987999999999</v>
      </c>
      <c r="L6211" s="4"/>
      <c r="M6211" s="241">
        <v>987.80079999999998</v>
      </c>
    </row>
    <row r="6212" spans="3:13" hidden="1" outlineLevel="1" x14ac:dyDescent="0.2">
      <c r="C6212" s="139">
        <v>135.3999999999966</v>
      </c>
      <c r="D6212" s="28">
        <f t="shared" si="241"/>
        <v>1083.1999999999728</v>
      </c>
      <c r="E6212" s="28">
        <f t="shared" si="242"/>
        <v>1015.4999999999744</v>
      </c>
      <c r="F6212" s="28">
        <f t="shared" si="243"/>
        <v>997.49999999997442</v>
      </c>
      <c r="G6212" s="28">
        <f t="shared" si="244"/>
        <v>927.40809999999999</v>
      </c>
      <c r="H6212" s="28">
        <f t="shared" si="245"/>
        <v>968.20939999999996</v>
      </c>
      <c r="I6212" s="28">
        <f t="shared" si="246"/>
        <v>988.80780000000004</v>
      </c>
      <c r="J6212" s="28">
        <f t="shared" si="247"/>
        <v>1005.0545</v>
      </c>
      <c r="K6212" s="28">
        <f t="shared" si="248"/>
        <v>1033.2351000000001</v>
      </c>
      <c r="L6212" s="4"/>
      <c r="M6212" s="241">
        <v>988.80780000000004</v>
      </c>
    </row>
    <row r="6213" spans="3:13" hidden="1" outlineLevel="1" x14ac:dyDescent="0.2">
      <c r="C6213" s="139">
        <v>135.49999999999659</v>
      </c>
      <c r="D6213" s="28">
        <f t="shared" si="241"/>
        <v>1083.9999999999727</v>
      </c>
      <c r="E6213" s="28">
        <f t="shared" si="242"/>
        <v>1016.2499999999744</v>
      </c>
      <c r="F6213" s="28">
        <f t="shared" si="243"/>
        <v>998.24999999997442</v>
      </c>
      <c r="G6213" s="28">
        <f t="shared" si="244"/>
        <v>928.38400000000001</v>
      </c>
      <c r="H6213" s="28">
        <f t="shared" si="245"/>
        <v>969.21100000000001</v>
      </c>
      <c r="I6213" s="28">
        <f t="shared" si="246"/>
        <v>989.83</v>
      </c>
      <c r="J6213" s="28">
        <f t="shared" si="247"/>
        <v>1006.0794</v>
      </c>
      <c r="K6213" s="28">
        <f t="shared" si="248"/>
        <v>1034.2882</v>
      </c>
      <c r="L6213" s="4"/>
      <c r="M6213" s="241">
        <v>989.83</v>
      </c>
    </row>
    <row r="6214" spans="3:13" hidden="1" outlineLevel="1" x14ac:dyDescent="0.2">
      <c r="C6214" s="139">
        <v>135.59999999999658</v>
      </c>
      <c r="D6214" s="28">
        <f t="shared" si="241"/>
        <v>1084.7999999999727</v>
      </c>
      <c r="E6214" s="28">
        <f t="shared" si="242"/>
        <v>1016.9999999999744</v>
      </c>
      <c r="F6214" s="28">
        <f t="shared" si="243"/>
        <v>998.99999999997442</v>
      </c>
      <c r="G6214" s="28">
        <f t="shared" si="244"/>
        <v>928.38400000000001</v>
      </c>
      <c r="H6214" s="28">
        <f t="shared" si="245"/>
        <v>969.21100000000001</v>
      </c>
      <c r="I6214" s="28">
        <f t="shared" si="246"/>
        <v>989.83</v>
      </c>
      <c r="J6214" s="28">
        <f t="shared" si="247"/>
        <v>1006.0794</v>
      </c>
      <c r="K6214" s="28">
        <f t="shared" si="248"/>
        <v>1034.2882</v>
      </c>
      <c r="L6214" s="4"/>
      <c r="M6214" s="241">
        <v>989.83</v>
      </c>
    </row>
    <row r="6215" spans="3:13" hidden="1" outlineLevel="1" x14ac:dyDescent="0.2">
      <c r="C6215" s="139">
        <v>135.69999999999658</v>
      </c>
      <c r="D6215" s="28">
        <f t="shared" si="241"/>
        <v>1085.5999999999726</v>
      </c>
      <c r="E6215" s="28">
        <f t="shared" si="242"/>
        <v>1017.7499999999743</v>
      </c>
      <c r="F6215" s="28">
        <f t="shared" si="243"/>
        <v>999.74999999997431</v>
      </c>
      <c r="G6215" s="28">
        <f t="shared" si="244"/>
        <v>929.35990000000004</v>
      </c>
      <c r="H6215" s="28">
        <f t="shared" si="245"/>
        <v>970.21259999999995</v>
      </c>
      <c r="I6215" s="28">
        <f t="shared" si="246"/>
        <v>990.83709999999996</v>
      </c>
      <c r="J6215" s="28">
        <f t="shared" si="247"/>
        <v>1007.1042</v>
      </c>
      <c r="K6215" s="28">
        <f t="shared" si="248"/>
        <v>1035.3413</v>
      </c>
      <c r="L6215" s="4"/>
      <c r="M6215" s="241">
        <v>990.83709999999996</v>
      </c>
    </row>
    <row r="6216" spans="3:13" hidden="1" outlineLevel="1" x14ac:dyDescent="0.2">
      <c r="C6216" s="139">
        <v>135.79999999999657</v>
      </c>
      <c r="D6216" s="28">
        <f t="shared" si="241"/>
        <v>1086.3999999999726</v>
      </c>
      <c r="E6216" s="28">
        <f t="shared" si="242"/>
        <v>1018.4999999999743</v>
      </c>
      <c r="F6216" s="28">
        <f t="shared" si="243"/>
        <v>1000.4999999999743</v>
      </c>
      <c r="G6216" s="28">
        <f t="shared" si="244"/>
        <v>930.32069999999999</v>
      </c>
      <c r="H6216" s="28">
        <f t="shared" si="245"/>
        <v>971.19899999999996</v>
      </c>
      <c r="I6216" s="28">
        <f t="shared" si="246"/>
        <v>991.85940000000005</v>
      </c>
      <c r="J6216" s="28">
        <f t="shared" si="247"/>
        <v>1008.1459</v>
      </c>
      <c r="K6216" s="28">
        <f t="shared" si="248"/>
        <v>1036.3945000000001</v>
      </c>
      <c r="L6216" s="4"/>
      <c r="M6216" s="241">
        <v>991.85940000000005</v>
      </c>
    </row>
    <row r="6217" spans="3:13" hidden="1" outlineLevel="1" x14ac:dyDescent="0.2">
      <c r="C6217" s="139">
        <v>135.89999999999657</v>
      </c>
      <c r="D6217" s="28">
        <f t="shared" si="241"/>
        <v>1087.1999999999725</v>
      </c>
      <c r="E6217" s="28">
        <f t="shared" si="242"/>
        <v>1019.2499999999743</v>
      </c>
      <c r="F6217" s="28">
        <f t="shared" si="243"/>
        <v>1001.2499999999743</v>
      </c>
      <c r="G6217" s="28">
        <f t="shared" si="244"/>
        <v>931.29690000000005</v>
      </c>
      <c r="H6217" s="28">
        <f t="shared" si="245"/>
        <v>972.20079999999996</v>
      </c>
      <c r="I6217" s="28">
        <f t="shared" si="246"/>
        <v>992.86659999999995</v>
      </c>
      <c r="J6217" s="28">
        <f t="shared" si="247"/>
        <v>1009.1709</v>
      </c>
      <c r="K6217" s="28">
        <f t="shared" si="248"/>
        <v>1037.4476999999999</v>
      </c>
      <c r="L6217" s="4"/>
      <c r="M6217" s="241">
        <v>992.86659999999995</v>
      </c>
    </row>
    <row r="6218" spans="3:13" hidden="1" outlineLevel="1" x14ac:dyDescent="0.2">
      <c r="C6218" s="139">
        <v>135.99999999999656</v>
      </c>
      <c r="D6218" s="28">
        <f t="shared" si="241"/>
        <v>1087.9999999999725</v>
      </c>
      <c r="E6218" s="28">
        <f t="shared" si="242"/>
        <v>1019.9999999999742</v>
      </c>
      <c r="F6218" s="28">
        <f t="shared" si="243"/>
        <v>1001.9999999999742</v>
      </c>
      <c r="G6218" s="28">
        <f t="shared" si="244"/>
        <v>931.29690000000005</v>
      </c>
      <c r="H6218" s="28">
        <f t="shared" si="245"/>
        <v>972.20079999999996</v>
      </c>
      <c r="I6218" s="28">
        <f t="shared" si="246"/>
        <v>992.86659999999995</v>
      </c>
      <c r="J6218" s="28">
        <f t="shared" si="247"/>
        <v>1009.1709</v>
      </c>
      <c r="K6218" s="28">
        <f t="shared" si="248"/>
        <v>1037.4476999999999</v>
      </c>
      <c r="L6218" s="4"/>
      <c r="M6218" s="241">
        <v>992.86659999999995</v>
      </c>
    </row>
    <row r="6219" spans="3:13" hidden="1" outlineLevel="1" x14ac:dyDescent="0.2">
      <c r="C6219" s="139">
        <v>136.09999999999656</v>
      </c>
      <c r="D6219" s="28">
        <f t="shared" si="241"/>
        <v>1088.7999999999724</v>
      </c>
      <c r="E6219" s="28">
        <f t="shared" si="242"/>
        <v>1020.7499999999742</v>
      </c>
      <c r="F6219" s="28">
        <f t="shared" si="243"/>
        <v>1002.7499999999742</v>
      </c>
      <c r="G6219" s="28">
        <f t="shared" si="244"/>
        <v>932.2731</v>
      </c>
      <c r="H6219" s="28">
        <f t="shared" si="245"/>
        <v>973.20259999999996</v>
      </c>
      <c r="I6219" s="28">
        <f t="shared" si="246"/>
        <v>993.87369999999999</v>
      </c>
      <c r="J6219" s="28">
        <f t="shared" si="247"/>
        <v>1010.1958</v>
      </c>
      <c r="K6219" s="28">
        <f t="shared" si="248"/>
        <v>1038.5009</v>
      </c>
      <c r="L6219" s="4"/>
      <c r="M6219" s="241">
        <v>993.87369999999999</v>
      </c>
    </row>
    <row r="6220" spans="3:13" hidden="1" outlineLevel="1" x14ac:dyDescent="0.2">
      <c r="C6220" s="139">
        <v>136.19999999999655</v>
      </c>
      <c r="D6220" s="28">
        <f t="shared" si="241"/>
        <v>1089.5999999999724</v>
      </c>
      <c r="E6220" s="28">
        <f t="shared" si="242"/>
        <v>1021.4999999999741</v>
      </c>
      <c r="F6220" s="28">
        <f t="shared" si="243"/>
        <v>1003.4999999999741</v>
      </c>
      <c r="G6220" s="28">
        <f t="shared" si="244"/>
        <v>933.23410000000001</v>
      </c>
      <c r="H6220" s="28">
        <f t="shared" si="245"/>
        <v>974.20450000000005</v>
      </c>
      <c r="I6220" s="28">
        <f t="shared" si="246"/>
        <v>994.89620000000002</v>
      </c>
      <c r="J6220" s="28">
        <f t="shared" si="247"/>
        <v>1011.2208000000001</v>
      </c>
      <c r="K6220" s="28">
        <f t="shared" si="248"/>
        <v>1039.5373999999999</v>
      </c>
      <c r="L6220" s="4"/>
      <c r="M6220" s="241">
        <v>994.89620000000002</v>
      </c>
    </row>
    <row r="6221" spans="3:13" hidden="1" outlineLevel="1" x14ac:dyDescent="0.2">
      <c r="C6221" s="139">
        <v>136.29999999999654</v>
      </c>
      <c r="D6221" s="28">
        <f t="shared" si="241"/>
        <v>1090.3999999999724</v>
      </c>
      <c r="E6221" s="28">
        <f t="shared" si="242"/>
        <v>1022.2499999999741</v>
      </c>
      <c r="F6221" s="28">
        <f t="shared" si="243"/>
        <v>1004.2499999999741</v>
      </c>
      <c r="G6221" s="28">
        <f t="shared" si="244"/>
        <v>934.21050000000002</v>
      </c>
      <c r="H6221" s="28">
        <f t="shared" si="245"/>
        <v>975.19110000000001</v>
      </c>
      <c r="I6221" s="28">
        <f t="shared" si="246"/>
        <v>995.90350000000001</v>
      </c>
      <c r="J6221" s="28">
        <f t="shared" si="247"/>
        <v>1012.2459</v>
      </c>
      <c r="K6221" s="28">
        <f t="shared" si="248"/>
        <v>1040.5906</v>
      </c>
      <c r="L6221" s="4"/>
      <c r="M6221" s="241">
        <v>995.90350000000001</v>
      </c>
    </row>
    <row r="6222" spans="3:13" hidden="1" outlineLevel="1" x14ac:dyDescent="0.2">
      <c r="C6222" s="139">
        <v>136.39999999999654</v>
      </c>
      <c r="D6222" s="28">
        <f t="shared" si="241"/>
        <v>1091.1999999999723</v>
      </c>
      <c r="E6222" s="28">
        <f t="shared" si="242"/>
        <v>1022.9999999999741</v>
      </c>
      <c r="F6222" s="28">
        <f t="shared" si="243"/>
        <v>1004.9999999999741</v>
      </c>
      <c r="G6222" s="28">
        <f t="shared" si="244"/>
        <v>934.21050000000002</v>
      </c>
      <c r="H6222" s="28">
        <f t="shared" si="245"/>
        <v>975.19110000000001</v>
      </c>
      <c r="I6222" s="28">
        <f t="shared" si="246"/>
        <v>995.90350000000001</v>
      </c>
      <c r="J6222" s="28">
        <f t="shared" si="247"/>
        <v>1012.2459</v>
      </c>
      <c r="K6222" s="28">
        <f t="shared" si="248"/>
        <v>1040.5906</v>
      </c>
      <c r="L6222" s="4"/>
      <c r="M6222" s="241">
        <v>995.90350000000001</v>
      </c>
    </row>
    <row r="6223" spans="3:13" hidden="1" outlineLevel="1" x14ac:dyDescent="0.2">
      <c r="C6223" s="139">
        <v>136.49999999999653</v>
      </c>
      <c r="D6223" s="28">
        <f t="shared" si="241"/>
        <v>1091.9999999999723</v>
      </c>
      <c r="E6223" s="28">
        <f t="shared" si="242"/>
        <v>1023.749999999974</v>
      </c>
      <c r="F6223" s="28">
        <f t="shared" si="243"/>
        <v>1005.749999999974</v>
      </c>
      <c r="G6223" s="28">
        <f t="shared" si="244"/>
        <v>935.18700000000001</v>
      </c>
      <c r="H6223" s="28">
        <f t="shared" si="245"/>
        <v>976.19299999999998</v>
      </c>
      <c r="I6223" s="28">
        <f t="shared" si="246"/>
        <v>996.92610000000002</v>
      </c>
      <c r="J6223" s="28">
        <f t="shared" si="247"/>
        <v>1013.271</v>
      </c>
      <c r="K6223" s="28">
        <f t="shared" si="248"/>
        <v>1041.6439</v>
      </c>
      <c r="L6223" s="4"/>
      <c r="M6223" s="241">
        <v>996.92610000000002</v>
      </c>
    </row>
    <row r="6224" spans="3:13" hidden="1" outlineLevel="1" x14ac:dyDescent="0.2">
      <c r="C6224" s="139">
        <v>136.59999999999653</v>
      </c>
      <c r="D6224" s="28">
        <f t="shared" si="241"/>
        <v>1092.7999999999722</v>
      </c>
      <c r="E6224" s="28">
        <f t="shared" si="242"/>
        <v>1024.4999999999739</v>
      </c>
      <c r="F6224" s="28">
        <f t="shared" si="243"/>
        <v>1006.4999999999739</v>
      </c>
      <c r="G6224" s="28">
        <f t="shared" si="244"/>
        <v>936.14829999999995</v>
      </c>
      <c r="H6224" s="28">
        <f t="shared" si="245"/>
        <v>977.19510000000002</v>
      </c>
      <c r="I6224" s="28">
        <f t="shared" si="246"/>
        <v>997.93340000000001</v>
      </c>
      <c r="J6224" s="28">
        <f t="shared" si="247"/>
        <v>1014.2961</v>
      </c>
      <c r="K6224" s="28">
        <f t="shared" si="248"/>
        <v>1042.6973</v>
      </c>
      <c r="L6224" s="4"/>
      <c r="M6224" s="241">
        <v>997.93340000000001</v>
      </c>
    </row>
    <row r="6225" spans="3:13" hidden="1" outlineLevel="1" x14ac:dyDescent="0.2">
      <c r="C6225" s="139">
        <v>136.69999999999652</v>
      </c>
      <c r="D6225" s="28">
        <f t="shared" si="241"/>
        <v>1093.5999999999722</v>
      </c>
      <c r="E6225" s="28">
        <f t="shared" si="242"/>
        <v>1025.2499999999739</v>
      </c>
      <c r="F6225" s="28">
        <f t="shared" si="243"/>
        <v>1007.2499999999739</v>
      </c>
      <c r="G6225" s="28">
        <f t="shared" si="244"/>
        <v>937.12490000000003</v>
      </c>
      <c r="H6225" s="28">
        <f t="shared" si="245"/>
        <v>978.19719999999995</v>
      </c>
      <c r="I6225" s="28">
        <f t="shared" si="246"/>
        <v>998.94069999999999</v>
      </c>
      <c r="J6225" s="28">
        <f t="shared" si="247"/>
        <v>1015.3212</v>
      </c>
      <c r="K6225" s="28">
        <f t="shared" si="248"/>
        <v>1043.7507000000001</v>
      </c>
      <c r="L6225" s="4"/>
      <c r="M6225" s="241">
        <v>998.94069999999999</v>
      </c>
    </row>
    <row r="6226" spans="3:13" hidden="1" outlineLevel="1" x14ac:dyDescent="0.2">
      <c r="C6226" s="139">
        <v>136.79999999999652</v>
      </c>
      <c r="D6226" s="28">
        <f t="shared" si="241"/>
        <v>1094.3999999999721</v>
      </c>
      <c r="E6226" s="28">
        <f t="shared" si="242"/>
        <v>1025.9999999999739</v>
      </c>
      <c r="F6226" s="28">
        <f t="shared" si="243"/>
        <v>1007.9999999999739</v>
      </c>
      <c r="G6226" s="28">
        <f t="shared" si="244"/>
        <v>937.12490000000003</v>
      </c>
      <c r="H6226" s="28">
        <f t="shared" si="245"/>
        <v>978.19719999999995</v>
      </c>
      <c r="I6226" s="28">
        <f t="shared" si="246"/>
        <v>998.94069999999999</v>
      </c>
      <c r="J6226" s="28">
        <f t="shared" si="247"/>
        <v>1015.3212</v>
      </c>
      <c r="K6226" s="28">
        <f t="shared" si="248"/>
        <v>1043.7507000000001</v>
      </c>
      <c r="L6226" s="4"/>
      <c r="M6226" s="241">
        <v>998.94069999999999</v>
      </c>
    </row>
    <row r="6227" spans="3:13" hidden="1" outlineLevel="1" x14ac:dyDescent="0.2">
      <c r="C6227" s="139">
        <v>136.89999999999651</v>
      </c>
      <c r="D6227" s="28">
        <f t="shared" si="241"/>
        <v>1095.1999999999721</v>
      </c>
      <c r="E6227" s="28">
        <f t="shared" si="242"/>
        <v>1026.7499999999739</v>
      </c>
      <c r="F6227" s="28">
        <f t="shared" si="243"/>
        <v>1008.7499999999739</v>
      </c>
      <c r="G6227" s="28">
        <f t="shared" si="244"/>
        <v>938.08630000000005</v>
      </c>
      <c r="H6227" s="28">
        <f t="shared" si="245"/>
        <v>979.18399999999997</v>
      </c>
      <c r="I6227" s="28">
        <f t="shared" si="246"/>
        <v>999.96349999999995</v>
      </c>
      <c r="J6227" s="28">
        <f t="shared" si="247"/>
        <v>1016.3464</v>
      </c>
      <c r="K6227" s="28">
        <f t="shared" si="248"/>
        <v>1044.8041000000001</v>
      </c>
      <c r="L6227" s="4"/>
      <c r="M6227" s="241">
        <v>999.96349999999995</v>
      </c>
    </row>
    <row r="6228" spans="3:13" hidden="1" outlineLevel="1" x14ac:dyDescent="0.2">
      <c r="C6228" s="139">
        <v>136.9999999999965</v>
      </c>
      <c r="D6228" s="28">
        <f t="shared" si="241"/>
        <v>1095.999999999972</v>
      </c>
      <c r="E6228" s="28">
        <f t="shared" si="242"/>
        <v>1027.4999999999739</v>
      </c>
      <c r="F6228" s="28">
        <f t="shared" si="243"/>
        <v>1009.4999999999739</v>
      </c>
      <c r="G6228" s="28">
        <f t="shared" si="244"/>
        <v>939.06309999999996</v>
      </c>
      <c r="H6228" s="28">
        <f t="shared" si="245"/>
        <v>980.18619999999999</v>
      </c>
      <c r="I6228" s="28">
        <f t="shared" si="246"/>
        <v>1000.9709</v>
      </c>
      <c r="J6228" s="28">
        <f t="shared" si="247"/>
        <v>1017.3715999999999</v>
      </c>
      <c r="K6228" s="28">
        <f t="shared" si="248"/>
        <v>1045.8406</v>
      </c>
      <c r="L6228" s="4"/>
      <c r="M6228" s="241">
        <v>1000.9709</v>
      </c>
    </row>
    <row r="6229" spans="3:13" hidden="1" outlineLevel="1" x14ac:dyDescent="0.2">
      <c r="C6229" s="139">
        <v>137.0999999999965</v>
      </c>
      <c r="D6229" s="28">
        <f t="shared" si="241"/>
        <v>1096.799999999972</v>
      </c>
      <c r="E6229" s="28">
        <f t="shared" si="242"/>
        <v>1028.2499999999736</v>
      </c>
      <c r="F6229" s="28">
        <f t="shared" si="243"/>
        <v>1010.2499999999736</v>
      </c>
      <c r="G6229" s="28">
        <f t="shared" si="244"/>
        <v>940.04010000000005</v>
      </c>
      <c r="H6229" s="28">
        <f t="shared" si="245"/>
        <v>981.1884</v>
      </c>
      <c r="I6229" s="28">
        <f t="shared" si="246"/>
        <v>1001.9938</v>
      </c>
      <c r="J6229" s="28">
        <f t="shared" si="247"/>
        <v>1018.3969</v>
      </c>
      <c r="K6229" s="28">
        <f t="shared" si="248"/>
        <v>1046.8941</v>
      </c>
      <c r="L6229" s="4"/>
      <c r="M6229" s="241">
        <v>1001.9938</v>
      </c>
    </row>
    <row r="6230" spans="3:13" hidden="1" outlineLevel="1" x14ac:dyDescent="0.2">
      <c r="C6230" s="139">
        <v>137.19999999999649</v>
      </c>
      <c r="D6230" s="28">
        <f t="shared" si="241"/>
        <v>1097.5999999999719</v>
      </c>
      <c r="E6230" s="28">
        <f t="shared" si="242"/>
        <v>1028.9999999999736</v>
      </c>
      <c r="F6230" s="28">
        <f t="shared" si="243"/>
        <v>1010.9999999999736</v>
      </c>
      <c r="G6230" s="28">
        <f t="shared" si="244"/>
        <v>940.04010000000005</v>
      </c>
      <c r="H6230" s="28">
        <f t="shared" si="245"/>
        <v>981.1884</v>
      </c>
      <c r="I6230" s="28">
        <f t="shared" si="246"/>
        <v>1001.9938</v>
      </c>
      <c r="J6230" s="28">
        <f t="shared" si="247"/>
        <v>1018.3969</v>
      </c>
      <c r="K6230" s="28">
        <f t="shared" si="248"/>
        <v>1046.8941</v>
      </c>
      <c r="L6230" s="4"/>
      <c r="M6230" s="241">
        <v>1001.9938</v>
      </c>
    </row>
    <row r="6231" spans="3:13" hidden="1" outlineLevel="1" x14ac:dyDescent="0.2">
      <c r="C6231" s="139">
        <v>137.29999999999649</v>
      </c>
      <c r="D6231" s="28">
        <f t="shared" si="241"/>
        <v>1098.3999999999719</v>
      </c>
      <c r="E6231" s="28">
        <f t="shared" si="242"/>
        <v>1029.7499999999736</v>
      </c>
      <c r="F6231" s="28">
        <f t="shared" si="243"/>
        <v>1011.7499999999736</v>
      </c>
      <c r="G6231" s="28">
        <f t="shared" si="244"/>
        <v>941.00160000000005</v>
      </c>
      <c r="H6231" s="28">
        <f t="shared" si="245"/>
        <v>982.17529999999999</v>
      </c>
      <c r="I6231" s="28">
        <f t="shared" si="246"/>
        <v>1003.0013</v>
      </c>
      <c r="J6231" s="28">
        <f t="shared" si="247"/>
        <v>1019.4222</v>
      </c>
      <c r="K6231" s="28">
        <f t="shared" si="248"/>
        <v>1047.9476</v>
      </c>
      <c r="L6231" s="4"/>
      <c r="M6231" s="241">
        <v>1003.0013</v>
      </c>
    </row>
    <row r="6232" spans="3:13" hidden="1" outlineLevel="1" x14ac:dyDescent="0.2">
      <c r="C6232" s="139">
        <v>137.39999999999648</v>
      </c>
      <c r="D6232" s="28">
        <f t="shared" si="241"/>
        <v>1099.1999999999719</v>
      </c>
      <c r="E6232" s="28">
        <f t="shared" si="242"/>
        <v>1030.4999999999736</v>
      </c>
      <c r="F6232" s="28">
        <f t="shared" si="243"/>
        <v>1012.4999999999736</v>
      </c>
      <c r="G6232" s="28">
        <f t="shared" si="244"/>
        <v>941.9787</v>
      </c>
      <c r="H6232" s="28">
        <f t="shared" si="245"/>
        <v>983.17769999999996</v>
      </c>
      <c r="I6232" s="28">
        <f t="shared" si="246"/>
        <v>1004.0088</v>
      </c>
      <c r="J6232" s="28">
        <f t="shared" si="247"/>
        <v>1020.4475</v>
      </c>
      <c r="K6232" s="28">
        <f t="shared" si="248"/>
        <v>1049.0011</v>
      </c>
      <c r="L6232" s="4"/>
      <c r="M6232" s="241">
        <v>1004.0088</v>
      </c>
    </row>
    <row r="6233" spans="3:13" hidden="1" outlineLevel="1" x14ac:dyDescent="0.2">
      <c r="C6233" s="139">
        <v>137.49999999999648</v>
      </c>
      <c r="D6233" s="28">
        <f t="shared" si="241"/>
        <v>1099.9999999999718</v>
      </c>
      <c r="E6233" s="28">
        <f t="shared" si="242"/>
        <v>1031.2499999999736</v>
      </c>
      <c r="F6233" s="28">
        <f t="shared" si="243"/>
        <v>1013.2499999999736</v>
      </c>
      <c r="G6233" s="28">
        <f t="shared" si="244"/>
        <v>942.95590000000004</v>
      </c>
      <c r="H6233" s="28">
        <f t="shared" si="245"/>
        <v>984.18010000000004</v>
      </c>
      <c r="I6233" s="28">
        <f t="shared" si="246"/>
        <v>1005.0318</v>
      </c>
      <c r="J6233" s="28">
        <f t="shared" si="247"/>
        <v>1021.4897999999999</v>
      </c>
      <c r="K6233" s="28">
        <f t="shared" si="248"/>
        <v>1050.0546999999999</v>
      </c>
      <c r="L6233" s="4"/>
      <c r="M6233" s="241">
        <v>1005.0318</v>
      </c>
    </row>
    <row r="6234" spans="3:13" hidden="1" outlineLevel="1" x14ac:dyDescent="0.2">
      <c r="C6234" s="139">
        <v>137.59999999999647</v>
      </c>
      <c r="D6234" s="28">
        <f t="shared" si="241"/>
        <v>1100.7999999999718</v>
      </c>
      <c r="E6234" s="28">
        <f t="shared" si="242"/>
        <v>1031.9999999999736</v>
      </c>
      <c r="F6234" s="28">
        <f t="shared" si="243"/>
        <v>1013.9999999999736</v>
      </c>
      <c r="G6234" s="28">
        <f t="shared" si="244"/>
        <v>942.95590000000004</v>
      </c>
      <c r="H6234" s="28">
        <f t="shared" si="245"/>
        <v>984.18010000000004</v>
      </c>
      <c r="I6234" s="28">
        <f t="shared" si="246"/>
        <v>1005.0318</v>
      </c>
      <c r="J6234" s="28">
        <f t="shared" si="247"/>
        <v>1021.4897999999999</v>
      </c>
      <c r="K6234" s="28">
        <f t="shared" si="248"/>
        <v>1050.0546999999999</v>
      </c>
      <c r="L6234" s="4"/>
      <c r="M6234" s="241">
        <v>1005.0318</v>
      </c>
    </row>
    <row r="6235" spans="3:13" hidden="1" outlineLevel="1" x14ac:dyDescent="0.2">
      <c r="C6235" s="139">
        <v>137.69999999999646</v>
      </c>
      <c r="D6235" s="28">
        <f t="shared" si="241"/>
        <v>1101.5999999999717</v>
      </c>
      <c r="E6235" s="28">
        <f t="shared" si="242"/>
        <v>1032.7499999999734</v>
      </c>
      <c r="F6235" s="28">
        <f t="shared" si="243"/>
        <v>1014.7499999999734</v>
      </c>
      <c r="G6235" s="28">
        <f t="shared" si="244"/>
        <v>943.91769999999997</v>
      </c>
      <c r="H6235" s="28">
        <f t="shared" si="245"/>
        <v>985.18259999999998</v>
      </c>
      <c r="I6235" s="28">
        <f t="shared" si="246"/>
        <v>1006.0394</v>
      </c>
      <c r="J6235" s="28">
        <f t="shared" si="247"/>
        <v>1022.5152</v>
      </c>
      <c r="K6235" s="28">
        <f t="shared" si="248"/>
        <v>1051.0912000000001</v>
      </c>
      <c r="L6235" s="4"/>
      <c r="M6235" s="241">
        <v>1006.0394</v>
      </c>
    </row>
    <row r="6236" spans="3:13" hidden="1" outlineLevel="1" x14ac:dyDescent="0.2">
      <c r="C6236" s="139">
        <v>137.79999999999646</v>
      </c>
      <c r="D6236" s="28">
        <f t="shared" si="241"/>
        <v>1102.3999999999717</v>
      </c>
      <c r="E6236" s="28">
        <f t="shared" si="242"/>
        <v>1033.4999999999734</v>
      </c>
      <c r="F6236" s="28">
        <f t="shared" si="243"/>
        <v>1015.4999999999734</v>
      </c>
      <c r="G6236" s="28">
        <f t="shared" si="244"/>
        <v>944.89509999999996</v>
      </c>
      <c r="H6236" s="28">
        <f t="shared" si="245"/>
        <v>986.16970000000003</v>
      </c>
      <c r="I6236" s="28">
        <f t="shared" si="246"/>
        <v>1007.0626</v>
      </c>
      <c r="J6236" s="28">
        <f t="shared" si="247"/>
        <v>1023.5407</v>
      </c>
      <c r="K6236" s="28">
        <f t="shared" si="248"/>
        <v>1052.1449</v>
      </c>
      <c r="L6236" s="4"/>
      <c r="M6236" s="241">
        <v>1007.0626</v>
      </c>
    </row>
    <row r="6237" spans="3:13" hidden="1" outlineLevel="1" x14ac:dyDescent="0.2">
      <c r="C6237" s="139">
        <v>137.89999999999645</v>
      </c>
      <c r="D6237" s="28">
        <f t="shared" si="241"/>
        <v>1103.1999999999716</v>
      </c>
      <c r="E6237" s="28">
        <f t="shared" si="242"/>
        <v>1034.2499999999734</v>
      </c>
      <c r="F6237" s="28">
        <f t="shared" si="243"/>
        <v>1016.2499999999734</v>
      </c>
      <c r="G6237" s="28">
        <f t="shared" si="244"/>
        <v>945.85699999999997</v>
      </c>
      <c r="H6237" s="28">
        <f t="shared" si="245"/>
        <v>987.17229999999995</v>
      </c>
      <c r="I6237" s="28">
        <f t="shared" si="246"/>
        <v>1008.0703</v>
      </c>
      <c r="J6237" s="28">
        <f t="shared" si="247"/>
        <v>1024.5661</v>
      </c>
      <c r="K6237" s="28">
        <f t="shared" si="248"/>
        <v>1053.1985</v>
      </c>
      <c r="L6237" s="4"/>
      <c r="M6237" s="241">
        <v>1008.0703</v>
      </c>
    </row>
    <row r="6238" spans="3:13" hidden="1" outlineLevel="1" x14ac:dyDescent="0.2">
      <c r="C6238" s="139">
        <v>137.99999999999645</v>
      </c>
      <c r="D6238" s="28">
        <f t="shared" si="241"/>
        <v>1103.9999999999716</v>
      </c>
      <c r="E6238" s="28">
        <f t="shared" si="242"/>
        <v>1034.9999999999734</v>
      </c>
      <c r="F6238" s="28">
        <f t="shared" si="243"/>
        <v>1016.9999999999734</v>
      </c>
      <c r="G6238" s="28">
        <f t="shared" si="244"/>
        <v>945.85699999999997</v>
      </c>
      <c r="H6238" s="28">
        <f t="shared" si="245"/>
        <v>987.17229999999995</v>
      </c>
      <c r="I6238" s="28">
        <f t="shared" si="246"/>
        <v>1008.0703</v>
      </c>
      <c r="J6238" s="28">
        <f t="shared" si="247"/>
        <v>1024.5661</v>
      </c>
      <c r="K6238" s="28">
        <f t="shared" si="248"/>
        <v>1053.1985</v>
      </c>
      <c r="L6238" s="4"/>
      <c r="M6238" s="241">
        <v>1008.0703</v>
      </c>
    </row>
    <row r="6239" spans="3:13" hidden="1" outlineLevel="1" x14ac:dyDescent="0.2">
      <c r="C6239" s="139">
        <v>138.09999999999644</v>
      </c>
      <c r="D6239" s="28">
        <f t="shared" si="241"/>
        <v>1104.7999999999715</v>
      </c>
      <c r="E6239" s="28">
        <f t="shared" si="242"/>
        <v>1035.7499999999734</v>
      </c>
      <c r="F6239" s="28">
        <f t="shared" si="243"/>
        <v>1017.7499999999734</v>
      </c>
      <c r="G6239" s="28">
        <f t="shared" si="244"/>
        <v>946.83450000000005</v>
      </c>
      <c r="H6239" s="28">
        <f t="shared" si="245"/>
        <v>988.17499999999995</v>
      </c>
      <c r="I6239" s="28">
        <f t="shared" si="246"/>
        <v>1009.078</v>
      </c>
      <c r="J6239" s="28">
        <f t="shared" si="247"/>
        <v>1025.5916</v>
      </c>
      <c r="K6239" s="28">
        <f t="shared" si="248"/>
        <v>1054.2521999999999</v>
      </c>
      <c r="L6239" s="4"/>
      <c r="M6239" s="241">
        <v>1009.078</v>
      </c>
    </row>
    <row r="6240" spans="3:13" hidden="1" outlineLevel="1" x14ac:dyDescent="0.2">
      <c r="C6240" s="139">
        <v>138.19999999999644</v>
      </c>
      <c r="D6240" s="28">
        <f t="shared" si="241"/>
        <v>1105.5999999999715</v>
      </c>
      <c r="E6240" s="28">
        <f t="shared" si="242"/>
        <v>1036.4999999999732</v>
      </c>
      <c r="F6240" s="28">
        <f t="shared" si="243"/>
        <v>1018.4999999999732</v>
      </c>
      <c r="G6240" s="28">
        <f t="shared" si="244"/>
        <v>947.81209999999999</v>
      </c>
      <c r="H6240" s="28">
        <f t="shared" si="245"/>
        <v>989.16219999999998</v>
      </c>
      <c r="I6240" s="28">
        <f t="shared" si="246"/>
        <v>1010.1011999999999</v>
      </c>
      <c r="J6240" s="28">
        <f t="shared" si="247"/>
        <v>1026.6171999999999</v>
      </c>
      <c r="K6240" s="28">
        <f t="shared" si="248"/>
        <v>1055.3059000000001</v>
      </c>
      <c r="L6240" s="4"/>
      <c r="M6240" s="241">
        <v>1010.1011999999999</v>
      </c>
    </row>
    <row r="6241" spans="3:13" hidden="1" outlineLevel="1" x14ac:dyDescent="0.2">
      <c r="C6241" s="139">
        <v>138.29999999999643</v>
      </c>
      <c r="D6241" s="28">
        <f t="shared" si="241"/>
        <v>1106.3999999999714</v>
      </c>
      <c r="E6241" s="28">
        <f t="shared" si="242"/>
        <v>1037.2499999999732</v>
      </c>
      <c r="F6241" s="28">
        <f t="shared" si="243"/>
        <v>1019.2499999999732</v>
      </c>
      <c r="G6241" s="28">
        <f t="shared" si="244"/>
        <v>948.77430000000004</v>
      </c>
      <c r="H6241" s="28">
        <f t="shared" si="245"/>
        <v>990.16489999999999</v>
      </c>
      <c r="I6241" s="28">
        <f t="shared" si="246"/>
        <v>1011.109</v>
      </c>
      <c r="J6241" s="28">
        <f t="shared" si="247"/>
        <v>1027.6427000000001</v>
      </c>
      <c r="K6241" s="28">
        <f t="shared" si="248"/>
        <v>1056.3425</v>
      </c>
      <c r="L6241" s="4"/>
      <c r="M6241" s="241">
        <v>1011.109</v>
      </c>
    </row>
    <row r="6242" spans="3:13" hidden="1" outlineLevel="1" x14ac:dyDescent="0.2">
      <c r="C6242" s="139">
        <v>138.39999999999642</v>
      </c>
      <c r="D6242" s="28">
        <f t="shared" si="241"/>
        <v>1107.1999999999714</v>
      </c>
      <c r="E6242" s="28">
        <f t="shared" si="242"/>
        <v>1037.9999999999732</v>
      </c>
      <c r="F6242" s="28">
        <f t="shared" si="243"/>
        <v>1019.9999999999732</v>
      </c>
      <c r="G6242" s="28">
        <f t="shared" si="244"/>
        <v>948.77430000000004</v>
      </c>
      <c r="H6242" s="28">
        <f t="shared" si="245"/>
        <v>990.16489999999999</v>
      </c>
      <c r="I6242" s="28">
        <f t="shared" si="246"/>
        <v>1011.109</v>
      </c>
      <c r="J6242" s="28">
        <f t="shared" si="247"/>
        <v>1027.6427000000001</v>
      </c>
      <c r="K6242" s="28">
        <f t="shared" si="248"/>
        <v>1056.3425</v>
      </c>
      <c r="L6242" s="4"/>
      <c r="M6242" s="241">
        <v>1011.109</v>
      </c>
    </row>
    <row r="6243" spans="3:13" hidden="1" outlineLevel="1" x14ac:dyDescent="0.2">
      <c r="C6243" s="139">
        <v>138.49999999999642</v>
      </c>
      <c r="D6243" s="28">
        <f t="shared" si="241"/>
        <v>1107.9999999999714</v>
      </c>
      <c r="E6243" s="28">
        <f t="shared" si="242"/>
        <v>1038.7499999999732</v>
      </c>
      <c r="F6243" s="28">
        <f t="shared" si="243"/>
        <v>1020.7499999999732</v>
      </c>
      <c r="G6243" s="28">
        <f t="shared" si="244"/>
        <v>949.75199999999995</v>
      </c>
      <c r="H6243" s="28">
        <f t="shared" si="245"/>
        <v>991.16780000000006</v>
      </c>
      <c r="I6243" s="28">
        <f t="shared" si="246"/>
        <v>1012.1169</v>
      </c>
      <c r="J6243" s="28">
        <f t="shared" si="247"/>
        <v>1028.6684</v>
      </c>
      <c r="K6243" s="28">
        <f t="shared" si="248"/>
        <v>1057.3963000000001</v>
      </c>
      <c r="L6243" s="4"/>
      <c r="M6243" s="241">
        <v>1012.1169</v>
      </c>
    </row>
    <row r="6244" spans="3:13" hidden="1" outlineLevel="1" x14ac:dyDescent="0.2">
      <c r="C6244" s="139">
        <v>138.59999999999641</v>
      </c>
      <c r="D6244" s="28">
        <f t="shared" si="241"/>
        <v>1108.7999999999713</v>
      </c>
      <c r="E6244" s="28">
        <f t="shared" si="242"/>
        <v>1039.4999999999732</v>
      </c>
      <c r="F6244" s="28">
        <f t="shared" si="243"/>
        <v>1021.4999999999732</v>
      </c>
      <c r="G6244" s="28">
        <f t="shared" si="244"/>
        <v>950.71429999999998</v>
      </c>
      <c r="H6244" s="28">
        <f t="shared" si="245"/>
        <v>992.17060000000004</v>
      </c>
      <c r="I6244" s="28">
        <f t="shared" si="246"/>
        <v>1013.1403</v>
      </c>
      <c r="J6244" s="28">
        <f t="shared" si="247"/>
        <v>1029.694</v>
      </c>
      <c r="K6244" s="28">
        <f t="shared" si="248"/>
        <v>1058.4501</v>
      </c>
      <c r="L6244" s="4"/>
      <c r="M6244" s="241">
        <v>1013.1403</v>
      </c>
    </row>
    <row r="6245" spans="3:13" hidden="1" outlineLevel="1" x14ac:dyDescent="0.2">
      <c r="C6245" s="139">
        <v>138.69999999999641</v>
      </c>
      <c r="D6245" s="28">
        <f t="shared" si="241"/>
        <v>1109.5999999999713</v>
      </c>
      <c r="E6245" s="28">
        <f t="shared" si="242"/>
        <v>1040.2499999999732</v>
      </c>
      <c r="F6245" s="28">
        <f t="shared" si="243"/>
        <v>1022.2499999999732</v>
      </c>
      <c r="G6245" s="28">
        <f t="shared" si="244"/>
        <v>951.69230000000005</v>
      </c>
      <c r="H6245" s="28">
        <f t="shared" si="245"/>
        <v>993.15800000000002</v>
      </c>
      <c r="I6245" s="28">
        <f t="shared" si="246"/>
        <v>1014.1482</v>
      </c>
      <c r="J6245" s="28">
        <f t="shared" si="247"/>
        <v>1030.7197000000001</v>
      </c>
      <c r="K6245" s="28">
        <f t="shared" si="248"/>
        <v>1059.5039999999999</v>
      </c>
      <c r="L6245" s="4"/>
      <c r="M6245" s="241">
        <v>1014.1482</v>
      </c>
    </row>
    <row r="6246" spans="3:13" hidden="1" outlineLevel="1" x14ac:dyDescent="0.2">
      <c r="C6246" s="139">
        <v>138.7999999999964</v>
      </c>
      <c r="D6246" s="28">
        <f t="shared" si="241"/>
        <v>1110.3999999999712</v>
      </c>
      <c r="E6246" s="28">
        <f t="shared" si="242"/>
        <v>1040.9999999999729</v>
      </c>
      <c r="F6246" s="28">
        <f t="shared" si="243"/>
        <v>1022.9999999999729</v>
      </c>
      <c r="G6246" s="28">
        <f t="shared" si="244"/>
        <v>951.69230000000005</v>
      </c>
      <c r="H6246" s="28">
        <f t="shared" si="245"/>
        <v>993.15800000000002</v>
      </c>
      <c r="I6246" s="28">
        <f t="shared" si="246"/>
        <v>1014.1482</v>
      </c>
      <c r="J6246" s="28">
        <f t="shared" si="247"/>
        <v>1030.7197000000001</v>
      </c>
      <c r="K6246" s="28">
        <f t="shared" si="248"/>
        <v>1059.5039999999999</v>
      </c>
      <c r="L6246" s="4"/>
      <c r="M6246" s="241">
        <v>1014.1482</v>
      </c>
    </row>
    <row r="6247" spans="3:13" hidden="1" outlineLevel="1" x14ac:dyDescent="0.2">
      <c r="C6247" s="139">
        <v>138.8999999999964</v>
      </c>
      <c r="D6247" s="28">
        <f t="shared" si="241"/>
        <v>1111.1999999999712</v>
      </c>
      <c r="E6247" s="28">
        <f t="shared" si="242"/>
        <v>1041.7499999999729</v>
      </c>
      <c r="F6247" s="28">
        <f t="shared" si="243"/>
        <v>1023.7499999999729</v>
      </c>
      <c r="G6247" s="28">
        <f t="shared" si="244"/>
        <v>952.65470000000005</v>
      </c>
      <c r="H6247" s="28">
        <f t="shared" si="245"/>
        <v>994.16099999999994</v>
      </c>
      <c r="I6247" s="28">
        <f t="shared" si="246"/>
        <v>1015.1717</v>
      </c>
      <c r="J6247" s="28">
        <f t="shared" si="247"/>
        <v>1031.7454</v>
      </c>
      <c r="K6247" s="28">
        <f t="shared" si="248"/>
        <v>1060.5578</v>
      </c>
      <c r="L6247" s="4"/>
      <c r="M6247" s="241">
        <v>1015.1717</v>
      </c>
    </row>
    <row r="6248" spans="3:13" hidden="1" outlineLevel="1" x14ac:dyDescent="0.2">
      <c r="C6248" s="139">
        <v>138.99999999999639</v>
      </c>
      <c r="D6248" s="28">
        <f t="shared" si="241"/>
        <v>1111.9999999999711</v>
      </c>
      <c r="E6248" s="28">
        <f t="shared" si="242"/>
        <v>1042.4999999999729</v>
      </c>
      <c r="F6248" s="28">
        <f t="shared" si="243"/>
        <v>1024.4999999999729</v>
      </c>
      <c r="G6248" s="28">
        <f t="shared" si="244"/>
        <v>953.63279999999997</v>
      </c>
      <c r="H6248" s="28">
        <f t="shared" si="245"/>
        <v>995.16409999999996</v>
      </c>
      <c r="I6248" s="28">
        <f t="shared" si="246"/>
        <v>1016.1797</v>
      </c>
      <c r="J6248" s="28">
        <f t="shared" si="247"/>
        <v>1032.7710999999999</v>
      </c>
      <c r="K6248" s="28">
        <f t="shared" si="248"/>
        <v>1061.6116999999999</v>
      </c>
      <c r="L6248" s="4"/>
      <c r="M6248" s="241">
        <v>1016.1797</v>
      </c>
    </row>
    <row r="6249" spans="3:13" hidden="1" outlineLevel="1" x14ac:dyDescent="0.2">
      <c r="C6249" s="139">
        <v>139.09999999999638</v>
      </c>
      <c r="D6249" s="28">
        <f t="shared" si="241"/>
        <v>1112.7999999999711</v>
      </c>
      <c r="E6249" s="28">
        <f t="shared" si="242"/>
        <v>1043.2499999999729</v>
      </c>
      <c r="F6249" s="28">
        <f t="shared" si="243"/>
        <v>1025.2499999999729</v>
      </c>
      <c r="G6249" s="28">
        <f t="shared" si="244"/>
        <v>954.61099999999999</v>
      </c>
      <c r="H6249" s="28">
        <f t="shared" si="245"/>
        <v>996.15150000000006</v>
      </c>
      <c r="I6249" s="28">
        <f t="shared" si="246"/>
        <v>1017.1876999999999</v>
      </c>
      <c r="J6249" s="28">
        <f t="shared" si="247"/>
        <v>1033.7969000000001</v>
      </c>
      <c r="K6249" s="28">
        <f t="shared" si="248"/>
        <v>1062.6484</v>
      </c>
      <c r="L6249" s="4"/>
      <c r="M6249" s="241">
        <v>1017.1876999999999</v>
      </c>
    </row>
    <row r="6250" spans="3:13" hidden="1" outlineLevel="1" x14ac:dyDescent="0.2">
      <c r="C6250" s="139">
        <v>139.19999999999638</v>
      </c>
      <c r="D6250" s="28">
        <f t="shared" si="241"/>
        <v>1113.599999999971</v>
      </c>
      <c r="E6250" s="28">
        <f t="shared" si="242"/>
        <v>1043.9999999999729</v>
      </c>
      <c r="F6250" s="28">
        <f t="shared" si="243"/>
        <v>1025.9999999999729</v>
      </c>
      <c r="G6250" s="28">
        <f t="shared" si="244"/>
        <v>954.61099999999999</v>
      </c>
      <c r="H6250" s="28">
        <f t="shared" si="245"/>
        <v>996.15150000000006</v>
      </c>
      <c r="I6250" s="28">
        <f t="shared" si="246"/>
        <v>1017.1876999999999</v>
      </c>
      <c r="J6250" s="28">
        <f t="shared" si="247"/>
        <v>1033.7969000000001</v>
      </c>
      <c r="K6250" s="28">
        <f t="shared" si="248"/>
        <v>1062.6484</v>
      </c>
      <c r="L6250" s="4"/>
      <c r="M6250" s="241">
        <v>1017.1876999999999</v>
      </c>
    </row>
    <row r="6251" spans="3:13" hidden="1" outlineLevel="1" x14ac:dyDescent="0.2">
      <c r="C6251" s="139">
        <v>139.29999999999637</v>
      </c>
      <c r="D6251" s="28">
        <f t="shared" si="241"/>
        <v>1114.399999999971</v>
      </c>
      <c r="E6251" s="28">
        <f t="shared" si="242"/>
        <v>1044.7499999999727</v>
      </c>
      <c r="F6251" s="28">
        <f t="shared" si="243"/>
        <v>1026.7499999999727</v>
      </c>
      <c r="G6251" s="28">
        <f t="shared" si="244"/>
        <v>955.57370000000003</v>
      </c>
      <c r="H6251" s="28">
        <f t="shared" si="245"/>
        <v>997.15470000000005</v>
      </c>
      <c r="I6251" s="28">
        <f t="shared" si="246"/>
        <v>1018.2114</v>
      </c>
      <c r="J6251" s="28">
        <f t="shared" si="247"/>
        <v>1034.8226999999999</v>
      </c>
      <c r="K6251" s="28">
        <f t="shared" si="248"/>
        <v>1063.7023999999999</v>
      </c>
      <c r="L6251" s="4"/>
      <c r="M6251" s="241">
        <v>1018.2114</v>
      </c>
    </row>
    <row r="6252" spans="3:13" hidden="1" outlineLevel="1" x14ac:dyDescent="0.2">
      <c r="C6252" s="139">
        <v>139.39999999999637</v>
      </c>
      <c r="D6252" s="28">
        <f t="shared" si="241"/>
        <v>1115.1999999999709</v>
      </c>
      <c r="E6252" s="28">
        <f t="shared" si="242"/>
        <v>1045.4999999999727</v>
      </c>
      <c r="F6252" s="28">
        <f t="shared" si="243"/>
        <v>1027.4999999999727</v>
      </c>
      <c r="G6252" s="28">
        <f t="shared" si="244"/>
        <v>956.55200000000002</v>
      </c>
      <c r="H6252" s="28">
        <f t="shared" si="245"/>
        <v>998.15790000000004</v>
      </c>
      <c r="I6252" s="28">
        <f t="shared" si="246"/>
        <v>1019.2195</v>
      </c>
      <c r="J6252" s="28">
        <f t="shared" si="247"/>
        <v>1035.8485000000001</v>
      </c>
      <c r="K6252" s="28">
        <f t="shared" si="248"/>
        <v>1064.7564</v>
      </c>
      <c r="L6252" s="4"/>
      <c r="M6252" s="241">
        <v>1019.2195</v>
      </c>
    </row>
    <row r="6253" spans="3:13" hidden="1" outlineLevel="1" x14ac:dyDescent="0.2">
      <c r="C6253" s="139">
        <v>139.49999999999636</v>
      </c>
      <c r="D6253" s="28">
        <f t="shared" si="241"/>
        <v>1115.9999999999709</v>
      </c>
      <c r="E6253" s="28">
        <f t="shared" si="242"/>
        <v>1046.2499999999727</v>
      </c>
      <c r="F6253" s="28">
        <f t="shared" si="243"/>
        <v>1028.2499999999727</v>
      </c>
      <c r="G6253" s="28">
        <f t="shared" si="244"/>
        <v>957.51480000000004</v>
      </c>
      <c r="H6253" s="28">
        <f t="shared" si="245"/>
        <v>999.14549999999997</v>
      </c>
      <c r="I6253" s="28">
        <f t="shared" si="246"/>
        <v>1020.2276000000001</v>
      </c>
      <c r="J6253" s="28">
        <f t="shared" si="247"/>
        <v>1036.8743999999999</v>
      </c>
      <c r="K6253" s="28">
        <f t="shared" si="248"/>
        <v>1065.8104000000001</v>
      </c>
      <c r="L6253" s="4"/>
      <c r="M6253" s="241">
        <v>1020.2276000000001</v>
      </c>
    </row>
    <row r="6254" spans="3:13" hidden="1" outlineLevel="1" x14ac:dyDescent="0.2">
      <c r="C6254" s="139">
        <v>139.59999999999636</v>
      </c>
      <c r="D6254" s="28">
        <f t="shared" si="241"/>
        <v>1116.7999999999709</v>
      </c>
      <c r="E6254" s="28">
        <f t="shared" si="242"/>
        <v>1046.9999999999727</v>
      </c>
      <c r="F6254" s="28">
        <f t="shared" si="243"/>
        <v>1028.9999999999727</v>
      </c>
      <c r="G6254" s="28">
        <f t="shared" si="244"/>
        <v>957.51480000000004</v>
      </c>
      <c r="H6254" s="28">
        <f t="shared" si="245"/>
        <v>999.14549999999997</v>
      </c>
      <c r="I6254" s="28">
        <f t="shared" si="246"/>
        <v>1020.2276000000001</v>
      </c>
      <c r="J6254" s="28">
        <f t="shared" si="247"/>
        <v>1036.8743999999999</v>
      </c>
      <c r="K6254" s="28">
        <f t="shared" si="248"/>
        <v>1065.8104000000001</v>
      </c>
      <c r="L6254" s="4"/>
      <c r="M6254" s="241">
        <v>1020.2276000000001</v>
      </c>
    </row>
    <row r="6255" spans="3:13" hidden="1" outlineLevel="1" x14ac:dyDescent="0.2">
      <c r="C6255" s="139">
        <v>139.69999999999635</v>
      </c>
      <c r="D6255" s="28">
        <f t="shared" si="241"/>
        <v>1117.5999999999708</v>
      </c>
      <c r="E6255" s="28">
        <f t="shared" si="242"/>
        <v>1047.7499999999727</v>
      </c>
      <c r="F6255" s="28">
        <f t="shared" si="243"/>
        <v>1029.7499999999727</v>
      </c>
      <c r="G6255" s="28">
        <f t="shared" si="244"/>
        <v>958.49329999999998</v>
      </c>
      <c r="H6255" s="28">
        <f t="shared" si="245"/>
        <v>1000.1489</v>
      </c>
      <c r="I6255" s="28">
        <f t="shared" si="246"/>
        <v>1021.2514</v>
      </c>
      <c r="J6255" s="28">
        <f t="shared" si="247"/>
        <v>1037.9003</v>
      </c>
      <c r="K6255" s="28">
        <f t="shared" si="248"/>
        <v>1066.8644999999999</v>
      </c>
      <c r="L6255" s="4"/>
      <c r="M6255" s="241">
        <v>1021.2514</v>
      </c>
    </row>
    <row r="6256" spans="3:13" hidden="1" outlineLevel="1" x14ac:dyDescent="0.2">
      <c r="C6256" s="139">
        <v>139.79999999999634</v>
      </c>
      <c r="D6256" s="28">
        <f t="shared" si="241"/>
        <v>1118.3999999999708</v>
      </c>
      <c r="E6256" s="28">
        <f t="shared" si="242"/>
        <v>1048.4999999999725</v>
      </c>
      <c r="F6256" s="28">
        <f t="shared" si="243"/>
        <v>1030.4999999999725</v>
      </c>
      <c r="G6256" s="28">
        <f t="shared" si="244"/>
        <v>959.45630000000006</v>
      </c>
      <c r="H6256" s="28">
        <f t="shared" si="245"/>
        <v>1001.1523</v>
      </c>
      <c r="I6256" s="28">
        <f t="shared" si="246"/>
        <v>1022.2596</v>
      </c>
      <c r="J6256" s="28">
        <f t="shared" si="247"/>
        <v>1038.9262000000001</v>
      </c>
      <c r="K6256" s="28">
        <f t="shared" si="248"/>
        <v>1067.9013</v>
      </c>
      <c r="L6256" s="4"/>
      <c r="M6256" s="241">
        <v>1022.2596</v>
      </c>
    </row>
    <row r="6257" spans="3:13" hidden="1" outlineLevel="1" x14ac:dyDescent="0.2">
      <c r="C6257" s="139">
        <v>139.89999999999634</v>
      </c>
      <c r="D6257" s="28">
        <f t="shared" si="241"/>
        <v>1119.1999999999707</v>
      </c>
      <c r="E6257" s="28">
        <f t="shared" si="242"/>
        <v>1049.2499999999725</v>
      </c>
      <c r="F6257" s="28">
        <f t="shared" si="243"/>
        <v>1031.2499999999725</v>
      </c>
      <c r="G6257" s="28">
        <f t="shared" si="244"/>
        <v>960.43499999999995</v>
      </c>
      <c r="H6257" s="28">
        <f t="shared" si="245"/>
        <v>1002.14</v>
      </c>
      <c r="I6257" s="28">
        <f t="shared" si="246"/>
        <v>1023.2678</v>
      </c>
      <c r="J6257" s="28">
        <f t="shared" si="247"/>
        <v>1039.9521999999999</v>
      </c>
      <c r="K6257" s="28">
        <f t="shared" si="248"/>
        <v>1068.9554000000001</v>
      </c>
      <c r="L6257" s="4"/>
      <c r="M6257" s="241">
        <v>1023.2678</v>
      </c>
    </row>
    <row r="6258" spans="3:13" hidden="1" outlineLevel="1" x14ac:dyDescent="0.2">
      <c r="C6258" s="139">
        <v>139.99999999999633</v>
      </c>
      <c r="D6258" s="28">
        <f t="shared" si="241"/>
        <v>1119.9999999999707</v>
      </c>
      <c r="E6258" s="28">
        <f t="shared" si="242"/>
        <v>1049.9999999999725</v>
      </c>
      <c r="F6258" s="28">
        <f t="shared" si="243"/>
        <v>1031.9999999999725</v>
      </c>
      <c r="G6258" s="28">
        <f t="shared" si="244"/>
        <v>960.43499999999995</v>
      </c>
      <c r="H6258" s="28">
        <f t="shared" si="245"/>
        <v>1002.14</v>
      </c>
      <c r="I6258" s="28">
        <f t="shared" si="246"/>
        <v>1023.2678</v>
      </c>
      <c r="J6258" s="28">
        <f t="shared" si="247"/>
        <v>1039.9521999999999</v>
      </c>
      <c r="K6258" s="28">
        <f t="shared" si="248"/>
        <v>1068.9554000000001</v>
      </c>
      <c r="L6258" s="4"/>
      <c r="M6258" s="241">
        <v>1023.2678</v>
      </c>
    </row>
    <row r="6259" spans="3:13" hidden="1" outlineLevel="1" x14ac:dyDescent="0.2">
      <c r="C6259" s="139">
        <v>140.09999999999633</v>
      </c>
      <c r="D6259" s="28">
        <f t="shared" si="241"/>
        <v>1120.7999999999706</v>
      </c>
      <c r="E6259" s="28">
        <f t="shared" si="242"/>
        <v>1050.7499999999725</v>
      </c>
      <c r="F6259" s="28">
        <f t="shared" si="243"/>
        <v>1032.7499999999725</v>
      </c>
      <c r="G6259" s="28">
        <f t="shared" si="244"/>
        <v>961.39800000000002</v>
      </c>
      <c r="H6259" s="28">
        <f t="shared" si="245"/>
        <v>1003.1435</v>
      </c>
      <c r="I6259" s="28">
        <f t="shared" si="246"/>
        <v>1024.2918</v>
      </c>
      <c r="J6259" s="28">
        <f t="shared" si="247"/>
        <v>1040.9782</v>
      </c>
      <c r="K6259" s="28">
        <f t="shared" si="248"/>
        <v>1070.0094999999999</v>
      </c>
      <c r="L6259" s="4"/>
      <c r="M6259" s="241">
        <v>1024.2918</v>
      </c>
    </row>
    <row r="6260" spans="3:13" hidden="1" outlineLevel="1" x14ac:dyDescent="0.2">
      <c r="C6260" s="139">
        <v>140.19999999999632</v>
      </c>
      <c r="D6260" s="28">
        <f t="shared" si="241"/>
        <v>1121.5999999999706</v>
      </c>
      <c r="E6260" s="28">
        <f t="shared" si="242"/>
        <v>1051.4999999999725</v>
      </c>
      <c r="F6260" s="28">
        <f t="shared" si="243"/>
        <v>1033.4999999999725</v>
      </c>
      <c r="G6260" s="28">
        <f t="shared" si="244"/>
        <v>962.37689999999998</v>
      </c>
      <c r="H6260" s="28">
        <f t="shared" si="245"/>
        <v>1004.1471</v>
      </c>
      <c r="I6260" s="28">
        <f t="shared" si="246"/>
        <v>1025.3000999999999</v>
      </c>
      <c r="J6260" s="28">
        <f t="shared" si="247"/>
        <v>1042.0042000000001</v>
      </c>
      <c r="K6260" s="28">
        <f t="shared" si="248"/>
        <v>1071.0636999999999</v>
      </c>
      <c r="L6260" s="4"/>
      <c r="M6260" s="241">
        <v>1025.3000999999999</v>
      </c>
    </row>
    <row r="6261" spans="3:13" hidden="1" outlineLevel="1" x14ac:dyDescent="0.2">
      <c r="C6261" s="139">
        <v>140.29999999999632</v>
      </c>
      <c r="D6261" s="28">
        <f t="shared" si="241"/>
        <v>1122.3999999999705</v>
      </c>
      <c r="E6261" s="28">
        <f t="shared" si="242"/>
        <v>1052.2499999999723</v>
      </c>
      <c r="F6261" s="28">
        <f t="shared" si="243"/>
        <v>1034.2499999999723</v>
      </c>
      <c r="G6261" s="28">
        <f t="shared" si="244"/>
        <v>963.34010000000001</v>
      </c>
      <c r="H6261" s="28">
        <f t="shared" si="245"/>
        <v>1005.1349</v>
      </c>
      <c r="I6261" s="28">
        <f t="shared" si="246"/>
        <v>1026.3083999999999</v>
      </c>
      <c r="J6261" s="28">
        <f t="shared" si="247"/>
        <v>1043.0477000000001</v>
      </c>
      <c r="K6261" s="28">
        <f t="shared" si="248"/>
        <v>1072.1005</v>
      </c>
      <c r="L6261" s="4"/>
      <c r="M6261" s="241">
        <v>1026.3083999999999</v>
      </c>
    </row>
    <row r="6262" spans="3:13" hidden="1" outlineLevel="1" x14ac:dyDescent="0.2">
      <c r="C6262" s="139">
        <v>140.39999999999631</v>
      </c>
      <c r="D6262" s="28">
        <f t="shared" si="241"/>
        <v>1123.1999999999705</v>
      </c>
      <c r="E6262" s="28">
        <f t="shared" si="242"/>
        <v>1052.9999999999723</v>
      </c>
      <c r="F6262" s="28">
        <f t="shared" si="243"/>
        <v>1034.9999999999723</v>
      </c>
      <c r="G6262" s="28">
        <f t="shared" si="244"/>
        <v>963.34010000000001</v>
      </c>
      <c r="H6262" s="28">
        <f t="shared" si="245"/>
        <v>1005.1349</v>
      </c>
      <c r="I6262" s="28">
        <f t="shared" si="246"/>
        <v>1026.3083999999999</v>
      </c>
      <c r="J6262" s="28">
        <f t="shared" si="247"/>
        <v>1043.0477000000001</v>
      </c>
      <c r="K6262" s="28">
        <f t="shared" si="248"/>
        <v>1072.1005</v>
      </c>
      <c r="L6262" s="4"/>
      <c r="M6262" s="241">
        <v>1026.3083999999999</v>
      </c>
    </row>
    <row r="6263" spans="3:13" hidden="1" outlineLevel="1" x14ac:dyDescent="0.2">
      <c r="C6263" s="139">
        <v>140.49999999999631</v>
      </c>
      <c r="D6263" s="28">
        <f t="shared" si="241"/>
        <v>1123.9999999999704</v>
      </c>
      <c r="E6263" s="28">
        <f t="shared" si="242"/>
        <v>1053.7499999999723</v>
      </c>
      <c r="F6263" s="28">
        <f t="shared" si="243"/>
        <v>1035.7499999999723</v>
      </c>
      <c r="G6263" s="28">
        <f t="shared" si="244"/>
        <v>964.31910000000005</v>
      </c>
      <c r="H6263" s="28">
        <f t="shared" si="245"/>
        <v>1006.1386</v>
      </c>
      <c r="I6263" s="28">
        <f t="shared" si="246"/>
        <v>1027.3326</v>
      </c>
      <c r="J6263" s="28">
        <f t="shared" si="247"/>
        <v>1044.0737999999999</v>
      </c>
      <c r="K6263" s="28">
        <f t="shared" si="248"/>
        <v>1073.1547</v>
      </c>
      <c r="L6263" s="4"/>
      <c r="M6263" s="241">
        <v>1027.3326</v>
      </c>
    </row>
    <row r="6264" spans="3:13" hidden="1" outlineLevel="1" x14ac:dyDescent="0.2">
      <c r="C6264" s="139">
        <v>140.5999999999963</v>
      </c>
      <c r="D6264" s="28">
        <f t="shared" si="241"/>
        <v>1124.7999999999704</v>
      </c>
      <c r="E6264" s="28">
        <f t="shared" si="242"/>
        <v>1054.4999999999723</v>
      </c>
      <c r="F6264" s="28">
        <f t="shared" si="243"/>
        <v>1036.4999999999723</v>
      </c>
      <c r="G6264" s="28">
        <f t="shared" si="244"/>
        <v>965.28240000000005</v>
      </c>
      <c r="H6264" s="28">
        <f t="shared" si="245"/>
        <v>1007.1423</v>
      </c>
      <c r="I6264" s="28">
        <f t="shared" si="246"/>
        <v>1028.3409999999999</v>
      </c>
      <c r="J6264" s="28">
        <f t="shared" si="247"/>
        <v>1045.0998999999999</v>
      </c>
      <c r="K6264" s="28">
        <f t="shared" si="248"/>
        <v>1074.2090000000001</v>
      </c>
      <c r="L6264" s="4"/>
      <c r="M6264" s="241">
        <v>1028.3409999999999</v>
      </c>
    </row>
    <row r="6265" spans="3:13" hidden="1" outlineLevel="1" x14ac:dyDescent="0.2">
      <c r="C6265" s="139">
        <v>140.69999999999629</v>
      </c>
      <c r="D6265" s="28">
        <f t="shared" si="241"/>
        <v>1125.5999999999704</v>
      </c>
      <c r="E6265" s="28">
        <f t="shared" si="242"/>
        <v>1055.2499999999723</v>
      </c>
      <c r="F6265" s="28">
        <f t="shared" si="243"/>
        <v>1037.2499999999723</v>
      </c>
      <c r="G6265" s="28">
        <f t="shared" si="244"/>
        <v>966.26170000000002</v>
      </c>
      <c r="H6265" s="28">
        <f t="shared" si="245"/>
        <v>1008.1303</v>
      </c>
      <c r="I6265" s="28">
        <f t="shared" si="246"/>
        <v>1029.3494000000001</v>
      </c>
      <c r="J6265" s="28">
        <f t="shared" si="247"/>
        <v>1046.1261</v>
      </c>
      <c r="K6265" s="28">
        <f t="shared" si="248"/>
        <v>1075.2633000000001</v>
      </c>
      <c r="L6265" s="4"/>
      <c r="M6265" s="241">
        <v>1029.3494000000001</v>
      </c>
    </row>
    <row r="6266" spans="3:13" hidden="1" outlineLevel="1" x14ac:dyDescent="0.2">
      <c r="C6266" s="139">
        <v>140.79999999999629</v>
      </c>
      <c r="D6266" s="28">
        <f t="shared" si="241"/>
        <v>1126.3999999999703</v>
      </c>
      <c r="E6266" s="28">
        <f t="shared" si="242"/>
        <v>1055.9999999999723</v>
      </c>
      <c r="F6266" s="28">
        <f t="shared" si="243"/>
        <v>1037.9999999999723</v>
      </c>
      <c r="G6266" s="28">
        <f t="shared" si="244"/>
        <v>966.26170000000002</v>
      </c>
      <c r="H6266" s="28">
        <f t="shared" si="245"/>
        <v>1008.1303</v>
      </c>
      <c r="I6266" s="28">
        <f t="shared" si="246"/>
        <v>1029.3494000000001</v>
      </c>
      <c r="J6266" s="28">
        <f t="shared" si="247"/>
        <v>1046.1261</v>
      </c>
      <c r="K6266" s="28">
        <f t="shared" si="248"/>
        <v>1075.2633000000001</v>
      </c>
      <c r="L6266" s="4"/>
      <c r="M6266" s="241">
        <v>1029.3494000000001</v>
      </c>
    </row>
    <row r="6267" spans="3:13" hidden="1" outlineLevel="1" x14ac:dyDescent="0.2">
      <c r="C6267" s="139">
        <v>140.89999999999628</v>
      </c>
      <c r="D6267" s="28">
        <f t="shared" ref="D6267:D6330" si="249">C6267*Channels.per.TRX</f>
        <v>1127.1999999999703</v>
      </c>
      <c r="E6267" s="28">
        <f t="shared" ref="E6267:E6330" si="250">D6267-C6267*sig.channel.per.TRX</f>
        <v>1056.749999999972</v>
      </c>
      <c r="F6267" s="28">
        <f t="shared" ref="F6267:F6330" si="251">MAX(0,E6267-GPRS.channel.per.sector)</f>
        <v>1038.749999999972</v>
      </c>
      <c r="G6267" s="28">
        <f t="shared" ref="G6267:G6330" si="252">INDEX(D$10:D$4326,MATCH($F6267,$C$10:$C$4326,1))</f>
        <v>967.2251</v>
      </c>
      <c r="H6267" s="28">
        <f t="shared" ref="H6267:H6330" si="253">INDEX(E$10:E$4326,MATCH($F6267,$C$10:$C$4326,1))</f>
        <v>1009.1341</v>
      </c>
      <c r="I6267" s="28">
        <f t="shared" ref="I6267:I6330" si="254">INDEX(F$10:F$4326,MATCH($F6267,$C$10:$C$4326,1))</f>
        <v>1030.3737000000001</v>
      </c>
      <c r="J6267" s="28">
        <f t="shared" ref="J6267:J6330" si="255">INDEX(G$10:G$4326,MATCH($F6267,$C$10:$C$4326,1))</f>
        <v>1047.1523</v>
      </c>
      <c r="K6267" s="28">
        <f t="shared" ref="K6267:K6330" si="256">INDEX(H$10:H$4326,MATCH($F6267,$C$10:$C$4326,1))</f>
        <v>1076.3176000000001</v>
      </c>
      <c r="L6267" s="4"/>
      <c r="M6267" s="241">
        <v>1030.3737000000001</v>
      </c>
    </row>
    <row r="6268" spans="3:13" hidden="1" outlineLevel="1" x14ac:dyDescent="0.2">
      <c r="C6268" s="139">
        <v>140.99999999999628</v>
      </c>
      <c r="D6268" s="28">
        <f t="shared" si="249"/>
        <v>1127.9999999999702</v>
      </c>
      <c r="E6268" s="28">
        <f t="shared" si="250"/>
        <v>1057.499999999972</v>
      </c>
      <c r="F6268" s="28">
        <f t="shared" si="251"/>
        <v>1039.499999999972</v>
      </c>
      <c r="G6268" s="28">
        <f t="shared" si="252"/>
        <v>968.20450000000005</v>
      </c>
      <c r="H6268" s="28">
        <f t="shared" si="253"/>
        <v>1010.138</v>
      </c>
      <c r="I6268" s="28">
        <f t="shared" si="254"/>
        <v>1031.3822</v>
      </c>
      <c r="J6268" s="28">
        <f t="shared" si="255"/>
        <v>1048.1786</v>
      </c>
      <c r="K6268" s="28">
        <f t="shared" si="256"/>
        <v>1077.3544999999999</v>
      </c>
      <c r="L6268" s="4"/>
      <c r="M6268" s="241">
        <v>1031.3822</v>
      </c>
    </row>
    <row r="6269" spans="3:13" hidden="1" outlineLevel="1" x14ac:dyDescent="0.2">
      <c r="C6269" s="139">
        <v>141.09999999999627</v>
      </c>
      <c r="D6269" s="28">
        <f t="shared" si="249"/>
        <v>1128.7999999999702</v>
      </c>
      <c r="E6269" s="28">
        <f t="shared" si="250"/>
        <v>1058.249999999972</v>
      </c>
      <c r="F6269" s="28">
        <f t="shared" si="251"/>
        <v>1040.249999999972</v>
      </c>
      <c r="G6269" s="28">
        <f t="shared" si="252"/>
        <v>969.18399999999997</v>
      </c>
      <c r="H6269" s="28">
        <f t="shared" si="253"/>
        <v>1011.1261</v>
      </c>
      <c r="I6269" s="28">
        <f t="shared" si="254"/>
        <v>1032.3906999999999</v>
      </c>
      <c r="J6269" s="28">
        <f t="shared" si="255"/>
        <v>1049.2049</v>
      </c>
      <c r="K6269" s="28">
        <f t="shared" si="256"/>
        <v>1078.4088999999999</v>
      </c>
      <c r="L6269" s="4"/>
      <c r="M6269" s="241">
        <v>1032.3906999999999</v>
      </c>
    </row>
    <row r="6270" spans="3:13" hidden="1" outlineLevel="1" x14ac:dyDescent="0.2">
      <c r="C6270" s="139">
        <v>141.19999999999627</v>
      </c>
      <c r="D6270" s="28">
        <f t="shared" si="249"/>
        <v>1129.5999999999701</v>
      </c>
      <c r="E6270" s="28">
        <f t="shared" si="250"/>
        <v>1058.999999999972</v>
      </c>
      <c r="F6270" s="28">
        <f t="shared" si="251"/>
        <v>1040.999999999972</v>
      </c>
      <c r="G6270" s="28">
        <f t="shared" si="252"/>
        <v>969.18399999999997</v>
      </c>
      <c r="H6270" s="28">
        <f t="shared" si="253"/>
        <v>1011.1261</v>
      </c>
      <c r="I6270" s="28">
        <f t="shared" si="254"/>
        <v>1032.3906999999999</v>
      </c>
      <c r="J6270" s="28">
        <f t="shared" si="255"/>
        <v>1049.2049</v>
      </c>
      <c r="K6270" s="28">
        <f t="shared" si="256"/>
        <v>1078.4088999999999</v>
      </c>
      <c r="L6270" s="4"/>
      <c r="M6270" s="241">
        <v>1032.3906999999999</v>
      </c>
    </row>
    <row r="6271" spans="3:13" hidden="1" outlineLevel="1" x14ac:dyDescent="0.2">
      <c r="C6271" s="139">
        <v>141.29999999999626</v>
      </c>
      <c r="D6271" s="28">
        <f t="shared" si="249"/>
        <v>1130.3999999999701</v>
      </c>
      <c r="E6271" s="28">
        <f t="shared" si="250"/>
        <v>1059.749999999972</v>
      </c>
      <c r="F6271" s="28">
        <f t="shared" si="251"/>
        <v>1041.749999999972</v>
      </c>
      <c r="G6271" s="28">
        <f t="shared" si="252"/>
        <v>970.14760000000001</v>
      </c>
      <c r="H6271" s="28">
        <f t="shared" si="253"/>
        <v>1012.1301</v>
      </c>
      <c r="I6271" s="28">
        <f t="shared" si="254"/>
        <v>1033.4151999999999</v>
      </c>
      <c r="J6271" s="28">
        <f t="shared" si="255"/>
        <v>1050.2311999999999</v>
      </c>
      <c r="K6271" s="28">
        <f t="shared" si="256"/>
        <v>1079.4632999999999</v>
      </c>
      <c r="L6271" s="4"/>
      <c r="M6271" s="241">
        <v>1033.4151999999999</v>
      </c>
    </row>
    <row r="6272" spans="3:13" hidden="1" outlineLevel="1" x14ac:dyDescent="0.2">
      <c r="C6272" s="139">
        <v>141.39999999999625</v>
      </c>
      <c r="D6272" s="28">
        <f t="shared" si="249"/>
        <v>1131.19999999997</v>
      </c>
      <c r="E6272" s="28">
        <f t="shared" si="250"/>
        <v>1060.4999999999718</v>
      </c>
      <c r="F6272" s="28">
        <f t="shared" si="251"/>
        <v>1042.4999999999718</v>
      </c>
      <c r="G6272" s="28">
        <f t="shared" si="252"/>
        <v>971.12729999999999</v>
      </c>
      <c r="H6272" s="28">
        <f t="shared" si="253"/>
        <v>1013.1342</v>
      </c>
      <c r="I6272" s="28">
        <f t="shared" si="254"/>
        <v>1034.4238</v>
      </c>
      <c r="J6272" s="28">
        <f t="shared" si="255"/>
        <v>1051.2575999999999</v>
      </c>
      <c r="K6272" s="28">
        <f t="shared" si="256"/>
        <v>1080.5177000000001</v>
      </c>
      <c r="L6272" s="4"/>
      <c r="M6272" s="241">
        <v>1034.4238</v>
      </c>
    </row>
    <row r="6273" spans="3:13" hidden="1" outlineLevel="1" x14ac:dyDescent="0.2">
      <c r="C6273" s="139">
        <v>141.49999999999625</v>
      </c>
      <c r="D6273" s="28">
        <f t="shared" si="249"/>
        <v>1131.99999999997</v>
      </c>
      <c r="E6273" s="28">
        <f t="shared" si="250"/>
        <v>1061.2499999999718</v>
      </c>
      <c r="F6273" s="28">
        <f t="shared" si="251"/>
        <v>1043.2499999999718</v>
      </c>
      <c r="G6273" s="28">
        <f t="shared" si="252"/>
        <v>972.09109999999998</v>
      </c>
      <c r="H6273" s="28">
        <f t="shared" si="253"/>
        <v>1014.1224</v>
      </c>
      <c r="I6273" s="28">
        <f t="shared" si="254"/>
        <v>1035.4324999999999</v>
      </c>
      <c r="J6273" s="28">
        <f t="shared" si="255"/>
        <v>1052.2840000000001</v>
      </c>
      <c r="K6273" s="28">
        <f t="shared" si="256"/>
        <v>1081.5722000000001</v>
      </c>
      <c r="L6273" s="4"/>
      <c r="M6273" s="241">
        <v>1035.4324999999999</v>
      </c>
    </row>
    <row r="6274" spans="3:13" hidden="1" outlineLevel="1" x14ac:dyDescent="0.2">
      <c r="C6274" s="139">
        <v>141.59999999999624</v>
      </c>
      <c r="D6274" s="28">
        <f t="shared" si="249"/>
        <v>1132.7999999999699</v>
      </c>
      <c r="E6274" s="28">
        <f t="shared" si="250"/>
        <v>1061.9999999999718</v>
      </c>
      <c r="F6274" s="28">
        <f t="shared" si="251"/>
        <v>1043.9999999999718</v>
      </c>
      <c r="G6274" s="28">
        <f t="shared" si="252"/>
        <v>972.09109999999998</v>
      </c>
      <c r="H6274" s="28">
        <f t="shared" si="253"/>
        <v>1014.1224</v>
      </c>
      <c r="I6274" s="28">
        <f t="shared" si="254"/>
        <v>1035.4324999999999</v>
      </c>
      <c r="J6274" s="28">
        <f t="shared" si="255"/>
        <v>1052.2840000000001</v>
      </c>
      <c r="K6274" s="28">
        <f t="shared" si="256"/>
        <v>1081.5722000000001</v>
      </c>
      <c r="L6274" s="4"/>
      <c r="M6274" s="241">
        <v>1035.4324999999999</v>
      </c>
    </row>
    <row r="6275" spans="3:13" hidden="1" outlineLevel="1" x14ac:dyDescent="0.2">
      <c r="C6275" s="139">
        <v>141.69999999999624</v>
      </c>
      <c r="D6275" s="28">
        <f t="shared" si="249"/>
        <v>1133.5999999999699</v>
      </c>
      <c r="E6275" s="28">
        <f t="shared" si="250"/>
        <v>1062.7499999999718</v>
      </c>
      <c r="F6275" s="28">
        <f t="shared" si="251"/>
        <v>1044.7499999999718</v>
      </c>
      <c r="G6275" s="28">
        <f t="shared" si="252"/>
        <v>973.05499999999995</v>
      </c>
      <c r="H6275" s="28">
        <f t="shared" si="253"/>
        <v>1015.1266000000001</v>
      </c>
      <c r="I6275" s="28">
        <f t="shared" si="254"/>
        <v>1036.4571000000001</v>
      </c>
      <c r="J6275" s="28">
        <f t="shared" si="255"/>
        <v>1053.3104000000001</v>
      </c>
      <c r="K6275" s="28">
        <f t="shared" si="256"/>
        <v>1082.6092000000001</v>
      </c>
      <c r="L6275" s="4"/>
      <c r="M6275" s="241">
        <v>1036.4571000000001</v>
      </c>
    </row>
    <row r="6276" spans="3:13" hidden="1" outlineLevel="1" x14ac:dyDescent="0.2">
      <c r="C6276" s="139">
        <v>141.79999999999623</v>
      </c>
      <c r="D6276" s="28">
        <f t="shared" si="249"/>
        <v>1134.3999999999699</v>
      </c>
      <c r="E6276" s="28">
        <f t="shared" si="250"/>
        <v>1063.4999999999718</v>
      </c>
      <c r="F6276" s="28">
        <f t="shared" si="251"/>
        <v>1045.4999999999718</v>
      </c>
      <c r="G6276" s="28">
        <f t="shared" si="252"/>
        <v>974.03480000000002</v>
      </c>
      <c r="H6276" s="28">
        <f t="shared" si="253"/>
        <v>1016.1308</v>
      </c>
      <c r="I6276" s="28">
        <f t="shared" si="254"/>
        <v>1037.4657999999999</v>
      </c>
      <c r="J6276" s="28">
        <f t="shared" si="255"/>
        <v>1054.3368</v>
      </c>
      <c r="K6276" s="28">
        <f t="shared" si="256"/>
        <v>1083.6637000000001</v>
      </c>
      <c r="L6276" s="4"/>
      <c r="M6276" s="241">
        <v>1037.4657999999999</v>
      </c>
    </row>
    <row r="6277" spans="3:13" hidden="1" outlineLevel="1" x14ac:dyDescent="0.2">
      <c r="C6277" s="139">
        <v>141.89999999999623</v>
      </c>
      <c r="D6277" s="28">
        <f t="shared" si="249"/>
        <v>1135.1999999999698</v>
      </c>
      <c r="E6277" s="28">
        <f t="shared" si="250"/>
        <v>1064.2499999999718</v>
      </c>
      <c r="F6277" s="28">
        <f t="shared" si="251"/>
        <v>1046.2499999999718</v>
      </c>
      <c r="G6277" s="28">
        <f t="shared" si="252"/>
        <v>974.99890000000005</v>
      </c>
      <c r="H6277" s="28">
        <f t="shared" si="253"/>
        <v>1017.1191</v>
      </c>
      <c r="I6277" s="28">
        <f t="shared" si="254"/>
        <v>1038.4745</v>
      </c>
      <c r="J6277" s="28">
        <f t="shared" si="255"/>
        <v>1055.3633</v>
      </c>
      <c r="K6277" s="28">
        <f t="shared" si="256"/>
        <v>1084.7182</v>
      </c>
      <c r="L6277" s="4"/>
      <c r="M6277" s="241">
        <v>1038.4745</v>
      </c>
    </row>
    <row r="6278" spans="3:13" hidden="1" outlineLevel="1" x14ac:dyDescent="0.2">
      <c r="C6278" s="139">
        <v>141.99999999999622</v>
      </c>
      <c r="D6278" s="28">
        <f t="shared" si="249"/>
        <v>1135.9999999999698</v>
      </c>
      <c r="E6278" s="28">
        <f t="shared" si="250"/>
        <v>1064.9999999999716</v>
      </c>
      <c r="F6278" s="28">
        <f t="shared" si="251"/>
        <v>1046.9999999999716</v>
      </c>
      <c r="G6278" s="28">
        <f t="shared" si="252"/>
        <v>974.99890000000005</v>
      </c>
      <c r="H6278" s="28">
        <f t="shared" si="253"/>
        <v>1017.1191</v>
      </c>
      <c r="I6278" s="28">
        <f t="shared" si="254"/>
        <v>1038.4745</v>
      </c>
      <c r="J6278" s="28">
        <f t="shared" si="255"/>
        <v>1055.3633</v>
      </c>
      <c r="K6278" s="28">
        <f t="shared" si="256"/>
        <v>1084.7182</v>
      </c>
      <c r="L6278" s="4"/>
      <c r="M6278" s="241">
        <v>1038.4745</v>
      </c>
    </row>
    <row r="6279" spans="3:13" hidden="1" outlineLevel="1" x14ac:dyDescent="0.2">
      <c r="C6279" s="139">
        <v>142.09999999999621</v>
      </c>
      <c r="D6279" s="28">
        <f t="shared" si="249"/>
        <v>1136.7999999999697</v>
      </c>
      <c r="E6279" s="28">
        <f t="shared" si="250"/>
        <v>1065.7499999999716</v>
      </c>
      <c r="F6279" s="28">
        <f t="shared" si="251"/>
        <v>1047.7499999999716</v>
      </c>
      <c r="G6279" s="28">
        <f t="shared" si="252"/>
        <v>975.97889999999995</v>
      </c>
      <c r="H6279" s="28">
        <f t="shared" si="253"/>
        <v>1018.1235</v>
      </c>
      <c r="I6279" s="28">
        <f t="shared" si="254"/>
        <v>1039.4992999999999</v>
      </c>
      <c r="J6279" s="28">
        <f t="shared" si="255"/>
        <v>1056.3898999999999</v>
      </c>
      <c r="K6279" s="28">
        <f t="shared" si="256"/>
        <v>1085.7728</v>
      </c>
      <c r="L6279" s="4"/>
      <c r="M6279" s="241">
        <v>1039.4992999999999</v>
      </c>
    </row>
    <row r="6280" spans="3:13" hidden="1" outlineLevel="1" x14ac:dyDescent="0.2">
      <c r="C6280" s="139">
        <v>142.19999999999621</v>
      </c>
      <c r="D6280" s="28">
        <f t="shared" si="249"/>
        <v>1137.5999999999697</v>
      </c>
      <c r="E6280" s="28">
        <f t="shared" si="250"/>
        <v>1066.4999999999716</v>
      </c>
      <c r="F6280" s="28">
        <f t="shared" si="251"/>
        <v>1048.4999999999716</v>
      </c>
      <c r="G6280" s="28">
        <f t="shared" si="252"/>
        <v>976.94309999999996</v>
      </c>
      <c r="H6280" s="28">
        <f t="shared" si="253"/>
        <v>1019.1119</v>
      </c>
      <c r="I6280" s="28">
        <f t="shared" si="254"/>
        <v>1040.5081</v>
      </c>
      <c r="J6280" s="28">
        <f t="shared" si="255"/>
        <v>1057.4164000000001</v>
      </c>
      <c r="K6280" s="28">
        <f t="shared" si="256"/>
        <v>1086.8099</v>
      </c>
      <c r="L6280" s="4"/>
      <c r="M6280" s="241">
        <v>1040.5081</v>
      </c>
    </row>
    <row r="6281" spans="3:13" hidden="1" outlineLevel="1" x14ac:dyDescent="0.2">
      <c r="C6281" s="139">
        <v>142.2999999999962</v>
      </c>
      <c r="D6281" s="28">
        <f t="shared" si="249"/>
        <v>1138.3999999999696</v>
      </c>
      <c r="E6281" s="28">
        <f t="shared" si="250"/>
        <v>1067.2499999999716</v>
      </c>
      <c r="F6281" s="28">
        <f t="shared" si="251"/>
        <v>1049.2499999999716</v>
      </c>
      <c r="G6281" s="28">
        <f t="shared" si="252"/>
        <v>977.92330000000004</v>
      </c>
      <c r="H6281" s="28">
        <f t="shared" si="253"/>
        <v>1020.1163</v>
      </c>
      <c r="I6281" s="28">
        <f t="shared" si="254"/>
        <v>1041.5170000000001</v>
      </c>
      <c r="J6281" s="28">
        <f t="shared" si="255"/>
        <v>1058.443</v>
      </c>
      <c r="K6281" s="28">
        <f t="shared" si="256"/>
        <v>1087.8644999999999</v>
      </c>
      <c r="L6281" s="4"/>
      <c r="M6281" s="241">
        <v>1041.5170000000001</v>
      </c>
    </row>
    <row r="6282" spans="3:13" hidden="1" outlineLevel="1" x14ac:dyDescent="0.2">
      <c r="C6282" s="139">
        <v>142.3999999999962</v>
      </c>
      <c r="D6282" s="28">
        <f t="shared" si="249"/>
        <v>1139.1999999999696</v>
      </c>
      <c r="E6282" s="28">
        <f t="shared" si="250"/>
        <v>1067.9999999999716</v>
      </c>
      <c r="F6282" s="28">
        <f t="shared" si="251"/>
        <v>1049.9999999999716</v>
      </c>
      <c r="G6282" s="28">
        <f t="shared" si="252"/>
        <v>977.92330000000004</v>
      </c>
      <c r="H6282" s="28">
        <f t="shared" si="253"/>
        <v>1020.1163</v>
      </c>
      <c r="I6282" s="28">
        <f t="shared" si="254"/>
        <v>1041.5170000000001</v>
      </c>
      <c r="J6282" s="28">
        <f t="shared" si="255"/>
        <v>1058.443</v>
      </c>
      <c r="K6282" s="28">
        <f t="shared" si="256"/>
        <v>1087.8644999999999</v>
      </c>
      <c r="L6282" s="4"/>
      <c r="M6282" s="241">
        <v>1041.5170000000001</v>
      </c>
    </row>
    <row r="6283" spans="3:13" hidden="1" outlineLevel="1" x14ac:dyDescent="0.2">
      <c r="C6283" s="139">
        <v>142.49999999999619</v>
      </c>
      <c r="D6283" s="28">
        <f t="shared" si="249"/>
        <v>1139.9999999999695</v>
      </c>
      <c r="E6283" s="28">
        <f t="shared" si="250"/>
        <v>1068.7499999999714</v>
      </c>
      <c r="F6283" s="28">
        <f t="shared" si="251"/>
        <v>1050.7499999999714</v>
      </c>
      <c r="G6283" s="28">
        <f t="shared" si="252"/>
        <v>978.88760000000002</v>
      </c>
      <c r="H6283" s="28">
        <f t="shared" si="253"/>
        <v>1021.1208</v>
      </c>
      <c r="I6283" s="28">
        <f t="shared" si="254"/>
        <v>1042.5259000000001</v>
      </c>
      <c r="J6283" s="28">
        <f t="shared" si="255"/>
        <v>1059.4695999999999</v>
      </c>
      <c r="K6283" s="28">
        <f t="shared" si="256"/>
        <v>1088.9192</v>
      </c>
      <c r="L6283" s="4"/>
      <c r="M6283" s="241">
        <v>1042.5259000000001</v>
      </c>
    </row>
    <row r="6284" spans="3:13" hidden="1" outlineLevel="1" x14ac:dyDescent="0.2">
      <c r="C6284" s="139">
        <v>142.59999999999619</v>
      </c>
      <c r="D6284" s="28">
        <f t="shared" si="249"/>
        <v>1140.7999999999695</v>
      </c>
      <c r="E6284" s="28">
        <f t="shared" si="250"/>
        <v>1069.4999999999714</v>
      </c>
      <c r="F6284" s="28">
        <f t="shared" si="251"/>
        <v>1051.4999999999714</v>
      </c>
      <c r="G6284" s="28">
        <f t="shared" si="252"/>
        <v>979.86789999999996</v>
      </c>
      <c r="H6284" s="28">
        <f t="shared" si="253"/>
        <v>1022.1094000000001</v>
      </c>
      <c r="I6284" s="28">
        <f t="shared" si="254"/>
        <v>1043.5508</v>
      </c>
      <c r="J6284" s="28">
        <f t="shared" si="255"/>
        <v>1060.4963</v>
      </c>
      <c r="K6284" s="28">
        <f t="shared" si="256"/>
        <v>1089.9739</v>
      </c>
      <c r="L6284" s="4"/>
      <c r="M6284" s="241">
        <v>1043.5508</v>
      </c>
    </row>
    <row r="6285" spans="3:13" hidden="1" outlineLevel="1" x14ac:dyDescent="0.2">
      <c r="C6285" s="139">
        <v>142.69999999999618</v>
      </c>
      <c r="D6285" s="28">
        <f t="shared" si="249"/>
        <v>1141.5999999999694</v>
      </c>
      <c r="E6285" s="28">
        <f t="shared" si="250"/>
        <v>1070.2499999999714</v>
      </c>
      <c r="F6285" s="28">
        <f t="shared" si="251"/>
        <v>1052.2499999999714</v>
      </c>
      <c r="G6285" s="28">
        <f t="shared" si="252"/>
        <v>980.83240000000001</v>
      </c>
      <c r="H6285" s="28">
        <f t="shared" si="253"/>
        <v>1023.114</v>
      </c>
      <c r="I6285" s="28">
        <f t="shared" si="254"/>
        <v>1044.5598</v>
      </c>
      <c r="J6285" s="28">
        <f t="shared" si="255"/>
        <v>1061.5229999999999</v>
      </c>
      <c r="K6285" s="28">
        <f t="shared" si="256"/>
        <v>1091.011</v>
      </c>
      <c r="L6285" s="4"/>
      <c r="M6285" s="241">
        <v>1044.5598</v>
      </c>
    </row>
    <row r="6286" spans="3:13" hidden="1" outlineLevel="1" x14ac:dyDescent="0.2">
      <c r="C6286" s="139">
        <v>142.79999999999617</v>
      </c>
      <c r="D6286" s="28">
        <f t="shared" si="249"/>
        <v>1142.3999999999694</v>
      </c>
      <c r="E6286" s="28">
        <f t="shared" si="250"/>
        <v>1070.9999999999714</v>
      </c>
      <c r="F6286" s="28">
        <f t="shared" si="251"/>
        <v>1052.9999999999714</v>
      </c>
      <c r="G6286" s="28">
        <f t="shared" si="252"/>
        <v>980.83240000000001</v>
      </c>
      <c r="H6286" s="28">
        <f t="shared" si="253"/>
        <v>1023.114</v>
      </c>
      <c r="I6286" s="28">
        <f t="shared" si="254"/>
        <v>1044.5598</v>
      </c>
      <c r="J6286" s="28">
        <f t="shared" si="255"/>
        <v>1061.5229999999999</v>
      </c>
      <c r="K6286" s="28">
        <f t="shared" si="256"/>
        <v>1091.011</v>
      </c>
      <c r="L6286" s="4"/>
      <c r="M6286" s="241">
        <v>1044.5598</v>
      </c>
    </row>
    <row r="6287" spans="3:13" hidden="1" outlineLevel="1" x14ac:dyDescent="0.2">
      <c r="C6287" s="139">
        <v>142.89999999999617</v>
      </c>
      <c r="D6287" s="28">
        <f t="shared" si="249"/>
        <v>1143.1999999999694</v>
      </c>
      <c r="E6287" s="28">
        <f t="shared" si="250"/>
        <v>1071.7499999999714</v>
      </c>
      <c r="F6287" s="28">
        <f t="shared" si="251"/>
        <v>1053.7499999999714</v>
      </c>
      <c r="G6287" s="28">
        <f t="shared" si="252"/>
        <v>981.81290000000001</v>
      </c>
      <c r="H6287" s="28">
        <f t="shared" si="253"/>
        <v>1024.1187</v>
      </c>
      <c r="I6287" s="28">
        <f t="shared" si="254"/>
        <v>1045.5688</v>
      </c>
      <c r="J6287" s="28">
        <f t="shared" si="255"/>
        <v>1062.5497</v>
      </c>
      <c r="K6287" s="28">
        <f t="shared" si="256"/>
        <v>1092.0657000000001</v>
      </c>
      <c r="L6287" s="4"/>
      <c r="M6287" s="241">
        <v>1045.5688</v>
      </c>
    </row>
    <row r="6288" spans="3:13" hidden="1" outlineLevel="1" x14ac:dyDescent="0.2">
      <c r="C6288" s="139">
        <v>142.99999999999616</v>
      </c>
      <c r="D6288" s="28">
        <f t="shared" si="249"/>
        <v>1143.9999999999693</v>
      </c>
      <c r="E6288" s="28">
        <f t="shared" si="250"/>
        <v>1072.4999999999711</v>
      </c>
      <c r="F6288" s="28">
        <f t="shared" si="251"/>
        <v>1054.4999999999711</v>
      </c>
      <c r="G6288" s="28">
        <f t="shared" si="252"/>
        <v>982.77750000000003</v>
      </c>
      <c r="H6288" s="28">
        <f t="shared" si="253"/>
        <v>1025.1072999999999</v>
      </c>
      <c r="I6288" s="28">
        <f t="shared" si="254"/>
        <v>1046.5939000000001</v>
      </c>
      <c r="J6288" s="28">
        <f t="shared" si="255"/>
        <v>1063.5764999999999</v>
      </c>
      <c r="K6288" s="28">
        <f t="shared" si="256"/>
        <v>1093.1205</v>
      </c>
      <c r="L6288" s="4"/>
      <c r="M6288" s="241">
        <v>1046.5939000000001</v>
      </c>
    </row>
    <row r="6289" spans="3:13" hidden="1" outlineLevel="1" x14ac:dyDescent="0.2">
      <c r="C6289" s="139">
        <v>143.09999999999616</v>
      </c>
      <c r="D6289" s="28">
        <f t="shared" si="249"/>
        <v>1144.7999999999693</v>
      </c>
      <c r="E6289" s="28">
        <f t="shared" si="250"/>
        <v>1073.2499999999711</v>
      </c>
      <c r="F6289" s="28">
        <f t="shared" si="251"/>
        <v>1055.2499999999711</v>
      </c>
      <c r="G6289" s="28">
        <f t="shared" si="252"/>
        <v>983.75819999999999</v>
      </c>
      <c r="H6289" s="28">
        <f t="shared" si="253"/>
        <v>1026.1121000000001</v>
      </c>
      <c r="I6289" s="28">
        <f t="shared" si="254"/>
        <v>1047.6030000000001</v>
      </c>
      <c r="J6289" s="28">
        <f t="shared" si="255"/>
        <v>1064.6033</v>
      </c>
      <c r="K6289" s="28">
        <f t="shared" si="256"/>
        <v>1094.1753000000001</v>
      </c>
      <c r="L6289" s="4"/>
      <c r="M6289" s="241">
        <v>1047.6030000000001</v>
      </c>
    </row>
    <row r="6290" spans="3:13" hidden="1" outlineLevel="1" x14ac:dyDescent="0.2">
      <c r="C6290" s="139">
        <v>143.19999999999615</v>
      </c>
      <c r="D6290" s="28">
        <f t="shared" si="249"/>
        <v>1145.5999999999692</v>
      </c>
      <c r="E6290" s="28">
        <f t="shared" si="250"/>
        <v>1073.9999999999711</v>
      </c>
      <c r="F6290" s="28">
        <f t="shared" si="251"/>
        <v>1055.9999999999711</v>
      </c>
      <c r="G6290" s="28">
        <f t="shared" si="252"/>
        <v>983.75819999999999</v>
      </c>
      <c r="H6290" s="28">
        <f t="shared" si="253"/>
        <v>1026.1121000000001</v>
      </c>
      <c r="I6290" s="28">
        <f t="shared" si="254"/>
        <v>1047.6030000000001</v>
      </c>
      <c r="J6290" s="28">
        <f t="shared" si="255"/>
        <v>1064.6033</v>
      </c>
      <c r="K6290" s="28">
        <f t="shared" si="256"/>
        <v>1094.1753000000001</v>
      </c>
      <c r="L6290" s="4"/>
      <c r="M6290" s="241">
        <v>1047.6030000000001</v>
      </c>
    </row>
    <row r="6291" spans="3:13" hidden="1" outlineLevel="1" x14ac:dyDescent="0.2">
      <c r="C6291" s="139">
        <v>143.29999999999615</v>
      </c>
      <c r="D6291" s="28">
        <f t="shared" si="249"/>
        <v>1146.3999999999692</v>
      </c>
      <c r="E6291" s="28">
        <f t="shared" si="250"/>
        <v>1074.7499999999711</v>
      </c>
      <c r="F6291" s="28">
        <f t="shared" si="251"/>
        <v>1056.7499999999711</v>
      </c>
      <c r="G6291" s="28">
        <f t="shared" si="252"/>
        <v>984.72289999999998</v>
      </c>
      <c r="H6291" s="28">
        <f t="shared" si="253"/>
        <v>1027.1007999999999</v>
      </c>
      <c r="I6291" s="28">
        <f t="shared" si="254"/>
        <v>1048.6121000000001</v>
      </c>
      <c r="J6291" s="28">
        <f t="shared" si="255"/>
        <v>1065.6301000000001</v>
      </c>
      <c r="K6291" s="28">
        <f t="shared" si="256"/>
        <v>1095.2125000000001</v>
      </c>
      <c r="L6291" s="4"/>
      <c r="M6291" s="241">
        <v>1048.6121000000001</v>
      </c>
    </row>
    <row r="6292" spans="3:13" hidden="1" outlineLevel="1" x14ac:dyDescent="0.2">
      <c r="C6292" s="139">
        <v>143.39999999999614</v>
      </c>
      <c r="D6292" s="28">
        <f t="shared" si="249"/>
        <v>1147.1999999999691</v>
      </c>
      <c r="E6292" s="28">
        <f t="shared" si="250"/>
        <v>1075.4999999999711</v>
      </c>
      <c r="F6292" s="28">
        <f t="shared" si="251"/>
        <v>1057.4999999999711</v>
      </c>
      <c r="G6292" s="28">
        <f t="shared" si="252"/>
        <v>985.7038</v>
      </c>
      <c r="H6292" s="28">
        <f t="shared" si="253"/>
        <v>1028.1057000000001</v>
      </c>
      <c r="I6292" s="28">
        <f t="shared" si="254"/>
        <v>1049.6212</v>
      </c>
      <c r="J6292" s="28">
        <f t="shared" si="255"/>
        <v>1066.6569999999999</v>
      </c>
      <c r="K6292" s="28">
        <f t="shared" si="256"/>
        <v>1096.2674</v>
      </c>
      <c r="L6292" s="4"/>
      <c r="M6292" s="241">
        <v>1049.6212</v>
      </c>
    </row>
    <row r="6293" spans="3:13" hidden="1" outlineLevel="1" x14ac:dyDescent="0.2">
      <c r="C6293" s="139">
        <v>143.49999999999613</v>
      </c>
      <c r="D6293" s="28">
        <f t="shared" si="249"/>
        <v>1147.9999999999691</v>
      </c>
      <c r="E6293" s="28">
        <f t="shared" si="250"/>
        <v>1076.2499999999709</v>
      </c>
      <c r="F6293" s="28">
        <f t="shared" si="251"/>
        <v>1058.2499999999709</v>
      </c>
      <c r="G6293" s="28">
        <f t="shared" si="252"/>
        <v>986.66859999999997</v>
      </c>
      <c r="H6293" s="28">
        <f t="shared" si="253"/>
        <v>1029.1107</v>
      </c>
      <c r="I6293" s="28">
        <f t="shared" si="254"/>
        <v>1050.6465000000001</v>
      </c>
      <c r="J6293" s="28">
        <f t="shared" si="255"/>
        <v>1067.6839</v>
      </c>
      <c r="K6293" s="28">
        <f t="shared" si="256"/>
        <v>1097.3223</v>
      </c>
      <c r="L6293" s="4"/>
      <c r="M6293" s="241">
        <v>1050.6465000000001</v>
      </c>
    </row>
    <row r="6294" spans="3:13" hidden="1" outlineLevel="1" x14ac:dyDescent="0.2">
      <c r="C6294" s="139">
        <v>143.59999999999613</v>
      </c>
      <c r="D6294" s="28">
        <f t="shared" si="249"/>
        <v>1148.799999999969</v>
      </c>
      <c r="E6294" s="28">
        <f t="shared" si="250"/>
        <v>1076.9999999999709</v>
      </c>
      <c r="F6294" s="28">
        <f t="shared" si="251"/>
        <v>1058.9999999999709</v>
      </c>
      <c r="G6294" s="28">
        <f t="shared" si="252"/>
        <v>986.66859999999997</v>
      </c>
      <c r="H6294" s="28">
        <f t="shared" si="253"/>
        <v>1029.1107</v>
      </c>
      <c r="I6294" s="28">
        <f t="shared" si="254"/>
        <v>1050.6465000000001</v>
      </c>
      <c r="J6294" s="28">
        <f t="shared" si="255"/>
        <v>1067.6839</v>
      </c>
      <c r="K6294" s="28">
        <f t="shared" si="256"/>
        <v>1097.3223</v>
      </c>
      <c r="L6294" s="4"/>
      <c r="M6294" s="241">
        <v>1050.6465000000001</v>
      </c>
    </row>
    <row r="6295" spans="3:13" hidden="1" outlineLevel="1" x14ac:dyDescent="0.2">
      <c r="C6295" s="139">
        <v>143.69999999999612</v>
      </c>
      <c r="D6295" s="28">
        <f t="shared" si="249"/>
        <v>1149.599999999969</v>
      </c>
      <c r="E6295" s="28">
        <f t="shared" si="250"/>
        <v>1077.7499999999709</v>
      </c>
      <c r="F6295" s="28">
        <f t="shared" si="251"/>
        <v>1059.7499999999709</v>
      </c>
      <c r="G6295" s="28">
        <f t="shared" si="252"/>
        <v>987.63350000000003</v>
      </c>
      <c r="H6295" s="28">
        <f t="shared" si="253"/>
        <v>1030.0995</v>
      </c>
      <c r="I6295" s="28">
        <f t="shared" si="254"/>
        <v>1051.6557</v>
      </c>
      <c r="J6295" s="28">
        <f t="shared" si="255"/>
        <v>1068.7108000000001</v>
      </c>
      <c r="K6295" s="28">
        <f t="shared" si="256"/>
        <v>1098.3771999999999</v>
      </c>
      <c r="L6295" s="4"/>
      <c r="M6295" s="241">
        <v>1051.6557</v>
      </c>
    </row>
    <row r="6296" spans="3:13" hidden="1" outlineLevel="1" x14ac:dyDescent="0.2">
      <c r="C6296" s="139">
        <v>143.79999999999612</v>
      </c>
      <c r="D6296" s="28">
        <f t="shared" si="249"/>
        <v>1150.3999999999689</v>
      </c>
      <c r="E6296" s="28">
        <f t="shared" si="250"/>
        <v>1078.4999999999709</v>
      </c>
      <c r="F6296" s="28">
        <f t="shared" si="251"/>
        <v>1060.4999999999709</v>
      </c>
      <c r="G6296" s="28">
        <f t="shared" si="252"/>
        <v>988.61469999999997</v>
      </c>
      <c r="H6296" s="28">
        <f t="shared" si="253"/>
        <v>1031.1045999999999</v>
      </c>
      <c r="I6296" s="28">
        <f t="shared" si="254"/>
        <v>1052.6649</v>
      </c>
      <c r="J6296" s="28">
        <f t="shared" si="255"/>
        <v>1069.7376999999999</v>
      </c>
      <c r="K6296" s="28">
        <f t="shared" si="256"/>
        <v>1099.4143999999999</v>
      </c>
      <c r="L6296" s="4"/>
      <c r="M6296" s="241">
        <v>1052.6649</v>
      </c>
    </row>
    <row r="6297" spans="3:13" hidden="1" outlineLevel="1" x14ac:dyDescent="0.2">
      <c r="C6297" s="139">
        <v>143.89999999999611</v>
      </c>
      <c r="D6297" s="28">
        <f t="shared" si="249"/>
        <v>1151.1999999999689</v>
      </c>
      <c r="E6297" s="28">
        <f t="shared" si="250"/>
        <v>1079.2499999999709</v>
      </c>
      <c r="F6297" s="28">
        <f t="shared" si="251"/>
        <v>1061.2499999999709</v>
      </c>
      <c r="G6297" s="28">
        <f t="shared" si="252"/>
        <v>989.5797</v>
      </c>
      <c r="H6297" s="28">
        <f t="shared" si="253"/>
        <v>1032.0934999999999</v>
      </c>
      <c r="I6297" s="28">
        <f t="shared" si="254"/>
        <v>1053.6904</v>
      </c>
      <c r="J6297" s="28">
        <f t="shared" si="255"/>
        <v>1070.7646999999999</v>
      </c>
      <c r="K6297" s="28">
        <f t="shared" si="256"/>
        <v>1100.4694</v>
      </c>
      <c r="L6297" s="4"/>
      <c r="M6297" s="241">
        <v>1053.6904</v>
      </c>
    </row>
    <row r="6298" spans="3:13" hidden="1" outlineLevel="1" x14ac:dyDescent="0.2">
      <c r="C6298" s="139">
        <v>143.99999999999611</v>
      </c>
      <c r="D6298" s="28">
        <f t="shared" si="249"/>
        <v>1151.9999999999688</v>
      </c>
      <c r="E6298" s="28">
        <f t="shared" si="250"/>
        <v>1079.9999999999709</v>
      </c>
      <c r="F6298" s="28">
        <f t="shared" si="251"/>
        <v>1061.9999999999709</v>
      </c>
      <c r="G6298" s="28">
        <f t="shared" si="252"/>
        <v>989.5797</v>
      </c>
      <c r="H6298" s="28">
        <f t="shared" si="253"/>
        <v>1032.0934999999999</v>
      </c>
      <c r="I6298" s="28">
        <f t="shared" si="254"/>
        <v>1053.6904</v>
      </c>
      <c r="J6298" s="28">
        <f t="shared" si="255"/>
        <v>1070.7646999999999</v>
      </c>
      <c r="K6298" s="28">
        <f t="shared" si="256"/>
        <v>1100.4694</v>
      </c>
      <c r="L6298" s="4"/>
      <c r="M6298" s="241">
        <v>1053.6904</v>
      </c>
    </row>
    <row r="6299" spans="3:13" hidden="1" outlineLevel="1" x14ac:dyDescent="0.2">
      <c r="C6299" s="139">
        <v>144.0999999999961</v>
      </c>
      <c r="D6299" s="28">
        <f t="shared" si="249"/>
        <v>1152.7999999999688</v>
      </c>
      <c r="E6299" s="28">
        <f t="shared" si="250"/>
        <v>1080.7499999999707</v>
      </c>
      <c r="F6299" s="28">
        <f t="shared" si="251"/>
        <v>1062.7499999999707</v>
      </c>
      <c r="G6299" s="28">
        <f t="shared" si="252"/>
        <v>990.56100000000004</v>
      </c>
      <c r="H6299" s="28">
        <f t="shared" si="253"/>
        <v>1033.0987</v>
      </c>
      <c r="I6299" s="28">
        <f t="shared" si="254"/>
        <v>1054.6996999999999</v>
      </c>
      <c r="J6299" s="28">
        <f t="shared" si="255"/>
        <v>1071.7918</v>
      </c>
      <c r="K6299" s="28">
        <f t="shared" si="256"/>
        <v>1101.5244</v>
      </c>
      <c r="L6299" s="4"/>
      <c r="M6299" s="241">
        <v>1054.6996999999999</v>
      </c>
    </row>
    <row r="6300" spans="3:13" hidden="1" outlineLevel="1" x14ac:dyDescent="0.2">
      <c r="C6300" s="139">
        <v>144.19999999999609</v>
      </c>
      <c r="D6300" s="28">
        <f t="shared" si="249"/>
        <v>1153.5999999999688</v>
      </c>
      <c r="E6300" s="28">
        <f t="shared" si="250"/>
        <v>1081.4999999999707</v>
      </c>
      <c r="F6300" s="28">
        <f t="shared" si="251"/>
        <v>1063.4999999999707</v>
      </c>
      <c r="G6300" s="28">
        <f t="shared" si="252"/>
        <v>991.52620000000002</v>
      </c>
      <c r="H6300" s="28">
        <f t="shared" si="253"/>
        <v>1034.1039000000001</v>
      </c>
      <c r="I6300" s="28">
        <f t="shared" si="254"/>
        <v>1055.7091</v>
      </c>
      <c r="J6300" s="28">
        <f t="shared" si="255"/>
        <v>1072.8188</v>
      </c>
      <c r="K6300" s="28">
        <f t="shared" si="256"/>
        <v>1102.5795000000001</v>
      </c>
      <c r="L6300" s="4"/>
      <c r="M6300" s="241">
        <v>1055.7091</v>
      </c>
    </row>
    <row r="6301" spans="3:13" hidden="1" outlineLevel="1" x14ac:dyDescent="0.2">
      <c r="C6301" s="139">
        <v>144.29999999999609</v>
      </c>
      <c r="D6301" s="28">
        <f t="shared" si="249"/>
        <v>1154.3999999999687</v>
      </c>
      <c r="E6301" s="28">
        <f t="shared" si="250"/>
        <v>1082.2499999999707</v>
      </c>
      <c r="F6301" s="28">
        <f t="shared" si="251"/>
        <v>1064.2499999999707</v>
      </c>
      <c r="G6301" s="28">
        <f t="shared" si="252"/>
        <v>992.50760000000002</v>
      </c>
      <c r="H6301" s="28">
        <f t="shared" si="253"/>
        <v>1035.0930000000001</v>
      </c>
      <c r="I6301" s="28">
        <f t="shared" si="254"/>
        <v>1056.7184</v>
      </c>
      <c r="J6301" s="28">
        <f t="shared" si="255"/>
        <v>1073.8459</v>
      </c>
      <c r="K6301" s="28">
        <f t="shared" si="256"/>
        <v>1103.6346000000001</v>
      </c>
      <c r="L6301" s="4"/>
      <c r="M6301" s="241">
        <v>1056.7184</v>
      </c>
    </row>
    <row r="6302" spans="3:13" hidden="1" outlineLevel="1" x14ac:dyDescent="0.2">
      <c r="C6302" s="139">
        <v>144.39999999999608</v>
      </c>
      <c r="D6302" s="28">
        <f t="shared" si="249"/>
        <v>1155.1999999999687</v>
      </c>
      <c r="E6302" s="28">
        <f t="shared" si="250"/>
        <v>1082.9999999999707</v>
      </c>
      <c r="F6302" s="28">
        <f t="shared" si="251"/>
        <v>1064.9999999999707</v>
      </c>
      <c r="G6302" s="28">
        <f t="shared" si="252"/>
        <v>992.50760000000002</v>
      </c>
      <c r="H6302" s="28">
        <f t="shared" si="253"/>
        <v>1035.0930000000001</v>
      </c>
      <c r="I6302" s="28">
        <f t="shared" si="254"/>
        <v>1056.7184</v>
      </c>
      <c r="J6302" s="28">
        <f t="shared" si="255"/>
        <v>1073.8459</v>
      </c>
      <c r="K6302" s="28">
        <f t="shared" si="256"/>
        <v>1103.6346000000001</v>
      </c>
      <c r="L6302" s="4"/>
      <c r="M6302" s="241">
        <v>1056.7184</v>
      </c>
    </row>
    <row r="6303" spans="3:13" hidden="1" outlineLevel="1" x14ac:dyDescent="0.2">
      <c r="C6303" s="139">
        <v>144.49999999999608</v>
      </c>
      <c r="D6303" s="28">
        <f t="shared" si="249"/>
        <v>1155.9999999999686</v>
      </c>
      <c r="E6303" s="28">
        <f t="shared" si="250"/>
        <v>1083.7499999999707</v>
      </c>
      <c r="F6303" s="28">
        <f t="shared" si="251"/>
        <v>1065.7499999999707</v>
      </c>
      <c r="G6303" s="28">
        <f t="shared" si="252"/>
        <v>993.47289999999998</v>
      </c>
      <c r="H6303" s="28">
        <f t="shared" si="253"/>
        <v>1036.0983000000001</v>
      </c>
      <c r="I6303" s="28">
        <f t="shared" si="254"/>
        <v>1057.7440999999999</v>
      </c>
      <c r="J6303" s="28">
        <f t="shared" si="255"/>
        <v>1074.8731</v>
      </c>
      <c r="K6303" s="28">
        <f t="shared" si="256"/>
        <v>1104.6718000000001</v>
      </c>
      <c r="L6303" s="4"/>
      <c r="M6303" s="241">
        <v>1057.7440999999999</v>
      </c>
    </row>
    <row r="6304" spans="3:13" hidden="1" outlineLevel="1" x14ac:dyDescent="0.2">
      <c r="C6304" s="139">
        <v>144.59999999999607</v>
      </c>
      <c r="D6304" s="28">
        <f t="shared" si="249"/>
        <v>1156.7999999999686</v>
      </c>
      <c r="E6304" s="28">
        <f t="shared" si="250"/>
        <v>1084.4999999999704</v>
      </c>
      <c r="F6304" s="28">
        <f t="shared" si="251"/>
        <v>1066.4999999999704</v>
      </c>
      <c r="G6304" s="28">
        <f t="shared" si="252"/>
        <v>994.43830000000003</v>
      </c>
      <c r="H6304" s="28">
        <f t="shared" si="253"/>
        <v>1037.0873999999999</v>
      </c>
      <c r="I6304" s="28">
        <f t="shared" si="254"/>
        <v>1058.7536</v>
      </c>
      <c r="J6304" s="28">
        <f t="shared" si="255"/>
        <v>1075.9002</v>
      </c>
      <c r="K6304" s="28">
        <f t="shared" si="256"/>
        <v>1105.7268999999999</v>
      </c>
      <c r="L6304" s="4"/>
      <c r="M6304" s="241">
        <v>1058.7536</v>
      </c>
    </row>
    <row r="6305" spans="3:13" hidden="1" outlineLevel="1" x14ac:dyDescent="0.2">
      <c r="C6305" s="139">
        <v>144.69999999999607</v>
      </c>
      <c r="D6305" s="28">
        <f t="shared" si="249"/>
        <v>1157.5999999999685</v>
      </c>
      <c r="E6305" s="28">
        <f t="shared" si="250"/>
        <v>1085.2499999999704</v>
      </c>
      <c r="F6305" s="28">
        <f t="shared" si="251"/>
        <v>1067.2499999999704</v>
      </c>
      <c r="G6305" s="28">
        <f t="shared" si="252"/>
        <v>995.42</v>
      </c>
      <c r="H6305" s="28">
        <f t="shared" si="253"/>
        <v>1038.0929000000001</v>
      </c>
      <c r="I6305" s="28">
        <f t="shared" si="254"/>
        <v>1059.7629999999999</v>
      </c>
      <c r="J6305" s="28">
        <f t="shared" si="255"/>
        <v>1076.9095</v>
      </c>
      <c r="K6305" s="28">
        <f t="shared" si="256"/>
        <v>1106.7820999999999</v>
      </c>
      <c r="L6305" s="4"/>
      <c r="M6305" s="241">
        <v>1059.7629999999999</v>
      </c>
    </row>
    <row r="6306" spans="3:13" hidden="1" outlineLevel="1" x14ac:dyDescent="0.2">
      <c r="C6306" s="139">
        <v>144.79999999999606</v>
      </c>
      <c r="D6306" s="28">
        <f t="shared" si="249"/>
        <v>1158.3999999999685</v>
      </c>
      <c r="E6306" s="28">
        <f t="shared" si="250"/>
        <v>1085.9999999999704</v>
      </c>
      <c r="F6306" s="28">
        <f t="shared" si="251"/>
        <v>1067.9999999999704</v>
      </c>
      <c r="G6306" s="28">
        <f t="shared" si="252"/>
        <v>995.42</v>
      </c>
      <c r="H6306" s="28">
        <f t="shared" si="253"/>
        <v>1038.0929000000001</v>
      </c>
      <c r="I6306" s="28">
        <f t="shared" si="254"/>
        <v>1059.7629999999999</v>
      </c>
      <c r="J6306" s="28">
        <f t="shared" si="255"/>
        <v>1076.9095</v>
      </c>
      <c r="K6306" s="28">
        <f t="shared" si="256"/>
        <v>1106.7820999999999</v>
      </c>
      <c r="L6306" s="4"/>
      <c r="M6306" s="241">
        <v>1059.7629999999999</v>
      </c>
    </row>
    <row r="6307" spans="3:13" hidden="1" outlineLevel="1" x14ac:dyDescent="0.2">
      <c r="C6307" s="139">
        <v>144.89999999999606</v>
      </c>
      <c r="D6307" s="28">
        <f t="shared" si="249"/>
        <v>1159.1999999999684</v>
      </c>
      <c r="E6307" s="28">
        <f t="shared" si="250"/>
        <v>1086.7499999999704</v>
      </c>
      <c r="F6307" s="28">
        <f t="shared" si="251"/>
        <v>1068.7499999999704</v>
      </c>
      <c r="G6307" s="28">
        <f t="shared" si="252"/>
        <v>996.38549999999998</v>
      </c>
      <c r="H6307" s="28">
        <f t="shared" si="253"/>
        <v>1039.0821000000001</v>
      </c>
      <c r="I6307" s="28">
        <f t="shared" si="254"/>
        <v>1060.7726</v>
      </c>
      <c r="J6307" s="28">
        <f t="shared" si="255"/>
        <v>1077.9367</v>
      </c>
      <c r="K6307" s="28">
        <f t="shared" si="256"/>
        <v>1107.8194000000001</v>
      </c>
      <c r="L6307" s="4"/>
      <c r="M6307" s="241">
        <v>1060.7726</v>
      </c>
    </row>
    <row r="6308" spans="3:13" hidden="1" outlineLevel="1" x14ac:dyDescent="0.2">
      <c r="C6308" s="139">
        <v>144.99999999999605</v>
      </c>
      <c r="D6308" s="28">
        <f t="shared" si="249"/>
        <v>1159.9999999999684</v>
      </c>
      <c r="E6308" s="28">
        <f t="shared" si="250"/>
        <v>1087.4999999999704</v>
      </c>
      <c r="F6308" s="28">
        <f t="shared" si="251"/>
        <v>1069.4999999999704</v>
      </c>
      <c r="G6308" s="28">
        <f t="shared" si="252"/>
        <v>997.36739999999998</v>
      </c>
      <c r="H6308" s="28">
        <f t="shared" si="253"/>
        <v>1040.0876000000001</v>
      </c>
      <c r="I6308" s="28">
        <f t="shared" si="254"/>
        <v>1061.7983999999999</v>
      </c>
      <c r="J6308" s="28">
        <f t="shared" si="255"/>
        <v>1078.9639999999999</v>
      </c>
      <c r="K6308" s="28">
        <f t="shared" si="256"/>
        <v>1108.8746000000001</v>
      </c>
      <c r="L6308" s="4"/>
      <c r="M6308" s="241">
        <v>1061.7983999999999</v>
      </c>
    </row>
    <row r="6309" spans="3:13" hidden="1" outlineLevel="1" x14ac:dyDescent="0.2">
      <c r="C6309" s="139">
        <v>145.09999999999604</v>
      </c>
      <c r="D6309" s="28">
        <f t="shared" si="249"/>
        <v>1160.7999999999683</v>
      </c>
      <c r="E6309" s="28">
        <f t="shared" si="250"/>
        <v>1088.2499999999704</v>
      </c>
      <c r="F6309" s="28">
        <f t="shared" si="251"/>
        <v>1070.2499999999704</v>
      </c>
      <c r="G6309" s="28">
        <f t="shared" si="252"/>
        <v>998.33309999999994</v>
      </c>
      <c r="H6309" s="28">
        <f t="shared" si="253"/>
        <v>1041.0932</v>
      </c>
      <c r="I6309" s="28">
        <f t="shared" si="254"/>
        <v>1062.808</v>
      </c>
      <c r="J6309" s="28">
        <f t="shared" si="255"/>
        <v>1079.9911999999999</v>
      </c>
      <c r="K6309" s="28">
        <f t="shared" si="256"/>
        <v>1109.9299000000001</v>
      </c>
      <c r="L6309" s="4"/>
      <c r="M6309" s="241">
        <v>1062.808</v>
      </c>
    </row>
    <row r="6310" spans="3:13" hidden="1" outlineLevel="1" x14ac:dyDescent="0.2">
      <c r="C6310" s="139">
        <v>145.19999999999604</v>
      </c>
      <c r="D6310" s="28">
        <f t="shared" si="249"/>
        <v>1161.5999999999683</v>
      </c>
      <c r="E6310" s="28">
        <f t="shared" si="250"/>
        <v>1088.9999999999702</v>
      </c>
      <c r="F6310" s="28">
        <f t="shared" si="251"/>
        <v>1070.9999999999702</v>
      </c>
      <c r="G6310" s="28">
        <f t="shared" si="252"/>
        <v>998.33309999999994</v>
      </c>
      <c r="H6310" s="28">
        <f t="shared" si="253"/>
        <v>1041.0932</v>
      </c>
      <c r="I6310" s="28">
        <f t="shared" si="254"/>
        <v>1062.808</v>
      </c>
      <c r="J6310" s="28">
        <f t="shared" si="255"/>
        <v>1079.9911999999999</v>
      </c>
      <c r="K6310" s="28">
        <f t="shared" si="256"/>
        <v>1109.9299000000001</v>
      </c>
      <c r="L6310" s="4"/>
      <c r="M6310" s="241">
        <v>1062.808</v>
      </c>
    </row>
    <row r="6311" spans="3:13" hidden="1" outlineLevel="1" x14ac:dyDescent="0.2">
      <c r="C6311" s="139">
        <v>145.29999999999603</v>
      </c>
      <c r="D6311" s="28">
        <f t="shared" si="249"/>
        <v>1162.3999999999683</v>
      </c>
      <c r="E6311" s="28">
        <f t="shared" si="250"/>
        <v>1089.7499999999702</v>
      </c>
      <c r="F6311" s="28">
        <f t="shared" si="251"/>
        <v>1071.7499999999702</v>
      </c>
      <c r="G6311" s="28">
        <f t="shared" si="252"/>
        <v>999.29880000000003</v>
      </c>
      <c r="H6311" s="28">
        <f t="shared" si="253"/>
        <v>1042.0825</v>
      </c>
      <c r="I6311" s="28">
        <f t="shared" si="254"/>
        <v>1063.8176000000001</v>
      </c>
      <c r="J6311" s="28">
        <f t="shared" si="255"/>
        <v>1081.0186000000001</v>
      </c>
      <c r="K6311" s="28">
        <f t="shared" si="256"/>
        <v>1110.9852000000001</v>
      </c>
      <c r="L6311" s="4"/>
      <c r="M6311" s="241">
        <v>1063.8176000000001</v>
      </c>
    </row>
    <row r="6312" spans="3:13" hidden="1" outlineLevel="1" x14ac:dyDescent="0.2">
      <c r="C6312" s="139">
        <v>145.39999999999603</v>
      </c>
      <c r="D6312" s="28">
        <f t="shared" si="249"/>
        <v>1163.1999999999682</v>
      </c>
      <c r="E6312" s="28">
        <f t="shared" si="250"/>
        <v>1090.4999999999702</v>
      </c>
      <c r="F6312" s="28">
        <f t="shared" si="251"/>
        <v>1072.4999999999702</v>
      </c>
      <c r="G6312" s="28">
        <f t="shared" si="252"/>
        <v>1000.2809</v>
      </c>
      <c r="H6312" s="28">
        <f t="shared" si="253"/>
        <v>1043.0882999999999</v>
      </c>
      <c r="I6312" s="28">
        <f t="shared" si="254"/>
        <v>1064.8435999999999</v>
      </c>
      <c r="J6312" s="28">
        <f t="shared" si="255"/>
        <v>1082.0459000000001</v>
      </c>
      <c r="K6312" s="28">
        <f t="shared" si="256"/>
        <v>1112.0225</v>
      </c>
      <c r="L6312" s="4"/>
      <c r="M6312" s="241">
        <v>1064.8435999999999</v>
      </c>
    </row>
    <row r="6313" spans="3:13" hidden="1" outlineLevel="1" x14ac:dyDescent="0.2">
      <c r="C6313" s="139">
        <v>145.49999999999602</v>
      </c>
      <c r="D6313" s="28">
        <f t="shared" si="249"/>
        <v>1163.9999999999682</v>
      </c>
      <c r="E6313" s="28">
        <f t="shared" si="250"/>
        <v>1091.2499999999702</v>
      </c>
      <c r="F6313" s="28">
        <f t="shared" si="251"/>
        <v>1073.2499999999702</v>
      </c>
      <c r="G6313" s="28">
        <f t="shared" si="252"/>
        <v>1001.2467</v>
      </c>
      <c r="H6313" s="28">
        <f t="shared" si="253"/>
        <v>1044.0777</v>
      </c>
      <c r="I6313" s="28">
        <f t="shared" si="254"/>
        <v>1065.8533</v>
      </c>
      <c r="J6313" s="28">
        <f t="shared" si="255"/>
        <v>1083.0733</v>
      </c>
      <c r="K6313" s="28">
        <f t="shared" si="256"/>
        <v>1113.0779</v>
      </c>
      <c r="L6313" s="4"/>
      <c r="M6313" s="241">
        <v>1065.8533</v>
      </c>
    </row>
    <row r="6314" spans="3:13" hidden="1" outlineLevel="1" x14ac:dyDescent="0.2">
      <c r="C6314" s="139">
        <v>145.59999999999602</v>
      </c>
      <c r="D6314" s="28">
        <f t="shared" si="249"/>
        <v>1164.7999999999681</v>
      </c>
      <c r="E6314" s="28">
        <f t="shared" si="250"/>
        <v>1091.9999999999702</v>
      </c>
      <c r="F6314" s="28">
        <f t="shared" si="251"/>
        <v>1073.9999999999702</v>
      </c>
      <c r="G6314" s="28">
        <f t="shared" si="252"/>
        <v>1001.2467</v>
      </c>
      <c r="H6314" s="28">
        <f t="shared" si="253"/>
        <v>1044.0777</v>
      </c>
      <c r="I6314" s="28">
        <f t="shared" si="254"/>
        <v>1065.8533</v>
      </c>
      <c r="J6314" s="28">
        <f t="shared" si="255"/>
        <v>1083.0733</v>
      </c>
      <c r="K6314" s="28">
        <f t="shared" si="256"/>
        <v>1113.0779</v>
      </c>
      <c r="L6314" s="4"/>
      <c r="M6314" s="241">
        <v>1065.8533</v>
      </c>
    </row>
    <row r="6315" spans="3:13" hidden="1" outlineLevel="1" x14ac:dyDescent="0.2">
      <c r="C6315" s="139">
        <v>145.69999999999601</v>
      </c>
      <c r="D6315" s="28">
        <f t="shared" si="249"/>
        <v>1165.5999999999681</v>
      </c>
      <c r="E6315" s="28">
        <f t="shared" si="250"/>
        <v>1092.74999999997</v>
      </c>
      <c r="F6315" s="28">
        <f t="shared" si="251"/>
        <v>1074.74999999997</v>
      </c>
      <c r="G6315" s="28">
        <f t="shared" si="252"/>
        <v>1002.229</v>
      </c>
      <c r="H6315" s="28">
        <f t="shared" si="253"/>
        <v>1045.0835</v>
      </c>
      <c r="I6315" s="28">
        <f t="shared" si="254"/>
        <v>1066.8631</v>
      </c>
      <c r="J6315" s="28">
        <f t="shared" si="255"/>
        <v>1084.1007</v>
      </c>
      <c r="K6315" s="28">
        <f t="shared" si="256"/>
        <v>1114.1332</v>
      </c>
      <c r="L6315" s="4"/>
      <c r="M6315" s="241">
        <v>1066.8631</v>
      </c>
    </row>
    <row r="6316" spans="3:13" hidden="1" outlineLevel="1" x14ac:dyDescent="0.2">
      <c r="C6316" s="139">
        <v>145.799999999996</v>
      </c>
      <c r="D6316" s="28">
        <f t="shared" si="249"/>
        <v>1166.399999999968</v>
      </c>
      <c r="E6316" s="28">
        <f t="shared" si="250"/>
        <v>1093.49999999997</v>
      </c>
      <c r="F6316" s="28">
        <f t="shared" si="251"/>
        <v>1075.49999999997</v>
      </c>
      <c r="G6316" s="28">
        <f t="shared" si="252"/>
        <v>1003.1950000000001</v>
      </c>
      <c r="H6316" s="28">
        <f t="shared" si="253"/>
        <v>1046.0730000000001</v>
      </c>
      <c r="I6316" s="28">
        <f t="shared" si="254"/>
        <v>1067.8728000000001</v>
      </c>
      <c r="J6316" s="28">
        <f t="shared" si="255"/>
        <v>1085.1282000000001</v>
      </c>
      <c r="K6316" s="28">
        <f t="shared" si="256"/>
        <v>1115.1886999999999</v>
      </c>
      <c r="L6316" s="4"/>
      <c r="M6316" s="241">
        <v>1067.8728000000001</v>
      </c>
    </row>
    <row r="6317" spans="3:13" hidden="1" outlineLevel="1" x14ac:dyDescent="0.2">
      <c r="C6317" s="139">
        <v>145.899999999996</v>
      </c>
      <c r="D6317" s="28">
        <f t="shared" si="249"/>
        <v>1167.199999999968</v>
      </c>
      <c r="E6317" s="28">
        <f t="shared" si="250"/>
        <v>1094.24999999997</v>
      </c>
      <c r="F6317" s="28">
        <f t="shared" si="251"/>
        <v>1076.24999999997</v>
      </c>
      <c r="G6317" s="28">
        <f t="shared" si="252"/>
        <v>1004.1609999999999</v>
      </c>
      <c r="H6317" s="28">
        <f t="shared" si="253"/>
        <v>1047.0789</v>
      </c>
      <c r="I6317" s="28">
        <f t="shared" si="254"/>
        <v>1068.8989999999999</v>
      </c>
      <c r="J6317" s="28">
        <f t="shared" si="255"/>
        <v>1086.1556</v>
      </c>
      <c r="K6317" s="28">
        <f t="shared" si="256"/>
        <v>1116.2260000000001</v>
      </c>
      <c r="L6317" s="4"/>
      <c r="M6317" s="241">
        <v>1068.8989999999999</v>
      </c>
    </row>
    <row r="6318" spans="3:13" hidden="1" outlineLevel="1" x14ac:dyDescent="0.2">
      <c r="C6318" s="139">
        <v>145.99999999999599</v>
      </c>
      <c r="D6318" s="28">
        <f t="shared" si="249"/>
        <v>1167.9999999999679</v>
      </c>
      <c r="E6318" s="28">
        <f t="shared" si="250"/>
        <v>1094.99999999997</v>
      </c>
      <c r="F6318" s="28">
        <f t="shared" si="251"/>
        <v>1076.99999999997</v>
      </c>
      <c r="G6318" s="28">
        <f t="shared" si="252"/>
        <v>1004.1609999999999</v>
      </c>
      <c r="H6318" s="28">
        <f t="shared" si="253"/>
        <v>1047.0789</v>
      </c>
      <c r="I6318" s="28">
        <f t="shared" si="254"/>
        <v>1068.8989999999999</v>
      </c>
      <c r="J6318" s="28">
        <f t="shared" si="255"/>
        <v>1086.1556</v>
      </c>
      <c r="K6318" s="28">
        <f t="shared" si="256"/>
        <v>1116.2260000000001</v>
      </c>
      <c r="L6318" s="4"/>
      <c r="M6318" s="241">
        <v>1068.8989999999999</v>
      </c>
    </row>
    <row r="6319" spans="3:13" hidden="1" outlineLevel="1" x14ac:dyDescent="0.2">
      <c r="C6319" s="139">
        <v>146.09999999999599</v>
      </c>
      <c r="D6319" s="28">
        <f t="shared" si="249"/>
        <v>1168.7999999999679</v>
      </c>
      <c r="E6319" s="28">
        <f t="shared" si="250"/>
        <v>1095.74999999997</v>
      </c>
      <c r="F6319" s="28">
        <f t="shared" si="251"/>
        <v>1077.74999999997</v>
      </c>
      <c r="G6319" s="28">
        <f t="shared" si="252"/>
        <v>1005.1436</v>
      </c>
      <c r="H6319" s="28">
        <f t="shared" si="253"/>
        <v>1048.0849000000001</v>
      </c>
      <c r="I6319" s="28">
        <f t="shared" si="254"/>
        <v>1069.9088999999999</v>
      </c>
      <c r="J6319" s="28">
        <f t="shared" si="255"/>
        <v>1087.1831999999999</v>
      </c>
      <c r="K6319" s="28">
        <f t="shared" si="256"/>
        <v>1117.2815000000001</v>
      </c>
      <c r="L6319" s="4"/>
      <c r="M6319" s="241">
        <v>1069.9088999999999</v>
      </c>
    </row>
    <row r="6320" spans="3:13" hidden="1" outlineLevel="1" x14ac:dyDescent="0.2">
      <c r="C6320" s="139">
        <v>146.19999999999598</v>
      </c>
      <c r="D6320" s="28">
        <f t="shared" si="249"/>
        <v>1169.5999999999678</v>
      </c>
      <c r="E6320" s="28">
        <f t="shared" si="250"/>
        <v>1096.4999999999698</v>
      </c>
      <c r="F6320" s="28">
        <f t="shared" si="251"/>
        <v>1078.4999999999698</v>
      </c>
      <c r="G6320" s="28">
        <f t="shared" si="252"/>
        <v>1006.1098</v>
      </c>
      <c r="H6320" s="28">
        <f t="shared" si="253"/>
        <v>1049.0744999999999</v>
      </c>
      <c r="I6320" s="28">
        <f t="shared" si="254"/>
        <v>1070.9186999999999</v>
      </c>
      <c r="J6320" s="28">
        <f t="shared" si="255"/>
        <v>1088.2107000000001</v>
      </c>
      <c r="K6320" s="28">
        <f t="shared" si="256"/>
        <v>1118.337</v>
      </c>
      <c r="L6320" s="4"/>
      <c r="M6320" s="241">
        <v>1070.9186999999999</v>
      </c>
    </row>
    <row r="6321" spans="3:13" hidden="1" outlineLevel="1" x14ac:dyDescent="0.2">
      <c r="C6321" s="139">
        <v>146.29999999999598</v>
      </c>
      <c r="D6321" s="28">
        <f t="shared" si="249"/>
        <v>1170.3999999999678</v>
      </c>
      <c r="E6321" s="28">
        <f t="shared" si="250"/>
        <v>1097.2499999999698</v>
      </c>
      <c r="F6321" s="28">
        <f t="shared" si="251"/>
        <v>1079.2499999999698</v>
      </c>
      <c r="G6321" s="28">
        <f t="shared" si="252"/>
        <v>1007.076</v>
      </c>
      <c r="H6321" s="28">
        <f t="shared" si="253"/>
        <v>1050.0806</v>
      </c>
      <c r="I6321" s="28">
        <f t="shared" si="254"/>
        <v>1071.9286</v>
      </c>
      <c r="J6321" s="28">
        <f t="shared" si="255"/>
        <v>1089.2383</v>
      </c>
      <c r="K6321" s="28">
        <f t="shared" si="256"/>
        <v>1119.3924999999999</v>
      </c>
      <c r="L6321" s="4"/>
      <c r="M6321" s="241">
        <v>1071.9286</v>
      </c>
    </row>
    <row r="6322" spans="3:13" hidden="1" outlineLevel="1" x14ac:dyDescent="0.2">
      <c r="C6322" s="139">
        <v>146.39999999999597</v>
      </c>
      <c r="D6322" s="28">
        <f t="shared" si="249"/>
        <v>1171.1999999999678</v>
      </c>
      <c r="E6322" s="28">
        <f t="shared" si="250"/>
        <v>1097.9999999999698</v>
      </c>
      <c r="F6322" s="28">
        <f t="shared" si="251"/>
        <v>1079.9999999999698</v>
      </c>
      <c r="G6322" s="28">
        <f t="shared" si="252"/>
        <v>1007.076</v>
      </c>
      <c r="H6322" s="28">
        <f t="shared" si="253"/>
        <v>1050.0806</v>
      </c>
      <c r="I6322" s="28">
        <f t="shared" si="254"/>
        <v>1071.9286</v>
      </c>
      <c r="J6322" s="28">
        <f t="shared" si="255"/>
        <v>1089.2383</v>
      </c>
      <c r="K6322" s="28">
        <f t="shared" si="256"/>
        <v>1119.3924999999999</v>
      </c>
      <c r="L6322" s="4"/>
      <c r="M6322" s="241">
        <v>1071.9286</v>
      </c>
    </row>
    <row r="6323" spans="3:13" hidden="1" outlineLevel="1" x14ac:dyDescent="0.2">
      <c r="C6323" s="139">
        <v>146.49999999999596</v>
      </c>
      <c r="D6323" s="28">
        <f t="shared" si="249"/>
        <v>1171.9999999999677</v>
      </c>
      <c r="E6323" s="28">
        <f t="shared" si="250"/>
        <v>1098.7499999999698</v>
      </c>
      <c r="F6323" s="28">
        <f t="shared" si="251"/>
        <v>1080.7499999999698</v>
      </c>
      <c r="G6323" s="28">
        <f t="shared" si="252"/>
        <v>1008.0588</v>
      </c>
      <c r="H6323" s="28">
        <f t="shared" si="253"/>
        <v>1051.0703000000001</v>
      </c>
      <c r="I6323" s="28">
        <f t="shared" si="254"/>
        <v>1072.9549999999999</v>
      </c>
      <c r="J6323" s="28">
        <f t="shared" si="255"/>
        <v>1090.2659000000001</v>
      </c>
      <c r="K6323" s="28">
        <f t="shared" si="256"/>
        <v>1120.43</v>
      </c>
      <c r="L6323" s="4"/>
      <c r="M6323" s="241">
        <v>1072.9549999999999</v>
      </c>
    </row>
    <row r="6324" spans="3:13" hidden="1" outlineLevel="1" x14ac:dyDescent="0.2">
      <c r="C6324" s="139">
        <v>146.59999999999596</v>
      </c>
      <c r="D6324" s="28">
        <f t="shared" si="249"/>
        <v>1172.7999999999677</v>
      </c>
      <c r="E6324" s="28">
        <f t="shared" si="250"/>
        <v>1099.4999999999698</v>
      </c>
      <c r="F6324" s="28">
        <f t="shared" si="251"/>
        <v>1081.4999999999698</v>
      </c>
      <c r="G6324" s="28">
        <f t="shared" si="252"/>
        <v>1009.0252</v>
      </c>
      <c r="H6324" s="28">
        <f t="shared" si="253"/>
        <v>1052.0764999999999</v>
      </c>
      <c r="I6324" s="28">
        <f t="shared" si="254"/>
        <v>1073.9649999999999</v>
      </c>
      <c r="J6324" s="28">
        <f t="shared" si="255"/>
        <v>1091.2935</v>
      </c>
      <c r="K6324" s="28">
        <f t="shared" si="256"/>
        <v>1121.4855</v>
      </c>
      <c r="L6324" s="4"/>
      <c r="M6324" s="241">
        <v>1073.9649999999999</v>
      </c>
    </row>
    <row r="6325" spans="3:13" hidden="1" outlineLevel="1" x14ac:dyDescent="0.2">
      <c r="C6325" s="139">
        <v>146.69999999999595</v>
      </c>
      <c r="D6325" s="28">
        <f t="shared" si="249"/>
        <v>1173.5999999999676</v>
      </c>
      <c r="E6325" s="28">
        <f t="shared" si="250"/>
        <v>1100.2499999999695</v>
      </c>
      <c r="F6325" s="28">
        <f t="shared" si="251"/>
        <v>1082.2499999999695</v>
      </c>
      <c r="G6325" s="28">
        <f t="shared" si="252"/>
        <v>1010.0081</v>
      </c>
      <c r="H6325" s="28">
        <f t="shared" si="253"/>
        <v>1053.0662</v>
      </c>
      <c r="I6325" s="28">
        <f t="shared" si="254"/>
        <v>1074.9749999999999</v>
      </c>
      <c r="J6325" s="28">
        <f t="shared" si="255"/>
        <v>1092.3212000000001</v>
      </c>
      <c r="K6325" s="28">
        <f t="shared" si="256"/>
        <v>1122.5411999999999</v>
      </c>
      <c r="L6325" s="4"/>
      <c r="M6325" s="241">
        <v>1074.9749999999999</v>
      </c>
    </row>
    <row r="6326" spans="3:13" hidden="1" outlineLevel="1" x14ac:dyDescent="0.2">
      <c r="C6326" s="139">
        <v>146.79999999999595</v>
      </c>
      <c r="D6326" s="28">
        <f t="shared" si="249"/>
        <v>1174.3999999999676</v>
      </c>
      <c r="E6326" s="28">
        <f t="shared" si="250"/>
        <v>1100.9999999999695</v>
      </c>
      <c r="F6326" s="28">
        <f t="shared" si="251"/>
        <v>1082.9999999999695</v>
      </c>
      <c r="G6326" s="28">
        <f t="shared" si="252"/>
        <v>1010.0081</v>
      </c>
      <c r="H6326" s="28">
        <f t="shared" si="253"/>
        <v>1053.0662</v>
      </c>
      <c r="I6326" s="28">
        <f t="shared" si="254"/>
        <v>1074.9749999999999</v>
      </c>
      <c r="J6326" s="28">
        <f t="shared" si="255"/>
        <v>1092.3212000000001</v>
      </c>
      <c r="K6326" s="28">
        <f t="shared" si="256"/>
        <v>1122.5411999999999</v>
      </c>
      <c r="L6326" s="4"/>
      <c r="M6326" s="241">
        <v>1074.9749999999999</v>
      </c>
    </row>
    <row r="6327" spans="3:13" hidden="1" outlineLevel="1" x14ac:dyDescent="0.2">
      <c r="C6327" s="139">
        <v>146.89999999999594</v>
      </c>
      <c r="D6327" s="28">
        <f t="shared" si="249"/>
        <v>1175.1999999999675</v>
      </c>
      <c r="E6327" s="28">
        <f t="shared" si="250"/>
        <v>1101.7499999999695</v>
      </c>
      <c r="F6327" s="28">
        <f t="shared" si="251"/>
        <v>1083.7499999999695</v>
      </c>
      <c r="G6327" s="28">
        <f t="shared" si="252"/>
        <v>1010.9746</v>
      </c>
      <c r="H6327" s="28">
        <f t="shared" si="253"/>
        <v>1054.0725</v>
      </c>
      <c r="I6327" s="28">
        <f t="shared" si="254"/>
        <v>1075.9849999999999</v>
      </c>
      <c r="J6327" s="28">
        <f t="shared" si="255"/>
        <v>1093.3489</v>
      </c>
      <c r="K6327" s="28">
        <f t="shared" si="256"/>
        <v>1123.5786000000001</v>
      </c>
      <c r="L6327" s="4"/>
      <c r="M6327" s="241">
        <v>1075.9849999999999</v>
      </c>
    </row>
    <row r="6328" spans="3:13" hidden="1" outlineLevel="1" x14ac:dyDescent="0.2">
      <c r="C6328" s="139">
        <v>146.99999999999594</v>
      </c>
      <c r="D6328" s="28">
        <f t="shared" si="249"/>
        <v>1175.9999999999675</v>
      </c>
      <c r="E6328" s="28">
        <f t="shared" si="250"/>
        <v>1102.4999999999695</v>
      </c>
      <c r="F6328" s="28">
        <f t="shared" si="251"/>
        <v>1084.4999999999695</v>
      </c>
      <c r="G6328" s="28">
        <f t="shared" si="252"/>
        <v>1011.9412</v>
      </c>
      <c r="H6328" s="28">
        <f t="shared" si="253"/>
        <v>1055.0623000000001</v>
      </c>
      <c r="I6328" s="28">
        <f t="shared" si="254"/>
        <v>1076.9951000000001</v>
      </c>
      <c r="J6328" s="28">
        <f t="shared" si="255"/>
        <v>1094.3767</v>
      </c>
      <c r="K6328" s="28">
        <f t="shared" si="256"/>
        <v>1124.6342999999999</v>
      </c>
      <c r="L6328" s="4"/>
      <c r="M6328" s="241">
        <v>1076.9951000000001</v>
      </c>
    </row>
    <row r="6329" spans="3:13" hidden="1" outlineLevel="1" x14ac:dyDescent="0.2">
      <c r="C6329" s="139">
        <v>147.09999999999593</v>
      </c>
      <c r="D6329" s="28">
        <f t="shared" si="249"/>
        <v>1176.7999999999674</v>
      </c>
      <c r="E6329" s="28">
        <f t="shared" si="250"/>
        <v>1103.2499999999695</v>
      </c>
      <c r="F6329" s="28">
        <f t="shared" si="251"/>
        <v>1085.2499999999695</v>
      </c>
      <c r="G6329" s="28">
        <f t="shared" si="252"/>
        <v>1012.9244</v>
      </c>
      <c r="H6329" s="28">
        <f t="shared" si="253"/>
        <v>1056.0688</v>
      </c>
      <c r="I6329" s="28">
        <f t="shared" si="254"/>
        <v>1078.0217</v>
      </c>
      <c r="J6329" s="28">
        <f t="shared" si="255"/>
        <v>1095.4045000000001</v>
      </c>
      <c r="K6329" s="28">
        <f t="shared" si="256"/>
        <v>1125.69</v>
      </c>
      <c r="L6329" s="4"/>
      <c r="M6329" s="241">
        <v>1078.0217</v>
      </c>
    </row>
    <row r="6330" spans="3:13" hidden="1" outlineLevel="1" x14ac:dyDescent="0.2">
      <c r="C6330" s="139">
        <v>147.19999999999592</v>
      </c>
      <c r="D6330" s="28">
        <f t="shared" si="249"/>
        <v>1177.5999999999674</v>
      </c>
      <c r="E6330" s="28">
        <f t="shared" si="250"/>
        <v>1103.9999999999695</v>
      </c>
      <c r="F6330" s="28">
        <f t="shared" si="251"/>
        <v>1085.9999999999695</v>
      </c>
      <c r="G6330" s="28">
        <f t="shared" si="252"/>
        <v>1012.9244</v>
      </c>
      <c r="H6330" s="28">
        <f t="shared" si="253"/>
        <v>1056.0688</v>
      </c>
      <c r="I6330" s="28">
        <f t="shared" si="254"/>
        <v>1078.0217</v>
      </c>
      <c r="J6330" s="28">
        <f t="shared" si="255"/>
        <v>1095.4045000000001</v>
      </c>
      <c r="K6330" s="28">
        <f t="shared" si="256"/>
        <v>1125.69</v>
      </c>
      <c r="L6330" s="4"/>
      <c r="M6330" s="241">
        <v>1078.0217</v>
      </c>
    </row>
    <row r="6331" spans="3:13" hidden="1" outlineLevel="1" x14ac:dyDescent="0.2">
      <c r="C6331" s="139">
        <v>147.29999999999592</v>
      </c>
      <c r="D6331" s="28">
        <f t="shared" ref="D6331:D6394" si="257">C6331*Channels.per.TRX</f>
        <v>1178.3999999999673</v>
      </c>
      <c r="E6331" s="28">
        <f t="shared" ref="E6331:E6394" si="258">D6331-C6331*sig.channel.per.TRX</f>
        <v>1104.7499999999693</v>
      </c>
      <c r="F6331" s="28">
        <f t="shared" ref="F6331:F6394" si="259">MAX(0,E6331-GPRS.channel.per.sector)</f>
        <v>1086.7499999999693</v>
      </c>
      <c r="G6331" s="28">
        <f t="shared" ref="G6331:G6394" si="260">INDEX(D$10:D$4326,MATCH($F6331,$C$10:$C$4326,1))</f>
        <v>1013.8911000000001</v>
      </c>
      <c r="H6331" s="28">
        <f t="shared" ref="H6331:H6394" si="261">INDEX(E$10:E$4326,MATCH($F6331,$C$10:$C$4326,1))</f>
        <v>1057.0587</v>
      </c>
      <c r="I6331" s="28">
        <f t="shared" ref="I6331:I6394" si="262">INDEX(F$10:F$4326,MATCH($F6331,$C$10:$C$4326,1))</f>
        <v>1079.0319</v>
      </c>
      <c r="J6331" s="28">
        <f t="shared" ref="J6331:J6394" si="263">INDEX(G$10:G$4326,MATCH($F6331,$C$10:$C$4326,1))</f>
        <v>1096.4322999999999</v>
      </c>
      <c r="K6331" s="28">
        <f t="shared" ref="K6331:K6394" si="264">INDEX(H$10:H$4326,MATCH($F6331,$C$10:$C$4326,1))</f>
        <v>1126.7456999999999</v>
      </c>
      <c r="L6331" s="4"/>
      <c r="M6331" s="241">
        <v>1079.0319</v>
      </c>
    </row>
    <row r="6332" spans="3:13" hidden="1" outlineLevel="1" x14ac:dyDescent="0.2">
      <c r="C6332" s="139">
        <v>147.39999999999591</v>
      </c>
      <c r="D6332" s="28">
        <f t="shared" si="257"/>
        <v>1179.1999999999673</v>
      </c>
      <c r="E6332" s="28">
        <f t="shared" si="258"/>
        <v>1105.4999999999693</v>
      </c>
      <c r="F6332" s="28">
        <f t="shared" si="259"/>
        <v>1087.4999999999693</v>
      </c>
      <c r="G6332" s="28">
        <f t="shared" si="260"/>
        <v>1014.8579</v>
      </c>
      <c r="H6332" s="28">
        <f t="shared" si="261"/>
        <v>1058.0652</v>
      </c>
      <c r="I6332" s="28">
        <f t="shared" si="262"/>
        <v>1080.0419999999999</v>
      </c>
      <c r="J6332" s="28">
        <f t="shared" si="263"/>
        <v>1097.4602</v>
      </c>
      <c r="K6332" s="28">
        <f t="shared" si="264"/>
        <v>1127.7832000000001</v>
      </c>
      <c r="L6332" s="4"/>
      <c r="M6332" s="241">
        <v>1080.0419999999999</v>
      </c>
    </row>
    <row r="6333" spans="3:13" hidden="1" outlineLevel="1" x14ac:dyDescent="0.2">
      <c r="C6333" s="139">
        <v>147.49999999999591</v>
      </c>
      <c r="D6333" s="28">
        <f t="shared" si="257"/>
        <v>1179.9999999999673</v>
      </c>
      <c r="E6333" s="28">
        <f t="shared" si="258"/>
        <v>1106.2499999999693</v>
      </c>
      <c r="F6333" s="28">
        <f t="shared" si="259"/>
        <v>1088.2499999999693</v>
      </c>
      <c r="G6333" s="28">
        <f t="shared" si="260"/>
        <v>1015.8413</v>
      </c>
      <c r="H6333" s="28">
        <f t="shared" si="261"/>
        <v>1059.0717999999999</v>
      </c>
      <c r="I6333" s="28">
        <f t="shared" si="262"/>
        <v>1081.0522000000001</v>
      </c>
      <c r="J6333" s="28">
        <f t="shared" si="263"/>
        <v>1098.4880000000001</v>
      </c>
      <c r="K6333" s="28">
        <f t="shared" si="264"/>
        <v>1128.8389999999999</v>
      </c>
      <c r="L6333" s="4"/>
      <c r="M6333" s="241">
        <v>1081.0522000000001</v>
      </c>
    </row>
    <row r="6334" spans="3:13" hidden="1" outlineLevel="1" x14ac:dyDescent="0.2">
      <c r="C6334" s="139">
        <v>147.5999999999959</v>
      </c>
      <c r="D6334" s="28">
        <f t="shared" si="257"/>
        <v>1180.7999999999672</v>
      </c>
      <c r="E6334" s="28">
        <f t="shared" si="258"/>
        <v>1106.9999999999693</v>
      </c>
      <c r="F6334" s="28">
        <f t="shared" si="259"/>
        <v>1088.9999999999693</v>
      </c>
      <c r="G6334" s="28">
        <f t="shared" si="260"/>
        <v>1015.8413</v>
      </c>
      <c r="H6334" s="28">
        <f t="shared" si="261"/>
        <v>1059.0717999999999</v>
      </c>
      <c r="I6334" s="28">
        <f t="shared" si="262"/>
        <v>1081.0522000000001</v>
      </c>
      <c r="J6334" s="28">
        <f t="shared" si="263"/>
        <v>1098.4880000000001</v>
      </c>
      <c r="K6334" s="28">
        <f t="shared" si="264"/>
        <v>1128.8389999999999</v>
      </c>
      <c r="L6334" s="4"/>
      <c r="M6334" s="241">
        <v>1081.0522000000001</v>
      </c>
    </row>
    <row r="6335" spans="3:13" hidden="1" outlineLevel="1" x14ac:dyDescent="0.2">
      <c r="C6335" s="139">
        <v>147.6999999999959</v>
      </c>
      <c r="D6335" s="28">
        <f t="shared" si="257"/>
        <v>1181.5999999999672</v>
      </c>
      <c r="E6335" s="28">
        <f t="shared" si="258"/>
        <v>1107.7499999999693</v>
      </c>
      <c r="F6335" s="28">
        <f t="shared" si="259"/>
        <v>1089.7499999999693</v>
      </c>
      <c r="G6335" s="28">
        <f t="shared" si="260"/>
        <v>1016.8082000000001</v>
      </c>
      <c r="H6335" s="28">
        <f t="shared" si="261"/>
        <v>1060.0617999999999</v>
      </c>
      <c r="I6335" s="28">
        <f t="shared" si="262"/>
        <v>1082.0790999999999</v>
      </c>
      <c r="J6335" s="28">
        <f t="shared" si="263"/>
        <v>1099.5160000000001</v>
      </c>
      <c r="K6335" s="28">
        <f t="shared" si="264"/>
        <v>1129.8948</v>
      </c>
      <c r="L6335" s="4"/>
      <c r="M6335" s="241">
        <v>1082.0790999999999</v>
      </c>
    </row>
    <row r="6336" spans="3:13" hidden="1" outlineLevel="1" x14ac:dyDescent="0.2">
      <c r="C6336" s="139">
        <v>147.79999999999589</v>
      </c>
      <c r="D6336" s="28">
        <f t="shared" si="257"/>
        <v>1182.3999999999671</v>
      </c>
      <c r="E6336" s="28">
        <f t="shared" si="258"/>
        <v>1108.4999999999691</v>
      </c>
      <c r="F6336" s="28">
        <f t="shared" si="259"/>
        <v>1090.4999999999691</v>
      </c>
      <c r="G6336" s="28">
        <f t="shared" si="260"/>
        <v>1017.7752</v>
      </c>
      <c r="H6336" s="28">
        <f t="shared" si="261"/>
        <v>1061.0685000000001</v>
      </c>
      <c r="I6336" s="28">
        <f t="shared" si="262"/>
        <v>1083.0894000000001</v>
      </c>
      <c r="J6336" s="28">
        <f t="shared" si="263"/>
        <v>1100.5255999999999</v>
      </c>
      <c r="K6336" s="28">
        <f t="shared" si="264"/>
        <v>1130.9507000000001</v>
      </c>
      <c r="L6336" s="4"/>
      <c r="M6336" s="241">
        <v>1083.0894000000001</v>
      </c>
    </row>
    <row r="6337" spans="3:13" hidden="1" outlineLevel="1" x14ac:dyDescent="0.2">
      <c r="C6337" s="139">
        <v>147.89999999999588</v>
      </c>
      <c r="D6337" s="28">
        <f t="shared" si="257"/>
        <v>1183.1999999999671</v>
      </c>
      <c r="E6337" s="28">
        <f t="shared" si="258"/>
        <v>1109.2499999999691</v>
      </c>
      <c r="F6337" s="28">
        <f t="shared" si="259"/>
        <v>1091.2499999999691</v>
      </c>
      <c r="G6337" s="28">
        <f t="shared" si="260"/>
        <v>1018.7589</v>
      </c>
      <c r="H6337" s="28">
        <f t="shared" si="261"/>
        <v>1062.0586000000001</v>
      </c>
      <c r="I6337" s="28">
        <f t="shared" si="262"/>
        <v>1084.0997</v>
      </c>
      <c r="J6337" s="28">
        <f t="shared" si="263"/>
        <v>1101.5536</v>
      </c>
      <c r="K6337" s="28">
        <f t="shared" si="264"/>
        <v>1131.9882</v>
      </c>
      <c r="L6337" s="4"/>
      <c r="M6337" s="241">
        <v>1084.0997</v>
      </c>
    </row>
    <row r="6338" spans="3:13" hidden="1" outlineLevel="1" x14ac:dyDescent="0.2">
      <c r="C6338" s="139">
        <v>147.99999999999588</v>
      </c>
      <c r="D6338" s="28">
        <f t="shared" si="257"/>
        <v>1183.999999999967</v>
      </c>
      <c r="E6338" s="28">
        <f t="shared" si="258"/>
        <v>1109.9999999999691</v>
      </c>
      <c r="F6338" s="28">
        <f t="shared" si="259"/>
        <v>1091.9999999999691</v>
      </c>
      <c r="G6338" s="28">
        <f t="shared" si="260"/>
        <v>1018.7589</v>
      </c>
      <c r="H6338" s="28">
        <f t="shared" si="261"/>
        <v>1062.0586000000001</v>
      </c>
      <c r="I6338" s="28">
        <f t="shared" si="262"/>
        <v>1084.0997</v>
      </c>
      <c r="J6338" s="28">
        <f t="shared" si="263"/>
        <v>1101.5536</v>
      </c>
      <c r="K6338" s="28">
        <f t="shared" si="264"/>
        <v>1131.9882</v>
      </c>
      <c r="L6338" s="4"/>
      <c r="M6338" s="241">
        <v>1084.0997</v>
      </c>
    </row>
    <row r="6339" spans="3:13" hidden="1" outlineLevel="1" x14ac:dyDescent="0.2">
      <c r="C6339" s="139">
        <v>148.09999999999587</v>
      </c>
      <c r="D6339" s="28">
        <f t="shared" si="257"/>
        <v>1184.799999999967</v>
      </c>
      <c r="E6339" s="28">
        <f t="shared" si="258"/>
        <v>1110.7499999999691</v>
      </c>
      <c r="F6339" s="28">
        <f t="shared" si="259"/>
        <v>1092.7499999999691</v>
      </c>
      <c r="G6339" s="28">
        <f t="shared" si="260"/>
        <v>1019.726</v>
      </c>
      <c r="H6339" s="28">
        <f t="shared" si="261"/>
        <v>1063.0654</v>
      </c>
      <c r="I6339" s="28">
        <f t="shared" si="262"/>
        <v>1085.1099999999999</v>
      </c>
      <c r="J6339" s="28">
        <f t="shared" si="263"/>
        <v>1102.5816</v>
      </c>
      <c r="K6339" s="28">
        <f t="shared" si="264"/>
        <v>1133.0441000000001</v>
      </c>
      <c r="L6339" s="4"/>
      <c r="M6339" s="241">
        <v>1085.1099999999999</v>
      </c>
    </row>
    <row r="6340" spans="3:13" hidden="1" outlineLevel="1" x14ac:dyDescent="0.2">
      <c r="C6340" s="139">
        <v>148.19999999999587</v>
      </c>
      <c r="D6340" s="28">
        <f t="shared" si="257"/>
        <v>1185.5999999999669</v>
      </c>
      <c r="E6340" s="28">
        <f t="shared" si="258"/>
        <v>1111.4999999999691</v>
      </c>
      <c r="F6340" s="28">
        <f t="shared" si="259"/>
        <v>1093.4999999999691</v>
      </c>
      <c r="G6340" s="28">
        <f t="shared" si="260"/>
        <v>1020.6932</v>
      </c>
      <c r="H6340" s="28">
        <f t="shared" si="261"/>
        <v>1064.0555999999999</v>
      </c>
      <c r="I6340" s="28">
        <f t="shared" si="262"/>
        <v>1086.1204</v>
      </c>
      <c r="J6340" s="28">
        <f t="shared" si="263"/>
        <v>1103.6096</v>
      </c>
      <c r="K6340" s="28">
        <f t="shared" si="264"/>
        <v>1134.1001000000001</v>
      </c>
      <c r="L6340" s="4"/>
      <c r="M6340" s="241">
        <v>1086.1204</v>
      </c>
    </row>
    <row r="6341" spans="3:13" hidden="1" outlineLevel="1" x14ac:dyDescent="0.2">
      <c r="C6341" s="139">
        <v>148.29999999999586</v>
      </c>
      <c r="D6341" s="28">
        <f t="shared" si="257"/>
        <v>1186.3999999999669</v>
      </c>
      <c r="E6341" s="28">
        <f t="shared" si="258"/>
        <v>1112.2499999999691</v>
      </c>
      <c r="F6341" s="28">
        <f t="shared" si="259"/>
        <v>1094.2499999999691</v>
      </c>
      <c r="G6341" s="28">
        <f t="shared" si="260"/>
        <v>1021.6771</v>
      </c>
      <c r="H6341" s="28">
        <f t="shared" si="261"/>
        <v>1065.0625</v>
      </c>
      <c r="I6341" s="28">
        <f t="shared" si="262"/>
        <v>1087.1475</v>
      </c>
      <c r="J6341" s="28">
        <f t="shared" si="263"/>
        <v>1104.6377</v>
      </c>
      <c r="K6341" s="28">
        <f t="shared" si="264"/>
        <v>1135.1377</v>
      </c>
      <c r="L6341" s="4"/>
      <c r="M6341" s="241">
        <v>1087.1475</v>
      </c>
    </row>
    <row r="6342" spans="3:13" hidden="1" outlineLevel="1" x14ac:dyDescent="0.2">
      <c r="C6342" s="139">
        <v>148.39999999999586</v>
      </c>
      <c r="D6342" s="28">
        <f t="shared" si="257"/>
        <v>1187.1999999999668</v>
      </c>
      <c r="E6342" s="28">
        <f t="shared" si="258"/>
        <v>1112.9999999999688</v>
      </c>
      <c r="F6342" s="28">
        <f t="shared" si="259"/>
        <v>1094.9999999999688</v>
      </c>
      <c r="G6342" s="28">
        <f t="shared" si="260"/>
        <v>1021.6771</v>
      </c>
      <c r="H6342" s="28">
        <f t="shared" si="261"/>
        <v>1065.0625</v>
      </c>
      <c r="I6342" s="28">
        <f t="shared" si="262"/>
        <v>1087.1475</v>
      </c>
      <c r="J6342" s="28">
        <f t="shared" si="263"/>
        <v>1104.6377</v>
      </c>
      <c r="K6342" s="28">
        <f t="shared" si="264"/>
        <v>1135.1377</v>
      </c>
      <c r="L6342" s="4"/>
      <c r="M6342" s="241">
        <v>1087.1475</v>
      </c>
    </row>
    <row r="6343" spans="3:13" hidden="1" outlineLevel="1" x14ac:dyDescent="0.2">
      <c r="C6343" s="139">
        <v>148.49999999999585</v>
      </c>
      <c r="D6343" s="28">
        <f t="shared" si="257"/>
        <v>1187.9999999999668</v>
      </c>
      <c r="E6343" s="28">
        <f t="shared" si="258"/>
        <v>1113.7499999999688</v>
      </c>
      <c r="F6343" s="28">
        <f t="shared" si="259"/>
        <v>1095.7499999999688</v>
      </c>
      <c r="G6343" s="28">
        <f t="shared" si="260"/>
        <v>1022.6444</v>
      </c>
      <c r="H6343" s="28">
        <f t="shared" si="261"/>
        <v>1066.0527</v>
      </c>
      <c r="I6343" s="28">
        <f t="shared" si="262"/>
        <v>1088.1578999999999</v>
      </c>
      <c r="J6343" s="28">
        <f t="shared" si="263"/>
        <v>1105.6658</v>
      </c>
      <c r="K6343" s="28">
        <f t="shared" si="264"/>
        <v>1136.1937</v>
      </c>
      <c r="L6343" s="4"/>
      <c r="M6343" s="241">
        <v>1088.1578999999999</v>
      </c>
    </row>
    <row r="6344" spans="3:13" hidden="1" outlineLevel="1" x14ac:dyDescent="0.2">
      <c r="C6344" s="139">
        <v>148.59999999999584</v>
      </c>
      <c r="D6344" s="28">
        <f t="shared" si="257"/>
        <v>1188.7999999999668</v>
      </c>
      <c r="E6344" s="28">
        <f t="shared" si="258"/>
        <v>1114.4999999999688</v>
      </c>
      <c r="F6344" s="28">
        <f t="shared" si="259"/>
        <v>1096.4999999999688</v>
      </c>
      <c r="G6344" s="28">
        <f t="shared" si="260"/>
        <v>1023.6118</v>
      </c>
      <c r="H6344" s="28">
        <f t="shared" si="261"/>
        <v>1067.0598</v>
      </c>
      <c r="I6344" s="28">
        <f t="shared" si="262"/>
        <v>1089.1684</v>
      </c>
      <c r="J6344" s="28">
        <f t="shared" si="263"/>
        <v>1106.6939</v>
      </c>
      <c r="K6344" s="28">
        <f t="shared" si="264"/>
        <v>1137.2497000000001</v>
      </c>
      <c r="L6344" s="4"/>
      <c r="M6344" s="241">
        <v>1089.1684</v>
      </c>
    </row>
    <row r="6345" spans="3:13" hidden="1" outlineLevel="1" x14ac:dyDescent="0.2">
      <c r="C6345" s="139">
        <v>148.69999999999584</v>
      </c>
      <c r="D6345" s="28">
        <f t="shared" si="257"/>
        <v>1189.5999999999667</v>
      </c>
      <c r="E6345" s="28">
        <f t="shared" si="258"/>
        <v>1115.2499999999688</v>
      </c>
      <c r="F6345" s="28">
        <f t="shared" si="259"/>
        <v>1097.2499999999688</v>
      </c>
      <c r="G6345" s="28">
        <f t="shared" si="260"/>
        <v>1024.5791999999999</v>
      </c>
      <c r="H6345" s="28">
        <f t="shared" si="261"/>
        <v>1068.0500999999999</v>
      </c>
      <c r="I6345" s="28">
        <f t="shared" si="262"/>
        <v>1090.1789000000001</v>
      </c>
      <c r="J6345" s="28">
        <f t="shared" si="263"/>
        <v>1107.7221</v>
      </c>
      <c r="K6345" s="28">
        <f t="shared" si="264"/>
        <v>1138.3056999999999</v>
      </c>
      <c r="L6345" s="4"/>
      <c r="M6345" s="241">
        <v>1090.1789000000001</v>
      </c>
    </row>
    <row r="6346" spans="3:13" hidden="1" outlineLevel="1" x14ac:dyDescent="0.2">
      <c r="C6346" s="139">
        <v>148.79999999999583</v>
      </c>
      <c r="D6346" s="28">
        <f t="shared" si="257"/>
        <v>1190.3999999999667</v>
      </c>
      <c r="E6346" s="28">
        <f t="shared" si="258"/>
        <v>1115.9999999999688</v>
      </c>
      <c r="F6346" s="28">
        <f t="shared" si="259"/>
        <v>1097.9999999999688</v>
      </c>
      <c r="G6346" s="28">
        <f t="shared" si="260"/>
        <v>1024.5791999999999</v>
      </c>
      <c r="H6346" s="28">
        <f t="shared" si="261"/>
        <v>1068.0500999999999</v>
      </c>
      <c r="I6346" s="28">
        <f t="shared" si="262"/>
        <v>1090.1789000000001</v>
      </c>
      <c r="J6346" s="28">
        <f t="shared" si="263"/>
        <v>1107.7221</v>
      </c>
      <c r="K6346" s="28">
        <f t="shared" si="264"/>
        <v>1138.3056999999999</v>
      </c>
      <c r="L6346" s="4"/>
      <c r="M6346" s="241">
        <v>1090.1789000000001</v>
      </c>
    </row>
    <row r="6347" spans="3:13" hidden="1" outlineLevel="1" x14ac:dyDescent="0.2">
      <c r="C6347" s="139">
        <v>148.89999999999583</v>
      </c>
      <c r="D6347" s="28">
        <f t="shared" si="257"/>
        <v>1191.1999999999666</v>
      </c>
      <c r="E6347" s="28">
        <f t="shared" si="258"/>
        <v>1116.7499999999686</v>
      </c>
      <c r="F6347" s="28">
        <f t="shared" si="259"/>
        <v>1098.7499999999686</v>
      </c>
      <c r="G6347" s="28">
        <f t="shared" si="260"/>
        <v>1025.5634</v>
      </c>
      <c r="H6347" s="28">
        <f t="shared" si="261"/>
        <v>1069.0572</v>
      </c>
      <c r="I6347" s="28">
        <f t="shared" si="262"/>
        <v>1091.2062000000001</v>
      </c>
      <c r="J6347" s="28">
        <f t="shared" si="263"/>
        <v>1108.7502999999999</v>
      </c>
      <c r="K6347" s="28">
        <f t="shared" si="264"/>
        <v>1139.3434</v>
      </c>
      <c r="L6347" s="4"/>
      <c r="M6347" s="241">
        <v>1091.2062000000001</v>
      </c>
    </row>
    <row r="6348" spans="3:13" hidden="1" outlineLevel="1" x14ac:dyDescent="0.2">
      <c r="C6348" s="139">
        <v>148.99999999999582</v>
      </c>
      <c r="D6348" s="28">
        <f t="shared" si="257"/>
        <v>1191.9999999999666</v>
      </c>
      <c r="E6348" s="28">
        <f t="shared" si="258"/>
        <v>1117.4999999999686</v>
      </c>
      <c r="F6348" s="28">
        <f t="shared" si="259"/>
        <v>1099.4999999999686</v>
      </c>
      <c r="G6348" s="28">
        <f t="shared" si="260"/>
        <v>1026.5309999999999</v>
      </c>
      <c r="H6348" s="28">
        <f t="shared" si="261"/>
        <v>1070.0476000000001</v>
      </c>
      <c r="I6348" s="28">
        <f t="shared" si="262"/>
        <v>1092.2167999999999</v>
      </c>
      <c r="J6348" s="28">
        <f t="shared" si="263"/>
        <v>1109.7784999999999</v>
      </c>
      <c r="K6348" s="28">
        <f t="shared" si="264"/>
        <v>1140.3995</v>
      </c>
      <c r="L6348" s="4"/>
      <c r="M6348" s="241">
        <v>1092.2167999999999</v>
      </c>
    </row>
    <row r="6349" spans="3:13" hidden="1" outlineLevel="1" x14ac:dyDescent="0.2">
      <c r="C6349" s="139">
        <v>149.09999999999582</v>
      </c>
      <c r="D6349" s="28">
        <f t="shared" si="257"/>
        <v>1192.7999999999665</v>
      </c>
      <c r="E6349" s="28">
        <f t="shared" si="258"/>
        <v>1118.2499999999686</v>
      </c>
      <c r="F6349" s="28">
        <f t="shared" si="259"/>
        <v>1100.2499999999686</v>
      </c>
      <c r="G6349" s="28">
        <f t="shared" si="260"/>
        <v>1027.4985999999999</v>
      </c>
      <c r="H6349" s="28">
        <f t="shared" si="261"/>
        <v>1071.0547999999999</v>
      </c>
      <c r="I6349" s="28">
        <f t="shared" si="262"/>
        <v>1093.2274</v>
      </c>
      <c r="J6349" s="28">
        <f t="shared" si="263"/>
        <v>1110.8068000000001</v>
      </c>
      <c r="K6349" s="28">
        <f t="shared" si="264"/>
        <v>1141.4556</v>
      </c>
      <c r="L6349" s="4"/>
      <c r="M6349" s="241">
        <v>1093.2274</v>
      </c>
    </row>
    <row r="6350" spans="3:13" hidden="1" outlineLevel="1" x14ac:dyDescent="0.2">
      <c r="C6350" s="139">
        <v>149.19999999999581</v>
      </c>
      <c r="D6350" s="28">
        <f t="shared" si="257"/>
        <v>1193.5999999999665</v>
      </c>
      <c r="E6350" s="28">
        <f t="shared" si="258"/>
        <v>1118.9999999999686</v>
      </c>
      <c r="F6350" s="28">
        <f t="shared" si="259"/>
        <v>1100.9999999999686</v>
      </c>
      <c r="G6350" s="28">
        <f t="shared" si="260"/>
        <v>1027.4985999999999</v>
      </c>
      <c r="H6350" s="28">
        <f t="shared" si="261"/>
        <v>1071.0547999999999</v>
      </c>
      <c r="I6350" s="28">
        <f t="shared" si="262"/>
        <v>1093.2274</v>
      </c>
      <c r="J6350" s="28">
        <f t="shared" si="263"/>
        <v>1110.8068000000001</v>
      </c>
      <c r="K6350" s="28">
        <f t="shared" si="264"/>
        <v>1141.4556</v>
      </c>
      <c r="L6350" s="4"/>
      <c r="M6350" s="241">
        <v>1093.2274</v>
      </c>
    </row>
    <row r="6351" spans="3:13" hidden="1" outlineLevel="1" x14ac:dyDescent="0.2">
      <c r="C6351" s="139">
        <v>149.2999999999958</v>
      </c>
      <c r="D6351" s="28">
        <f t="shared" si="257"/>
        <v>1194.3999999999664</v>
      </c>
      <c r="E6351" s="28">
        <f t="shared" si="258"/>
        <v>1119.7499999999686</v>
      </c>
      <c r="F6351" s="28">
        <f t="shared" si="259"/>
        <v>1101.7499999999686</v>
      </c>
      <c r="G6351" s="28">
        <f t="shared" si="260"/>
        <v>1028.4830999999999</v>
      </c>
      <c r="H6351" s="28">
        <f t="shared" si="261"/>
        <v>1072.0453</v>
      </c>
      <c r="I6351" s="28">
        <f t="shared" si="262"/>
        <v>1094.2380000000001</v>
      </c>
      <c r="J6351" s="28">
        <f t="shared" si="263"/>
        <v>1111.8351</v>
      </c>
      <c r="K6351" s="28">
        <f t="shared" si="264"/>
        <v>1142.4933000000001</v>
      </c>
      <c r="L6351" s="4"/>
      <c r="M6351" s="241">
        <v>1094.2380000000001</v>
      </c>
    </row>
    <row r="6352" spans="3:13" hidden="1" outlineLevel="1" x14ac:dyDescent="0.2">
      <c r="C6352" s="139">
        <v>149.3999999999958</v>
      </c>
      <c r="D6352" s="28">
        <f t="shared" si="257"/>
        <v>1195.1999999999664</v>
      </c>
      <c r="E6352" s="28">
        <f t="shared" si="258"/>
        <v>1120.4999999999684</v>
      </c>
      <c r="F6352" s="28">
        <f t="shared" si="259"/>
        <v>1102.4999999999684</v>
      </c>
      <c r="G6352" s="28">
        <f t="shared" si="260"/>
        <v>1029.4509</v>
      </c>
      <c r="H6352" s="28">
        <f t="shared" si="261"/>
        <v>1073.0527</v>
      </c>
      <c r="I6352" s="28">
        <f t="shared" si="262"/>
        <v>1095.2487000000001</v>
      </c>
      <c r="J6352" s="28">
        <f t="shared" si="263"/>
        <v>1112.8634999999999</v>
      </c>
      <c r="K6352" s="28">
        <f t="shared" si="264"/>
        <v>1143.5495000000001</v>
      </c>
      <c r="L6352" s="4"/>
      <c r="M6352" s="241">
        <v>1095.2487000000001</v>
      </c>
    </row>
    <row r="6353" spans="3:13" hidden="1" outlineLevel="1" x14ac:dyDescent="0.2">
      <c r="C6353" s="139">
        <v>149.49999999999579</v>
      </c>
      <c r="D6353" s="28">
        <f t="shared" si="257"/>
        <v>1195.9999999999663</v>
      </c>
      <c r="E6353" s="28">
        <f t="shared" si="258"/>
        <v>1121.2499999999684</v>
      </c>
      <c r="F6353" s="28">
        <f t="shared" si="259"/>
        <v>1103.2499999999684</v>
      </c>
      <c r="G6353" s="28">
        <f t="shared" si="260"/>
        <v>1030.4186999999999</v>
      </c>
      <c r="H6353" s="28">
        <f t="shared" si="261"/>
        <v>1074.0432000000001</v>
      </c>
      <c r="I6353" s="28">
        <f t="shared" si="262"/>
        <v>1096.2762</v>
      </c>
      <c r="J6353" s="28">
        <f t="shared" si="263"/>
        <v>1113.8918000000001</v>
      </c>
      <c r="K6353" s="28">
        <f t="shared" si="264"/>
        <v>1144.6057000000001</v>
      </c>
      <c r="L6353" s="4"/>
      <c r="M6353" s="241">
        <v>1096.2762</v>
      </c>
    </row>
    <row r="6354" spans="3:13" hidden="1" outlineLevel="1" x14ac:dyDescent="0.2">
      <c r="C6354" s="139">
        <v>149.59999999999579</v>
      </c>
      <c r="D6354" s="28">
        <f t="shared" si="257"/>
        <v>1196.7999999999663</v>
      </c>
      <c r="E6354" s="28">
        <f t="shared" si="258"/>
        <v>1121.9999999999684</v>
      </c>
      <c r="F6354" s="28">
        <f t="shared" si="259"/>
        <v>1103.9999999999684</v>
      </c>
      <c r="G6354" s="28">
        <f t="shared" si="260"/>
        <v>1030.4186999999999</v>
      </c>
      <c r="H6354" s="28">
        <f t="shared" si="261"/>
        <v>1074.0432000000001</v>
      </c>
      <c r="I6354" s="28">
        <f t="shared" si="262"/>
        <v>1096.2762</v>
      </c>
      <c r="J6354" s="28">
        <f t="shared" si="263"/>
        <v>1113.8918000000001</v>
      </c>
      <c r="K6354" s="28">
        <f t="shared" si="264"/>
        <v>1144.6057000000001</v>
      </c>
      <c r="L6354" s="4"/>
      <c r="M6354" s="241">
        <v>1096.2762</v>
      </c>
    </row>
    <row r="6355" spans="3:13" hidden="1" outlineLevel="1" x14ac:dyDescent="0.2">
      <c r="C6355" s="139">
        <v>149.69999999999578</v>
      </c>
      <c r="D6355" s="28">
        <f t="shared" si="257"/>
        <v>1197.5999999999663</v>
      </c>
      <c r="E6355" s="28">
        <f t="shared" si="258"/>
        <v>1122.7499999999684</v>
      </c>
      <c r="F6355" s="28">
        <f t="shared" si="259"/>
        <v>1104.7499999999684</v>
      </c>
      <c r="G6355" s="28">
        <f t="shared" si="260"/>
        <v>1031.4033999999999</v>
      </c>
      <c r="H6355" s="28">
        <f t="shared" si="261"/>
        <v>1075.0507</v>
      </c>
      <c r="I6355" s="28">
        <f t="shared" si="262"/>
        <v>1097.287</v>
      </c>
      <c r="J6355" s="28">
        <f t="shared" si="263"/>
        <v>1114.9016999999999</v>
      </c>
      <c r="K6355" s="28">
        <f t="shared" si="264"/>
        <v>1145.6433999999999</v>
      </c>
      <c r="L6355" s="4"/>
      <c r="M6355" s="241">
        <v>1097.287</v>
      </c>
    </row>
    <row r="6356" spans="3:13" hidden="1" outlineLevel="1" x14ac:dyDescent="0.2">
      <c r="C6356" s="139">
        <v>149.79999999999578</v>
      </c>
      <c r="D6356" s="28">
        <f t="shared" si="257"/>
        <v>1198.3999999999662</v>
      </c>
      <c r="E6356" s="28">
        <f t="shared" si="258"/>
        <v>1123.4999999999684</v>
      </c>
      <c r="F6356" s="28">
        <f t="shared" si="259"/>
        <v>1105.4999999999684</v>
      </c>
      <c r="G6356" s="28">
        <f t="shared" si="260"/>
        <v>1032.3714</v>
      </c>
      <c r="H6356" s="28">
        <f t="shared" si="261"/>
        <v>1076.0413000000001</v>
      </c>
      <c r="I6356" s="28">
        <f t="shared" si="262"/>
        <v>1098.2978000000001</v>
      </c>
      <c r="J6356" s="28">
        <f t="shared" si="263"/>
        <v>1115.9301</v>
      </c>
      <c r="K6356" s="28">
        <f t="shared" si="264"/>
        <v>1146.6996999999999</v>
      </c>
      <c r="L6356" s="4"/>
      <c r="M6356" s="241">
        <v>1098.2978000000001</v>
      </c>
    </row>
    <row r="6357" spans="3:13" hidden="1" outlineLevel="1" x14ac:dyDescent="0.2">
      <c r="C6357" s="139">
        <v>149.89999999999577</v>
      </c>
      <c r="D6357" s="28">
        <f t="shared" si="257"/>
        <v>1199.1999999999662</v>
      </c>
      <c r="E6357" s="28">
        <f t="shared" si="258"/>
        <v>1124.2499999999682</v>
      </c>
      <c r="F6357" s="28">
        <f t="shared" si="259"/>
        <v>1106.2499999999682</v>
      </c>
      <c r="G6357" s="28">
        <f t="shared" si="260"/>
        <v>1033.3394000000001</v>
      </c>
      <c r="H6357" s="28">
        <f t="shared" si="261"/>
        <v>1077.0488</v>
      </c>
      <c r="I6357" s="28">
        <f t="shared" si="262"/>
        <v>1099.3086000000001</v>
      </c>
      <c r="J6357" s="28">
        <f t="shared" si="263"/>
        <v>1116.9585999999999</v>
      </c>
      <c r="K6357" s="28">
        <f t="shared" si="264"/>
        <v>1147.7560000000001</v>
      </c>
      <c r="L6357" s="4"/>
      <c r="M6357" s="241">
        <v>1099.3086000000001</v>
      </c>
    </row>
    <row r="6358" spans="3:13" hidden="1" outlineLevel="1" x14ac:dyDescent="0.2">
      <c r="C6358" s="139">
        <v>149.99999999999577</v>
      </c>
      <c r="D6358" s="28">
        <f t="shared" si="257"/>
        <v>1199.9999999999661</v>
      </c>
      <c r="E6358" s="28">
        <f t="shared" si="258"/>
        <v>1124.9999999999682</v>
      </c>
      <c r="F6358" s="28">
        <f t="shared" si="259"/>
        <v>1106.9999999999682</v>
      </c>
      <c r="G6358" s="28">
        <f t="shared" si="260"/>
        <v>1033.3394000000001</v>
      </c>
      <c r="H6358" s="28">
        <f t="shared" si="261"/>
        <v>1077.0488</v>
      </c>
      <c r="I6358" s="28">
        <f t="shared" si="262"/>
        <v>1099.3086000000001</v>
      </c>
      <c r="J6358" s="28">
        <f t="shared" si="263"/>
        <v>1116.9585999999999</v>
      </c>
      <c r="K6358" s="28">
        <f t="shared" si="264"/>
        <v>1147.7560000000001</v>
      </c>
      <c r="L6358" s="4"/>
      <c r="M6358" s="241">
        <v>1099.3086000000001</v>
      </c>
    </row>
    <row r="6359" spans="3:13" hidden="1" outlineLevel="1" x14ac:dyDescent="0.2">
      <c r="C6359" s="139">
        <v>150.09999999999576</v>
      </c>
      <c r="D6359" s="28">
        <f t="shared" si="257"/>
        <v>1200.7999999999661</v>
      </c>
      <c r="E6359" s="28">
        <f t="shared" si="258"/>
        <v>1125.7499999999682</v>
      </c>
      <c r="F6359" s="28">
        <f t="shared" si="259"/>
        <v>1107.7499999999682</v>
      </c>
      <c r="G6359" s="28">
        <f t="shared" si="260"/>
        <v>1034.3074999999999</v>
      </c>
      <c r="H6359" s="28">
        <f t="shared" si="261"/>
        <v>1078.0396000000001</v>
      </c>
      <c r="I6359" s="28">
        <f t="shared" si="262"/>
        <v>1100.3194000000001</v>
      </c>
      <c r="J6359" s="28">
        <f t="shared" si="263"/>
        <v>1117.9871000000001</v>
      </c>
      <c r="K6359" s="28">
        <f t="shared" si="264"/>
        <v>1148.8123000000001</v>
      </c>
      <c r="L6359" s="4"/>
      <c r="M6359" s="241">
        <v>1100.3194000000001</v>
      </c>
    </row>
    <row r="6360" spans="3:13" hidden="1" outlineLevel="1" x14ac:dyDescent="0.2">
      <c r="C6360" s="139">
        <v>150.19999999999575</v>
      </c>
      <c r="D6360" s="28">
        <f t="shared" si="257"/>
        <v>1201.599999999966</v>
      </c>
      <c r="E6360" s="28">
        <f t="shared" si="258"/>
        <v>1126.4999999999682</v>
      </c>
      <c r="F6360" s="28">
        <f t="shared" si="259"/>
        <v>1108.4999999999682</v>
      </c>
      <c r="G6360" s="28">
        <f t="shared" si="260"/>
        <v>1035.2926</v>
      </c>
      <c r="H6360" s="28">
        <f t="shared" si="261"/>
        <v>1079.0472</v>
      </c>
      <c r="I6360" s="28">
        <f t="shared" si="262"/>
        <v>1101.3471999999999</v>
      </c>
      <c r="J6360" s="28">
        <f t="shared" si="263"/>
        <v>1119.0155999999999</v>
      </c>
      <c r="K6360" s="28">
        <f t="shared" si="264"/>
        <v>1149.8501000000001</v>
      </c>
      <c r="L6360" s="4"/>
      <c r="M6360" s="241">
        <v>1101.3471999999999</v>
      </c>
    </row>
    <row r="6361" spans="3:13" hidden="1" outlineLevel="1" x14ac:dyDescent="0.2">
      <c r="C6361" s="139">
        <v>150.29999999999575</v>
      </c>
      <c r="D6361" s="28">
        <f t="shared" si="257"/>
        <v>1202.399999999966</v>
      </c>
      <c r="E6361" s="28">
        <f t="shared" si="258"/>
        <v>1127.2499999999682</v>
      </c>
      <c r="F6361" s="28">
        <f t="shared" si="259"/>
        <v>1109.2499999999682</v>
      </c>
      <c r="G6361" s="28">
        <f t="shared" si="260"/>
        <v>1036.2608</v>
      </c>
      <c r="H6361" s="28">
        <f t="shared" si="261"/>
        <v>1080.038</v>
      </c>
      <c r="I6361" s="28">
        <f t="shared" si="262"/>
        <v>1102.3580999999999</v>
      </c>
      <c r="J6361" s="28">
        <f t="shared" si="263"/>
        <v>1120.0441000000001</v>
      </c>
      <c r="K6361" s="28">
        <f t="shared" si="264"/>
        <v>1150.9065000000001</v>
      </c>
      <c r="L6361" s="4"/>
      <c r="M6361" s="241">
        <v>1102.3580999999999</v>
      </c>
    </row>
    <row r="6362" spans="3:13" hidden="1" outlineLevel="1" x14ac:dyDescent="0.2">
      <c r="C6362" s="139">
        <v>150.39999999999574</v>
      </c>
      <c r="D6362" s="28">
        <f t="shared" si="257"/>
        <v>1203.1999999999659</v>
      </c>
      <c r="E6362" s="28">
        <f t="shared" si="258"/>
        <v>1127.9999999999682</v>
      </c>
      <c r="F6362" s="28">
        <f t="shared" si="259"/>
        <v>1109.9999999999682</v>
      </c>
      <c r="G6362" s="28">
        <f t="shared" si="260"/>
        <v>1036.2608</v>
      </c>
      <c r="H6362" s="28">
        <f t="shared" si="261"/>
        <v>1080.038</v>
      </c>
      <c r="I6362" s="28">
        <f t="shared" si="262"/>
        <v>1102.3580999999999</v>
      </c>
      <c r="J6362" s="28">
        <f t="shared" si="263"/>
        <v>1120.0441000000001</v>
      </c>
      <c r="K6362" s="28">
        <f t="shared" si="264"/>
        <v>1150.9065000000001</v>
      </c>
      <c r="L6362" s="4"/>
      <c r="M6362" s="241">
        <v>1102.3580999999999</v>
      </c>
    </row>
    <row r="6363" spans="3:13" hidden="1" outlineLevel="1" x14ac:dyDescent="0.2">
      <c r="C6363" s="139">
        <v>150.49999999999574</v>
      </c>
      <c r="D6363" s="28">
        <f t="shared" si="257"/>
        <v>1203.9999999999659</v>
      </c>
      <c r="E6363" s="28">
        <f t="shared" si="258"/>
        <v>1128.7499999999679</v>
      </c>
      <c r="F6363" s="28">
        <f t="shared" si="259"/>
        <v>1110.7499999999679</v>
      </c>
      <c r="G6363" s="28">
        <f t="shared" si="260"/>
        <v>1037.2291</v>
      </c>
      <c r="H6363" s="28">
        <f t="shared" si="261"/>
        <v>1081.0458000000001</v>
      </c>
      <c r="I6363" s="28">
        <f t="shared" si="262"/>
        <v>1103.3690999999999</v>
      </c>
      <c r="J6363" s="28">
        <f t="shared" si="263"/>
        <v>1121.0726999999999</v>
      </c>
      <c r="K6363" s="28">
        <f t="shared" si="264"/>
        <v>1151.9629</v>
      </c>
      <c r="L6363" s="4"/>
      <c r="M6363" s="241">
        <v>1103.3690999999999</v>
      </c>
    </row>
    <row r="6364" spans="3:13" hidden="1" outlineLevel="1" x14ac:dyDescent="0.2">
      <c r="C6364" s="139">
        <v>150.59999999999573</v>
      </c>
      <c r="D6364" s="28">
        <f t="shared" si="257"/>
        <v>1204.7999999999658</v>
      </c>
      <c r="E6364" s="28">
        <f t="shared" si="258"/>
        <v>1129.4999999999679</v>
      </c>
      <c r="F6364" s="28">
        <f t="shared" si="259"/>
        <v>1111.4999999999679</v>
      </c>
      <c r="G6364" s="28">
        <f t="shared" si="260"/>
        <v>1038.1974</v>
      </c>
      <c r="H6364" s="28">
        <f t="shared" si="261"/>
        <v>1082.0365999999999</v>
      </c>
      <c r="I6364" s="28">
        <f t="shared" si="262"/>
        <v>1104.3800000000001</v>
      </c>
      <c r="J6364" s="28">
        <f t="shared" si="263"/>
        <v>1122.1014</v>
      </c>
      <c r="K6364" s="28">
        <f t="shared" si="264"/>
        <v>1153.0007000000001</v>
      </c>
      <c r="L6364" s="4"/>
      <c r="M6364" s="241">
        <v>1104.3800000000001</v>
      </c>
    </row>
    <row r="6365" spans="3:13" hidden="1" outlineLevel="1" x14ac:dyDescent="0.2">
      <c r="C6365" s="139">
        <v>150.69999999999573</v>
      </c>
      <c r="D6365" s="28">
        <f t="shared" si="257"/>
        <v>1205.5999999999658</v>
      </c>
      <c r="E6365" s="28">
        <f t="shared" si="258"/>
        <v>1130.2499999999679</v>
      </c>
      <c r="F6365" s="28">
        <f t="shared" si="259"/>
        <v>1112.2499999999679</v>
      </c>
      <c r="G6365" s="28">
        <f t="shared" si="260"/>
        <v>1039.1828</v>
      </c>
      <c r="H6365" s="28">
        <f t="shared" si="261"/>
        <v>1083.0445</v>
      </c>
      <c r="I6365" s="28">
        <f t="shared" si="262"/>
        <v>1105.3911000000001</v>
      </c>
      <c r="J6365" s="28">
        <f t="shared" si="263"/>
        <v>1123.1300000000001</v>
      </c>
      <c r="K6365" s="28">
        <f t="shared" si="264"/>
        <v>1154.0572</v>
      </c>
      <c r="L6365" s="4"/>
      <c r="M6365" s="241">
        <v>1105.3911000000001</v>
      </c>
    </row>
    <row r="6366" spans="3:13" hidden="1" outlineLevel="1" x14ac:dyDescent="0.2">
      <c r="C6366" s="139">
        <v>150.79999999999572</v>
      </c>
      <c r="D6366" s="28">
        <f t="shared" si="257"/>
        <v>1206.3999999999658</v>
      </c>
      <c r="E6366" s="28">
        <f t="shared" si="258"/>
        <v>1130.9999999999679</v>
      </c>
      <c r="F6366" s="28">
        <f t="shared" si="259"/>
        <v>1112.9999999999679</v>
      </c>
      <c r="G6366" s="28">
        <f t="shared" si="260"/>
        <v>1039.1828</v>
      </c>
      <c r="H6366" s="28">
        <f t="shared" si="261"/>
        <v>1083.0445</v>
      </c>
      <c r="I6366" s="28">
        <f t="shared" si="262"/>
        <v>1105.3911000000001</v>
      </c>
      <c r="J6366" s="28">
        <f t="shared" si="263"/>
        <v>1123.1300000000001</v>
      </c>
      <c r="K6366" s="28">
        <f t="shared" si="264"/>
        <v>1154.0572</v>
      </c>
      <c r="L6366" s="4"/>
      <c r="M6366" s="241">
        <v>1105.3911000000001</v>
      </c>
    </row>
    <row r="6367" spans="3:13" hidden="1" outlineLevel="1" x14ac:dyDescent="0.2">
      <c r="C6367" s="139">
        <v>150.89999999999571</v>
      </c>
      <c r="D6367" s="28">
        <f t="shared" si="257"/>
        <v>1207.1999999999657</v>
      </c>
      <c r="E6367" s="28">
        <f t="shared" si="258"/>
        <v>1131.7499999999679</v>
      </c>
      <c r="F6367" s="28">
        <f t="shared" si="259"/>
        <v>1113.7499999999679</v>
      </c>
      <c r="G6367" s="28">
        <f t="shared" si="260"/>
        <v>1040.1513</v>
      </c>
      <c r="H6367" s="28">
        <f t="shared" si="261"/>
        <v>1084.0354</v>
      </c>
      <c r="I6367" s="28">
        <f t="shared" si="262"/>
        <v>1106.4021</v>
      </c>
      <c r="J6367" s="28">
        <f t="shared" si="263"/>
        <v>1124.1587</v>
      </c>
      <c r="K6367" s="28">
        <f t="shared" si="264"/>
        <v>1155.1137000000001</v>
      </c>
      <c r="L6367" s="4"/>
      <c r="M6367" s="241">
        <v>1106.4021</v>
      </c>
    </row>
    <row r="6368" spans="3:13" hidden="1" outlineLevel="1" x14ac:dyDescent="0.2">
      <c r="C6368" s="139">
        <v>150.99999999999571</v>
      </c>
      <c r="D6368" s="28">
        <f t="shared" si="257"/>
        <v>1207.9999999999657</v>
      </c>
      <c r="E6368" s="28">
        <f t="shared" si="258"/>
        <v>1132.4999999999677</v>
      </c>
      <c r="F6368" s="28">
        <f t="shared" si="259"/>
        <v>1114.4999999999677</v>
      </c>
      <c r="G6368" s="28">
        <f t="shared" si="260"/>
        <v>1041.1197999999999</v>
      </c>
      <c r="H6368" s="28">
        <f t="shared" si="261"/>
        <v>1085.0434</v>
      </c>
      <c r="I6368" s="28">
        <f t="shared" si="262"/>
        <v>1107.4302</v>
      </c>
      <c r="J6368" s="28">
        <f t="shared" si="263"/>
        <v>1125.1874</v>
      </c>
      <c r="K6368" s="28">
        <f t="shared" si="264"/>
        <v>1156.1514999999999</v>
      </c>
      <c r="L6368" s="4"/>
      <c r="M6368" s="241">
        <v>1107.4302</v>
      </c>
    </row>
    <row r="6369" spans="3:13" hidden="1" outlineLevel="1" x14ac:dyDescent="0.2">
      <c r="C6369" s="139">
        <v>151.0999999999957</v>
      </c>
      <c r="D6369" s="28">
        <f t="shared" si="257"/>
        <v>1208.7999999999656</v>
      </c>
      <c r="E6369" s="28">
        <f t="shared" si="258"/>
        <v>1133.2499999999677</v>
      </c>
      <c r="F6369" s="28">
        <f t="shared" si="259"/>
        <v>1115.2499999999677</v>
      </c>
      <c r="G6369" s="28">
        <f t="shared" si="260"/>
        <v>1042.0884000000001</v>
      </c>
      <c r="H6369" s="28">
        <f t="shared" si="261"/>
        <v>1086.0344</v>
      </c>
      <c r="I6369" s="28">
        <f t="shared" si="262"/>
        <v>1108.4413</v>
      </c>
      <c r="J6369" s="28">
        <f t="shared" si="263"/>
        <v>1126.1975</v>
      </c>
      <c r="K6369" s="28">
        <f t="shared" si="264"/>
        <v>1157.2081000000001</v>
      </c>
      <c r="L6369" s="4"/>
      <c r="M6369" s="241">
        <v>1108.4413</v>
      </c>
    </row>
    <row r="6370" spans="3:13" hidden="1" outlineLevel="1" x14ac:dyDescent="0.2">
      <c r="C6370" s="139">
        <v>151.1999999999957</v>
      </c>
      <c r="D6370" s="28">
        <f t="shared" si="257"/>
        <v>1209.5999999999656</v>
      </c>
      <c r="E6370" s="28">
        <f t="shared" si="258"/>
        <v>1133.9999999999677</v>
      </c>
      <c r="F6370" s="28">
        <f t="shared" si="259"/>
        <v>1115.9999999999677</v>
      </c>
      <c r="G6370" s="28">
        <f t="shared" si="260"/>
        <v>1042.0884000000001</v>
      </c>
      <c r="H6370" s="28">
        <f t="shared" si="261"/>
        <v>1086.0344</v>
      </c>
      <c r="I6370" s="28">
        <f t="shared" si="262"/>
        <v>1108.4413</v>
      </c>
      <c r="J6370" s="28">
        <f t="shared" si="263"/>
        <v>1126.1975</v>
      </c>
      <c r="K6370" s="28">
        <f t="shared" si="264"/>
        <v>1157.2081000000001</v>
      </c>
      <c r="L6370" s="4"/>
      <c r="M6370" s="241">
        <v>1108.4413</v>
      </c>
    </row>
    <row r="6371" spans="3:13" hidden="1" outlineLevel="1" x14ac:dyDescent="0.2">
      <c r="C6371" s="139">
        <v>151.29999999999569</v>
      </c>
      <c r="D6371" s="28">
        <f t="shared" si="257"/>
        <v>1210.3999999999655</v>
      </c>
      <c r="E6371" s="28">
        <f t="shared" si="258"/>
        <v>1134.7499999999677</v>
      </c>
      <c r="F6371" s="28">
        <f t="shared" si="259"/>
        <v>1116.7499999999677</v>
      </c>
      <c r="G6371" s="28">
        <f t="shared" si="260"/>
        <v>1043.0741</v>
      </c>
      <c r="H6371" s="28">
        <f t="shared" si="261"/>
        <v>1087.0425</v>
      </c>
      <c r="I6371" s="28">
        <f t="shared" si="262"/>
        <v>1109.4523999999999</v>
      </c>
      <c r="J6371" s="28">
        <f t="shared" si="263"/>
        <v>1127.2262000000001</v>
      </c>
      <c r="K6371" s="28">
        <f t="shared" si="264"/>
        <v>1158.2646999999999</v>
      </c>
      <c r="L6371" s="4"/>
      <c r="M6371" s="241">
        <v>1109.4523999999999</v>
      </c>
    </row>
    <row r="6372" spans="3:13" hidden="1" outlineLevel="1" x14ac:dyDescent="0.2">
      <c r="C6372" s="139">
        <v>151.39999999999569</v>
      </c>
      <c r="D6372" s="28">
        <f t="shared" si="257"/>
        <v>1211.1999999999655</v>
      </c>
      <c r="E6372" s="28">
        <f t="shared" si="258"/>
        <v>1135.4999999999677</v>
      </c>
      <c r="F6372" s="28">
        <f t="shared" si="259"/>
        <v>1117.4999999999677</v>
      </c>
      <c r="G6372" s="28">
        <f t="shared" si="260"/>
        <v>1044.0428999999999</v>
      </c>
      <c r="H6372" s="28">
        <f t="shared" si="261"/>
        <v>1088.0336</v>
      </c>
      <c r="I6372" s="28">
        <f t="shared" si="262"/>
        <v>1110.4636</v>
      </c>
      <c r="J6372" s="28">
        <f t="shared" si="263"/>
        <v>1128.2550000000001</v>
      </c>
      <c r="K6372" s="28">
        <f t="shared" si="264"/>
        <v>1159.3025</v>
      </c>
      <c r="L6372" s="4"/>
      <c r="M6372" s="241">
        <v>1110.4636</v>
      </c>
    </row>
    <row r="6373" spans="3:13" hidden="1" outlineLevel="1" x14ac:dyDescent="0.2">
      <c r="C6373" s="139">
        <v>151.49999999999568</v>
      </c>
      <c r="D6373" s="28">
        <f t="shared" si="257"/>
        <v>1211.9999999999654</v>
      </c>
      <c r="E6373" s="28">
        <f t="shared" si="258"/>
        <v>1136.2499999999677</v>
      </c>
      <c r="F6373" s="28">
        <f t="shared" si="259"/>
        <v>1118.2499999999677</v>
      </c>
      <c r="G6373" s="28">
        <f t="shared" si="260"/>
        <v>1045.0117</v>
      </c>
      <c r="H6373" s="28">
        <f t="shared" si="261"/>
        <v>1089.0246999999999</v>
      </c>
      <c r="I6373" s="28">
        <f t="shared" si="262"/>
        <v>1111.4748</v>
      </c>
      <c r="J6373" s="28">
        <f t="shared" si="263"/>
        <v>1129.2838999999999</v>
      </c>
      <c r="K6373" s="28">
        <f t="shared" si="264"/>
        <v>1160.3592000000001</v>
      </c>
      <c r="L6373" s="4"/>
      <c r="M6373" s="241">
        <v>1111.4748</v>
      </c>
    </row>
    <row r="6374" spans="3:13" hidden="1" outlineLevel="1" x14ac:dyDescent="0.2">
      <c r="C6374" s="139">
        <v>151.59999999999567</v>
      </c>
      <c r="D6374" s="28">
        <f t="shared" si="257"/>
        <v>1212.7999999999654</v>
      </c>
      <c r="E6374" s="28">
        <f t="shared" si="258"/>
        <v>1136.9999999999675</v>
      </c>
      <c r="F6374" s="28">
        <f t="shared" si="259"/>
        <v>1118.9999999999675</v>
      </c>
      <c r="G6374" s="28">
        <f t="shared" si="260"/>
        <v>1045.0117</v>
      </c>
      <c r="H6374" s="28">
        <f t="shared" si="261"/>
        <v>1089.0246999999999</v>
      </c>
      <c r="I6374" s="28">
        <f t="shared" si="262"/>
        <v>1111.4748</v>
      </c>
      <c r="J6374" s="28">
        <f t="shared" si="263"/>
        <v>1129.2838999999999</v>
      </c>
      <c r="K6374" s="28">
        <f t="shared" si="264"/>
        <v>1160.3592000000001</v>
      </c>
      <c r="L6374" s="4"/>
      <c r="M6374" s="241">
        <v>1111.4748</v>
      </c>
    </row>
    <row r="6375" spans="3:13" hidden="1" outlineLevel="1" x14ac:dyDescent="0.2">
      <c r="C6375" s="139">
        <v>151.69999999999567</v>
      </c>
      <c r="D6375" s="28">
        <f t="shared" si="257"/>
        <v>1213.5999999999653</v>
      </c>
      <c r="E6375" s="28">
        <f t="shared" si="258"/>
        <v>1137.7499999999675</v>
      </c>
      <c r="F6375" s="28">
        <f t="shared" si="259"/>
        <v>1119.7499999999675</v>
      </c>
      <c r="G6375" s="28">
        <f t="shared" si="260"/>
        <v>1045.9804999999999</v>
      </c>
      <c r="H6375" s="28">
        <f t="shared" si="261"/>
        <v>1090.0329999999999</v>
      </c>
      <c r="I6375" s="28">
        <f t="shared" si="262"/>
        <v>1112.4860000000001</v>
      </c>
      <c r="J6375" s="28">
        <f t="shared" si="263"/>
        <v>1130.3127999999999</v>
      </c>
      <c r="K6375" s="28">
        <f t="shared" si="264"/>
        <v>1161.4158</v>
      </c>
      <c r="L6375" s="4"/>
      <c r="M6375" s="241">
        <v>1112.4860000000001</v>
      </c>
    </row>
    <row r="6376" spans="3:13" hidden="1" outlineLevel="1" x14ac:dyDescent="0.2">
      <c r="C6376" s="139">
        <v>151.79999999999566</v>
      </c>
      <c r="D6376" s="28">
        <f t="shared" si="257"/>
        <v>1214.3999999999653</v>
      </c>
      <c r="E6376" s="28">
        <f t="shared" si="258"/>
        <v>1138.4999999999675</v>
      </c>
      <c r="F6376" s="28">
        <f t="shared" si="259"/>
        <v>1120.4999999999675</v>
      </c>
      <c r="G6376" s="28">
        <f t="shared" si="260"/>
        <v>1046.9666</v>
      </c>
      <c r="H6376" s="28">
        <f t="shared" si="261"/>
        <v>1091.0242000000001</v>
      </c>
      <c r="I6376" s="28">
        <f t="shared" si="262"/>
        <v>1113.5144</v>
      </c>
      <c r="J6376" s="28">
        <f t="shared" si="263"/>
        <v>1131.3416999999999</v>
      </c>
      <c r="K6376" s="28">
        <f t="shared" si="264"/>
        <v>1162.4725000000001</v>
      </c>
      <c r="L6376" s="4"/>
      <c r="M6376" s="241">
        <v>1113.5144</v>
      </c>
    </row>
    <row r="6377" spans="3:13" hidden="1" outlineLevel="1" x14ac:dyDescent="0.2">
      <c r="C6377" s="139">
        <v>151.89999999999566</v>
      </c>
      <c r="D6377" s="28">
        <f t="shared" si="257"/>
        <v>1215.1999999999653</v>
      </c>
      <c r="E6377" s="28">
        <f t="shared" si="258"/>
        <v>1139.2499999999675</v>
      </c>
      <c r="F6377" s="28">
        <f t="shared" si="259"/>
        <v>1121.2499999999675</v>
      </c>
      <c r="G6377" s="28">
        <f t="shared" si="260"/>
        <v>1047.9356</v>
      </c>
      <c r="H6377" s="28">
        <f t="shared" si="261"/>
        <v>1092.0325</v>
      </c>
      <c r="I6377" s="28">
        <f t="shared" si="262"/>
        <v>1114.5256999999999</v>
      </c>
      <c r="J6377" s="28">
        <f t="shared" si="263"/>
        <v>1132.3706</v>
      </c>
      <c r="K6377" s="28">
        <f t="shared" si="264"/>
        <v>1163.5105000000001</v>
      </c>
      <c r="L6377" s="4"/>
      <c r="M6377" s="241">
        <v>1114.5256999999999</v>
      </c>
    </row>
    <row r="6378" spans="3:13" hidden="1" outlineLevel="1" x14ac:dyDescent="0.2">
      <c r="C6378" s="139">
        <v>151.99999999999565</v>
      </c>
      <c r="D6378" s="28">
        <f t="shared" si="257"/>
        <v>1215.9999999999652</v>
      </c>
      <c r="E6378" s="28">
        <f t="shared" si="258"/>
        <v>1139.9999999999675</v>
      </c>
      <c r="F6378" s="28">
        <f t="shared" si="259"/>
        <v>1121.9999999999675</v>
      </c>
      <c r="G6378" s="28">
        <f t="shared" si="260"/>
        <v>1047.9356</v>
      </c>
      <c r="H6378" s="28">
        <f t="shared" si="261"/>
        <v>1092.0325</v>
      </c>
      <c r="I6378" s="28">
        <f t="shared" si="262"/>
        <v>1114.5256999999999</v>
      </c>
      <c r="J6378" s="28">
        <f t="shared" si="263"/>
        <v>1132.3706</v>
      </c>
      <c r="K6378" s="28">
        <f t="shared" si="264"/>
        <v>1163.5105000000001</v>
      </c>
      <c r="L6378" s="4"/>
      <c r="M6378" s="241">
        <v>1114.5256999999999</v>
      </c>
    </row>
    <row r="6379" spans="3:13" hidden="1" outlineLevel="1" x14ac:dyDescent="0.2">
      <c r="C6379" s="139">
        <v>152.09999999999565</v>
      </c>
      <c r="D6379" s="28">
        <f t="shared" si="257"/>
        <v>1216.7999999999652</v>
      </c>
      <c r="E6379" s="28">
        <f t="shared" si="258"/>
        <v>1140.7499999999673</v>
      </c>
      <c r="F6379" s="28">
        <f t="shared" si="259"/>
        <v>1122.7499999999673</v>
      </c>
      <c r="G6379" s="28">
        <f t="shared" si="260"/>
        <v>1048.9046000000001</v>
      </c>
      <c r="H6379" s="28">
        <f t="shared" si="261"/>
        <v>1093.0237999999999</v>
      </c>
      <c r="I6379" s="28">
        <f t="shared" si="262"/>
        <v>1115.5371</v>
      </c>
      <c r="J6379" s="28">
        <f t="shared" si="263"/>
        <v>1133.3996</v>
      </c>
      <c r="K6379" s="28">
        <f t="shared" si="264"/>
        <v>1164.5672</v>
      </c>
      <c r="L6379" s="4"/>
      <c r="M6379" s="241">
        <v>1115.5371</v>
      </c>
    </row>
    <row r="6380" spans="3:13" hidden="1" outlineLevel="1" x14ac:dyDescent="0.2">
      <c r="C6380" s="139">
        <v>152.19999999999564</v>
      </c>
      <c r="D6380" s="28">
        <f t="shared" si="257"/>
        <v>1217.5999999999651</v>
      </c>
      <c r="E6380" s="28">
        <f t="shared" si="258"/>
        <v>1141.4999999999673</v>
      </c>
      <c r="F6380" s="28">
        <f t="shared" si="259"/>
        <v>1123.4999999999673</v>
      </c>
      <c r="G6380" s="28">
        <f t="shared" si="260"/>
        <v>1049.8737000000001</v>
      </c>
      <c r="H6380" s="28">
        <f t="shared" si="261"/>
        <v>1094.0322000000001</v>
      </c>
      <c r="I6380" s="28">
        <f t="shared" si="262"/>
        <v>1116.5483999999999</v>
      </c>
      <c r="J6380" s="28">
        <f t="shared" si="263"/>
        <v>1134.4286</v>
      </c>
      <c r="K6380" s="28">
        <f t="shared" si="264"/>
        <v>1165.624</v>
      </c>
      <c r="L6380" s="4"/>
      <c r="M6380" s="241">
        <v>1116.5483999999999</v>
      </c>
    </row>
    <row r="6381" spans="3:13" hidden="1" outlineLevel="1" x14ac:dyDescent="0.2">
      <c r="C6381" s="139">
        <v>152.29999999999563</v>
      </c>
      <c r="D6381" s="28">
        <f t="shared" si="257"/>
        <v>1218.3999999999651</v>
      </c>
      <c r="E6381" s="28">
        <f t="shared" si="258"/>
        <v>1142.2499999999673</v>
      </c>
      <c r="F6381" s="28">
        <f t="shared" si="259"/>
        <v>1124.2499999999673</v>
      </c>
      <c r="G6381" s="28">
        <f t="shared" si="260"/>
        <v>1050.8601000000001</v>
      </c>
      <c r="H6381" s="28">
        <f t="shared" si="261"/>
        <v>1095.0236</v>
      </c>
      <c r="I6381" s="28">
        <f t="shared" si="262"/>
        <v>1117.5598</v>
      </c>
      <c r="J6381" s="28">
        <f t="shared" si="263"/>
        <v>1135.4387999999999</v>
      </c>
      <c r="K6381" s="28">
        <f t="shared" si="264"/>
        <v>1166.662</v>
      </c>
      <c r="L6381" s="4"/>
      <c r="M6381" s="241">
        <v>1117.5598</v>
      </c>
    </row>
    <row r="6382" spans="3:13" hidden="1" outlineLevel="1" x14ac:dyDescent="0.2">
      <c r="C6382" s="139">
        <v>152.39999999999563</v>
      </c>
      <c r="D6382" s="28">
        <f t="shared" si="257"/>
        <v>1219.199999999965</v>
      </c>
      <c r="E6382" s="28">
        <f t="shared" si="258"/>
        <v>1142.9999999999673</v>
      </c>
      <c r="F6382" s="28">
        <f t="shared" si="259"/>
        <v>1124.9999999999673</v>
      </c>
      <c r="G6382" s="28">
        <f t="shared" si="260"/>
        <v>1050.8601000000001</v>
      </c>
      <c r="H6382" s="28">
        <f t="shared" si="261"/>
        <v>1095.0236</v>
      </c>
      <c r="I6382" s="28">
        <f t="shared" si="262"/>
        <v>1117.5598</v>
      </c>
      <c r="J6382" s="28">
        <f t="shared" si="263"/>
        <v>1135.4387999999999</v>
      </c>
      <c r="K6382" s="28">
        <f t="shared" si="264"/>
        <v>1166.662</v>
      </c>
      <c r="L6382" s="4"/>
      <c r="M6382" s="241">
        <v>1117.5598</v>
      </c>
    </row>
    <row r="6383" spans="3:13" hidden="1" outlineLevel="1" x14ac:dyDescent="0.2">
      <c r="C6383" s="139">
        <v>152.49999999999562</v>
      </c>
      <c r="D6383" s="28">
        <f t="shared" si="257"/>
        <v>1219.999999999965</v>
      </c>
      <c r="E6383" s="28">
        <f t="shared" si="258"/>
        <v>1143.7499999999673</v>
      </c>
      <c r="F6383" s="28">
        <f t="shared" si="259"/>
        <v>1125.7499999999673</v>
      </c>
      <c r="G6383" s="28">
        <f t="shared" si="260"/>
        <v>1051.8293000000001</v>
      </c>
      <c r="H6383" s="28">
        <f t="shared" si="261"/>
        <v>1096.0320999999999</v>
      </c>
      <c r="I6383" s="28">
        <f t="shared" si="262"/>
        <v>1118.5713000000001</v>
      </c>
      <c r="J6383" s="28">
        <f t="shared" si="263"/>
        <v>1136.4677999999999</v>
      </c>
      <c r="K6383" s="28">
        <f t="shared" si="264"/>
        <v>1167.7188000000001</v>
      </c>
      <c r="L6383" s="4"/>
      <c r="M6383" s="241">
        <v>1118.5713000000001</v>
      </c>
    </row>
    <row r="6384" spans="3:13" hidden="1" outlineLevel="1" x14ac:dyDescent="0.2">
      <c r="C6384" s="139">
        <v>152.59999999999562</v>
      </c>
      <c r="D6384" s="28">
        <f t="shared" si="257"/>
        <v>1220.7999999999649</v>
      </c>
      <c r="E6384" s="28">
        <f t="shared" si="258"/>
        <v>1144.499999999967</v>
      </c>
      <c r="F6384" s="28">
        <f t="shared" si="259"/>
        <v>1126.499999999967</v>
      </c>
      <c r="G6384" s="28">
        <f t="shared" si="260"/>
        <v>1052.7987000000001</v>
      </c>
      <c r="H6384" s="28">
        <f t="shared" si="261"/>
        <v>1097.0236</v>
      </c>
      <c r="I6384" s="28">
        <f t="shared" si="262"/>
        <v>1119.5998999999999</v>
      </c>
      <c r="J6384" s="28">
        <f t="shared" si="263"/>
        <v>1137.4969000000001</v>
      </c>
      <c r="K6384" s="28">
        <f t="shared" si="264"/>
        <v>1168.7756999999999</v>
      </c>
      <c r="L6384" s="4"/>
      <c r="M6384" s="241">
        <v>1119.5998999999999</v>
      </c>
    </row>
    <row r="6385" spans="3:13" hidden="1" outlineLevel="1" x14ac:dyDescent="0.2">
      <c r="C6385" s="139">
        <v>152.69999999999561</v>
      </c>
      <c r="D6385" s="28">
        <f t="shared" si="257"/>
        <v>1221.5999999999649</v>
      </c>
      <c r="E6385" s="28">
        <f t="shared" si="258"/>
        <v>1145.249999999967</v>
      </c>
      <c r="F6385" s="28">
        <f t="shared" si="259"/>
        <v>1127.249999999967</v>
      </c>
      <c r="G6385" s="28">
        <f t="shared" si="260"/>
        <v>1053.768</v>
      </c>
      <c r="H6385" s="28">
        <f t="shared" si="261"/>
        <v>1098.0322000000001</v>
      </c>
      <c r="I6385" s="28">
        <f t="shared" si="262"/>
        <v>1120.6114</v>
      </c>
      <c r="J6385" s="28">
        <f t="shared" si="263"/>
        <v>1138.5261</v>
      </c>
      <c r="K6385" s="28">
        <f t="shared" si="264"/>
        <v>1169.8136999999999</v>
      </c>
      <c r="L6385" s="4"/>
      <c r="M6385" s="241">
        <v>1120.6114</v>
      </c>
    </row>
    <row r="6386" spans="3:13" hidden="1" outlineLevel="1" x14ac:dyDescent="0.2">
      <c r="C6386" s="139">
        <v>152.79999999999561</v>
      </c>
      <c r="D6386" s="28">
        <f t="shared" si="257"/>
        <v>1222.3999999999648</v>
      </c>
      <c r="E6386" s="28">
        <f t="shared" si="258"/>
        <v>1145.999999999967</v>
      </c>
      <c r="F6386" s="28">
        <f t="shared" si="259"/>
        <v>1127.999999999967</v>
      </c>
      <c r="G6386" s="28">
        <f t="shared" si="260"/>
        <v>1053.768</v>
      </c>
      <c r="H6386" s="28">
        <f t="shared" si="261"/>
        <v>1098.0322000000001</v>
      </c>
      <c r="I6386" s="28">
        <f t="shared" si="262"/>
        <v>1120.6114</v>
      </c>
      <c r="J6386" s="28">
        <f t="shared" si="263"/>
        <v>1138.5261</v>
      </c>
      <c r="K6386" s="28">
        <f t="shared" si="264"/>
        <v>1169.8136999999999</v>
      </c>
      <c r="L6386" s="4"/>
      <c r="M6386" s="241">
        <v>1120.6114</v>
      </c>
    </row>
    <row r="6387" spans="3:13" hidden="1" outlineLevel="1" x14ac:dyDescent="0.2">
      <c r="C6387" s="139">
        <v>152.8999999999956</v>
      </c>
      <c r="D6387" s="28">
        <f t="shared" si="257"/>
        <v>1223.1999999999648</v>
      </c>
      <c r="E6387" s="28">
        <f t="shared" si="258"/>
        <v>1146.749999999967</v>
      </c>
      <c r="F6387" s="28">
        <f t="shared" si="259"/>
        <v>1128.749999999967</v>
      </c>
      <c r="G6387" s="28">
        <f t="shared" si="260"/>
        <v>1054.7375</v>
      </c>
      <c r="H6387" s="28">
        <f t="shared" si="261"/>
        <v>1099.0237</v>
      </c>
      <c r="I6387" s="28">
        <f t="shared" si="262"/>
        <v>1121.623</v>
      </c>
      <c r="J6387" s="28">
        <f t="shared" si="263"/>
        <v>1139.5552</v>
      </c>
      <c r="K6387" s="28">
        <f t="shared" si="264"/>
        <v>1170.8706</v>
      </c>
      <c r="L6387" s="4"/>
      <c r="M6387" s="241">
        <v>1121.623</v>
      </c>
    </row>
    <row r="6388" spans="3:13" hidden="1" outlineLevel="1" x14ac:dyDescent="0.2">
      <c r="C6388" s="139">
        <v>152.99999999999559</v>
      </c>
      <c r="D6388" s="28">
        <f t="shared" si="257"/>
        <v>1223.9999999999648</v>
      </c>
      <c r="E6388" s="28">
        <f t="shared" si="258"/>
        <v>1147.499999999967</v>
      </c>
      <c r="F6388" s="28">
        <f t="shared" si="259"/>
        <v>1129.499999999967</v>
      </c>
      <c r="G6388" s="28">
        <f t="shared" si="260"/>
        <v>1055.7242000000001</v>
      </c>
      <c r="H6388" s="28">
        <f t="shared" si="261"/>
        <v>1100.0153</v>
      </c>
      <c r="I6388" s="28">
        <f t="shared" si="262"/>
        <v>1122.6346000000001</v>
      </c>
      <c r="J6388" s="28">
        <f t="shared" si="263"/>
        <v>1140.5844</v>
      </c>
      <c r="K6388" s="28">
        <f t="shared" si="264"/>
        <v>1171.9275</v>
      </c>
      <c r="L6388" s="4"/>
      <c r="M6388" s="241">
        <v>1122.6346000000001</v>
      </c>
    </row>
    <row r="6389" spans="3:13" hidden="1" outlineLevel="1" x14ac:dyDescent="0.2">
      <c r="C6389" s="139">
        <v>153.09999999999559</v>
      </c>
      <c r="D6389" s="28">
        <f t="shared" si="257"/>
        <v>1224.7999999999647</v>
      </c>
      <c r="E6389" s="28">
        <f t="shared" si="258"/>
        <v>1148.2499999999668</v>
      </c>
      <c r="F6389" s="28">
        <f t="shared" si="259"/>
        <v>1130.2499999999668</v>
      </c>
      <c r="G6389" s="28">
        <f t="shared" si="260"/>
        <v>1056.6938</v>
      </c>
      <c r="H6389" s="28">
        <f t="shared" si="261"/>
        <v>1101.0241000000001</v>
      </c>
      <c r="I6389" s="28">
        <f t="shared" si="262"/>
        <v>1123.6461999999999</v>
      </c>
      <c r="J6389" s="28">
        <f t="shared" si="263"/>
        <v>1141.6135999999999</v>
      </c>
      <c r="K6389" s="28">
        <f t="shared" si="264"/>
        <v>1172.9656</v>
      </c>
      <c r="L6389" s="4"/>
      <c r="M6389" s="241">
        <v>1123.6461999999999</v>
      </c>
    </row>
    <row r="6390" spans="3:13" hidden="1" outlineLevel="1" x14ac:dyDescent="0.2">
      <c r="C6390" s="139">
        <v>153.19999999999558</v>
      </c>
      <c r="D6390" s="28">
        <f t="shared" si="257"/>
        <v>1225.5999999999647</v>
      </c>
      <c r="E6390" s="28">
        <f t="shared" si="258"/>
        <v>1148.9999999999668</v>
      </c>
      <c r="F6390" s="28">
        <f t="shared" si="259"/>
        <v>1130.9999999999668</v>
      </c>
      <c r="G6390" s="28">
        <f t="shared" si="260"/>
        <v>1056.6938</v>
      </c>
      <c r="H6390" s="28">
        <f t="shared" si="261"/>
        <v>1101.0241000000001</v>
      </c>
      <c r="I6390" s="28">
        <f t="shared" si="262"/>
        <v>1123.6461999999999</v>
      </c>
      <c r="J6390" s="28">
        <f t="shared" si="263"/>
        <v>1141.6135999999999</v>
      </c>
      <c r="K6390" s="28">
        <f t="shared" si="264"/>
        <v>1172.9656</v>
      </c>
      <c r="L6390" s="4"/>
      <c r="M6390" s="241">
        <v>1123.6461999999999</v>
      </c>
    </row>
    <row r="6391" spans="3:13" hidden="1" outlineLevel="1" x14ac:dyDescent="0.2">
      <c r="C6391" s="139">
        <v>153.29999999999558</v>
      </c>
      <c r="D6391" s="28">
        <f t="shared" si="257"/>
        <v>1226.3999999999646</v>
      </c>
      <c r="E6391" s="28">
        <f t="shared" si="258"/>
        <v>1149.7499999999668</v>
      </c>
      <c r="F6391" s="28">
        <f t="shared" si="259"/>
        <v>1131.7499999999668</v>
      </c>
      <c r="G6391" s="28">
        <f t="shared" si="260"/>
        <v>1057.6633999999999</v>
      </c>
      <c r="H6391" s="28">
        <f t="shared" si="261"/>
        <v>1102.0156999999999</v>
      </c>
      <c r="I6391" s="28">
        <f t="shared" si="262"/>
        <v>1124.6578</v>
      </c>
      <c r="J6391" s="28">
        <f t="shared" si="263"/>
        <v>1142.6429000000001</v>
      </c>
      <c r="K6391" s="28">
        <f t="shared" si="264"/>
        <v>1174.0226</v>
      </c>
      <c r="L6391" s="4"/>
      <c r="M6391" s="241">
        <v>1124.6578</v>
      </c>
    </row>
    <row r="6392" spans="3:13" hidden="1" outlineLevel="1" x14ac:dyDescent="0.2">
      <c r="C6392" s="139">
        <v>153.39999999999557</v>
      </c>
      <c r="D6392" s="28">
        <f t="shared" si="257"/>
        <v>1227.1999999999646</v>
      </c>
      <c r="E6392" s="28">
        <f t="shared" si="258"/>
        <v>1150.4999999999668</v>
      </c>
      <c r="F6392" s="28">
        <f t="shared" si="259"/>
        <v>1132.4999999999668</v>
      </c>
      <c r="G6392" s="28">
        <f t="shared" si="260"/>
        <v>1058.6331</v>
      </c>
      <c r="H6392" s="28">
        <f t="shared" si="261"/>
        <v>1103.0246</v>
      </c>
      <c r="I6392" s="28">
        <f t="shared" si="262"/>
        <v>1125.6867</v>
      </c>
      <c r="J6392" s="28">
        <f t="shared" si="263"/>
        <v>1143.6722</v>
      </c>
      <c r="K6392" s="28">
        <f t="shared" si="264"/>
        <v>1175.0796</v>
      </c>
      <c r="L6392" s="4"/>
      <c r="M6392" s="241">
        <v>1125.6867</v>
      </c>
    </row>
    <row r="6393" spans="3:13" hidden="1" outlineLevel="1" x14ac:dyDescent="0.2">
      <c r="C6393" s="139">
        <v>153.49999999999557</v>
      </c>
      <c r="D6393" s="28">
        <f t="shared" si="257"/>
        <v>1227.9999999999645</v>
      </c>
      <c r="E6393" s="28">
        <f t="shared" si="258"/>
        <v>1151.2499999999668</v>
      </c>
      <c r="F6393" s="28">
        <f t="shared" si="259"/>
        <v>1133.2499999999668</v>
      </c>
      <c r="G6393" s="28">
        <f t="shared" si="260"/>
        <v>1059.6029000000001</v>
      </c>
      <c r="H6393" s="28">
        <f t="shared" si="261"/>
        <v>1104.0163</v>
      </c>
      <c r="I6393" s="28">
        <f t="shared" si="262"/>
        <v>1126.6984</v>
      </c>
      <c r="J6393" s="28">
        <f t="shared" si="263"/>
        <v>1144.6824999999999</v>
      </c>
      <c r="K6393" s="28">
        <f t="shared" si="264"/>
        <v>1176.1177</v>
      </c>
      <c r="L6393" s="4"/>
      <c r="M6393" s="241">
        <v>1126.6984</v>
      </c>
    </row>
    <row r="6394" spans="3:13" hidden="1" outlineLevel="1" x14ac:dyDescent="0.2">
      <c r="C6394" s="139">
        <v>153.59999999999556</v>
      </c>
      <c r="D6394" s="28">
        <f t="shared" si="257"/>
        <v>1228.7999999999645</v>
      </c>
      <c r="E6394" s="28">
        <f t="shared" si="258"/>
        <v>1151.9999999999668</v>
      </c>
      <c r="F6394" s="28">
        <f t="shared" si="259"/>
        <v>1133.9999999999668</v>
      </c>
      <c r="G6394" s="28">
        <f t="shared" si="260"/>
        <v>1059.6029000000001</v>
      </c>
      <c r="H6394" s="28">
        <f t="shared" si="261"/>
        <v>1104.0163</v>
      </c>
      <c r="I6394" s="28">
        <f t="shared" si="262"/>
        <v>1126.6984</v>
      </c>
      <c r="J6394" s="28">
        <f t="shared" si="263"/>
        <v>1144.6824999999999</v>
      </c>
      <c r="K6394" s="28">
        <f t="shared" si="264"/>
        <v>1176.1177</v>
      </c>
      <c r="L6394" s="4"/>
      <c r="M6394" s="241">
        <v>1126.6984</v>
      </c>
    </row>
    <row r="6395" spans="3:13" hidden="1" outlineLevel="1" x14ac:dyDescent="0.2">
      <c r="C6395" s="139">
        <v>153.69999999999555</v>
      </c>
      <c r="D6395" s="28">
        <f t="shared" ref="D6395:D6458" si="265">C6395*Channels.per.TRX</f>
        <v>1229.5999999999644</v>
      </c>
      <c r="E6395" s="28">
        <f t="shared" ref="E6395:E6458" si="266">D6395-C6395*sig.channel.per.TRX</f>
        <v>1152.7499999999666</v>
      </c>
      <c r="F6395" s="28">
        <f t="shared" ref="F6395:F6458" si="267">MAX(0,E6395-GPRS.channel.per.sector)</f>
        <v>1134.7499999999666</v>
      </c>
      <c r="G6395" s="28">
        <f t="shared" ref="G6395:G6458" si="268">INDEX(D$10:D$4326,MATCH($F6395,$C$10:$C$4326,1))</f>
        <v>1060.5899999999999</v>
      </c>
      <c r="H6395" s="28">
        <f t="shared" ref="H6395:H6458" si="269">INDEX(E$10:E$4326,MATCH($F6395,$C$10:$C$4326,1))</f>
        <v>1105.0253</v>
      </c>
      <c r="I6395" s="28">
        <f t="shared" ref="I6395:I6458" si="270">INDEX(F$10:F$4326,MATCH($F6395,$C$10:$C$4326,1))</f>
        <v>1127.7102</v>
      </c>
      <c r="J6395" s="28">
        <f t="shared" ref="J6395:J6458" si="271">INDEX(G$10:G$4326,MATCH($F6395,$C$10:$C$4326,1))</f>
        <v>1145.7119</v>
      </c>
      <c r="K6395" s="28">
        <f t="shared" ref="K6395:K6458" si="272">INDEX(H$10:H$4326,MATCH($F6395,$C$10:$C$4326,1))</f>
        <v>1177.1747</v>
      </c>
      <c r="L6395" s="4"/>
      <c r="M6395" s="241">
        <v>1127.7102</v>
      </c>
    </row>
    <row r="6396" spans="3:13" hidden="1" outlineLevel="1" x14ac:dyDescent="0.2">
      <c r="C6396" s="139">
        <v>153.79999999999555</v>
      </c>
      <c r="D6396" s="28">
        <f t="shared" si="265"/>
        <v>1230.3999999999644</v>
      </c>
      <c r="E6396" s="28">
        <f t="shared" si="266"/>
        <v>1153.4999999999666</v>
      </c>
      <c r="F6396" s="28">
        <f t="shared" si="267"/>
        <v>1135.4999999999666</v>
      </c>
      <c r="G6396" s="28">
        <f t="shared" si="268"/>
        <v>1061.5599</v>
      </c>
      <c r="H6396" s="28">
        <f t="shared" si="269"/>
        <v>1106.0171</v>
      </c>
      <c r="I6396" s="28">
        <f t="shared" si="270"/>
        <v>1128.722</v>
      </c>
      <c r="J6396" s="28">
        <f t="shared" si="271"/>
        <v>1146.7411999999999</v>
      </c>
      <c r="K6396" s="28">
        <f t="shared" si="272"/>
        <v>1178.2319</v>
      </c>
      <c r="L6396" s="4"/>
      <c r="M6396" s="241">
        <v>1128.722</v>
      </c>
    </row>
    <row r="6397" spans="3:13" hidden="1" outlineLevel="1" x14ac:dyDescent="0.2">
      <c r="C6397" s="139">
        <v>153.89999999999554</v>
      </c>
      <c r="D6397" s="28">
        <f t="shared" si="265"/>
        <v>1231.1999999999643</v>
      </c>
      <c r="E6397" s="28">
        <f t="shared" si="266"/>
        <v>1154.2499999999666</v>
      </c>
      <c r="F6397" s="28">
        <f t="shared" si="267"/>
        <v>1136.2499999999666</v>
      </c>
      <c r="G6397" s="28">
        <f t="shared" si="268"/>
        <v>1062.5299</v>
      </c>
      <c r="H6397" s="28">
        <f t="shared" si="269"/>
        <v>1107.0089</v>
      </c>
      <c r="I6397" s="28">
        <f t="shared" si="270"/>
        <v>1129.7338</v>
      </c>
      <c r="J6397" s="28">
        <f t="shared" si="271"/>
        <v>1147.7706000000001</v>
      </c>
      <c r="K6397" s="28">
        <f t="shared" si="272"/>
        <v>1179.27</v>
      </c>
      <c r="L6397" s="4"/>
      <c r="M6397" s="241">
        <v>1129.7338</v>
      </c>
    </row>
    <row r="6398" spans="3:13" hidden="1" outlineLevel="1" x14ac:dyDescent="0.2">
      <c r="C6398" s="139">
        <v>153.99999999999554</v>
      </c>
      <c r="D6398" s="28">
        <f t="shared" si="265"/>
        <v>1231.9999999999643</v>
      </c>
      <c r="E6398" s="28">
        <f t="shared" si="266"/>
        <v>1154.9999999999666</v>
      </c>
      <c r="F6398" s="28">
        <f t="shared" si="267"/>
        <v>1136.9999999999666</v>
      </c>
      <c r="G6398" s="28">
        <f t="shared" si="268"/>
        <v>1062.5299</v>
      </c>
      <c r="H6398" s="28">
        <f t="shared" si="269"/>
        <v>1107.0089</v>
      </c>
      <c r="I6398" s="28">
        <f t="shared" si="270"/>
        <v>1129.7338</v>
      </c>
      <c r="J6398" s="28">
        <f t="shared" si="271"/>
        <v>1147.7706000000001</v>
      </c>
      <c r="K6398" s="28">
        <f t="shared" si="272"/>
        <v>1179.27</v>
      </c>
      <c r="L6398" s="4"/>
      <c r="M6398" s="241">
        <v>1129.7338</v>
      </c>
    </row>
    <row r="6399" spans="3:13" hidden="1" outlineLevel="1" x14ac:dyDescent="0.2">
      <c r="C6399" s="139">
        <v>154.09999999999553</v>
      </c>
      <c r="D6399" s="28">
        <f t="shared" si="265"/>
        <v>1232.7999999999643</v>
      </c>
      <c r="E6399" s="28">
        <f t="shared" si="266"/>
        <v>1155.7499999999666</v>
      </c>
      <c r="F6399" s="28">
        <f t="shared" si="267"/>
        <v>1137.7499999999666</v>
      </c>
      <c r="G6399" s="28">
        <f t="shared" si="268"/>
        <v>1063.4999</v>
      </c>
      <c r="H6399" s="28">
        <f t="shared" si="269"/>
        <v>1108.0181</v>
      </c>
      <c r="I6399" s="28">
        <f t="shared" si="270"/>
        <v>1130.7456</v>
      </c>
      <c r="J6399" s="28">
        <f t="shared" si="271"/>
        <v>1148.8000999999999</v>
      </c>
      <c r="K6399" s="28">
        <f t="shared" si="272"/>
        <v>1180.3271</v>
      </c>
      <c r="L6399" s="4"/>
      <c r="M6399" s="241">
        <v>1130.7456</v>
      </c>
    </row>
    <row r="6400" spans="3:13" hidden="1" outlineLevel="1" x14ac:dyDescent="0.2">
      <c r="C6400" s="139">
        <v>154.19999999999553</v>
      </c>
      <c r="D6400" s="28">
        <f t="shared" si="265"/>
        <v>1233.5999999999642</v>
      </c>
      <c r="E6400" s="28">
        <f t="shared" si="266"/>
        <v>1156.4999999999663</v>
      </c>
      <c r="F6400" s="28">
        <f t="shared" si="267"/>
        <v>1138.4999999999663</v>
      </c>
      <c r="G6400" s="28">
        <f t="shared" si="268"/>
        <v>1064.47</v>
      </c>
      <c r="H6400" s="28">
        <f t="shared" si="269"/>
        <v>1109.01</v>
      </c>
      <c r="I6400" s="28">
        <f t="shared" si="270"/>
        <v>1131.7574999999999</v>
      </c>
      <c r="J6400" s="28">
        <f t="shared" si="271"/>
        <v>1149.8296</v>
      </c>
      <c r="K6400" s="28">
        <f t="shared" si="272"/>
        <v>1181.3842999999999</v>
      </c>
      <c r="L6400" s="4"/>
      <c r="M6400" s="241">
        <v>1131.7574999999999</v>
      </c>
    </row>
    <row r="6401" spans="3:13" hidden="1" outlineLevel="1" x14ac:dyDescent="0.2">
      <c r="C6401" s="139">
        <v>154.29999999999552</v>
      </c>
      <c r="D6401" s="28">
        <f t="shared" si="265"/>
        <v>1234.3999999999642</v>
      </c>
      <c r="E6401" s="28">
        <f t="shared" si="266"/>
        <v>1157.2499999999663</v>
      </c>
      <c r="F6401" s="28">
        <f t="shared" si="267"/>
        <v>1139.2499999999663</v>
      </c>
      <c r="G6401" s="28">
        <f t="shared" si="268"/>
        <v>1065.4575</v>
      </c>
      <c r="H6401" s="28">
        <f t="shared" si="269"/>
        <v>1110.0192</v>
      </c>
      <c r="I6401" s="28">
        <f t="shared" si="270"/>
        <v>1132.7867000000001</v>
      </c>
      <c r="J6401" s="28">
        <f t="shared" si="271"/>
        <v>1150.8590999999999</v>
      </c>
      <c r="K6401" s="28">
        <f t="shared" si="272"/>
        <v>1182.4224999999999</v>
      </c>
      <c r="L6401" s="4"/>
      <c r="M6401" s="241">
        <v>1132.7867000000001</v>
      </c>
    </row>
    <row r="6402" spans="3:13" hidden="1" outlineLevel="1" x14ac:dyDescent="0.2">
      <c r="C6402" s="139">
        <v>154.39999999999552</v>
      </c>
      <c r="D6402" s="28">
        <f t="shared" si="265"/>
        <v>1235.1999999999641</v>
      </c>
      <c r="E6402" s="28">
        <f t="shared" si="266"/>
        <v>1157.9999999999663</v>
      </c>
      <c r="F6402" s="28">
        <f t="shared" si="267"/>
        <v>1139.9999999999663</v>
      </c>
      <c r="G6402" s="28">
        <f t="shared" si="268"/>
        <v>1065.4575</v>
      </c>
      <c r="H6402" s="28">
        <f t="shared" si="269"/>
        <v>1110.0192</v>
      </c>
      <c r="I6402" s="28">
        <f t="shared" si="270"/>
        <v>1132.7867000000001</v>
      </c>
      <c r="J6402" s="28">
        <f t="shared" si="271"/>
        <v>1150.8590999999999</v>
      </c>
      <c r="K6402" s="28">
        <f t="shared" si="272"/>
        <v>1182.4224999999999</v>
      </c>
      <c r="L6402" s="4"/>
      <c r="M6402" s="241">
        <v>1132.7867000000001</v>
      </c>
    </row>
    <row r="6403" spans="3:13" hidden="1" outlineLevel="1" x14ac:dyDescent="0.2">
      <c r="C6403" s="139">
        <v>154.49999999999551</v>
      </c>
      <c r="D6403" s="28">
        <f t="shared" si="265"/>
        <v>1235.9999999999641</v>
      </c>
      <c r="E6403" s="28">
        <f t="shared" si="266"/>
        <v>1158.7499999999663</v>
      </c>
      <c r="F6403" s="28">
        <f t="shared" si="267"/>
        <v>1140.7499999999663</v>
      </c>
      <c r="G6403" s="28">
        <f t="shared" si="268"/>
        <v>1066.4277999999999</v>
      </c>
      <c r="H6403" s="28">
        <f t="shared" si="269"/>
        <v>1111.0111999999999</v>
      </c>
      <c r="I6403" s="28">
        <f t="shared" si="270"/>
        <v>1133.7987000000001</v>
      </c>
      <c r="J6403" s="28">
        <f t="shared" si="271"/>
        <v>1151.8886</v>
      </c>
      <c r="K6403" s="28">
        <f t="shared" si="272"/>
        <v>1183.4797000000001</v>
      </c>
      <c r="L6403" s="4"/>
      <c r="M6403" s="241">
        <v>1133.7987000000001</v>
      </c>
    </row>
    <row r="6404" spans="3:13" hidden="1" outlineLevel="1" x14ac:dyDescent="0.2">
      <c r="C6404" s="139">
        <v>154.5999999999955</v>
      </c>
      <c r="D6404" s="28">
        <f t="shared" si="265"/>
        <v>1236.799999999964</v>
      </c>
      <c r="E6404" s="28">
        <f t="shared" si="266"/>
        <v>1159.4999999999663</v>
      </c>
      <c r="F6404" s="28">
        <f t="shared" si="267"/>
        <v>1141.4999999999663</v>
      </c>
      <c r="G6404" s="28">
        <f t="shared" si="268"/>
        <v>1067.3979999999999</v>
      </c>
      <c r="H6404" s="28">
        <f t="shared" si="269"/>
        <v>1112.0206000000001</v>
      </c>
      <c r="I6404" s="28">
        <f t="shared" si="270"/>
        <v>1134.8106</v>
      </c>
      <c r="J6404" s="28">
        <f t="shared" si="271"/>
        <v>1152.8991000000001</v>
      </c>
      <c r="K6404" s="28">
        <f t="shared" si="272"/>
        <v>1184.537</v>
      </c>
      <c r="L6404" s="4"/>
      <c r="M6404" s="241">
        <v>1134.8106</v>
      </c>
    </row>
    <row r="6405" spans="3:13" hidden="1" outlineLevel="1" x14ac:dyDescent="0.2">
      <c r="C6405" s="139">
        <v>154.6999999999955</v>
      </c>
      <c r="D6405" s="28">
        <f t="shared" si="265"/>
        <v>1237.599999999964</v>
      </c>
      <c r="E6405" s="28">
        <f t="shared" si="266"/>
        <v>1160.2499999999663</v>
      </c>
      <c r="F6405" s="28">
        <f t="shared" si="267"/>
        <v>1142.2499999999663</v>
      </c>
      <c r="G6405" s="28">
        <f t="shared" si="268"/>
        <v>1068.3684000000001</v>
      </c>
      <c r="H6405" s="28">
        <f t="shared" si="269"/>
        <v>1113.0126</v>
      </c>
      <c r="I6405" s="28">
        <f t="shared" si="270"/>
        <v>1135.8226</v>
      </c>
      <c r="J6405" s="28">
        <f t="shared" si="271"/>
        <v>1153.9286999999999</v>
      </c>
      <c r="K6405" s="28">
        <f t="shared" si="272"/>
        <v>1185.5752</v>
      </c>
      <c r="L6405" s="4"/>
      <c r="M6405" s="241">
        <v>1135.8226</v>
      </c>
    </row>
    <row r="6406" spans="3:13" hidden="1" outlineLevel="1" x14ac:dyDescent="0.2">
      <c r="C6406" s="139">
        <v>154.79999999999549</v>
      </c>
      <c r="D6406" s="28">
        <f t="shared" si="265"/>
        <v>1238.3999999999639</v>
      </c>
      <c r="E6406" s="28">
        <f t="shared" si="266"/>
        <v>1160.9999999999661</v>
      </c>
      <c r="F6406" s="28">
        <f t="shared" si="267"/>
        <v>1142.9999999999661</v>
      </c>
      <c r="G6406" s="28">
        <f t="shared" si="268"/>
        <v>1068.3684000000001</v>
      </c>
      <c r="H6406" s="28">
        <f t="shared" si="269"/>
        <v>1113.0126</v>
      </c>
      <c r="I6406" s="28">
        <f t="shared" si="270"/>
        <v>1135.8226</v>
      </c>
      <c r="J6406" s="28">
        <f t="shared" si="271"/>
        <v>1153.9286999999999</v>
      </c>
      <c r="K6406" s="28">
        <f t="shared" si="272"/>
        <v>1185.5752</v>
      </c>
      <c r="L6406" s="4"/>
      <c r="M6406" s="241">
        <v>1135.8226</v>
      </c>
    </row>
    <row r="6407" spans="3:13" hidden="1" outlineLevel="1" x14ac:dyDescent="0.2">
      <c r="C6407" s="139">
        <v>154.89999999999549</v>
      </c>
      <c r="D6407" s="28">
        <f t="shared" si="265"/>
        <v>1239.1999999999639</v>
      </c>
      <c r="E6407" s="28">
        <f t="shared" si="266"/>
        <v>1161.7499999999661</v>
      </c>
      <c r="F6407" s="28">
        <f t="shared" si="267"/>
        <v>1143.7499999999661</v>
      </c>
      <c r="G6407" s="28">
        <f t="shared" si="268"/>
        <v>1069.3388</v>
      </c>
      <c r="H6407" s="28">
        <f t="shared" si="269"/>
        <v>1114.0047</v>
      </c>
      <c r="I6407" s="28">
        <f t="shared" si="270"/>
        <v>1136.8347000000001</v>
      </c>
      <c r="J6407" s="28">
        <f t="shared" si="271"/>
        <v>1154.9583</v>
      </c>
      <c r="K6407" s="28">
        <f t="shared" si="272"/>
        <v>1186.6324999999999</v>
      </c>
      <c r="L6407" s="4"/>
      <c r="M6407" s="241">
        <v>1136.8347000000001</v>
      </c>
    </row>
    <row r="6408" spans="3:13" hidden="1" outlineLevel="1" x14ac:dyDescent="0.2">
      <c r="C6408" s="139">
        <v>154.99999999999548</v>
      </c>
      <c r="D6408" s="28">
        <f t="shared" si="265"/>
        <v>1239.9999999999638</v>
      </c>
      <c r="E6408" s="28">
        <f t="shared" si="266"/>
        <v>1162.4999999999661</v>
      </c>
      <c r="F6408" s="28">
        <f t="shared" si="267"/>
        <v>1144.4999999999661</v>
      </c>
      <c r="G6408" s="28">
        <f t="shared" si="268"/>
        <v>1070.3092999999999</v>
      </c>
      <c r="H6408" s="28">
        <f t="shared" si="269"/>
        <v>1115.0142000000001</v>
      </c>
      <c r="I6408" s="28">
        <f t="shared" si="270"/>
        <v>1137.8467000000001</v>
      </c>
      <c r="J6408" s="28">
        <f t="shared" si="271"/>
        <v>1155.9879000000001</v>
      </c>
      <c r="K6408" s="28">
        <f t="shared" si="272"/>
        <v>1187.6899000000001</v>
      </c>
      <c r="L6408" s="4"/>
      <c r="M6408" s="241">
        <v>1137.8467000000001</v>
      </c>
    </row>
    <row r="6409" spans="3:13" hidden="1" outlineLevel="1" x14ac:dyDescent="0.2">
      <c r="C6409" s="139">
        <v>155.09999999999548</v>
      </c>
      <c r="D6409" s="28">
        <f t="shared" si="265"/>
        <v>1240.7999999999638</v>
      </c>
      <c r="E6409" s="28">
        <f t="shared" si="266"/>
        <v>1163.2499999999661</v>
      </c>
      <c r="F6409" s="28">
        <f t="shared" si="267"/>
        <v>1145.2499999999661</v>
      </c>
      <c r="G6409" s="28">
        <f t="shared" si="268"/>
        <v>1071.2973</v>
      </c>
      <c r="H6409" s="28">
        <f t="shared" si="269"/>
        <v>1116.0064</v>
      </c>
      <c r="I6409" s="28">
        <f t="shared" si="270"/>
        <v>1138.8588</v>
      </c>
      <c r="J6409" s="28">
        <f t="shared" si="271"/>
        <v>1157.0175999999999</v>
      </c>
      <c r="K6409" s="28">
        <f t="shared" si="272"/>
        <v>1188.7281</v>
      </c>
      <c r="L6409" s="4"/>
      <c r="M6409" s="241">
        <v>1138.8588</v>
      </c>
    </row>
    <row r="6410" spans="3:13" hidden="1" outlineLevel="1" x14ac:dyDescent="0.2">
      <c r="C6410" s="139">
        <v>155.19999999999547</v>
      </c>
      <c r="D6410" s="28">
        <f t="shared" si="265"/>
        <v>1241.5999999999638</v>
      </c>
      <c r="E6410" s="28">
        <f t="shared" si="266"/>
        <v>1163.9999999999661</v>
      </c>
      <c r="F6410" s="28">
        <f t="shared" si="267"/>
        <v>1145.9999999999661</v>
      </c>
      <c r="G6410" s="28">
        <f t="shared" si="268"/>
        <v>1071.2973</v>
      </c>
      <c r="H6410" s="28">
        <f t="shared" si="269"/>
        <v>1116.0064</v>
      </c>
      <c r="I6410" s="28">
        <f t="shared" si="270"/>
        <v>1138.8588</v>
      </c>
      <c r="J6410" s="28">
        <f t="shared" si="271"/>
        <v>1157.0175999999999</v>
      </c>
      <c r="K6410" s="28">
        <f t="shared" si="272"/>
        <v>1188.7281</v>
      </c>
      <c r="L6410" s="4"/>
      <c r="M6410" s="241">
        <v>1138.8588</v>
      </c>
    </row>
    <row r="6411" spans="3:13" hidden="1" outlineLevel="1" x14ac:dyDescent="0.2">
      <c r="C6411" s="139">
        <v>155.29999999999546</v>
      </c>
      <c r="D6411" s="28">
        <f t="shared" si="265"/>
        <v>1242.3999999999637</v>
      </c>
      <c r="E6411" s="28">
        <f t="shared" si="266"/>
        <v>1164.7499999999659</v>
      </c>
      <c r="F6411" s="28">
        <f t="shared" si="267"/>
        <v>1146.7499999999659</v>
      </c>
      <c r="G6411" s="28">
        <f t="shared" si="268"/>
        <v>1072.2679000000001</v>
      </c>
      <c r="H6411" s="28">
        <f t="shared" si="269"/>
        <v>1117.0160000000001</v>
      </c>
      <c r="I6411" s="28">
        <f t="shared" si="270"/>
        <v>1139.8710000000001</v>
      </c>
      <c r="J6411" s="28">
        <f t="shared" si="271"/>
        <v>1158.0473999999999</v>
      </c>
      <c r="K6411" s="28">
        <f t="shared" si="272"/>
        <v>1189.7855</v>
      </c>
      <c r="L6411" s="4"/>
      <c r="M6411" s="241">
        <v>1139.8710000000001</v>
      </c>
    </row>
    <row r="6412" spans="3:13" hidden="1" outlineLevel="1" x14ac:dyDescent="0.2">
      <c r="C6412" s="139">
        <v>155.39999999999546</v>
      </c>
      <c r="D6412" s="28">
        <f t="shared" si="265"/>
        <v>1243.1999999999637</v>
      </c>
      <c r="E6412" s="28">
        <f t="shared" si="266"/>
        <v>1165.4999999999659</v>
      </c>
      <c r="F6412" s="28">
        <f t="shared" si="267"/>
        <v>1147.4999999999659</v>
      </c>
      <c r="G6412" s="28">
        <f t="shared" si="268"/>
        <v>1073.2384999999999</v>
      </c>
      <c r="H6412" s="28">
        <f t="shared" si="269"/>
        <v>1118.0082</v>
      </c>
      <c r="I6412" s="28">
        <f t="shared" si="270"/>
        <v>1140.9005999999999</v>
      </c>
      <c r="J6412" s="28">
        <f t="shared" si="271"/>
        <v>1159.0771</v>
      </c>
      <c r="K6412" s="28">
        <f t="shared" si="272"/>
        <v>1190.8430000000001</v>
      </c>
      <c r="L6412" s="4"/>
      <c r="M6412" s="241">
        <v>1140.9005999999999</v>
      </c>
    </row>
    <row r="6413" spans="3:13" hidden="1" outlineLevel="1" x14ac:dyDescent="0.2">
      <c r="C6413" s="139">
        <v>155.49999999999545</v>
      </c>
      <c r="D6413" s="28">
        <f t="shared" si="265"/>
        <v>1243.9999999999636</v>
      </c>
      <c r="E6413" s="28">
        <f t="shared" si="266"/>
        <v>1166.2499999999659</v>
      </c>
      <c r="F6413" s="28">
        <f t="shared" si="267"/>
        <v>1148.2499999999659</v>
      </c>
      <c r="G6413" s="28">
        <f t="shared" si="268"/>
        <v>1074.2093</v>
      </c>
      <c r="H6413" s="28">
        <f t="shared" si="269"/>
        <v>1119.0005000000001</v>
      </c>
      <c r="I6413" s="28">
        <f t="shared" si="270"/>
        <v>1141.9128000000001</v>
      </c>
      <c r="J6413" s="28">
        <f t="shared" si="271"/>
        <v>1160.0877</v>
      </c>
      <c r="K6413" s="28">
        <f t="shared" si="272"/>
        <v>1191.8812</v>
      </c>
      <c r="L6413" s="4"/>
      <c r="M6413" s="241">
        <v>1141.9128000000001</v>
      </c>
    </row>
    <row r="6414" spans="3:13" hidden="1" outlineLevel="1" x14ac:dyDescent="0.2">
      <c r="C6414" s="139">
        <v>155.59999999999545</v>
      </c>
      <c r="D6414" s="28">
        <f t="shared" si="265"/>
        <v>1244.7999999999636</v>
      </c>
      <c r="E6414" s="28">
        <f t="shared" si="266"/>
        <v>1166.9999999999659</v>
      </c>
      <c r="F6414" s="28">
        <f t="shared" si="267"/>
        <v>1148.9999999999659</v>
      </c>
      <c r="G6414" s="28">
        <f t="shared" si="268"/>
        <v>1074.2093</v>
      </c>
      <c r="H6414" s="28">
        <f t="shared" si="269"/>
        <v>1119.0005000000001</v>
      </c>
      <c r="I6414" s="28">
        <f t="shared" si="270"/>
        <v>1141.9128000000001</v>
      </c>
      <c r="J6414" s="28">
        <f t="shared" si="271"/>
        <v>1160.0877</v>
      </c>
      <c r="K6414" s="28">
        <f t="shared" si="272"/>
        <v>1191.8812</v>
      </c>
      <c r="L6414" s="4"/>
      <c r="M6414" s="241">
        <v>1141.9128000000001</v>
      </c>
    </row>
    <row r="6415" spans="3:13" hidden="1" outlineLevel="1" x14ac:dyDescent="0.2">
      <c r="C6415" s="139">
        <v>155.69999999999544</v>
      </c>
      <c r="D6415" s="28">
        <f t="shared" si="265"/>
        <v>1245.5999999999635</v>
      </c>
      <c r="E6415" s="28">
        <f t="shared" si="266"/>
        <v>1167.7499999999659</v>
      </c>
      <c r="F6415" s="28">
        <f t="shared" si="267"/>
        <v>1149.7499999999659</v>
      </c>
      <c r="G6415" s="28">
        <f t="shared" si="268"/>
        <v>1075.18</v>
      </c>
      <c r="H6415" s="28">
        <f t="shared" si="269"/>
        <v>1120.0102999999999</v>
      </c>
      <c r="I6415" s="28">
        <f t="shared" si="270"/>
        <v>1142.925</v>
      </c>
      <c r="J6415" s="28">
        <f t="shared" si="271"/>
        <v>1161.1175000000001</v>
      </c>
      <c r="K6415" s="28">
        <f t="shared" si="272"/>
        <v>1192.9386999999999</v>
      </c>
      <c r="L6415" s="4"/>
      <c r="M6415" s="241">
        <v>1142.925</v>
      </c>
    </row>
    <row r="6416" spans="3:13" hidden="1" outlineLevel="1" x14ac:dyDescent="0.2">
      <c r="C6416" s="139">
        <v>155.79999999999544</v>
      </c>
      <c r="D6416" s="28">
        <f t="shared" si="265"/>
        <v>1246.3999999999635</v>
      </c>
      <c r="E6416" s="28">
        <f t="shared" si="266"/>
        <v>1168.4999999999657</v>
      </c>
      <c r="F6416" s="28">
        <f t="shared" si="267"/>
        <v>1150.4999999999657</v>
      </c>
      <c r="G6416" s="28">
        <f t="shared" si="268"/>
        <v>1076.1509000000001</v>
      </c>
      <c r="H6416" s="28">
        <f t="shared" si="269"/>
        <v>1121.0026</v>
      </c>
      <c r="I6416" s="28">
        <f t="shared" si="270"/>
        <v>1143.9373000000001</v>
      </c>
      <c r="J6416" s="28">
        <f t="shared" si="271"/>
        <v>1162.1473000000001</v>
      </c>
      <c r="K6416" s="28">
        <f t="shared" si="272"/>
        <v>1193.9962</v>
      </c>
      <c r="L6416" s="4"/>
      <c r="M6416" s="241">
        <v>1143.9373000000001</v>
      </c>
    </row>
    <row r="6417" spans="3:13" hidden="1" outlineLevel="1" x14ac:dyDescent="0.2">
      <c r="C6417" s="139">
        <v>155.89999999999543</v>
      </c>
      <c r="D6417" s="28">
        <f t="shared" si="265"/>
        <v>1247.1999999999634</v>
      </c>
      <c r="E6417" s="28">
        <f t="shared" si="266"/>
        <v>1169.2499999999657</v>
      </c>
      <c r="F6417" s="28">
        <f t="shared" si="267"/>
        <v>1151.2499999999657</v>
      </c>
      <c r="G6417" s="28">
        <f t="shared" si="268"/>
        <v>1077.1217999999999</v>
      </c>
      <c r="H6417" s="28">
        <f t="shared" si="269"/>
        <v>1122.0125</v>
      </c>
      <c r="I6417" s="28">
        <f t="shared" si="270"/>
        <v>1144.9495999999999</v>
      </c>
      <c r="J6417" s="28">
        <f t="shared" si="271"/>
        <v>1163.1772000000001</v>
      </c>
      <c r="K6417" s="28">
        <f t="shared" si="272"/>
        <v>1195.0345</v>
      </c>
      <c r="L6417" s="4"/>
      <c r="M6417" s="241">
        <v>1144.9495999999999</v>
      </c>
    </row>
    <row r="6418" spans="3:13" hidden="1" outlineLevel="1" x14ac:dyDescent="0.2">
      <c r="C6418" s="139">
        <v>155.99999999999542</v>
      </c>
      <c r="D6418" s="28">
        <f t="shared" si="265"/>
        <v>1247.9999999999634</v>
      </c>
      <c r="E6418" s="28">
        <f t="shared" si="266"/>
        <v>1169.9999999999657</v>
      </c>
      <c r="F6418" s="28">
        <f t="shared" si="267"/>
        <v>1151.9999999999657</v>
      </c>
      <c r="G6418" s="28">
        <f t="shared" si="268"/>
        <v>1077.1217999999999</v>
      </c>
      <c r="H6418" s="28">
        <f t="shared" si="269"/>
        <v>1122.0125</v>
      </c>
      <c r="I6418" s="28">
        <f t="shared" si="270"/>
        <v>1144.9495999999999</v>
      </c>
      <c r="J6418" s="28">
        <f t="shared" si="271"/>
        <v>1163.1772000000001</v>
      </c>
      <c r="K6418" s="28">
        <f t="shared" si="272"/>
        <v>1195.0345</v>
      </c>
      <c r="L6418" s="4"/>
      <c r="M6418" s="241">
        <v>1144.9495999999999</v>
      </c>
    </row>
    <row r="6419" spans="3:13" hidden="1" outlineLevel="1" x14ac:dyDescent="0.2">
      <c r="C6419" s="139">
        <v>156.09999999999542</v>
      </c>
      <c r="D6419" s="28">
        <f t="shared" si="265"/>
        <v>1248.7999999999633</v>
      </c>
      <c r="E6419" s="28">
        <f t="shared" si="266"/>
        <v>1170.7499999999657</v>
      </c>
      <c r="F6419" s="28">
        <f t="shared" si="267"/>
        <v>1152.7499999999657</v>
      </c>
      <c r="G6419" s="28">
        <f t="shared" si="268"/>
        <v>1078.1104</v>
      </c>
      <c r="H6419" s="28">
        <f t="shared" si="269"/>
        <v>1123.0048999999999</v>
      </c>
      <c r="I6419" s="28">
        <f t="shared" si="270"/>
        <v>1145.9619</v>
      </c>
      <c r="J6419" s="28">
        <f t="shared" si="271"/>
        <v>1164.2071000000001</v>
      </c>
      <c r="K6419" s="28">
        <f t="shared" si="272"/>
        <v>1196.0921000000001</v>
      </c>
      <c r="L6419" s="4"/>
      <c r="M6419" s="241">
        <v>1145.9619</v>
      </c>
    </row>
    <row r="6420" spans="3:13" hidden="1" outlineLevel="1" x14ac:dyDescent="0.2">
      <c r="C6420" s="139">
        <v>156.19999999999541</v>
      </c>
      <c r="D6420" s="28">
        <f t="shared" si="265"/>
        <v>1249.5999999999633</v>
      </c>
      <c r="E6420" s="28">
        <f t="shared" si="266"/>
        <v>1171.4999999999657</v>
      </c>
      <c r="F6420" s="28">
        <f t="shared" si="267"/>
        <v>1153.4999999999657</v>
      </c>
      <c r="G6420" s="28">
        <f t="shared" si="268"/>
        <v>1079.0814</v>
      </c>
      <c r="H6420" s="28">
        <f t="shared" si="269"/>
        <v>1123.9973</v>
      </c>
      <c r="I6420" s="28">
        <f t="shared" si="270"/>
        <v>1146.9743000000001</v>
      </c>
      <c r="J6420" s="28">
        <f t="shared" si="271"/>
        <v>1165.2371000000001</v>
      </c>
      <c r="K6420" s="28">
        <f t="shared" si="272"/>
        <v>1197.1304</v>
      </c>
      <c r="L6420" s="4"/>
      <c r="M6420" s="241">
        <v>1146.9743000000001</v>
      </c>
    </row>
    <row r="6421" spans="3:13" hidden="1" outlineLevel="1" x14ac:dyDescent="0.2">
      <c r="C6421" s="139">
        <v>156.29999999999541</v>
      </c>
      <c r="D6421" s="28">
        <f t="shared" si="265"/>
        <v>1250.3999999999633</v>
      </c>
      <c r="E6421" s="28">
        <f t="shared" si="266"/>
        <v>1172.2499999999654</v>
      </c>
      <c r="F6421" s="28">
        <f t="shared" si="267"/>
        <v>1154.2499999999654</v>
      </c>
      <c r="G6421" s="28">
        <f t="shared" si="268"/>
        <v>1080.0525</v>
      </c>
      <c r="H6421" s="28">
        <f t="shared" si="269"/>
        <v>1125.0074</v>
      </c>
      <c r="I6421" s="28">
        <f t="shared" si="270"/>
        <v>1147.9866</v>
      </c>
      <c r="J6421" s="28">
        <f t="shared" si="271"/>
        <v>1166.2671</v>
      </c>
      <c r="K6421" s="28">
        <f t="shared" si="272"/>
        <v>1198.1880000000001</v>
      </c>
      <c r="L6421" s="4"/>
      <c r="M6421" s="241">
        <v>1147.9866</v>
      </c>
    </row>
    <row r="6422" spans="3:13" hidden="1" outlineLevel="1" x14ac:dyDescent="0.2">
      <c r="C6422" s="139">
        <v>156.3999999999954</v>
      </c>
      <c r="D6422" s="28">
        <f t="shared" si="265"/>
        <v>1251.1999999999632</v>
      </c>
      <c r="E6422" s="28">
        <f t="shared" si="266"/>
        <v>1172.9999999999654</v>
      </c>
      <c r="F6422" s="28">
        <f t="shared" si="267"/>
        <v>1154.9999999999654</v>
      </c>
      <c r="G6422" s="28">
        <f t="shared" si="268"/>
        <v>1080.0525</v>
      </c>
      <c r="H6422" s="28">
        <f t="shared" si="269"/>
        <v>1125.0074</v>
      </c>
      <c r="I6422" s="28">
        <f t="shared" si="270"/>
        <v>1147.9866</v>
      </c>
      <c r="J6422" s="28">
        <f t="shared" si="271"/>
        <v>1166.2671</v>
      </c>
      <c r="K6422" s="28">
        <f t="shared" si="272"/>
        <v>1198.1880000000001</v>
      </c>
      <c r="L6422" s="4"/>
      <c r="M6422" s="241">
        <v>1147.9866</v>
      </c>
    </row>
    <row r="6423" spans="3:13" hidden="1" outlineLevel="1" x14ac:dyDescent="0.2">
      <c r="C6423" s="139">
        <v>156.4999999999954</v>
      </c>
      <c r="D6423" s="28">
        <f t="shared" si="265"/>
        <v>1251.9999999999632</v>
      </c>
      <c r="E6423" s="28">
        <f t="shared" si="266"/>
        <v>1173.7499999999654</v>
      </c>
      <c r="F6423" s="28">
        <f t="shared" si="267"/>
        <v>1155.7499999999654</v>
      </c>
      <c r="G6423" s="28">
        <f t="shared" si="268"/>
        <v>1081.0237</v>
      </c>
      <c r="H6423" s="28">
        <f t="shared" si="269"/>
        <v>1125.9999</v>
      </c>
      <c r="I6423" s="28">
        <f t="shared" si="270"/>
        <v>1148.9991</v>
      </c>
      <c r="J6423" s="28">
        <f t="shared" si="271"/>
        <v>1167.2777000000001</v>
      </c>
      <c r="K6423" s="28">
        <f t="shared" si="272"/>
        <v>1199.2456999999999</v>
      </c>
      <c r="L6423" s="4"/>
      <c r="M6423" s="241">
        <v>1148.9991</v>
      </c>
    </row>
    <row r="6424" spans="3:13" hidden="1" outlineLevel="1" x14ac:dyDescent="0.2">
      <c r="C6424" s="139">
        <v>156.59999999999539</v>
      </c>
      <c r="D6424" s="28">
        <f t="shared" si="265"/>
        <v>1252.7999999999631</v>
      </c>
      <c r="E6424" s="28">
        <f t="shared" si="266"/>
        <v>1174.4999999999654</v>
      </c>
      <c r="F6424" s="28">
        <f t="shared" si="267"/>
        <v>1156.4999999999654</v>
      </c>
      <c r="G6424" s="28">
        <f t="shared" si="268"/>
        <v>1081.9948999999999</v>
      </c>
      <c r="H6424" s="28">
        <f t="shared" si="269"/>
        <v>1127.01</v>
      </c>
      <c r="I6424" s="28">
        <f t="shared" si="270"/>
        <v>1150.0291</v>
      </c>
      <c r="J6424" s="28">
        <f t="shared" si="271"/>
        <v>1168.3077000000001</v>
      </c>
      <c r="K6424" s="28">
        <f t="shared" si="272"/>
        <v>1200.2840000000001</v>
      </c>
      <c r="L6424" s="4"/>
      <c r="M6424" s="241">
        <v>1150.0291</v>
      </c>
    </row>
    <row r="6425" spans="3:13" hidden="1" outlineLevel="1" x14ac:dyDescent="0.2">
      <c r="C6425" s="139">
        <v>156.69999999999538</v>
      </c>
      <c r="D6425" s="28">
        <f t="shared" si="265"/>
        <v>1253.5999999999631</v>
      </c>
      <c r="E6425" s="28">
        <f t="shared" si="266"/>
        <v>1175.2499999999654</v>
      </c>
      <c r="F6425" s="28">
        <f t="shared" si="267"/>
        <v>1157.2499999999654</v>
      </c>
      <c r="G6425" s="28">
        <f t="shared" si="268"/>
        <v>1082.9662000000001</v>
      </c>
      <c r="H6425" s="28">
        <f t="shared" si="269"/>
        <v>1128.0026</v>
      </c>
      <c r="I6425" s="28">
        <f t="shared" si="270"/>
        <v>1151.0416</v>
      </c>
      <c r="J6425" s="28">
        <f t="shared" si="271"/>
        <v>1169.3378</v>
      </c>
      <c r="K6425" s="28">
        <f t="shared" si="272"/>
        <v>1201.3416999999999</v>
      </c>
      <c r="L6425" s="4"/>
      <c r="M6425" s="241">
        <v>1151.0416</v>
      </c>
    </row>
    <row r="6426" spans="3:13" hidden="1" outlineLevel="1" x14ac:dyDescent="0.2">
      <c r="C6426" s="139">
        <v>156.79999999999538</v>
      </c>
      <c r="D6426" s="28">
        <f t="shared" si="265"/>
        <v>1254.399999999963</v>
      </c>
      <c r="E6426" s="28">
        <f t="shared" si="266"/>
        <v>1175.9999999999654</v>
      </c>
      <c r="F6426" s="28">
        <f t="shared" si="267"/>
        <v>1157.9999999999654</v>
      </c>
      <c r="G6426" s="28">
        <f t="shared" si="268"/>
        <v>1082.9662000000001</v>
      </c>
      <c r="H6426" s="28">
        <f t="shared" si="269"/>
        <v>1128.0026</v>
      </c>
      <c r="I6426" s="28">
        <f t="shared" si="270"/>
        <v>1151.0416</v>
      </c>
      <c r="J6426" s="28">
        <f t="shared" si="271"/>
        <v>1169.3378</v>
      </c>
      <c r="K6426" s="28">
        <f t="shared" si="272"/>
        <v>1201.3416999999999</v>
      </c>
      <c r="L6426" s="4"/>
      <c r="M6426" s="241">
        <v>1151.0416</v>
      </c>
    </row>
    <row r="6427" spans="3:13" hidden="1" outlineLevel="1" x14ac:dyDescent="0.2">
      <c r="C6427" s="139">
        <v>156.89999999999537</v>
      </c>
      <c r="D6427" s="28">
        <f t="shared" si="265"/>
        <v>1255.199999999963</v>
      </c>
      <c r="E6427" s="28">
        <f t="shared" si="266"/>
        <v>1176.7499999999652</v>
      </c>
      <c r="F6427" s="28">
        <f t="shared" si="267"/>
        <v>1158.7499999999652</v>
      </c>
      <c r="G6427" s="28">
        <f t="shared" si="268"/>
        <v>1083.9375</v>
      </c>
      <c r="H6427" s="28">
        <f t="shared" si="269"/>
        <v>1128.9952000000001</v>
      </c>
      <c r="I6427" s="28">
        <f t="shared" si="270"/>
        <v>1152.0542</v>
      </c>
      <c r="J6427" s="28">
        <f t="shared" si="271"/>
        <v>1170.3679</v>
      </c>
      <c r="K6427" s="28">
        <f t="shared" si="272"/>
        <v>1202.3995</v>
      </c>
      <c r="L6427" s="4"/>
      <c r="M6427" s="241">
        <v>1152.0542</v>
      </c>
    </row>
    <row r="6428" spans="3:13" hidden="1" outlineLevel="1" x14ac:dyDescent="0.2">
      <c r="C6428" s="139">
        <v>156.99999999999537</v>
      </c>
      <c r="D6428" s="28">
        <f t="shared" si="265"/>
        <v>1255.9999999999629</v>
      </c>
      <c r="E6428" s="28">
        <f t="shared" si="266"/>
        <v>1177.4999999999652</v>
      </c>
      <c r="F6428" s="28">
        <f t="shared" si="267"/>
        <v>1159.4999999999652</v>
      </c>
      <c r="G6428" s="28">
        <f t="shared" si="268"/>
        <v>1084.9266</v>
      </c>
      <c r="H6428" s="28">
        <f t="shared" si="269"/>
        <v>1130.0055</v>
      </c>
      <c r="I6428" s="28">
        <f t="shared" si="270"/>
        <v>1153.0667000000001</v>
      </c>
      <c r="J6428" s="28">
        <f t="shared" si="271"/>
        <v>1171.3979999999999</v>
      </c>
      <c r="K6428" s="28">
        <f t="shared" si="272"/>
        <v>1203.4377999999999</v>
      </c>
      <c r="L6428" s="4"/>
      <c r="M6428" s="241">
        <v>1153.0667000000001</v>
      </c>
    </row>
    <row r="6429" spans="3:13" hidden="1" outlineLevel="1" x14ac:dyDescent="0.2">
      <c r="C6429" s="139">
        <v>157.09999999999536</v>
      </c>
      <c r="D6429" s="28">
        <f t="shared" si="265"/>
        <v>1256.7999999999629</v>
      </c>
      <c r="E6429" s="28">
        <f t="shared" si="266"/>
        <v>1178.2499999999652</v>
      </c>
      <c r="F6429" s="28">
        <f t="shared" si="267"/>
        <v>1160.2499999999652</v>
      </c>
      <c r="G6429" s="28">
        <f t="shared" si="268"/>
        <v>1085.8981000000001</v>
      </c>
      <c r="H6429" s="28">
        <f t="shared" si="269"/>
        <v>1130.9982</v>
      </c>
      <c r="I6429" s="28">
        <f t="shared" si="270"/>
        <v>1154.0793000000001</v>
      </c>
      <c r="J6429" s="28">
        <f t="shared" si="271"/>
        <v>1172.4282000000001</v>
      </c>
      <c r="K6429" s="28">
        <f t="shared" si="272"/>
        <v>1204.4956</v>
      </c>
      <c r="L6429" s="4"/>
      <c r="M6429" s="241">
        <v>1154.0793000000001</v>
      </c>
    </row>
    <row r="6430" spans="3:13" hidden="1" outlineLevel="1" x14ac:dyDescent="0.2">
      <c r="C6430" s="139">
        <v>157.19999999999536</v>
      </c>
      <c r="D6430" s="28">
        <f t="shared" si="265"/>
        <v>1257.5999999999628</v>
      </c>
      <c r="E6430" s="28">
        <f t="shared" si="266"/>
        <v>1178.9999999999652</v>
      </c>
      <c r="F6430" s="28">
        <f t="shared" si="267"/>
        <v>1160.9999999999652</v>
      </c>
      <c r="G6430" s="28">
        <f t="shared" si="268"/>
        <v>1085.8981000000001</v>
      </c>
      <c r="H6430" s="28">
        <f t="shared" si="269"/>
        <v>1130.9982</v>
      </c>
      <c r="I6430" s="28">
        <f t="shared" si="270"/>
        <v>1154.0793000000001</v>
      </c>
      <c r="J6430" s="28">
        <f t="shared" si="271"/>
        <v>1172.4282000000001</v>
      </c>
      <c r="K6430" s="28">
        <f t="shared" si="272"/>
        <v>1204.4956</v>
      </c>
      <c r="L6430" s="4"/>
      <c r="M6430" s="241">
        <v>1154.0793000000001</v>
      </c>
    </row>
    <row r="6431" spans="3:13" hidden="1" outlineLevel="1" x14ac:dyDescent="0.2">
      <c r="C6431" s="139">
        <v>157.29999999999535</v>
      </c>
      <c r="D6431" s="28">
        <f t="shared" si="265"/>
        <v>1258.3999999999628</v>
      </c>
      <c r="E6431" s="28">
        <f t="shared" si="266"/>
        <v>1179.7499999999652</v>
      </c>
      <c r="F6431" s="28">
        <f t="shared" si="267"/>
        <v>1161.7499999999652</v>
      </c>
      <c r="G6431" s="28">
        <f t="shared" si="268"/>
        <v>1086.8697</v>
      </c>
      <c r="H6431" s="28">
        <f t="shared" si="269"/>
        <v>1132.0087000000001</v>
      </c>
      <c r="I6431" s="28">
        <f t="shared" si="270"/>
        <v>1155.0918999999999</v>
      </c>
      <c r="J6431" s="28">
        <f t="shared" si="271"/>
        <v>1173.4389000000001</v>
      </c>
      <c r="K6431" s="28">
        <f t="shared" si="272"/>
        <v>1205.5535</v>
      </c>
      <c r="L6431" s="4"/>
      <c r="M6431" s="241">
        <v>1155.0918999999999</v>
      </c>
    </row>
    <row r="6432" spans="3:13" hidden="1" outlineLevel="1" x14ac:dyDescent="0.2">
      <c r="C6432" s="139">
        <v>157.39999999999534</v>
      </c>
      <c r="D6432" s="28">
        <f t="shared" si="265"/>
        <v>1259.1999999999628</v>
      </c>
      <c r="E6432" s="28">
        <f t="shared" si="266"/>
        <v>1180.499999999965</v>
      </c>
      <c r="F6432" s="28">
        <f t="shared" si="267"/>
        <v>1162.499999999965</v>
      </c>
      <c r="G6432" s="28">
        <f t="shared" si="268"/>
        <v>1087.8413</v>
      </c>
      <c r="H6432" s="28">
        <f t="shared" si="269"/>
        <v>1133.0014000000001</v>
      </c>
      <c r="I6432" s="28">
        <f t="shared" si="270"/>
        <v>1156.1044999999999</v>
      </c>
      <c r="J6432" s="28">
        <f t="shared" si="271"/>
        <v>1174.4691</v>
      </c>
      <c r="K6432" s="28">
        <f t="shared" si="272"/>
        <v>1206.5918999999999</v>
      </c>
      <c r="L6432" s="4"/>
      <c r="M6432" s="241">
        <v>1156.1044999999999</v>
      </c>
    </row>
    <row r="6433" spans="3:13" hidden="1" outlineLevel="1" x14ac:dyDescent="0.2">
      <c r="C6433" s="139">
        <v>157.49999999999534</v>
      </c>
      <c r="D6433" s="28">
        <f t="shared" si="265"/>
        <v>1259.9999999999627</v>
      </c>
      <c r="E6433" s="28">
        <f t="shared" si="266"/>
        <v>1181.249999999965</v>
      </c>
      <c r="F6433" s="28">
        <f t="shared" si="267"/>
        <v>1163.249999999965</v>
      </c>
      <c r="G6433" s="28">
        <f t="shared" si="268"/>
        <v>1088.8130000000001</v>
      </c>
      <c r="H6433" s="28">
        <f t="shared" si="269"/>
        <v>1133.9942000000001</v>
      </c>
      <c r="I6433" s="28">
        <f t="shared" si="270"/>
        <v>1157.1171999999999</v>
      </c>
      <c r="J6433" s="28">
        <f t="shared" si="271"/>
        <v>1175.4993999999999</v>
      </c>
      <c r="K6433" s="28">
        <f t="shared" si="272"/>
        <v>1207.6497999999999</v>
      </c>
      <c r="L6433" s="4"/>
      <c r="M6433" s="241">
        <v>1157.1171999999999</v>
      </c>
    </row>
    <row r="6434" spans="3:13" hidden="1" outlineLevel="1" x14ac:dyDescent="0.2">
      <c r="C6434" s="139">
        <v>157.59999999999533</v>
      </c>
      <c r="D6434" s="28">
        <f t="shared" si="265"/>
        <v>1260.7999999999627</v>
      </c>
      <c r="E6434" s="28">
        <f t="shared" si="266"/>
        <v>1181.999999999965</v>
      </c>
      <c r="F6434" s="28">
        <f t="shared" si="267"/>
        <v>1163.999999999965</v>
      </c>
      <c r="G6434" s="28">
        <f t="shared" si="268"/>
        <v>1088.8130000000001</v>
      </c>
      <c r="H6434" s="28">
        <f t="shared" si="269"/>
        <v>1133.9942000000001</v>
      </c>
      <c r="I6434" s="28">
        <f t="shared" si="270"/>
        <v>1157.1171999999999</v>
      </c>
      <c r="J6434" s="28">
        <f t="shared" si="271"/>
        <v>1175.4993999999999</v>
      </c>
      <c r="K6434" s="28">
        <f t="shared" si="272"/>
        <v>1207.6497999999999</v>
      </c>
      <c r="L6434" s="4"/>
      <c r="M6434" s="241">
        <v>1157.1171999999999</v>
      </c>
    </row>
    <row r="6435" spans="3:13" hidden="1" outlineLevel="1" x14ac:dyDescent="0.2">
      <c r="C6435" s="139">
        <v>157.69999999999533</v>
      </c>
      <c r="D6435" s="28">
        <f t="shared" si="265"/>
        <v>1261.5999999999626</v>
      </c>
      <c r="E6435" s="28">
        <f t="shared" si="266"/>
        <v>1182.749999999965</v>
      </c>
      <c r="F6435" s="28">
        <f t="shared" si="267"/>
        <v>1164.749999999965</v>
      </c>
      <c r="G6435" s="28">
        <f t="shared" si="268"/>
        <v>1089.7846999999999</v>
      </c>
      <c r="H6435" s="28">
        <f t="shared" si="269"/>
        <v>1135.0047999999999</v>
      </c>
      <c r="I6435" s="28">
        <f t="shared" si="270"/>
        <v>1158.1298999999999</v>
      </c>
      <c r="J6435" s="28">
        <f t="shared" si="271"/>
        <v>1176.5297</v>
      </c>
      <c r="K6435" s="28">
        <f t="shared" si="272"/>
        <v>1208.7076999999999</v>
      </c>
      <c r="L6435" s="4"/>
      <c r="M6435" s="241">
        <v>1158.1298999999999</v>
      </c>
    </row>
    <row r="6436" spans="3:13" hidden="1" outlineLevel="1" x14ac:dyDescent="0.2">
      <c r="C6436" s="139">
        <v>157.79999999999532</v>
      </c>
      <c r="D6436" s="28">
        <f t="shared" si="265"/>
        <v>1262.3999999999626</v>
      </c>
      <c r="E6436" s="28">
        <f t="shared" si="266"/>
        <v>1183.499999999965</v>
      </c>
      <c r="F6436" s="28">
        <f t="shared" si="267"/>
        <v>1165.499999999965</v>
      </c>
      <c r="G6436" s="28">
        <f t="shared" si="268"/>
        <v>1090.7565</v>
      </c>
      <c r="H6436" s="28">
        <f t="shared" si="269"/>
        <v>1135.9976999999999</v>
      </c>
      <c r="I6436" s="28">
        <f t="shared" si="270"/>
        <v>1159.1425999999999</v>
      </c>
      <c r="J6436" s="28">
        <f t="shared" si="271"/>
        <v>1177.56</v>
      </c>
      <c r="K6436" s="28">
        <f t="shared" si="272"/>
        <v>1209.7461000000001</v>
      </c>
      <c r="L6436" s="4"/>
      <c r="M6436" s="241">
        <v>1159.1425999999999</v>
      </c>
    </row>
    <row r="6437" spans="3:13" hidden="1" outlineLevel="1" x14ac:dyDescent="0.2">
      <c r="C6437" s="139">
        <v>157.89999999999532</v>
      </c>
      <c r="D6437" s="28">
        <f t="shared" si="265"/>
        <v>1263.1999999999625</v>
      </c>
      <c r="E6437" s="28">
        <f t="shared" si="266"/>
        <v>1184.249999999965</v>
      </c>
      <c r="F6437" s="28">
        <f t="shared" si="267"/>
        <v>1166.249999999965</v>
      </c>
      <c r="G6437" s="28">
        <f t="shared" si="268"/>
        <v>1091.7283</v>
      </c>
      <c r="H6437" s="28">
        <f t="shared" si="269"/>
        <v>1136.9906000000001</v>
      </c>
      <c r="I6437" s="28">
        <f t="shared" si="270"/>
        <v>1160.1732</v>
      </c>
      <c r="J6437" s="28">
        <f t="shared" si="271"/>
        <v>1178.5903000000001</v>
      </c>
      <c r="K6437" s="28">
        <f t="shared" si="272"/>
        <v>1210.8041000000001</v>
      </c>
      <c r="L6437" s="4"/>
      <c r="M6437" s="241">
        <v>1160.1732</v>
      </c>
    </row>
    <row r="6438" spans="3:13" hidden="1" outlineLevel="1" x14ac:dyDescent="0.2">
      <c r="C6438" s="139">
        <v>157.99999999999531</v>
      </c>
      <c r="D6438" s="28">
        <f t="shared" si="265"/>
        <v>1263.9999999999625</v>
      </c>
      <c r="E6438" s="28">
        <f t="shared" si="266"/>
        <v>1184.9999999999648</v>
      </c>
      <c r="F6438" s="28">
        <f t="shared" si="267"/>
        <v>1166.9999999999648</v>
      </c>
      <c r="G6438" s="28">
        <f t="shared" si="268"/>
        <v>1091.7283</v>
      </c>
      <c r="H6438" s="28">
        <f t="shared" si="269"/>
        <v>1136.9906000000001</v>
      </c>
      <c r="I6438" s="28">
        <f t="shared" si="270"/>
        <v>1160.1732</v>
      </c>
      <c r="J6438" s="28">
        <f t="shared" si="271"/>
        <v>1178.5903000000001</v>
      </c>
      <c r="K6438" s="28">
        <f t="shared" si="272"/>
        <v>1210.8041000000001</v>
      </c>
      <c r="L6438" s="4"/>
      <c r="M6438" s="241">
        <v>1160.1732</v>
      </c>
    </row>
    <row r="6439" spans="3:13" hidden="1" outlineLevel="1" x14ac:dyDescent="0.2">
      <c r="C6439" s="139">
        <v>158.0999999999953</v>
      </c>
      <c r="D6439" s="28">
        <f t="shared" si="265"/>
        <v>1264.7999999999624</v>
      </c>
      <c r="E6439" s="28">
        <f t="shared" si="266"/>
        <v>1185.7499999999648</v>
      </c>
      <c r="F6439" s="28">
        <f t="shared" si="267"/>
        <v>1167.7499999999648</v>
      </c>
      <c r="G6439" s="28">
        <f t="shared" si="268"/>
        <v>1092.7003</v>
      </c>
      <c r="H6439" s="28">
        <f t="shared" si="269"/>
        <v>1138.0012999999999</v>
      </c>
      <c r="I6439" s="28">
        <f t="shared" si="270"/>
        <v>1161.1859999999999</v>
      </c>
      <c r="J6439" s="28">
        <f t="shared" si="271"/>
        <v>1179.6206999999999</v>
      </c>
      <c r="K6439" s="28">
        <f t="shared" si="272"/>
        <v>1211.8425</v>
      </c>
      <c r="L6439" s="4"/>
      <c r="M6439" s="241">
        <v>1161.1859999999999</v>
      </c>
    </row>
    <row r="6440" spans="3:13" hidden="1" outlineLevel="1" x14ac:dyDescent="0.2">
      <c r="C6440" s="139">
        <v>158.1999999999953</v>
      </c>
      <c r="D6440" s="28">
        <f t="shared" si="265"/>
        <v>1265.5999999999624</v>
      </c>
      <c r="E6440" s="28">
        <f t="shared" si="266"/>
        <v>1186.4999999999648</v>
      </c>
      <c r="F6440" s="28">
        <f t="shared" si="267"/>
        <v>1168.4999999999648</v>
      </c>
      <c r="G6440" s="28">
        <f t="shared" si="268"/>
        <v>1093.6722</v>
      </c>
      <c r="H6440" s="28">
        <f t="shared" si="269"/>
        <v>1138.9943000000001</v>
      </c>
      <c r="I6440" s="28">
        <f t="shared" si="270"/>
        <v>1162.1989000000001</v>
      </c>
      <c r="J6440" s="28">
        <f t="shared" si="271"/>
        <v>1180.6315</v>
      </c>
      <c r="K6440" s="28">
        <f t="shared" si="272"/>
        <v>1212.9005</v>
      </c>
      <c r="L6440" s="4"/>
      <c r="M6440" s="241">
        <v>1162.1989000000001</v>
      </c>
    </row>
    <row r="6441" spans="3:13" hidden="1" outlineLevel="1" x14ac:dyDescent="0.2">
      <c r="C6441" s="139">
        <v>158.29999999999529</v>
      </c>
      <c r="D6441" s="28">
        <f t="shared" si="265"/>
        <v>1266.3999999999623</v>
      </c>
      <c r="E6441" s="28">
        <f t="shared" si="266"/>
        <v>1187.2499999999648</v>
      </c>
      <c r="F6441" s="28">
        <f t="shared" si="267"/>
        <v>1169.2499999999648</v>
      </c>
      <c r="G6441" s="28">
        <f t="shared" si="268"/>
        <v>1094.6621</v>
      </c>
      <c r="H6441" s="28">
        <f t="shared" si="269"/>
        <v>1139.9873</v>
      </c>
      <c r="I6441" s="28">
        <f t="shared" si="270"/>
        <v>1163.2117000000001</v>
      </c>
      <c r="J6441" s="28">
        <f t="shared" si="271"/>
        <v>1181.662</v>
      </c>
      <c r="K6441" s="28">
        <f t="shared" si="272"/>
        <v>1213.9585999999999</v>
      </c>
      <c r="L6441" s="4"/>
      <c r="M6441" s="241">
        <v>1163.2117000000001</v>
      </c>
    </row>
    <row r="6442" spans="3:13" hidden="1" outlineLevel="1" x14ac:dyDescent="0.2">
      <c r="C6442" s="139">
        <v>158.39999999999529</v>
      </c>
      <c r="D6442" s="28">
        <f t="shared" si="265"/>
        <v>1267.1999999999623</v>
      </c>
      <c r="E6442" s="28">
        <f t="shared" si="266"/>
        <v>1187.9999999999648</v>
      </c>
      <c r="F6442" s="28">
        <f t="shared" si="267"/>
        <v>1169.9999999999648</v>
      </c>
      <c r="G6442" s="28">
        <f t="shared" si="268"/>
        <v>1094.6621</v>
      </c>
      <c r="H6442" s="28">
        <f t="shared" si="269"/>
        <v>1139.9873</v>
      </c>
      <c r="I6442" s="28">
        <f t="shared" si="270"/>
        <v>1163.2117000000001</v>
      </c>
      <c r="J6442" s="28">
        <f t="shared" si="271"/>
        <v>1181.662</v>
      </c>
      <c r="K6442" s="28">
        <f t="shared" si="272"/>
        <v>1213.9585999999999</v>
      </c>
      <c r="L6442" s="4"/>
      <c r="M6442" s="241">
        <v>1163.2117000000001</v>
      </c>
    </row>
    <row r="6443" spans="3:13" hidden="1" outlineLevel="1" x14ac:dyDescent="0.2">
      <c r="C6443" s="139">
        <v>158.49999999999528</v>
      </c>
      <c r="D6443" s="28">
        <f t="shared" si="265"/>
        <v>1267.9999999999623</v>
      </c>
      <c r="E6443" s="28">
        <f t="shared" si="266"/>
        <v>1188.7499999999645</v>
      </c>
      <c r="F6443" s="28">
        <f t="shared" si="267"/>
        <v>1170.7499999999645</v>
      </c>
      <c r="G6443" s="28">
        <f t="shared" si="268"/>
        <v>1095.6342</v>
      </c>
      <c r="H6443" s="28">
        <f t="shared" si="269"/>
        <v>1140.9982</v>
      </c>
      <c r="I6443" s="28">
        <f t="shared" si="270"/>
        <v>1164.2246</v>
      </c>
      <c r="J6443" s="28">
        <f t="shared" si="271"/>
        <v>1182.6923999999999</v>
      </c>
      <c r="K6443" s="28">
        <f t="shared" si="272"/>
        <v>1214.9970000000001</v>
      </c>
      <c r="L6443" s="4"/>
      <c r="M6443" s="241">
        <v>1164.2246</v>
      </c>
    </row>
    <row r="6444" spans="3:13" hidden="1" outlineLevel="1" x14ac:dyDescent="0.2">
      <c r="C6444" s="139">
        <v>158.59999999999528</v>
      </c>
      <c r="D6444" s="28">
        <f t="shared" si="265"/>
        <v>1268.7999999999622</v>
      </c>
      <c r="E6444" s="28">
        <f t="shared" si="266"/>
        <v>1189.4999999999645</v>
      </c>
      <c r="F6444" s="28">
        <f t="shared" si="267"/>
        <v>1171.4999999999645</v>
      </c>
      <c r="G6444" s="28">
        <f t="shared" si="268"/>
        <v>1096.6063999999999</v>
      </c>
      <c r="H6444" s="28">
        <f t="shared" si="269"/>
        <v>1141.9911999999999</v>
      </c>
      <c r="I6444" s="28">
        <f t="shared" si="270"/>
        <v>1165.2375999999999</v>
      </c>
      <c r="J6444" s="28">
        <f t="shared" si="271"/>
        <v>1183.7229</v>
      </c>
      <c r="K6444" s="28">
        <f t="shared" si="272"/>
        <v>1216.0552</v>
      </c>
      <c r="L6444" s="4"/>
      <c r="M6444" s="241">
        <v>1165.2375999999999</v>
      </c>
    </row>
    <row r="6445" spans="3:13" hidden="1" outlineLevel="1" x14ac:dyDescent="0.2">
      <c r="C6445" s="139">
        <v>158.69999999999527</v>
      </c>
      <c r="D6445" s="28">
        <f t="shared" si="265"/>
        <v>1269.5999999999622</v>
      </c>
      <c r="E6445" s="28">
        <f t="shared" si="266"/>
        <v>1190.2499999999645</v>
      </c>
      <c r="F6445" s="28">
        <f t="shared" si="267"/>
        <v>1172.2499999999645</v>
      </c>
      <c r="G6445" s="28">
        <f t="shared" si="268"/>
        <v>1097.5786000000001</v>
      </c>
      <c r="H6445" s="28">
        <f t="shared" si="269"/>
        <v>1143.0021999999999</v>
      </c>
      <c r="I6445" s="28">
        <f t="shared" si="270"/>
        <v>1166.2505000000001</v>
      </c>
      <c r="J6445" s="28">
        <f t="shared" si="271"/>
        <v>1184.7535</v>
      </c>
      <c r="K6445" s="28">
        <f t="shared" si="272"/>
        <v>1217.1133</v>
      </c>
      <c r="L6445" s="4"/>
      <c r="M6445" s="241">
        <v>1166.2505000000001</v>
      </c>
    </row>
    <row r="6446" spans="3:13" hidden="1" outlineLevel="1" x14ac:dyDescent="0.2">
      <c r="C6446" s="139">
        <v>158.79999999999526</v>
      </c>
      <c r="D6446" s="28">
        <f t="shared" si="265"/>
        <v>1270.3999999999621</v>
      </c>
      <c r="E6446" s="28">
        <f t="shared" si="266"/>
        <v>1190.9999999999645</v>
      </c>
      <c r="F6446" s="28">
        <f t="shared" si="267"/>
        <v>1172.9999999999645</v>
      </c>
      <c r="G6446" s="28">
        <f t="shared" si="268"/>
        <v>1097.5786000000001</v>
      </c>
      <c r="H6446" s="28">
        <f t="shared" si="269"/>
        <v>1143.0021999999999</v>
      </c>
      <c r="I6446" s="28">
        <f t="shared" si="270"/>
        <v>1166.2505000000001</v>
      </c>
      <c r="J6446" s="28">
        <f t="shared" si="271"/>
        <v>1184.7535</v>
      </c>
      <c r="K6446" s="28">
        <f t="shared" si="272"/>
        <v>1217.1133</v>
      </c>
      <c r="L6446" s="4"/>
      <c r="M6446" s="241">
        <v>1166.2505000000001</v>
      </c>
    </row>
    <row r="6447" spans="3:13" hidden="1" outlineLevel="1" x14ac:dyDescent="0.2">
      <c r="C6447" s="139">
        <v>158.89999999999526</v>
      </c>
      <c r="D6447" s="28">
        <f t="shared" si="265"/>
        <v>1271.1999999999621</v>
      </c>
      <c r="E6447" s="28">
        <f t="shared" si="266"/>
        <v>1191.7499999999645</v>
      </c>
      <c r="F6447" s="28">
        <f t="shared" si="267"/>
        <v>1173.7499999999645</v>
      </c>
      <c r="G6447" s="28">
        <f t="shared" si="268"/>
        <v>1098.5509</v>
      </c>
      <c r="H6447" s="28">
        <f t="shared" si="269"/>
        <v>1143.9954</v>
      </c>
      <c r="I6447" s="28">
        <f t="shared" si="270"/>
        <v>1167.2635</v>
      </c>
      <c r="J6447" s="28">
        <f t="shared" si="271"/>
        <v>1185.7644</v>
      </c>
      <c r="K6447" s="28">
        <f t="shared" si="272"/>
        <v>1218.1518000000001</v>
      </c>
      <c r="L6447" s="4"/>
      <c r="M6447" s="241">
        <v>1167.2635</v>
      </c>
    </row>
    <row r="6448" spans="3:13" hidden="1" outlineLevel="1" x14ac:dyDescent="0.2">
      <c r="C6448" s="139">
        <v>158.99999999999525</v>
      </c>
      <c r="D6448" s="28">
        <f t="shared" si="265"/>
        <v>1271.999999999962</v>
      </c>
      <c r="E6448" s="28">
        <f t="shared" si="266"/>
        <v>1192.4999999999643</v>
      </c>
      <c r="F6448" s="28">
        <f t="shared" si="267"/>
        <v>1174.4999999999643</v>
      </c>
      <c r="G6448" s="28">
        <f t="shared" si="268"/>
        <v>1099.5233000000001</v>
      </c>
      <c r="H6448" s="28">
        <f t="shared" si="269"/>
        <v>1144.9885999999999</v>
      </c>
      <c r="I6448" s="28">
        <f t="shared" si="270"/>
        <v>1168.2764999999999</v>
      </c>
      <c r="J6448" s="28">
        <f t="shared" si="271"/>
        <v>1186.7949000000001</v>
      </c>
      <c r="K6448" s="28">
        <f t="shared" si="272"/>
        <v>1219.21</v>
      </c>
      <c r="L6448" s="4"/>
      <c r="M6448" s="241">
        <v>1168.2764999999999</v>
      </c>
    </row>
    <row r="6449" spans="3:13" hidden="1" outlineLevel="1" x14ac:dyDescent="0.2">
      <c r="C6449" s="139">
        <v>159.09999999999525</v>
      </c>
      <c r="D6449" s="28">
        <f t="shared" si="265"/>
        <v>1272.799999999962</v>
      </c>
      <c r="E6449" s="28">
        <f t="shared" si="266"/>
        <v>1193.2499999999643</v>
      </c>
      <c r="F6449" s="28">
        <f t="shared" si="267"/>
        <v>1175.2499999999643</v>
      </c>
      <c r="G6449" s="28">
        <f t="shared" si="268"/>
        <v>1100.4956999999999</v>
      </c>
      <c r="H6449" s="28">
        <f t="shared" si="269"/>
        <v>1145.9997000000001</v>
      </c>
      <c r="I6449" s="28">
        <f t="shared" si="270"/>
        <v>1169.2896000000001</v>
      </c>
      <c r="J6449" s="28">
        <f t="shared" si="271"/>
        <v>1187.8255999999999</v>
      </c>
      <c r="K6449" s="28">
        <f t="shared" si="272"/>
        <v>1220.2484999999999</v>
      </c>
      <c r="L6449" s="4"/>
      <c r="M6449" s="241">
        <v>1169.2896000000001</v>
      </c>
    </row>
    <row r="6450" spans="3:13" hidden="1" outlineLevel="1" x14ac:dyDescent="0.2">
      <c r="C6450" s="139">
        <v>159.19999999999524</v>
      </c>
      <c r="D6450" s="28">
        <f t="shared" si="265"/>
        <v>1273.5999999999619</v>
      </c>
      <c r="E6450" s="28">
        <f t="shared" si="266"/>
        <v>1193.9999999999643</v>
      </c>
      <c r="F6450" s="28">
        <f t="shared" si="267"/>
        <v>1175.9999999999643</v>
      </c>
      <c r="G6450" s="28">
        <f t="shared" si="268"/>
        <v>1100.4956999999999</v>
      </c>
      <c r="H6450" s="28">
        <f t="shared" si="269"/>
        <v>1145.9997000000001</v>
      </c>
      <c r="I6450" s="28">
        <f t="shared" si="270"/>
        <v>1169.2896000000001</v>
      </c>
      <c r="J6450" s="28">
        <f t="shared" si="271"/>
        <v>1187.8255999999999</v>
      </c>
      <c r="K6450" s="28">
        <f t="shared" si="272"/>
        <v>1220.2484999999999</v>
      </c>
      <c r="L6450" s="4"/>
      <c r="M6450" s="241">
        <v>1169.2896000000001</v>
      </c>
    </row>
    <row r="6451" spans="3:13" hidden="1" outlineLevel="1" x14ac:dyDescent="0.2">
      <c r="C6451" s="139">
        <v>159.29999999999524</v>
      </c>
      <c r="D6451" s="28">
        <f t="shared" si="265"/>
        <v>1274.3999999999619</v>
      </c>
      <c r="E6451" s="28">
        <f t="shared" si="266"/>
        <v>1194.7499999999643</v>
      </c>
      <c r="F6451" s="28">
        <f t="shared" si="267"/>
        <v>1176.7499999999643</v>
      </c>
      <c r="G6451" s="28">
        <f t="shared" si="268"/>
        <v>1101.4682</v>
      </c>
      <c r="H6451" s="28">
        <f t="shared" si="269"/>
        <v>1146.9929999999999</v>
      </c>
      <c r="I6451" s="28">
        <f t="shared" si="270"/>
        <v>1170.3027</v>
      </c>
      <c r="J6451" s="28">
        <f t="shared" si="271"/>
        <v>1188.8561999999999</v>
      </c>
      <c r="K6451" s="28">
        <f t="shared" si="272"/>
        <v>1221.3068000000001</v>
      </c>
      <c r="L6451" s="4"/>
      <c r="M6451" s="241">
        <v>1170.3027</v>
      </c>
    </row>
    <row r="6452" spans="3:13" hidden="1" outlineLevel="1" x14ac:dyDescent="0.2">
      <c r="C6452" s="139">
        <v>159.39999999999523</v>
      </c>
      <c r="D6452" s="28">
        <f t="shared" si="265"/>
        <v>1275.1999999999618</v>
      </c>
      <c r="E6452" s="28">
        <f t="shared" si="266"/>
        <v>1195.4999999999643</v>
      </c>
      <c r="F6452" s="28">
        <f t="shared" si="267"/>
        <v>1177.4999999999643</v>
      </c>
      <c r="G6452" s="28">
        <f t="shared" si="268"/>
        <v>1102.4407000000001</v>
      </c>
      <c r="H6452" s="28">
        <f t="shared" si="269"/>
        <v>1147.9863</v>
      </c>
      <c r="I6452" s="28">
        <f t="shared" si="270"/>
        <v>1171.3158000000001</v>
      </c>
      <c r="J6452" s="28">
        <f t="shared" si="271"/>
        <v>1189.8869</v>
      </c>
      <c r="K6452" s="28">
        <f t="shared" si="272"/>
        <v>1222.365</v>
      </c>
      <c r="L6452" s="4"/>
      <c r="M6452" s="241">
        <v>1171.3158000000001</v>
      </c>
    </row>
    <row r="6453" spans="3:13" hidden="1" outlineLevel="1" x14ac:dyDescent="0.2">
      <c r="C6453" s="139">
        <v>159.49999999999523</v>
      </c>
      <c r="D6453" s="28">
        <f t="shared" si="265"/>
        <v>1275.9999999999618</v>
      </c>
      <c r="E6453" s="28">
        <f t="shared" si="266"/>
        <v>1196.2499999999641</v>
      </c>
      <c r="F6453" s="28">
        <f t="shared" si="267"/>
        <v>1178.2499999999641</v>
      </c>
      <c r="G6453" s="28">
        <f t="shared" si="268"/>
        <v>1103.4132999999999</v>
      </c>
      <c r="H6453" s="28">
        <f t="shared" si="269"/>
        <v>1148.9975999999999</v>
      </c>
      <c r="I6453" s="28">
        <f t="shared" si="270"/>
        <v>1172.3469</v>
      </c>
      <c r="J6453" s="28">
        <f t="shared" si="271"/>
        <v>1190.9176</v>
      </c>
      <c r="K6453" s="28">
        <f t="shared" si="272"/>
        <v>1223.4036000000001</v>
      </c>
      <c r="L6453" s="4"/>
      <c r="M6453" s="241">
        <v>1172.3469</v>
      </c>
    </row>
    <row r="6454" spans="3:13" hidden="1" outlineLevel="1" x14ac:dyDescent="0.2">
      <c r="C6454" s="139">
        <v>159.59999999999522</v>
      </c>
      <c r="D6454" s="28">
        <f t="shared" si="265"/>
        <v>1276.7999999999618</v>
      </c>
      <c r="E6454" s="28">
        <f t="shared" si="266"/>
        <v>1196.9999999999641</v>
      </c>
      <c r="F6454" s="28">
        <f t="shared" si="267"/>
        <v>1178.9999999999641</v>
      </c>
      <c r="G6454" s="28">
        <f t="shared" si="268"/>
        <v>1103.4132999999999</v>
      </c>
      <c r="H6454" s="28">
        <f t="shared" si="269"/>
        <v>1148.9975999999999</v>
      </c>
      <c r="I6454" s="28">
        <f t="shared" si="270"/>
        <v>1172.3469</v>
      </c>
      <c r="J6454" s="28">
        <f t="shared" si="271"/>
        <v>1190.9176</v>
      </c>
      <c r="K6454" s="28">
        <f t="shared" si="272"/>
        <v>1223.4036000000001</v>
      </c>
      <c r="L6454" s="4"/>
      <c r="M6454" s="241">
        <v>1172.3469</v>
      </c>
    </row>
    <row r="6455" spans="3:13" hidden="1" outlineLevel="1" x14ac:dyDescent="0.2">
      <c r="C6455" s="139">
        <v>159.69999999999521</v>
      </c>
      <c r="D6455" s="28">
        <f t="shared" si="265"/>
        <v>1277.5999999999617</v>
      </c>
      <c r="E6455" s="28">
        <f t="shared" si="266"/>
        <v>1197.7499999999641</v>
      </c>
      <c r="F6455" s="28">
        <f t="shared" si="267"/>
        <v>1179.7499999999641</v>
      </c>
      <c r="G6455" s="28">
        <f t="shared" si="268"/>
        <v>1104.386</v>
      </c>
      <c r="H6455" s="28">
        <f t="shared" si="269"/>
        <v>1149.9909</v>
      </c>
      <c r="I6455" s="28">
        <f t="shared" si="270"/>
        <v>1173.3601000000001</v>
      </c>
      <c r="J6455" s="28">
        <f t="shared" si="271"/>
        <v>1191.9286</v>
      </c>
      <c r="K6455" s="28">
        <f t="shared" si="272"/>
        <v>1224.4619</v>
      </c>
      <c r="L6455" s="4"/>
      <c r="M6455" s="241">
        <v>1173.3601000000001</v>
      </c>
    </row>
    <row r="6456" spans="3:13" hidden="1" outlineLevel="1" x14ac:dyDescent="0.2">
      <c r="C6456" s="139">
        <v>159.79999999999521</v>
      </c>
      <c r="D6456" s="28">
        <f t="shared" si="265"/>
        <v>1278.3999999999617</v>
      </c>
      <c r="E6456" s="28">
        <f t="shared" si="266"/>
        <v>1198.4999999999641</v>
      </c>
      <c r="F6456" s="28">
        <f t="shared" si="267"/>
        <v>1180.4999999999641</v>
      </c>
      <c r="G6456" s="28">
        <f t="shared" si="268"/>
        <v>1105.3587</v>
      </c>
      <c r="H6456" s="28">
        <f t="shared" si="269"/>
        <v>1150.9843000000001</v>
      </c>
      <c r="I6456" s="28">
        <f t="shared" si="270"/>
        <v>1174.3733</v>
      </c>
      <c r="J6456" s="28">
        <f t="shared" si="271"/>
        <v>1192.9594</v>
      </c>
      <c r="K6456" s="28">
        <f t="shared" si="272"/>
        <v>1225.5202999999999</v>
      </c>
      <c r="L6456" s="4"/>
      <c r="M6456" s="241">
        <v>1174.3733</v>
      </c>
    </row>
    <row r="6457" spans="3:13" hidden="1" outlineLevel="1" x14ac:dyDescent="0.2">
      <c r="C6457" s="139">
        <v>159.8999999999952</v>
      </c>
      <c r="D6457" s="28">
        <f t="shared" si="265"/>
        <v>1279.1999999999616</v>
      </c>
      <c r="E6457" s="28">
        <f t="shared" si="266"/>
        <v>1199.2499999999641</v>
      </c>
      <c r="F6457" s="28">
        <f t="shared" si="267"/>
        <v>1181.2499999999641</v>
      </c>
      <c r="G6457" s="28">
        <f t="shared" si="268"/>
        <v>1106.3315</v>
      </c>
      <c r="H6457" s="28">
        <f t="shared" si="269"/>
        <v>1151.9957999999999</v>
      </c>
      <c r="I6457" s="28">
        <f t="shared" si="270"/>
        <v>1175.3866</v>
      </c>
      <c r="J6457" s="28">
        <f t="shared" si="271"/>
        <v>1193.9902</v>
      </c>
      <c r="K6457" s="28">
        <f t="shared" si="272"/>
        <v>1226.5589</v>
      </c>
      <c r="L6457" s="4"/>
      <c r="M6457" s="241">
        <v>1175.3866</v>
      </c>
    </row>
    <row r="6458" spans="3:13" hidden="1" outlineLevel="1" x14ac:dyDescent="0.2">
      <c r="C6458" s="139">
        <v>159.9999999999952</v>
      </c>
      <c r="D6458" s="28">
        <f t="shared" si="265"/>
        <v>1279.9999999999616</v>
      </c>
      <c r="E6458" s="28">
        <f t="shared" si="266"/>
        <v>1199.9999999999641</v>
      </c>
      <c r="F6458" s="28">
        <f t="shared" si="267"/>
        <v>1181.9999999999641</v>
      </c>
      <c r="G6458" s="28">
        <f t="shared" si="268"/>
        <v>1106.3315</v>
      </c>
      <c r="H6458" s="28">
        <f t="shared" si="269"/>
        <v>1151.9957999999999</v>
      </c>
      <c r="I6458" s="28">
        <f t="shared" si="270"/>
        <v>1175.3866</v>
      </c>
      <c r="J6458" s="28">
        <f t="shared" si="271"/>
        <v>1193.9902</v>
      </c>
      <c r="K6458" s="28">
        <f t="shared" si="272"/>
        <v>1226.5589</v>
      </c>
      <c r="L6458" s="4"/>
      <c r="M6458" s="241">
        <v>1175.3866</v>
      </c>
    </row>
    <row r="6459" spans="3:13" hidden="1" outlineLevel="1" x14ac:dyDescent="0.2">
      <c r="C6459" s="139">
        <v>160.09999999999519</v>
      </c>
      <c r="D6459" s="28">
        <f t="shared" ref="D6459:D6522" si="273">C6459*Channels.per.TRX</f>
        <v>1280.7999999999615</v>
      </c>
      <c r="E6459" s="28">
        <f t="shared" ref="E6459:E6522" si="274">D6459-C6459*sig.channel.per.TRX</f>
        <v>1200.7499999999638</v>
      </c>
      <c r="F6459" s="28">
        <f t="shared" ref="F6459:F6522" si="275">MAX(0,E6459-GPRS.channel.per.sector)</f>
        <v>1182.7499999999638</v>
      </c>
      <c r="G6459" s="28">
        <f t="shared" ref="G6459:G6522" si="276">INDEX(D$10:D$4326,MATCH($F6459,$C$10:$C$4326,1))</f>
        <v>1107.3224</v>
      </c>
      <c r="H6459" s="28">
        <f t="shared" ref="H6459:H6522" si="277">INDEX(E$10:E$4326,MATCH($F6459,$C$10:$C$4326,1))</f>
        <v>1152.9893</v>
      </c>
      <c r="I6459" s="28">
        <f t="shared" ref="I6459:I6522" si="278">INDEX(F$10:F$4326,MATCH($F6459,$C$10:$C$4326,1))</f>
        <v>1176.3998999999999</v>
      </c>
      <c r="J6459" s="28">
        <f t="shared" ref="J6459:J6522" si="279">INDEX(G$10:G$4326,MATCH($F6459,$C$10:$C$4326,1))</f>
        <v>1195.021</v>
      </c>
      <c r="K6459" s="28">
        <f t="shared" ref="K6459:K6522" si="280">INDEX(H$10:H$4326,MATCH($F6459,$C$10:$C$4326,1))</f>
        <v>1227.6172999999999</v>
      </c>
      <c r="L6459" s="4"/>
      <c r="M6459" s="241">
        <v>1176.3998999999999</v>
      </c>
    </row>
    <row r="6460" spans="3:13" hidden="1" outlineLevel="1" x14ac:dyDescent="0.2">
      <c r="C6460" s="139">
        <v>160.19999999999519</v>
      </c>
      <c r="D6460" s="28">
        <f t="shared" si="273"/>
        <v>1281.5999999999615</v>
      </c>
      <c r="E6460" s="28">
        <f t="shared" si="274"/>
        <v>1201.4999999999638</v>
      </c>
      <c r="F6460" s="28">
        <f t="shared" si="275"/>
        <v>1183.4999999999638</v>
      </c>
      <c r="G6460" s="28">
        <f t="shared" si="276"/>
        <v>1108.2953</v>
      </c>
      <c r="H6460" s="28">
        <f t="shared" si="277"/>
        <v>1153.9828</v>
      </c>
      <c r="I6460" s="28">
        <f t="shared" si="278"/>
        <v>1177.4132</v>
      </c>
      <c r="J6460" s="28">
        <f t="shared" si="279"/>
        <v>1196.0518999999999</v>
      </c>
      <c r="K6460" s="28">
        <f t="shared" si="280"/>
        <v>1228.6559</v>
      </c>
      <c r="L6460" s="4"/>
      <c r="M6460" s="241">
        <v>1177.4132</v>
      </c>
    </row>
    <row r="6461" spans="3:13" hidden="1" outlineLevel="1" x14ac:dyDescent="0.2">
      <c r="C6461" s="139">
        <v>160.29999999999518</v>
      </c>
      <c r="D6461" s="28">
        <f t="shared" si="273"/>
        <v>1282.3999999999614</v>
      </c>
      <c r="E6461" s="28">
        <f t="shared" si="274"/>
        <v>1202.2499999999638</v>
      </c>
      <c r="F6461" s="28">
        <f t="shared" si="275"/>
        <v>1184.2499999999638</v>
      </c>
      <c r="G6461" s="28">
        <f t="shared" si="276"/>
        <v>1109.2683</v>
      </c>
      <c r="H6461" s="28">
        <f t="shared" si="277"/>
        <v>1154.9944</v>
      </c>
      <c r="I6461" s="28">
        <f t="shared" si="278"/>
        <v>1178.4265</v>
      </c>
      <c r="J6461" s="28">
        <f t="shared" si="279"/>
        <v>1197.0628999999999</v>
      </c>
      <c r="K6461" s="28">
        <f t="shared" si="280"/>
        <v>1229.7143000000001</v>
      </c>
      <c r="L6461" s="4"/>
      <c r="M6461" s="241">
        <v>1178.4265</v>
      </c>
    </row>
    <row r="6462" spans="3:13" hidden="1" outlineLevel="1" x14ac:dyDescent="0.2">
      <c r="C6462" s="139">
        <v>160.39999999999517</v>
      </c>
      <c r="D6462" s="28">
        <f t="shared" si="273"/>
        <v>1283.1999999999614</v>
      </c>
      <c r="E6462" s="28">
        <f t="shared" si="274"/>
        <v>1202.9999999999638</v>
      </c>
      <c r="F6462" s="28">
        <f t="shared" si="275"/>
        <v>1184.9999999999638</v>
      </c>
      <c r="G6462" s="28">
        <f t="shared" si="276"/>
        <v>1109.2683</v>
      </c>
      <c r="H6462" s="28">
        <f t="shared" si="277"/>
        <v>1154.9944</v>
      </c>
      <c r="I6462" s="28">
        <f t="shared" si="278"/>
        <v>1178.4265</v>
      </c>
      <c r="J6462" s="28">
        <f t="shared" si="279"/>
        <v>1197.0628999999999</v>
      </c>
      <c r="K6462" s="28">
        <f t="shared" si="280"/>
        <v>1229.7143000000001</v>
      </c>
      <c r="L6462" s="4"/>
      <c r="M6462" s="241">
        <v>1178.4265</v>
      </c>
    </row>
    <row r="6463" spans="3:13" hidden="1" outlineLevel="1" x14ac:dyDescent="0.2">
      <c r="C6463" s="139">
        <v>160.49999999999517</v>
      </c>
      <c r="D6463" s="28">
        <f t="shared" si="273"/>
        <v>1283.9999999999613</v>
      </c>
      <c r="E6463" s="28">
        <f t="shared" si="274"/>
        <v>1203.7499999999638</v>
      </c>
      <c r="F6463" s="28">
        <f t="shared" si="275"/>
        <v>1185.7499999999638</v>
      </c>
      <c r="G6463" s="28">
        <f t="shared" si="276"/>
        <v>1110.2414000000001</v>
      </c>
      <c r="H6463" s="28">
        <f t="shared" si="277"/>
        <v>1155.9880000000001</v>
      </c>
      <c r="I6463" s="28">
        <f t="shared" si="278"/>
        <v>1179.4399000000001</v>
      </c>
      <c r="J6463" s="28">
        <f t="shared" si="279"/>
        <v>1198.0938000000001</v>
      </c>
      <c r="K6463" s="28">
        <f t="shared" si="280"/>
        <v>1230.7728</v>
      </c>
      <c r="L6463" s="4"/>
      <c r="M6463" s="241">
        <v>1179.4399000000001</v>
      </c>
    </row>
    <row r="6464" spans="3:13" hidden="1" outlineLevel="1" x14ac:dyDescent="0.2">
      <c r="C6464" s="139">
        <v>160.59999999999516</v>
      </c>
      <c r="D6464" s="28">
        <f t="shared" si="273"/>
        <v>1284.7999999999613</v>
      </c>
      <c r="E6464" s="28">
        <f t="shared" si="274"/>
        <v>1204.4999999999636</v>
      </c>
      <c r="F6464" s="28">
        <f t="shared" si="275"/>
        <v>1186.4999999999636</v>
      </c>
      <c r="G6464" s="28">
        <f t="shared" si="276"/>
        <v>1111.2145</v>
      </c>
      <c r="H6464" s="28">
        <f t="shared" si="277"/>
        <v>1156.9816000000001</v>
      </c>
      <c r="I6464" s="28">
        <f t="shared" si="278"/>
        <v>1180.4532999999999</v>
      </c>
      <c r="J6464" s="28">
        <f t="shared" si="279"/>
        <v>1199.1248000000001</v>
      </c>
      <c r="K6464" s="28">
        <f t="shared" si="280"/>
        <v>1231.8115</v>
      </c>
      <c r="L6464" s="4"/>
      <c r="M6464" s="241">
        <v>1180.4532999999999</v>
      </c>
    </row>
    <row r="6465" spans="3:13" hidden="1" outlineLevel="1" x14ac:dyDescent="0.2">
      <c r="C6465" s="139">
        <v>160.69999999999516</v>
      </c>
      <c r="D6465" s="28">
        <f t="shared" si="273"/>
        <v>1285.5999999999613</v>
      </c>
      <c r="E6465" s="28">
        <f t="shared" si="274"/>
        <v>1205.2499999999636</v>
      </c>
      <c r="F6465" s="28">
        <f t="shared" si="275"/>
        <v>1187.2499999999636</v>
      </c>
      <c r="G6465" s="28">
        <f t="shared" si="276"/>
        <v>1112.1876</v>
      </c>
      <c r="H6465" s="28">
        <f t="shared" si="277"/>
        <v>1157.9933000000001</v>
      </c>
      <c r="I6465" s="28">
        <f t="shared" si="278"/>
        <v>1181.4666999999999</v>
      </c>
      <c r="J6465" s="28">
        <f t="shared" si="279"/>
        <v>1200.1558</v>
      </c>
      <c r="K6465" s="28">
        <f t="shared" si="280"/>
        <v>1232.8699999999999</v>
      </c>
      <c r="L6465" s="4"/>
      <c r="M6465" s="241">
        <v>1181.4666999999999</v>
      </c>
    </row>
    <row r="6466" spans="3:13" hidden="1" outlineLevel="1" x14ac:dyDescent="0.2">
      <c r="C6466" s="139">
        <v>160.79999999999515</v>
      </c>
      <c r="D6466" s="28">
        <f t="shared" si="273"/>
        <v>1286.3999999999612</v>
      </c>
      <c r="E6466" s="28">
        <f t="shared" si="274"/>
        <v>1205.9999999999636</v>
      </c>
      <c r="F6466" s="28">
        <f t="shared" si="275"/>
        <v>1187.9999999999636</v>
      </c>
      <c r="G6466" s="28">
        <f t="shared" si="276"/>
        <v>1112.1876</v>
      </c>
      <c r="H6466" s="28">
        <f t="shared" si="277"/>
        <v>1157.9933000000001</v>
      </c>
      <c r="I6466" s="28">
        <f t="shared" si="278"/>
        <v>1181.4666999999999</v>
      </c>
      <c r="J6466" s="28">
        <f t="shared" si="279"/>
        <v>1200.1558</v>
      </c>
      <c r="K6466" s="28">
        <f t="shared" si="280"/>
        <v>1232.8699999999999</v>
      </c>
      <c r="L6466" s="4"/>
      <c r="M6466" s="241">
        <v>1181.4666999999999</v>
      </c>
    </row>
    <row r="6467" spans="3:13" hidden="1" outlineLevel="1" x14ac:dyDescent="0.2">
      <c r="C6467" s="139">
        <v>160.89999999999515</v>
      </c>
      <c r="D6467" s="28">
        <f t="shared" si="273"/>
        <v>1287.1999999999612</v>
      </c>
      <c r="E6467" s="28">
        <f t="shared" si="274"/>
        <v>1206.7499999999636</v>
      </c>
      <c r="F6467" s="28">
        <f t="shared" si="275"/>
        <v>1188.7499999999636</v>
      </c>
      <c r="G6467" s="28">
        <f t="shared" si="276"/>
        <v>1113.1609000000001</v>
      </c>
      <c r="H6467" s="28">
        <f t="shared" si="277"/>
        <v>1158.9870000000001</v>
      </c>
      <c r="I6467" s="28">
        <f t="shared" si="278"/>
        <v>1182.4802</v>
      </c>
      <c r="J6467" s="28">
        <f t="shared" si="279"/>
        <v>1201.1867999999999</v>
      </c>
      <c r="K6467" s="28">
        <f t="shared" si="280"/>
        <v>1233.9286</v>
      </c>
      <c r="L6467" s="4"/>
      <c r="M6467" s="241">
        <v>1182.4802</v>
      </c>
    </row>
    <row r="6468" spans="3:13" hidden="1" outlineLevel="1" x14ac:dyDescent="0.2">
      <c r="C6468" s="139">
        <v>160.99999999999514</v>
      </c>
      <c r="D6468" s="28">
        <f t="shared" si="273"/>
        <v>1287.9999999999611</v>
      </c>
      <c r="E6468" s="28">
        <f t="shared" si="274"/>
        <v>1207.4999999999636</v>
      </c>
      <c r="F6468" s="28">
        <f t="shared" si="275"/>
        <v>1189.4999999999636</v>
      </c>
      <c r="G6468" s="28">
        <f t="shared" si="276"/>
        <v>1114.1341</v>
      </c>
      <c r="H6468" s="28">
        <f t="shared" si="277"/>
        <v>1159.9808</v>
      </c>
      <c r="I6468" s="28">
        <f t="shared" si="278"/>
        <v>1183.4937</v>
      </c>
      <c r="J6468" s="28">
        <f t="shared" si="279"/>
        <v>1202.2179000000001</v>
      </c>
      <c r="K6468" s="28">
        <f t="shared" si="280"/>
        <v>1234.9673</v>
      </c>
      <c r="L6468" s="4"/>
      <c r="M6468" s="241">
        <v>1183.4937</v>
      </c>
    </row>
    <row r="6469" spans="3:13" hidden="1" outlineLevel="1" x14ac:dyDescent="0.2">
      <c r="C6469" s="139">
        <v>161.09999999999513</v>
      </c>
      <c r="D6469" s="28">
        <f t="shared" si="273"/>
        <v>1288.7999999999611</v>
      </c>
      <c r="E6469" s="28">
        <f t="shared" si="274"/>
        <v>1208.2499999999636</v>
      </c>
      <c r="F6469" s="28">
        <f t="shared" si="275"/>
        <v>1190.2499999999636</v>
      </c>
      <c r="G6469" s="28">
        <f t="shared" si="276"/>
        <v>1115.1075000000001</v>
      </c>
      <c r="H6469" s="28">
        <f t="shared" si="277"/>
        <v>1160.9927</v>
      </c>
      <c r="I6469" s="28">
        <f t="shared" si="278"/>
        <v>1184.5072</v>
      </c>
      <c r="J6469" s="28">
        <f t="shared" si="279"/>
        <v>1203.229</v>
      </c>
      <c r="K6469" s="28">
        <f t="shared" si="280"/>
        <v>1236.0259000000001</v>
      </c>
      <c r="L6469" s="4"/>
      <c r="M6469" s="241">
        <v>1184.5072</v>
      </c>
    </row>
    <row r="6470" spans="3:13" hidden="1" outlineLevel="1" x14ac:dyDescent="0.2">
      <c r="C6470" s="139">
        <v>161.19999999999513</v>
      </c>
      <c r="D6470" s="28">
        <f t="shared" si="273"/>
        <v>1289.599999999961</v>
      </c>
      <c r="E6470" s="28">
        <f t="shared" si="274"/>
        <v>1208.9999999999634</v>
      </c>
      <c r="F6470" s="28">
        <f t="shared" si="275"/>
        <v>1190.9999999999634</v>
      </c>
      <c r="G6470" s="28">
        <f t="shared" si="276"/>
        <v>1115.1075000000001</v>
      </c>
      <c r="H6470" s="28">
        <f t="shared" si="277"/>
        <v>1160.9927</v>
      </c>
      <c r="I6470" s="28">
        <f t="shared" si="278"/>
        <v>1184.5072</v>
      </c>
      <c r="J6470" s="28">
        <f t="shared" si="279"/>
        <v>1203.229</v>
      </c>
      <c r="K6470" s="28">
        <f t="shared" si="280"/>
        <v>1236.0259000000001</v>
      </c>
      <c r="L6470" s="4"/>
      <c r="M6470" s="241">
        <v>1184.5072</v>
      </c>
    </row>
    <row r="6471" spans="3:13" hidden="1" outlineLevel="1" x14ac:dyDescent="0.2">
      <c r="C6471" s="139">
        <v>161.29999999999512</v>
      </c>
      <c r="D6471" s="28">
        <f t="shared" si="273"/>
        <v>1290.399999999961</v>
      </c>
      <c r="E6471" s="28">
        <f t="shared" si="274"/>
        <v>1209.7499999999634</v>
      </c>
      <c r="F6471" s="28">
        <f t="shared" si="275"/>
        <v>1191.7499999999634</v>
      </c>
      <c r="G6471" s="28">
        <f t="shared" si="276"/>
        <v>1116.0808999999999</v>
      </c>
      <c r="H6471" s="28">
        <f t="shared" si="277"/>
        <v>1161.9865</v>
      </c>
      <c r="I6471" s="28">
        <f t="shared" si="278"/>
        <v>1185.5208</v>
      </c>
      <c r="J6471" s="28">
        <f t="shared" si="279"/>
        <v>1204.2601</v>
      </c>
      <c r="K6471" s="28">
        <f t="shared" si="280"/>
        <v>1237.0645999999999</v>
      </c>
      <c r="L6471" s="4"/>
      <c r="M6471" s="241">
        <v>1185.5208</v>
      </c>
    </row>
    <row r="6472" spans="3:13" hidden="1" outlineLevel="1" x14ac:dyDescent="0.2">
      <c r="C6472" s="139">
        <v>161.39999999999512</v>
      </c>
      <c r="D6472" s="28">
        <f t="shared" si="273"/>
        <v>1291.1999999999609</v>
      </c>
      <c r="E6472" s="28">
        <f t="shared" si="274"/>
        <v>1210.4999999999634</v>
      </c>
      <c r="F6472" s="28">
        <f t="shared" si="275"/>
        <v>1192.4999999999634</v>
      </c>
      <c r="G6472" s="28">
        <f t="shared" si="276"/>
        <v>1117.0544</v>
      </c>
      <c r="H6472" s="28">
        <f t="shared" si="277"/>
        <v>1162.9802999999999</v>
      </c>
      <c r="I6472" s="28">
        <f t="shared" si="278"/>
        <v>1186.5344</v>
      </c>
      <c r="J6472" s="28">
        <f t="shared" si="279"/>
        <v>1205.2911999999999</v>
      </c>
      <c r="K6472" s="28">
        <f t="shared" si="280"/>
        <v>1238.1232</v>
      </c>
      <c r="L6472" s="4"/>
      <c r="M6472" s="241">
        <v>1186.5344</v>
      </c>
    </row>
    <row r="6473" spans="3:13" hidden="1" outlineLevel="1" x14ac:dyDescent="0.2">
      <c r="C6473" s="139">
        <v>161.49999999999511</v>
      </c>
      <c r="D6473" s="28">
        <f t="shared" si="273"/>
        <v>1291.9999999999609</v>
      </c>
      <c r="E6473" s="28">
        <f t="shared" si="274"/>
        <v>1211.2499999999634</v>
      </c>
      <c r="F6473" s="28">
        <f t="shared" si="275"/>
        <v>1193.2499999999634</v>
      </c>
      <c r="G6473" s="28">
        <f t="shared" si="276"/>
        <v>1118.0279</v>
      </c>
      <c r="H6473" s="28">
        <f t="shared" si="277"/>
        <v>1163.9922999999999</v>
      </c>
      <c r="I6473" s="28">
        <f t="shared" si="278"/>
        <v>1187.548</v>
      </c>
      <c r="J6473" s="28">
        <f t="shared" si="279"/>
        <v>1206.3224</v>
      </c>
      <c r="K6473" s="28">
        <f t="shared" si="280"/>
        <v>1239.182</v>
      </c>
      <c r="L6473" s="4"/>
      <c r="M6473" s="241">
        <v>1187.548</v>
      </c>
    </row>
    <row r="6474" spans="3:13" hidden="1" outlineLevel="1" x14ac:dyDescent="0.2">
      <c r="C6474" s="139">
        <v>161.59999999999511</v>
      </c>
      <c r="D6474" s="28">
        <f t="shared" si="273"/>
        <v>1292.7999999999608</v>
      </c>
      <c r="E6474" s="28">
        <f t="shared" si="274"/>
        <v>1211.9999999999634</v>
      </c>
      <c r="F6474" s="28">
        <f t="shared" si="275"/>
        <v>1193.9999999999634</v>
      </c>
      <c r="G6474" s="28">
        <f t="shared" si="276"/>
        <v>1118.0279</v>
      </c>
      <c r="H6474" s="28">
        <f t="shared" si="277"/>
        <v>1163.9922999999999</v>
      </c>
      <c r="I6474" s="28">
        <f t="shared" si="278"/>
        <v>1187.548</v>
      </c>
      <c r="J6474" s="28">
        <f t="shared" si="279"/>
        <v>1206.3224</v>
      </c>
      <c r="K6474" s="28">
        <f t="shared" si="280"/>
        <v>1239.182</v>
      </c>
      <c r="L6474" s="4"/>
      <c r="M6474" s="241">
        <v>1187.548</v>
      </c>
    </row>
    <row r="6475" spans="3:13" hidden="1" outlineLevel="1" x14ac:dyDescent="0.2">
      <c r="C6475" s="139">
        <v>161.6999999999951</v>
      </c>
      <c r="D6475" s="28">
        <f t="shared" si="273"/>
        <v>1293.5999999999608</v>
      </c>
      <c r="E6475" s="28">
        <f t="shared" si="274"/>
        <v>1212.7499999999632</v>
      </c>
      <c r="F6475" s="28">
        <f t="shared" si="275"/>
        <v>1194.7499999999632</v>
      </c>
      <c r="G6475" s="28">
        <f t="shared" si="276"/>
        <v>1119.0015000000001</v>
      </c>
      <c r="H6475" s="28">
        <f t="shared" si="277"/>
        <v>1164.9863</v>
      </c>
      <c r="I6475" s="28">
        <f t="shared" si="278"/>
        <v>1188.5616</v>
      </c>
      <c r="J6475" s="28">
        <f t="shared" si="279"/>
        <v>1207.3535999999999</v>
      </c>
      <c r="K6475" s="28">
        <f t="shared" si="280"/>
        <v>1240.2207000000001</v>
      </c>
      <c r="L6475" s="4"/>
      <c r="M6475" s="241">
        <v>1188.5616</v>
      </c>
    </row>
    <row r="6476" spans="3:13" hidden="1" outlineLevel="1" x14ac:dyDescent="0.2">
      <c r="C6476" s="139">
        <v>161.79999999999509</v>
      </c>
      <c r="D6476" s="28">
        <f t="shared" si="273"/>
        <v>1294.3999999999608</v>
      </c>
      <c r="E6476" s="28">
        <f t="shared" si="274"/>
        <v>1213.4999999999632</v>
      </c>
      <c r="F6476" s="28">
        <f t="shared" si="275"/>
        <v>1195.4999999999632</v>
      </c>
      <c r="G6476" s="28">
        <f t="shared" si="276"/>
        <v>1119.9752000000001</v>
      </c>
      <c r="H6476" s="28">
        <f t="shared" si="277"/>
        <v>1165.9802</v>
      </c>
      <c r="I6476" s="28">
        <f t="shared" si="278"/>
        <v>1189.5934999999999</v>
      </c>
      <c r="J6476" s="28">
        <f t="shared" si="279"/>
        <v>1208.3648000000001</v>
      </c>
      <c r="K6476" s="28">
        <f t="shared" si="280"/>
        <v>1241.2793999999999</v>
      </c>
      <c r="L6476" s="4"/>
      <c r="M6476" s="241">
        <v>1189.5934999999999</v>
      </c>
    </row>
    <row r="6477" spans="3:13" hidden="1" outlineLevel="1" x14ac:dyDescent="0.2">
      <c r="C6477" s="139">
        <v>161.89999999999509</v>
      </c>
      <c r="D6477" s="28">
        <f t="shared" si="273"/>
        <v>1295.1999999999607</v>
      </c>
      <c r="E6477" s="28">
        <f t="shared" si="274"/>
        <v>1214.2499999999632</v>
      </c>
      <c r="F6477" s="28">
        <f t="shared" si="275"/>
        <v>1196.2499999999632</v>
      </c>
      <c r="G6477" s="28">
        <f t="shared" si="276"/>
        <v>1120.9489000000001</v>
      </c>
      <c r="H6477" s="28">
        <f t="shared" si="277"/>
        <v>1166.9924000000001</v>
      </c>
      <c r="I6477" s="28">
        <f t="shared" si="278"/>
        <v>1190.6072999999999</v>
      </c>
      <c r="J6477" s="28">
        <f t="shared" si="279"/>
        <v>1209.3960999999999</v>
      </c>
      <c r="K6477" s="28">
        <f t="shared" si="280"/>
        <v>1242.3181999999999</v>
      </c>
      <c r="L6477" s="4"/>
      <c r="M6477" s="241">
        <v>1190.6072999999999</v>
      </c>
    </row>
    <row r="6478" spans="3:13" hidden="1" outlineLevel="1" x14ac:dyDescent="0.2">
      <c r="C6478" s="139">
        <v>161.99999999999508</v>
      </c>
      <c r="D6478" s="28">
        <f t="shared" si="273"/>
        <v>1295.9999999999607</v>
      </c>
      <c r="E6478" s="28">
        <f t="shared" si="274"/>
        <v>1214.9999999999632</v>
      </c>
      <c r="F6478" s="28">
        <f t="shared" si="275"/>
        <v>1196.9999999999632</v>
      </c>
      <c r="G6478" s="28">
        <f t="shared" si="276"/>
        <v>1120.9489000000001</v>
      </c>
      <c r="H6478" s="28">
        <f t="shared" si="277"/>
        <v>1166.9924000000001</v>
      </c>
      <c r="I6478" s="28">
        <f t="shared" si="278"/>
        <v>1190.6072999999999</v>
      </c>
      <c r="J6478" s="28">
        <f t="shared" si="279"/>
        <v>1209.3960999999999</v>
      </c>
      <c r="K6478" s="28">
        <f t="shared" si="280"/>
        <v>1242.3181999999999</v>
      </c>
      <c r="L6478" s="4"/>
      <c r="M6478" s="241">
        <v>1190.6072999999999</v>
      </c>
    </row>
    <row r="6479" spans="3:13" hidden="1" outlineLevel="1" x14ac:dyDescent="0.2">
      <c r="C6479" s="139">
        <v>162.09999999999508</v>
      </c>
      <c r="D6479" s="28">
        <f t="shared" si="273"/>
        <v>1296.7999999999606</v>
      </c>
      <c r="E6479" s="28">
        <f t="shared" si="274"/>
        <v>1215.7499999999632</v>
      </c>
      <c r="F6479" s="28">
        <f t="shared" si="275"/>
        <v>1197.7499999999632</v>
      </c>
      <c r="G6479" s="28">
        <f t="shared" si="276"/>
        <v>1121.9227000000001</v>
      </c>
      <c r="H6479" s="28">
        <f t="shared" si="277"/>
        <v>1167.9864</v>
      </c>
      <c r="I6479" s="28">
        <f t="shared" si="278"/>
        <v>1191.6210000000001</v>
      </c>
      <c r="J6479" s="28">
        <f t="shared" si="279"/>
        <v>1210.4273000000001</v>
      </c>
      <c r="K6479" s="28">
        <f t="shared" si="280"/>
        <v>1243.377</v>
      </c>
      <c r="L6479" s="4"/>
      <c r="M6479" s="241">
        <v>1191.6210000000001</v>
      </c>
    </row>
    <row r="6480" spans="3:13" hidden="1" outlineLevel="1" x14ac:dyDescent="0.2">
      <c r="C6480" s="139">
        <v>162.19999999999507</v>
      </c>
      <c r="D6480" s="28">
        <f t="shared" si="273"/>
        <v>1297.5999999999606</v>
      </c>
      <c r="E6480" s="28">
        <f t="shared" si="274"/>
        <v>1216.4999999999629</v>
      </c>
      <c r="F6480" s="28">
        <f t="shared" si="275"/>
        <v>1198.4999999999629</v>
      </c>
      <c r="G6480" s="28">
        <f t="shared" si="276"/>
        <v>1122.8965000000001</v>
      </c>
      <c r="H6480" s="28">
        <f t="shared" si="277"/>
        <v>1168.9804999999999</v>
      </c>
      <c r="I6480" s="28">
        <f t="shared" si="278"/>
        <v>1192.6348</v>
      </c>
      <c r="J6480" s="28">
        <f t="shared" si="279"/>
        <v>1211.4586999999999</v>
      </c>
      <c r="K6480" s="28">
        <f t="shared" si="280"/>
        <v>1244.4358</v>
      </c>
      <c r="L6480" s="4"/>
      <c r="M6480" s="241">
        <v>1192.6348</v>
      </c>
    </row>
    <row r="6481" spans="3:13" hidden="1" outlineLevel="1" x14ac:dyDescent="0.2">
      <c r="C6481" s="139">
        <v>162.29999999999507</v>
      </c>
      <c r="D6481" s="28">
        <f t="shared" si="273"/>
        <v>1298.3999999999605</v>
      </c>
      <c r="E6481" s="28">
        <f t="shared" si="274"/>
        <v>1217.2499999999629</v>
      </c>
      <c r="F6481" s="28">
        <f t="shared" si="275"/>
        <v>1199.2499999999629</v>
      </c>
      <c r="G6481" s="28">
        <f t="shared" si="276"/>
        <v>1123.8704</v>
      </c>
      <c r="H6481" s="28">
        <f t="shared" si="277"/>
        <v>1169.9745</v>
      </c>
      <c r="I6481" s="28">
        <f t="shared" si="278"/>
        <v>1193.6486</v>
      </c>
      <c r="J6481" s="28">
        <f t="shared" si="279"/>
        <v>1212.49</v>
      </c>
      <c r="K6481" s="28">
        <f t="shared" si="280"/>
        <v>1245.4746</v>
      </c>
      <c r="L6481" s="4"/>
      <c r="M6481" s="241">
        <v>1193.6486</v>
      </c>
    </row>
    <row r="6482" spans="3:13" hidden="1" outlineLevel="1" x14ac:dyDescent="0.2">
      <c r="C6482" s="139">
        <v>162.39999999999506</v>
      </c>
      <c r="D6482" s="28">
        <f t="shared" si="273"/>
        <v>1299.1999999999605</v>
      </c>
      <c r="E6482" s="28">
        <f t="shared" si="274"/>
        <v>1217.9999999999629</v>
      </c>
      <c r="F6482" s="28">
        <f t="shared" si="275"/>
        <v>1199.9999999999629</v>
      </c>
      <c r="G6482" s="28">
        <f t="shared" si="276"/>
        <v>1123.8704</v>
      </c>
      <c r="H6482" s="28">
        <f t="shared" si="277"/>
        <v>1169.9745</v>
      </c>
      <c r="I6482" s="28">
        <f t="shared" si="278"/>
        <v>1193.6486</v>
      </c>
      <c r="J6482" s="28">
        <f t="shared" si="279"/>
        <v>1212.49</v>
      </c>
      <c r="K6482" s="28">
        <f t="shared" si="280"/>
        <v>1245.4746</v>
      </c>
      <c r="L6482" s="4"/>
      <c r="M6482" s="241">
        <v>1193.6486</v>
      </c>
    </row>
    <row r="6483" spans="3:13" hidden="1" outlineLevel="1" x14ac:dyDescent="0.2">
      <c r="C6483" s="139">
        <v>162.49999999999505</v>
      </c>
      <c r="D6483" s="28">
        <f t="shared" si="273"/>
        <v>1299.9999999999604</v>
      </c>
      <c r="E6483" s="28">
        <f t="shared" si="274"/>
        <v>1218.7499999999629</v>
      </c>
      <c r="F6483" s="28">
        <f t="shared" si="275"/>
        <v>1200.7499999999629</v>
      </c>
      <c r="G6483" s="28">
        <f t="shared" si="276"/>
        <v>1124.8444</v>
      </c>
      <c r="H6483" s="28">
        <f t="shared" si="277"/>
        <v>1170.9869000000001</v>
      </c>
      <c r="I6483" s="28">
        <f t="shared" si="278"/>
        <v>1194.6624999999999</v>
      </c>
      <c r="J6483" s="28">
        <f t="shared" si="279"/>
        <v>1213.5012999999999</v>
      </c>
      <c r="K6483" s="28">
        <f t="shared" si="280"/>
        <v>1246.5335</v>
      </c>
      <c r="L6483" s="4"/>
      <c r="M6483" s="241">
        <v>1194.6624999999999</v>
      </c>
    </row>
    <row r="6484" spans="3:13" hidden="1" outlineLevel="1" x14ac:dyDescent="0.2">
      <c r="C6484" s="139">
        <v>162.59999999999505</v>
      </c>
      <c r="D6484" s="28">
        <f t="shared" si="273"/>
        <v>1300.7999999999604</v>
      </c>
      <c r="E6484" s="28">
        <f t="shared" si="274"/>
        <v>1219.4999999999629</v>
      </c>
      <c r="F6484" s="28">
        <f t="shared" si="275"/>
        <v>1201.4999999999629</v>
      </c>
      <c r="G6484" s="28">
        <f t="shared" si="276"/>
        <v>1125.8184000000001</v>
      </c>
      <c r="H6484" s="28">
        <f t="shared" si="277"/>
        <v>1171.9811</v>
      </c>
      <c r="I6484" s="28">
        <f t="shared" si="278"/>
        <v>1195.6764000000001</v>
      </c>
      <c r="J6484" s="28">
        <f t="shared" si="279"/>
        <v>1214.5327</v>
      </c>
      <c r="K6484" s="28">
        <f t="shared" si="280"/>
        <v>1247.5723</v>
      </c>
      <c r="L6484" s="4"/>
      <c r="M6484" s="241">
        <v>1195.6764000000001</v>
      </c>
    </row>
    <row r="6485" spans="3:13" hidden="1" outlineLevel="1" x14ac:dyDescent="0.2">
      <c r="C6485" s="139">
        <v>162.69999999999504</v>
      </c>
      <c r="D6485" s="28">
        <f t="shared" si="273"/>
        <v>1301.5999999999603</v>
      </c>
      <c r="E6485" s="28">
        <f t="shared" si="274"/>
        <v>1220.2499999999627</v>
      </c>
      <c r="F6485" s="28">
        <f t="shared" si="275"/>
        <v>1202.2499999999627</v>
      </c>
      <c r="G6485" s="28">
        <f t="shared" si="276"/>
        <v>1126.7925</v>
      </c>
      <c r="H6485" s="28">
        <f t="shared" si="277"/>
        <v>1172.9753000000001</v>
      </c>
      <c r="I6485" s="28">
        <f t="shared" si="278"/>
        <v>1196.6903</v>
      </c>
      <c r="J6485" s="28">
        <f t="shared" si="279"/>
        <v>1215.5641000000001</v>
      </c>
      <c r="K6485" s="28">
        <f t="shared" si="280"/>
        <v>1248.6312</v>
      </c>
      <c r="L6485" s="4"/>
      <c r="M6485" s="241">
        <v>1196.6903</v>
      </c>
    </row>
    <row r="6486" spans="3:13" hidden="1" outlineLevel="1" x14ac:dyDescent="0.2">
      <c r="C6486" s="139">
        <v>162.79999999999504</v>
      </c>
      <c r="D6486" s="28">
        <f t="shared" si="273"/>
        <v>1302.3999999999603</v>
      </c>
      <c r="E6486" s="28">
        <f t="shared" si="274"/>
        <v>1220.9999999999627</v>
      </c>
      <c r="F6486" s="28">
        <f t="shared" si="275"/>
        <v>1202.9999999999627</v>
      </c>
      <c r="G6486" s="28">
        <f t="shared" si="276"/>
        <v>1126.7925</v>
      </c>
      <c r="H6486" s="28">
        <f t="shared" si="277"/>
        <v>1172.9753000000001</v>
      </c>
      <c r="I6486" s="28">
        <f t="shared" si="278"/>
        <v>1196.6903</v>
      </c>
      <c r="J6486" s="28">
        <f t="shared" si="279"/>
        <v>1215.5641000000001</v>
      </c>
      <c r="K6486" s="28">
        <f t="shared" si="280"/>
        <v>1248.6312</v>
      </c>
      <c r="L6486" s="4"/>
      <c r="M6486" s="241">
        <v>1196.6903</v>
      </c>
    </row>
    <row r="6487" spans="3:13" hidden="1" outlineLevel="1" x14ac:dyDescent="0.2">
      <c r="C6487" s="139">
        <v>162.89999999999503</v>
      </c>
      <c r="D6487" s="28">
        <f t="shared" si="273"/>
        <v>1303.1999999999603</v>
      </c>
      <c r="E6487" s="28">
        <f t="shared" si="274"/>
        <v>1221.7499999999627</v>
      </c>
      <c r="F6487" s="28">
        <f t="shared" si="275"/>
        <v>1203.7499999999627</v>
      </c>
      <c r="G6487" s="28">
        <f t="shared" si="276"/>
        <v>1127.7665999999999</v>
      </c>
      <c r="H6487" s="28">
        <f t="shared" si="277"/>
        <v>1173.9878000000001</v>
      </c>
      <c r="I6487" s="28">
        <f t="shared" si="278"/>
        <v>1197.7041999999999</v>
      </c>
      <c r="J6487" s="28">
        <f t="shared" si="279"/>
        <v>1216.5956000000001</v>
      </c>
      <c r="K6487" s="28">
        <f t="shared" si="280"/>
        <v>1249.6902</v>
      </c>
      <c r="L6487" s="4"/>
      <c r="M6487" s="241">
        <v>1197.7041999999999</v>
      </c>
    </row>
    <row r="6488" spans="3:13" hidden="1" outlineLevel="1" x14ac:dyDescent="0.2">
      <c r="C6488" s="139">
        <v>162.99999999999503</v>
      </c>
      <c r="D6488" s="28">
        <f t="shared" si="273"/>
        <v>1303.9999999999602</v>
      </c>
      <c r="E6488" s="28">
        <f t="shared" si="274"/>
        <v>1222.4999999999627</v>
      </c>
      <c r="F6488" s="28">
        <f t="shared" si="275"/>
        <v>1204.4999999999627</v>
      </c>
      <c r="G6488" s="28">
        <f t="shared" si="276"/>
        <v>1128.7408</v>
      </c>
      <c r="H6488" s="28">
        <f t="shared" si="277"/>
        <v>1174.9820999999999</v>
      </c>
      <c r="I6488" s="28">
        <f t="shared" si="278"/>
        <v>1198.7182</v>
      </c>
      <c r="J6488" s="28">
        <f t="shared" si="279"/>
        <v>1217.6270999999999</v>
      </c>
      <c r="K6488" s="28">
        <f t="shared" si="280"/>
        <v>1250.729</v>
      </c>
      <c r="L6488" s="4"/>
      <c r="M6488" s="241">
        <v>1198.7182</v>
      </c>
    </row>
    <row r="6489" spans="3:13" hidden="1" outlineLevel="1" x14ac:dyDescent="0.2">
      <c r="C6489" s="139">
        <v>163.09999999999502</v>
      </c>
      <c r="D6489" s="28">
        <f t="shared" si="273"/>
        <v>1304.7999999999602</v>
      </c>
      <c r="E6489" s="28">
        <f t="shared" si="274"/>
        <v>1223.2499999999627</v>
      </c>
      <c r="F6489" s="28">
        <f t="shared" si="275"/>
        <v>1205.2499999999627</v>
      </c>
      <c r="G6489" s="28">
        <f t="shared" si="276"/>
        <v>1129.7150999999999</v>
      </c>
      <c r="H6489" s="28">
        <f t="shared" si="277"/>
        <v>1175.9764</v>
      </c>
      <c r="I6489" s="28">
        <f t="shared" si="278"/>
        <v>1199.7321999999999</v>
      </c>
      <c r="J6489" s="28">
        <f t="shared" si="279"/>
        <v>1218.6384</v>
      </c>
      <c r="K6489" s="28">
        <f t="shared" si="280"/>
        <v>1251.7881</v>
      </c>
      <c r="L6489" s="4"/>
      <c r="M6489" s="241">
        <v>1199.7321999999999</v>
      </c>
    </row>
    <row r="6490" spans="3:13" hidden="1" outlineLevel="1" x14ac:dyDescent="0.2">
      <c r="C6490" s="139">
        <v>163.19999999999501</v>
      </c>
      <c r="D6490" s="28">
        <f t="shared" si="273"/>
        <v>1305.5999999999601</v>
      </c>
      <c r="E6490" s="28">
        <f t="shared" si="274"/>
        <v>1223.9999999999627</v>
      </c>
      <c r="F6490" s="28">
        <f t="shared" si="275"/>
        <v>1205.9999999999627</v>
      </c>
      <c r="G6490" s="28">
        <f t="shared" si="276"/>
        <v>1129.7150999999999</v>
      </c>
      <c r="H6490" s="28">
        <f t="shared" si="277"/>
        <v>1175.9764</v>
      </c>
      <c r="I6490" s="28">
        <f t="shared" si="278"/>
        <v>1199.7321999999999</v>
      </c>
      <c r="J6490" s="28">
        <f t="shared" si="279"/>
        <v>1218.6384</v>
      </c>
      <c r="K6490" s="28">
        <f t="shared" si="280"/>
        <v>1251.7881</v>
      </c>
      <c r="L6490" s="4"/>
      <c r="M6490" s="241">
        <v>1199.7321999999999</v>
      </c>
    </row>
    <row r="6491" spans="3:13" hidden="1" outlineLevel="1" x14ac:dyDescent="0.2">
      <c r="C6491" s="139">
        <v>163.29999999999501</v>
      </c>
      <c r="D6491" s="28">
        <f t="shared" si="273"/>
        <v>1306.3999999999601</v>
      </c>
      <c r="E6491" s="28">
        <f t="shared" si="274"/>
        <v>1224.7499999999625</v>
      </c>
      <c r="F6491" s="28">
        <f t="shared" si="275"/>
        <v>1206.7499999999625</v>
      </c>
      <c r="G6491" s="28">
        <f t="shared" si="276"/>
        <v>1130.6894</v>
      </c>
      <c r="H6491" s="28">
        <f t="shared" si="277"/>
        <v>1176.9891</v>
      </c>
      <c r="I6491" s="28">
        <f t="shared" si="278"/>
        <v>1200.7462</v>
      </c>
      <c r="J6491" s="28">
        <f t="shared" si="279"/>
        <v>1219.67</v>
      </c>
      <c r="K6491" s="28">
        <f t="shared" si="280"/>
        <v>1252.8269</v>
      </c>
      <c r="L6491" s="4"/>
      <c r="M6491" s="241">
        <v>1200.7462</v>
      </c>
    </row>
    <row r="6492" spans="3:13" hidden="1" outlineLevel="1" x14ac:dyDescent="0.2">
      <c r="C6492" s="139">
        <v>163.399999999995</v>
      </c>
      <c r="D6492" s="28">
        <f t="shared" si="273"/>
        <v>1307.19999999996</v>
      </c>
      <c r="E6492" s="28">
        <f t="shared" si="274"/>
        <v>1225.4999999999625</v>
      </c>
      <c r="F6492" s="28">
        <f t="shared" si="275"/>
        <v>1207.4999999999625</v>
      </c>
      <c r="G6492" s="28">
        <f t="shared" si="276"/>
        <v>1131.6638</v>
      </c>
      <c r="H6492" s="28">
        <f t="shared" si="277"/>
        <v>1177.9835</v>
      </c>
      <c r="I6492" s="28">
        <f t="shared" si="278"/>
        <v>1201.7602999999999</v>
      </c>
      <c r="J6492" s="28">
        <f t="shared" si="279"/>
        <v>1220.7016000000001</v>
      </c>
      <c r="K6492" s="28">
        <f t="shared" si="280"/>
        <v>1253.886</v>
      </c>
      <c r="L6492" s="4"/>
      <c r="M6492" s="241">
        <v>1201.7602999999999</v>
      </c>
    </row>
    <row r="6493" spans="3:13" hidden="1" outlineLevel="1" x14ac:dyDescent="0.2">
      <c r="C6493" s="139">
        <v>163.499999999995</v>
      </c>
      <c r="D6493" s="28">
        <f t="shared" si="273"/>
        <v>1307.99999999996</v>
      </c>
      <c r="E6493" s="28">
        <f t="shared" si="274"/>
        <v>1226.2499999999625</v>
      </c>
      <c r="F6493" s="28">
        <f t="shared" si="275"/>
        <v>1208.2499999999625</v>
      </c>
      <c r="G6493" s="28">
        <f t="shared" si="276"/>
        <v>1132.6382000000001</v>
      </c>
      <c r="H6493" s="28">
        <f t="shared" si="277"/>
        <v>1178.9777999999999</v>
      </c>
      <c r="I6493" s="28">
        <f t="shared" si="278"/>
        <v>1202.7744</v>
      </c>
      <c r="J6493" s="28">
        <f t="shared" si="279"/>
        <v>1221.7331999999999</v>
      </c>
      <c r="K6493" s="28">
        <f t="shared" si="280"/>
        <v>1254.9450999999999</v>
      </c>
      <c r="L6493" s="4"/>
      <c r="M6493" s="241">
        <v>1202.7744</v>
      </c>
    </row>
    <row r="6494" spans="3:13" hidden="1" outlineLevel="1" x14ac:dyDescent="0.2">
      <c r="C6494" s="139">
        <v>163.59999999999499</v>
      </c>
      <c r="D6494" s="28">
        <f t="shared" si="273"/>
        <v>1308.7999999999599</v>
      </c>
      <c r="E6494" s="28">
        <f t="shared" si="274"/>
        <v>1226.9999999999625</v>
      </c>
      <c r="F6494" s="28">
        <f t="shared" si="275"/>
        <v>1208.9999999999625</v>
      </c>
      <c r="G6494" s="28">
        <f t="shared" si="276"/>
        <v>1132.6382000000001</v>
      </c>
      <c r="H6494" s="28">
        <f t="shared" si="277"/>
        <v>1178.9777999999999</v>
      </c>
      <c r="I6494" s="28">
        <f t="shared" si="278"/>
        <v>1202.7744</v>
      </c>
      <c r="J6494" s="28">
        <f t="shared" si="279"/>
        <v>1221.7331999999999</v>
      </c>
      <c r="K6494" s="28">
        <f t="shared" si="280"/>
        <v>1254.9450999999999</v>
      </c>
      <c r="L6494" s="4"/>
      <c r="M6494" s="241">
        <v>1202.7744</v>
      </c>
    </row>
    <row r="6495" spans="3:13" hidden="1" outlineLevel="1" x14ac:dyDescent="0.2">
      <c r="C6495" s="139">
        <v>163.69999999999499</v>
      </c>
      <c r="D6495" s="28">
        <f t="shared" si="273"/>
        <v>1309.5999999999599</v>
      </c>
      <c r="E6495" s="28">
        <f t="shared" si="274"/>
        <v>1227.7499999999625</v>
      </c>
      <c r="F6495" s="28">
        <f t="shared" si="275"/>
        <v>1209.7499999999625</v>
      </c>
      <c r="G6495" s="28">
        <f t="shared" si="276"/>
        <v>1133.6128000000001</v>
      </c>
      <c r="H6495" s="28">
        <f t="shared" si="277"/>
        <v>1179.9722999999999</v>
      </c>
      <c r="I6495" s="28">
        <f t="shared" si="278"/>
        <v>1203.7885000000001</v>
      </c>
      <c r="J6495" s="28">
        <f t="shared" si="279"/>
        <v>1222.7446</v>
      </c>
      <c r="K6495" s="28">
        <f t="shared" si="280"/>
        <v>1255.9839999999999</v>
      </c>
      <c r="L6495" s="4"/>
      <c r="M6495" s="241">
        <v>1203.7885000000001</v>
      </c>
    </row>
    <row r="6496" spans="3:13" hidden="1" outlineLevel="1" x14ac:dyDescent="0.2">
      <c r="C6496" s="139">
        <v>163.79999999999498</v>
      </c>
      <c r="D6496" s="28">
        <f t="shared" si="273"/>
        <v>1310.3999999999598</v>
      </c>
      <c r="E6496" s="28">
        <f t="shared" si="274"/>
        <v>1228.4999999999623</v>
      </c>
      <c r="F6496" s="28">
        <f t="shared" si="275"/>
        <v>1210.4999999999623</v>
      </c>
      <c r="G6496" s="28">
        <f t="shared" si="276"/>
        <v>1134.5872999999999</v>
      </c>
      <c r="H6496" s="28">
        <f t="shared" si="277"/>
        <v>1180.9852000000001</v>
      </c>
      <c r="I6496" s="28">
        <f t="shared" si="278"/>
        <v>1204.8026</v>
      </c>
      <c r="J6496" s="28">
        <f t="shared" si="279"/>
        <v>1223.7763</v>
      </c>
      <c r="K6496" s="28">
        <f t="shared" si="280"/>
        <v>1257.0431000000001</v>
      </c>
      <c r="L6496" s="4"/>
      <c r="M6496" s="241">
        <v>1204.8026</v>
      </c>
    </row>
    <row r="6497" spans="3:13" hidden="1" outlineLevel="1" x14ac:dyDescent="0.2">
      <c r="C6497" s="139">
        <v>163.89999999999498</v>
      </c>
      <c r="D6497" s="28">
        <f t="shared" si="273"/>
        <v>1311.1999999999598</v>
      </c>
      <c r="E6497" s="28">
        <f t="shared" si="274"/>
        <v>1229.2499999999623</v>
      </c>
      <c r="F6497" s="28">
        <f t="shared" si="275"/>
        <v>1211.2499999999623</v>
      </c>
      <c r="G6497" s="28">
        <f t="shared" si="276"/>
        <v>1135.5619999999999</v>
      </c>
      <c r="H6497" s="28">
        <f t="shared" si="277"/>
        <v>1181.9797000000001</v>
      </c>
      <c r="I6497" s="28">
        <f t="shared" si="278"/>
        <v>1205.8168000000001</v>
      </c>
      <c r="J6497" s="28">
        <f t="shared" si="279"/>
        <v>1224.808</v>
      </c>
      <c r="K6497" s="28">
        <f t="shared" si="280"/>
        <v>1258.0820000000001</v>
      </c>
      <c r="L6497" s="4"/>
      <c r="M6497" s="241">
        <v>1205.8168000000001</v>
      </c>
    </row>
    <row r="6498" spans="3:13" hidden="1" outlineLevel="1" x14ac:dyDescent="0.2">
      <c r="C6498" s="139">
        <v>163.99999999999497</v>
      </c>
      <c r="D6498" s="28">
        <f t="shared" si="273"/>
        <v>1311.9999999999598</v>
      </c>
      <c r="E6498" s="28">
        <f t="shared" si="274"/>
        <v>1229.9999999999623</v>
      </c>
      <c r="F6498" s="28">
        <f t="shared" si="275"/>
        <v>1211.9999999999623</v>
      </c>
      <c r="G6498" s="28">
        <f t="shared" si="276"/>
        <v>1135.5619999999999</v>
      </c>
      <c r="H6498" s="28">
        <f t="shared" si="277"/>
        <v>1181.9797000000001</v>
      </c>
      <c r="I6498" s="28">
        <f t="shared" si="278"/>
        <v>1205.8168000000001</v>
      </c>
      <c r="J6498" s="28">
        <f t="shared" si="279"/>
        <v>1224.808</v>
      </c>
      <c r="K6498" s="28">
        <f t="shared" si="280"/>
        <v>1258.0820000000001</v>
      </c>
      <c r="L6498" s="4"/>
      <c r="M6498" s="241">
        <v>1205.8168000000001</v>
      </c>
    </row>
    <row r="6499" spans="3:13" hidden="1" outlineLevel="1" x14ac:dyDescent="0.2">
      <c r="C6499" s="139">
        <v>164.09999999999496</v>
      </c>
      <c r="D6499" s="28">
        <f t="shared" si="273"/>
        <v>1312.7999999999597</v>
      </c>
      <c r="E6499" s="28">
        <f t="shared" si="274"/>
        <v>1230.7499999999623</v>
      </c>
      <c r="F6499" s="28">
        <f t="shared" si="275"/>
        <v>1212.7499999999623</v>
      </c>
      <c r="G6499" s="28">
        <f t="shared" si="276"/>
        <v>1136.5367000000001</v>
      </c>
      <c r="H6499" s="28">
        <f t="shared" si="277"/>
        <v>1182.9742000000001</v>
      </c>
      <c r="I6499" s="28">
        <f t="shared" si="278"/>
        <v>1206.8309999999999</v>
      </c>
      <c r="J6499" s="28">
        <f t="shared" si="279"/>
        <v>1225.8397</v>
      </c>
      <c r="K6499" s="28">
        <f t="shared" si="280"/>
        <v>1259.1412</v>
      </c>
      <c r="L6499" s="4"/>
      <c r="M6499" s="241">
        <v>1206.8309999999999</v>
      </c>
    </row>
    <row r="6500" spans="3:13" hidden="1" outlineLevel="1" x14ac:dyDescent="0.2">
      <c r="C6500" s="139">
        <v>164.19999999999496</v>
      </c>
      <c r="D6500" s="28">
        <f t="shared" si="273"/>
        <v>1313.5999999999597</v>
      </c>
      <c r="E6500" s="28">
        <f t="shared" si="274"/>
        <v>1231.4999999999623</v>
      </c>
      <c r="F6500" s="28">
        <f t="shared" si="275"/>
        <v>1213.4999999999623</v>
      </c>
      <c r="G6500" s="28">
        <f t="shared" si="276"/>
        <v>1137.5114000000001</v>
      </c>
      <c r="H6500" s="28">
        <f t="shared" si="277"/>
        <v>1183.9873</v>
      </c>
      <c r="I6500" s="28">
        <f t="shared" si="278"/>
        <v>1207.8453</v>
      </c>
      <c r="J6500" s="28">
        <f t="shared" si="279"/>
        <v>1226.8715</v>
      </c>
      <c r="K6500" s="28">
        <f t="shared" si="280"/>
        <v>1260.2004999999999</v>
      </c>
      <c r="L6500" s="4"/>
      <c r="M6500" s="241">
        <v>1207.8453</v>
      </c>
    </row>
    <row r="6501" spans="3:13" hidden="1" outlineLevel="1" x14ac:dyDescent="0.2">
      <c r="C6501" s="139">
        <v>164.29999999999495</v>
      </c>
      <c r="D6501" s="28">
        <f t="shared" si="273"/>
        <v>1314.3999999999596</v>
      </c>
      <c r="E6501" s="28">
        <f t="shared" si="274"/>
        <v>1232.2499999999623</v>
      </c>
      <c r="F6501" s="28">
        <f t="shared" si="275"/>
        <v>1214.2499999999623</v>
      </c>
      <c r="G6501" s="28">
        <f t="shared" si="276"/>
        <v>1138.4862000000001</v>
      </c>
      <c r="H6501" s="28">
        <f t="shared" si="277"/>
        <v>1184.9819</v>
      </c>
      <c r="I6501" s="28">
        <f t="shared" si="278"/>
        <v>1208.8595</v>
      </c>
      <c r="J6501" s="28">
        <f t="shared" si="279"/>
        <v>1227.8829000000001</v>
      </c>
      <c r="K6501" s="28">
        <f t="shared" si="280"/>
        <v>1261.2393999999999</v>
      </c>
      <c r="L6501" s="4"/>
      <c r="M6501" s="241">
        <v>1208.8595</v>
      </c>
    </row>
    <row r="6502" spans="3:13" hidden="1" outlineLevel="1" x14ac:dyDescent="0.2">
      <c r="C6502" s="139">
        <v>164.39999999999495</v>
      </c>
      <c r="D6502" s="28">
        <f t="shared" si="273"/>
        <v>1315.1999999999596</v>
      </c>
      <c r="E6502" s="28">
        <f t="shared" si="274"/>
        <v>1232.999999999962</v>
      </c>
      <c r="F6502" s="28">
        <f t="shared" si="275"/>
        <v>1214.999999999962</v>
      </c>
      <c r="G6502" s="28">
        <f t="shared" si="276"/>
        <v>1138.4862000000001</v>
      </c>
      <c r="H6502" s="28">
        <f t="shared" si="277"/>
        <v>1184.9819</v>
      </c>
      <c r="I6502" s="28">
        <f t="shared" si="278"/>
        <v>1208.8595</v>
      </c>
      <c r="J6502" s="28">
        <f t="shared" si="279"/>
        <v>1227.8829000000001</v>
      </c>
      <c r="K6502" s="28">
        <f t="shared" si="280"/>
        <v>1261.2393999999999</v>
      </c>
      <c r="L6502" s="4"/>
      <c r="M6502" s="241">
        <v>1208.8595</v>
      </c>
    </row>
    <row r="6503" spans="3:13" hidden="1" outlineLevel="1" x14ac:dyDescent="0.2">
      <c r="C6503" s="139">
        <v>164.49999999999494</v>
      </c>
      <c r="D6503" s="28">
        <f t="shared" si="273"/>
        <v>1315.9999999999595</v>
      </c>
      <c r="E6503" s="28">
        <f t="shared" si="274"/>
        <v>1233.749999999962</v>
      </c>
      <c r="F6503" s="28">
        <f t="shared" si="275"/>
        <v>1215.749999999962</v>
      </c>
      <c r="G6503" s="28">
        <f t="shared" si="276"/>
        <v>1139.4611</v>
      </c>
      <c r="H6503" s="28">
        <f t="shared" si="277"/>
        <v>1185.9765</v>
      </c>
      <c r="I6503" s="28">
        <f t="shared" si="278"/>
        <v>1209.8738000000001</v>
      </c>
      <c r="J6503" s="28">
        <f t="shared" si="279"/>
        <v>1228.9148</v>
      </c>
      <c r="K6503" s="28">
        <f t="shared" si="280"/>
        <v>1262.2987000000001</v>
      </c>
      <c r="L6503" s="4"/>
      <c r="M6503" s="241">
        <v>1209.8738000000001</v>
      </c>
    </row>
    <row r="6504" spans="3:13" hidden="1" outlineLevel="1" x14ac:dyDescent="0.2">
      <c r="C6504" s="139">
        <v>164.59999999999494</v>
      </c>
      <c r="D6504" s="28">
        <f t="shared" si="273"/>
        <v>1316.7999999999595</v>
      </c>
      <c r="E6504" s="28">
        <f t="shared" si="274"/>
        <v>1234.499999999962</v>
      </c>
      <c r="F6504" s="28">
        <f t="shared" si="275"/>
        <v>1216.499999999962</v>
      </c>
      <c r="G6504" s="28">
        <f t="shared" si="276"/>
        <v>1140.4359999999999</v>
      </c>
      <c r="H6504" s="28">
        <f t="shared" si="277"/>
        <v>1186.9712</v>
      </c>
      <c r="I6504" s="28">
        <f t="shared" si="278"/>
        <v>1210.8882000000001</v>
      </c>
      <c r="J6504" s="28">
        <f t="shared" si="279"/>
        <v>1229.9466</v>
      </c>
      <c r="K6504" s="28">
        <f t="shared" si="280"/>
        <v>1263.3376000000001</v>
      </c>
      <c r="L6504" s="4"/>
      <c r="M6504" s="241">
        <v>1210.8882000000001</v>
      </c>
    </row>
    <row r="6505" spans="3:13" hidden="1" outlineLevel="1" x14ac:dyDescent="0.2">
      <c r="C6505" s="139">
        <v>164.69999999999493</v>
      </c>
      <c r="D6505" s="28">
        <f t="shared" si="273"/>
        <v>1317.5999999999594</v>
      </c>
      <c r="E6505" s="28">
        <f t="shared" si="274"/>
        <v>1235.249999999962</v>
      </c>
      <c r="F6505" s="28">
        <f t="shared" si="275"/>
        <v>1217.249999999962</v>
      </c>
      <c r="G6505" s="28">
        <f t="shared" si="276"/>
        <v>1141.4110000000001</v>
      </c>
      <c r="H6505" s="28">
        <f t="shared" si="277"/>
        <v>1187.9845</v>
      </c>
      <c r="I6505" s="28">
        <f t="shared" si="278"/>
        <v>1211.9024999999999</v>
      </c>
      <c r="J6505" s="28">
        <f t="shared" si="279"/>
        <v>1230.9784999999999</v>
      </c>
      <c r="K6505" s="28">
        <f t="shared" si="280"/>
        <v>1264.3969999999999</v>
      </c>
      <c r="L6505" s="4"/>
      <c r="M6505" s="241">
        <v>1211.9024999999999</v>
      </c>
    </row>
    <row r="6506" spans="3:13" hidden="1" outlineLevel="1" x14ac:dyDescent="0.2">
      <c r="C6506" s="139">
        <v>164.79999999999492</v>
      </c>
      <c r="D6506" s="28">
        <f t="shared" si="273"/>
        <v>1318.3999999999594</v>
      </c>
      <c r="E6506" s="28">
        <f t="shared" si="274"/>
        <v>1235.999999999962</v>
      </c>
      <c r="F6506" s="28">
        <f t="shared" si="275"/>
        <v>1217.999999999962</v>
      </c>
      <c r="G6506" s="28">
        <f t="shared" si="276"/>
        <v>1141.4110000000001</v>
      </c>
      <c r="H6506" s="28">
        <f t="shared" si="277"/>
        <v>1187.9845</v>
      </c>
      <c r="I6506" s="28">
        <f t="shared" si="278"/>
        <v>1211.9024999999999</v>
      </c>
      <c r="J6506" s="28">
        <f t="shared" si="279"/>
        <v>1230.9784999999999</v>
      </c>
      <c r="K6506" s="28">
        <f t="shared" si="280"/>
        <v>1264.3969999999999</v>
      </c>
      <c r="L6506" s="4"/>
      <c r="M6506" s="241">
        <v>1211.9024999999999</v>
      </c>
    </row>
    <row r="6507" spans="3:13" hidden="1" outlineLevel="1" x14ac:dyDescent="0.2">
      <c r="C6507" s="139">
        <v>164.89999999999492</v>
      </c>
      <c r="D6507" s="28">
        <f t="shared" si="273"/>
        <v>1319.1999999999593</v>
      </c>
      <c r="E6507" s="28">
        <f t="shared" si="274"/>
        <v>1236.7499999999618</v>
      </c>
      <c r="F6507" s="28">
        <f t="shared" si="275"/>
        <v>1218.7499999999618</v>
      </c>
      <c r="G6507" s="28">
        <f t="shared" si="276"/>
        <v>1142.3860999999999</v>
      </c>
      <c r="H6507" s="28">
        <f t="shared" si="277"/>
        <v>1188.9792</v>
      </c>
      <c r="I6507" s="28">
        <f t="shared" si="278"/>
        <v>1212.9168999999999</v>
      </c>
      <c r="J6507" s="28">
        <f t="shared" si="279"/>
        <v>1231.99</v>
      </c>
      <c r="K6507" s="28">
        <f t="shared" si="280"/>
        <v>1265.4564</v>
      </c>
      <c r="L6507" s="4"/>
      <c r="M6507" s="241">
        <v>1212.9168999999999</v>
      </c>
    </row>
    <row r="6508" spans="3:13" hidden="1" outlineLevel="1" x14ac:dyDescent="0.2">
      <c r="C6508" s="139">
        <v>164.99999999999491</v>
      </c>
      <c r="D6508" s="28">
        <f t="shared" si="273"/>
        <v>1319.9999999999593</v>
      </c>
      <c r="E6508" s="28">
        <f t="shared" si="274"/>
        <v>1237.4999999999618</v>
      </c>
      <c r="F6508" s="28">
        <f t="shared" si="275"/>
        <v>1219.4999999999618</v>
      </c>
      <c r="G6508" s="28">
        <f t="shared" si="276"/>
        <v>1143.3612000000001</v>
      </c>
      <c r="H6508" s="28">
        <f t="shared" si="277"/>
        <v>1189.9739999999999</v>
      </c>
      <c r="I6508" s="28">
        <f t="shared" si="278"/>
        <v>1213.9313999999999</v>
      </c>
      <c r="J6508" s="28">
        <f t="shared" si="279"/>
        <v>1233.0219999999999</v>
      </c>
      <c r="K6508" s="28">
        <f t="shared" si="280"/>
        <v>1266.4954</v>
      </c>
      <c r="L6508" s="4"/>
      <c r="M6508" s="241">
        <v>1213.9313999999999</v>
      </c>
    </row>
    <row r="6509" spans="3:13" hidden="1" outlineLevel="1" x14ac:dyDescent="0.2">
      <c r="C6509" s="139">
        <v>165.09999999999491</v>
      </c>
      <c r="D6509" s="28">
        <f t="shared" si="273"/>
        <v>1320.7999999999593</v>
      </c>
      <c r="E6509" s="28">
        <f t="shared" si="274"/>
        <v>1238.2499999999618</v>
      </c>
      <c r="F6509" s="28">
        <f t="shared" si="275"/>
        <v>1220.2499999999618</v>
      </c>
      <c r="G6509" s="28">
        <f t="shared" si="276"/>
        <v>1144.3363999999999</v>
      </c>
      <c r="H6509" s="28">
        <f t="shared" si="277"/>
        <v>1190.9874</v>
      </c>
      <c r="I6509" s="28">
        <f t="shared" si="278"/>
        <v>1214.9458</v>
      </c>
      <c r="J6509" s="28">
        <f t="shared" si="279"/>
        <v>1234.0539000000001</v>
      </c>
      <c r="K6509" s="28">
        <f t="shared" si="280"/>
        <v>1267.5547999999999</v>
      </c>
      <c r="L6509" s="4"/>
      <c r="M6509" s="241">
        <v>1214.9458</v>
      </c>
    </row>
    <row r="6510" spans="3:13" hidden="1" outlineLevel="1" x14ac:dyDescent="0.2">
      <c r="C6510" s="139">
        <v>165.1999999999949</v>
      </c>
      <c r="D6510" s="28">
        <f t="shared" si="273"/>
        <v>1321.5999999999592</v>
      </c>
      <c r="E6510" s="28">
        <f t="shared" si="274"/>
        <v>1238.9999999999618</v>
      </c>
      <c r="F6510" s="28">
        <f t="shared" si="275"/>
        <v>1220.9999999999618</v>
      </c>
      <c r="G6510" s="28">
        <f t="shared" si="276"/>
        <v>1144.3363999999999</v>
      </c>
      <c r="H6510" s="28">
        <f t="shared" si="277"/>
        <v>1190.9874</v>
      </c>
      <c r="I6510" s="28">
        <f t="shared" si="278"/>
        <v>1214.9458</v>
      </c>
      <c r="J6510" s="28">
        <f t="shared" si="279"/>
        <v>1234.0539000000001</v>
      </c>
      <c r="K6510" s="28">
        <f t="shared" si="280"/>
        <v>1267.5547999999999</v>
      </c>
      <c r="L6510" s="4"/>
      <c r="M6510" s="241">
        <v>1214.9458</v>
      </c>
    </row>
    <row r="6511" spans="3:13" hidden="1" outlineLevel="1" x14ac:dyDescent="0.2">
      <c r="C6511" s="139">
        <v>165.2999999999949</v>
      </c>
      <c r="D6511" s="28">
        <f t="shared" si="273"/>
        <v>1322.3999999999592</v>
      </c>
      <c r="E6511" s="28">
        <f t="shared" si="274"/>
        <v>1239.7499999999618</v>
      </c>
      <c r="F6511" s="28">
        <f t="shared" si="275"/>
        <v>1221.7499999999618</v>
      </c>
      <c r="G6511" s="28">
        <f t="shared" si="276"/>
        <v>1145.3116</v>
      </c>
      <c r="H6511" s="28">
        <f t="shared" si="277"/>
        <v>1191.9821999999999</v>
      </c>
      <c r="I6511" s="28">
        <f t="shared" si="278"/>
        <v>1215.9603</v>
      </c>
      <c r="J6511" s="28">
        <f t="shared" si="279"/>
        <v>1235.086</v>
      </c>
      <c r="K6511" s="28">
        <f t="shared" si="280"/>
        <v>1268.5938000000001</v>
      </c>
      <c r="L6511" s="4"/>
      <c r="M6511" s="241">
        <v>1215.9603</v>
      </c>
    </row>
    <row r="6512" spans="3:13" hidden="1" outlineLevel="1" x14ac:dyDescent="0.2">
      <c r="C6512" s="139">
        <v>165.39999999999489</v>
      </c>
      <c r="D6512" s="28">
        <f t="shared" si="273"/>
        <v>1323.1999999999591</v>
      </c>
      <c r="E6512" s="28">
        <f t="shared" si="274"/>
        <v>1240.4999999999616</v>
      </c>
      <c r="F6512" s="28">
        <f t="shared" si="275"/>
        <v>1222.4999999999616</v>
      </c>
      <c r="G6512" s="28">
        <f t="shared" si="276"/>
        <v>1146.2869000000001</v>
      </c>
      <c r="H6512" s="28">
        <f t="shared" si="277"/>
        <v>1192.9771000000001</v>
      </c>
      <c r="I6512" s="28">
        <f t="shared" si="278"/>
        <v>1216.9748</v>
      </c>
      <c r="J6512" s="28">
        <f t="shared" si="279"/>
        <v>1236.1179999999999</v>
      </c>
      <c r="K6512" s="28">
        <f t="shared" si="280"/>
        <v>1269.6532999999999</v>
      </c>
      <c r="L6512" s="4"/>
      <c r="M6512" s="241">
        <v>1216.9748</v>
      </c>
    </row>
    <row r="6513" spans="3:13" hidden="1" outlineLevel="1" x14ac:dyDescent="0.2">
      <c r="C6513" s="139">
        <v>165.49999999999488</v>
      </c>
      <c r="D6513" s="28">
        <f t="shared" si="273"/>
        <v>1323.9999999999591</v>
      </c>
      <c r="E6513" s="28">
        <f t="shared" si="274"/>
        <v>1241.2499999999616</v>
      </c>
      <c r="F6513" s="28">
        <f t="shared" si="275"/>
        <v>1223.2499999999616</v>
      </c>
      <c r="G6513" s="28">
        <f t="shared" si="276"/>
        <v>1147.2623000000001</v>
      </c>
      <c r="H6513" s="28">
        <f t="shared" si="277"/>
        <v>1193.972</v>
      </c>
      <c r="I6513" s="28">
        <f t="shared" si="278"/>
        <v>1217.9893999999999</v>
      </c>
      <c r="J6513" s="28">
        <f t="shared" si="279"/>
        <v>1237.1296</v>
      </c>
      <c r="K6513" s="28">
        <f t="shared" si="280"/>
        <v>1270.6922999999999</v>
      </c>
      <c r="L6513" s="4"/>
      <c r="M6513" s="241">
        <v>1217.9893999999999</v>
      </c>
    </row>
    <row r="6514" spans="3:13" hidden="1" outlineLevel="1" x14ac:dyDescent="0.2">
      <c r="C6514" s="139">
        <v>165.59999999999488</v>
      </c>
      <c r="D6514" s="28">
        <f t="shared" si="273"/>
        <v>1324.799999999959</v>
      </c>
      <c r="E6514" s="28">
        <f t="shared" si="274"/>
        <v>1241.9999999999616</v>
      </c>
      <c r="F6514" s="28">
        <f t="shared" si="275"/>
        <v>1223.9999999999616</v>
      </c>
      <c r="G6514" s="28">
        <f t="shared" si="276"/>
        <v>1147.2623000000001</v>
      </c>
      <c r="H6514" s="28">
        <f t="shared" si="277"/>
        <v>1193.972</v>
      </c>
      <c r="I6514" s="28">
        <f t="shared" si="278"/>
        <v>1217.9893999999999</v>
      </c>
      <c r="J6514" s="28">
        <f t="shared" si="279"/>
        <v>1237.1296</v>
      </c>
      <c r="K6514" s="28">
        <f t="shared" si="280"/>
        <v>1270.6922999999999</v>
      </c>
      <c r="L6514" s="4"/>
      <c r="M6514" s="241">
        <v>1217.9893999999999</v>
      </c>
    </row>
    <row r="6515" spans="3:13" hidden="1" outlineLevel="1" x14ac:dyDescent="0.2">
      <c r="C6515" s="139">
        <v>165.69999999999487</v>
      </c>
      <c r="D6515" s="28">
        <f t="shared" si="273"/>
        <v>1325.599999999959</v>
      </c>
      <c r="E6515" s="28">
        <f t="shared" si="274"/>
        <v>1242.7499999999616</v>
      </c>
      <c r="F6515" s="28">
        <f t="shared" si="275"/>
        <v>1224.7499999999616</v>
      </c>
      <c r="G6515" s="28">
        <f t="shared" si="276"/>
        <v>1148.2376999999999</v>
      </c>
      <c r="H6515" s="28">
        <f t="shared" si="277"/>
        <v>1194.9857</v>
      </c>
      <c r="I6515" s="28">
        <f t="shared" si="278"/>
        <v>1219.0039999999999</v>
      </c>
      <c r="J6515" s="28">
        <f t="shared" si="279"/>
        <v>1238.1617000000001</v>
      </c>
      <c r="K6515" s="28">
        <f t="shared" si="280"/>
        <v>1271.7518</v>
      </c>
      <c r="L6515" s="4"/>
      <c r="M6515" s="241">
        <v>1219.0039999999999</v>
      </c>
    </row>
    <row r="6516" spans="3:13" hidden="1" outlineLevel="1" x14ac:dyDescent="0.2">
      <c r="C6516" s="139">
        <v>165.79999999999487</v>
      </c>
      <c r="D6516" s="28">
        <f t="shared" si="273"/>
        <v>1326.3999999999589</v>
      </c>
      <c r="E6516" s="28">
        <f t="shared" si="274"/>
        <v>1243.4999999999616</v>
      </c>
      <c r="F6516" s="28">
        <f t="shared" si="275"/>
        <v>1225.4999999999616</v>
      </c>
      <c r="G6516" s="28">
        <f t="shared" si="276"/>
        <v>1149.2131999999999</v>
      </c>
      <c r="H6516" s="28">
        <f t="shared" si="277"/>
        <v>1195.9806000000001</v>
      </c>
      <c r="I6516" s="28">
        <f t="shared" si="278"/>
        <v>1220.0186000000001</v>
      </c>
      <c r="J6516" s="28">
        <f t="shared" si="279"/>
        <v>1239.1938</v>
      </c>
      <c r="K6516" s="28">
        <f t="shared" si="280"/>
        <v>1272.8114</v>
      </c>
      <c r="L6516" s="4"/>
      <c r="M6516" s="241">
        <v>1220.0186000000001</v>
      </c>
    </row>
    <row r="6517" spans="3:13" hidden="1" outlineLevel="1" x14ac:dyDescent="0.2">
      <c r="C6517" s="139">
        <v>165.89999999999486</v>
      </c>
      <c r="D6517" s="28">
        <f t="shared" si="273"/>
        <v>1327.1999999999589</v>
      </c>
      <c r="E6517" s="28">
        <f t="shared" si="274"/>
        <v>1244.2499999999613</v>
      </c>
      <c r="F6517" s="28">
        <f t="shared" si="275"/>
        <v>1226.2499999999613</v>
      </c>
      <c r="G6517" s="28">
        <f t="shared" si="276"/>
        <v>1150.1701</v>
      </c>
      <c r="H6517" s="28">
        <f t="shared" si="277"/>
        <v>1196.9757</v>
      </c>
      <c r="I6517" s="28">
        <f t="shared" si="278"/>
        <v>1221.0332000000001</v>
      </c>
      <c r="J6517" s="28">
        <f t="shared" si="279"/>
        <v>1240.2258999999999</v>
      </c>
      <c r="K6517" s="28">
        <f t="shared" si="280"/>
        <v>1273.8504</v>
      </c>
      <c r="L6517" s="4"/>
      <c r="M6517" s="241">
        <v>1221.0332000000001</v>
      </c>
    </row>
    <row r="6518" spans="3:13" hidden="1" outlineLevel="1" x14ac:dyDescent="0.2">
      <c r="C6518" s="139">
        <v>165.99999999999486</v>
      </c>
      <c r="D6518" s="28">
        <f t="shared" si="273"/>
        <v>1327.9999999999588</v>
      </c>
      <c r="E6518" s="28">
        <f t="shared" si="274"/>
        <v>1244.9999999999613</v>
      </c>
      <c r="F6518" s="28">
        <f t="shared" si="275"/>
        <v>1226.9999999999613</v>
      </c>
      <c r="G6518" s="28">
        <f t="shared" si="276"/>
        <v>1150.1701</v>
      </c>
      <c r="H6518" s="28">
        <f t="shared" si="277"/>
        <v>1196.9757</v>
      </c>
      <c r="I6518" s="28">
        <f t="shared" si="278"/>
        <v>1221.0332000000001</v>
      </c>
      <c r="J6518" s="28">
        <f t="shared" si="279"/>
        <v>1240.2258999999999</v>
      </c>
      <c r="K6518" s="28">
        <f t="shared" si="280"/>
        <v>1273.8504</v>
      </c>
      <c r="L6518" s="4"/>
      <c r="M6518" s="241">
        <v>1221.0332000000001</v>
      </c>
    </row>
    <row r="6519" spans="3:13" hidden="1" outlineLevel="1" x14ac:dyDescent="0.2">
      <c r="C6519" s="139">
        <v>166.09999999999485</v>
      </c>
      <c r="D6519" s="28">
        <f t="shared" si="273"/>
        <v>1328.7999999999588</v>
      </c>
      <c r="E6519" s="28">
        <f t="shared" si="274"/>
        <v>1245.7499999999613</v>
      </c>
      <c r="F6519" s="28">
        <f t="shared" si="275"/>
        <v>1227.7499999999613</v>
      </c>
      <c r="G6519" s="28">
        <f t="shared" si="276"/>
        <v>1151.1457</v>
      </c>
      <c r="H6519" s="28">
        <f t="shared" si="277"/>
        <v>1197.9707000000001</v>
      </c>
      <c r="I6519" s="28">
        <f t="shared" si="278"/>
        <v>1222.0479</v>
      </c>
      <c r="J6519" s="28">
        <f t="shared" si="279"/>
        <v>1241.2375999999999</v>
      </c>
      <c r="K6519" s="28">
        <f t="shared" si="280"/>
        <v>1274.9100000000001</v>
      </c>
      <c r="L6519" s="4"/>
      <c r="M6519" s="241">
        <v>1222.0479</v>
      </c>
    </row>
    <row r="6520" spans="3:13" hidden="1" outlineLevel="1" x14ac:dyDescent="0.2">
      <c r="C6520" s="139">
        <v>166.19999999999484</v>
      </c>
      <c r="D6520" s="28">
        <f t="shared" si="273"/>
        <v>1329.5999999999588</v>
      </c>
      <c r="E6520" s="28">
        <f t="shared" si="274"/>
        <v>1246.4999999999613</v>
      </c>
      <c r="F6520" s="28">
        <f t="shared" si="275"/>
        <v>1228.4999999999613</v>
      </c>
      <c r="G6520" s="28">
        <f t="shared" si="276"/>
        <v>1152.1213</v>
      </c>
      <c r="H6520" s="28">
        <f t="shared" si="277"/>
        <v>1198.9845</v>
      </c>
      <c r="I6520" s="28">
        <f t="shared" si="278"/>
        <v>1223.0626</v>
      </c>
      <c r="J6520" s="28">
        <f t="shared" si="279"/>
        <v>1242.2698</v>
      </c>
      <c r="K6520" s="28">
        <f t="shared" si="280"/>
        <v>1275.9491</v>
      </c>
      <c r="L6520" s="4"/>
      <c r="M6520" s="241">
        <v>1223.0626</v>
      </c>
    </row>
    <row r="6521" spans="3:13" hidden="1" outlineLevel="1" x14ac:dyDescent="0.2">
      <c r="C6521" s="139">
        <v>166.29999999999484</v>
      </c>
      <c r="D6521" s="28">
        <f t="shared" si="273"/>
        <v>1330.3999999999587</v>
      </c>
      <c r="E6521" s="28">
        <f t="shared" si="274"/>
        <v>1247.2499999999613</v>
      </c>
      <c r="F6521" s="28">
        <f t="shared" si="275"/>
        <v>1229.2499999999613</v>
      </c>
      <c r="G6521" s="28">
        <f t="shared" si="276"/>
        <v>1153.097</v>
      </c>
      <c r="H6521" s="28">
        <f t="shared" si="277"/>
        <v>1199.9797000000001</v>
      </c>
      <c r="I6521" s="28">
        <f t="shared" si="278"/>
        <v>1224.0772999999999</v>
      </c>
      <c r="J6521" s="28">
        <f t="shared" si="279"/>
        <v>1243.3019999999999</v>
      </c>
      <c r="K6521" s="28">
        <f t="shared" si="280"/>
        <v>1277.0088000000001</v>
      </c>
      <c r="L6521" s="4"/>
      <c r="M6521" s="241">
        <v>1224.0772999999999</v>
      </c>
    </row>
    <row r="6522" spans="3:13" hidden="1" outlineLevel="1" x14ac:dyDescent="0.2">
      <c r="C6522" s="139">
        <v>166.39999999999483</v>
      </c>
      <c r="D6522" s="28">
        <f t="shared" si="273"/>
        <v>1331.1999999999587</v>
      </c>
      <c r="E6522" s="28">
        <f t="shared" si="274"/>
        <v>1247.9999999999613</v>
      </c>
      <c r="F6522" s="28">
        <f t="shared" si="275"/>
        <v>1229.9999999999613</v>
      </c>
      <c r="G6522" s="28">
        <f t="shared" si="276"/>
        <v>1153.097</v>
      </c>
      <c r="H6522" s="28">
        <f t="shared" si="277"/>
        <v>1199.9797000000001</v>
      </c>
      <c r="I6522" s="28">
        <f t="shared" si="278"/>
        <v>1224.0772999999999</v>
      </c>
      <c r="J6522" s="28">
        <f t="shared" si="279"/>
        <v>1243.3019999999999</v>
      </c>
      <c r="K6522" s="28">
        <f t="shared" si="280"/>
        <v>1277.0088000000001</v>
      </c>
      <c r="L6522" s="4"/>
      <c r="M6522" s="241">
        <v>1224.0772999999999</v>
      </c>
    </row>
    <row r="6523" spans="3:13" hidden="1" outlineLevel="1" x14ac:dyDescent="0.2">
      <c r="C6523" s="139">
        <v>166.49999999999483</v>
      </c>
      <c r="D6523" s="28">
        <f t="shared" ref="D6523:D6586" si="281">C6523*Channels.per.TRX</f>
        <v>1331.9999999999586</v>
      </c>
      <c r="E6523" s="28">
        <f t="shared" ref="E6523:E6586" si="282">D6523-C6523*sig.channel.per.TRX</f>
        <v>1248.7499999999611</v>
      </c>
      <c r="F6523" s="28">
        <f t="shared" ref="F6523:F6586" si="283">MAX(0,E6523-GPRS.channel.per.sector)</f>
        <v>1230.7499999999611</v>
      </c>
      <c r="G6523" s="28">
        <f t="shared" ref="G6523:G6586" si="284">INDEX(D$10:D$4326,MATCH($F6523,$C$10:$C$4326,1))</f>
        <v>1154.0727999999999</v>
      </c>
      <c r="H6523" s="28">
        <f t="shared" ref="H6523:H6586" si="285">INDEX(E$10:E$4326,MATCH($F6523,$C$10:$C$4326,1))</f>
        <v>1200.9748</v>
      </c>
      <c r="I6523" s="28">
        <f t="shared" ref="I6523:I6586" si="286">INDEX(F$10:F$4326,MATCH($F6523,$C$10:$C$4326,1))</f>
        <v>1225.0921000000001</v>
      </c>
      <c r="J6523" s="28">
        <f t="shared" ref="J6523:J6586" si="287">INDEX(G$10:G$4326,MATCH($F6523,$C$10:$C$4326,1))</f>
        <v>1244.3343</v>
      </c>
      <c r="K6523" s="28">
        <f t="shared" ref="K6523:K6586" si="288">INDEX(H$10:H$4326,MATCH($F6523,$C$10:$C$4326,1))</f>
        <v>1278.0478000000001</v>
      </c>
      <c r="L6523" s="4"/>
      <c r="M6523" s="241">
        <v>1225.0921000000001</v>
      </c>
    </row>
    <row r="6524" spans="3:13" hidden="1" outlineLevel="1" x14ac:dyDescent="0.2">
      <c r="C6524" s="139">
        <v>166.59999999999482</v>
      </c>
      <c r="D6524" s="28">
        <f t="shared" si="281"/>
        <v>1332.7999999999586</v>
      </c>
      <c r="E6524" s="28">
        <f t="shared" si="282"/>
        <v>1249.4999999999611</v>
      </c>
      <c r="F6524" s="28">
        <f t="shared" si="283"/>
        <v>1231.4999999999611</v>
      </c>
      <c r="G6524" s="28">
        <f t="shared" si="284"/>
        <v>1155.0486000000001</v>
      </c>
      <c r="H6524" s="28">
        <f t="shared" si="285"/>
        <v>1201.97</v>
      </c>
      <c r="I6524" s="28">
        <f t="shared" si="286"/>
        <v>1226.1069</v>
      </c>
      <c r="J6524" s="28">
        <f t="shared" si="287"/>
        <v>1245.346</v>
      </c>
      <c r="K6524" s="28">
        <f t="shared" si="288"/>
        <v>1279.1075000000001</v>
      </c>
      <c r="L6524" s="4"/>
      <c r="M6524" s="241">
        <v>1226.1069</v>
      </c>
    </row>
    <row r="6525" spans="3:13" hidden="1" outlineLevel="1" x14ac:dyDescent="0.2">
      <c r="C6525" s="139">
        <v>166.69999999999482</v>
      </c>
      <c r="D6525" s="28">
        <f t="shared" si="281"/>
        <v>1333.5999999999585</v>
      </c>
      <c r="E6525" s="28">
        <f t="shared" si="282"/>
        <v>1250.2499999999611</v>
      </c>
      <c r="F6525" s="28">
        <f t="shared" si="283"/>
        <v>1232.2499999999611</v>
      </c>
      <c r="G6525" s="28">
        <f t="shared" si="284"/>
        <v>1156.0245</v>
      </c>
      <c r="H6525" s="28">
        <f t="shared" si="285"/>
        <v>1202.9839999999999</v>
      </c>
      <c r="I6525" s="28">
        <f t="shared" si="286"/>
        <v>1227.1216999999999</v>
      </c>
      <c r="J6525" s="28">
        <f t="shared" si="287"/>
        <v>1246.3783000000001</v>
      </c>
      <c r="K6525" s="28">
        <f t="shared" si="288"/>
        <v>1280.1673000000001</v>
      </c>
      <c r="L6525" s="4"/>
      <c r="M6525" s="241">
        <v>1227.1216999999999</v>
      </c>
    </row>
    <row r="6526" spans="3:13" hidden="1" outlineLevel="1" x14ac:dyDescent="0.2">
      <c r="C6526" s="139">
        <v>166.79999999999481</v>
      </c>
      <c r="D6526" s="28">
        <f t="shared" si="281"/>
        <v>1334.3999999999585</v>
      </c>
      <c r="E6526" s="28">
        <f t="shared" si="282"/>
        <v>1250.9999999999611</v>
      </c>
      <c r="F6526" s="28">
        <f t="shared" si="283"/>
        <v>1232.9999999999611</v>
      </c>
      <c r="G6526" s="28">
        <f t="shared" si="284"/>
        <v>1156.0245</v>
      </c>
      <c r="H6526" s="28">
        <f t="shared" si="285"/>
        <v>1202.9839999999999</v>
      </c>
      <c r="I6526" s="28">
        <f t="shared" si="286"/>
        <v>1227.1216999999999</v>
      </c>
      <c r="J6526" s="28">
        <f t="shared" si="287"/>
        <v>1246.3783000000001</v>
      </c>
      <c r="K6526" s="28">
        <f t="shared" si="288"/>
        <v>1280.1673000000001</v>
      </c>
      <c r="L6526" s="4"/>
      <c r="M6526" s="241">
        <v>1227.1216999999999</v>
      </c>
    </row>
    <row r="6527" spans="3:13" hidden="1" outlineLevel="1" x14ac:dyDescent="0.2">
      <c r="C6527" s="139">
        <v>166.8999999999948</v>
      </c>
      <c r="D6527" s="28">
        <f t="shared" si="281"/>
        <v>1335.1999999999584</v>
      </c>
      <c r="E6527" s="28">
        <f t="shared" si="282"/>
        <v>1251.7499999999611</v>
      </c>
      <c r="F6527" s="28">
        <f t="shared" si="283"/>
        <v>1233.7499999999611</v>
      </c>
      <c r="G6527" s="28">
        <f t="shared" si="284"/>
        <v>1157.0005000000001</v>
      </c>
      <c r="H6527" s="28">
        <f t="shared" si="285"/>
        <v>1203.9793</v>
      </c>
      <c r="I6527" s="28">
        <f t="shared" si="286"/>
        <v>1228.1366</v>
      </c>
      <c r="J6527" s="28">
        <f t="shared" si="287"/>
        <v>1247.4105999999999</v>
      </c>
      <c r="K6527" s="28">
        <f t="shared" si="288"/>
        <v>1281.2064</v>
      </c>
      <c r="L6527" s="4"/>
      <c r="M6527" s="241">
        <v>1228.1366</v>
      </c>
    </row>
    <row r="6528" spans="3:13" hidden="1" outlineLevel="1" x14ac:dyDescent="0.2">
      <c r="C6528" s="139">
        <v>166.9999999999948</v>
      </c>
      <c r="D6528" s="28">
        <f t="shared" si="281"/>
        <v>1335.9999999999584</v>
      </c>
      <c r="E6528" s="28">
        <f t="shared" si="282"/>
        <v>1252.4999999999609</v>
      </c>
      <c r="F6528" s="28">
        <f t="shared" si="283"/>
        <v>1234.4999999999609</v>
      </c>
      <c r="G6528" s="28">
        <f t="shared" si="284"/>
        <v>1157.9765</v>
      </c>
      <c r="H6528" s="28">
        <f t="shared" si="285"/>
        <v>1204.9746</v>
      </c>
      <c r="I6528" s="28">
        <f t="shared" si="286"/>
        <v>1229.1514</v>
      </c>
      <c r="J6528" s="28">
        <f t="shared" si="287"/>
        <v>1248.443</v>
      </c>
      <c r="K6528" s="28">
        <f t="shared" si="288"/>
        <v>1282.2662</v>
      </c>
      <c r="L6528" s="4"/>
      <c r="M6528" s="241">
        <v>1229.1514</v>
      </c>
    </row>
    <row r="6529" spans="3:13" hidden="1" outlineLevel="1" x14ac:dyDescent="0.2">
      <c r="C6529" s="139">
        <v>167.09999999999479</v>
      </c>
      <c r="D6529" s="28">
        <f t="shared" si="281"/>
        <v>1336.7999999999583</v>
      </c>
      <c r="E6529" s="28">
        <f t="shared" si="282"/>
        <v>1253.2499999999609</v>
      </c>
      <c r="F6529" s="28">
        <f t="shared" si="283"/>
        <v>1235.2499999999609</v>
      </c>
      <c r="G6529" s="28">
        <f t="shared" si="284"/>
        <v>1158.9526000000001</v>
      </c>
      <c r="H6529" s="28">
        <f t="shared" si="285"/>
        <v>1205.9699000000001</v>
      </c>
      <c r="I6529" s="28">
        <f t="shared" si="286"/>
        <v>1230.1664000000001</v>
      </c>
      <c r="J6529" s="28">
        <f t="shared" si="287"/>
        <v>1249.4548</v>
      </c>
      <c r="K6529" s="28">
        <f t="shared" si="288"/>
        <v>1283.3053</v>
      </c>
      <c r="L6529" s="4"/>
      <c r="M6529" s="241">
        <v>1230.1664000000001</v>
      </c>
    </row>
    <row r="6530" spans="3:13" hidden="1" outlineLevel="1" x14ac:dyDescent="0.2">
      <c r="C6530" s="139">
        <v>167.19999999999479</v>
      </c>
      <c r="D6530" s="28">
        <f t="shared" si="281"/>
        <v>1337.5999999999583</v>
      </c>
      <c r="E6530" s="28">
        <f t="shared" si="282"/>
        <v>1253.9999999999609</v>
      </c>
      <c r="F6530" s="28">
        <f t="shared" si="283"/>
        <v>1235.9999999999609</v>
      </c>
      <c r="G6530" s="28">
        <f t="shared" si="284"/>
        <v>1158.9526000000001</v>
      </c>
      <c r="H6530" s="28">
        <f t="shared" si="285"/>
        <v>1205.9699000000001</v>
      </c>
      <c r="I6530" s="28">
        <f t="shared" si="286"/>
        <v>1230.1664000000001</v>
      </c>
      <c r="J6530" s="28">
        <f t="shared" si="287"/>
        <v>1249.4548</v>
      </c>
      <c r="K6530" s="28">
        <f t="shared" si="288"/>
        <v>1283.3053</v>
      </c>
      <c r="L6530" s="4"/>
      <c r="M6530" s="241">
        <v>1230.1664000000001</v>
      </c>
    </row>
    <row r="6531" spans="3:13" hidden="1" outlineLevel="1" x14ac:dyDescent="0.2">
      <c r="C6531" s="139">
        <v>167.29999999999478</v>
      </c>
      <c r="D6531" s="28">
        <f t="shared" si="281"/>
        <v>1338.3999999999583</v>
      </c>
      <c r="E6531" s="28">
        <f t="shared" si="282"/>
        <v>1254.7499999999609</v>
      </c>
      <c r="F6531" s="28">
        <f t="shared" si="283"/>
        <v>1236.7499999999609</v>
      </c>
      <c r="G6531" s="28">
        <f t="shared" si="284"/>
        <v>1159.9286999999999</v>
      </c>
      <c r="H6531" s="28">
        <f t="shared" si="285"/>
        <v>1206.9840999999999</v>
      </c>
      <c r="I6531" s="28">
        <f t="shared" si="286"/>
        <v>1231.1813</v>
      </c>
      <c r="J6531" s="28">
        <f t="shared" si="287"/>
        <v>1250.4872</v>
      </c>
      <c r="K6531" s="28">
        <f t="shared" si="288"/>
        <v>1284.3652</v>
      </c>
      <c r="L6531" s="4"/>
      <c r="M6531" s="241">
        <v>1231.1813</v>
      </c>
    </row>
    <row r="6532" spans="3:13" hidden="1" outlineLevel="1" x14ac:dyDescent="0.2">
      <c r="C6532" s="139">
        <v>167.39999999999478</v>
      </c>
      <c r="D6532" s="28">
        <f t="shared" si="281"/>
        <v>1339.1999999999582</v>
      </c>
      <c r="E6532" s="28">
        <f t="shared" si="282"/>
        <v>1255.4999999999609</v>
      </c>
      <c r="F6532" s="28">
        <f t="shared" si="283"/>
        <v>1237.4999999999609</v>
      </c>
      <c r="G6532" s="28">
        <f t="shared" si="284"/>
        <v>1160.9049</v>
      </c>
      <c r="H6532" s="28">
        <f t="shared" si="285"/>
        <v>1207.9794999999999</v>
      </c>
      <c r="I6532" s="28">
        <f t="shared" si="286"/>
        <v>1232.1963000000001</v>
      </c>
      <c r="J6532" s="28">
        <f t="shared" si="287"/>
        <v>1251.5197000000001</v>
      </c>
      <c r="K6532" s="28">
        <f t="shared" si="288"/>
        <v>1285.4250999999999</v>
      </c>
      <c r="L6532" s="4"/>
      <c r="M6532" s="241">
        <v>1232.1963000000001</v>
      </c>
    </row>
    <row r="6533" spans="3:13" hidden="1" outlineLevel="1" x14ac:dyDescent="0.2">
      <c r="C6533" s="139">
        <v>167.49999999999477</v>
      </c>
      <c r="D6533" s="28">
        <f t="shared" si="281"/>
        <v>1339.9999999999582</v>
      </c>
      <c r="E6533" s="28">
        <f t="shared" si="282"/>
        <v>1256.2499999999609</v>
      </c>
      <c r="F6533" s="28">
        <f t="shared" si="283"/>
        <v>1238.2499999999609</v>
      </c>
      <c r="G6533" s="28">
        <f t="shared" si="284"/>
        <v>1161.8812</v>
      </c>
      <c r="H6533" s="28">
        <f t="shared" si="285"/>
        <v>1208.9748999999999</v>
      </c>
      <c r="I6533" s="28">
        <f t="shared" si="286"/>
        <v>1233.2112999999999</v>
      </c>
      <c r="J6533" s="28">
        <f t="shared" si="287"/>
        <v>1252.5522000000001</v>
      </c>
      <c r="K6533" s="28">
        <f t="shared" si="288"/>
        <v>1286.4641999999999</v>
      </c>
      <c r="L6533" s="4"/>
      <c r="M6533" s="241">
        <v>1233.2112999999999</v>
      </c>
    </row>
    <row r="6534" spans="3:13" hidden="1" outlineLevel="1" x14ac:dyDescent="0.2">
      <c r="C6534" s="139">
        <v>167.59999999999476</v>
      </c>
      <c r="D6534" s="28">
        <f t="shared" si="281"/>
        <v>1340.7999999999581</v>
      </c>
      <c r="E6534" s="28">
        <f t="shared" si="282"/>
        <v>1256.9999999999607</v>
      </c>
      <c r="F6534" s="28">
        <f t="shared" si="283"/>
        <v>1238.9999999999607</v>
      </c>
      <c r="G6534" s="28">
        <f t="shared" si="284"/>
        <v>1161.8812</v>
      </c>
      <c r="H6534" s="28">
        <f t="shared" si="285"/>
        <v>1208.9748999999999</v>
      </c>
      <c r="I6534" s="28">
        <f t="shared" si="286"/>
        <v>1233.2112999999999</v>
      </c>
      <c r="J6534" s="28">
        <f t="shared" si="287"/>
        <v>1252.5522000000001</v>
      </c>
      <c r="K6534" s="28">
        <f t="shared" si="288"/>
        <v>1286.4641999999999</v>
      </c>
      <c r="L6534" s="4"/>
      <c r="M6534" s="241">
        <v>1233.2112999999999</v>
      </c>
    </row>
    <row r="6535" spans="3:13" hidden="1" outlineLevel="1" x14ac:dyDescent="0.2">
      <c r="C6535" s="139">
        <v>167.69999999999476</v>
      </c>
      <c r="D6535" s="28">
        <f t="shared" si="281"/>
        <v>1341.5999999999581</v>
      </c>
      <c r="E6535" s="28">
        <f t="shared" si="282"/>
        <v>1257.7499999999607</v>
      </c>
      <c r="F6535" s="28">
        <f t="shared" si="283"/>
        <v>1239.7499999999607</v>
      </c>
      <c r="G6535" s="28">
        <f t="shared" si="284"/>
        <v>1162.8575000000001</v>
      </c>
      <c r="H6535" s="28">
        <f t="shared" si="285"/>
        <v>1209.9703999999999</v>
      </c>
      <c r="I6535" s="28">
        <f t="shared" si="286"/>
        <v>1234.2263</v>
      </c>
      <c r="J6535" s="28">
        <f t="shared" si="287"/>
        <v>1253.5640000000001</v>
      </c>
      <c r="K6535" s="28">
        <f t="shared" si="288"/>
        <v>1287.5242000000001</v>
      </c>
      <c r="L6535" s="4"/>
      <c r="M6535" s="241">
        <v>1234.2263</v>
      </c>
    </row>
    <row r="6536" spans="3:13" hidden="1" outlineLevel="1" x14ac:dyDescent="0.2">
      <c r="C6536" s="139">
        <v>167.79999999999475</v>
      </c>
      <c r="D6536" s="28">
        <f t="shared" si="281"/>
        <v>1342.399999999958</v>
      </c>
      <c r="E6536" s="28">
        <f t="shared" si="282"/>
        <v>1258.4999999999607</v>
      </c>
      <c r="F6536" s="28">
        <f t="shared" si="283"/>
        <v>1240.4999999999607</v>
      </c>
      <c r="G6536" s="28">
        <f t="shared" si="284"/>
        <v>1163.8150000000001</v>
      </c>
      <c r="H6536" s="28">
        <f t="shared" si="285"/>
        <v>1210.9848</v>
      </c>
      <c r="I6536" s="28">
        <f t="shared" si="286"/>
        <v>1235.2414000000001</v>
      </c>
      <c r="J6536" s="28">
        <f t="shared" si="287"/>
        <v>1254.5965000000001</v>
      </c>
      <c r="K6536" s="28">
        <f t="shared" si="288"/>
        <v>1288.5633</v>
      </c>
      <c r="L6536" s="4"/>
      <c r="M6536" s="241">
        <v>1235.2414000000001</v>
      </c>
    </row>
    <row r="6537" spans="3:13" hidden="1" outlineLevel="1" x14ac:dyDescent="0.2">
      <c r="C6537" s="139">
        <v>167.89999999999475</v>
      </c>
      <c r="D6537" s="28">
        <f t="shared" si="281"/>
        <v>1343.199999999958</v>
      </c>
      <c r="E6537" s="28">
        <f t="shared" si="282"/>
        <v>1259.2499999999607</v>
      </c>
      <c r="F6537" s="28">
        <f t="shared" si="283"/>
        <v>1241.2499999999607</v>
      </c>
      <c r="G6537" s="28">
        <f t="shared" si="284"/>
        <v>1164.7914000000001</v>
      </c>
      <c r="H6537" s="28">
        <f t="shared" si="285"/>
        <v>1211.9802999999999</v>
      </c>
      <c r="I6537" s="28">
        <f t="shared" si="286"/>
        <v>1236.2565</v>
      </c>
      <c r="J6537" s="28">
        <f t="shared" si="287"/>
        <v>1255.6291000000001</v>
      </c>
      <c r="K6537" s="28">
        <f t="shared" si="288"/>
        <v>1289.6233</v>
      </c>
      <c r="L6537" s="4"/>
      <c r="M6537" s="241">
        <v>1236.2565</v>
      </c>
    </row>
    <row r="6538" spans="3:13" hidden="1" outlineLevel="1" x14ac:dyDescent="0.2">
      <c r="C6538" s="139">
        <v>167.99999999999474</v>
      </c>
      <c r="D6538" s="28">
        <f t="shared" si="281"/>
        <v>1343.9999999999579</v>
      </c>
      <c r="E6538" s="28">
        <f t="shared" si="282"/>
        <v>1259.9999999999607</v>
      </c>
      <c r="F6538" s="28">
        <f t="shared" si="283"/>
        <v>1241.9999999999607</v>
      </c>
      <c r="G6538" s="28">
        <f t="shared" si="284"/>
        <v>1164.7914000000001</v>
      </c>
      <c r="H6538" s="28">
        <f t="shared" si="285"/>
        <v>1211.9802999999999</v>
      </c>
      <c r="I6538" s="28">
        <f t="shared" si="286"/>
        <v>1236.2565</v>
      </c>
      <c r="J6538" s="28">
        <f t="shared" si="287"/>
        <v>1255.6291000000001</v>
      </c>
      <c r="K6538" s="28">
        <f t="shared" si="288"/>
        <v>1289.6233</v>
      </c>
      <c r="L6538" s="4"/>
      <c r="M6538" s="241">
        <v>1236.2565</v>
      </c>
    </row>
    <row r="6539" spans="3:13" hidden="1" outlineLevel="1" x14ac:dyDescent="0.2">
      <c r="C6539" s="139">
        <v>168.09999999999474</v>
      </c>
      <c r="D6539" s="28">
        <f t="shared" si="281"/>
        <v>1344.7999999999579</v>
      </c>
      <c r="E6539" s="28">
        <f t="shared" si="282"/>
        <v>1260.7499999999604</v>
      </c>
      <c r="F6539" s="28">
        <f t="shared" si="283"/>
        <v>1242.7499999999604</v>
      </c>
      <c r="G6539" s="28">
        <f t="shared" si="284"/>
        <v>1165.7679000000001</v>
      </c>
      <c r="H6539" s="28">
        <f t="shared" si="285"/>
        <v>1212.9758999999999</v>
      </c>
      <c r="I6539" s="28">
        <f t="shared" si="286"/>
        <v>1237.2716</v>
      </c>
      <c r="J6539" s="28">
        <f t="shared" si="287"/>
        <v>1256.6618000000001</v>
      </c>
      <c r="K6539" s="28">
        <f t="shared" si="288"/>
        <v>1290.6624999999999</v>
      </c>
      <c r="L6539" s="4"/>
      <c r="M6539" s="241">
        <v>1237.2716</v>
      </c>
    </row>
    <row r="6540" spans="3:13" hidden="1" outlineLevel="1" x14ac:dyDescent="0.2">
      <c r="C6540" s="139">
        <v>168.19999999999473</v>
      </c>
      <c r="D6540" s="28">
        <f t="shared" si="281"/>
        <v>1345.5999999999578</v>
      </c>
      <c r="E6540" s="28">
        <f t="shared" si="282"/>
        <v>1261.4999999999604</v>
      </c>
      <c r="F6540" s="28">
        <f t="shared" si="283"/>
        <v>1243.4999999999604</v>
      </c>
      <c r="G6540" s="28">
        <f t="shared" si="284"/>
        <v>1166.7445</v>
      </c>
      <c r="H6540" s="28">
        <f t="shared" si="285"/>
        <v>1213.9715000000001</v>
      </c>
      <c r="I6540" s="28">
        <f t="shared" si="286"/>
        <v>1238.2868000000001</v>
      </c>
      <c r="J6540" s="28">
        <f t="shared" si="287"/>
        <v>1257.6736000000001</v>
      </c>
      <c r="K6540" s="28">
        <f t="shared" si="288"/>
        <v>1291.7225000000001</v>
      </c>
      <c r="L6540" s="4"/>
      <c r="M6540" s="241">
        <v>1238.2868000000001</v>
      </c>
    </row>
    <row r="6541" spans="3:13" hidden="1" outlineLevel="1" x14ac:dyDescent="0.2">
      <c r="C6541" s="139">
        <v>168.29999999999472</v>
      </c>
      <c r="D6541" s="28">
        <f t="shared" si="281"/>
        <v>1346.3999999999578</v>
      </c>
      <c r="E6541" s="28">
        <f t="shared" si="282"/>
        <v>1262.2499999999604</v>
      </c>
      <c r="F6541" s="28">
        <f t="shared" si="283"/>
        <v>1244.2499999999604</v>
      </c>
      <c r="G6541" s="28">
        <f t="shared" si="284"/>
        <v>1167.7211</v>
      </c>
      <c r="H6541" s="28">
        <f t="shared" si="285"/>
        <v>1214.9861000000001</v>
      </c>
      <c r="I6541" s="28">
        <f t="shared" si="286"/>
        <v>1239.3019999999999</v>
      </c>
      <c r="J6541" s="28">
        <f t="shared" si="287"/>
        <v>1258.7063000000001</v>
      </c>
      <c r="K6541" s="28">
        <f t="shared" si="288"/>
        <v>1292.7617</v>
      </c>
      <c r="L6541" s="4"/>
      <c r="M6541" s="241">
        <v>1239.3019999999999</v>
      </c>
    </row>
    <row r="6542" spans="3:13" hidden="1" outlineLevel="1" x14ac:dyDescent="0.2">
      <c r="C6542" s="139">
        <v>168.39999999999472</v>
      </c>
      <c r="D6542" s="28">
        <f t="shared" si="281"/>
        <v>1347.1999999999578</v>
      </c>
      <c r="E6542" s="28">
        <f t="shared" si="282"/>
        <v>1262.9999999999604</v>
      </c>
      <c r="F6542" s="28">
        <f t="shared" si="283"/>
        <v>1244.9999999999604</v>
      </c>
      <c r="G6542" s="28">
        <f t="shared" si="284"/>
        <v>1167.7211</v>
      </c>
      <c r="H6542" s="28">
        <f t="shared" si="285"/>
        <v>1214.9861000000001</v>
      </c>
      <c r="I6542" s="28">
        <f t="shared" si="286"/>
        <v>1239.3019999999999</v>
      </c>
      <c r="J6542" s="28">
        <f t="shared" si="287"/>
        <v>1258.7063000000001</v>
      </c>
      <c r="K6542" s="28">
        <f t="shared" si="288"/>
        <v>1292.7617</v>
      </c>
      <c r="L6542" s="4"/>
      <c r="M6542" s="241">
        <v>1239.3019999999999</v>
      </c>
    </row>
    <row r="6543" spans="3:13" hidden="1" outlineLevel="1" x14ac:dyDescent="0.2">
      <c r="C6543" s="139">
        <v>168.49999999999471</v>
      </c>
      <c r="D6543" s="28">
        <f t="shared" si="281"/>
        <v>1347.9999999999577</v>
      </c>
      <c r="E6543" s="28">
        <f t="shared" si="282"/>
        <v>1263.7499999999604</v>
      </c>
      <c r="F6543" s="28">
        <f t="shared" si="283"/>
        <v>1245.7499999999604</v>
      </c>
      <c r="G6543" s="28">
        <f t="shared" si="284"/>
        <v>1168.6977999999999</v>
      </c>
      <c r="H6543" s="28">
        <f t="shared" si="285"/>
        <v>1215.9818</v>
      </c>
      <c r="I6543" s="28">
        <f t="shared" si="286"/>
        <v>1240.3172</v>
      </c>
      <c r="J6543" s="28">
        <f t="shared" si="287"/>
        <v>1259.739</v>
      </c>
      <c r="K6543" s="28">
        <f t="shared" si="288"/>
        <v>1293.8217999999999</v>
      </c>
      <c r="L6543" s="4"/>
      <c r="M6543" s="241">
        <v>1240.3172</v>
      </c>
    </row>
    <row r="6544" spans="3:13" hidden="1" outlineLevel="1" x14ac:dyDescent="0.2">
      <c r="C6544" s="139">
        <v>168.59999999999471</v>
      </c>
      <c r="D6544" s="28">
        <f t="shared" si="281"/>
        <v>1348.7999999999577</v>
      </c>
      <c r="E6544" s="28">
        <f t="shared" si="282"/>
        <v>1264.4999999999602</v>
      </c>
      <c r="F6544" s="28">
        <f t="shared" si="283"/>
        <v>1246.4999999999602</v>
      </c>
      <c r="G6544" s="28">
        <f t="shared" si="284"/>
        <v>1169.6745000000001</v>
      </c>
      <c r="H6544" s="28">
        <f t="shared" si="285"/>
        <v>1216.9775</v>
      </c>
      <c r="I6544" s="28">
        <f t="shared" si="286"/>
        <v>1241.3324</v>
      </c>
      <c r="J6544" s="28">
        <f t="shared" si="287"/>
        <v>1260.7717</v>
      </c>
      <c r="K6544" s="28">
        <f t="shared" si="288"/>
        <v>1294.8820000000001</v>
      </c>
      <c r="L6544" s="4"/>
      <c r="M6544" s="241">
        <v>1241.3324</v>
      </c>
    </row>
    <row r="6545" spans="3:13" hidden="1" outlineLevel="1" x14ac:dyDescent="0.2">
      <c r="C6545" s="139">
        <v>168.6999999999947</v>
      </c>
      <c r="D6545" s="28">
        <f t="shared" si="281"/>
        <v>1349.5999999999576</v>
      </c>
      <c r="E6545" s="28">
        <f t="shared" si="282"/>
        <v>1265.2499999999602</v>
      </c>
      <c r="F6545" s="28">
        <f t="shared" si="283"/>
        <v>1247.2499999999602</v>
      </c>
      <c r="G6545" s="28">
        <f t="shared" si="284"/>
        <v>1170.6513</v>
      </c>
      <c r="H6545" s="28">
        <f t="shared" si="285"/>
        <v>1217.9731999999999</v>
      </c>
      <c r="I6545" s="28">
        <f t="shared" si="286"/>
        <v>1242.3477</v>
      </c>
      <c r="J6545" s="28">
        <f t="shared" si="287"/>
        <v>1261.7836</v>
      </c>
      <c r="K6545" s="28">
        <f t="shared" si="288"/>
        <v>1295.9212</v>
      </c>
      <c r="L6545" s="4"/>
      <c r="M6545" s="241">
        <v>1242.3477</v>
      </c>
    </row>
    <row r="6546" spans="3:13" hidden="1" outlineLevel="1" x14ac:dyDescent="0.2">
      <c r="C6546" s="139">
        <v>168.7999999999947</v>
      </c>
      <c r="D6546" s="28">
        <f t="shared" si="281"/>
        <v>1350.3999999999576</v>
      </c>
      <c r="E6546" s="28">
        <f t="shared" si="282"/>
        <v>1265.9999999999602</v>
      </c>
      <c r="F6546" s="28">
        <f t="shared" si="283"/>
        <v>1247.9999999999602</v>
      </c>
      <c r="G6546" s="28">
        <f t="shared" si="284"/>
        <v>1170.6513</v>
      </c>
      <c r="H6546" s="28">
        <f t="shared" si="285"/>
        <v>1217.9731999999999</v>
      </c>
      <c r="I6546" s="28">
        <f t="shared" si="286"/>
        <v>1242.3477</v>
      </c>
      <c r="J6546" s="28">
        <f t="shared" si="287"/>
        <v>1261.7836</v>
      </c>
      <c r="K6546" s="28">
        <f t="shared" si="288"/>
        <v>1295.9212</v>
      </c>
      <c r="L6546" s="4"/>
      <c r="M6546" s="241">
        <v>1242.3477</v>
      </c>
    </row>
    <row r="6547" spans="3:13" hidden="1" outlineLevel="1" x14ac:dyDescent="0.2">
      <c r="C6547" s="139">
        <v>168.89999999999469</v>
      </c>
      <c r="D6547" s="28">
        <f t="shared" si="281"/>
        <v>1351.1999999999575</v>
      </c>
      <c r="E6547" s="28">
        <f t="shared" si="282"/>
        <v>1266.7499999999602</v>
      </c>
      <c r="F6547" s="28">
        <f t="shared" si="283"/>
        <v>1248.7499999999602</v>
      </c>
      <c r="G6547" s="28">
        <f t="shared" si="284"/>
        <v>1171.6282000000001</v>
      </c>
      <c r="H6547" s="28">
        <f t="shared" si="285"/>
        <v>1218.9690000000001</v>
      </c>
      <c r="I6547" s="28">
        <f t="shared" si="286"/>
        <v>1243.3630000000001</v>
      </c>
      <c r="J6547" s="28">
        <f t="shared" si="287"/>
        <v>1262.8163999999999</v>
      </c>
      <c r="K6547" s="28">
        <f t="shared" si="288"/>
        <v>1296.9813999999999</v>
      </c>
      <c r="L6547" s="4"/>
      <c r="M6547" s="241">
        <v>1243.3630000000001</v>
      </c>
    </row>
    <row r="6548" spans="3:13" hidden="1" outlineLevel="1" x14ac:dyDescent="0.2">
      <c r="C6548" s="139">
        <v>168.99999999999469</v>
      </c>
      <c r="D6548" s="28">
        <f t="shared" si="281"/>
        <v>1351.9999999999575</v>
      </c>
      <c r="E6548" s="28">
        <f t="shared" si="282"/>
        <v>1267.4999999999602</v>
      </c>
      <c r="F6548" s="28">
        <f t="shared" si="283"/>
        <v>1249.4999999999602</v>
      </c>
      <c r="G6548" s="28">
        <f t="shared" si="284"/>
        <v>1172.6051</v>
      </c>
      <c r="H6548" s="28">
        <f t="shared" si="285"/>
        <v>1219.9838</v>
      </c>
      <c r="I6548" s="28">
        <f t="shared" si="286"/>
        <v>1244.3784000000001</v>
      </c>
      <c r="J6548" s="28">
        <f t="shared" si="287"/>
        <v>1263.8492000000001</v>
      </c>
      <c r="K6548" s="28">
        <f t="shared" si="288"/>
        <v>1298.0206000000001</v>
      </c>
      <c r="L6548" s="4"/>
      <c r="M6548" s="241">
        <v>1244.3784000000001</v>
      </c>
    </row>
    <row r="6549" spans="3:13" hidden="1" outlineLevel="1" x14ac:dyDescent="0.2">
      <c r="C6549" s="139">
        <v>169.09999999999468</v>
      </c>
      <c r="D6549" s="28">
        <f t="shared" si="281"/>
        <v>1352.7999999999574</v>
      </c>
      <c r="E6549" s="28">
        <f t="shared" si="282"/>
        <v>1268.24999999996</v>
      </c>
      <c r="F6549" s="28">
        <f t="shared" si="283"/>
        <v>1250.24999999996</v>
      </c>
      <c r="G6549" s="28">
        <f t="shared" si="284"/>
        <v>1173.5630000000001</v>
      </c>
      <c r="H6549" s="28">
        <f t="shared" si="285"/>
        <v>1220.9797000000001</v>
      </c>
      <c r="I6549" s="28">
        <f t="shared" si="286"/>
        <v>1245.3938000000001</v>
      </c>
      <c r="J6549" s="28">
        <f t="shared" si="287"/>
        <v>1264.8821</v>
      </c>
      <c r="K6549" s="28">
        <f t="shared" si="288"/>
        <v>1299.0808</v>
      </c>
      <c r="L6549" s="4"/>
      <c r="M6549" s="241">
        <v>1245.3938000000001</v>
      </c>
    </row>
    <row r="6550" spans="3:13" hidden="1" outlineLevel="1" x14ac:dyDescent="0.2">
      <c r="C6550" s="139">
        <v>169.19999999999467</v>
      </c>
      <c r="D6550" s="28">
        <f t="shared" si="281"/>
        <v>1353.5999999999574</v>
      </c>
      <c r="E6550" s="28">
        <f t="shared" si="282"/>
        <v>1268.99999999996</v>
      </c>
      <c r="F6550" s="28">
        <f t="shared" si="283"/>
        <v>1250.99999999996</v>
      </c>
      <c r="G6550" s="28">
        <f t="shared" si="284"/>
        <v>1173.5630000000001</v>
      </c>
      <c r="H6550" s="28">
        <f t="shared" si="285"/>
        <v>1220.9797000000001</v>
      </c>
      <c r="I6550" s="28">
        <f t="shared" si="286"/>
        <v>1245.3938000000001</v>
      </c>
      <c r="J6550" s="28">
        <f t="shared" si="287"/>
        <v>1264.8821</v>
      </c>
      <c r="K6550" s="28">
        <f t="shared" si="288"/>
        <v>1299.0808</v>
      </c>
      <c r="L6550" s="4"/>
      <c r="M6550" s="241">
        <v>1245.3938000000001</v>
      </c>
    </row>
    <row r="6551" spans="3:13" hidden="1" outlineLevel="1" x14ac:dyDescent="0.2">
      <c r="C6551" s="139">
        <v>169.29999999999467</v>
      </c>
      <c r="D6551" s="28">
        <f t="shared" si="281"/>
        <v>1354.3999999999573</v>
      </c>
      <c r="E6551" s="28">
        <f t="shared" si="282"/>
        <v>1269.74999999996</v>
      </c>
      <c r="F6551" s="28">
        <f t="shared" si="283"/>
        <v>1251.74999999996</v>
      </c>
      <c r="G6551" s="28">
        <f t="shared" si="284"/>
        <v>1174.54</v>
      </c>
      <c r="H6551" s="28">
        <f t="shared" si="285"/>
        <v>1221.9756</v>
      </c>
      <c r="I6551" s="28">
        <f t="shared" si="286"/>
        <v>1246.4092000000001</v>
      </c>
      <c r="J6551" s="28">
        <f t="shared" si="287"/>
        <v>1265.894</v>
      </c>
      <c r="K6551" s="28">
        <f t="shared" si="288"/>
        <v>1300.1201000000001</v>
      </c>
      <c r="L6551" s="4"/>
      <c r="M6551" s="241">
        <v>1246.4092000000001</v>
      </c>
    </row>
    <row r="6552" spans="3:13" hidden="1" outlineLevel="1" x14ac:dyDescent="0.2">
      <c r="C6552" s="139">
        <v>169.39999999999466</v>
      </c>
      <c r="D6552" s="28">
        <f t="shared" si="281"/>
        <v>1355.1999999999573</v>
      </c>
      <c r="E6552" s="28">
        <f t="shared" si="282"/>
        <v>1270.49999999996</v>
      </c>
      <c r="F6552" s="28">
        <f t="shared" si="283"/>
        <v>1252.49999999996</v>
      </c>
      <c r="G6552" s="28">
        <f t="shared" si="284"/>
        <v>1175.5171</v>
      </c>
      <c r="H6552" s="28">
        <f t="shared" si="285"/>
        <v>1222.9715000000001</v>
      </c>
      <c r="I6552" s="28">
        <f t="shared" si="286"/>
        <v>1247.4246000000001</v>
      </c>
      <c r="J6552" s="28">
        <f t="shared" si="287"/>
        <v>1266.9268999999999</v>
      </c>
      <c r="K6552" s="28">
        <f t="shared" si="288"/>
        <v>1301.1804</v>
      </c>
      <c r="L6552" s="4"/>
      <c r="M6552" s="241">
        <v>1247.4246000000001</v>
      </c>
    </row>
    <row r="6553" spans="3:13" hidden="1" outlineLevel="1" x14ac:dyDescent="0.2">
      <c r="C6553" s="139">
        <v>169.49999999999466</v>
      </c>
      <c r="D6553" s="28">
        <f t="shared" si="281"/>
        <v>1355.9999999999573</v>
      </c>
      <c r="E6553" s="28">
        <f t="shared" si="282"/>
        <v>1271.24999999996</v>
      </c>
      <c r="F6553" s="28">
        <f t="shared" si="283"/>
        <v>1253.24999999996</v>
      </c>
      <c r="G6553" s="28">
        <f t="shared" si="284"/>
        <v>1176.4943000000001</v>
      </c>
      <c r="H6553" s="28">
        <f t="shared" si="285"/>
        <v>1223.9865</v>
      </c>
      <c r="I6553" s="28">
        <f t="shared" si="286"/>
        <v>1248.4401</v>
      </c>
      <c r="J6553" s="28">
        <f t="shared" si="287"/>
        <v>1267.9599000000001</v>
      </c>
      <c r="K6553" s="28">
        <f t="shared" si="288"/>
        <v>1302.2407000000001</v>
      </c>
      <c r="L6553" s="4"/>
      <c r="M6553" s="241">
        <v>1248.4401</v>
      </c>
    </row>
    <row r="6554" spans="3:13" hidden="1" outlineLevel="1" x14ac:dyDescent="0.2">
      <c r="C6554" s="139">
        <v>169.59999999999465</v>
      </c>
      <c r="D6554" s="28">
        <f t="shared" si="281"/>
        <v>1356.7999999999572</v>
      </c>
      <c r="E6554" s="28">
        <f t="shared" si="282"/>
        <v>1271.99999999996</v>
      </c>
      <c r="F6554" s="28">
        <f t="shared" si="283"/>
        <v>1253.99999999996</v>
      </c>
      <c r="G6554" s="28">
        <f t="shared" si="284"/>
        <v>1176.4943000000001</v>
      </c>
      <c r="H6554" s="28">
        <f t="shared" si="285"/>
        <v>1223.9865</v>
      </c>
      <c r="I6554" s="28">
        <f t="shared" si="286"/>
        <v>1248.4401</v>
      </c>
      <c r="J6554" s="28">
        <f t="shared" si="287"/>
        <v>1267.9599000000001</v>
      </c>
      <c r="K6554" s="28">
        <f t="shared" si="288"/>
        <v>1302.2407000000001</v>
      </c>
      <c r="L6554" s="4"/>
      <c r="M6554" s="241">
        <v>1248.4401</v>
      </c>
    </row>
    <row r="6555" spans="3:13" hidden="1" outlineLevel="1" x14ac:dyDescent="0.2">
      <c r="C6555" s="139">
        <v>169.69999999999465</v>
      </c>
      <c r="D6555" s="28">
        <f t="shared" si="281"/>
        <v>1357.5999999999572</v>
      </c>
      <c r="E6555" s="28">
        <f t="shared" si="282"/>
        <v>1272.7499999999598</v>
      </c>
      <c r="F6555" s="28">
        <f t="shared" si="283"/>
        <v>1254.7499999999598</v>
      </c>
      <c r="G6555" s="28">
        <f t="shared" si="284"/>
        <v>1177.4715000000001</v>
      </c>
      <c r="H6555" s="28">
        <f t="shared" si="285"/>
        <v>1224.9825000000001</v>
      </c>
      <c r="I6555" s="28">
        <f t="shared" si="286"/>
        <v>1249.4556</v>
      </c>
      <c r="J6555" s="28">
        <f t="shared" si="287"/>
        <v>1268.9929</v>
      </c>
      <c r="K6555" s="28">
        <f t="shared" si="288"/>
        <v>1303.28</v>
      </c>
      <c r="L6555" s="4"/>
      <c r="M6555" s="241">
        <v>1249.4556</v>
      </c>
    </row>
    <row r="6556" spans="3:13" hidden="1" outlineLevel="1" x14ac:dyDescent="0.2">
      <c r="C6556" s="139">
        <v>169.79999999999464</v>
      </c>
      <c r="D6556" s="28">
        <f t="shared" si="281"/>
        <v>1358.3999999999571</v>
      </c>
      <c r="E6556" s="28">
        <f t="shared" si="282"/>
        <v>1273.4999999999598</v>
      </c>
      <c r="F6556" s="28">
        <f t="shared" si="283"/>
        <v>1255.4999999999598</v>
      </c>
      <c r="G6556" s="28">
        <f t="shared" si="284"/>
        <v>1178.4487999999999</v>
      </c>
      <c r="H6556" s="28">
        <f t="shared" si="285"/>
        <v>1225.9784999999999</v>
      </c>
      <c r="I6556" s="28">
        <f t="shared" si="286"/>
        <v>1250.4711</v>
      </c>
      <c r="J6556" s="28">
        <f t="shared" si="287"/>
        <v>1270.0047999999999</v>
      </c>
      <c r="K6556" s="28">
        <f t="shared" si="288"/>
        <v>1304.3404</v>
      </c>
      <c r="L6556" s="4"/>
      <c r="M6556" s="241">
        <v>1250.4711</v>
      </c>
    </row>
    <row r="6557" spans="3:13" hidden="1" outlineLevel="1" x14ac:dyDescent="0.2">
      <c r="C6557" s="139">
        <v>169.89999999999463</v>
      </c>
      <c r="D6557" s="28">
        <f t="shared" si="281"/>
        <v>1359.1999999999571</v>
      </c>
      <c r="E6557" s="28">
        <f t="shared" si="282"/>
        <v>1274.2499999999598</v>
      </c>
      <c r="F6557" s="28">
        <f t="shared" si="283"/>
        <v>1256.2499999999598</v>
      </c>
      <c r="G6557" s="28">
        <f t="shared" si="284"/>
        <v>1179.4260999999999</v>
      </c>
      <c r="H6557" s="28">
        <f t="shared" si="285"/>
        <v>1226.9745</v>
      </c>
      <c r="I6557" s="28">
        <f t="shared" si="286"/>
        <v>1251.4866</v>
      </c>
      <c r="J6557" s="28">
        <f t="shared" si="287"/>
        <v>1271.0378000000001</v>
      </c>
      <c r="K6557" s="28">
        <f t="shared" si="288"/>
        <v>1305.3797</v>
      </c>
      <c r="L6557" s="4"/>
      <c r="M6557" s="241">
        <v>1251.4866</v>
      </c>
    </row>
    <row r="6558" spans="3:13" hidden="1" outlineLevel="1" x14ac:dyDescent="0.2">
      <c r="C6558" s="139">
        <v>169.99999999999463</v>
      </c>
      <c r="D6558" s="28">
        <f t="shared" si="281"/>
        <v>1359.999999999957</v>
      </c>
      <c r="E6558" s="28">
        <f t="shared" si="282"/>
        <v>1274.9999999999598</v>
      </c>
      <c r="F6558" s="28">
        <f t="shared" si="283"/>
        <v>1256.9999999999598</v>
      </c>
      <c r="G6558" s="28">
        <f t="shared" si="284"/>
        <v>1179.4260999999999</v>
      </c>
      <c r="H6558" s="28">
        <f t="shared" si="285"/>
        <v>1226.9745</v>
      </c>
      <c r="I6558" s="28">
        <f t="shared" si="286"/>
        <v>1251.4866</v>
      </c>
      <c r="J6558" s="28">
        <f t="shared" si="287"/>
        <v>1271.0378000000001</v>
      </c>
      <c r="K6558" s="28">
        <f t="shared" si="288"/>
        <v>1305.3797</v>
      </c>
      <c r="L6558" s="4"/>
      <c r="M6558" s="241">
        <v>1251.4866</v>
      </c>
    </row>
    <row r="6559" spans="3:13" hidden="1" outlineLevel="1" x14ac:dyDescent="0.2">
      <c r="C6559" s="139">
        <v>170.09999999999462</v>
      </c>
      <c r="D6559" s="28">
        <f t="shared" si="281"/>
        <v>1360.799999999957</v>
      </c>
      <c r="E6559" s="28">
        <f t="shared" si="282"/>
        <v>1275.7499999999598</v>
      </c>
      <c r="F6559" s="28">
        <f t="shared" si="283"/>
        <v>1257.7499999999598</v>
      </c>
      <c r="G6559" s="28">
        <f t="shared" si="284"/>
        <v>1180.4034999999999</v>
      </c>
      <c r="H6559" s="28">
        <f t="shared" si="285"/>
        <v>1227.9706000000001</v>
      </c>
      <c r="I6559" s="28">
        <f t="shared" si="286"/>
        <v>1252.5021999999999</v>
      </c>
      <c r="J6559" s="28">
        <f t="shared" si="287"/>
        <v>1272.0708999999999</v>
      </c>
      <c r="K6559" s="28">
        <f t="shared" si="288"/>
        <v>1306.4401</v>
      </c>
      <c r="L6559" s="4"/>
      <c r="M6559" s="241">
        <v>1252.5021999999999</v>
      </c>
    </row>
    <row r="6560" spans="3:13" hidden="1" outlineLevel="1" x14ac:dyDescent="0.2">
      <c r="C6560" s="139">
        <v>170.19999999999462</v>
      </c>
      <c r="D6560" s="28">
        <f t="shared" si="281"/>
        <v>1361.5999999999569</v>
      </c>
      <c r="E6560" s="28">
        <f t="shared" si="282"/>
        <v>1276.4999999999595</v>
      </c>
      <c r="F6560" s="28">
        <f t="shared" si="283"/>
        <v>1258.4999999999595</v>
      </c>
      <c r="G6560" s="28">
        <f t="shared" si="284"/>
        <v>1181.3616999999999</v>
      </c>
      <c r="H6560" s="28">
        <f t="shared" si="285"/>
        <v>1228.9858999999999</v>
      </c>
      <c r="I6560" s="28">
        <f t="shared" si="286"/>
        <v>1253.5178000000001</v>
      </c>
      <c r="J6560" s="28">
        <f t="shared" si="287"/>
        <v>1273.104</v>
      </c>
      <c r="K6560" s="28">
        <f t="shared" si="288"/>
        <v>1307.4793999999999</v>
      </c>
      <c r="L6560" s="4"/>
      <c r="M6560" s="241">
        <v>1253.5178000000001</v>
      </c>
    </row>
    <row r="6561" spans="3:13" hidden="1" outlineLevel="1" x14ac:dyDescent="0.2">
      <c r="C6561" s="139">
        <v>170.29999999999461</v>
      </c>
      <c r="D6561" s="28">
        <f t="shared" si="281"/>
        <v>1362.3999999999569</v>
      </c>
      <c r="E6561" s="28">
        <f t="shared" si="282"/>
        <v>1277.2499999999595</v>
      </c>
      <c r="F6561" s="28">
        <f t="shared" si="283"/>
        <v>1259.2499999999595</v>
      </c>
      <c r="G6561" s="28">
        <f t="shared" si="284"/>
        <v>1182.3391999999999</v>
      </c>
      <c r="H6561" s="28">
        <f t="shared" si="285"/>
        <v>1229.9820999999999</v>
      </c>
      <c r="I6561" s="28">
        <f t="shared" si="286"/>
        <v>1254.5335</v>
      </c>
      <c r="J6561" s="28">
        <f t="shared" si="287"/>
        <v>1274.116</v>
      </c>
      <c r="K6561" s="28">
        <f t="shared" si="288"/>
        <v>1308.5399</v>
      </c>
      <c r="L6561" s="4"/>
      <c r="M6561" s="241">
        <v>1254.5335</v>
      </c>
    </row>
    <row r="6562" spans="3:13" hidden="1" outlineLevel="1" x14ac:dyDescent="0.2">
      <c r="C6562" s="139">
        <v>170.39999999999461</v>
      </c>
      <c r="D6562" s="28">
        <f t="shared" si="281"/>
        <v>1363.1999999999568</v>
      </c>
      <c r="E6562" s="28">
        <f t="shared" si="282"/>
        <v>1277.9999999999595</v>
      </c>
      <c r="F6562" s="28">
        <f t="shared" si="283"/>
        <v>1259.9999999999595</v>
      </c>
      <c r="G6562" s="28">
        <f t="shared" si="284"/>
        <v>1182.3391999999999</v>
      </c>
      <c r="H6562" s="28">
        <f t="shared" si="285"/>
        <v>1229.9820999999999</v>
      </c>
      <c r="I6562" s="28">
        <f t="shared" si="286"/>
        <v>1254.5335</v>
      </c>
      <c r="J6562" s="28">
        <f t="shared" si="287"/>
        <v>1274.116</v>
      </c>
      <c r="K6562" s="28">
        <f t="shared" si="288"/>
        <v>1308.5399</v>
      </c>
      <c r="L6562" s="4"/>
      <c r="M6562" s="241">
        <v>1254.5335</v>
      </c>
    </row>
    <row r="6563" spans="3:13" hidden="1" outlineLevel="1" x14ac:dyDescent="0.2">
      <c r="C6563" s="139">
        <v>170.4999999999946</v>
      </c>
      <c r="D6563" s="28">
        <f t="shared" si="281"/>
        <v>1363.9999999999568</v>
      </c>
      <c r="E6563" s="28">
        <f t="shared" si="282"/>
        <v>1278.7499999999595</v>
      </c>
      <c r="F6563" s="28">
        <f t="shared" si="283"/>
        <v>1260.7499999999595</v>
      </c>
      <c r="G6563" s="28">
        <f t="shared" si="284"/>
        <v>1183.3168000000001</v>
      </c>
      <c r="H6563" s="28">
        <f t="shared" si="285"/>
        <v>1230.9782</v>
      </c>
      <c r="I6563" s="28">
        <f t="shared" si="286"/>
        <v>1255.5491999999999</v>
      </c>
      <c r="J6563" s="28">
        <f t="shared" si="287"/>
        <v>1275.1492000000001</v>
      </c>
      <c r="K6563" s="28">
        <f t="shared" si="288"/>
        <v>1309.5791999999999</v>
      </c>
      <c r="L6563" s="4"/>
      <c r="M6563" s="241">
        <v>1255.5491999999999</v>
      </c>
    </row>
    <row r="6564" spans="3:13" hidden="1" outlineLevel="1" x14ac:dyDescent="0.2">
      <c r="C6564" s="139">
        <v>170.59999999999459</v>
      </c>
      <c r="D6564" s="28">
        <f t="shared" si="281"/>
        <v>1364.7999999999568</v>
      </c>
      <c r="E6564" s="28">
        <f t="shared" si="282"/>
        <v>1279.4999999999595</v>
      </c>
      <c r="F6564" s="28">
        <f t="shared" si="283"/>
        <v>1261.4999999999595</v>
      </c>
      <c r="G6564" s="28">
        <f t="shared" si="284"/>
        <v>1184.2944</v>
      </c>
      <c r="H6564" s="28">
        <f t="shared" si="285"/>
        <v>1231.9744000000001</v>
      </c>
      <c r="I6564" s="28">
        <f t="shared" si="286"/>
        <v>1256.5455999999999</v>
      </c>
      <c r="J6564" s="28">
        <f t="shared" si="287"/>
        <v>1276.1823999999999</v>
      </c>
      <c r="K6564" s="28">
        <f t="shared" si="288"/>
        <v>1310.6397999999999</v>
      </c>
      <c r="L6564" s="4"/>
      <c r="M6564" s="241">
        <v>1256.5455999999999</v>
      </c>
    </row>
    <row r="6565" spans="3:13" hidden="1" outlineLevel="1" x14ac:dyDescent="0.2">
      <c r="C6565" s="139">
        <v>170.69999999999459</v>
      </c>
      <c r="D6565" s="28">
        <f t="shared" si="281"/>
        <v>1365.5999999999567</v>
      </c>
      <c r="E6565" s="28">
        <f t="shared" si="282"/>
        <v>1280.2499999999595</v>
      </c>
      <c r="F6565" s="28">
        <f t="shared" si="283"/>
        <v>1262.2499999999595</v>
      </c>
      <c r="G6565" s="28">
        <f t="shared" si="284"/>
        <v>1185.2720999999999</v>
      </c>
      <c r="H6565" s="28">
        <f t="shared" si="285"/>
        <v>1232.9707000000001</v>
      </c>
      <c r="I6565" s="28">
        <f t="shared" si="286"/>
        <v>1257.5614</v>
      </c>
      <c r="J6565" s="28">
        <f t="shared" si="287"/>
        <v>1277.1944000000001</v>
      </c>
      <c r="K6565" s="28">
        <f t="shared" si="288"/>
        <v>1311.7003</v>
      </c>
      <c r="L6565" s="4"/>
      <c r="M6565" s="241">
        <v>1257.5614</v>
      </c>
    </row>
    <row r="6566" spans="3:13" hidden="1" outlineLevel="1" x14ac:dyDescent="0.2">
      <c r="C6566" s="139">
        <v>170.79999999999458</v>
      </c>
      <c r="D6566" s="28">
        <f t="shared" si="281"/>
        <v>1366.3999999999567</v>
      </c>
      <c r="E6566" s="28">
        <f t="shared" si="282"/>
        <v>1280.9999999999593</v>
      </c>
      <c r="F6566" s="28">
        <f t="shared" si="283"/>
        <v>1262.9999999999593</v>
      </c>
      <c r="G6566" s="28">
        <f t="shared" si="284"/>
        <v>1185.2720999999999</v>
      </c>
      <c r="H6566" s="28">
        <f t="shared" si="285"/>
        <v>1232.9707000000001</v>
      </c>
      <c r="I6566" s="28">
        <f t="shared" si="286"/>
        <v>1257.5614</v>
      </c>
      <c r="J6566" s="28">
        <f t="shared" si="287"/>
        <v>1277.1944000000001</v>
      </c>
      <c r="K6566" s="28">
        <f t="shared" si="288"/>
        <v>1311.7003</v>
      </c>
      <c r="L6566" s="4"/>
      <c r="M6566" s="241">
        <v>1257.5614</v>
      </c>
    </row>
    <row r="6567" spans="3:13" hidden="1" outlineLevel="1" x14ac:dyDescent="0.2">
      <c r="C6567" s="139">
        <v>170.89999999999458</v>
      </c>
      <c r="D6567" s="28">
        <f t="shared" si="281"/>
        <v>1367.1999999999566</v>
      </c>
      <c r="E6567" s="28">
        <f t="shared" si="282"/>
        <v>1281.7499999999593</v>
      </c>
      <c r="F6567" s="28">
        <f t="shared" si="283"/>
        <v>1263.7499999999593</v>
      </c>
      <c r="G6567" s="28">
        <f t="shared" si="284"/>
        <v>1186.2499</v>
      </c>
      <c r="H6567" s="28">
        <f t="shared" si="285"/>
        <v>1233.9862000000001</v>
      </c>
      <c r="I6567" s="28">
        <f t="shared" si="286"/>
        <v>1258.5771</v>
      </c>
      <c r="J6567" s="28">
        <f t="shared" si="287"/>
        <v>1278.2276999999999</v>
      </c>
      <c r="K6567" s="28">
        <f t="shared" si="288"/>
        <v>1312.7397000000001</v>
      </c>
      <c r="L6567" s="4"/>
      <c r="M6567" s="241">
        <v>1258.5771</v>
      </c>
    </row>
    <row r="6568" spans="3:13" hidden="1" outlineLevel="1" x14ac:dyDescent="0.2">
      <c r="C6568" s="139">
        <v>170.99999999999457</v>
      </c>
      <c r="D6568" s="28">
        <f t="shared" si="281"/>
        <v>1367.9999999999566</v>
      </c>
      <c r="E6568" s="28">
        <f t="shared" si="282"/>
        <v>1282.4999999999593</v>
      </c>
      <c r="F6568" s="28">
        <f t="shared" si="283"/>
        <v>1264.4999999999593</v>
      </c>
      <c r="G6568" s="28">
        <f t="shared" si="284"/>
        <v>1187.2276999999999</v>
      </c>
      <c r="H6568" s="28">
        <f t="shared" si="285"/>
        <v>1234.9825000000001</v>
      </c>
      <c r="I6568" s="28">
        <f t="shared" si="286"/>
        <v>1259.5929000000001</v>
      </c>
      <c r="J6568" s="28">
        <f t="shared" si="287"/>
        <v>1279.2609</v>
      </c>
      <c r="K6568" s="28">
        <f t="shared" si="288"/>
        <v>1313.8003000000001</v>
      </c>
      <c r="L6568" s="4"/>
      <c r="M6568" s="241">
        <v>1259.5929000000001</v>
      </c>
    </row>
    <row r="6569" spans="3:13" hidden="1" outlineLevel="1" x14ac:dyDescent="0.2">
      <c r="C6569" s="139">
        <v>171.09999999999457</v>
      </c>
      <c r="D6569" s="28">
        <f t="shared" si="281"/>
        <v>1368.7999999999565</v>
      </c>
      <c r="E6569" s="28">
        <f t="shared" si="282"/>
        <v>1283.2499999999593</v>
      </c>
      <c r="F6569" s="28">
        <f t="shared" si="283"/>
        <v>1265.2499999999593</v>
      </c>
      <c r="G6569" s="28">
        <f t="shared" si="284"/>
        <v>1188.1862000000001</v>
      </c>
      <c r="H6569" s="28">
        <f t="shared" si="285"/>
        <v>1235.9789000000001</v>
      </c>
      <c r="I6569" s="28">
        <f t="shared" si="286"/>
        <v>1260.6087</v>
      </c>
      <c r="J6569" s="28">
        <f t="shared" si="287"/>
        <v>1280.2942</v>
      </c>
      <c r="K6569" s="28">
        <f t="shared" si="288"/>
        <v>1314.8397</v>
      </c>
      <c r="L6569" s="4"/>
      <c r="M6569" s="241">
        <v>1260.6087</v>
      </c>
    </row>
    <row r="6570" spans="3:13" hidden="1" outlineLevel="1" x14ac:dyDescent="0.2">
      <c r="C6570" s="139">
        <v>171.19999999999456</v>
      </c>
      <c r="D6570" s="28">
        <f t="shared" si="281"/>
        <v>1369.5999999999565</v>
      </c>
      <c r="E6570" s="28">
        <f t="shared" si="282"/>
        <v>1283.9999999999593</v>
      </c>
      <c r="F6570" s="28">
        <f t="shared" si="283"/>
        <v>1265.9999999999593</v>
      </c>
      <c r="G6570" s="28">
        <f t="shared" si="284"/>
        <v>1188.1862000000001</v>
      </c>
      <c r="H6570" s="28">
        <f t="shared" si="285"/>
        <v>1235.9789000000001</v>
      </c>
      <c r="I6570" s="28">
        <f t="shared" si="286"/>
        <v>1260.6087</v>
      </c>
      <c r="J6570" s="28">
        <f t="shared" si="287"/>
        <v>1280.2942</v>
      </c>
      <c r="K6570" s="28">
        <f t="shared" si="288"/>
        <v>1314.8397</v>
      </c>
      <c r="L6570" s="4"/>
      <c r="M6570" s="241">
        <v>1260.6087</v>
      </c>
    </row>
    <row r="6571" spans="3:13" hidden="1" outlineLevel="1" x14ac:dyDescent="0.2">
      <c r="C6571" s="139">
        <v>171.29999999999455</v>
      </c>
      <c r="D6571" s="28">
        <f t="shared" si="281"/>
        <v>1370.3999999999564</v>
      </c>
      <c r="E6571" s="28">
        <f t="shared" si="282"/>
        <v>1284.7499999999591</v>
      </c>
      <c r="F6571" s="28">
        <f t="shared" si="283"/>
        <v>1266.7499999999591</v>
      </c>
      <c r="G6571" s="28">
        <f t="shared" si="284"/>
        <v>1189.1641</v>
      </c>
      <c r="H6571" s="28">
        <f t="shared" si="285"/>
        <v>1236.9753000000001</v>
      </c>
      <c r="I6571" s="28">
        <f t="shared" si="286"/>
        <v>1261.6246000000001</v>
      </c>
      <c r="J6571" s="28">
        <f t="shared" si="287"/>
        <v>1281.3063</v>
      </c>
      <c r="K6571" s="28">
        <f t="shared" si="288"/>
        <v>1315.9003</v>
      </c>
      <c r="L6571" s="4"/>
      <c r="M6571" s="241">
        <v>1261.6246000000001</v>
      </c>
    </row>
    <row r="6572" spans="3:13" hidden="1" outlineLevel="1" x14ac:dyDescent="0.2">
      <c r="C6572" s="139">
        <v>171.39999999999455</v>
      </c>
      <c r="D6572" s="28">
        <f t="shared" si="281"/>
        <v>1371.1999999999564</v>
      </c>
      <c r="E6572" s="28">
        <f t="shared" si="282"/>
        <v>1285.4999999999591</v>
      </c>
      <c r="F6572" s="28">
        <f t="shared" si="283"/>
        <v>1267.4999999999591</v>
      </c>
      <c r="G6572" s="28">
        <f t="shared" si="284"/>
        <v>1190.1421</v>
      </c>
      <c r="H6572" s="28">
        <f t="shared" si="285"/>
        <v>1237.9717000000001</v>
      </c>
      <c r="I6572" s="28">
        <f t="shared" si="286"/>
        <v>1262.6404</v>
      </c>
      <c r="J6572" s="28">
        <f t="shared" si="287"/>
        <v>1282.3397</v>
      </c>
      <c r="K6572" s="28">
        <f t="shared" si="288"/>
        <v>1316.9396999999999</v>
      </c>
      <c r="L6572" s="4"/>
      <c r="M6572" s="241">
        <v>1262.6404</v>
      </c>
    </row>
    <row r="6573" spans="3:13" hidden="1" outlineLevel="1" x14ac:dyDescent="0.2">
      <c r="C6573" s="139">
        <v>171.49999999999454</v>
      </c>
      <c r="D6573" s="28">
        <f t="shared" si="281"/>
        <v>1371.9999999999563</v>
      </c>
      <c r="E6573" s="28">
        <f t="shared" si="282"/>
        <v>1286.2499999999591</v>
      </c>
      <c r="F6573" s="28">
        <f t="shared" si="283"/>
        <v>1268.2499999999591</v>
      </c>
      <c r="G6573" s="28">
        <f t="shared" si="284"/>
        <v>1191.1201000000001</v>
      </c>
      <c r="H6573" s="28">
        <f t="shared" si="285"/>
        <v>1238.9875</v>
      </c>
      <c r="I6573" s="28">
        <f t="shared" si="286"/>
        <v>1263.6563000000001</v>
      </c>
      <c r="J6573" s="28">
        <f t="shared" si="287"/>
        <v>1283.3731</v>
      </c>
      <c r="K6573" s="28">
        <f t="shared" si="288"/>
        <v>1318.0003999999999</v>
      </c>
      <c r="L6573" s="4"/>
      <c r="M6573" s="241">
        <v>1263.6563000000001</v>
      </c>
    </row>
    <row r="6574" spans="3:13" hidden="1" outlineLevel="1" x14ac:dyDescent="0.2">
      <c r="C6574" s="139">
        <v>171.59999999999454</v>
      </c>
      <c r="D6574" s="28">
        <f t="shared" si="281"/>
        <v>1372.7999999999563</v>
      </c>
      <c r="E6574" s="28">
        <f t="shared" si="282"/>
        <v>1286.9999999999591</v>
      </c>
      <c r="F6574" s="28">
        <f t="shared" si="283"/>
        <v>1268.9999999999591</v>
      </c>
      <c r="G6574" s="28">
        <f t="shared" si="284"/>
        <v>1191.1201000000001</v>
      </c>
      <c r="H6574" s="28">
        <f t="shared" si="285"/>
        <v>1238.9875</v>
      </c>
      <c r="I6574" s="28">
        <f t="shared" si="286"/>
        <v>1263.6563000000001</v>
      </c>
      <c r="J6574" s="28">
        <f t="shared" si="287"/>
        <v>1283.3731</v>
      </c>
      <c r="K6574" s="28">
        <f t="shared" si="288"/>
        <v>1318.0003999999999</v>
      </c>
      <c r="L6574" s="4"/>
      <c r="M6574" s="241">
        <v>1263.6563000000001</v>
      </c>
    </row>
    <row r="6575" spans="3:13" hidden="1" outlineLevel="1" x14ac:dyDescent="0.2">
      <c r="C6575" s="139">
        <v>171.69999999999453</v>
      </c>
      <c r="D6575" s="28">
        <f t="shared" si="281"/>
        <v>1373.5999999999563</v>
      </c>
      <c r="E6575" s="28">
        <f t="shared" si="282"/>
        <v>1287.7499999999591</v>
      </c>
      <c r="F6575" s="28">
        <f t="shared" si="283"/>
        <v>1269.7499999999591</v>
      </c>
      <c r="G6575" s="28">
        <f t="shared" si="284"/>
        <v>1192.0981999999999</v>
      </c>
      <c r="H6575" s="28">
        <f t="shared" si="285"/>
        <v>1239.9838999999999</v>
      </c>
      <c r="I6575" s="28">
        <f t="shared" si="286"/>
        <v>1264.6723</v>
      </c>
      <c r="J6575" s="28">
        <f t="shared" si="287"/>
        <v>1284.4065000000001</v>
      </c>
      <c r="K6575" s="28">
        <f t="shared" si="288"/>
        <v>1319.0399</v>
      </c>
      <c r="L6575" s="4"/>
      <c r="M6575" s="241">
        <v>1264.6723</v>
      </c>
    </row>
    <row r="6576" spans="3:13" hidden="1" outlineLevel="1" x14ac:dyDescent="0.2">
      <c r="C6576" s="139">
        <v>171.79999999999453</v>
      </c>
      <c r="D6576" s="28">
        <f t="shared" si="281"/>
        <v>1374.3999999999562</v>
      </c>
      <c r="E6576" s="28">
        <f t="shared" si="282"/>
        <v>1288.4999999999588</v>
      </c>
      <c r="F6576" s="28">
        <f t="shared" si="283"/>
        <v>1270.4999999999588</v>
      </c>
      <c r="G6576" s="28">
        <f t="shared" si="284"/>
        <v>1193.0763999999999</v>
      </c>
      <c r="H6576" s="28">
        <f t="shared" si="285"/>
        <v>1240.9804999999999</v>
      </c>
      <c r="I6576" s="28">
        <f t="shared" si="286"/>
        <v>1265.6882000000001</v>
      </c>
      <c r="J6576" s="28">
        <f t="shared" si="287"/>
        <v>1285.4186</v>
      </c>
      <c r="K6576" s="28">
        <f t="shared" si="288"/>
        <v>1320.1006</v>
      </c>
      <c r="L6576" s="4"/>
      <c r="M6576" s="241">
        <v>1265.6882000000001</v>
      </c>
    </row>
    <row r="6577" spans="3:13" hidden="1" outlineLevel="1" x14ac:dyDescent="0.2">
      <c r="C6577" s="139">
        <v>171.89999999999452</v>
      </c>
      <c r="D6577" s="28">
        <f t="shared" si="281"/>
        <v>1375.1999999999562</v>
      </c>
      <c r="E6577" s="28">
        <f t="shared" si="282"/>
        <v>1289.2499999999588</v>
      </c>
      <c r="F6577" s="28">
        <f t="shared" si="283"/>
        <v>1271.2499999999588</v>
      </c>
      <c r="G6577" s="28">
        <f t="shared" si="284"/>
        <v>1194.0545999999999</v>
      </c>
      <c r="H6577" s="28">
        <f t="shared" si="285"/>
        <v>1241.9770000000001</v>
      </c>
      <c r="I6577" s="28">
        <f t="shared" si="286"/>
        <v>1266.7041999999999</v>
      </c>
      <c r="J6577" s="28">
        <f t="shared" si="287"/>
        <v>1286.4521</v>
      </c>
      <c r="K6577" s="28">
        <f t="shared" si="288"/>
        <v>1321.1401000000001</v>
      </c>
      <c r="L6577" s="4"/>
      <c r="M6577" s="241">
        <v>1266.7041999999999</v>
      </c>
    </row>
    <row r="6578" spans="3:13" hidden="1" outlineLevel="1" x14ac:dyDescent="0.2">
      <c r="C6578" s="139">
        <v>171.99999999999451</v>
      </c>
      <c r="D6578" s="28">
        <f t="shared" si="281"/>
        <v>1375.9999999999561</v>
      </c>
      <c r="E6578" s="28">
        <f t="shared" si="282"/>
        <v>1289.9999999999588</v>
      </c>
      <c r="F6578" s="28">
        <f t="shared" si="283"/>
        <v>1271.9999999999588</v>
      </c>
      <c r="G6578" s="28">
        <f t="shared" si="284"/>
        <v>1194.0545999999999</v>
      </c>
      <c r="H6578" s="28">
        <f t="shared" si="285"/>
        <v>1241.9770000000001</v>
      </c>
      <c r="I6578" s="28">
        <f t="shared" si="286"/>
        <v>1266.7041999999999</v>
      </c>
      <c r="J6578" s="28">
        <f t="shared" si="287"/>
        <v>1286.4521</v>
      </c>
      <c r="K6578" s="28">
        <f t="shared" si="288"/>
        <v>1321.1401000000001</v>
      </c>
      <c r="L6578" s="4"/>
      <c r="M6578" s="241">
        <v>1266.7041999999999</v>
      </c>
    </row>
    <row r="6579" spans="3:13" hidden="1" outlineLevel="1" x14ac:dyDescent="0.2">
      <c r="C6579" s="139">
        <v>172.09999999999451</v>
      </c>
      <c r="D6579" s="28">
        <f t="shared" si="281"/>
        <v>1376.7999999999561</v>
      </c>
      <c r="E6579" s="28">
        <f t="shared" si="282"/>
        <v>1290.7499999999588</v>
      </c>
      <c r="F6579" s="28">
        <f t="shared" si="283"/>
        <v>1272.7499999999588</v>
      </c>
      <c r="G6579" s="28">
        <f t="shared" si="284"/>
        <v>1195.0135</v>
      </c>
      <c r="H6579" s="28">
        <f t="shared" si="285"/>
        <v>1242.9736</v>
      </c>
      <c r="I6579" s="28">
        <f t="shared" si="286"/>
        <v>1267.7203</v>
      </c>
      <c r="J6579" s="28">
        <f t="shared" si="287"/>
        <v>1287.4856</v>
      </c>
      <c r="K6579" s="28">
        <f t="shared" si="288"/>
        <v>1322.2009</v>
      </c>
      <c r="L6579" s="4"/>
      <c r="M6579" s="241">
        <v>1267.7203</v>
      </c>
    </row>
    <row r="6580" spans="3:13" hidden="1" outlineLevel="1" x14ac:dyDescent="0.2">
      <c r="C6580" s="139">
        <v>172.1999999999945</v>
      </c>
      <c r="D6580" s="28">
        <f t="shared" si="281"/>
        <v>1377.599999999956</v>
      </c>
      <c r="E6580" s="28">
        <f t="shared" si="282"/>
        <v>1291.4999999999588</v>
      </c>
      <c r="F6580" s="28">
        <f t="shared" si="283"/>
        <v>1273.4999999999588</v>
      </c>
      <c r="G6580" s="28">
        <f t="shared" si="284"/>
        <v>1195.9918</v>
      </c>
      <c r="H6580" s="28">
        <f t="shared" si="285"/>
        <v>1243.9896000000001</v>
      </c>
      <c r="I6580" s="28">
        <f t="shared" si="286"/>
        <v>1268.7363</v>
      </c>
      <c r="J6580" s="28">
        <f t="shared" si="287"/>
        <v>1288.4978000000001</v>
      </c>
      <c r="K6580" s="28">
        <f t="shared" si="288"/>
        <v>1323.2617</v>
      </c>
      <c r="L6580" s="4"/>
      <c r="M6580" s="241">
        <v>1268.7363</v>
      </c>
    </row>
    <row r="6581" spans="3:13" hidden="1" outlineLevel="1" x14ac:dyDescent="0.2">
      <c r="C6581" s="139">
        <v>172.2999999999945</v>
      </c>
      <c r="D6581" s="28">
        <f t="shared" si="281"/>
        <v>1378.399999999956</v>
      </c>
      <c r="E6581" s="28">
        <f t="shared" si="282"/>
        <v>1292.2499999999586</v>
      </c>
      <c r="F6581" s="28">
        <f t="shared" si="283"/>
        <v>1274.2499999999586</v>
      </c>
      <c r="G6581" s="28">
        <f t="shared" si="284"/>
        <v>1196.9702</v>
      </c>
      <c r="H6581" s="28">
        <f t="shared" si="285"/>
        <v>1244.9863</v>
      </c>
      <c r="I6581" s="28">
        <f t="shared" si="286"/>
        <v>1269.7524000000001</v>
      </c>
      <c r="J6581" s="28">
        <f t="shared" si="287"/>
        <v>1289.5313000000001</v>
      </c>
      <c r="K6581" s="28">
        <f t="shared" si="288"/>
        <v>1324.3012000000001</v>
      </c>
      <c r="L6581" s="4"/>
      <c r="M6581" s="241">
        <v>1269.7524000000001</v>
      </c>
    </row>
    <row r="6582" spans="3:13" hidden="1" outlineLevel="1" x14ac:dyDescent="0.2">
      <c r="C6582" s="139">
        <v>172.39999999999449</v>
      </c>
      <c r="D6582" s="28">
        <f t="shared" si="281"/>
        <v>1379.1999999999559</v>
      </c>
      <c r="E6582" s="28">
        <f t="shared" si="282"/>
        <v>1292.9999999999586</v>
      </c>
      <c r="F6582" s="28">
        <f t="shared" si="283"/>
        <v>1274.9999999999586</v>
      </c>
      <c r="G6582" s="28">
        <f t="shared" si="284"/>
        <v>1196.9702</v>
      </c>
      <c r="H6582" s="28">
        <f t="shared" si="285"/>
        <v>1244.9863</v>
      </c>
      <c r="I6582" s="28">
        <f t="shared" si="286"/>
        <v>1269.7524000000001</v>
      </c>
      <c r="J6582" s="28">
        <f t="shared" si="287"/>
        <v>1289.5313000000001</v>
      </c>
      <c r="K6582" s="28">
        <f t="shared" si="288"/>
        <v>1324.3012000000001</v>
      </c>
      <c r="L6582" s="4"/>
      <c r="M6582" s="241">
        <v>1269.7524000000001</v>
      </c>
    </row>
    <row r="6583" spans="3:13" hidden="1" outlineLevel="1" x14ac:dyDescent="0.2">
      <c r="C6583" s="139">
        <v>172.49999999999449</v>
      </c>
      <c r="D6583" s="28">
        <f t="shared" si="281"/>
        <v>1379.9999999999559</v>
      </c>
      <c r="E6583" s="28">
        <f t="shared" si="282"/>
        <v>1293.7499999999586</v>
      </c>
      <c r="F6583" s="28">
        <f t="shared" si="283"/>
        <v>1275.7499999999586</v>
      </c>
      <c r="G6583" s="28">
        <f t="shared" si="284"/>
        <v>1197.9485999999999</v>
      </c>
      <c r="H6583" s="28">
        <f t="shared" si="285"/>
        <v>1245.9829</v>
      </c>
      <c r="I6583" s="28">
        <f t="shared" si="286"/>
        <v>1270.7684999999999</v>
      </c>
      <c r="J6583" s="28">
        <f t="shared" si="287"/>
        <v>1290.5649000000001</v>
      </c>
      <c r="K6583" s="28">
        <f t="shared" si="288"/>
        <v>1325.3621000000001</v>
      </c>
      <c r="L6583" s="4"/>
      <c r="M6583" s="241">
        <v>1270.7684999999999</v>
      </c>
    </row>
    <row r="6584" spans="3:13" hidden="1" outlineLevel="1" x14ac:dyDescent="0.2">
      <c r="C6584" s="139">
        <v>172.59999999999448</v>
      </c>
      <c r="D6584" s="28">
        <f t="shared" si="281"/>
        <v>1380.7999999999558</v>
      </c>
      <c r="E6584" s="28">
        <f t="shared" si="282"/>
        <v>1294.4999999999586</v>
      </c>
      <c r="F6584" s="28">
        <f t="shared" si="283"/>
        <v>1276.4999999999586</v>
      </c>
      <c r="G6584" s="28">
        <f t="shared" si="284"/>
        <v>1198.9272000000001</v>
      </c>
      <c r="H6584" s="28">
        <f t="shared" si="285"/>
        <v>1246.9795999999999</v>
      </c>
      <c r="I6584" s="28">
        <f t="shared" si="286"/>
        <v>1271.7846999999999</v>
      </c>
      <c r="J6584" s="28">
        <f t="shared" si="287"/>
        <v>1291.5986</v>
      </c>
      <c r="K6584" s="28">
        <f t="shared" si="288"/>
        <v>1326.4015999999999</v>
      </c>
      <c r="L6584" s="4"/>
      <c r="M6584" s="241">
        <v>1271.7846999999999</v>
      </c>
    </row>
    <row r="6585" spans="3:13" hidden="1" outlineLevel="1" x14ac:dyDescent="0.2">
      <c r="C6585" s="139">
        <v>172.69999999999447</v>
      </c>
      <c r="D6585" s="28">
        <f t="shared" si="281"/>
        <v>1381.5999999999558</v>
      </c>
      <c r="E6585" s="28">
        <f t="shared" si="282"/>
        <v>1295.2499999999586</v>
      </c>
      <c r="F6585" s="28">
        <f t="shared" si="283"/>
        <v>1277.2499999999586</v>
      </c>
      <c r="G6585" s="28">
        <f t="shared" si="284"/>
        <v>1199.9057</v>
      </c>
      <c r="H6585" s="28">
        <f t="shared" si="285"/>
        <v>1247.9764</v>
      </c>
      <c r="I6585" s="28">
        <f t="shared" si="286"/>
        <v>1272.8009</v>
      </c>
      <c r="J6585" s="28">
        <f t="shared" si="287"/>
        <v>1292.6107999999999</v>
      </c>
      <c r="K6585" s="28">
        <f t="shared" si="288"/>
        <v>1327.4625000000001</v>
      </c>
      <c r="L6585" s="4"/>
      <c r="M6585" s="241">
        <v>1272.8009</v>
      </c>
    </row>
    <row r="6586" spans="3:13" hidden="1" outlineLevel="1" x14ac:dyDescent="0.2">
      <c r="C6586" s="139">
        <v>172.79999999999447</v>
      </c>
      <c r="D6586" s="28">
        <f t="shared" si="281"/>
        <v>1382.3999999999558</v>
      </c>
      <c r="E6586" s="28">
        <f t="shared" si="282"/>
        <v>1295.9999999999586</v>
      </c>
      <c r="F6586" s="28">
        <f t="shared" si="283"/>
        <v>1277.9999999999586</v>
      </c>
      <c r="G6586" s="28">
        <f t="shared" si="284"/>
        <v>1199.9057</v>
      </c>
      <c r="H6586" s="28">
        <f t="shared" si="285"/>
        <v>1247.9764</v>
      </c>
      <c r="I6586" s="28">
        <f t="shared" si="286"/>
        <v>1272.8009</v>
      </c>
      <c r="J6586" s="28">
        <f t="shared" si="287"/>
        <v>1292.6107999999999</v>
      </c>
      <c r="K6586" s="28">
        <f t="shared" si="288"/>
        <v>1327.4625000000001</v>
      </c>
      <c r="L6586" s="4"/>
      <c r="M6586" s="241">
        <v>1272.8009</v>
      </c>
    </row>
    <row r="6587" spans="3:13" hidden="1" outlineLevel="1" x14ac:dyDescent="0.2">
      <c r="C6587" s="139">
        <v>172.89999999999446</v>
      </c>
      <c r="D6587" s="28">
        <f t="shared" ref="D6587:D6650" si="289">C6587*Channels.per.TRX</f>
        <v>1383.1999999999557</v>
      </c>
      <c r="E6587" s="28">
        <f t="shared" ref="E6587:E6650" si="290">D6587-C6587*sig.channel.per.TRX</f>
        <v>1296.7499999999584</v>
      </c>
      <c r="F6587" s="28">
        <f t="shared" ref="F6587:F6650" si="291">MAX(0,E6587-GPRS.channel.per.sector)</f>
        <v>1278.7499999999584</v>
      </c>
      <c r="G6587" s="28">
        <f t="shared" ref="G6587:G6650" si="292">INDEX(D$10:D$4326,MATCH($F6587,$C$10:$C$4326,1))</f>
        <v>1200.8649</v>
      </c>
      <c r="H6587" s="28">
        <f t="shared" ref="H6587:H6650" si="293">INDEX(E$10:E$4326,MATCH($F6587,$C$10:$C$4326,1))</f>
        <v>1248.9731999999999</v>
      </c>
      <c r="I6587" s="28">
        <f t="shared" ref="I6587:I6650" si="294">INDEX(F$10:F$4326,MATCH($F6587,$C$10:$C$4326,1))</f>
        <v>1273.8171</v>
      </c>
      <c r="J6587" s="28">
        <f t="shared" ref="J6587:J6650" si="295">INDEX(G$10:G$4326,MATCH($F6587,$C$10:$C$4326,1))</f>
        <v>1293.6445000000001</v>
      </c>
      <c r="K6587" s="28">
        <f t="shared" ref="K6587:K6650" si="296">INDEX(H$10:H$4326,MATCH($F6587,$C$10:$C$4326,1))</f>
        <v>1328.502</v>
      </c>
      <c r="L6587" s="4"/>
      <c r="M6587" s="241">
        <v>1273.8171</v>
      </c>
    </row>
    <row r="6588" spans="3:13" hidden="1" outlineLevel="1" x14ac:dyDescent="0.2">
      <c r="C6588" s="139">
        <v>172.99999999999446</v>
      </c>
      <c r="D6588" s="28">
        <f t="shared" si="289"/>
        <v>1383.9999999999557</v>
      </c>
      <c r="E6588" s="28">
        <f t="shared" si="290"/>
        <v>1297.4999999999584</v>
      </c>
      <c r="F6588" s="28">
        <f t="shared" si="291"/>
        <v>1279.4999999999584</v>
      </c>
      <c r="G6588" s="28">
        <f t="shared" si="292"/>
        <v>1201.8434999999999</v>
      </c>
      <c r="H6588" s="28">
        <f t="shared" si="293"/>
        <v>1249.9894999999999</v>
      </c>
      <c r="I6588" s="28">
        <f t="shared" si="294"/>
        <v>1274.8137999999999</v>
      </c>
      <c r="J6588" s="28">
        <f t="shared" si="295"/>
        <v>1294.6782000000001</v>
      </c>
      <c r="K6588" s="28">
        <f t="shared" si="296"/>
        <v>1329.5630000000001</v>
      </c>
      <c r="L6588" s="4"/>
      <c r="M6588" s="241">
        <v>1274.8137999999999</v>
      </c>
    </row>
    <row r="6589" spans="3:13" hidden="1" outlineLevel="1" x14ac:dyDescent="0.2">
      <c r="C6589" s="139">
        <v>173.09999999999445</v>
      </c>
      <c r="D6589" s="28">
        <f t="shared" si="289"/>
        <v>1384.7999999999556</v>
      </c>
      <c r="E6589" s="28">
        <f t="shared" si="290"/>
        <v>1298.2499999999584</v>
      </c>
      <c r="F6589" s="28">
        <f t="shared" si="291"/>
        <v>1280.2499999999584</v>
      </c>
      <c r="G6589" s="28">
        <f t="shared" si="292"/>
        <v>1202.8223</v>
      </c>
      <c r="H6589" s="28">
        <f t="shared" si="293"/>
        <v>1250.9863</v>
      </c>
      <c r="I6589" s="28">
        <f t="shared" si="294"/>
        <v>1275.8300999999999</v>
      </c>
      <c r="J6589" s="28">
        <f t="shared" si="295"/>
        <v>1295.6904</v>
      </c>
      <c r="K6589" s="28">
        <f t="shared" si="296"/>
        <v>1330.6025</v>
      </c>
      <c r="L6589" s="4"/>
      <c r="M6589" s="241">
        <v>1275.8300999999999</v>
      </c>
    </row>
    <row r="6590" spans="3:13" hidden="1" outlineLevel="1" x14ac:dyDescent="0.2">
      <c r="C6590" s="139">
        <v>173.19999999999445</v>
      </c>
      <c r="D6590" s="28">
        <f t="shared" si="289"/>
        <v>1385.5999999999556</v>
      </c>
      <c r="E6590" s="28">
        <f t="shared" si="290"/>
        <v>1298.9999999999584</v>
      </c>
      <c r="F6590" s="28">
        <f t="shared" si="291"/>
        <v>1280.9999999999584</v>
      </c>
      <c r="G6590" s="28">
        <f t="shared" si="292"/>
        <v>1202.8223</v>
      </c>
      <c r="H6590" s="28">
        <f t="shared" si="293"/>
        <v>1250.9863</v>
      </c>
      <c r="I6590" s="28">
        <f t="shared" si="294"/>
        <v>1275.8300999999999</v>
      </c>
      <c r="J6590" s="28">
        <f t="shared" si="295"/>
        <v>1295.6904</v>
      </c>
      <c r="K6590" s="28">
        <f t="shared" si="296"/>
        <v>1330.6025</v>
      </c>
      <c r="L6590" s="4"/>
      <c r="M6590" s="241">
        <v>1275.8300999999999</v>
      </c>
    </row>
    <row r="6591" spans="3:13" hidden="1" outlineLevel="1" x14ac:dyDescent="0.2">
      <c r="C6591" s="139">
        <v>173.29999999999444</v>
      </c>
      <c r="D6591" s="28">
        <f t="shared" si="289"/>
        <v>1386.3999999999555</v>
      </c>
      <c r="E6591" s="28">
        <f t="shared" si="290"/>
        <v>1299.7499999999584</v>
      </c>
      <c r="F6591" s="28">
        <f t="shared" si="291"/>
        <v>1281.7499999999584</v>
      </c>
      <c r="G6591" s="28">
        <f t="shared" si="292"/>
        <v>1203.8010999999999</v>
      </c>
      <c r="H6591" s="28">
        <f t="shared" si="293"/>
        <v>1251.9831999999999</v>
      </c>
      <c r="I6591" s="28">
        <f t="shared" si="294"/>
        <v>1276.8463999999999</v>
      </c>
      <c r="J6591" s="28">
        <f t="shared" si="295"/>
        <v>1296.7242000000001</v>
      </c>
      <c r="K6591" s="28">
        <f t="shared" si="296"/>
        <v>1331.6636000000001</v>
      </c>
      <c r="L6591" s="4"/>
      <c r="M6591" s="241">
        <v>1276.8463999999999</v>
      </c>
    </row>
    <row r="6592" spans="3:13" hidden="1" outlineLevel="1" x14ac:dyDescent="0.2">
      <c r="C6592" s="139">
        <v>173.39999999999444</v>
      </c>
      <c r="D6592" s="28">
        <f t="shared" si="289"/>
        <v>1387.1999999999555</v>
      </c>
      <c r="E6592" s="28">
        <f t="shared" si="290"/>
        <v>1300.4999999999582</v>
      </c>
      <c r="F6592" s="28">
        <f t="shared" si="291"/>
        <v>1282.4999999999582</v>
      </c>
      <c r="G6592" s="28">
        <f t="shared" si="292"/>
        <v>1204.7799</v>
      </c>
      <c r="H6592" s="28">
        <f t="shared" si="293"/>
        <v>1252.9801</v>
      </c>
      <c r="I6592" s="28">
        <f t="shared" si="294"/>
        <v>1277.8626999999999</v>
      </c>
      <c r="J6592" s="28">
        <f t="shared" si="295"/>
        <v>1297.758</v>
      </c>
      <c r="K6592" s="28">
        <f t="shared" si="296"/>
        <v>1332.7030999999999</v>
      </c>
      <c r="L6592" s="4"/>
      <c r="M6592" s="241">
        <v>1277.8626999999999</v>
      </c>
    </row>
    <row r="6593" spans="3:13" hidden="1" outlineLevel="1" x14ac:dyDescent="0.2">
      <c r="C6593" s="139">
        <v>173.49999999999443</v>
      </c>
      <c r="D6593" s="28">
        <f t="shared" si="289"/>
        <v>1387.9999999999554</v>
      </c>
      <c r="E6593" s="28">
        <f t="shared" si="290"/>
        <v>1301.2499999999582</v>
      </c>
      <c r="F6593" s="28">
        <f t="shared" si="291"/>
        <v>1283.2499999999582</v>
      </c>
      <c r="G6593" s="28">
        <f t="shared" si="292"/>
        <v>1205.7393</v>
      </c>
      <c r="H6593" s="28">
        <f t="shared" si="293"/>
        <v>1253.9771000000001</v>
      </c>
      <c r="I6593" s="28">
        <f t="shared" si="294"/>
        <v>1278.8789999999999</v>
      </c>
      <c r="J6593" s="28">
        <f t="shared" si="295"/>
        <v>1298.7702999999999</v>
      </c>
      <c r="K6593" s="28">
        <f t="shared" si="296"/>
        <v>1333.7642000000001</v>
      </c>
      <c r="L6593" s="4"/>
      <c r="M6593" s="241">
        <v>1278.8789999999999</v>
      </c>
    </row>
    <row r="6594" spans="3:13" hidden="1" outlineLevel="1" x14ac:dyDescent="0.2">
      <c r="C6594" s="139">
        <v>173.59999999999442</v>
      </c>
      <c r="D6594" s="28">
        <f t="shared" si="289"/>
        <v>1388.7999999999554</v>
      </c>
      <c r="E6594" s="28">
        <f t="shared" si="290"/>
        <v>1301.9999999999582</v>
      </c>
      <c r="F6594" s="28">
        <f t="shared" si="291"/>
        <v>1283.9999999999582</v>
      </c>
      <c r="G6594" s="28">
        <f t="shared" si="292"/>
        <v>1205.7393</v>
      </c>
      <c r="H6594" s="28">
        <f t="shared" si="293"/>
        <v>1253.9771000000001</v>
      </c>
      <c r="I6594" s="28">
        <f t="shared" si="294"/>
        <v>1278.8789999999999</v>
      </c>
      <c r="J6594" s="28">
        <f t="shared" si="295"/>
        <v>1298.7702999999999</v>
      </c>
      <c r="K6594" s="28">
        <f t="shared" si="296"/>
        <v>1333.7642000000001</v>
      </c>
      <c r="L6594" s="4"/>
      <c r="M6594" s="241">
        <v>1278.8789999999999</v>
      </c>
    </row>
    <row r="6595" spans="3:13" hidden="1" outlineLevel="1" x14ac:dyDescent="0.2">
      <c r="C6595" s="139">
        <v>173.69999999999442</v>
      </c>
      <c r="D6595" s="28">
        <f t="shared" si="289"/>
        <v>1389.5999999999553</v>
      </c>
      <c r="E6595" s="28">
        <f t="shared" si="290"/>
        <v>1302.7499999999582</v>
      </c>
      <c r="F6595" s="28">
        <f t="shared" si="291"/>
        <v>1284.7499999999582</v>
      </c>
      <c r="G6595" s="28">
        <f t="shared" si="292"/>
        <v>1206.7182</v>
      </c>
      <c r="H6595" s="28">
        <f t="shared" si="293"/>
        <v>1254.9739999999999</v>
      </c>
      <c r="I6595" s="28">
        <f t="shared" si="294"/>
        <v>1279.8954000000001</v>
      </c>
      <c r="J6595" s="28">
        <f t="shared" si="295"/>
        <v>1299.8041000000001</v>
      </c>
      <c r="K6595" s="28">
        <f t="shared" si="296"/>
        <v>1334.8037999999999</v>
      </c>
      <c r="L6595" s="4"/>
      <c r="M6595" s="241">
        <v>1279.8954000000001</v>
      </c>
    </row>
    <row r="6596" spans="3:13" hidden="1" outlineLevel="1" x14ac:dyDescent="0.2">
      <c r="C6596" s="139">
        <v>173.79999999999441</v>
      </c>
      <c r="D6596" s="28">
        <f t="shared" si="289"/>
        <v>1390.3999999999553</v>
      </c>
      <c r="E6596" s="28">
        <f t="shared" si="290"/>
        <v>1303.4999999999582</v>
      </c>
      <c r="F6596" s="28">
        <f t="shared" si="291"/>
        <v>1285.4999999999582</v>
      </c>
      <c r="G6596" s="28">
        <f t="shared" si="292"/>
        <v>1207.6973</v>
      </c>
      <c r="H6596" s="28">
        <f t="shared" si="293"/>
        <v>1255.9906000000001</v>
      </c>
      <c r="I6596" s="28">
        <f t="shared" si="294"/>
        <v>1280.9118000000001</v>
      </c>
      <c r="J6596" s="28">
        <f t="shared" si="295"/>
        <v>1300.838</v>
      </c>
      <c r="K6596" s="28">
        <f t="shared" si="296"/>
        <v>1335.8649</v>
      </c>
      <c r="L6596" s="4"/>
      <c r="M6596" s="241">
        <v>1280.9118000000001</v>
      </c>
    </row>
    <row r="6597" spans="3:13" hidden="1" outlineLevel="1" x14ac:dyDescent="0.2">
      <c r="C6597" s="139">
        <v>173.89999999999441</v>
      </c>
      <c r="D6597" s="28">
        <f t="shared" si="289"/>
        <v>1391.1999999999553</v>
      </c>
      <c r="E6597" s="28">
        <f t="shared" si="290"/>
        <v>1304.2499999999582</v>
      </c>
      <c r="F6597" s="28">
        <f t="shared" si="291"/>
        <v>1286.2499999999582</v>
      </c>
      <c r="G6597" s="28">
        <f t="shared" si="292"/>
        <v>1208.6763000000001</v>
      </c>
      <c r="H6597" s="28">
        <f t="shared" si="293"/>
        <v>1256.9876999999999</v>
      </c>
      <c r="I6597" s="28">
        <f t="shared" si="294"/>
        <v>1281.9283</v>
      </c>
      <c r="J6597" s="28">
        <f t="shared" si="295"/>
        <v>1301.8719000000001</v>
      </c>
      <c r="K6597" s="28">
        <f t="shared" si="296"/>
        <v>1336.9045000000001</v>
      </c>
      <c r="L6597" s="4"/>
      <c r="M6597" s="241">
        <v>1281.9283</v>
      </c>
    </row>
    <row r="6598" spans="3:13" hidden="1" outlineLevel="1" x14ac:dyDescent="0.2">
      <c r="C6598" s="139">
        <v>173.9999999999944</v>
      </c>
      <c r="D6598" s="28">
        <f t="shared" si="289"/>
        <v>1391.9999999999552</v>
      </c>
      <c r="E6598" s="28">
        <f t="shared" si="290"/>
        <v>1304.9999999999579</v>
      </c>
      <c r="F6598" s="28">
        <f t="shared" si="291"/>
        <v>1286.9999999999579</v>
      </c>
      <c r="G6598" s="28">
        <f t="shared" si="292"/>
        <v>1208.6763000000001</v>
      </c>
      <c r="H6598" s="28">
        <f t="shared" si="293"/>
        <v>1256.9876999999999</v>
      </c>
      <c r="I6598" s="28">
        <f t="shared" si="294"/>
        <v>1281.9283</v>
      </c>
      <c r="J6598" s="28">
        <f t="shared" si="295"/>
        <v>1301.8719000000001</v>
      </c>
      <c r="K6598" s="28">
        <f t="shared" si="296"/>
        <v>1336.9045000000001</v>
      </c>
      <c r="L6598" s="4"/>
      <c r="M6598" s="241">
        <v>1281.9283</v>
      </c>
    </row>
    <row r="6599" spans="3:13" hidden="1" outlineLevel="1" x14ac:dyDescent="0.2">
      <c r="C6599" s="139">
        <v>174.0999999999944</v>
      </c>
      <c r="D6599" s="28">
        <f t="shared" si="289"/>
        <v>1392.7999999999552</v>
      </c>
      <c r="E6599" s="28">
        <f t="shared" si="290"/>
        <v>1305.7499999999579</v>
      </c>
      <c r="F6599" s="28">
        <f t="shared" si="291"/>
        <v>1287.7499999999579</v>
      </c>
      <c r="G6599" s="28">
        <f t="shared" si="292"/>
        <v>1209.6555000000001</v>
      </c>
      <c r="H6599" s="28">
        <f t="shared" si="293"/>
        <v>1257.9848</v>
      </c>
      <c r="I6599" s="28">
        <f t="shared" si="294"/>
        <v>1282.9447</v>
      </c>
      <c r="J6599" s="28">
        <f t="shared" si="295"/>
        <v>1302.8842</v>
      </c>
      <c r="K6599" s="28">
        <f t="shared" si="296"/>
        <v>1337.9657</v>
      </c>
      <c r="L6599" s="4"/>
      <c r="M6599" s="241">
        <v>1282.9447</v>
      </c>
    </row>
    <row r="6600" spans="3:13" hidden="1" outlineLevel="1" x14ac:dyDescent="0.2">
      <c r="C6600" s="139">
        <v>174.19999999999439</v>
      </c>
      <c r="D6600" s="28">
        <f t="shared" si="289"/>
        <v>1393.5999999999551</v>
      </c>
      <c r="E6600" s="28">
        <f t="shared" si="290"/>
        <v>1306.4999999999579</v>
      </c>
      <c r="F6600" s="28">
        <f t="shared" si="291"/>
        <v>1288.4999999999579</v>
      </c>
      <c r="G6600" s="28">
        <f t="shared" si="292"/>
        <v>1210.6151</v>
      </c>
      <c r="H6600" s="28">
        <f t="shared" si="293"/>
        <v>1258.9819</v>
      </c>
      <c r="I6600" s="28">
        <f t="shared" si="294"/>
        <v>1283.9612</v>
      </c>
      <c r="J6600" s="28">
        <f t="shared" si="295"/>
        <v>1303.9182000000001</v>
      </c>
      <c r="K6600" s="28">
        <f t="shared" si="296"/>
        <v>1339.0269000000001</v>
      </c>
      <c r="L6600" s="4"/>
      <c r="M6600" s="241">
        <v>1283.9612</v>
      </c>
    </row>
    <row r="6601" spans="3:13" hidden="1" outlineLevel="1" x14ac:dyDescent="0.2">
      <c r="C6601" s="139">
        <v>174.29999999999438</v>
      </c>
      <c r="D6601" s="28">
        <f t="shared" si="289"/>
        <v>1394.3999999999551</v>
      </c>
      <c r="E6601" s="28">
        <f t="shared" si="290"/>
        <v>1307.2499999999579</v>
      </c>
      <c r="F6601" s="28">
        <f t="shared" si="291"/>
        <v>1289.2499999999579</v>
      </c>
      <c r="G6601" s="28">
        <f t="shared" si="292"/>
        <v>1211.5943</v>
      </c>
      <c r="H6601" s="28">
        <f t="shared" si="293"/>
        <v>1259.979</v>
      </c>
      <c r="I6601" s="28">
        <f t="shared" si="294"/>
        <v>1284.9777999999999</v>
      </c>
      <c r="J6601" s="28">
        <f t="shared" si="295"/>
        <v>1304.9521999999999</v>
      </c>
      <c r="K6601" s="28">
        <f t="shared" si="296"/>
        <v>1340.0664999999999</v>
      </c>
      <c r="L6601" s="4"/>
      <c r="M6601" s="241">
        <v>1284.9777999999999</v>
      </c>
    </row>
    <row r="6602" spans="3:13" hidden="1" outlineLevel="1" x14ac:dyDescent="0.2">
      <c r="C6602" s="139">
        <v>174.39999999999438</v>
      </c>
      <c r="D6602" s="28">
        <f t="shared" si="289"/>
        <v>1395.199999999955</v>
      </c>
      <c r="E6602" s="28">
        <f t="shared" si="290"/>
        <v>1307.9999999999579</v>
      </c>
      <c r="F6602" s="28">
        <f t="shared" si="291"/>
        <v>1289.9999999999579</v>
      </c>
      <c r="G6602" s="28">
        <f t="shared" si="292"/>
        <v>1211.5943</v>
      </c>
      <c r="H6602" s="28">
        <f t="shared" si="293"/>
        <v>1259.979</v>
      </c>
      <c r="I6602" s="28">
        <f t="shared" si="294"/>
        <v>1284.9777999999999</v>
      </c>
      <c r="J6602" s="28">
        <f t="shared" si="295"/>
        <v>1304.9521999999999</v>
      </c>
      <c r="K6602" s="28">
        <f t="shared" si="296"/>
        <v>1340.0664999999999</v>
      </c>
      <c r="L6602" s="4"/>
      <c r="M6602" s="241">
        <v>1284.9777999999999</v>
      </c>
    </row>
    <row r="6603" spans="3:13" hidden="1" outlineLevel="1" x14ac:dyDescent="0.2">
      <c r="C6603" s="139">
        <v>174.49999999999437</v>
      </c>
      <c r="D6603" s="28">
        <f t="shared" si="289"/>
        <v>1395.999999999955</v>
      </c>
      <c r="E6603" s="28">
        <f t="shared" si="290"/>
        <v>1308.7499999999577</v>
      </c>
      <c r="F6603" s="28">
        <f t="shared" si="291"/>
        <v>1290.7499999999577</v>
      </c>
      <c r="G6603" s="28">
        <f t="shared" si="292"/>
        <v>1212.5735999999999</v>
      </c>
      <c r="H6603" s="28">
        <f t="shared" si="293"/>
        <v>1260.9762000000001</v>
      </c>
      <c r="I6603" s="28">
        <f t="shared" si="294"/>
        <v>1285.9943000000001</v>
      </c>
      <c r="J6603" s="28">
        <f t="shared" si="295"/>
        <v>1305.9646</v>
      </c>
      <c r="K6603" s="28">
        <f t="shared" si="296"/>
        <v>1341.1278</v>
      </c>
      <c r="L6603" s="4"/>
      <c r="M6603" s="241">
        <v>1285.9943000000001</v>
      </c>
    </row>
    <row r="6604" spans="3:13" hidden="1" outlineLevel="1" x14ac:dyDescent="0.2">
      <c r="C6604" s="139">
        <v>174.59999999999437</v>
      </c>
      <c r="D6604" s="28">
        <f t="shared" si="289"/>
        <v>1396.7999999999549</v>
      </c>
      <c r="E6604" s="28">
        <f t="shared" si="290"/>
        <v>1309.4999999999577</v>
      </c>
      <c r="F6604" s="28">
        <f t="shared" si="291"/>
        <v>1291.4999999999577</v>
      </c>
      <c r="G6604" s="28">
        <f t="shared" si="292"/>
        <v>1213.5530000000001</v>
      </c>
      <c r="H6604" s="28">
        <f t="shared" si="293"/>
        <v>1261.9930999999999</v>
      </c>
      <c r="I6604" s="28">
        <f t="shared" si="294"/>
        <v>1287.0109</v>
      </c>
      <c r="J6604" s="28">
        <f t="shared" si="295"/>
        <v>1306.9985999999999</v>
      </c>
      <c r="K6604" s="28">
        <f t="shared" si="296"/>
        <v>1342.1674</v>
      </c>
      <c r="L6604" s="4"/>
      <c r="M6604" s="241">
        <v>1287.0109</v>
      </c>
    </row>
    <row r="6605" spans="3:13" hidden="1" outlineLevel="1" x14ac:dyDescent="0.2">
      <c r="C6605" s="139">
        <v>174.69999999999436</v>
      </c>
      <c r="D6605" s="28">
        <f t="shared" si="289"/>
        <v>1397.5999999999549</v>
      </c>
      <c r="E6605" s="28">
        <f t="shared" si="290"/>
        <v>1310.2499999999577</v>
      </c>
      <c r="F6605" s="28">
        <f t="shared" si="291"/>
        <v>1292.2499999999577</v>
      </c>
      <c r="G6605" s="28">
        <f t="shared" si="292"/>
        <v>1214.5324000000001</v>
      </c>
      <c r="H6605" s="28">
        <f t="shared" si="293"/>
        <v>1262.9902999999999</v>
      </c>
      <c r="I6605" s="28">
        <f t="shared" si="294"/>
        <v>1288.0078000000001</v>
      </c>
      <c r="J6605" s="28">
        <f t="shared" si="295"/>
        <v>1308.0327</v>
      </c>
      <c r="K6605" s="28">
        <f t="shared" si="296"/>
        <v>1343.2286999999999</v>
      </c>
      <c r="L6605" s="4"/>
      <c r="M6605" s="241">
        <v>1288.0078000000001</v>
      </c>
    </row>
    <row r="6606" spans="3:13" hidden="1" outlineLevel="1" x14ac:dyDescent="0.2">
      <c r="C6606" s="139">
        <v>174.79999999999436</v>
      </c>
      <c r="D6606" s="28">
        <f t="shared" si="289"/>
        <v>1398.3999999999548</v>
      </c>
      <c r="E6606" s="28">
        <f t="shared" si="290"/>
        <v>1310.9999999999577</v>
      </c>
      <c r="F6606" s="28">
        <f t="shared" si="291"/>
        <v>1292.9999999999577</v>
      </c>
      <c r="G6606" s="28">
        <f t="shared" si="292"/>
        <v>1214.5324000000001</v>
      </c>
      <c r="H6606" s="28">
        <f t="shared" si="293"/>
        <v>1262.9902999999999</v>
      </c>
      <c r="I6606" s="28">
        <f t="shared" si="294"/>
        <v>1288.0078000000001</v>
      </c>
      <c r="J6606" s="28">
        <f t="shared" si="295"/>
        <v>1308.0327</v>
      </c>
      <c r="K6606" s="28">
        <f t="shared" si="296"/>
        <v>1343.2286999999999</v>
      </c>
      <c r="L6606" s="4"/>
      <c r="M6606" s="241">
        <v>1288.0078000000001</v>
      </c>
    </row>
    <row r="6607" spans="3:13" hidden="1" outlineLevel="1" x14ac:dyDescent="0.2">
      <c r="C6607" s="139">
        <v>174.89999999999435</v>
      </c>
      <c r="D6607" s="28">
        <f t="shared" si="289"/>
        <v>1399.1999999999548</v>
      </c>
      <c r="E6607" s="28">
        <f t="shared" si="290"/>
        <v>1311.7499999999577</v>
      </c>
      <c r="F6607" s="28">
        <f t="shared" si="291"/>
        <v>1293.7499999999577</v>
      </c>
      <c r="G6607" s="28">
        <f t="shared" si="292"/>
        <v>1215.4921999999999</v>
      </c>
      <c r="H6607" s="28">
        <f t="shared" si="293"/>
        <v>1263.9875999999999</v>
      </c>
      <c r="I6607" s="28">
        <f t="shared" si="294"/>
        <v>1289.0245</v>
      </c>
      <c r="J6607" s="28">
        <f t="shared" si="295"/>
        <v>1309.0668000000001</v>
      </c>
      <c r="K6607" s="28">
        <f t="shared" si="296"/>
        <v>1344.2683999999999</v>
      </c>
      <c r="L6607" s="4"/>
      <c r="M6607" s="241">
        <v>1289.0245</v>
      </c>
    </row>
    <row r="6608" spans="3:13" hidden="1" outlineLevel="1" x14ac:dyDescent="0.2">
      <c r="C6608" s="139">
        <v>174.99999999999434</v>
      </c>
      <c r="D6608" s="28">
        <f t="shared" si="289"/>
        <v>1399.9999999999548</v>
      </c>
      <c r="E6608" s="28">
        <f t="shared" si="290"/>
        <v>1312.4999999999575</v>
      </c>
      <c r="F6608" s="28">
        <f t="shared" si="291"/>
        <v>1294.4999999999575</v>
      </c>
      <c r="G6608" s="28">
        <f t="shared" si="292"/>
        <v>1216.4718</v>
      </c>
      <c r="H6608" s="28">
        <f t="shared" si="293"/>
        <v>1264.9848999999999</v>
      </c>
      <c r="I6608" s="28">
        <f t="shared" si="294"/>
        <v>1290.0411999999999</v>
      </c>
      <c r="J6608" s="28">
        <f t="shared" si="295"/>
        <v>1310.0791999999999</v>
      </c>
      <c r="K6608" s="28">
        <f t="shared" si="296"/>
        <v>1345.3298</v>
      </c>
      <c r="L6608" s="4"/>
      <c r="M6608" s="241">
        <v>1290.0411999999999</v>
      </c>
    </row>
    <row r="6609" spans="3:13" hidden="1" outlineLevel="1" x14ac:dyDescent="0.2">
      <c r="C6609" s="139">
        <v>175.09999999999434</v>
      </c>
      <c r="D6609" s="28">
        <f t="shared" si="289"/>
        <v>1400.7999999999547</v>
      </c>
      <c r="E6609" s="28">
        <f t="shared" si="290"/>
        <v>1313.2499999999575</v>
      </c>
      <c r="F6609" s="28">
        <f t="shared" si="291"/>
        <v>1295.2499999999575</v>
      </c>
      <c r="G6609" s="28">
        <f t="shared" si="292"/>
        <v>1217.4513999999999</v>
      </c>
      <c r="H6609" s="28">
        <f t="shared" si="293"/>
        <v>1265.9821999999999</v>
      </c>
      <c r="I6609" s="28">
        <f t="shared" si="294"/>
        <v>1291.0579</v>
      </c>
      <c r="J6609" s="28">
        <f t="shared" si="295"/>
        <v>1311.1134</v>
      </c>
      <c r="K6609" s="28">
        <f t="shared" si="296"/>
        <v>1346.3694</v>
      </c>
      <c r="L6609" s="4"/>
      <c r="M6609" s="241">
        <v>1291.0579</v>
      </c>
    </row>
    <row r="6610" spans="3:13" hidden="1" outlineLevel="1" x14ac:dyDescent="0.2">
      <c r="C6610" s="139">
        <v>175.19999999999433</v>
      </c>
      <c r="D6610" s="28">
        <f t="shared" si="289"/>
        <v>1401.5999999999547</v>
      </c>
      <c r="E6610" s="28">
        <f t="shared" si="290"/>
        <v>1313.9999999999575</v>
      </c>
      <c r="F6610" s="28">
        <f t="shared" si="291"/>
        <v>1295.9999999999575</v>
      </c>
      <c r="G6610" s="28">
        <f t="shared" si="292"/>
        <v>1217.4513999999999</v>
      </c>
      <c r="H6610" s="28">
        <f t="shared" si="293"/>
        <v>1265.9821999999999</v>
      </c>
      <c r="I6610" s="28">
        <f t="shared" si="294"/>
        <v>1291.0579</v>
      </c>
      <c r="J6610" s="28">
        <f t="shared" si="295"/>
        <v>1311.1134</v>
      </c>
      <c r="K6610" s="28">
        <f t="shared" si="296"/>
        <v>1346.3694</v>
      </c>
      <c r="L6610" s="4"/>
      <c r="M6610" s="241">
        <v>1291.0579</v>
      </c>
    </row>
    <row r="6611" spans="3:13" hidden="1" outlineLevel="1" x14ac:dyDescent="0.2">
      <c r="C6611" s="139">
        <v>175.29999999999433</v>
      </c>
      <c r="D6611" s="28">
        <f t="shared" si="289"/>
        <v>1402.3999999999546</v>
      </c>
      <c r="E6611" s="28">
        <f t="shared" si="290"/>
        <v>1314.7499999999575</v>
      </c>
      <c r="F6611" s="28">
        <f t="shared" si="291"/>
        <v>1296.7499999999575</v>
      </c>
      <c r="G6611" s="28">
        <f t="shared" si="292"/>
        <v>1218.431</v>
      </c>
      <c r="H6611" s="28">
        <f t="shared" si="293"/>
        <v>1266.9795999999999</v>
      </c>
      <c r="I6611" s="28">
        <f t="shared" si="294"/>
        <v>1292.0745999999999</v>
      </c>
      <c r="J6611" s="28">
        <f t="shared" si="295"/>
        <v>1312.1476</v>
      </c>
      <c r="K6611" s="28">
        <f t="shared" si="296"/>
        <v>1347.4308000000001</v>
      </c>
      <c r="L6611" s="4"/>
      <c r="M6611" s="241">
        <v>1292.0745999999999</v>
      </c>
    </row>
    <row r="6612" spans="3:13" hidden="1" outlineLevel="1" x14ac:dyDescent="0.2">
      <c r="C6612" s="139">
        <v>175.39999999999432</v>
      </c>
      <c r="D6612" s="28">
        <f t="shared" si="289"/>
        <v>1403.1999999999546</v>
      </c>
      <c r="E6612" s="28">
        <f t="shared" si="290"/>
        <v>1315.4999999999575</v>
      </c>
      <c r="F6612" s="28">
        <f t="shared" si="291"/>
        <v>1297.4999999999575</v>
      </c>
      <c r="G6612" s="28">
        <f t="shared" si="292"/>
        <v>1219.4108000000001</v>
      </c>
      <c r="H6612" s="28">
        <f t="shared" si="293"/>
        <v>1267.9967999999999</v>
      </c>
      <c r="I6612" s="28">
        <f t="shared" si="294"/>
        <v>1293.0913</v>
      </c>
      <c r="J6612" s="28">
        <f t="shared" si="295"/>
        <v>1313.1601000000001</v>
      </c>
      <c r="K6612" s="28">
        <f t="shared" si="296"/>
        <v>1348.4704999999999</v>
      </c>
      <c r="L6612" s="4"/>
      <c r="M6612" s="241">
        <v>1293.0913</v>
      </c>
    </row>
    <row r="6613" spans="3:13" hidden="1" outlineLevel="1" x14ac:dyDescent="0.2">
      <c r="C6613" s="139">
        <v>175.49999999999432</v>
      </c>
      <c r="D6613" s="28">
        <f t="shared" si="289"/>
        <v>1403.9999999999545</v>
      </c>
      <c r="E6613" s="28">
        <f t="shared" si="290"/>
        <v>1316.2499999999573</v>
      </c>
      <c r="F6613" s="28">
        <f t="shared" si="291"/>
        <v>1298.2499999999573</v>
      </c>
      <c r="G6613" s="28">
        <f t="shared" si="292"/>
        <v>1220.3706999999999</v>
      </c>
      <c r="H6613" s="28">
        <f t="shared" si="293"/>
        <v>1268.9942000000001</v>
      </c>
      <c r="I6613" s="28">
        <f t="shared" si="294"/>
        <v>1294.1080999999999</v>
      </c>
      <c r="J6613" s="28">
        <f t="shared" si="295"/>
        <v>1314.1943000000001</v>
      </c>
      <c r="K6613" s="28">
        <f t="shared" si="296"/>
        <v>1349.5319999999999</v>
      </c>
      <c r="L6613" s="4"/>
      <c r="M6613" s="241">
        <v>1294.1080999999999</v>
      </c>
    </row>
    <row r="6614" spans="3:13" hidden="1" outlineLevel="1" x14ac:dyDescent="0.2">
      <c r="C6614" s="139">
        <v>175.59999999999431</v>
      </c>
      <c r="D6614" s="28">
        <f t="shared" si="289"/>
        <v>1404.7999999999545</v>
      </c>
      <c r="E6614" s="28">
        <f t="shared" si="290"/>
        <v>1316.9999999999573</v>
      </c>
      <c r="F6614" s="28">
        <f t="shared" si="291"/>
        <v>1298.9999999999573</v>
      </c>
      <c r="G6614" s="28">
        <f t="shared" si="292"/>
        <v>1220.3706999999999</v>
      </c>
      <c r="H6614" s="28">
        <f t="shared" si="293"/>
        <v>1268.9942000000001</v>
      </c>
      <c r="I6614" s="28">
        <f t="shared" si="294"/>
        <v>1294.1080999999999</v>
      </c>
      <c r="J6614" s="28">
        <f t="shared" si="295"/>
        <v>1314.1943000000001</v>
      </c>
      <c r="K6614" s="28">
        <f t="shared" si="296"/>
        <v>1349.5319999999999</v>
      </c>
      <c r="L6614" s="4"/>
      <c r="M6614" s="241">
        <v>1294.1080999999999</v>
      </c>
    </row>
    <row r="6615" spans="3:13" hidden="1" outlineLevel="1" x14ac:dyDescent="0.2">
      <c r="C6615" s="139">
        <v>175.6999999999943</v>
      </c>
      <c r="D6615" s="28">
        <f t="shared" si="289"/>
        <v>1405.5999999999544</v>
      </c>
      <c r="E6615" s="28">
        <f t="shared" si="290"/>
        <v>1317.7499999999573</v>
      </c>
      <c r="F6615" s="28">
        <f t="shared" si="291"/>
        <v>1299.7499999999573</v>
      </c>
      <c r="G6615" s="28">
        <f t="shared" si="292"/>
        <v>1221.3506</v>
      </c>
      <c r="H6615" s="28">
        <f t="shared" si="293"/>
        <v>1269.9917</v>
      </c>
      <c r="I6615" s="28">
        <f t="shared" si="294"/>
        <v>1295.125</v>
      </c>
      <c r="J6615" s="28">
        <f t="shared" si="295"/>
        <v>1315.2285999999999</v>
      </c>
      <c r="K6615" s="28">
        <f t="shared" si="296"/>
        <v>1350.5717</v>
      </c>
      <c r="L6615" s="4"/>
      <c r="M6615" s="241">
        <v>1295.125</v>
      </c>
    </row>
    <row r="6616" spans="3:13" hidden="1" outlineLevel="1" x14ac:dyDescent="0.2">
      <c r="C6616" s="139">
        <v>175.7999999999943</v>
      </c>
      <c r="D6616" s="28">
        <f t="shared" si="289"/>
        <v>1406.3999999999544</v>
      </c>
      <c r="E6616" s="28">
        <f t="shared" si="290"/>
        <v>1318.4999999999573</v>
      </c>
      <c r="F6616" s="28">
        <f t="shared" si="291"/>
        <v>1300.4999999999573</v>
      </c>
      <c r="G6616" s="28">
        <f t="shared" si="292"/>
        <v>1222.3305</v>
      </c>
      <c r="H6616" s="28">
        <f t="shared" si="293"/>
        <v>1270.9892</v>
      </c>
      <c r="I6616" s="28">
        <f t="shared" si="294"/>
        <v>1296.1418000000001</v>
      </c>
      <c r="J6616" s="28">
        <f t="shared" si="295"/>
        <v>1316.2411</v>
      </c>
      <c r="K6616" s="28">
        <f t="shared" si="296"/>
        <v>1351.6332</v>
      </c>
      <c r="L6616" s="4"/>
      <c r="M6616" s="241">
        <v>1296.1418000000001</v>
      </c>
    </row>
    <row r="6617" spans="3:13" hidden="1" outlineLevel="1" x14ac:dyDescent="0.2">
      <c r="C6617" s="139">
        <v>175.89999999999429</v>
      </c>
      <c r="D6617" s="28">
        <f t="shared" si="289"/>
        <v>1407.1999999999543</v>
      </c>
      <c r="E6617" s="28">
        <f t="shared" si="290"/>
        <v>1319.2499999999573</v>
      </c>
      <c r="F6617" s="28">
        <f t="shared" si="291"/>
        <v>1301.2499999999573</v>
      </c>
      <c r="G6617" s="28">
        <f t="shared" si="292"/>
        <v>1223.3104000000001</v>
      </c>
      <c r="H6617" s="28">
        <f t="shared" si="293"/>
        <v>1271.9867999999999</v>
      </c>
      <c r="I6617" s="28">
        <f t="shared" si="294"/>
        <v>1297.1587</v>
      </c>
      <c r="J6617" s="28">
        <f t="shared" si="295"/>
        <v>1317.2754</v>
      </c>
      <c r="K6617" s="28">
        <f t="shared" si="296"/>
        <v>1352.6729</v>
      </c>
      <c r="L6617" s="4"/>
      <c r="M6617" s="241">
        <v>1297.1587</v>
      </c>
    </row>
    <row r="6618" spans="3:13" hidden="1" outlineLevel="1" x14ac:dyDescent="0.2">
      <c r="C6618" s="139">
        <v>175.99999999999429</v>
      </c>
      <c r="D6618" s="28">
        <f t="shared" si="289"/>
        <v>1407.9999999999543</v>
      </c>
      <c r="E6618" s="28">
        <f t="shared" si="290"/>
        <v>1319.9999999999573</v>
      </c>
      <c r="F6618" s="28">
        <f t="shared" si="291"/>
        <v>1301.9999999999573</v>
      </c>
      <c r="G6618" s="28">
        <f t="shared" si="292"/>
        <v>1223.3104000000001</v>
      </c>
      <c r="H6618" s="28">
        <f t="shared" si="293"/>
        <v>1271.9867999999999</v>
      </c>
      <c r="I6618" s="28">
        <f t="shared" si="294"/>
        <v>1297.1587</v>
      </c>
      <c r="J6618" s="28">
        <f t="shared" si="295"/>
        <v>1317.2754</v>
      </c>
      <c r="K6618" s="28">
        <f t="shared" si="296"/>
        <v>1352.6729</v>
      </c>
      <c r="L6618" s="4"/>
      <c r="M6618" s="241">
        <v>1297.1587</v>
      </c>
    </row>
    <row r="6619" spans="3:13" hidden="1" outlineLevel="1" x14ac:dyDescent="0.2">
      <c r="C6619" s="139">
        <v>176.09999999999428</v>
      </c>
      <c r="D6619" s="28">
        <f t="shared" si="289"/>
        <v>1408.7999999999543</v>
      </c>
      <c r="E6619" s="28">
        <f t="shared" si="290"/>
        <v>1320.749999999957</v>
      </c>
      <c r="F6619" s="28">
        <f t="shared" si="291"/>
        <v>1302.749999999957</v>
      </c>
      <c r="G6619" s="28">
        <f t="shared" si="292"/>
        <v>1224.2706000000001</v>
      </c>
      <c r="H6619" s="28">
        <f t="shared" si="293"/>
        <v>1272.9843000000001</v>
      </c>
      <c r="I6619" s="28">
        <f t="shared" si="294"/>
        <v>1298.1756</v>
      </c>
      <c r="J6619" s="28">
        <f t="shared" si="295"/>
        <v>1318.3098</v>
      </c>
      <c r="K6619" s="28">
        <f t="shared" si="296"/>
        <v>1353.7345</v>
      </c>
      <c r="L6619" s="4"/>
      <c r="M6619" s="241">
        <v>1298.1756</v>
      </c>
    </row>
    <row r="6620" spans="3:13" hidden="1" outlineLevel="1" x14ac:dyDescent="0.2">
      <c r="C6620" s="139">
        <v>176.19999999999428</v>
      </c>
      <c r="D6620" s="28">
        <f t="shared" si="289"/>
        <v>1409.5999999999542</v>
      </c>
      <c r="E6620" s="28">
        <f t="shared" si="290"/>
        <v>1321.499999999957</v>
      </c>
      <c r="F6620" s="28">
        <f t="shared" si="291"/>
        <v>1303.499999999957</v>
      </c>
      <c r="G6620" s="28">
        <f t="shared" si="292"/>
        <v>1225.2506000000001</v>
      </c>
      <c r="H6620" s="28">
        <f t="shared" si="293"/>
        <v>1273.9819</v>
      </c>
      <c r="I6620" s="28">
        <f t="shared" si="294"/>
        <v>1299.1926000000001</v>
      </c>
      <c r="J6620" s="28">
        <f t="shared" si="295"/>
        <v>1319.3223</v>
      </c>
      <c r="K6620" s="28">
        <f t="shared" si="296"/>
        <v>1354.7742000000001</v>
      </c>
      <c r="L6620" s="4"/>
      <c r="M6620" s="241">
        <v>1299.1926000000001</v>
      </c>
    </row>
    <row r="6621" spans="3:13" hidden="1" outlineLevel="1" x14ac:dyDescent="0.2">
      <c r="C6621" s="139">
        <v>176.29999999999427</v>
      </c>
      <c r="D6621" s="28">
        <f t="shared" si="289"/>
        <v>1410.3999999999542</v>
      </c>
      <c r="E6621" s="28">
        <f t="shared" si="290"/>
        <v>1322.249999999957</v>
      </c>
      <c r="F6621" s="28">
        <f t="shared" si="291"/>
        <v>1304.249999999957</v>
      </c>
      <c r="G6621" s="28">
        <f t="shared" si="292"/>
        <v>1226.2308</v>
      </c>
      <c r="H6621" s="28">
        <f t="shared" si="293"/>
        <v>1274.9994999999999</v>
      </c>
      <c r="I6621" s="28">
        <f t="shared" si="294"/>
        <v>1300.1895999999999</v>
      </c>
      <c r="J6621" s="28">
        <f t="shared" si="295"/>
        <v>1320.3567</v>
      </c>
      <c r="K6621" s="28">
        <f t="shared" si="296"/>
        <v>1355.8359</v>
      </c>
      <c r="L6621" s="4"/>
      <c r="M6621" s="241">
        <v>1300.1895999999999</v>
      </c>
    </row>
    <row r="6622" spans="3:13" hidden="1" outlineLevel="1" x14ac:dyDescent="0.2">
      <c r="C6622" s="139">
        <v>176.39999999999426</v>
      </c>
      <c r="D6622" s="28">
        <f t="shared" si="289"/>
        <v>1411.1999999999541</v>
      </c>
      <c r="E6622" s="28">
        <f t="shared" si="290"/>
        <v>1322.999999999957</v>
      </c>
      <c r="F6622" s="28">
        <f t="shared" si="291"/>
        <v>1304.999999999957</v>
      </c>
      <c r="G6622" s="28">
        <f t="shared" si="292"/>
        <v>1226.2308</v>
      </c>
      <c r="H6622" s="28">
        <f t="shared" si="293"/>
        <v>1274.9994999999999</v>
      </c>
      <c r="I6622" s="28">
        <f t="shared" si="294"/>
        <v>1300.1895999999999</v>
      </c>
      <c r="J6622" s="28">
        <f t="shared" si="295"/>
        <v>1320.3567</v>
      </c>
      <c r="K6622" s="28">
        <f t="shared" si="296"/>
        <v>1355.8359</v>
      </c>
      <c r="L6622" s="4"/>
      <c r="M6622" s="241">
        <v>1300.1895999999999</v>
      </c>
    </row>
    <row r="6623" spans="3:13" hidden="1" outlineLevel="1" x14ac:dyDescent="0.2">
      <c r="C6623" s="139">
        <v>176.49999999999426</v>
      </c>
      <c r="D6623" s="28">
        <f t="shared" si="289"/>
        <v>1411.9999999999541</v>
      </c>
      <c r="E6623" s="28">
        <f t="shared" si="290"/>
        <v>1323.749999999957</v>
      </c>
      <c r="F6623" s="28">
        <f t="shared" si="291"/>
        <v>1305.749999999957</v>
      </c>
      <c r="G6623" s="28">
        <f t="shared" si="292"/>
        <v>1227.211</v>
      </c>
      <c r="H6623" s="28">
        <f t="shared" si="293"/>
        <v>1275.9971</v>
      </c>
      <c r="I6623" s="28">
        <f t="shared" si="294"/>
        <v>1301.2066</v>
      </c>
      <c r="J6623" s="28">
        <f t="shared" si="295"/>
        <v>1321.3912</v>
      </c>
      <c r="K6623" s="28">
        <f t="shared" si="296"/>
        <v>1356.8756000000001</v>
      </c>
      <c r="L6623" s="4"/>
      <c r="M6623" s="241">
        <v>1301.2066</v>
      </c>
    </row>
    <row r="6624" spans="3:13" hidden="1" outlineLevel="1" x14ac:dyDescent="0.2">
      <c r="C6624" s="139">
        <v>176.59999999999425</v>
      </c>
      <c r="D6624" s="28">
        <f t="shared" si="289"/>
        <v>1412.799999999954</v>
      </c>
      <c r="E6624" s="28">
        <f t="shared" si="290"/>
        <v>1324.4999999999568</v>
      </c>
      <c r="F6624" s="28">
        <f t="shared" si="291"/>
        <v>1306.4999999999568</v>
      </c>
      <c r="G6624" s="28">
        <f t="shared" si="292"/>
        <v>1228.1912</v>
      </c>
      <c r="H6624" s="28">
        <f t="shared" si="293"/>
        <v>1276.9947999999999</v>
      </c>
      <c r="I6624" s="28">
        <f t="shared" si="294"/>
        <v>1302.2236</v>
      </c>
      <c r="J6624" s="28">
        <f t="shared" si="295"/>
        <v>1322.4256</v>
      </c>
      <c r="K6624" s="28">
        <f t="shared" si="296"/>
        <v>1357.9373000000001</v>
      </c>
      <c r="L6624" s="4"/>
      <c r="M6624" s="241">
        <v>1302.2236</v>
      </c>
    </row>
    <row r="6625" spans="3:13" hidden="1" outlineLevel="1" x14ac:dyDescent="0.2">
      <c r="C6625" s="139">
        <v>176.69999999999425</v>
      </c>
      <c r="D6625" s="28">
        <f t="shared" si="289"/>
        <v>1413.599999999954</v>
      </c>
      <c r="E6625" s="28">
        <f t="shared" si="290"/>
        <v>1325.2499999999568</v>
      </c>
      <c r="F6625" s="28">
        <f t="shared" si="291"/>
        <v>1307.2499999999568</v>
      </c>
      <c r="G6625" s="28">
        <f t="shared" si="292"/>
        <v>1229.1515999999999</v>
      </c>
      <c r="H6625" s="28">
        <f t="shared" si="293"/>
        <v>1277.9926</v>
      </c>
      <c r="I6625" s="28">
        <f t="shared" si="294"/>
        <v>1303.2407000000001</v>
      </c>
      <c r="J6625" s="28">
        <f t="shared" si="295"/>
        <v>1323.4382000000001</v>
      </c>
      <c r="K6625" s="28">
        <f t="shared" si="296"/>
        <v>1358.9771000000001</v>
      </c>
      <c r="L6625" s="4"/>
      <c r="M6625" s="241">
        <v>1303.2407000000001</v>
      </c>
    </row>
    <row r="6626" spans="3:13" hidden="1" outlineLevel="1" x14ac:dyDescent="0.2">
      <c r="C6626" s="139">
        <v>176.79999999999424</v>
      </c>
      <c r="D6626" s="28">
        <f t="shared" si="289"/>
        <v>1414.3999999999539</v>
      </c>
      <c r="E6626" s="28">
        <f t="shared" si="290"/>
        <v>1325.9999999999568</v>
      </c>
      <c r="F6626" s="28">
        <f t="shared" si="291"/>
        <v>1307.9999999999568</v>
      </c>
      <c r="G6626" s="28">
        <f t="shared" si="292"/>
        <v>1229.1515999999999</v>
      </c>
      <c r="H6626" s="28">
        <f t="shared" si="293"/>
        <v>1277.9926</v>
      </c>
      <c r="I6626" s="28">
        <f t="shared" si="294"/>
        <v>1303.2407000000001</v>
      </c>
      <c r="J6626" s="28">
        <f t="shared" si="295"/>
        <v>1323.4382000000001</v>
      </c>
      <c r="K6626" s="28">
        <f t="shared" si="296"/>
        <v>1358.9771000000001</v>
      </c>
      <c r="L6626" s="4"/>
      <c r="M6626" s="241">
        <v>1303.2407000000001</v>
      </c>
    </row>
    <row r="6627" spans="3:13" hidden="1" outlineLevel="1" x14ac:dyDescent="0.2">
      <c r="C6627" s="139">
        <v>176.89999999999424</v>
      </c>
      <c r="D6627" s="28">
        <f t="shared" si="289"/>
        <v>1415.1999999999539</v>
      </c>
      <c r="E6627" s="28">
        <f t="shared" si="290"/>
        <v>1326.7499999999568</v>
      </c>
      <c r="F6627" s="28">
        <f t="shared" si="291"/>
        <v>1308.7499999999568</v>
      </c>
      <c r="G6627" s="28">
        <f t="shared" si="292"/>
        <v>1230.1319000000001</v>
      </c>
      <c r="H6627" s="28">
        <f t="shared" si="293"/>
        <v>1278.9902999999999</v>
      </c>
      <c r="I6627" s="28">
        <f t="shared" si="294"/>
        <v>1304.2578000000001</v>
      </c>
      <c r="J6627" s="28">
        <f t="shared" si="295"/>
        <v>1324.4727</v>
      </c>
      <c r="K6627" s="28">
        <f t="shared" si="296"/>
        <v>1360.0388</v>
      </c>
      <c r="L6627" s="4"/>
      <c r="M6627" s="241">
        <v>1304.2578000000001</v>
      </c>
    </row>
    <row r="6628" spans="3:13" hidden="1" outlineLevel="1" x14ac:dyDescent="0.2">
      <c r="C6628" s="139">
        <v>176.99999999999423</v>
      </c>
      <c r="D6628" s="28">
        <f t="shared" si="289"/>
        <v>1415.9999999999538</v>
      </c>
      <c r="E6628" s="28">
        <f t="shared" si="290"/>
        <v>1327.4999999999568</v>
      </c>
      <c r="F6628" s="28">
        <f t="shared" si="291"/>
        <v>1309.4999999999568</v>
      </c>
      <c r="G6628" s="28">
        <f t="shared" si="292"/>
        <v>1231.1123</v>
      </c>
      <c r="H6628" s="28">
        <f t="shared" si="293"/>
        <v>1279.9881</v>
      </c>
      <c r="I6628" s="28">
        <f t="shared" si="294"/>
        <v>1305.2748999999999</v>
      </c>
      <c r="J6628" s="28">
        <f t="shared" si="295"/>
        <v>1325.5073</v>
      </c>
      <c r="K6628" s="28">
        <f t="shared" si="296"/>
        <v>1361.1005</v>
      </c>
      <c r="L6628" s="4"/>
      <c r="M6628" s="241">
        <v>1305.2748999999999</v>
      </c>
    </row>
    <row r="6629" spans="3:13" hidden="1" outlineLevel="1" x14ac:dyDescent="0.2">
      <c r="C6629" s="139">
        <v>177.09999999999422</v>
      </c>
      <c r="D6629" s="28">
        <f t="shared" si="289"/>
        <v>1416.7999999999538</v>
      </c>
      <c r="E6629" s="28">
        <f t="shared" si="290"/>
        <v>1328.2499999999568</v>
      </c>
      <c r="F6629" s="28">
        <f t="shared" si="291"/>
        <v>1310.2499999999568</v>
      </c>
      <c r="G6629" s="28">
        <f t="shared" si="292"/>
        <v>1232.0927999999999</v>
      </c>
      <c r="H6629" s="28">
        <f t="shared" si="293"/>
        <v>1280.9858999999999</v>
      </c>
      <c r="I6629" s="28">
        <f t="shared" si="294"/>
        <v>1306.2919999999999</v>
      </c>
      <c r="J6629" s="28">
        <f t="shared" si="295"/>
        <v>1326.5199</v>
      </c>
      <c r="K6629" s="28">
        <f t="shared" si="296"/>
        <v>1362.1403</v>
      </c>
      <c r="L6629" s="4"/>
      <c r="M6629" s="241">
        <v>1306.2919999999999</v>
      </c>
    </row>
    <row r="6630" spans="3:13" hidden="1" outlineLevel="1" x14ac:dyDescent="0.2">
      <c r="C6630" s="139">
        <v>177.19999999999422</v>
      </c>
      <c r="D6630" s="28">
        <f t="shared" si="289"/>
        <v>1417.5999999999538</v>
      </c>
      <c r="E6630" s="28">
        <f t="shared" si="290"/>
        <v>1328.9999999999566</v>
      </c>
      <c r="F6630" s="28">
        <f t="shared" si="291"/>
        <v>1310.9999999999566</v>
      </c>
      <c r="G6630" s="28">
        <f t="shared" si="292"/>
        <v>1232.0927999999999</v>
      </c>
      <c r="H6630" s="28">
        <f t="shared" si="293"/>
        <v>1280.9858999999999</v>
      </c>
      <c r="I6630" s="28">
        <f t="shared" si="294"/>
        <v>1306.2919999999999</v>
      </c>
      <c r="J6630" s="28">
        <f t="shared" si="295"/>
        <v>1326.5199</v>
      </c>
      <c r="K6630" s="28">
        <f t="shared" si="296"/>
        <v>1362.1403</v>
      </c>
      <c r="L6630" s="4"/>
      <c r="M6630" s="241">
        <v>1306.2919999999999</v>
      </c>
    </row>
    <row r="6631" spans="3:13" hidden="1" outlineLevel="1" x14ac:dyDescent="0.2">
      <c r="C6631" s="139">
        <v>177.29999999999421</v>
      </c>
      <c r="D6631" s="28">
        <f t="shared" si="289"/>
        <v>1418.3999999999537</v>
      </c>
      <c r="E6631" s="28">
        <f t="shared" si="290"/>
        <v>1329.7499999999566</v>
      </c>
      <c r="F6631" s="28">
        <f t="shared" si="291"/>
        <v>1311.7499999999566</v>
      </c>
      <c r="G6631" s="28">
        <f t="shared" si="292"/>
        <v>1233.0534</v>
      </c>
      <c r="H6631" s="28">
        <f t="shared" si="293"/>
        <v>1281.9838</v>
      </c>
      <c r="I6631" s="28">
        <f t="shared" si="294"/>
        <v>1307.3091999999999</v>
      </c>
      <c r="J6631" s="28">
        <f t="shared" si="295"/>
        <v>1327.5545</v>
      </c>
      <c r="K6631" s="28">
        <f t="shared" si="296"/>
        <v>1363.2021</v>
      </c>
      <c r="L6631" s="4"/>
      <c r="M6631" s="241">
        <v>1307.3091999999999</v>
      </c>
    </row>
    <row r="6632" spans="3:13" hidden="1" outlineLevel="1" x14ac:dyDescent="0.2">
      <c r="C6632" s="139">
        <v>177.39999999999421</v>
      </c>
      <c r="D6632" s="28">
        <f t="shared" si="289"/>
        <v>1419.1999999999537</v>
      </c>
      <c r="E6632" s="28">
        <f t="shared" si="290"/>
        <v>1330.4999999999566</v>
      </c>
      <c r="F6632" s="28">
        <f t="shared" si="291"/>
        <v>1312.4999999999566</v>
      </c>
      <c r="G6632" s="28">
        <f t="shared" si="292"/>
        <v>1234.0338999999999</v>
      </c>
      <c r="H6632" s="28">
        <f t="shared" si="293"/>
        <v>1283.0017</v>
      </c>
      <c r="I6632" s="28">
        <f t="shared" si="294"/>
        <v>1308.3263999999999</v>
      </c>
      <c r="J6632" s="28">
        <f t="shared" si="295"/>
        <v>1328.5891999999999</v>
      </c>
      <c r="K6632" s="28">
        <f t="shared" si="296"/>
        <v>1364.242</v>
      </c>
      <c r="L6632" s="4"/>
      <c r="M6632" s="241">
        <v>1308.3263999999999</v>
      </c>
    </row>
    <row r="6633" spans="3:13" hidden="1" outlineLevel="1" x14ac:dyDescent="0.2">
      <c r="C6633" s="139">
        <v>177.4999999999942</v>
      </c>
      <c r="D6633" s="28">
        <f t="shared" si="289"/>
        <v>1419.9999999999536</v>
      </c>
      <c r="E6633" s="28">
        <f t="shared" si="290"/>
        <v>1331.2499999999566</v>
      </c>
      <c r="F6633" s="28">
        <f t="shared" si="291"/>
        <v>1313.2499999999566</v>
      </c>
      <c r="G6633" s="28">
        <f t="shared" si="292"/>
        <v>1235.0146</v>
      </c>
      <c r="H6633" s="28">
        <f t="shared" si="293"/>
        <v>1283.9996000000001</v>
      </c>
      <c r="I6633" s="28">
        <f t="shared" si="294"/>
        <v>1309.3235999999999</v>
      </c>
      <c r="J6633" s="28">
        <f t="shared" si="295"/>
        <v>1329.6017999999999</v>
      </c>
      <c r="K6633" s="28">
        <f t="shared" si="296"/>
        <v>1365.3037999999999</v>
      </c>
      <c r="L6633" s="4"/>
      <c r="M6633" s="241">
        <v>1309.3235999999999</v>
      </c>
    </row>
    <row r="6634" spans="3:13" hidden="1" outlineLevel="1" x14ac:dyDescent="0.2">
      <c r="C6634" s="139">
        <v>177.5999999999942</v>
      </c>
      <c r="D6634" s="28">
        <f t="shared" si="289"/>
        <v>1420.7999999999536</v>
      </c>
      <c r="E6634" s="28">
        <f t="shared" si="290"/>
        <v>1331.9999999999566</v>
      </c>
      <c r="F6634" s="28">
        <f t="shared" si="291"/>
        <v>1313.9999999999566</v>
      </c>
      <c r="G6634" s="28">
        <f t="shared" si="292"/>
        <v>1235.0146</v>
      </c>
      <c r="H6634" s="28">
        <f t="shared" si="293"/>
        <v>1283.9996000000001</v>
      </c>
      <c r="I6634" s="28">
        <f t="shared" si="294"/>
        <v>1309.3235999999999</v>
      </c>
      <c r="J6634" s="28">
        <f t="shared" si="295"/>
        <v>1329.6017999999999</v>
      </c>
      <c r="K6634" s="28">
        <f t="shared" si="296"/>
        <v>1365.3037999999999</v>
      </c>
      <c r="L6634" s="4"/>
      <c r="M6634" s="241">
        <v>1309.3235999999999</v>
      </c>
    </row>
    <row r="6635" spans="3:13" hidden="1" outlineLevel="1" x14ac:dyDescent="0.2">
      <c r="C6635" s="139">
        <v>177.69999999999419</v>
      </c>
      <c r="D6635" s="28">
        <f t="shared" si="289"/>
        <v>1421.5999999999535</v>
      </c>
      <c r="E6635" s="28">
        <f t="shared" si="290"/>
        <v>1332.7499999999563</v>
      </c>
      <c r="F6635" s="28">
        <f t="shared" si="291"/>
        <v>1314.7499999999563</v>
      </c>
      <c r="G6635" s="28">
        <f t="shared" si="292"/>
        <v>1235.9953</v>
      </c>
      <c r="H6635" s="28">
        <f t="shared" si="293"/>
        <v>1284.9975999999999</v>
      </c>
      <c r="I6635" s="28">
        <f t="shared" si="294"/>
        <v>1310.3408999999999</v>
      </c>
      <c r="J6635" s="28">
        <f t="shared" si="295"/>
        <v>1330.6365000000001</v>
      </c>
      <c r="K6635" s="28">
        <f t="shared" si="296"/>
        <v>1366.3436999999999</v>
      </c>
      <c r="L6635" s="4"/>
      <c r="M6635" s="241">
        <v>1310.3408999999999</v>
      </c>
    </row>
    <row r="6636" spans="3:13" hidden="1" outlineLevel="1" x14ac:dyDescent="0.2">
      <c r="C6636" s="139">
        <v>177.79999999999418</v>
      </c>
      <c r="D6636" s="28">
        <f t="shared" si="289"/>
        <v>1422.3999999999535</v>
      </c>
      <c r="E6636" s="28">
        <f t="shared" si="290"/>
        <v>1333.4999999999563</v>
      </c>
      <c r="F6636" s="28">
        <f t="shared" si="291"/>
        <v>1315.4999999999563</v>
      </c>
      <c r="G6636" s="28">
        <f t="shared" si="292"/>
        <v>1236.9559999999999</v>
      </c>
      <c r="H6636" s="28">
        <f t="shared" si="293"/>
        <v>1285.9956</v>
      </c>
      <c r="I6636" s="28">
        <f t="shared" si="294"/>
        <v>1311.3580999999999</v>
      </c>
      <c r="J6636" s="28">
        <f t="shared" si="295"/>
        <v>1331.6713</v>
      </c>
      <c r="K6636" s="28">
        <f t="shared" si="296"/>
        <v>1367.4056</v>
      </c>
      <c r="L6636" s="4"/>
      <c r="M6636" s="241">
        <v>1311.3580999999999</v>
      </c>
    </row>
    <row r="6637" spans="3:13" hidden="1" outlineLevel="1" x14ac:dyDescent="0.2">
      <c r="C6637" s="139">
        <v>177.89999999999418</v>
      </c>
      <c r="D6637" s="28">
        <f t="shared" si="289"/>
        <v>1423.1999999999534</v>
      </c>
      <c r="E6637" s="28">
        <f t="shared" si="290"/>
        <v>1334.2499999999563</v>
      </c>
      <c r="F6637" s="28">
        <f t="shared" si="291"/>
        <v>1316.2499999999563</v>
      </c>
      <c r="G6637" s="28">
        <f t="shared" si="292"/>
        <v>1237.9367999999999</v>
      </c>
      <c r="H6637" s="28">
        <f t="shared" si="293"/>
        <v>1286.9936</v>
      </c>
      <c r="I6637" s="28">
        <f t="shared" si="294"/>
        <v>1312.3755000000001</v>
      </c>
      <c r="J6637" s="28">
        <f t="shared" si="295"/>
        <v>1332.6839</v>
      </c>
      <c r="K6637" s="28">
        <f t="shared" si="296"/>
        <v>1368.4454000000001</v>
      </c>
      <c r="L6637" s="4"/>
      <c r="M6637" s="241">
        <v>1312.3755000000001</v>
      </c>
    </row>
    <row r="6638" spans="3:13" hidden="1" outlineLevel="1" x14ac:dyDescent="0.2">
      <c r="C6638" s="139">
        <v>177.99999999999417</v>
      </c>
      <c r="D6638" s="28">
        <f t="shared" si="289"/>
        <v>1423.9999999999534</v>
      </c>
      <c r="E6638" s="28">
        <f t="shared" si="290"/>
        <v>1334.9999999999563</v>
      </c>
      <c r="F6638" s="28">
        <f t="shared" si="291"/>
        <v>1316.9999999999563</v>
      </c>
      <c r="G6638" s="28">
        <f t="shared" si="292"/>
        <v>1237.9367999999999</v>
      </c>
      <c r="H6638" s="28">
        <f t="shared" si="293"/>
        <v>1286.9936</v>
      </c>
      <c r="I6638" s="28">
        <f t="shared" si="294"/>
        <v>1312.3755000000001</v>
      </c>
      <c r="J6638" s="28">
        <f t="shared" si="295"/>
        <v>1332.6839</v>
      </c>
      <c r="K6638" s="28">
        <f t="shared" si="296"/>
        <v>1368.4454000000001</v>
      </c>
      <c r="L6638" s="4"/>
      <c r="M6638" s="241">
        <v>1312.3755000000001</v>
      </c>
    </row>
    <row r="6639" spans="3:13" hidden="1" outlineLevel="1" x14ac:dyDescent="0.2">
      <c r="C6639" s="139">
        <v>178.09999999999417</v>
      </c>
      <c r="D6639" s="28">
        <f t="shared" si="289"/>
        <v>1424.7999999999533</v>
      </c>
      <c r="E6639" s="28">
        <f t="shared" si="290"/>
        <v>1335.7499999999563</v>
      </c>
      <c r="F6639" s="28">
        <f t="shared" si="291"/>
        <v>1317.7499999999563</v>
      </c>
      <c r="G6639" s="28">
        <f t="shared" si="292"/>
        <v>1238.9177</v>
      </c>
      <c r="H6639" s="28">
        <f t="shared" si="293"/>
        <v>1287.9917</v>
      </c>
      <c r="I6639" s="28">
        <f t="shared" si="294"/>
        <v>1313.3928000000001</v>
      </c>
      <c r="J6639" s="28">
        <f t="shared" si="295"/>
        <v>1333.7186999999999</v>
      </c>
      <c r="K6639" s="28">
        <f t="shared" si="296"/>
        <v>1369.5074</v>
      </c>
      <c r="L6639" s="4"/>
      <c r="M6639" s="241">
        <v>1313.3928000000001</v>
      </c>
    </row>
    <row r="6640" spans="3:13" hidden="1" outlineLevel="1" x14ac:dyDescent="0.2">
      <c r="C6640" s="139">
        <v>178.19999999999416</v>
      </c>
      <c r="D6640" s="28">
        <f t="shared" si="289"/>
        <v>1425.5999999999533</v>
      </c>
      <c r="E6640" s="28">
        <f t="shared" si="290"/>
        <v>1336.4999999999561</v>
      </c>
      <c r="F6640" s="28">
        <f t="shared" si="291"/>
        <v>1318.4999999999561</v>
      </c>
      <c r="G6640" s="28">
        <f t="shared" si="292"/>
        <v>1239.8986</v>
      </c>
      <c r="H6640" s="28">
        <f t="shared" si="293"/>
        <v>1288.9898000000001</v>
      </c>
      <c r="I6640" s="28">
        <f t="shared" si="294"/>
        <v>1314.4102</v>
      </c>
      <c r="J6640" s="28">
        <f t="shared" si="295"/>
        <v>1334.7535</v>
      </c>
      <c r="K6640" s="28">
        <f t="shared" si="296"/>
        <v>1370.5472</v>
      </c>
      <c r="L6640" s="4"/>
      <c r="M6640" s="241">
        <v>1314.4102</v>
      </c>
    </row>
    <row r="6641" spans="3:13" hidden="1" outlineLevel="1" x14ac:dyDescent="0.2">
      <c r="C6641" s="139">
        <v>178.29999999999416</v>
      </c>
      <c r="D6641" s="28">
        <f t="shared" si="289"/>
        <v>1426.3999999999533</v>
      </c>
      <c r="E6641" s="28">
        <f t="shared" si="290"/>
        <v>1337.2499999999561</v>
      </c>
      <c r="F6641" s="28">
        <f t="shared" si="291"/>
        <v>1319.2499999999561</v>
      </c>
      <c r="G6641" s="28">
        <f t="shared" si="292"/>
        <v>1240.8595</v>
      </c>
      <c r="H6641" s="28">
        <f t="shared" si="293"/>
        <v>1289.9879000000001</v>
      </c>
      <c r="I6641" s="28">
        <f t="shared" si="294"/>
        <v>1315.4276</v>
      </c>
      <c r="J6641" s="28">
        <f t="shared" si="295"/>
        <v>1335.7662</v>
      </c>
      <c r="K6641" s="28">
        <f t="shared" si="296"/>
        <v>1371.6093000000001</v>
      </c>
      <c r="L6641" s="4"/>
      <c r="M6641" s="241">
        <v>1315.4276</v>
      </c>
    </row>
    <row r="6642" spans="3:13" hidden="1" outlineLevel="1" x14ac:dyDescent="0.2">
      <c r="C6642" s="139">
        <v>178.39999999999415</v>
      </c>
      <c r="D6642" s="28">
        <f t="shared" si="289"/>
        <v>1427.1999999999532</v>
      </c>
      <c r="E6642" s="28">
        <f t="shared" si="290"/>
        <v>1337.9999999999561</v>
      </c>
      <c r="F6642" s="28">
        <f t="shared" si="291"/>
        <v>1319.9999999999561</v>
      </c>
      <c r="G6642" s="28">
        <f t="shared" si="292"/>
        <v>1240.8595</v>
      </c>
      <c r="H6642" s="28">
        <f t="shared" si="293"/>
        <v>1289.9879000000001</v>
      </c>
      <c r="I6642" s="28">
        <f t="shared" si="294"/>
        <v>1315.4276</v>
      </c>
      <c r="J6642" s="28">
        <f t="shared" si="295"/>
        <v>1335.7662</v>
      </c>
      <c r="K6642" s="28">
        <f t="shared" si="296"/>
        <v>1371.6093000000001</v>
      </c>
      <c r="L6642" s="4"/>
      <c r="M6642" s="241">
        <v>1315.4276</v>
      </c>
    </row>
    <row r="6643" spans="3:13" hidden="1" outlineLevel="1" x14ac:dyDescent="0.2">
      <c r="C6643" s="139">
        <v>178.49999999999415</v>
      </c>
      <c r="D6643" s="28">
        <f t="shared" si="289"/>
        <v>1427.9999999999532</v>
      </c>
      <c r="E6643" s="28">
        <f t="shared" si="290"/>
        <v>1338.7499999999561</v>
      </c>
      <c r="F6643" s="28">
        <f t="shared" si="291"/>
        <v>1320.7499999999561</v>
      </c>
      <c r="G6643" s="28">
        <f t="shared" si="292"/>
        <v>1241.8405</v>
      </c>
      <c r="H6643" s="28">
        <f t="shared" si="293"/>
        <v>1291.0062</v>
      </c>
      <c r="I6643" s="28">
        <f t="shared" si="294"/>
        <v>1316.4449999999999</v>
      </c>
      <c r="J6643" s="28">
        <f t="shared" si="295"/>
        <v>1336.8010999999999</v>
      </c>
      <c r="K6643" s="28">
        <f t="shared" si="296"/>
        <v>1372.6491000000001</v>
      </c>
      <c r="L6643" s="4"/>
      <c r="M6643" s="241">
        <v>1316.4449999999999</v>
      </c>
    </row>
    <row r="6644" spans="3:13" hidden="1" outlineLevel="1" x14ac:dyDescent="0.2">
      <c r="C6644" s="139">
        <v>178.59999999999414</v>
      </c>
      <c r="D6644" s="28">
        <f t="shared" si="289"/>
        <v>1428.7999999999531</v>
      </c>
      <c r="E6644" s="28">
        <f t="shared" si="290"/>
        <v>1339.4999999999561</v>
      </c>
      <c r="F6644" s="28">
        <f t="shared" si="291"/>
        <v>1321.4999999999561</v>
      </c>
      <c r="G6644" s="28">
        <f t="shared" si="292"/>
        <v>1242.8216</v>
      </c>
      <c r="H6644" s="28">
        <f t="shared" si="293"/>
        <v>1292.0044</v>
      </c>
      <c r="I6644" s="28">
        <f t="shared" si="294"/>
        <v>1317.4625000000001</v>
      </c>
      <c r="J6644" s="28">
        <f t="shared" si="295"/>
        <v>1337.836</v>
      </c>
      <c r="K6644" s="28">
        <f t="shared" si="296"/>
        <v>1373.7112</v>
      </c>
      <c r="L6644" s="4"/>
      <c r="M6644" s="241">
        <v>1317.4625000000001</v>
      </c>
    </row>
    <row r="6645" spans="3:13" hidden="1" outlineLevel="1" x14ac:dyDescent="0.2">
      <c r="C6645" s="139">
        <v>178.69999999999413</v>
      </c>
      <c r="D6645" s="28">
        <f t="shared" si="289"/>
        <v>1429.5999999999531</v>
      </c>
      <c r="E6645" s="28">
        <f t="shared" si="290"/>
        <v>1340.2499999999559</v>
      </c>
      <c r="F6645" s="28">
        <f t="shared" si="291"/>
        <v>1322.2499999999559</v>
      </c>
      <c r="G6645" s="28">
        <f t="shared" si="292"/>
        <v>1243.7826</v>
      </c>
      <c r="H6645" s="28">
        <f t="shared" si="293"/>
        <v>1293.0026</v>
      </c>
      <c r="I6645" s="28">
        <f t="shared" si="294"/>
        <v>1318.4598000000001</v>
      </c>
      <c r="J6645" s="28">
        <f t="shared" si="295"/>
        <v>1338.8488</v>
      </c>
      <c r="K6645" s="28">
        <f t="shared" si="296"/>
        <v>1374.7511</v>
      </c>
      <c r="L6645" s="4"/>
      <c r="M6645" s="241">
        <v>1318.4598000000001</v>
      </c>
    </row>
    <row r="6646" spans="3:13" hidden="1" outlineLevel="1" x14ac:dyDescent="0.2">
      <c r="C6646" s="139">
        <v>178.79999999999413</v>
      </c>
      <c r="D6646" s="28">
        <f t="shared" si="289"/>
        <v>1430.399999999953</v>
      </c>
      <c r="E6646" s="28">
        <f t="shared" si="290"/>
        <v>1340.9999999999559</v>
      </c>
      <c r="F6646" s="28">
        <f t="shared" si="291"/>
        <v>1322.9999999999559</v>
      </c>
      <c r="G6646" s="28">
        <f t="shared" si="292"/>
        <v>1243.7826</v>
      </c>
      <c r="H6646" s="28">
        <f t="shared" si="293"/>
        <v>1293.0026</v>
      </c>
      <c r="I6646" s="28">
        <f t="shared" si="294"/>
        <v>1318.4598000000001</v>
      </c>
      <c r="J6646" s="28">
        <f t="shared" si="295"/>
        <v>1338.8488</v>
      </c>
      <c r="K6646" s="28">
        <f t="shared" si="296"/>
        <v>1374.7511</v>
      </c>
      <c r="L6646" s="4"/>
      <c r="M6646" s="241">
        <v>1318.4598000000001</v>
      </c>
    </row>
    <row r="6647" spans="3:13" hidden="1" outlineLevel="1" x14ac:dyDescent="0.2">
      <c r="C6647" s="139">
        <v>178.89999999999412</v>
      </c>
      <c r="D6647" s="28">
        <f t="shared" si="289"/>
        <v>1431.199999999953</v>
      </c>
      <c r="E6647" s="28">
        <f t="shared" si="290"/>
        <v>1341.7499999999559</v>
      </c>
      <c r="F6647" s="28">
        <f t="shared" si="291"/>
        <v>1323.7499999999559</v>
      </c>
      <c r="G6647" s="28">
        <f t="shared" si="292"/>
        <v>1244.7637999999999</v>
      </c>
      <c r="H6647" s="28">
        <f t="shared" si="293"/>
        <v>1294.0008</v>
      </c>
      <c r="I6647" s="28">
        <f t="shared" si="294"/>
        <v>1319.4773</v>
      </c>
      <c r="J6647" s="28">
        <f t="shared" si="295"/>
        <v>1339.8837000000001</v>
      </c>
      <c r="K6647" s="28">
        <f t="shared" si="296"/>
        <v>1375.8132000000001</v>
      </c>
      <c r="L6647" s="4"/>
      <c r="M6647" s="241">
        <v>1319.4773</v>
      </c>
    </row>
    <row r="6648" spans="3:13" hidden="1" outlineLevel="1" x14ac:dyDescent="0.2">
      <c r="C6648" s="139">
        <v>178.99999999999412</v>
      </c>
      <c r="D6648" s="28">
        <f t="shared" si="289"/>
        <v>1431.9999999999529</v>
      </c>
      <c r="E6648" s="28">
        <f t="shared" si="290"/>
        <v>1342.4999999999559</v>
      </c>
      <c r="F6648" s="28">
        <f t="shared" si="291"/>
        <v>1324.4999999999559</v>
      </c>
      <c r="G6648" s="28">
        <f t="shared" si="292"/>
        <v>1245.7451000000001</v>
      </c>
      <c r="H6648" s="28">
        <f t="shared" si="293"/>
        <v>1294.9991</v>
      </c>
      <c r="I6648" s="28">
        <f t="shared" si="294"/>
        <v>1320.4947999999999</v>
      </c>
      <c r="J6648" s="28">
        <f t="shared" si="295"/>
        <v>1340.9186999999999</v>
      </c>
      <c r="K6648" s="28">
        <f t="shared" si="296"/>
        <v>1376.8531</v>
      </c>
      <c r="L6648" s="4"/>
      <c r="M6648" s="241">
        <v>1320.4947999999999</v>
      </c>
    </row>
    <row r="6649" spans="3:13" hidden="1" outlineLevel="1" x14ac:dyDescent="0.2">
      <c r="C6649" s="139">
        <v>179.09999999999411</v>
      </c>
      <c r="D6649" s="28">
        <f t="shared" si="289"/>
        <v>1432.7999999999529</v>
      </c>
      <c r="E6649" s="28">
        <f t="shared" si="290"/>
        <v>1343.2499999999559</v>
      </c>
      <c r="F6649" s="28">
        <f t="shared" si="291"/>
        <v>1325.2499999999559</v>
      </c>
      <c r="G6649" s="28">
        <f t="shared" si="292"/>
        <v>1246.7264</v>
      </c>
      <c r="H6649" s="28">
        <f t="shared" si="293"/>
        <v>1295.9974</v>
      </c>
      <c r="I6649" s="28">
        <f t="shared" si="294"/>
        <v>1321.5124000000001</v>
      </c>
      <c r="J6649" s="28">
        <f t="shared" si="295"/>
        <v>1341.9314999999999</v>
      </c>
      <c r="K6649" s="28">
        <f t="shared" si="296"/>
        <v>1377.9152999999999</v>
      </c>
      <c r="L6649" s="4"/>
      <c r="M6649" s="241">
        <v>1321.5124000000001</v>
      </c>
    </row>
    <row r="6650" spans="3:13" hidden="1" outlineLevel="1" x14ac:dyDescent="0.2">
      <c r="C6650" s="139">
        <v>179.19999999999411</v>
      </c>
      <c r="D6650" s="28">
        <f t="shared" si="289"/>
        <v>1433.5999999999528</v>
      </c>
      <c r="E6650" s="28">
        <f t="shared" si="290"/>
        <v>1343.9999999999559</v>
      </c>
      <c r="F6650" s="28">
        <f t="shared" si="291"/>
        <v>1325.9999999999559</v>
      </c>
      <c r="G6650" s="28">
        <f t="shared" si="292"/>
        <v>1246.7264</v>
      </c>
      <c r="H6650" s="28">
        <f t="shared" si="293"/>
        <v>1295.9974</v>
      </c>
      <c r="I6650" s="28">
        <f t="shared" si="294"/>
        <v>1321.5124000000001</v>
      </c>
      <c r="J6650" s="28">
        <f t="shared" si="295"/>
        <v>1341.9314999999999</v>
      </c>
      <c r="K6650" s="28">
        <f t="shared" si="296"/>
        <v>1377.9152999999999</v>
      </c>
      <c r="L6650" s="4"/>
      <c r="M6650" s="241">
        <v>1321.5124000000001</v>
      </c>
    </row>
    <row r="6651" spans="3:13" hidden="1" outlineLevel="1" x14ac:dyDescent="0.2">
      <c r="C6651" s="139">
        <v>179.2999999999941</v>
      </c>
      <c r="D6651" s="28">
        <f t="shared" ref="D6651:D6714" si="297">C6651*Channels.per.TRX</f>
        <v>1434.3999999999528</v>
      </c>
      <c r="E6651" s="28">
        <f t="shared" ref="E6651:E6714" si="298">D6651-C6651*sig.channel.per.TRX</f>
        <v>1344.7499999999557</v>
      </c>
      <c r="F6651" s="28">
        <f t="shared" ref="F6651:F6714" si="299">MAX(0,E6651-GPRS.channel.per.sector)</f>
        <v>1326.7499999999557</v>
      </c>
      <c r="G6651" s="28">
        <f t="shared" ref="G6651:G6714" si="300">INDEX(D$10:D$4326,MATCH($F6651,$C$10:$C$4326,1))</f>
        <v>1247.6876</v>
      </c>
      <c r="H6651" s="28">
        <f t="shared" ref="H6651:H6714" si="301">INDEX(E$10:E$4326,MATCH($F6651,$C$10:$C$4326,1))</f>
        <v>1296.9957999999999</v>
      </c>
      <c r="I6651" s="28">
        <f t="shared" ref="I6651:I6714" si="302">INDEX(F$10:F$4326,MATCH($F6651,$C$10:$C$4326,1))</f>
        <v>1322.53</v>
      </c>
      <c r="J6651" s="28">
        <f t="shared" ref="J6651:J6714" si="303">INDEX(G$10:G$4326,MATCH($F6651,$C$10:$C$4326,1))</f>
        <v>1342.9665</v>
      </c>
      <c r="K6651" s="28">
        <f t="shared" ref="K6651:K6714" si="304">INDEX(H$10:H$4326,MATCH($F6651,$C$10:$C$4326,1))</f>
        <v>1378.9552000000001</v>
      </c>
      <c r="L6651" s="4"/>
      <c r="M6651" s="241">
        <v>1322.53</v>
      </c>
    </row>
    <row r="6652" spans="3:13" hidden="1" outlineLevel="1" x14ac:dyDescent="0.2">
      <c r="C6652" s="139">
        <v>179.39999999999409</v>
      </c>
      <c r="D6652" s="28">
        <f t="shared" si="297"/>
        <v>1435.1999999999528</v>
      </c>
      <c r="E6652" s="28">
        <f t="shared" si="298"/>
        <v>1345.4999999999557</v>
      </c>
      <c r="F6652" s="28">
        <f t="shared" si="299"/>
        <v>1327.4999999999557</v>
      </c>
      <c r="G6652" s="28">
        <f t="shared" si="300"/>
        <v>1248.6690000000001</v>
      </c>
      <c r="H6652" s="28">
        <f t="shared" si="301"/>
        <v>1297.9940999999999</v>
      </c>
      <c r="I6652" s="28">
        <f t="shared" si="302"/>
        <v>1323.5476000000001</v>
      </c>
      <c r="J6652" s="28">
        <f t="shared" si="303"/>
        <v>1344.0016000000001</v>
      </c>
      <c r="K6652" s="28">
        <f t="shared" si="304"/>
        <v>1380.0174</v>
      </c>
      <c r="L6652" s="4"/>
      <c r="M6652" s="241">
        <v>1323.5476000000001</v>
      </c>
    </row>
    <row r="6653" spans="3:13" hidden="1" outlineLevel="1" x14ac:dyDescent="0.2">
      <c r="C6653" s="139">
        <v>179.49999999999409</v>
      </c>
      <c r="D6653" s="28">
        <f t="shared" si="297"/>
        <v>1435.9999999999527</v>
      </c>
      <c r="E6653" s="28">
        <f t="shared" si="298"/>
        <v>1346.2499999999557</v>
      </c>
      <c r="F6653" s="28">
        <f t="shared" si="299"/>
        <v>1328.2499999999557</v>
      </c>
      <c r="G6653" s="28">
        <f t="shared" si="300"/>
        <v>1249.6505</v>
      </c>
      <c r="H6653" s="28">
        <f t="shared" si="301"/>
        <v>1298.9926</v>
      </c>
      <c r="I6653" s="28">
        <f t="shared" si="302"/>
        <v>1324.5653</v>
      </c>
      <c r="J6653" s="28">
        <f t="shared" si="303"/>
        <v>1345.0144</v>
      </c>
      <c r="K6653" s="28">
        <f t="shared" si="304"/>
        <v>1381.0573999999999</v>
      </c>
      <c r="L6653" s="4"/>
      <c r="M6653" s="241">
        <v>1324.5653</v>
      </c>
    </row>
    <row r="6654" spans="3:13" hidden="1" outlineLevel="1" x14ac:dyDescent="0.2">
      <c r="C6654" s="139">
        <v>179.59999999999408</v>
      </c>
      <c r="D6654" s="28">
        <f t="shared" si="297"/>
        <v>1436.7999999999527</v>
      </c>
      <c r="E6654" s="28">
        <f t="shared" si="298"/>
        <v>1346.9999999999557</v>
      </c>
      <c r="F6654" s="28">
        <f t="shared" si="299"/>
        <v>1328.9999999999557</v>
      </c>
      <c r="G6654" s="28">
        <f t="shared" si="300"/>
        <v>1249.6505</v>
      </c>
      <c r="H6654" s="28">
        <f t="shared" si="301"/>
        <v>1298.9926</v>
      </c>
      <c r="I6654" s="28">
        <f t="shared" si="302"/>
        <v>1324.5653</v>
      </c>
      <c r="J6654" s="28">
        <f t="shared" si="303"/>
        <v>1345.0144</v>
      </c>
      <c r="K6654" s="28">
        <f t="shared" si="304"/>
        <v>1381.0573999999999</v>
      </c>
      <c r="L6654" s="4"/>
      <c r="M6654" s="241">
        <v>1324.5653</v>
      </c>
    </row>
    <row r="6655" spans="3:13" hidden="1" outlineLevel="1" x14ac:dyDescent="0.2">
      <c r="C6655" s="139">
        <v>179.69999999999408</v>
      </c>
      <c r="D6655" s="28">
        <f t="shared" si="297"/>
        <v>1437.5999999999526</v>
      </c>
      <c r="E6655" s="28">
        <f t="shared" si="298"/>
        <v>1347.7499999999557</v>
      </c>
      <c r="F6655" s="28">
        <f t="shared" si="299"/>
        <v>1329.7499999999557</v>
      </c>
      <c r="G6655" s="28">
        <f t="shared" si="300"/>
        <v>1250.6321</v>
      </c>
      <c r="H6655" s="28">
        <f t="shared" si="301"/>
        <v>1300.0112999999999</v>
      </c>
      <c r="I6655" s="28">
        <f t="shared" si="302"/>
        <v>1325.5830000000001</v>
      </c>
      <c r="J6655" s="28">
        <f t="shared" si="303"/>
        <v>1346.0495000000001</v>
      </c>
      <c r="K6655" s="28">
        <f t="shared" si="304"/>
        <v>1382.1196</v>
      </c>
      <c r="L6655" s="4"/>
      <c r="M6655" s="241">
        <v>1325.5830000000001</v>
      </c>
    </row>
    <row r="6656" spans="3:13" hidden="1" outlineLevel="1" x14ac:dyDescent="0.2">
      <c r="C6656" s="139">
        <v>179.79999999999407</v>
      </c>
      <c r="D6656" s="28">
        <f t="shared" si="297"/>
        <v>1438.3999999999526</v>
      </c>
      <c r="E6656" s="28">
        <f t="shared" si="298"/>
        <v>1348.4999999999554</v>
      </c>
      <c r="F6656" s="28">
        <f t="shared" si="299"/>
        <v>1330.4999999999554</v>
      </c>
      <c r="G6656" s="28">
        <f t="shared" si="300"/>
        <v>1251.5934</v>
      </c>
      <c r="H6656" s="28">
        <f t="shared" si="301"/>
        <v>1301.0098</v>
      </c>
      <c r="I6656" s="28">
        <f t="shared" si="302"/>
        <v>1326.5804000000001</v>
      </c>
      <c r="J6656" s="28">
        <f t="shared" si="303"/>
        <v>1347.0847000000001</v>
      </c>
      <c r="K6656" s="28">
        <f t="shared" si="304"/>
        <v>1383.1596</v>
      </c>
      <c r="L6656" s="4"/>
      <c r="M6656" s="241">
        <v>1326.5804000000001</v>
      </c>
    </row>
    <row r="6657" spans="3:13" hidden="1" outlineLevel="1" x14ac:dyDescent="0.2">
      <c r="C6657" s="139">
        <v>179.89999999999407</v>
      </c>
      <c r="D6657" s="28">
        <f t="shared" si="297"/>
        <v>1439.1999999999525</v>
      </c>
      <c r="E6657" s="28">
        <f t="shared" si="298"/>
        <v>1349.2499999999554</v>
      </c>
      <c r="F6657" s="28">
        <f t="shared" si="299"/>
        <v>1331.2499999999554</v>
      </c>
      <c r="G6657" s="28">
        <f t="shared" si="300"/>
        <v>1252.5751</v>
      </c>
      <c r="H6657" s="28">
        <f t="shared" si="301"/>
        <v>1302.0083</v>
      </c>
      <c r="I6657" s="28">
        <f t="shared" si="302"/>
        <v>1327.5981999999999</v>
      </c>
      <c r="J6657" s="28">
        <f t="shared" si="303"/>
        <v>1348.0975000000001</v>
      </c>
      <c r="K6657" s="28">
        <f t="shared" si="304"/>
        <v>1384.2219</v>
      </c>
      <c r="L6657" s="4"/>
      <c r="M6657" s="241">
        <v>1327.5981999999999</v>
      </c>
    </row>
    <row r="6658" spans="3:13" hidden="1" outlineLevel="1" x14ac:dyDescent="0.2">
      <c r="C6658" s="139">
        <v>179.99999999999406</v>
      </c>
      <c r="D6658" s="28">
        <f t="shared" si="297"/>
        <v>1439.9999999999525</v>
      </c>
      <c r="E6658" s="28">
        <f t="shared" si="298"/>
        <v>1349.9999999999554</v>
      </c>
      <c r="F6658" s="28">
        <f t="shared" si="299"/>
        <v>1331.9999999999554</v>
      </c>
      <c r="G6658" s="28">
        <f t="shared" si="300"/>
        <v>1252.5751</v>
      </c>
      <c r="H6658" s="28">
        <f t="shared" si="301"/>
        <v>1302.0083</v>
      </c>
      <c r="I6658" s="28">
        <f t="shared" si="302"/>
        <v>1327.5981999999999</v>
      </c>
      <c r="J6658" s="28">
        <f t="shared" si="303"/>
        <v>1348.0975000000001</v>
      </c>
      <c r="K6658" s="28">
        <f t="shared" si="304"/>
        <v>1384.2219</v>
      </c>
      <c r="L6658" s="4"/>
      <c r="M6658" s="241">
        <v>1327.5981999999999</v>
      </c>
    </row>
    <row r="6659" spans="3:13" hidden="1" outlineLevel="1" x14ac:dyDescent="0.2">
      <c r="C6659" s="139">
        <v>180.09999999999405</v>
      </c>
      <c r="D6659" s="28">
        <f t="shared" si="297"/>
        <v>1440.7999999999524</v>
      </c>
      <c r="E6659" s="28">
        <f t="shared" si="298"/>
        <v>1350.7499999999554</v>
      </c>
      <c r="F6659" s="28">
        <f t="shared" si="299"/>
        <v>1332.7499999999554</v>
      </c>
      <c r="G6659" s="28">
        <f t="shared" si="300"/>
        <v>1253.5568000000001</v>
      </c>
      <c r="H6659" s="28">
        <f t="shared" si="301"/>
        <v>1303.0068000000001</v>
      </c>
      <c r="I6659" s="28">
        <f t="shared" si="302"/>
        <v>1328.6159</v>
      </c>
      <c r="J6659" s="28">
        <f t="shared" si="303"/>
        <v>1349.1327000000001</v>
      </c>
      <c r="K6659" s="28">
        <f t="shared" si="304"/>
        <v>1385.2619</v>
      </c>
      <c r="L6659" s="4"/>
      <c r="M6659" s="241">
        <v>1328.6159</v>
      </c>
    </row>
    <row r="6660" spans="3:13" hidden="1" outlineLevel="1" x14ac:dyDescent="0.2">
      <c r="C6660" s="139">
        <v>180.19999999999405</v>
      </c>
      <c r="D6660" s="28">
        <f t="shared" si="297"/>
        <v>1441.5999999999524</v>
      </c>
      <c r="E6660" s="28">
        <f t="shared" si="298"/>
        <v>1351.4999999999554</v>
      </c>
      <c r="F6660" s="28">
        <f t="shared" si="299"/>
        <v>1333.4999999999554</v>
      </c>
      <c r="G6660" s="28">
        <f t="shared" si="300"/>
        <v>1254.5182</v>
      </c>
      <c r="H6660" s="28">
        <f t="shared" si="301"/>
        <v>1304.0054</v>
      </c>
      <c r="I6660" s="28">
        <f t="shared" si="302"/>
        <v>1329.6337000000001</v>
      </c>
      <c r="J6660" s="28">
        <f t="shared" si="303"/>
        <v>1350.1678999999999</v>
      </c>
      <c r="K6660" s="28">
        <f t="shared" si="304"/>
        <v>1386.3243</v>
      </c>
      <c r="L6660" s="4"/>
      <c r="M6660" s="241">
        <v>1329.6337000000001</v>
      </c>
    </row>
    <row r="6661" spans="3:13" hidden="1" outlineLevel="1" x14ac:dyDescent="0.2">
      <c r="C6661" s="139">
        <v>180.29999999999404</v>
      </c>
      <c r="D6661" s="28">
        <f t="shared" si="297"/>
        <v>1442.3999999999523</v>
      </c>
      <c r="E6661" s="28">
        <f t="shared" si="298"/>
        <v>1352.2499999999554</v>
      </c>
      <c r="F6661" s="28">
        <f t="shared" si="299"/>
        <v>1334.2499999999554</v>
      </c>
      <c r="G6661" s="28">
        <f t="shared" si="300"/>
        <v>1255.5001</v>
      </c>
      <c r="H6661" s="28">
        <f t="shared" si="301"/>
        <v>1305.0039999999999</v>
      </c>
      <c r="I6661" s="28">
        <f t="shared" si="302"/>
        <v>1330.6515999999999</v>
      </c>
      <c r="J6661" s="28">
        <f t="shared" si="303"/>
        <v>1351.1808000000001</v>
      </c>
      <c r="K6661" s="28">
        <f t="shared" si="304"/>
        <v>1387.3643</v>
      </c>
      <c r="L6661" s="4"/>
      <c r="M6661" s="241">
        <v>1330.6515999999999</v>
      </c>
    </row>
    <row r="6662" spans="3:13" hidden="1" outlineLevel="1" x14ac:dyDescent="0.2">
      <c r="C6662" s="139">
        <v>180.39999999999404</v>
      </c>
      <c r="D6662" s="28">
        <f t="shared" si="297"/>
        <v>1443.1999999999523</v>
      </c>
      <c r="E6662" s="28">
        <f t="shared" si="298"/>
        <v>1352.9999999999552</v>
      </c>
      <c r="F6662" s="28">
        <f t="shared" si="299"/>
        <v>1334.9999999999552</v>
      </c>
      <c r="G6662" s="28">
        <f t="shared" si="300"/>
        <v>1255.5001</v>
      </c>
      <c r="H6662" s="28">
        <f t="shared" si="301"/>
        <v>1305.0039999999999</v>
      </c>
      <c r="I6662" s="28">
        <f t="shared" si="302"/>
        <v>1330.6515999999999</v>
      </c>
      <c r="J6662" s="28">
        <f t="shared" si="303"/>
        <v>1351.1808000000001</v>
      </c>
      <c r="K6662" s="28">
        <f t="shared" si="304"/>
        <v>1387.3643</v>
      </c>
      <c r="L6662" s="4"/>
      <c r="M6662" s="241">
        <v>1330.6515999999999</v>
      </c>
    </row>
    <row r="6663" spans="3:13" hidden="1" outlineLevel="1" x14ac:dyDescent="0.2">
      <c r="C6663" s="139">
        <v>180.49999999999403</v>
      </c>
      <c r="D6663" s="28">
        <f t="shared" si="297"/>
        <v>1443.9999999999523</v>
      </c>
      <c r="E6663" s="28">
        <f t="shared" si="298"/>
        <v>1353.7499999999552</v>
      </c>
      <c r="F6663" s="28">
        <f t="shared" si="299"/>
        <v>1335.7499999999552</v>
      </c>
      <c r="G6663" s="28">
        <f t="shared" si="300"/>
        <v>1256.482</v>
      </c>
      <c r="H6663" s="28">
        <f t="shared" si="301"/>
        <v>1306.0026</v>
      </c>
      <c r="I6663" s="28">
        <f t="shared" si="302"/>
        <v>1331.6694</v>
      </c>
      <c r="J6663" s="28">
        <f t="shared" si="303"/>
        <v>1352.2161000000001</v>
      </c>
      <c r="K6663" s="28">
        <f t="shared" si="304"/>
        <v>1388.4267</v>
      </c>
      <c r="L6663" s="4"/>
      <c r="M6663" s="241">
        <v>1331.6694</v>
      </c>
    </row>
    <row r="6664" spans="3:13" hidden="1" outlineLevel="1" x14ac:dyDescent="0.2">
      <c r="C6664" s="139">
        <v>180.59999999999403</v>
      </c>
      <c r="D6664" s="28">
        <f t="shared" si="297"/>
        <v>1444.7999999999522</v>
      </c>
      <c r="E6664" s="28">
        <f t="shared" si="298"/>
        <v>1354.4999999999552</v>
      </c>
      <c r="F6664" s="28">
        <f t="shared" si="299"/>
        <v>1336.4999999999552</v>
      </c>
      <c r="G6664" s="28">
        <f t="shared" si="300"/>
        <v>1257.4435000000001</v>
      </c>
      <c r="H6664" s="28">
        <f t="shared" si="301"/>
        <v>1307.0012999999999</v>
      </c>
      <c r="I6664" s="28">
        <f t="shared" si="302"/>
        <v>1332.6873000000001</v>
      </c>
      <c r="J6664" s="28">
        <f t="shared" si="303"/>
        <v>1353.2514000000001</v>
      </c>
      <c r="K6664" s="28">
        <f t="shared" si="304"/>
        <v>1389.4666999999999</v>
      </c>
      <c r="L6664" s="4"/>
      <c r="M6664" s="241">
        <v>1332.6873000000001</v>
      </c>
    </row>
    <row r="6665" spans="3:13" hidden="1" outlineLevel="1" x14ac:dyDescent="0.2">
      <c r="C6665" s="139">
        <v>180.69999999999402</v>
      </c>
      <c r="D6665" s="28">
        <f t="shared" si="297"/>
        <v>1445.5999999999522</v>
      </c>
      <c r="E6665" s="28">
        <f t="shared" si="298"/>
        <v>1355.2499999999552</v>
      </c>
      <c r="F6665" s="28">
        <f t="shared" si="299"/>
        <v>1337.2499999999552</v>
      </c>
      <c r="G6665" s="28">
        <f t="shared" si="300"/>
        <v>1258.4255000000001</v>
      </c>
      <c r="H6665" s="28">
        <f t="shared" si="301"/>
        <v>1308</v>
      </c>
      <c r="I6665" s="28">
        <f t="shared" si="302"/>
        <v>1333.7052000000001</v>
      </c>
      <c r="J6665" s="28">
        <f t="shared" si="303"/>
        <v>1354.2643</v>
      </c>
      <c r="K6665" s="28">
        <f t="shared" si="304"/>
        <v>1390.5291999999999</v>
      </c>
      <c r="L6665" s="4"/>
      <c r="M6665" s="241">
        <v>1333.7052000000001</v>
      </c>
    </row>
    <row r="6666" spans="3:13" hidden="1" outlineLevel="1" x14ac:dyDescent="0.2">
      <c r="C6666" s="139">
        <v>180.79999999999401</v>
      </c>
      <c r="D6666" s="28">
        <f t="shared" si="297"/>
        <v>1446.3999999999521</v>
      </c>
      <c r="E6666" s="28">
        <f t="shared" si="298"/>
        <v>1355.9999999999552</v>
      </c>
      <c r="F6666" s="28">
        <f t="shared" si="299"/>
        <v>1337.9999999999552</v>
      </c>
      <c r="G6666" s="28">
        <f t="shared" si="300"/>
        <v>1258.4255000000001</v>
      </c>
      <c r="H6666" s="28">
        <f t="shared" si="301"/>
        <v>1308</v>
      </c>
      <c r="I6666" s="28">
        <f t="shared" si="302"/>
        <v>1333.7052000000001</v>
      </c>
      <c r="J6666" s="28">
        <f t="shared" si="303"/>
        <v>1354.2643</v>
      </c>
      <c r="K6666" s="28">
        <f t="shared" si="304"/>
        <v>1390.5291999999999</v>
      </c>
      <c r="L6666" s="4"/>
      <c r="M6666" s="241">
        <v>1333.7052000000001</v>
      </c>
    </row>
    <row r="6667" spans="3:13" hidden="1" outlineLevel="1" x14ac:dyDescent="0.2">
      <c r="C6667" s="139">
        <v>180.89999999999401</v>
      </c>
      <c r="D6667" s="28">
        <f t="shared" si="297"/>
        <v>1447.1999999999521</v>
      </c>
      <c r="E6667" s="28">
        <f t="shared" si="298"/>
        <v>1356.749999999955</v>
      </c>
      <c r="F6667" s="28">
        <f t="shared" si="299"/>
        <v>1338.749999999955</v>
      </c>
      <c r="G6667" s="28">
        <f t="shared" si="300"/>
        <v>1259.4076</v>
      </c>
      <c r="H6667" s="28">
        <f t="shared" si="301"/>
        <v>1308.9987000000001</v>
      </c>
      <c r="I6667" s="28">
        <f t="shared" si="302"/>
        <v>1334.7028</v>
      </c>
      <c r="J6667" s="28">
        <f t="shared" si="303"/>
        <v>1355.2997</v>
      </c>
      <c r="K6667" s="28">
        <f t="shared" si="304"/>
        <v>1391.5691999999999</v>
      </c>
      <c r="L6667" s="4"/>
      <c r="M6667" s="241">
        <v>1334.7028</v>
      </c>
    </row>
    <row r="6668" spans="3:13" hidden="1" outlineLevel="1" x14ac:dyDescent="0.2">
      <c r="C6668" s="139">
        <v>180.999999999994</v>
      </c>
      <c r="D6668" s="28">
        <f t="shared" si="297"/>
        <v>1447.999999999952</v>
      </c>
      <c r="E6668" s="28">
        <f t="shared" si="298"/>
        <v>1357.499999999955</v>
      </c>
      <c r="F6668" s="28">
        <f t="shared" si="299"/>
        <v>1339.499999999955</v>
      </c>
      <c r="G6668" s="28">
        <f t="shared" si="300"/>
        <v>1260.3896999999999</v>
      </c>
      <c r="H6668" s="28">
        <f t="shared" si="301"/>
        <v>1310.0179000000001</v>
      </c>
      <c r="I6668" s="28">
        <f t="shared" si="302"/>
        <v>1335.7207000000001</v>
      </c>
      <c r="J6668" s="28">
        <f t="shared" si="303"/>
        <v>1356.3351</v>
      </c>
      <c r="K6668" s="28">
        <f t="shared" si="304"/>
        <v>1392.6316999999999</v>
      </c>
      <c r="L6668" s="4"/>
      <c r="M6668" s="241">
        <v>1335.7207000000001</v>
      </c>
    </row>
    <row r="6669" spans="3:13" hidden="1" outlineLevel="1" x14ac:dyDescent="0.2">
      <c r="C6669" s="139">
        <v>181.099999999994</v>
      </c>
      <c r="D6669" s="28">
        <f t="shared" si="297"/>
        <v>1448.799999999952</v>
      </c>
      <c r="E6669" s="28">
        <f t="shared" si="298"/>
        <v>1358.249999999955</v>
      </c>
      <c r="F6669" s="28">
        <f t="shared" si="299"/>
        <v>1340.249999999955</v>
      </c>
      <c r="G6669" s="28">
        <f t="shared" si="300"/>
        <v>1261.3515</v>
      </c>
      <c r="H6669" s="28">
        <f t="shared" si="301"/>
        <v>1311.0166999999999</v>
      </c>
      <c r="I6669" s="28">
        <f t="shared" si="302"/>
        <v>1336.7387000000001</v>
      </c>
      <c r="J6669" s="28">
        <f t="shared" si="303"/>
        <v>1357.3480999999999</v>
      </c>
      <c r="K6669" s="28">
        <f t="shared" si="304"/>
        <v>1393.6718000000001</v>
      </c>
      <c r="L6669" s="4"/>
      <c r="M6669" s="241">
        <v>1336.7387000000001</v>
      </c>
    </row>
    <row r="6670" spans="3:13" hidden="1" outlineLevel="1" x14ac:dyDescent="0.2">
      <c r="C6670" s="139">
        <v>181.19999999999399</v>
      </c>
      <c r="D6670" s="28">
        <f t="shared" si="297"/>
        <v>1449.5999999999519</v>
      </c>
      <c r="E6670" s="28">
        <f t="shared" si="298"/>
        <v>1358.999999999955</v>
      </c>
      <c r="F6670" s="28">
        <f t="shared" si="299"/>
        <v>1340.999999999955</v>
      </c>
      <c r="G6670" s="28">
        <f t="shared" si="300"/>
        <v>1261.3515</v>
      </c>
      <c r="H6670" s="28">
        <f t="shared" si="301"/>
        <v>1311.0166999999999</v>
      </c>
      <c r="I6670" s="28">
        <f t="shared" si="302"/>
        <v>1336.7387000000001</v>
      </c>
      <c r="J6670" s="28">
        <f t="shared" si="303"/>
        <v>1357.3480999999999</v>
      </c>
      <c r="K6670" s="28">
        <f t="shared" si="304"/>
        <v>1393.6718000000001</v>
      </c>
      <c r="L6670" s="4"/>
      <c r="M6670" s="241">
        <v>1336.7387000000001</v>
      </c>
    </row>
    <row r="6671" spans="3:13" hidden="1" outlineLevel="1" x14ac:dyDescent="0.2">
      <c r="C6671" s="139">
        <v>181.29999999999399</v>
      </c>
      <c r="D6671" s="28">
        <f t="shared" si="297"/>
        <v>1450.3999999999519</v>
      </c>
      <c r="E6671" s="28">
        <f t="shared" si="298"/>
        <v>1359.749999999955</v>
      </c>
      <c r="F6671" s="28">
        <f t="shared" si="299"/>
        <v>1341.749999999955</v>
      </c>
      <c r="G6671" s="28">
        <f t="shared" si="300"/>
        <v>1262.3336999999999</v>
      </c>
      <c r="H6671" s="28">
        <f t="shared" si="301"/>
        <v>1312.0155</v>
      </c>
      <c r="I6671" s="28">
        <f t="shared" si="302"/>
        <v>1337.7568000000001</v>
      </c>
      <c r="J6671" s="28">
        <f t="shared" si="303"/>
        <v>1358.3834999999999</v>
      </c>
      <c r="K6671" s="28">
        <f t="shared" si="304"/>
        <v>1394.7343000000001</v>
      </c>
      <c r="L6671" s="4"/>
      <c r="M6671" s="241">
        <v>1337.7568000000001</v>
      </c>
    </row>
    <row r="6672" spans="3:13" hidden="1" outlineLevel="1" x14ac:dyDescent="0.2">
      <c r="C6672" s="139">
        <v>181.39999999999398</v>
      </c>
      <c r="D6672" s="28">
        <f t="shared" si="297"/>
        <v>1451.1999999999518</v>
      </c>
      <c r="E6672" s="28">
        <f t="shared" si="298"/>
        <v>1360.4999999999548</v>
      </c>
      <c r="F6672" s="28">
        <f t="shared" si="299"/>
        <v>1342.4999999999548</v>
      </c>
      <c r="G6672" s="28">
        <f t="shared" si="300"/>
        <v>1263.316</v>
      </c>
      <c r="H6672" s="28">
        <f t="shared" si="301"/>
        <v>1313.0144</v>
      </c>
      <c r="I6672" s="28">
        <f t="shared" si="302"/>
        <v>1338.7747999999999</v>
      </c>
      <c r="J6672" s="28">
        <f t="shared" si="303"/>
        <v>1359.4190000000001</v>
      </c>
      <c r="K6672" s="28">
        <f t="shared" si="304"/>
        <v>1395.7744</v>
      </c>
      <c r="L6672" s="4"/>
      <c r="M6672" s="241">
        <v>1338.7747999999999</v>
      </c>
    </row>
    <row r="6673" spans="3:13" hidden="1" outlineLevel="1" x14ac:dyDescent="0.2">
      <c r="C6673" s="139">
        <v>181.49999999999397</v>
      </c>
      <c r="D6673" s="28">
        <f t="shared" si="297"/>
        <v>1451.9999999999518</v>
      </c>
      <c r="E6673" s="28">
        <f t="shared" si="298"/>
        <v>1361.2499999999548</v>
      </c>
      <c r="F6673" s="28">
        <f t="shared" si="299"/>
        <v>1343.2499999999548</v>
      </c>
      <c r="G6673" s="28">
        <f t="shared" si="300"/>
        <v>1264.2779</v>
      </c>
      <c r="H6673" s="28">
        <f t="shared" si="301"/>
        <v>1314.0133000000001</v>
      </c>
      <c r="I6673" s="28">
        <f t="shared" si="302"/>
        <v>1339.7928999999999</v>
      </c>
      <c r="J6673" s="28">
        <f t="shared" si="303"/>
        <v>1360.432</v>
      </c>
      <c r="K6673" s="28">
        <f t="shared" si="304"/>
        <v>1396.837</v>
      </c>
      <c r="L6673" s="4"/>
      <c r="M6673" s="241">
        <v>1339.7928999999999</v>
      </c>
    </row>
    <row r="6674" spans="3:13" hidden="1" outlineLevel="1" x14ac:dyDescent="0.2">
      <c r="C6674" s="139">
        <v>181.59999999999397</v>
      </c>
      <c r="D6674" s="28">
        <f t="shared" si="297"/>
        <v>1452.7999999999518</v>
      </c>
      <c r="E6674" s="28">
        <f t="shared" si="298"/>
        <v>1361.9999999999548</v>
      </c>
      <c r="F6674" s="28">
        <f t="shared" si="299"/>
        <v>1343.9999999999548</v>
      </c>
      <c r="G6674" s="28">
        <f t="shared" si="300"/>
        <v>1264.2779</v>
      </c>
      <c r="H6674" s="28">
        <f t="shared" si="301"/>
        <v>1314.0133000000001</v>
      </c>
      <c r="I6674" s="28">
        <f t="shared" si="302"/>
        <v>1339.7928999999999</v>
      </c>
      <c r="J6674" s="28">
        <f t="shared" si="303"/>
        <v>1360.432</v>
      </c>
      <c r="K6674" s="28">
        <f t="shared" si="304"/>
        <v>1396.837</v>
      </c>
      <c r="L6674" s="4"/>
      <c r="M6674" s="241">
        <v>1339.7928999999999</v>
      </c>
    </row>
    <row r="6675" spans="3:13" hidden="1" outlineLevel="1" x14ac:dyDescent="0.2">
      <c r="C6675" s="139">
        <v>181.69999999999396</v>
      </c>
      <c r="D6675" s="28">
        <f t="shared" si="297"/>
        <v>1453.5999999999517</v>
      </c>
      <c r="E6675" s="28">
        <f t="shared" si="298"/>
        <v>1362.7499999999548</v>
      </c>
      <c r="F6675" s="28">
        <f t="shared" si="299"/>
        <v>1344.7499999999548</v>
      </c>
      <c r="G6675" s="28">
        <f t="shared" si="300"/>
        <v>1265.2602999999999</v>
      </c>
      <c r="H6675" s="28">
        <f t="shared" si="301"/>
        <v>1315.0121999999999</v>
      </c>
      <c r="I6675" s="28">
        <f t="shared" si="302"/>
        <v>1340.8109999999999</v>
      </c>
      <c r="J6675" s="28">
        <f t="shared" si="303"/>
        <v>1361.4675</v>
      </c>
      <c r="K6675" s="28">
        <f t="shared" si="304"/>
        <v>1397.8770999999999</v>
      </c>
      <c r="L6675" s="4"/>
      <c r="M6675" s="241">
        <v>1340.8109999999999</v>
      </c>
    </row>
    <row r="6676" spans="3:13" hidden="1" outlineLevel="1" x14ac:dyDescent="0.2">
      <c r="C6676" s="139">
        <v>181.79999999999396</v>
      </c>
      <c r="D6676" s="28">
        <f t="shared" si="297"/>
        <v>1454.3999999999517</v>
      </c>
      <c r="E6676" s="28">
        <f t="shared" si="298"/>
        <v>1363.4999999999548</v>
      </c>
      <c r="F6676" s="28">
        <f t="shared" si="299"/>
        <v>1345.4999999999548</v>
      </c>
      <c r="G6676" s="28">
        <f t="shared" si="300"/>
        <v>1266.2427</v>
      </c>
      <c r="H6676" s="28">
        <f t="shared" si="301"/>
        <v>1316.0111999999999</v>
      </c>
      <c r="I6676" s="28">
        <f t="shared" si="302"/>
        <v>1341.8087</v>
      </c>
      <c r="J6676" s="28">
        <f t="shared" si="303"/>
        <v>1362.5030999999999</v>
      </c>
      <c r="K6676" s="28">
        <f t="shared" si="304"/>
        <v>1398.9398000000001</v>
      </c>
      <c r="L6676" s="4"/>
      <c r="M6676" s="241">
        <v>1341.8087</v>
      </c>
    </row>
    <row r="6677" spans="3:13" hidden="1" outlineLevel="1" x14ac:dyDescent="0.2">
      <c r="C6677" s="139">
        <v>181.89999999999395</v>
      </c>
      <c r="D6677" s="28">
        <f t="shared" si="297"/>
        <v>1455.1999999999516</v>
      </c>
      <c r="E6677" s="28">
        <f t="shared" si="298"/>
        <v>1364.2499999999545</v>
      </c>
      <c r="F6677" s="28">
        <f t="shared" si="299"/>
        <v>1346.2499999999545</v>
      </c>
      <c r="G6677" s="28">
        <f t="shared" si="300"/>
        <v>1267.2047</v>
      </c>
      <c r="H6677" s="28">
        <f t="shared" si="301"/>
        <v>1317.0101</v>
      </c>
      <c r="I6677" s="28">
        <f t="shared" si="302"/>
        <v>1342.8268</v>
      </c>
      <c r="J6677" s="28">
        <f t="shared" si="303"/>
        <v>1363.5161000000001</v>
      </c>
      <c r="K6677" s="28">
        <f t="shared" si="304"/>
        <v>1399.9799</v>
      </c>
      <c r="L6677" s="4"/>
      <c r="M6677" s="241">
        <v>1342.8268</v>
      </c>
    </row>
    <row r="6678" spans="3:13" hidden="1" outlineLevel="1" x14ac:dyDescent="0.2">
      <c r="C6678" s="139">
        <v>181.99999999999395</v>
      </c>
      <c r="D6678" s="28">
        <f t="shared" si="297"/>
        <v>1455.9999999999516</v>
      </c>
      <c r="E6678" s="28">
        <f t="shared" si="298"/>
        <v>1364.9999999999545</v>
      </c>
      <c r="F6678" s="28">
        <f t="shared" si="299"/>
        <v>1346.9999999999545</v>
      </c>
      <c r="G6678" s="28">
        <f t="shared" si="300"/>
        <v>1267.2047</v>
      </c>
      <c r="H6678" s="28">
        <f t="shared" si="301"/>
        <v>1317.0101</v>
      </c>
      <c r="I6678" s="28">
        <f t="shared" si="302"/>
        <v>1342.8268</v>
      </c>
      <c r="J6678" s="28">
        <f t="shared" si="303"/>
        <v>1363.5161000000001</v>
      </c>
      <c r="K6678" s="28">
        <f t="shared" si="304"/>
        <v>1399.9799</v>
      </c>
      <c r="L6678" s="4"/>
      <c r="M6678" s="241">
        <v>1342.8268</v>
      </c>
    </row>
    <row r="6679" spans="3:13" hidden="1" outlineLevel="1" x14ac:dyDescent="0.2">
      <c r="C6679" s="139">
        <v>182.09999999999394</v>
      </c>
      <c r="D6679" s="28">
        <f t="shared" si="297"/>
        <v>1456.7999999999515</v>
      </c>
      <c r="E6679" s="28">
        <f t="shared" si="298"/>
        <v>1365.7499999999545</v>
      </c>
      <c r="F6679" s="28">
        <f t="shared" si="299"/>
        <v>1347.7499999999545</v>
      </c>
      <c r="G6679" s="28">
        <f t="shared" si="300"/>
        <v>1268.1873000000001</v>
      </c>
      <c r="H6679" s="28">
        <f t="shared" si="301"/>
        <v>1318.0092</v>
      </c>
      <c r="I6679" s="28">
        <f t="shared" si="302"/>
        <v>1343.845</v>
      </c>
      <c r="J6679" s="28">
        <f t="shared" si="303"/>
        <v>1364.5517</v>
      </c>
      <c r="K6679" s="28">
        <f t="shared" si="304"/>
        <v>1401.0426</v>
      </c>
      <c r="L6679" s="4"/>
      <c r="M6679" s="241">
        <v>1343.845</v>
      </c>
    </row>
    <row r="6680" spans="3:13" hidden="1" outlineLevel="1" x14ac:dyDescent="0.2">
      <c r="C6680" s="139">
        <v>182.19999999999393</v>
      </c>
      <c r="D6680" s="28">
        <f t="shared" si="297"/>
        <v>1457.5999999999515</v>
      </c>
      <c r="E6680" s="28">
        <f t="shared" si="298"/>
        <v>1366.4999999999545</v>
      </c>
      <c r="F6680" s="28">
        <f t="shared" si="299"/>
        <v>1348.4999999999545</v>
      </c>
      <c r="G6680" s="28">
        <f t="shared" si="300"/>
        <v>1269.1699000000001</v>
      </c>
      <c r="H6680" s="28">
        <f t="shared" si="301"/>
        <v>1319.0082</v>
      </c>
      <c r="I6680" s="28">
        <f t="shared" si="302"/>
        <v>1344.8633</v>
      </c>
      <c r="J6680" s="28">
        <f t="shared" si="303"/>
        <v>1365.5648000000001</v>
      </c>
      <c r="K6680" s="28">
        <f t="shared" si="304"/>
        <v>1402.0826999999999</v>
      </c>
      <c r="L6680" s="4"/>
      <c r="M6680" s="241">
        <v>1344.8633</v>
      </c>
    </row>
    <row r="6681" spans="3:13" hidden="1" outlineLevel="1" x14ac:dyDescent="0.2">
      <c r="C6681" s="139">
        <v>182.29999999999393</v>
      </c>
      <c r="D6681" s="28">
        <f t="shared" si="297"/>
        <v>1458.3999999999514</v>
      </c>
      <c r="E6681" s="28">
        <f t="shared" si="298"/>
        <v>1367.2499999999545</v>
      </c>
      <c r="F6681" s="28">
        <f t="shared" si="299"/>
        <v>1349.2499999999545</v>
      </c>
      <c r="G6681" s="28">
        <f t="shared" si="300"/>
        <v>1270.1320000000001</v>
      </c>
      <c r="H6681" s="28">
        <f t="shared" si="301"/>
        <v>1320.0073</v>
      </c>
      <c r="I6681" s="28">
        <f t="shared" si="302"/>
        <v>1345.8815</v>
      </c>
      <c r="J6681" s="28">
        <f t="shared" si="303"/>
        <v>1366.6004</v>
      </c>
      <c r="K6681" s="28">
        <f t="shared" si="304"/>
        <v>1403.1455000000001</v>
      </c>
      <c r="L6681" s="4"/>
      <c r="M6681" s="241">
        <v>1345.8815</v>
      </c>
    </row>
    <row r="6682" spans="3:13" hidden="1" outlineLevel="1" x14ac:dyDescent="0.2">
      <c r="C6682" s="139">
        <v>182.39999999999392</v>
      </c>
      <c r="D6682" s="28">
        <f t="shared" si="297"/>
        <v>1459.1999999999514</v>
      </c>
      <c r="E6682" s="28">
        <f t="shared" si="298"/>
        <v>1367.9999999999545</v>
      </c>
      <c r="F6682" s="28">
        <f t="shared" si="299"/>
        <v>1349.9999999999545</v>
      </c>
      <c r="G6682" s="28">
        <f t="shared" si="300"/>
        <v>1270.1320000000001</v>
      </c>
      <c r="H6682" s="28">
        <f t="shared" si="301"/>
        <v>1320.0073</v>
      </c>
      <c r="I6682" s="28">
        <f t="shared" si="302"/>
        <v>1345.8815</v>
      </c>
      <c r="J6682" s="28">
        <f t="shared" si="303"/>
        <v>1366.6004</v>
      </c>
      <c r="K6682" s="28">
        <f t="shared" si="304"/>
        <v>1403.1455000000001</v>
      </c>
      <c r="L6682" s="4"/>
      <c r="M6682" s="241">
        <v>1345.8815</v>
      </c>
    </row>
    <row r="6683" spans="3:13" hidden="1" outlineLevel="1" x14ac:dyDescent="0.2">
      <c r="C6683" s="139">
        <v>182.49999999999392</v>
      </c>
      <c r="D6683" s="28">
        <f t="shared" si="297"/>
        <v>1459.9999999999513</v>
      </c>
      <c r="E6683" s="28">
        <f t="shared" si="298"/>
        <v>1368.7499999999543</v>
      </c>
      <c r="F6683" s="28">
        <f t="shared" si="299"/>
        <v>1350.7499999999543</v>
      </c>
      <c r="G6683" s="28">
        <f t="shared" si="300"/>
        <v>1271.1147000000001</v>
      </c>
      <c r="H6683" s="28">
        <f t="shared" si="301"/>
        <v>1321.0064</v>
      </c>
      <c r="I6683" s="28">
        <f t="shared" si="302"/>
        <v>1346.8997999999999</v>
      </c>
      <c r="J6683" s="28">
        <f t="shared" si="303"/>
        <v>1367.6360999999999</v>
      </c>
      <c r="K6683" s="28">
        <f t="shared" si="304"/>
        <v>1404.1856</v>
      </c>
      <c r="L6683" s="4"/>
      <c r="M6683" s="241">
        <v>1346.8997999999999</v>
      </c>
    </row>
    <row r="6684" spans="3:13" hidden="1" outlineLevel="1" x14ac:dyDescent="0.2">
      <c r="C6684" s="139">
        <v>182.59999999999391</v>
      </c>
      <c r="D6684" s="28">
        <f t="shared" si="297"/>
        <v>1460.7999999999513</v>
      </c>
      <c r="E6684" s="28">
        <f t="shared" si="298"/>
        <v>1369.4999999999543</v>
      </c>
      <c r="F6684" s="28">
        <f t="shared" si="299"/>
        <v>1351.4999999999543</v>
      </c>
      <c r="G6684" s="28">
        <f t="shared" si="300"/>
        <v>1272.0975000000001</v>
      </c>
      <c r="H6684" s="28">
        <f t="shared" si="301"/>
        <v>1322.0261</v>
      </c>
      <c r="I6684" s="28">
        <f t="shared" si="302"/>
        <v>1347.9181000000001</v>
      </c>
      <c r="J6684" s="28">
        <f t="shared" si="303"/>
        <v>1368.6492000000001</v>
      </c>
      <c r="K6684" s="28">
        <f t="shared" si="304"/>
        <v>1405.2483999999999</v>
      </c>
      <c r="L6684" s="4"/>
      <c r="M6684" s="241">
        <v>1347.9181000000001</v>
      </c>
    </row>
    <row r="6685" spans="3:13" hidden="1" outlineLevel="1" x14ac:dyDescent="0.2">
      <c r="C6685" s="139">
        <v>182.69999999999391</v>
      </c>
      <c r="D6685" s="28">
        <f t="shared" si="297"/>
        <v>1461.5999999999513</v>
      </c>
      <c r="E6685" s="28">
        <f t="shared" si="298"/>
        <v>1370.2499999999543</v>
      </c>
      <c r="F6685" s="28">
        <f t="shared" si="299"/>
        <v>1352.2499999999543</v>
      </c>
      <c r="G6685" s="28">
        <f t="shared" si="300"/>
        <v>1273.0598</v>
      </c>
      <c r="H6685" s="28">
        <f t="shared" si="301"/>
        <v>1323.0253</v>
      </c>
      <c r="I6685" s="28">
        <f t="shared" si="302"/>
        <v>1348.9158</v>
      </c>
      <c r="J6685" s="28">
        <f t="shared" si="303"/>
        <v>1369.6849999999999</v>
      </c>
      <c r="K6685" s="28">
        <f t="shared" si="304"/>
        <v>1406.2886000000001</v>
      </c>
      <c r="L6685" s="4"/>
      <c r="M6685" s="241">
        <v>1348.9158</v>
      </c>
    </row>
    <row r="6686" spans="3:13" hidden="1" outlineLevel="1" x14ac:dyDescent="0.2">
      <c r="C6686" s="139">
        <v>182.7999999999939</v>
      </c>
      <c r="D6686" s="28">
        <f t="shared" si="297"/>
        <v>1462.3999999999512</v>
      </c>
      <c r="E6686" s="28">
        <f t="shared" si="298"/>
        <v>1370.9999999999543</v>
      </c>
      <c r="F6686" s="28">
        <f t="shared" si="299"/>
        <v>1352.9999999999543</v>
      </c>
      <c r="G6686" s="28">
        <f t="shared" si="300"/>
        <v>1273.0598</v>
      </c>
      <c r="H6686" s="28">
        <f t="shared" si="301"/>
        <v>1323.0253</v>
      </c>
      <c r="I6686" s="28">
        <f t="shared" si="302"/>
        <v>1348.9158</v>
      </c>
      <c r="J6686" s="28">
        <f t="shared" si="303"/>
        <v>1369.6849999999999</v>
      </c>
      <c r="K6686" s="28">
        <f t="shared" si="304"/>
        <v>1406.2886000000001</v>
      </c>
      <c r="L6686" s="4"/>
      <c r="M6686" s="241">
        <v>1348.9158</v>
      </c>
    </row>
    <row r="6687" spans="3:13" hidden="1" outlineLevel="1" x14ac:dyDescent="0.2">
      <c r="C6687" s="139">
        <v>182.8999999999939</v>
      </c>
      <c r="D6687" s="28">
        <f t="shared" si="297"/>
        <v>1463.1999999999512</v>
      </c>
      <c r="E6687" s="28">
        <f t="shared" si="298"/>
        <v>1371.7499999999543</v>
      </c>
      <c r="F6687" s="28">
        <f t="shared" si="299"/>
        <v>1353.7499999999543</v>
      </c>
      <c r="G6687" s="28">
        <f t="shared" si="300"/>
        <v>1274.0427</v>
      </c>
      <c r="H6687" s="28">
        <f t="shared" si="301"/>
        <v>1324.0245</v>
      </c>
      <c r="I6687" s="28">
        <f t="shared" si="302"/>
        <v>1349.9341999999999</v>
      </c>
      <c r="J6687" s="28">
        <f t="shared" si="303"/>
        <v>1370.7208000000001</v>
      </c>
      <c r="K6687" s="28">
        <f t="shared" si="304"/>
        <v>1407.3287</v>
      </c>
      <c r="L6687" s="4"/>
      <c r="M6687" s="241">
        <v>1349.9341999999999</v>
      </c>
    </row>
    <row r="6688" spans="3:13" hidden="1" outlineLevel="1" x14ac:dyDescent="0.2">
      <c r="C6688" s="139">
        <v>182.99999999999389</v>
      </c>
      <c r="D6688" s="28">
        <f t="shared" si="297"/>
        <v>1463.9999999999511</v>
      </c>
      <c r="E6688" s="28">
        <f t="shared" si="298"/>
        <v>1372.4999999999541</v>
      </c>
      <c r="F6688" s="28">
        <f t="shared" si="299"/>
        <v>1354.4999999999541</v>
      </c>
      <c r="G6688" s="28">
        <f t="shared" si="300"/>
        <v>1275.0255999999999</v>
      </c>
      <c r="H6688" s="28">
        <f t="shared" si="301"/>
        <v>1325.0237999999999</v>
      </c>
      <c r="I6688" s="28">
        <f t="shared" si="302"/>
        <v>1350.9526000000001</v>
      </c>
      <c r="J6688" s="28">
        <f t="shared" si="303"/>
        <v>1371.7338999999999</v>
      </c>
      <c r="K6688" s="28">
        <f t="shared" si="304"/>
        <v>1408.3915999999999</v>
      </c>
      <c r="L6688" s="4"/>
      <c r="M6688" s="241">
        <v>1350.9526000000001</v>
      </c>
    </row>
    <row r="6689" spans="3:13" hidden="1" outlineLevel="1" x14ac:dyDescent="0.2">
      <c r="C6689" s="139">
        <v>183.09999999999388</v>
      </c>
      <c r="D6689" s="28">
        <f t="shared" si="297"/>
        <v>1464.7999999999511</v>
      </c>
      <c r="E6689" s="28">
        <f t="shared" si="298"/>
        <v>1373.2499999999541</v>
      </c>
      <c r="F6689" s="28">
        <f t="shared" si="299"/>
        <v>1355.2499999999541</v>
      </c>
      <c r="G6689" s="28">
        <f t="shared" si="300"/>
        <v>1275.9880000000001</v>
      </c>
      <c r="H6689" s="28">
        <f t="shared" si="301"/>
        <v>1326.0231000000001</v>
      </c>
      <c r="I6689" s="28">
        <f t="shared" si="302"/>
        <v>1351.971</v>
      </c>
      <c r="J6689" s="28">
        <f t="shared" si="303"/>
        <v>1372.7697000000001</v>
      </c>
      <c r="K6689" s="28">
        <f t="shared" si="304"/>
        <v>1409.4318000000001</v>
      </c>
      <c r="L6689" s="4"/>
      <c r="M6689" s="241">
        <v>1351.971</v>
      </c>
    </row>
    <row r="6690" spans="3:13" hidden="1" outlineLevel="1" x14ac:dyDescent="0.2">
      <c r="C6690" s="139">
        <v>183.19999999999388</v>
      </c>
      <c r="D6690" s="28">
        <f t="shared" si="297"/>
        <v>1465.599999999951</v>
      </c>
      <c r="E6690" s="28">
        <f t="shared" si="298"/>
        <v>1373.9999999999541</v>
      </c>
      <c r="F6690" s="28">
        <f t="shared" si="299"/>
        <v>1355.9999999999541</v>
      </c>
      <c r="G6690" s="28">
        <f t="shared" si="300"/>
        <v>1275.9880000000001</v>
      </c>
      <c r="H6690" s="28">
        <f t="shared" si="301"/>
        <v>1326.0231000000001</v>
      </c>
      <c r="I6690" s="28">
        <f t="shared" si="302"/>
        <v>1351.971</v>
      </c>
      <c r="J6690" s="28">
        <f t="shared" si="303"/>
        <v>1372.7697000000001</v>
      </c>
      <c r="K6690" s="28">
        <f t="shared" si="304"/>
        <v>1409.4318000000001</v>
      </c>
      <c r="L6690" s="4"/>
      <c r="M6690" s="241">
        <v>1351.971</v>
      </c>
    </row>
    <row r="6691" spans="3:13" hidden="1" outlineLevel="1" x14ac:dyDescent="0.2">
      <c r="C6691" s="139">
        <v>183.29999999999387</v>
      </c>
      <c r="D6691" s="28">
        <f t="shared" si="297"/>
        <v>1466.399999999951</v>
      </c>
      <c r="E6691" s="28">
        <f t="shared" si="298"/>
        <v>1374.7499999999541</v>
      </c>
      <c r="F6691" s="28">
        <f t="shared" si="299"/>
        <v>1356.7499999999541</v>
      </c>
      <c r="G6691" s="28">
        <f t="shared" si="300"/>
        <v>1276.971</v>
      </c>
      <c r="H6691" s="28">
        <f t="shared" si="301"/>
        <v>1327.0224000000001</v>
      </c>
      <c r="I6691" s="28">
        <f t="shared" si="302"/>
        <v>1352.9894999999999</v>
      </c>
      <c r="J6691" s="28">
        <f t="shared" si="303"/>
        <v>1373.8055999999999</v>
      </c>
      <c r="K6691" s="28">
        <f t="shared" si="304"/>
        <v>1410.4947</v>
      </c>
      <c r="L6691" s="4"/>
      <c r="M6691" s="241">
        <v>1352.9894999999999</v>
      </c>
    </row>
    <row r="6692" spans="3:13" hidden="1" outlineLevel="1" x14ac:dyDescent="0.2">
      <c r="C6692" s="139">
        <v>183.39999999999387</v>
      </c>
      <c r="D6692" s="28">
        <f t="shared" si="297"/>
        <v>1467.1999999999509</v>
      </c>
      <c r="E6692" s="28">
        <f t="shared" si="298"/>
        <v>1375.4999999999541</v>
      </c>
      <c r="F6692" s="28">
        <f t="shared" si="299"/>
        <v>1357.4999999999541</v>
      </c>
      <c r="G6692" s="28">
        <f t="shared" si="300"/>
        <v>1277.9541999999999</v>
      </c>
      <c r="H6692" s="28">
        <f t="shared" si="301"/>
        <v>1328.0217</v>
      </c>
      <c r="I6692" s="28">
        <f t="shared" si="302"/>
        <v>1354.008</v>
      </c>
      <c r="J6692" s="28">
        <f t="shared" si="303"/>
        <v>1374.8187</v>
      </c>
      <c r="K6692" s="28">
        <f t="shared" si="304"/>
        <v>1411.5349000000001</v>
      </c>
      <c r="L6692" s="4"/>
      <c r="M6692" s="241">
        <v>1354.008</v>
      </c>
    </row>
    <row r="6693" spans="3:13" hidden="1" outlineLevel="1" x14ac:dyDescent="0.2">
      <c r="C6693" s="139">
        <v>183.49999999999386</v>
      </c>
      <c r="D6693" s="28">
        <f t="shared" si="297"/>
        <v>1467.9999999999509</v>
      </c>
      <c r="E6693" s="28">
        <f t="shared" si="298"/>
        <v>1376.2499999999541</v>
      </c>
      <c r="F6693" s="28">
        <f t="shared" si="299"/>
        <v>1358.2499999999541</v>
      </c>
      <c r="G6693" s="28">
        <f t="shared" si="300"/>
        <v>1278.9166</v>
      </c>
      <c r="H6693" s="28">
        <f t="shared" si="301"/>
        <v>1329.0210999999999</v>
      </c>
      <c r="I6693" s="28">
        <f t="shared" si="302"/>
        <v>1355.0057999999999</v>
      </c>
      <c r="J6693" s="28">
        <f t="shared" si="303"/>
        <v>1375.8545999999999</v>
      </c>
      <c r="K6693" s="28">
        <f t="shared" si="304"/>
        <v>1412.5979</v>
      </c>
      <c r="L6693" s="4"/>
      <c r="M6693" s="241">
        <v>1355.0057999999999</v>
      </c>
    </row>
    <row r="6694" spans="3:13" hidden="1" outlineLevel="1" x14ac:dyDescent="0.2">
      <c r="C6694" s="139">
        <v>183.59999999999386</v>
      </c>
      <c r="D6694" s="28">
        <f t="shared" si="297"/>
        <v>1468.7999999999508</v>
      </c>
      <c r="E6694" s="28">
        <f t="shared" si="298"/>
        <v>1376.9999999999538</v>
      </c>
      <c r="F6694" s="28">
        <f t="shared" si="299"/>
        <v>1358.9999999999538</v>
      </c>
      <c r="G6694" s="28">
        <f t="shared" si="300"/>
        <v>1278.9166</v>
      </c>
      <c r="H6694" s="28">
        <f t="shared" si="301"/>
        <v>1329.0210999999999</v>
      </c>
      <c r="I6694" s="28">
        <f t="shared" si="302"/>
        <v>1355.0057999999999</v>
      </c>
      <c r="J6694" s="28">
        <f t="shared" si="303"/>
        <v>1375.8545999999999</v>
      </c>
      <c r="K6694" s="28">
        <f t="shared" si="304"/>
        <v>1412.5979</v>
      </c>
      <c r="L6694" s="4"/>
      <c r="M6694" s="241">
        <v>1355.0057999999999</v>
      </c>
    </row>
    <row r="6695" spans="3:13" hidden="1" outlineLevel="1" x14ac:dyDescent="0.2">
      <c r="C6695" s="139">
        <v>183.69999999999385</v>
      </c>
      <c r="D6695" s="28">
        <f t="shared" si="297"/>
        <v>1469.5999999999508</v>
      </c>
      <c r="E6695" s="28">
        <f t="shared" si="298"/>
        <v>1377.7499999999538</v>
      </c>
      <c r="F6695" s="28">
        <f t="shared" si="299"/>
        <v>1359.7499999999538</v>
      </c>
      <c r="G6695" s="28">
        <f t="shared" si="300"/>
        <v>1279.8998999999999</v>
      </c>
      <c r="H6695" s="28">
        <f t="shared" si="301"/>
        <v>1330.0205000000001</v>
      </c>
      <c r="I6695" s="28">
        <f t="shared" si="302"/>
        <v>1356.0243</v>
      </c>
      <c r="J6695" s="28">
        <f t="shared" si="303"/>
        <v>1376.8905999999999</v>
      </c>
      <c r="K6695" s="28">
        <f t="shared" si="304"/>
        <v>1413.6380999999999</v>
      </c>
      <c r="L6695" s="4"/>
      <c r="M6695" s="241">
        <v>1356.0243</v>
      </c>
    </row>
    <row r="6696" spans="3:13" hidden="1" outlineLevel="1" x14ac:dyDescent="0.2">
      <c r="C6696" s="139">
        <v>183.79999999999384</v>
      </c>
      <c r="D6696" s="28">
        <f t="shared" si="297"/>
        <v>1470.3999999999508</v>
      </c>
      <c r="E6696" s="28">
        <f t="shared" si="298"/>
        <v>1378.4999999999538</v>
      </c>
      <c r="F6696" s="28">
        <f t="shared" si="299"/>
        <v>1360.4999999999538</v>
      </c>
      <c r="G6696" s="28">
        <f t="shared" si="300"/>
        <v>1280.8832</v>
      </c>
      <c r="H6696" s="28">
        <f t="shared" si="301"/>
        <v>1331.0199</v>
      </c>
      <c r="I6696" s="28">
        <f t="shared" si="302"/>
        <v>1357.0427999999999</v>
      </c>
      <c r="J6696" s="28">
        <f t="shared" si="303"/>
        <v>1377.9037000000001</v>
      </c>
      <c r="K6696" s="28">
        <f t="shared" si="304"/>
        <v>1414.7011</v>
      </c>
      <c r="L6696" s="4"/>
      <c r="M6696" s="241">
        <v>1357.0427999999999</v>
      </c>
    </row>
    <row r="6697" spans="3:13" hidden="1" outlineLevel="1" x14ac:dyDescent="0.2">
      <c r="C6697" s="139">
        <v>183.89999999999384</v>
      </c>
      <c r="D6697" s="28">
        <f t="shared" si="297"/>
        <v>1471.1999999999507</v>
      </c>
      <c r="E6697" s="28">
        <f t="shared" si="298"/>
        <v>1379.2499999999538</v>
      </c>
      <c r="F6697" s="28">
        <f t="shared" si="299"/>
        <v>1361.2499999999538</v>
      </c>
      <c r="G6697" s="28">
        <f t="shared" si="300"/>
        <v>1281.8458000000001</v>
      </c>
      <c r="H6697" s="28">
        <f t="shared" si="301"/>
        <v>1332.0193999999999</v>
      </c>
      <c r="I6697" s="28">
        <f t="shared" si="302"/>
        <v>1358.0614</v>
      </c>
      <c r="J6697" s="28">
        <f t="shared" si="303"/>
        <v>1378.9398000000001</v>
      </c>
      <c r="K6697" s="28">
        <f t="shared" si="304"/>
        <v>1415.7412999999999</v>
      </c>
      <c r="L6697" s="4"/>
      <c r="M6697" s="241">
        <v>1358.0614</v>
      </c>
    </row>
    <row r="6698" spans="3:13" hidden="1" outlineLevel="1" x14ac:dyDescent="0.2">
      <c r="C6698" s="139">
        <v>183.99999999999383</v>
      </c>
      <c r="D6698" s="28">
        <f t="shared" si="297"/>
        <v>1471.9999999999507</v>
      </c>
      <c r="E6698" s="28">
        <f t="shared" si="298"/>
        <v>1379.9999999999538</v>
      </c>
      <c r="F6698" s="28">
        <f t="shared" si="299"/>
        <v>1361.9999999999538</v>
      </c>
      <c r="G6698" s="28">
        <f t="shared" si="300"/>
        <v>1281.8458000000001</v>
      </c>
      <c r="H6698" s="28">
        <f t="shared" si="301"/>
        <v>1332.0193999999999</v>
      </c>
      <c r="I6698" s="28">
        <f t="shared" si="302"/>
        <v>1358.0614</v>
      </c>
      <c r="J6698" s="28">
        <f t="shared" si="303"/>
        <v>1378.9398000000001</v>
      </c>
      <c r="K6698" s="28">
        <f t="shared" si="304"/>
        <v>1415.7412999999999</v>
      </c>
      <c r="L6698" s="4"/>
      <c r="M6698" s="241">
        <v>1358.0614</v>
      </c>
    </row>
    <row r="6699" spans="3:13" hidden="1" outlineLevel="1" x14ac:dyDescent="0.2">
      <c r="C6699" s="139">
        <v>184.09999999999383</v>
      </c>
      <c r="D6699" s="28">
        <f t="shared" si="297"/>
        <v>1472.7999999999506</v>
      </c>
      <c r="E6699" s="28">
        <f t="shared" si="298"/>
        <v>1380.7499999999536</v>
      </c>
      <c r="F6699" s="28">
        <f t="shared" si="299"/>
        <v>1362.7499999999536</v>
      </c>
      <c r="G6699" s="28">
        <f t="shared" si="300"/>
        <v>1282.8291999999999</v>
      </c>
      <c r="H6699" s="28">
        <f t="shared" si="301"/>
        <v>1333.0188000000001</v>
      </c>
      <c r="I6699" s="28">
        <f t="shared" si="302"/>
        <v>1359.0800999999999</v>
      </c>
      <c r="J6699" s="28">
        <f t="shared" si="303"/>
        <v>1379.9529</v>
      </c>
      <c r="K6699" s="28">
        <f t="shared" si="304"/>
        <v>1416.8044</v>
      </c>
      <c r="L6699" s="4"/>
      <c r="M6699" s="241">
        <v>1359.0800999999999</v>
      </c>
    </row>
    <row r="6700" spans="3:13" hidden="1" outlineLevel="1" x14ac:dyDescent="0.2">
      <c r="C6700" s="139">
        <v>184.19999999999382</v>
      </c>
      <c r="D6700" s="28">
        <f t="shared" si="297"/>
        <v>1473.5999999999506</v>
      </c>
      <c r="E6700" s="28">
        <f t="shared" si="298"/>
        <v>1381.4999999999536</v>
      </c>
      <c r="F6700" s="28">
        <f t="shared" si="299"/>
        <v>1363.4999999999536</v>
      </c>
      <c r="G6700" s="28">
        <f t="shared" si="300"/>
        <v>1283.8126</v>
      </c>
      <c r="H6700" s="28">
        <f t="shared" si="301"/>
        <v>1334.0183999999999</v>
      </c>
      <c r="I6700" s="28">
        <f t="shared" si="302"/>
        <v>1360.0987</v>
      </c>
      <c r="J6700" s="28">
        <f t="shared" si="303"/>
        <v>1380.989</v>
      </c>
      <c r="K6700" s="28">
        <f t="shared" si="304"/>
        <v>1417.8447000000001</v>
      </c>
      <c r="L6700" s="4"/>
      <c r="M6700" s="241">
        <v>1360.0987</v>
      </c>
    </row>
    <row r="6701" spans="3:13" hidden="1" outlineLevel="1" x14ac:dyDescent="0.2">
      <c r="C6701" s="139">
        <v>184.29999999999382</v>
      </c>
      <c r="D6701" s="28">
        <f t="shared" si="297"/>
        <v>1474.3999999999505</v>
      </c>
      <c r="E6701" s="28">
        <f t="shared" si="298"/>
        <v>1382.2499999999536</v>
      </c>
      <c r="F6701" s="28">
        <f t="shared" si="299"/>
        <v>1364.2499999999536</v>
      </c>
      <c r="G6701" s="28">
        <f t="shared" si="300"/>
        <v>1284.7754</v>
      </c>
      <c r="H6701" s="28">
        <f t="shared" si="301"/>
        <v>1335.0179000000001</v>
      </c>
      <c r="I6701" s="28">
        <f t="shared" si="302"/>
        <v>1361.1174000000001</v>
      </c>
      <c r="J6701" s="28">
        <f t="shared" si="303"/>
        <v>1382.0251000000001</v>
      </c>
      <c r="K6701" s="28">
        <f t="shared" si="304"/>
        <v>1418.9078</v>
      </c>
      <c r="L6701" s="4"/>
      <c r="M6701" s="241">
        <v>1361.1174000000001</v>
      </c>
    </row>
    <row r="6702" spans="3:13" hidden="1" outlineLevel="1" x14ac:dyDescent="0.2">
      <c r="C6702" s="139">
        <v>184.39999999999381</v>
      </c>
      <c r="D6702" s="28">
        <f t="shared" si="297"/>
        <v>1475.1999999999505</v>
      </c>
      <c r="E6702" s="28">
        <f t="shared" si="298"/>
        <v>1382.9999999999536</v>
      </c>
      <c r="F6702" s="28">
        <f t="shared" si="299"/>
        <v>1364.9999999999536</v>
      </c>
      <c r="G6702" s="28">
        <f t="shared" si="300"/>
        <v>1284.7754</v>
      </c>
      <c r="H6702" s="28">
        <f t="shared" si="301"/>
        <v>1335.0179000000001</v>
      </c>
      <c r="I6702" s="28">
        <f t="shared" si="302"/>
        <v>1361.1174000000001</v>
      </c>
      <c r="J6702" s="28">
        <f t="shared" si="303"/>
        <v>1382.0251000000001</v>
      </c>
      <c r="K6702" s="28">
        <f t="shared" si="304"/>
        <v>1418.9078</v>
      </c>
      <c r="L6702" s="4"/>
      <c r="M6702" s="241">
        <v>1361.1174000000001</v>
      </c>
    </row>
    <row r="6703" spans="3:13" hidden="1" outlineLevel="1" x14ac:dyDescent="0.2">
      <c r="C6703" s="139">
        <v>184.4999999999938</v>
      </c>
      <c r="D6703" s="28">
        <f t="shared" si="297"/>
        <v>1475.9999999999504</v>
      </c>
      <c r="E6703" s="28">
        <f t="shared" si="298"/>
        <v>1383.7499999999536</v>
      </c>
      <c r="F6703" s="28">
        <f t="shared" si="299"/>
        <v>1365.7499999999536</v>
      </c>
      <c r="G6703" s="28">
        <f t="shared" si="300"/>
        <v>1285.7589</v>
      </c>
      <c r="H6703" s="28">
        <f t="shared" si="301"/>
        <v>1336.0174999999999</v>
      </c>
      <c r="I6703" s="28">
        <f t="shared" si="302"/>
        <v>1362.1152999999999</v>
      </c>
      <c r="J6703" s="28">
        <f t="shared" si="303"/>
        <v>1383.0382999999999</v>
      </c>
      <c r="K6703" s="28">
        <f t="shared" si="304"/>
        <v>1419.9480000000001</v>
      </c>
      <c r="L6703" s="4"/>
      <c r="M6703" s="241">
        <v>1362.1152999999999</v>
      </c>
    </row>
    <row r="6704" spans="3:13" hidden="1" outlineLevel="1" x14ac:dyDescent="0.2">
      <c r="C6704" s="139">
        <v>184.5999999999938</v>
      </c>
      <c r="D6704" s="28">
        <f t="shared" si="297"/>
        <v>1476.7999999999504</v>
      </c>
      <c r="E6704" s="28">
        <f t="shared" si="298"/>
        <v>1384.4999999999534</v>
      </c>
      <c r="F6704" s="28">
        <f t="shared" si="299"/>
        <v>1366.4999999999534</v>
      </c>
      <c r="G6704" s="28">
        <f t="shared" si="300"/>
        <v>1286.7426</v>
      </c>
      <c r="H6704" s="28">
        <f t="shared" si="301"/>
        <v>1337.0379</v>
      </c>
      <c r="I6704" s="28">
        <f t="shared" si="302"/>
        <v>1363.134</v>
      </c>
      <c r="J6704" s="28">
        <f t="shared" si="303"/>
        <v>1384.0744</v>
      </c>
      <c r="K6704" s="28">
        <f t="shared" si="304"/>
        <v>1421.0111999999999</v>
      </c>
      <c r="L6704" s="4"/>
      <c r="M6704" s="241">
        <v>1363.134</v>
      </c>
    </row>
    <row r="6705" spans="3:13" hidden="1" outlineLevel="1" x14ac:dyDescent="0.2">
      <c r="C6705" s="139">
        <v>184.69999999999379</v>
      </c>
      <c r="D6705" s="28">
        <f t="shared" si="297"/>
        <v>1477.5999999999503</v>
      </c>
      <c r="E6705" s="28">
        <f t="shared" si="298"/>
        <v>1385.2499999999534</v>
      </c>
      <c r="F6705" s="28">
        <f t="shared" si="299"/>
        <v>1367.2499999999534</v>
      </c>
      <c r="G6705" s="28">
        <f t="shared" si="300"/>
        <v>1287.7054000000001</v>
      </c>
      <c r="H6705" s="28">
        <f t="shared" si="301"/>
        <v>1338.0376000000001</v>
      </c>
      <c r="I6705" s="28">
        <f t="shared" si="302"/>
        <v>1364.1528000000001</v>
      </c>
      <c r="J6705" s="28">
        <f t="shared" si="303"/>
        <v>1385.1106</v>
      </c>
      <c r="K6705" s="28">
        <f t="shared" si="304"/>
        <v>1422.0515</v>
      </c>
      <c r="L6705" s="4"/>
      <c r="M6705" s="241">
        <v>1364.1528000000001</v>
      </c>
    </row>
    <row r="6706" spans="3:13" hidden="1" outlineLevel="1" x14ac:dyDescent="0.2">
      <c r="C6706" s="139">
        <v>184.79999999999379</v>
      </c>
      <c r="D6706" s="28">
        <f t="shared" si="297"/>
        <v>1478.3999999999503</v>
      </c>
      <c r="E6706" s="28">
        <f t="shared" si="298"/>
        <v>1385.9999999999534</v>
      </c>
      <c r="F6706" s="28">
        <f t="shared" si="299"/>
        <v>1367.9999999999534</v>
      </c>
      <c r="G6706" s="28">
        <f t="shared" si="300"/>
        <v>1287.7054000000001</v>
      </c>
      <c r="H6706" s="28">
        <f t="shared" si="301"/>
        <v>1338.0376000000001</v>
      </c>
      <c r="I6706" s="28">
        <f t="shared" si="302"/>
        <v>1364.1528000000001</v>
      </c>
      <c r="J6706" s="28">
        <f t="shared" si="303"/>
        <v>1385.1106</v>
      </c>
      <c r="K6706" s="28">
        <f t="shared" si="304"/>
        <v>1422.0515</v>
      </c>
      <c r="L6706" s="4"/>
      <c r="M6706" s="241">
        <v>1364.1528000000001</v>
      </c>
    </row>
    <row r="6707" spans="3:13" hidden="1" outlineLevel="1" x14ac:dyDescent="0.2">
      <c r="C6707" s="139">
        <v>184.89999999999378</v>
      </c>
      <c r="D6707" s="28">
        <f t="shared" si="297"/>
        <v>1479.1999999999503</v>
      </c>
      <c r="E6707" s="28">
        <f t="shared" si="298"/>
        <v>1386.7499999999534</v>
      </c>
      <c r="F6707" s="28">
        <f t="shared" si="299"/>
        <v>1368.7499999999534</v>
      </c>
      <c r="G6707" s="28">
        <f t="shared" si="300"/>
        <v>1288.6891000000001</v>
      </c>
      <c r="H6707" s="28">
        <f t="shared" si="301"/>
        <v>1339.0373</v>
      </c>
      <c r="I6707" s="28">
        <f t="shared" si="302"/>
        <v>1365.1715999999999</v>
      </c>
      <c r="J6707" s="28">
        <f t="shared" si="303"/>
        <v>1386.1239</v>
      </c>
      <c r="K6707" s="28">
        <f t="shared" si="304"/>
        <v>1423.1147000000001</v>
      </c>
      <c r="L6707" s="4"/>
      <c r="M6707" s="241">
        <v>1365.1715999999999</v>
      </c>
    </row>
    <row r="6708" spans="3:13" hidden="1" outlineLevel="1" x14ac:dyDescent="0.2">
      <c r="C6708" s="139">
        <v>184.99999999999378</v>
      </c>
      <c r="D6708" s="28">
        <f t="shared" si="297"/>
        <v>1479.9999999999502</v>
      </c>
      <c r="E6708" s="28">
        <f t="shared" si="298"/>
        <v>1387.4999999999534</v>
      </c>
      <c r="F6708" s="28">
        <f t="shared" si="299"/>
        <v>1369.4999999999534</v>
      </c>
      <c r="G6708" s="28">
        <f t="shared" si="300"/>
        <v>1289.673</v>
      </c>
      <c r="H6708" s="28">
        <f t="shared" si="301"/>
        <v>1340.037</v>
      </c>
      <c r="I6708" s="28">
        <f t="shared" si="302"/>
        <v>1366.1904</v>
      </c>
      <c r="J6708" s="28">
        <f t="shared" si="303"/>
        <v>1387.1601000000001</v>
      </c>
      <c r="K6708" s="28">
        <f t="shared" si="304"/>
        <v>1424.155</v>
      </c>
      <c r="L6708" s="4"/>
      <c r="M6708" s="241">
        <v>1366.1904</v>
      </c>
    </row>
    <row r="6709" spans="3:13" hidden="1" outlineLevel="1" x14ac:dyDescent="0.2">
      <c r="C6709" s="139">
        <v>185.09999999999377</v>
      </c>
      <c r="D6709" s="28">
        <f t="shared" si="297"/>
        <v>1480.7999999999502</v>
      </c>
      <c r="E6709" s="28">
        <f t="shared" si="298"/>
        <v>1388.2499999999532</v>
      </c>
      <c r="F6709" s="28">
        <f t="shared" si="299"/>
        <v>1370.2499999999532</v>
      </c>
      <c r="G6709" s="28">
        <f t="shared" si="300"/>
        <v>1290.6359</v>
      </c>
      <c r="H6709" s="28">
        <f t="shared" si="301"/>
        <v>1341.0368000000001</v>
      </c>
      <c r="I6709" s="28">
        <f t="shared" si="302"/>
        <v>1367.2092</v>
      </c>
      <c r="J6709" s="28">
        <f t="shared" si="303"/>
        <v>1388.1964</v>
      </c>
      <c r="K6709" s="28">
        <f t="shared" si="304"/>
        <v>1425.2183</v>
      </c>
      <c r="L6709" s="4"/>
      <c r="M6709" s="241">
        <v>1367.2092</v>
      </c>
    </row>
    <row r="6710" spans="3:13" hidden="1" outlineLevel="1" x14ac:dyDescent="0.2">
      <c r="C6710" s="139">
        <v>185.19999999999376</v>
      </c>
      <c r="D6710" s="28">
        <f t="shared" si="297"/>
        <v>1481.5999999999501</v>
      </c>
      <c r="E6710" s="28">
        <f t="shared" si="298"/>
        <v>1388.9999999999532</v>
      </c>
      <c r="F6710" s="28">
        <f t="shared" si="299"/>
        <v>1370.9999999999532</v>
      </c>
      <c r="G6710" s="28">
        <f t="shared" si="300"/>
        <v>1290.6359</v>
      </c>
      <c r="H6710" s="28">
        <f t="shared" si="301"/>
        <v>1341.0368000000001</v>
      </c>
      <c r="I6710" s="28">
        <f t="shared" si="302"/>
        <v>1367.2092</v>
      </c>
      <c r="J6710" s="28">
        <f t="shared" si="303"/>
        <v>1388.1964</v>
      </c>
      <c r="K6710" s="28">
        <f t="shared" si="304"/>
        <v>1425.2183</v>
      </c>
      <c r="L6710" s="4"/>
      <c r="M6710" s="241">
        <v>1367.2092</v>
      </c>
    </row>
    <row r="6711" spans="3:13" hidden="1" outlineLevel="1" x14ac:dyDescent="0.2">
      <c r="C6711" s="139">
        <v>185.29999999999376</v>
      </c>
      <c r="D6711" s="28">
        <f t="shared" si="297"/>
        <v>1482.3999999999501</v>
      </c>
      <c r="E6711" s="28">
        <f t="shared" si="298"/>
        <v>1389.7499999999532</v>
      </c>
      <c r="F6711" s="28">
        <f t="shared" si="299"/>
        <v>1371.7499999999532</v>
      </c>
      <c r="G6711" s="28">
        <f t="shared" si="300"/>
        <v>1291.6197999999999</v>
      </c>
      <c r="H6711" s="28">
        <f t="shared" si="301"/>
        <v>1342.0364999999999</v>
      </c>
      <c r="I6711" s="28">
        <f t="shared" si="302"/>
        <v>1368.2072000000001</v>
      </c>
      <c r="J6711" s="28">
        <f t="shared" si="303"/>
        <v>1389.2095999999999</v>
      </c>
      <c r="K6711" s="28">
        <f t="shared" si="304"/>
        <v>1426.2585999999999</v>
      </c>
      <c r="L6711" s="4"/>
      <c r="M6711" s="241">
        <v>1368.2072000000001</v>
      </c>
    </row>
    <row r="6712" spans="3:13" hidden="1" outlineLevel="1" x14ac:dyDescent="0.2">
      <c r="C6712" s="139">
        <v>185.39999999999375</v>
      </c>
      <c r="D6712" s="28">
        <f t="shared" si="297"/>
        <v>1483.19999999995</v>
      </c>
      <c r="E6712" s="28">
        <f t="shared" si="298"/>
        <v>1390.4999999999532</v>
      </c>
      <c r="F6712" s="28">
        <f t="shared" si="299"/>
        <v>1372.4999999999532</v>
      </c>
      <c r="G6712" s="28">
        <f t="shared" si="300"/>
        <v>1292.6038000000001</v>
      </c>
      <c r="H6712" s="28">
        <f t="shared" si="301"/>
        <v>1343.0363</v>
      </c>
      <c r="I6712" s="28">
        <f t="shared" si="302"/>
        <v>1369.2261000000001</v>
      </c>
      <c r="J6712" s="28">
        <f t="shared" si="303"/>
        <v>1390.2460000000001</v>
      </c>
      <c r="K6712" s="28">
        <f t="shared" si="304"/>
        <v>1427.3218999999999</v>
      </c>
      <c r="L6712" s="4"/>
      <c r="M6712" s="241">
        <v>1369.2261000000001</v>
      </c>
    </row>
    <row r="6713" spans="3:13" hidden="1" outlineLevel="1" x14ac:dyDescent="0.2">
      <c r="C6713" s="139">
        <v>185.49999999999375</v>
      </c>
      <c r="D6713" s="28">
        <f t="shared" si="297"/>
        <v>1483.99999999995</v>
      </c>
      <c r="E6713" s="28">
        <f t="shared" si="298"/>
        <v>1391.2499999999532</v>
      </c>
      <c r="F6713" s="28">
        <f t="shared" si="299"/>
        <v>1373.2499999999532</v>
      </c>
      <c r="G6713" s="28">
        <f t="shared" si="300"/>
        <v>1293.5669</v>
      </c>
      <c r="H6713" s="28">
        <f t="shared" si="301"/>
        <v>1344.0362</v>
      </c>
      <c r="I6713" s="28">
        <f t="shared" si="302"/>
        <v>1370.2449999999999</v>
      </c>
      <c r="J6713" s="28">
        <f t="shared" si="303"/>
        <v>1391.2592</v>
      </c>
      <c r="K6713" s="28">
        <f t="shared" si="304"/>
        <v>1428.3623</v>
      </c>
      <c r="L6713" s="4"/>
      <c r="M6713" s="241">
        <v>1370.2449999999999</v>
      </c>
    </row>
    <row r="6714" spans="3:13" hidden="1" outlineLevel="1" x14ac:dyDescent="0.2">
      <c r="C6714" s="139">
        <v>185.59999999999374</v>
      </c>
      <c r="D6714" s="28">
        <f t="shared" si="297"/>
        <v>1484.7999999999499</v>
      </c>
      <c r="E6714" s="28">
        <f t="shared" si="298"/>
        <v>1391.9999999999532</v>
      </c>
      <c r="F6714" s="28">
        <f t="shared" si="299"/>
        <v>1373.9999999999532</v>
      </c>
      <c r="G6714" s="28">
        <f t="shared" si="300"/>
        <v>1293.5669</v>
      </c>
      <c r="H6714" s="28">
        <f t="shared" si="301"/>
        <v>1344.0362</v>
      </c>
      <c r="I6714" s="28">
        <f t="shared" si="302"/>
        <v>1370.2449999999999</v>
      </c>
      <c r="J6714" s="28">
        <f t="shared" si="303"/>
        <v>1391.2592</v>
      </c>
      <c r="K6714" s="28">
        <f t="shared" si="304"/>
        <v>1428.3623</v>
      </c>
      <c r="L6714" s="4"/>
      <c r="M6714" s="241">
        <v>1370.2449999999999</v>
      </c>
    </row>
    <row r="6715" spans="3:13" hidden="1" outlineLevel="1" x14ac:dyDescent="0.2">
      <c r="C6715" s="139">
        <v>185.69999999999374</v>
      </c>
      <c r="D6715" s="28">
        <f t="shared" ref="D6715:D6778" si="305">C6715*Channels.per.TRX</f>
        <v>1485.5999999999499</v>
      </c>
      <c r="E6715" s="28">
        <f t="shared" ref="E6715:E6778" si="306">D6715-C6715*sig.channel.per.TRX</f>
        <v>1392.7499999999529</v>
      </c>
      <c r="F6715" s="28">
        <f t="shared" ref="F6715:F6778" si="307">MAX(0,E6715-GPRS.channel.per.sector)</f>
        <v>1374.7499999999529</v>
      </c>
      <c r="G6715" s="28">
        <f t="shared" ref="G6715:G6778" si="308">INDEX(D$10:D$4326,MATCH($F6715,$C$10:$C$4326,1))</f>
        <v>1294.5509</v>
      </c>
      <c r="H6715" s="28">
        <f t="shared" ref="H6715:H6778" si="309">INDEX(E$10:E$4326,MATCH($F6715,$C$10:$C$4326,1))</f>
        <v>1345.0361</v>
      </c>
      <c r="I6715" s="28">
        <f t="shared" ref="I6715:I6778" si="310">INDEX(F$10:F$4326,MATCH($F6715,$C$10:$C$4326,1))</f>
        <v>1371.2639999999999</v>
      </c>
      <c r="J6715" s="28">
        <f t="shared" ref="J6715:J6778" si="311">INDEX(G$10:G$4326,MATCH($F6715,$C$10:$C$4326,1))</f>
        <v>1392.2955999999999</v>
      </c>
      <c r="K6715" s="28">
        <f t="shared" ref="K6715:K6778" si="312">INDEX(H$10:H$4326,MATCH($F6715,$C$10:$C$4326,1))</f>
        <v>1429.4256</v>
      </c>
      <c r="L6715" s="4"/>
      <c r="M6715" s="241">
        <v>1371.2639999999999</v>
      </c>
    </row>
    <row r="6716" spans="3:13" hidden="1" outlineLevel="1" x14ac:dyDescent="0.2">
      <c r="C6716" s="139">
        <v>185.79999999999373</v>
      </c>
      <c r="D6716" s="28">
        <f t="shared" si="305"/>
        <v>1486.3999999999498</v>
      </c>
      <c r="E6716" s="28">
        <f t="shared" si="306"/>
        <v>1393.4999999999529</v>
      </c>
      <c r="F6716" s="28">
        <f t="shared" si="307"/>
        <v>1375.4999999999529</v>
      </c>
      <c r="G6716" s="28">
        <f t="shared" si="308"/>
        <v>1295.5141000000001</v>
      </c>
      <c r="H6716" s="28">
        <f t="shared" si="309"/>
        <v>1346.0360000000001</v>
      </c>
      <c r="I6716" s="28">
        <f t="shared" si="310"/>
        <v>1372.2829999999999</v>
      </c>
      <c r="J6716" s="28">
        <f t="shared" si="311"/>
        <v>1393.3320000000001</v>
      </c>
      <c r="K6716" s="28">
        <f t="shared" si="312"/>
        <v>1430.4659999999999</v>
      </c>
      <c r="L6716" s="4"/>
      <c r="M6716" s="241">
        <v>1372.2829999999999</v>
      </c>
    </row>
    <row r="6717" spans="3:13" hidden="1" outlineLevel="1" x14ac:dyDescent="0.2">
      <c r="C6717" s="139">
        <v>185.89999999999372</v>
      </c>
      <c r="D6717" s="28">
        <f t="shared" si="305"/>
        <v>1487.1999999999498</v>
      </c>
      <c r="E6717" s="28">
        <f t="shared" si="306"/>
        <v>1394.2499999999529</v>
      </c>
      <c r="F6717" s="28">
        <f t="shared" si="307"/>
        <v>1376.2499999999529</v>
      </c>
      <c r="G6717" s="28">
        <f t="shared" si="308"/>
        <v>1296.4983</v>
      </c>
      <c r="H6717" s="28">
        <f t="shared" si="309"/>
        <v>1347.0359000000001</v>
      </c>
      <c r="I6717" s="28">
        <f t="shared" si="310"/>
        <v>1373.2809999999999</v>
      </c>
      <c r="J6717" s="28">
        <f t="shared" si="311"/>
        <v>1394.3453</v>
      </c>
      <c r="K6717" s="28">
        <f t="shared" si="312"/>
        <v>1431.5063</v>
      </c>
      <c r="L6717" s="4"/>
      <c r="M6717" s="241">
        <v>1373.2809999999999</v>
      </c>
    </row>
    <row r="6718" spans="3:13" hidden="1" outlineLevel="1" x14ac:dyDescent="0.2">
      <c r="C6718" s="139">
        <v>185.99999999999372</v>
      </c>
      <c r="D6718" s="28">
        <f t="shared" si="305"/>
        <v>1487.9999999999498</v>
      </c>
      <c r="E6718" s="28">
        <f t="shared" si="306"/>
        <v>1394.9999999999529</v>
      </c>
      <c r="F6718" s="28">
        <f t="shared" si="307"/>
        <v>1376.9999999999529</v>
      </c>
      <c r="G6718" s="28">
        <f t="shared" si="308"/>
        <v>1296.4983</v>
      </c>
      <c r="H6718" s="28">
        <f t="shared" si="309"/>
        <v>1347.0359000000001</v>
      </c>
      <c r="I6718" s="28">
        <f t="shared" si="310"/>
        <v>1373.2809999999999</v>
      </c>
      <c r="J6718" s="28">
        <f t="shared" si="311"/>
        <v>1394.3453</v>
      </c>
      <c r="K6718" s="28">
        <f t="shared" si="312"/>
        <v>1431.5063</v>
      </c>
      <c r="L6718" s="4"/>
      <c r="M6718" s="241">
        <v>1373.2809999999999</v>
      </c>
    </row>
    <row r="6719" spans="3:13" hidden="1" outlineLevel="1" x14ac:dyDescent="0.2">
      <c r="C6719" s="139">
        <v>186.09999999999371</v>
      </c>
      <c r="D6719" s="28">
        <f t="shared" si="305"/>
        <v>1488.7999999999497</v>
      </c>
      <c r="E6719" s="28">
        <f t="shared" si="306"/>
        <v>1395.7499999999529</v>
      </c>
      <c r="F6719" s="28">
        <f t="shared" si="307"/>
        <v>1377.7499999999529</v>
      </c>
      <c r="G6719" s="28">
        <f t="shared" si="308"/>
        <v>1297.4825000000001</v>
      </c>
      <c r="H6719" s="28">
        <f t="shared" si="309"/>
        <v>1348.0359000000001</v>
      </c>
      <c r="I6719" s="28">
        <f t="shared" si="310"/>
        <v>1374.3</v>
      </c>
      <c r="J6719" s="28">
        <f t="shared" si="311"/>
        <v>1395.3818000000001</v>
      </c>
      <c r="K6719" s="28">
        <f t="shared" si="312"/>
        <v>1432.5698</v>
      </c>
      <c r="L6719" s="4"/>
      <c r="M6719" s="241">
        <v>1374.3</v>
      </c>
    </row>
    <row r="6720" spans="3:13" hidden="1" outlineLevel="1" x14ac:dyDescent="0.2">
      <c r="C6720" s="139">
        <v>186.19999999999371</v>
      </c>
      <c r="D6720" s="28">
        <f t="shared" si="305"/>
        <v>1489.5999999999497</v>
      </c>
      <c r="E6720" s="28">
        <f t="shared" si="306"/>
        <v>1396.4999999999527</v>
      </c>
      <c r="F6720" s="28">
        <f t="shared" si="307"/>
        <v>1378.4999999999527</v>
      </c>
      <c r="G6720" s="28">
        <f t="shared" si="308"/>
        <v>1298.4458</v>
      </c>
      <c r="H6720" s="28">
        <f t="shared" si="309"/>
        <v>1349.0358000000001</v>
      </c>
      <c r="I6720" s="28">
        <f t="shared" si="310"/>
        <v>1375.3190999999999</v>
      </c>
      <c r="J6720" s="28">
        <f t="shared" si="311"/>
        <v>1396.4183</v>
      </c>
      <c r="K6720" s="28">
        <f t="shared" si="312"/>
        <v>1433.6101000000001</v>
      </c>
      <c r="L6720" s="4"/>
      <c r="M6720" s="241">
        <v>1375.3190999999999</v>
      </c>
    </row>
    <row r="6721" spans="3:13" hidden="1" outlineLevel="1" x14ac:dyDescent="0.2">
      <c r="C6721" s="139">
        <v>186.2999999999937</v>
      </c>
      <c r="D6721" s="28">
        <f t="shared" si="305"/>
        <v>1490.3999999999496</v>
      </c>
      <c r="E6721" s="28">
        <f t="shared" si="306"/>
        <v>1397.2499999999527</v>
      </c>
      <c r="F6721" s="28">
        <f t="shared" si="307"/>
        <v>1379.2499999999527</v>
      </c>
      <c r="G6721" s="28">
        <f t="shared" si="308"/>
        <v>1299.4302</v>
      </c>
      <c r="H6721" s="28">
        <f t="shared" si="309"/>
        <v>1350.0359000000001</v>
      </c>
      <c r="I6721" s="28">
        <f t="shared" si="310"/>
        <v>1376.3381999999999</v>
      </c>
      <c r="J6721" s="28">
        <f t="shared" si="311"/>
        <v>1397.4315999999999</v>
      </c>
      <c r="K6721" s="28">
        <f t="shared" si="312"/>
        <v>1434.6736000000001</v>
      </c>
      <c r="L6721" s="4"/>
      <c r="M6721" s="241">
        <v>1376.3381999999999</v>
      </c>
    </row>
    <row r="6722" spans="3:13" hidden="1" outlineLevel="1" x14ac:dyDescent="0.2">
      <c r="C6722" s="139">
        <v>186.3999999999937</v>
      </c>
      <c r="D6722" s="28">
        <f t="shared" si="305"/>
        <v>1491.1999999999496</v>
      </c>
      <c r="E6722" s="28">
        <f t="shared" si="306"/>
        <v>1397.9999999999527</v>
      </c>
      <c r="F6722" s="28">
        <f t="shared" si="307"/>
        <v>1379.9999999999527</v>
      </c>
      <c r="G6722" s="28">
        <f t="shared" si="308"/>
        <v>1299.4302</v>
      </c>
      <c r="H6722" s="28">
        <f t="shared" si="309"/>
        <v>1350.0359000000001</v>
      </c>
      <c r="I6722" s="28">
        <f t="shared" si="310"/>
        <v>1376.3381999999999</v>
      </c>
      <c r="J6722" s="28">
        <f t="shared" si="311"/>
        <v>1397.4315999999999</v>
      </c>
      <c r="K6722" s="28">
        <f t="shared" si="312"/>
        <v>1434.6736000000001</v>
      </c>
      <c r="L6722" s="4"/>
      <c r="M6722" s="241">
        <v>1376.3381999999999</v>
      </c>
    </row>
    <row r="6723" spans="3:13" hidden="1" outlineLevel="1" x14ac:dyDescent="0.2">
      <c r="C6723" s="139">
        <v>186.49999999999369</v>
      </c>
      <c r="D6723" s="28">
        <f t="shared" si="305"/>
        <v>1491.9999999999495</v>
      </c>
      <c r="E6723" s="28">
        <f t="shared" si="306"/>
        <v>1398.7499999999527</v>
      </c>
      <c r="F6723" s="28">
        <f t="shared" si="307"/>
        <v>1380.7499999999527</v>
      </c>
      <c r="G6723" s="28">
        <f t="shared" si="308"/>
        <v>1300.4146000000001</v>
      </c>
      <c r="H6723" s="28">
        <f t="shared" si="309"/>
        <v>1351.0359000000001</v>
      </c>
      <c r="I6723" s="28">
        <f t="shared" si="310"/>
        <v>1377.3572999999999</v>
      </c>
      <c r="J6723" s="28">
        <f t="shared" si="311"/>
        <v>1398.4682</v>
      </c>
      <c r="K6723" s="28">
        <f t="shared" si="312"/>
        <v>1435.7139999999999</v>
      </c>
      <c r="L6723" s="4"/>
      <c r="M6723" s="241">
        <v>1377.3572999999999</v>
      </c>
    </row>
    <row r="6724" spans="3:13" hidden="1" outlineLevel="1" x14ac:dyDescent="0.2">
      <c r="C6724" s="139">
        <v>186.59999999999368</v>
      </c>
      <c r="D6724" s="28">
        <f t="shared" si="305"/>
        <v>1492.7999999999495</v>
      </c>
      <c r="E6724" s="28">
        <f t="shared" si="306"/>
        <v>1399.4999999999527</v>
      </c>
      <c r="F6724" s="28">
        <f t="shared" si="307"/>
        <v>1381.4999999999527</v>
      </c>
      <c r="G6724" s="28">
        <f t="shared" si="308"/>
        <v>1301.3779999999999</v>
      </c>
      <c r="H6724" s="28">
        <f t="shared" si="309"/>
        <v>1352.0360000000001</v>
      </c>
      <c r="I6724" s="28">
        <f t="shared" si="310"/>
        <v>1378.3765000000001</v>
      </c>
      <c r="J6724" s="28">
        <f t="shared" si="311"/>
        <v>1399.4815000000001</v>
      </c>
      <c r="K6724" s="28">
        <f t="shared" si="312"/>
        <v>1436.7775999999999</v>
      </c>
      <c r="L6724" s="4"/>
      <c r="M6724" s="241">
        <v>1378.3765000000001</v>
      </c>
    </row>
    <row r="6725" spans="3:13" hidden="1" outlineLevel="1" x14ac:dyDescent="0.2">
      <c r="C6725" s="139">
        <v>186.69999999999368</v>
      </c>
      <c r="D6725" s="28">
        <f t="shared" si="305"/>
        <v>1493.5999999999494</v>
      </c>
      <c r="E6725" s="28">
        <f t="shared" si="306"/>
        <v>1400.2499999999527</v>
      </c>
      <c r="F6725" s="28">
        <f t="shared" si="307"/>
        <v>1382.2499999999527</v>
      </c>
      <c r="G6725" s="28">
        <f t="shared" si="308"/>
        <v>1302.3625</v>
      </c>
      <c r="H6725" s="28">
        <f t="shared" si="309"/>
        <v>1353.0361</v>
      </c>
      <c r="I6725" s="28">
        <f t="shared" si="310"/>
        <v>1379.3746000000001</v>
      </c>
      <c r="J6725" s="28">
        <f t="shared" si="311"/>
        <v>1400.5181</v>
      </c>
      <c r="K6725" s="28">
        <f t="shared" si="312"/>
        <v>1437.8179</v>
      </c>
      <c r="L6725" s="4"/>
      <c r="M6725" s="241">
        <v>1379.3746000000001</v>
      </c>
    </row>
    <row r="6726" spans="3:13" hidden="1" outlineLevel="1" x14ac:dyDescent="0.2">
      <c r="C6726" s="139">
        <v>186.79999999999367</v>
      </c>
      <c r="D6726" s="28">
        <f t="shared" si="305"/>
        <v>1494.3999999999494</v>
      </c>
      <c r="E6726" s="28">
        <f t="shared" si="306"/>
        <v>1400.9999999999525</v>
      </c>
      <c r="F6726" s="28">
        <f t="shared" si="307"/>
        <v>1382.9999999999525</v>
      </c>
      <c r="G6726" s="28">
        <f t="shared" si="308"/>
        <v>1302.3625</v>
      </c>
      <c r="H6726" s="28">
        <f t="shared" si="309"/>
        <v>1353.0361</v>
      </c>
      <c r="I6726" s="28">
        <f t="shared" si="310"/>
        <v>1379.3746000000001</v>
      </c>
      <c r="J6726" s="28">
        <f t="shared" si="311"/>
        <v>1400.5181</v>
      </c>
      <c r="K6726" s="28">
        <f t="shared" si="312"/>
        <v>1437.8179</v>
      </c>
      <c r="L6726" s="4"/>
      <c r="M6726" s="241">
        <v>1379.3746000000001</v>
      </c>
    </row>
    <row r="6727" spans="3:13" hidden="1" outlineLevel="1" x14ac:dyDescent="0.2">
      <c r="C6727" s="139">
        <v>186.89999999999367</v>
      </c>
      <c r="D6727" s="28">
        <f t="shared" si="305"/>
        <v>1495.1999999999493</v>
      </c>
      <c r="E6727" s="28">
        <f t="shared" si="306"/>
        <v>1401.7499999999525</v>
      </c>
      <c r="F6727" s="28">
        <f t="shared" si="307"/>
        <v>1383.7499999999525</v>
      </c>
      <c r="G6727" s="28">
        <f t="shared" si="308"/>
        <v>1303.326</v>
      </c>
      <c r="H6727" s="28">
        <f t="shared" si="309"/>
        <v>1354.0363</v>
      </c>
      <c r="I6727" s="28">
        <f t="shared" si="310"/>
        <v>1380.3938000000001</v>
      </c>
      <c r="J6727" s="28">
        <f t="shared" si="311"/>
        <v>1401.5546999999999</v>
      </c>
      <c r="K6727" s="28">
        <f t="shared" si="312"/>
        <v>1438.8815</v>
      </c>
      <c r="L6727" s="4"/>
      <c r="M6727" s="241">
        <v>1380.3938000000001</v>
      </c>
    </row>
    <row r="6728" spans="3:13" hidden="1" outlineLevel="1" x14ac:dyDescent="0.2">
      <c r="C6728" s="139">
        <v>186.99999999999366</v>
      </c>
      <c r="D6728" s="28">
        <f t="shared" si="305"/>
        <v>1495.9999999999493</v>
      </c>
      <c r="E6728" s="28">
        <f t="shared" si="306"/>
        <v>1402.4999999999525</v>
      </c>
      <c r="F6728" s="28">
        <f t="shared" si="307"/>
        <v>1384.4999999999525</v>
      </c>
      <c r="G6728" s="28">
        <f t="shared" si="308"/>
        <v>1304.3106</v>
      </c>
      <c r="H6728" s="28">
        <f t="shared" si="309"/>
        <v>1355.0364</v>
      </c>
      <c r="I6728" s="28">
        <f t="shared" si="310"/>
        <v>1381.413</v>
      </c>
      <c r="J6728" s="28">
        <f t="shared" si="311"/>
        <v>1402.5681</v>
      </c>
      <c r="K6728" s="28">
        <f t="shared" si="312"/>
        <v>1439.922</v>
      </c>
      <c r="L6728" s="4"/>
      <c r="M6728" s="241">
        <v>1381.413</v>
      </c>
    </row>
    <row r="6729" spans="3:13" hidden="1" outlineLevel="1" x14ac:dyDescent="0.2">
      <c r="C6729" s="139">
        <v>187.09999999999366</v>
      </c>
      <c r="D6729" s="28">
        <f t="shared" si="305"/>
        <v>1496.7999999999493</v>
      </c>
      <c r="E6729" s="28">
        <f t="shared" si="306"/>
        <v>1403.2499999999525</v>
      </c>
      <c r="F6729" s="28">
        <f t="shared" si="307"/>
        <v>1385.2499999999525</v>
      </c>
      <c r="G6729" s="28">
        <f t="shared" si="308"/>
        <v>1305.2953</v>
      </c>
      <c r="H6729" s="28">
        <f t="shared" si="309"/>
        <v>1356.0365999999999</v>
      </c>
      <c r="I6729" s="28">
        <f t="shared" si="310"/>
        <v>1382.4322999999999</v>
      </c>
      <c r="J6729" s="28">
        <f t="shared" si="311"/>
        <v>1403.6048000000001</v>
      </c>
      <c r="K6729" s="28">
        <f t="shared" si="312"/>
        <v>1440.9856</v>
      </c>
      <c r="L6729" s="4"/>
      <c r="M6729" s="241">
        <v>1382.4322999999999</v>
      </c>
    </row>
    <row r="6730" spans="3:13" hidden="1" outlineLevel="1" x14ac:dyDescent="0.2">
      <c r="C6730" s="139">
        <v>187.19999999999365</v>
      </c>
      <c r="D6730" s="28">
        <f t="shared" si="305"/>
        <v>1497.5999999999492</v>
      </c>
      <c r="E6730" s="28">
        <f t="shared" si="306"/>
        <v>1403.9999999999525</v>
      </c>
      <c r="F6730" s="28">
        <f t="shared" si="307"/>
        <v>1385.9999999999525</v>
      </c>
      <c r="G6730" s="28">
        <f t="shared" si="308"/>
        <v>1305.2953</v>
      </c>
      <c r="H6730" s="28">
        <f t="shared" si="309"/>
        <v>1356.0365999999999</v>
      </c>
      <c r="I6730" s="28">
        <f t="shared" si="310"/>
        <v>1382.4322999999999</v>
      </c>
      <c r="J6730" s="28">
        <f t="shared" si="311"/>
        <v>1403.6048000000001</v>
      </c>
      <c r="K6730" s="28">
        <f t="shared" si="312"/>
        <v>1440.9856</v>
      </c>
      <c r="L6730" s="4"/>
      <c r="M6730" s="241">
        <v>1382.4322999999999</v>
      </c>
    </row>
    <row r="6731" spans="3:13" hidden="1" outlineLevel="1" x14ac:dyDescent="0.2">
      <c r="C6731" s="139">
        <v>187.29999999999364</v>
      </c>
      <c r="D6731" s="28">
        <f t="shared" si="305"/>
        <v>1498.3999999999492</v>
      </c>
      <c r="E6731" s="28">
        <f t="shared" si="306"/>
        <v>1404.7499999999523</v>
      </c>
      <c r="F6731" s="28">
        <f t="shared" si="307"/>
        <v>1386.7499999999523</v>
      </c>
      <c r="G6731" s="28">
        <f t="shared" si="308"/>
        <v>1306.2589</v>
      </c>
      <c r="H6731" s="28">
        <f t="shared" si="309"/>
        <v>1357.0369000000001</v>
      </c>
      <c r="I6731" s="28">
        <f t="shared" si="310"/>
        <v>1383.4516000000001</v>
      </c>
      <c r="J6731" s="28">
        <f t="shared" si="311"/>
        <v>1404.6415</v>
      </c>
      <c r="K6731" s="28">
        <f t="shared" si="312"/>
        <v>1442.0260000000001</v>
      </c>
      <c r="L6731" s="4"/>
      <c r="M6731" s="241">
        <v>1383.4516000000001</v>
      </c>
    </row>
    <row r="6732" spans="3:13" hidden="1" outlineLevel="1" x14ac:dyDescent="0.2">
      <c r="C6732" s="139">
        <v>187.39999999999364</v>
      </c>
      <c r="D6732" s="28">
        <f t="shared" si="305"/>
        <v>1499.1999999999491</v>
      </c>
      <c r="E6732" s="28">
        <f t="shared" si="306"/>
        <v>1405.4999999999523</v>
      </c>
      <c r="F6732" s="28">
        <f t="shared" si="307"/>
        <v>1387.4999999999523</v>
      </c>
      <c r="G6732" s="28">
        <f t="shared" si="308"/>
        <v>1307.2437</v>
      </c>
      <c r="H6732" s="28">
        <f t="shared" si="309"/>
        <v>1358.0371</v>
      </c>
      <c r="I6732" s="28">
        <f t="shared" si="310"/>
        <v>1384.4496999999999</v>
      </c>
      <c r="J6732" s="28">
        <f t="shared" si="311"/>
        <v>1405.655</v>
      </c>
      <c r="K6732" s="28">
        <f t="shared" si="312"/>
        <v>1443.0897</v>
      </c>
      <c r="L6732" s="4"/>
      <c r="M6732" s="241">
        <v>1384.4496999999999</v>
      </c>
    </row>
    <row r="6733" spans="3:13" hidden="1" outlineLevel="1" x14ac:dyDescent="0.2">
      <c r="C6733" s="139">
        <v>187.49999999999363</v>
      </c>
      <c r="D6733" s="28">
        <f t="shared" si="305"/>
        <v>1499.9999999999491</v>
      </c>
      <c r="E6733" s="28">
        <f t="shared" si="306"/>
        <v>1406.2499999999523</v>
      </c>
      <c r="F6733" s="28">
        <f t="shared" si="307"/>
        <v>1388.2499999999523</v>
      </c>
      <c r="G6733" s="28">
        <f t="shared" si="308"/>
        <v>1308.2074</v>
      </c>
      <c r="H6733" s="28">
        <f t="shared" si="309"/>
        <v>1359.0373999999999</v>
      </c>
      <c r="I6733" s="28">
        <f t="shared" si="310"/>
        <v>1385.4691</v>
      </c>
      <c r="J6733" s="28">
        <f t="shared" si="311"/>
        <v>1406.6917000000001</v>
      </c>
      <c r="K6733" s="28">
        <f t="shared" si="312"/>
        <v>1444.1302000000001</v>
      </c>
      <c r="L6733" s="4"/>
      <c r="M6733" s="241">
        <v>1385.4691</v>
      </c>
    </row>
    <row r="6734" spans="3:13" hidden="1" outlineLevel="1" x14ac:dyDescent="0.2">
      <c r="C6734" s="139">
        <v>187.59999999999363</v>
      </c>
      <c r="D6734" s="28">
        <f t="shared" si="305"/>
        <v>1500.799999999949</v>
      </c>
      <c r="E6734" s="28">
        <f t="shared" si="306"/>
        <v>1406.9999999999523</v>
      </c>
      <c r="F6734" s="28">
        <f t="shared" si="307"/>
        <v>1388.9999999999523</v>
      </c>
      <c r="G6734" s="28">
        <f t="shared" si="308"/>
        <v>1308.2074</v>
      </c>
      <c r="H6734" s="28">
        <f t="shared" si="309"/>
        <v>1359.0373999999999</v>
      </c>
      <c r="I6734" s="28">
        <f t="shared" si="310"/>
        <v>1385.4691</v>
      </c>
      <c r="J6734" s="28">
        <f t="shared" si="311"/>
        <v>1406.6917000000001</v>
      </c>
      <c r="K6734" s="28">
        <f t="shared" si="312"/>
        <v>1444.1302000000001</v>
      </c>
      <c r="L6734" s="4"/>
      <c r="M6734" s="241">
        <v>1385.4691</v>
      </c>
    </row>
    <row r="6735" spans="3:13" hidden="1" outlineLevel="1" x14ac:dyDescent="0.2">
      <c r="C6735" s="139">
        <v>187.69999999999362</v>
      </c>
      <c r="D6735" s="28">
        <f t="shared" si="305"/>
        <v>1501.599999999949</v>
      </c>
      <c r="E6735" s="28">
        <f t="shared" si="306"/>
        <v>1407.7499999999523</v>
      </c>
      <c r="F6735" s="28">
        <f t="shared" si="307"/>
        <v>1389.7499999999523</v>
      </c>
      <c r="G6735" s="28">
        <f t="shared" si="308"/>
        <v>1309.1922999999999</v>
      </c>
      <c r="H6735" s="28">
        <f t="shared" si="309"/>
        <v>1360.059</v>
      </c>
      <c r="I6735" s="28">
        <f t="shared" si="310"/>
        <v>1386.4884999999999</v>
      </c>
      <c r="J6735" s="28">
        <f t="shared" si="311"/>
        <v>1407.7052000000001</v>
      </c>
      <c r="K6735" s="28">
        <f t="shared" si="312"/>
        <v>1445.1939</v>
      </c>
      <c r="L6735" s="4"/>
      <c r="M6735" s="241">
        <v>1386.4884999999999</v>
      </c>
    </row>
    <row r="6736" spans="3:13" hidden="1" outlineLevel="1" x14ac:dyDescent="0.2">
      <c r="C6736" s="139">
        <v>187.79999999999362</v>
      </c>
      <c r="D6736" s="28">
        <f t="shared" si="305"/>
        <v>1502.3999999999489</v>
      </c>
      <c r="E6736" s="28">
        <f t="shared" si="306"/>
        <v>1408.499999999952</v>
      </c>
      <c r="F6736" s="28">
        <f t="shared" si="307"/>
        <v>1390.499999999952</v>
      </c>
      <c r="G6736" s="28">
        <f t="shared" si="308"/>
        <v>1310.1772000000001</v>
      </c>
      <c r="H6736" s="28">
        <f t="shared" si="309"/>
        <v>1361.0592999999999</v>
      </c>
      <c r="I6736" s="28">
        <f t="shared" si="310"/>
        <v>1387.5079000000001</v>
      </c>
      <c r="J6736" s="28">
        <f t="shared" si="311"/>
        <v>1408.742</v>
      </c>
      <c r="K6736" s="28">
        <f t="shared" si="312"/>
        <v>1446.2344000000001</v>
      </c>
      <c r="L6736" s="4"/>
      <c r="M6736" s="241">
        <v>1387.5079000000001</v>
      </c>
    </row>
    <row r="6737" spans="3:13" hidden="1" outlineLevel="1" x14ac:dyDescent="0.2">
      <c r="C6737" s="139">
        <v>187.89999999999361</v>
      </c>
      <c r="D6737" s="28">
        <f t="shared" si="305"/>
        <v>1503.1999999999489</v>
      </c>
      <c r="E6737" s="28">
        <f t="shared" si="306"/>
        <v>1409.249999999952</v>
      </c>
      <c r="F6737" s="28">
        <f t="shared" si="307"/>
        <v>1391.249999999952</v>
      </c>
      <c r="G6737" s="28">
        <f t="shared" si="308"/>
        <v>1311.1410000000001</v>
      </c>
      <c r="H6737" s="28">
        <f t="shared" si="309"/>
        <v>1362.0597</v>
      </c>
      <c r="I6737" s="28">
        <f t="shared" si="310"/>
        <v>1388.5273</v>
      </c>
      <c r="J6737" s="28">
        <f t="shared" si="311"/>
        <v>1409.7788</v>
      </c>
      <c r="K6737" s="28">
        <f t="shared" si="312"/>
        <v>1447.2747999999999</v>
      </c>
      <c r="L6737" s="4"/>
      <c r="M6737" s="241">
        <v>1388.5273</v>
      </c>
    </row>
    <row r="6738" spans="3:13" hidden="1" outlineLevel="1" x14ac:dyDescent="0.2">
      <c r="C6738" s="139">
        <v>187.99999999999361</v>
      </c>
      <c r="D6738" s="28">
        <f t="shared" si="305"/>
        <v>1503.9999999999488</v>
      </c>
      <c r="E6738" s="28">
        <f t="shared" si="306"/>
        <v>1409.999999999952</v>
      </c>
      <c r="F6738" s="28">
        <f t="shared" si="307"/>
        <v>1391.999999999952</v>
      </c>
      <c r="G6738" s="28">
        <f t="shared" si="308"/>
        <v>1311.1410000000001</v>
      </c>
      <c r="H6738" s="28">
        <f t="shared" si="309"/>
        <v>1362.0597</v>
      </c>
      <c r="I6738" s="28">
        <f t="shared" si="310"/>
        <v>1388.5273</v>
      </c>
      <c r="J6738" s="28">
        <f t="shared" si="311"/>
        <v>1409.7788</v>
      </c>
      <c r="K6738" s="28">
        <f t="shared" si="312"/>
        <v>1447.2747999999999</v>
      </c>
      <c r="L6738" s="4"/>
      <c r="M6738" s="241">
        <v>1388.5273</v>
      </c>
    </row>
    <row r="6739" spans="3:13" hidden="1" outlineLevel="1" x14ac:dyDescent="0.2">
      <c r="C6739" s="139">
        <v>188.0999999999936</v>
      </c>
      <c r="D6739" s="28">
        <f t="shared" si="305"/>
        <v>1504.7999999999488</v>
      </c>
      <c r="E6739" s="28">
        <f t="shared" si="306"/>
        <v>1410.749999999952</v>
      </c>
      <c r="F6739" s="28">
        <f t="shared" si="307"/>
        <v>1392.749999999952</v>
      </c>
      <c r="G6739" s="28">
        <f t="shared" si="308"/>
        <v>1312.1261</v>
      </c>
      <c r="H6739" s="28">
        <f t="shared" si="309"/>
        <v>1363.0601999999999</v>
      </c>
      <c r="I6739" s="28">
        <f t="shared" si="310"/>
        <v>1389.5468000000001</v>
      </c>
      <c r="J6739" s="28">
        <f t="shared" si="311"/>
        <v>1410.7923000000001</v>
      </c>
      <c r="K6739" s="28">
        <f t="shared" si="312"/>
        <v>1448.3387</v>
      </c>
      <c r="L6739" s="4"/>
      <c r="M6739" s="241">
        <v>1389.5468000000001</v>
      </c>
    </row>
    <row r="6740" spans="3:13" hidden="1" outlineLevel="1" x14ac:dyDescent="0.2">
      <c r="C6740" s="139">
        <v>188.19999999999359</v>
      </c>
      <c r="D6740" s="28">
        <f t="shared" si="305"/>
        <v>1505.5999999999487</v>
      </c>
      <c r="E6740" s="28">
        <f t="shared" si="306"/>
        <v>1411.499999999952</v>
      </c>
      <c r="F6740" s="28">
        <f t="shared" si="307"/>
        <v>1393.499999999952</v>
      </c>
      <c r="G6740" s="28">
        <f t="shared" si="308"/>
        <v>1313.09</v>
      </c>
      <c r="H6740" s="28">
        <f t="shared" si="309"/>
        <v>1364.0606</v>
      </c>
      <c r="I6740" s="28">
        <f t="shared" si="310"/>
        <v>1390.5450000000001</v>
      </c>
      <c r="J6740" s="28">
        <f t="shared" si="311"/>
        <v>1411.8291999999999</v>
      </c>
      <c r="K6740" s="28">
        <f t="shared" si="312"/>
        <v>1449.3791000000001</v>
      </c>
      <c r="L6740" s="4"/>
      <c r="M6740" s="241">
        <v>1390.5450000000001</v>
      </c>
    </row>
    <row r="6741" spans="3:13" hidden="1" outlineLevel="1" x14ac:dyDescent="0.2">
      <c r="C6741" s="139">
        <v>188.29999999999359</v>
      </c>
      <c r="D6741" s="28">
        <f t="shared" si="305"/>
        <v>1506.3999999999487</v>
      </c>
      <c r="E6741" s="28">
        <f t="shared" si="306"/>
        <v>1412.2499999999518</v>
      </c>
      <c r="F6741" s="28">
        <f t="shared" si="307"/>
        <v>1394.2499999999518</v>
      </c>
      <c r="G6741" s="28">
        <f t="shared" si="308"/>
        <v>1314.0751</v>
      </c>
      <c r="H6741" s="28">
        <f t="shared" si="309"/>
        <v>1365.0610999999999</v>
      </c>
      <c r="I6741" s="28">
        <f t="shared" si="310"/>
        <v>1391.5645</v>
      </c>
      <c r="J6741" s="28">
        <f t="shared" si="311"/>
        <v>1412.8426999999999</v>
      </c>
      <c r="K6741" s="28">
        <f t="shared" si="312"/>
        <v>1450.443</v>
      </c>
      <c r="L6741" s="4"/>
      <c r="M6741" s="241">
        <v>1391.5645</v>
      </c>
    </row>
    <row r="6742" spans="3:13" hidden="1" outlineLevel="1" x14ac:dyDescent="0.2">
      <c r="C6742" s="139">
        <v>188.39999999999358</v>
      </c>
      <c r="D6742" s="28">
        <f t="shared" si="305"/>
        <v>1507.1999999999487</v>
      </c>
      <c r="E6742" s="28">
        <f t="shared" si="306"/>
        <v>1412.9999999999518</v>
      </c>
      <c r="F6742" s="28">
        <f t="shared" si="307"/>
        <v>1394.9999999999518</v>
      </c>
      <c r="G6742" s="28">
        <f t="shared" si="308"/>
        <v>1314.0751</v>
      </c>
      <c r="H6742" s="28">
        <f t="shared" si="309"/>
        <v>1365.0610999999999</v>
      </c>
      <c r="I6742" s="28">
        <f t="shared" si="310"/>
        <v>1391.5645</v>
      </c>
      <c r="J6742" s="28">
        <f t="shared" si="311"/>
        <v>1412.8426999999999</v>
      </c>
      <c r="K6742" s="28">
        <f t="shared" si="312"/>
        <v>1450.443</v>
      </c>
      <c r="L6742" s="4"/>
      <c r="M6742" s="241">
        <v>1391.5645</v>
      </c>
    </row>
    <row r="6743" spans="3:13" hidden="1" outlineLevel="1" x14ac:dyDescent="0.2">
      <c r="C6743" s="139">
        <v>188.49999999999358</v>
      </c>
      <c r="D6743" s="28">
        <f t="shared" si="305"/>
        <v>1507.9999999999486</v>
      </c>
      <c r="E6743" s="28">
        <f t="shared" si="306"/>
        <v>1413.7499999999518</v>
      </c>
      <c r="F6743" s="28">
        <f t="shared" si="307"/>
        <v>1395.7499999999518</v>
      </c>
      <c r="G6743" s="28">
        <f t="shared" si="308"/>
        <v>1315.0604000000001</v>
      </c>
      <c r="H6743" s="28">
        <f t="shared" si="309"/>
        <v>1366.0617</v>
      </c>
      <c r="I6743" s="28">
        <f t="shared" si="310"/>
        <v>1392.5840000000001</v>
      </c>
      <c r="J6743" s="28">
        <f t="shared" si="311"/>
        <v>1413.8796</v>
      </c>
      <c r="K6743" s="28">
        <f t="shared" si="312"/>
        <v>1451.4835</v>
      </c>
      <c r="L6743" s="4"/>
      <c r="M6743" s="241">
        <v>1392.5840000000001</v>
      </c>
    </row>
    <row r="6744" spans="3:13" hidden="1" outlineLevel="1" x14ac:dyDescent="0.2">
      <c r="C6744" s="139">
        <v>188.59999999999357</v>
      </c>
      <c r="D6744" s="28">
        <f t="shared" si="305"/>
        <v>1508.7999999999486</v>
      </c>
      <c r="E6744" s="28">
        <f t="shared" si="306"/>
        <v>1414.4999999999518</v>
      </c>
      <c r="F6744" s="28">
        <f t="shared" si="307"/>
        <v>1396.4999999999518</v>
      </c>
      <c r="G6744" s="28">
        <f t="shared" si="308"/>
        <v>1316.0244</v>
      </c>
      <c r="H6744" s="28">
        <f t="shared" si="309"/>
        <v>1367.0622000000001</v>
      </c>
      <c r="I6744" s="28">
        <f t="shared" si="310"/>
        <v>1393.6035999999999</v>
      </c>
      <c r="J6744" s="28">
        <f t="shared" si="311"/>
        <v>1414.9166</v>
      </c>
      <c r="K6744" s="28">
        <f t="shared" si="312"/>
        <v>1452.5473999999999</v>
      </c>
      <c r="L6744" s="4"/>
      <c r="M6744" s="241">
        <v>1393.6035999999999</v>
      </c>
    </row>
    <row r="6745" spans="3:13" hidden="1" outlineLevel="1" x14ac:dyDescent="0.2">
      <c r="C6745" s="139">
        <v>188.69999999999357</v>
      </c>
      <c r="D6745" s="28">
        <f t="shared" si="305"/>
        <v>1509.5999999999485</v>
      </c>
      <c r="E6745" s="28">
        <f t="shared" si="306"/>
        <v>1415.2499999999518</v>
      </c>
      <c r="F6745" s="28">
        <f t="shared" si="307"/>
        <v>1397.2499999999518</v>
      </c>
      <c r="G6745" s="28">
        <f t="shared" si="308"/>
        <v>1317.0097000000001</v>
      </c>
      <c r="H6745" s="28">
        <f t="shared" si="309"/>
        <v>1368.0627999999999</v>
      </c>
      <c r="I6745" s="28">
        <f t="shared" si="310"/>
        <v>1394.6232</v>
      </c>
      <c r="J6745" s="28">
        <f t="shared" si="311"/>
        <v>1415.9301</v>
      </c>
      <c r="K6745" s="28">
        <f t="shared" si="312"/>
        <v>1453.5879</v>
      </c>
      <c r="L6745" s="4"/>
      <c r="M6745" s="241">
        <v>1394.6232</v>
      </c>
    </row>
    <row r="6746" spans="3:13" hidden="1" outlineLevel="1" x14ac:dyDescent="0.2">
      <c r="C6746" s="139">
        <v>188.79999999999356</v>
      </c>
      <c r="D6746" s="28">
        <f t="shared" si="305"/>
        <v>1510.3999999999485</v>
      </c>
      <c r="E6746" s="28">
        <f t="shared" si="306"/>
        <v>1415.9999999999518</v>
      </c>
      <c r="F6746" s="28">
        <f t="shared" si="307"/>
        <v>1397.9999999999518</v>
      </c>
      <c r="G6746" s="28">
        <f t="shared" si="308"/>
        <v>1317.0097000000001</v>
      </c>
      <c r="H6746" s="28">
        <f t="shared" si="309"/>
        <v>1368.0627999999999</v>
      </c>
      <c r="I6746" s="28">
        <f t="shared" si="310"/>
        <v>1394.6232</v>
      </c>
      <c r="J6746" s="28">
        <f t="shared" si="311"/>
        <v>1415.9301</v>
      </c>
      <c r="K6746" s="28">
        <f t="shared" si="312"/>
        <v>1453.5879</v>
      </c>
      <c r="L6746" s="4"/>
      <c r="M6746" s="241">
        <v>1394.6232</v>
      </c>
    </row>
    <row r="6747" spans="3:13" hidden="1" outlineLevel="1" x14ac:dyDescent="0.2">
      <c r="C6747" s="139">
        <v>188.89999999999355</v>
      </c>
      <c r="D6747" s="28">
        <f t="shared" si="305"/>
        <v>1511.1999999999484</v>
      </c>
      <c r="E6747" s="28">
        <f t="shared" si="306"/>
        <v>1416.7499999999516</v>
      </c>
      <c r="F6747" s="28">
        <f t="shared" si="307"/>
        <v>1398.7499999999516</v>
      </c>
      <c r="G6747" s="28">
        <f t="shared" si="308"/>
        <v>1317.9738</v>
      </c>
      <c r="H6747" s="28">
        <f t="shared" si="309"/>
        <v>1369.0634</v>
      </c>
      <c r="I6747" s="28">
        <f t="shared" si="310"/>
        <v>1395.6215</v>
      </c>
      <c r="J6747" s="28">
        <f t="shared" si="311"/>
        <v>1416.9672</v>
      </c>
      <c r="K6747" s="28">
        <f t="shared" si="312"/>
        <v>1454.6519000000001</v>
      </c>
      <c r="L6747" s="4"/>
      <c r="M6747" s="241">
        <v>1395.6215</v>
      </c>
    </row>
    <row r="6748" spans="3:13" hidden="1" outlineLevel="1" x14ac:dyDescent="0.2">
      <c r="C6748" s="139">
        <v>188.99999999999355</v>
      </c>
      <c r="D6748" s="28">
        <f t="shared" si="305"/>
        <v>1511.9999999999484</v>
      </c>
      <c r="E6748" s="28">
        <f t="shared" si="306"/>
        <v>1417.4999999999516</v>
      </c>
      <c r="F6748" s="28">
        <f t="shared" si="307"/>
        <v>1399.4999999999516</v>
      </c>
      <c r="G6748" s="28">
        <f t="shared" si="308"/>
        <v>1318.9593</v>
      </c>
      <c r="H6748" s="28">
        <f t="shared" si="309"/>
        <v>1370.0641000000001</v>
      </c>
      <c r="I6748" s="28">
        <f t="shared" si="310"/>
        <v>1396.6412</v>
      </c>
      <c r="J6748" s="28">
        <f t="shared" si="311"/>
        <v>1418.0042000000001</v>
      </c>
      <c r="K6748" s="28">
        <f t="shared" si="312"/>
        <v>1455.6923999999999</v>
      </c>
      <c r="L6748" s="4"/>
      <c r="M6748" s="241">
        <v>1396.6412</v>
      </c>
    </row>
    <row r="6749" spans="3:13" hidden="1" outlineLevel="1" x14ac:dyDescent="0.2">
      <c r="C6749" s="139">
        <v>189.09999999999354</v>
      </c>
      <c r="D6749" s="28">
        <f t="shared" si="305"/>
        <v>1512.7999999999483</v>
      </c>
      <c r="E6749" s="28">
        <f t="shared" si="306"/>
        <v>1418.2499999999516</v>
      </c>
      <c r="F6749" s="28">
        <f t="shared" si="307"/>
        <v>1400.2499999999516</v>
      </c>
      <c r="G6749" s="28">
        <f t="shared" si="308"/>
        <v>1319.9448</v>
      </c>
      <c r="H6749" s="28">
        <f t="shared" si="309"/>
        <v>1371.0648000000001</v>
      </c>
      <c r="I6749" s="28">
        <f t="shared" si="310"/>
        <v>1397.6608000000001</v>
      </c>
      <c r="J6749" s="28">
        <f t="shared" si="311"/>
        <v>1419.0178000000001</v>
      </c>
      <c r="K6749" s="28">
        <f t="shared" si="312"/>
        <v>1456.7564</v>
      </c>
      <c r="L6749" s="4"/>
      <c r="M6749" s="241">
        <v>1397.6608000000001</v>
      </c>
    </row>
    <row r="6750" spans="3:13" hidden="1" outlineLevel="1" x14ac:dyDescent="0.2">
      <c r="C6750" s="139">
        <v>189.19999999999354</v>
      </c>
      <c r="D6750" s="28">
        <f t="shared" si="305"/>
        <v>1513.5999999999483</v>
      </c>
      <c r="E6750" s="28">
        <f t="shared" si="306"/>
        <v>1418.9999999999516</v>
      </c>
      <c r="F6750" s="28">
        <f t="shared" si="307"/>
        <v>1400.9999999999516</v>
      </c>
      <c r="G6750" s="28">
        <f t="shared" si="308"/>
        <v>1319.9448</v>
      </c>
      <c r="H6750" s="28">
        <f t="shared" si="309"/>
        <v>1371.0648000000001</v>
      </c>
      <c r="I6750" s="28">
        <f t="shared" si="310"/>
        <v>1397.6608000000001</v>
      </c>
      <c r="J6750" s="28">
        <f t="shared" si="311"/>
        <v>1419.0178000000001</v>
      </c>
      <c r="K6750" s="28">
        <f t="shared" si="312"/>
        <v>1456.7564</v>
      </c>
      <c r="L6750" s="4"/>
      <c r="M6750" s="241">
        <v>1397.6608000000001</v>
      </c>
    </row>
    <row r="6751" spans="3:13" hidden="1" outlineLevel="1" x14ac:dyDescent="0.2">
      <c r="C6751" s="139">
        <v>189.29999999999353</v>
      </c>
      <c r="D6751" s="28">
        <f t="shared" si="305"/>
        <v>1514.3999999999482</v>
      </c>
      <c r="E6751" s="28">
        <f t="shared" si="306"/>
        <v>1419.7499999999516</v>
      </c>
      <c r="F6751" s="28">
        <f t="shared" si="307"/>
        <v>1401.7499999999516</v>
      </c>
      <c r="G6751" s="28">
        <f t="shared" si="308"/>
        <v>1320.9090000000001</v>
      </c>
      <c r="H6751" s="28">
        <f t="shared" si="309"/>
        <v>1372.0654999999999</v>
      </c>
      <c r="I6751" s="28">
        <f t="shared" si="310"/>
        <v>1398.6804999999999</v>
      </c>
      <c r="J6751" s="28">
        <f t="shared" si="311"/>
        <v>1420.0549000000001</v>
      </c>
      <c r="K6751" s="28">
        <f t="shared" si="312"/>
        <v>1457.797</v>
      </c>
      <c r="L6751" s="4"/>
      <c r="M6751" s="241">
        <v>1398.6804999999999</v>
      </c>
    </row>
    <row r="6752" spans="3:13" hidden="1" outlineLevel="1" x14ac:dyDescent="0.2">
      <c r="C6752" s="139">
        <v>189.39999999999353</v>
      </c>
      <c r="D6752" s="28">
        <f t="shared" si="305"/>
        <v>1515.1999999999482</v>
      </c>
      <c r="E6752" s="28">
        <f t="shared" si="306"/>
        <v>1420.4999999999513</v>
      </c>
      <c r="F6752" s="28">
        <f t="shared" si="307"/>
        <v>1402.4999999999513</v>
      </c>
      <c r="G6752" s="28">
        <f t="shared" si="308"/>
        <v>1321.8946000000001</v>
      </c>
      <c r="H6752" s="28">
        <f t="shared" si="309"/>
        <v>1373.0662</v>
      </c>
      <c r="I6752" s="28">
        <f t="shared" si="310"/>
        <v>1399.7003</v>
      </c>
      <c r="J6752" s="28">
        <f t="shared" si="311"/>
        <v>1421.0685000000001</v>
      </c>
      <c r="K6752" s="28">
        <f t="shared" si="312"/>
        <v>1458.8375000000001</v>
      </c>
      <c r="L6752" s="4"/>
      <c r="M6752" s="241">
        <v>1399.7003</v>
      </c>
    </row>
    <row r="6753" spans="3:13" hidden="1" outlineLevel="1" x14ac:dyDescent="0.2">
      <c r="C6753" s="139">
        <v>189.49999999999352</v>
      </c>
      <c r="D6753" s="28">
        <f t="shared" si="305"/>
        <v>1515.9999999999482</v>
      </c>
      <c r="E6753" s="28">
        <f t="shared" si="306"/>
        <v>1421.2499999999513</v>
      </c>
      <c r="F6753" s="28">
        <f t="shared" si="307"/>
        <v>1403.2499999999513</v>
      </c>
      <c r="G6753" s="28">
        <f t="shared" si="308"/>
        <v>1322.8588</v>
      </c>
      <c r="H6753" s="28">
        <f t="shared" si="309"/>
        <v>1374.067</v>
      </c>
      <c r="I6753" s="28">
        <f t="shared" si="310"/>
        <v>1400.6985999999999</v>
      </c>
      <c r="J6753" s="28">
        <f t="shared" si="311"/>
        <v>1422.1056000000001</v>
      </c>
      <c r="K6753" s="28">
        <f t="shared" si="312"/>
        <v>1459.9015999999999</v>
      </c>
      <c r="L6753" s="4"/>
      <c r="M6753" s="241">
        <v>1400.6985999999999</v>
      </c>
    </row>
    <row r="6754" spans="3:13" hidden="1" outlineLevel="1" x14ac:dyDescent="0.2">
      <c r="C6754" s="139">
        <v>189.59999999999351</v>
      </c>
      <c r="D6754" s="28">
        <f t="shared" si="305"/>
        <v>1516.7999999999481</v>
      </c>
      <c r="E6754" s="28">
        <f t="shared" si="306"/>
        <v>1421.9999999999513</v>
      </c>
      <c r="F6754" s="28">
        <f t="shared" si="307"/>
        <v>1403.9999999999513</v>
      </c>
      <c r="G6754" s="28">
        <f t="shared" si="308"/>
        <v>1322.8588</v>
      </c>
      <c r="H6754" s="28">
        <f t="shared" si="309"/>
        <v>1374.067</v>
      </c>
      <c r="I6754" s="28">
        <f t="shared" si="310"/>
        <v>1400.6985999999999</v>
      </c>
      <c r="J6754" s="28">
        <f t="shared" si="311"/>
        <v>1422.1056000000001</v>
      </c>
      <c r="K6754" s="28">
        <f t="shared" si="312"/>
        <v>1459.9015999999999</v>
      </c>
      <c r="L6754" s="4"/>
      <c r="M6754" s="241">
        <v>1400.6985999999999</v>
      </c>
    </row>
    <row r="6755" spans="3:13" hidden="1" outlineLevel="1" x14ac:dyDescent="0.2">
      <c r="C6755" s="139">
        <v>189.69999999999351</v>
      </c>
      <c r="D6755" s="28">
        <f t="shared" si="305"/>
        <v>1517.5999999999481</v>
      </c>
      <c r="E6755" s="28">
        <f t="shared" si="306"/>
        <v>1422.7499999999513</v>
      </c>
      <c r="F6755" s="28">
        <f t="shared" si="307"/>
        <v>1404.7499999999513</v>
      </c>
      <c r="G6755" s="28">
        <f t="shared" si="308"/>
        <v>1323.8445999999999</v>
      </c>
      <c r="H6755" s="28">
        <f t="shared" si="309"/>
        <v>1375.0678</v>
      </c>
      <c r="I6755" s="28">
        <f t="shared" si="310"/>
        <v>1401.7184</v>
      </c>
      <c r="J6755" s="28">
        <f t="shared" si="311"/>
        <v>1423.1428000000001</v>
      </c>
      <c r="K6755" s="28">
        <f t="shared" si="312"/>
        <v>1460.9422</v>
      </c>
      <c r="L6755" s="4"/>
      <c r="M6755" s="241">
        <v>1401.7184</v>
      </c>
    </row>
    <row r="6756" spans="3:13" hidden="1" outlineLevel="1" x14ac:dyDescent="0.2">
      <c r="C6756" s="139">
        <v>189.7999999999935</v>
      </c>
      <c r="D6756" s="28">
        <f t="shared" si="305"/>
        <v>1518.399999999948</v>
      </c>
      <c r="E6756" s="28">
        <f t="shared" si="306"/>
        <v>1423.4999999999513</v>
      </c>
      <c r="F6756" s="28">
        <f t="shared" si="307"/>
        <v>1405.4999999999513</v>
      </c>
      <c r="G6756" s="28">
        <f t="shared" si="308"/>
        <v>1324.8089</v>
      </c>
      <c r="H6756" s="28">
        <f t="shared" si="309"/>
        <v>1376.0686000000001</v>
      </c>
      <c r="I6756" s="28">
        <f t="shared" si="310"/>
        <v>1402.7382</v>
      </c>
      <c r="J6756" s="28">
        <f t="shared" si="311"/>
        <v>1424.1565000000001</v>
      </c>
      <c r="K6756" s="28">
        <f t="shared" si="312"/>
        <v>1462.0063</v>
      </c>
      <c r="L6756" s="4"/>
      <c r="M6756" s="241">
        <v>1402.7382</v>
      </c>
    </row>
    <row r="6757" spans="3:13" hidden="1" outlineLevel="1" x14ac:dyDescent="0.2">
      <c r="C6757" s="139">
        <v>189.8999999999935</v>
      </c>
      <c r="D6757" s="28">
        <f t="shared" si="305"/>
        <v>1519.199999999948</v>
      </c>
      <c r="E6757" s="28">
        <f t="shared" si="306"/>
        <v>1424.2499999999513</v>
      </c>
      <c r="F6757" s="28">
        <f t="shared" si="307"/>
        <v>1406.2499999999513</v>
      </c>
      <c r="G6757" s="28">
        <f t="shared" si="308"/>
        <v>1325.7947999999999</v>
      </c>
      <c r="H6757" s="28">
        <f t="shared" si="309"/>
        <v>1377.0695000000001</v>
      </c>
      <c r="I6757" s="28">
        <f t="shared" si="310"/>
        <v>1403.7581</v>
      </c>
      <c r="J6757" s="28">
        <f t="shared" si="311"/>
        <v>1425.1937</v>
      </c>
      <c r="K6757" s="28">
        <f t="shared" si="312"/>
        <v>1463.0469000000001</v>
      </c>
      <c r="L6757" s="4"/>
      <c r="M6757" s="241">
        <v>1403.7581</v>
      </c>
    </row>
    <row r="6758" spans="3:13" hidden="1" outlineLevel="1" x14ac:dyDescent="0.2">
      <c r="C6758" s="139">
        <v>189.99999999999349</v>
      </c>
      <c r="D6758" s="28">
        <f t="shared" si="305"/>
        <v>1519.9999999999479</v>
      </c>
      <c r="E6758" s="28">
        <f t="shared" si="306"/>
        <v>1424.9999999999511</v>
      </c>
      <c r="F6758" s="28">
        <f t="shared" si="307"/>
        <v>1406.9999999999511</v>
      </c>
      <c r="G6758" s="28">
        <f t="shared" si="308"/>
        <v>1325.7947999999999</v>
      </c>
      <c r="H6758" s="28">
        <f t="shared" si="309"/>
        <v>1377.0695000000001</v>
      </c>
      <c r="I6758" s="28">
        <f t="shared" si="310"/>
        <v>1403.7581</v>
      </c>
      <c r="J6758" s="28">
        <f t="shared" si="311"/>
        <v>1425.1937</v>
      </c>
      <c r="K6758" s="28">
        <f t="shared" si="312"/>
        <v>1463.0469000000001</v>
      </c>
      <c r="L6758" s="4"/>
      <c r="M6758" s="241">
        <v>1403.7581</v>
      </c>
    </row>
    <row r="6759" spans="3:13" hidden="1" outlineLevel="1" x14ac:dyDescent="0.2">
      <c r="C6759" s="139">
        <v>190.09999999999349</v>
      </c>
      <c r="D6759" s="28">
        <f t="shared" si="305"/>
        <v>1520.7999999999479</v>
      </c>
      <c r="E6759" s="28">
        <f t="shared" si="306"/>
        <v>1425.7499999999511</v>
      </c>
      <c r="F6759" s="28">
        <f t="shared" si="307"/>
        <v>1407.7499999999511</v>
      </c>
      <c r="G6759" s="28">
        <f t="shared" si="308"/>
        <v>1326.7806</v>
      </c>
      <c r="H6759" s="28">
        <f t="shared" si="309"/>
        <v>1378.0704000000001</v>
      </c>
      <c r="I6759" s="28">
        <f t="shared" si="310"/>
        <v>1404.7779</v>
      </c>
      <c r="J6759" s="28">
        <f t="shared" si="311"/>
        <v>1426.2073</v>
      </c>
      <c r="K6759" s="28">
        <f t="shared" si="312"/>
        <v>1464.1111000000001</v>
      </c>
      <c r="L6759" s="4"/>
      <c r="M6759" s="241">
        <v>1404.7779</v>
      </c>
    </row>
    <row r="6760" spans="3:13" hidden="1" outlineLevel="1" x14ac:dyDescent="0.2">
      <c r="C6760" s="139">
        <v>190.19999999999348</v>
      </c>
      <c r="D6760" s="28">
        <f t="shared" si="305"/>
        <v>1521.5999999999478</v>
      </c>
      <c r="E6760" s="28">
        <f t="shared" si="306"/>
        <v>1426.4999999999511</v>
      </c>
      <c r="F6760" s="28">
        <f t="shared" si="307"/>
        <v>1408.4999999999511</v>
      </c>
      <c r="G6760" s="28">
        <f t="shared" si="308"/>
        <v>1327.7451000000001</v>
      </c>
      <c r="H6760" s="28">
        <f t="shared" si="309"/>
        <v>1379.0713000000001</v>
      </c>
      <c r="I6760" s="28">
        <f t="shared" si="310"/>
        <v>1405.7764</v>
      </c>
      <c r="J6760" s="28">
        <f t="shared" si="311"/>
        <v>1427.2446</v>
      </c>
      <c r="K6760" s="28">
        <f t="shared" si="312"/>
        <v>1465.1516999999999</v>
      </c>
      <c r="L6760" s="4"/>
      <c r="M6760" s="241">
        <v>1405.7764</v>
      </c>
    </row>
    <row r="6761" spans="3:13" hidden="1" outlineLevel="1" x14ac:dyDescent="0.2">
      <c r="C6761" s="139">
        <v>190.29999999999347</v>
      </c>
      <c r="D6761" s="28">
        <f t="shared" si="305"/>
        <v>1522.3999999999478</v>
      </c>
      <c r="E6761" s="28">
        <f t="shared" si="306"/>
        <v>1427.2499999999511</v>
      </c>
      <c r="F6761" s="28">
        <f t="shared" si="307"/>
        <v>1409.2499999999511</v>
      </c>
      <c r="G6761" s="28">
        <f t="shared" si="308"/>
        <v>1328.7311</v>
      </c>
      <c r="H6761" s="28">
        <f t="shared" si="309"/>
        <v>1380.0722000000001</v>
      </c>
      <c r="I6761" s="28">
        <f t="shared" si="310"/>
        <v>1406.7963</v>
      </c>
      <c r="J6761" s="28">
        <f t="shared" si="311"/>
        <v>1428.2819</v>
      </c>
      <c r="K6761" s="28">
        <f t="shared" si="312"/>
        <v>1466.2158999999999</v>
      </c>
      <c r="L6761" s="4"/>
      <c r="M6761" s="241">
        <v>1406.7963</v>
      </c>
    </row>
    <row r="6762" spans="3:13" hidden="1" outlineLevel="1" x14ac:dyDescent="0.2">
      <c r="C6762" s="139">
        <v>190.39999999999347</v>
      </c>
      <c r="D6762" s="28">
        <f t="shared" si="305"/>
        <v>1523.1999999999477</v>
      </c>
      <c r="E6762" s="28">
        <f t="shared" si="306"/>
        <v>1427.9999999999511</v>
      </c>
      <c r="F6762" s="28">
        <f t="shared" si="307"/>
        <v>1409.9999999999511</v>
      </c>
      <c r="G6762" s="28">
        <f t="shared" si="308"/>
        <v>1328.7311</v>
      </c>
      <c r="H6762" s="28">
        <f t="shared" si="309"/>
        <v>1380.0722000000001</v>
      </c>
      <c r="I6762" s="28">
        <f t="shared" si="310"/>
        <v>1406.7963</v>
      </c>
      <c r="J6762" s="28">
        <f t="shared" si="311"/>
        <v>1428.2819</v>
      </c>
      <c r="K6762" s="28">
        <f t="shared" si="312"/>
        <v>1466.2158999999999</v>
      </c>
      <c r="L6762" s="4"/>
      <c r="M6762" s="241">
        <v>1406.7963</v>
      </c>
    </row>
    <row r="6763" spans="3:13" hidden="1" outlineLevel="1" x14ac:dyDescent="0.2">
      <c r="C6763" s="139">
        <v>190.49999999999346</v>
      </c>
      <c r="D6763" s="28">
        <f t="shared" si="305"/>
        <v>1523.9999999999477</v>
      </c>
      <c r="E6763" s="28">
        <f t="shared" si="306"/>
        <v>1428.7499999999509</v>
      </c>
      <c r="F6763" s="28">
        <f t="shared" si="307"/>
        <v>1410.7499999999509</v>
      </c>
      <c r="G6763" s="28">
        <f t="shared" si="308"/>
        <v>1329.6957</v>
      </c>
      <c r="H6763" s="28">
        <f t="shared" si="309"/>
        <v>1381.0732</v>
      </c>
      <c r="I6763" s="28">
        <f t="shared" si="310"/>
        <v>1407.8162</v>
      </c>
      <c r="J6763" s="28">
        <f t="shared" si="311"/>
        <v>1429.2955999999999</v>
      </c>
      <c r="K6763" s="28">
        <f t="shared" si="312"/>
        <v>1467.2565</v>
      </c>
      <c r="L6763" s="4"/>
      <c r="M6763" s="241">
        <v>1407.8162</v>
      </c>
    </row>
    <row r="6764" spans="3:13" hidden="1" outlineLevel="1" x14ac:dyDescent="0.2">
      <c r="C6764" s="139">
        <v>190.59999999999346</v>
      </c>
      <c r="D6764" s="28">
        <f t="shared" si="305"/>
        <v>1524.7999999999477</v>
      </c>
      <c r="E6764" s="28">
        <f t="shared" si="306"/>
        <v>1429.4999999999509</v>
      </c>
      <c r="F6764" s="28">
        <f t="shared" si="307"/>
        <v>1411.4999999999509</v>
      </c>
      <c r="G6764" s="28">
        <f t="shared" si="308"/>
        <v>1330.6818000000001</v>
      </c>
      <c r="H6764" s="28">
        <f t="shared" si="309"/>
        <v>1382.0742</v>
      </c>
      <c r="I6764" s="28">
        <f t="shared" si="310"/>
        <v>1408.8362</v>
      </c>
      <c r="J6764" s="28">
        <f t="shared" si="311"/>
        <v>1430.3330000000001</v>
      </c>
      <c r="K6764" s="28">
        <f t="shared" si="312"/>
        <v>1468.3208</v>
      </c>
      <c r="L6764" s="4"/>
      <c r="M6764" s="241">
        <v>1408.8362</v>
      </c>
    </row>
    <row r="6765" spans="3:13" hidden="1" outlineLevel="1" x14ac:dyDescent="0.2">
      <c r="C6765" s="139">
        <v>190.69999999999345</v>
      </c>
      <c r="D6765" s="28">
        <f t="shared" si="305"/>
        <v>1525.5999999999476</v>
      </c>
      <c r="E6765" s="28">
        <f t="shared" si="306"/>
        <v>1430.2499999999509</v>
      </c>
      <c r="F6765" s="28">
        <f t="shared" si="307"/>
        <v>1412.2499999999509</v>
      </c>
      <c r="G6765" s="28">
        <f t="shared" si="308"/>
        <v>1331.6464000000001</v>
      </c>
      <c r="H6765" s="28">
        <f t="shared" si="309"/>
        <v>1383.0753</v>
      </c>
      <c r="I6765" s="28">
        <f t="shared" si="310"/>
        <v>1409.8561999999999</v>
      </c>
      <c r="J6765" s="28">
        <f t="shared" si="311"/>
        <v>1431.3467000000001</v>
      </c>
      <c r="K6765" s="28">
        <f t="shared" si="312"/>
        <v>1469.3614</v>
      </c>
      <c r="L6765" s="4"/>
      <c r="M6765" s="241">
        <v>1409.8561999999999</v>
      </c>
    </row>
    <row r="6766" spans="3:13" hidden="1" outlineLevel="1" x14ac:dyDescent="0.2">
      <c r="C6766" s="139">
        <v>190.79999999999345</v>
      </c>
      <c r="D6766" s="28">
        <f t="shared" si="305"/>
        <v>1526.3999999999476</v>
      </c>
      <c r="E6766" s="28">
        <f t="shared" si="306"/>
        <v>1430.9999999999509</v>
      </c>
      <c r="F6766" s="28">
        <f t="shared" si="307"/>
        <v>1412.9999999999509</v>
      </c>
      <c r="G6766" s="28">
        <f t="shared" si="308"/>
        <v>1331.6464000000001</v>
      </c>
      <c r="H6766" s="28">
        <f t="shared" si="309"/>
        <v>1383.0753</v>
      </c>
      <c r="I6766" s="28">
        <f t="shared" si="310"/>
        <v>1409.8561999999999</v>
      </c>
      <c r="J6766" s="28">
        <f t="shared" si="311"/>
        <v>1431.3467000000001</v>
      </c>
      <c r="K6766" s="28">
        <f t="shared" si="312"/>
        <v>1469.3614</v>
      </c>
      <c r="L6766" s="4"/>
      <c r="M6766" s="241">
        <v>1409.8561999999999</v>
      </c>
    </row>
    <row r="6767" spans="3:13" hidden="1" outlineLevel="1" x14ac:dyDescent="0.2">
      <c r="C6767" s="139">
        <v>190.89999999999344</v>
      </c>
      <c r="D6767" s="28">
        <f t="shared" si="305"/>
        <v>1527.1999999999475</v>
      </c>
      <c r="E6767" s="28">
        <f t="shared" si="306"/>
        <v>1431.7499999999509</v>
      </c>
      <c r="F6767" s="28">
        <f t="shared" si="307"/>
        <v>1413.7499999999509</v>
      </c>
      <c r="G6767" s="28">
        <f t="shared" si="308"/>
        <v>1332.6325999999999</v>
      </c>
      <c r="H6767" s="28">
        <f t="shared" si="309"/>
        <v>1384.0763999999999</v>
      </c>
      <c r="I6767" s="28">
        <f t="shared" si="310"/>
        <v>1410.8547000000001</v>
      </c>
      <c r="J6767" s="28">
        <f t="shared" si="311"/>
        <v>1432.3841</v>
      </c>
      <c r="K6767" s="28">
        <f t="shared" si="312"/>
        <v>1470.402</v>
      </c>
      <c r="L6767" s="4"/>
      <c r="M6767" s="241">
        <v>1410.8547000000001</v>
      </c>
    </row>
    <row r="6768" spans="3:13" hidden="1" outlineLevel="1" x14ac:dyDescent="0.2">
      <c r="C6768" s="139">
        <v>190.99999999999343</v>
      </c>
      <c r="D6768" s="28">
        <f t="shared" si="305"/>
        <v>1527.9999999999475</v>
      </c>
      <c r="E6768" s="28">
        <f t="shared" si="306"/>
        <v>1432.4999999999507</v>
      </c>
      <c r="F6768" s="28">
        <f t="shared" si="307"/>
        <v>1414.4999999999507</v>
      </c>
      <c r="G6768" s="28">
        <f t="shared" si="308"/>
        <v>1333.6188999999999</v>
      </c>
      <c r="H6768" s="28">
        <f t="shared" si="309"/>
        <v>1385.0775000000001</v>
      </c>
      <c r="I6768" s="28">
        <f t="shared" si="310"/>
        <v>1411.8748000000001</v>
      </c>
      <c r="J6768" s="28">
        <f t="shared" si="311"/>
        <v>1433.4215999999999</v>
      </c>
      <c r="K6768" s="28">
        <f t="shared" si="312"/>
        <v>1471.4664</v>
      </c>
      <c r="L6768" s="4"/>
      <c r="M6768" s="241">
        <v>1411.8748000000001</v>
      </c>
    </row>
    <row r="6769" spans="3:13" hidden="1" outlineLevel="1" x14ac:dyDescent="0.2">
      <c r="C6769" s="139">
        <v>191.09999999999343</v>
      </c>
      <c r="D6769" s="28">
        <f t="shared" si="305"/>
        <v>1528.7999999999474</v>
      </c>
      <c r="E6769" s="28">
        <f t="shared" si="306"/>
        <v>1433.2499999999507</v>
      </c>
      <c r="F6769" s="28">
        <f t="shared" si="307"/>
        <v>1415.2499999999507</v>
      </c>
      <c r="G6769" s="28">
        <f t="shared" si="308"/>
        <v>1334.5835999999999</v>
      </c>
      <c r="H6769" s="28">
        <f t="shared" si="309"/>
        <v>1386.0786000000001</v>
      </c>
      <c r="I6769" s="28">
        <f t="shared" si="310"/>
        <v>1412.8949</v>
      </c>
      <c r="J6769" s="28">
        <f t="shared" si="311"/>
        <v>1434.4353000000001</v>
      </c>
      <c r="K6769" s="28">
        <f t="shared" si="312"/>
        <v>1472.5070000000001</v>
      </c>
      <c r="L6769" s="4"/>
      <c r="M6769" s="241">
        <v>1412.8949</v>
      </c>
    </row>
    <row r="6770" spans="3:13" hidden="1" outlineLevel="1" x14ac:dyDescent="0.2">
      <c r="C6770" s="139">
        <v>191.19999999999342</v>
      </c>
      <c r="D6770" s="28">
        <f t="shared" si="305"/>
        <v>1529.5999999999474</v>
      </c>
      <c r="E6770" s="28">
        <f t="shared" si="306"/>
        <v>1433.9999999999507</v>
      </c>
      <c r="F6770" s="28">
        <f t="shared" si="307"/>
        <v>1415.9999999999507</v>
      </c>
      <c r="G6770" s="28">
        <f t="shared" si="308"/>
        <v>1334.5835999999999</v>
      </c>
      <c r="H6770" s="28">
        <f t="shared" si="309"/>
        <v>1386.0786000000001</v>
      </c>
      <c r="I6770" s="28">
        <f t="shared" si="310"/>
        <v>1412.8949</v>
      </c>
      <c r="J6770" s="28">
        <f t="shared" si="311"/>
        <v>1434.4353000000001</v>
      </c>
      <c r="K6770" s="28">
        <f t="shared" si="312"/>
        <v>1472.5070000000001</v>
      </c>
      <c r="L6770" s="4"/>
      <c r="M6770" s="241">
        <v>1412.8949</v>
      </c>
    </row>
    <row r="6771" spans="3:13" hidden="1" outlineLevel="1" x14ac:dyDescent="0.2">
      <c r="C6771" s="139">
        <v>191.29999999999342</v>
      </c>
      <c r="D6771" s="28">
        <f t="shared" si="305"/>
        <v>1530.3999999999473</v>
      </c>
      <c r="E6771" s="28">
        <f t="shared" si="306"/>
        <v>1434.7499999999507</v>
      </c>
      <c r="F6771" s="28">
        <f t="shared" si="307"/>
        <v>1416.7499999999507</v>
      </c>
      <c r="G6771" s="28">
        <f t="shared" si="308"/>
        <v>1335.57</v>
      </c>
      <c r="H6771" s="28">
        <f t="shared" si="309"/>
        <v>1387.0798</v>
      </c>
      <c r="I6771" s="28">
        <f t="shared" si="310"/>
        <v>1413.915</v>
      </c>
      <c r="J6771" s="28">
        <f t="shared" si="311"/>
        <v>1435.4728</v>
      </c>
      <c r="K6771" s="28">
        <f t="shared" si="312"/>
        <v>1473.5715</v>
      </c>
      <c r="L6771" s="4"/>
      <c r="M6771" s="241">
        <v>1413.915</v>
      </c>
    </row>
    <row r="6772" spans="3:13" hidden="1" outlineLevel="1" x14ac:dyDescent="0.2">
      <c r="C6772" s="139">
        <v>191.39999999999341</v>
      </c>
      <c r="D6772" s="28">
        <f t="shared" si="305"/>
        <v>1531.1999999999473</v>
      </c>
      <c r="E6772" s="28">
        <f t="shared" si="306"/>
        <v>1435.4999999999507</v>
      </c>
      <c r="F6772" s="28">
        <f t="shared" si="307"/>
        <v>1417.4999999999507</v>
      </c>
      <c r="G6772" s="28">
        <f t="shared" si="308"/>
        <v>1336.5347999999999</v>
      </c>
      <c r="H6772" s="28">
        <f t="shared" si="309"/>
        <v>1388.0809999999999</v>
      </c>
      <c r="I6772" s="28">
        <f t="shared" si="310"/>
        <v>1414.9135000000001</v>
      </c>
      <c r="J6772" s="28">
        <f t="shared" si="311"/>
        <v>1436.4866</v>
      </c>
      <c r="K6772" s="28">
        <f t="shared" si="312"/>
        <v>1474.6121000000001</v>
      </c>
      <c r="L6772" s="4"/>
      <c r="M6772" s="241">
        <v>1414.9135000000001</v>
      </c>
    </row>
    <row r="6773" spans="3:13" hidden="1" outlineLevel="1" x14ac:dyDescent="0.2">
      <c r="C6773" s="139">
        <v>191.49999999999341</v>
      </c>
      <c r="D6773" s="28">
        <f t="shared" si="305"/>
        <v>1531.9999999999472</v>
      </c>
      <c r="E6773" s="28">
        <f t="shared" si="306"/>
        <v>1436.2499999999504</v>
      </c>
      <c r="F6773" s="28">
        <f t="shared" si="307"/>
        <v>1418.2499999999504</v>
      </c>
      <c r="G6773" s="28">
        <f t="shared" si="308"/>
        <v>1337.5213000000001</v>
      </c>
      <c r="H6773" s="28">
        <f t="shared" si="309"/>
        <v>1389.0822000000001</v>
      </c>
      <c r="I6773" s="28">
        <f t="shared" si="310"/>
        <v>1415.9337</v>
      </c>
      <c r="J6773" s="28">
        <f t="shared" si="311"/>
        <v>1437.5241000000001</v>
      </c>
      <c r="K6773" s="28">
        <f t="shared" si="312"/>
        <v>1475.6766</v>
      </c>
      <c r="L6773" s="4"/>
      <c r="M6773" s="241">
        <v>1415.9337</v>
      </c>
    </row>
    <row r="6774" spans="3:13" hidden="1" outlineLevel="1" x14ac:dyDescent="0.2">
      <c r="C6774" s="139">
        <v>191.5999999999934</v>
      </c>
      <c r="D6774" s="28">
        <f t="shared" si="305"/>
        <v>1532.7999999999472</v>
      </c>
      <c r="E6774" s="28">
        <f t="shared" si="306"/>
        <v>1436.9999999999504</v>
      </c>
      <c r="F6774" s="28">
        <f t="shared" si="307"/>
        <v>1418.9999999999504</v>
      </c>
      <c r="G6774" s="28">
        <f t="shared" si="308"/>
        <v>1337.5213000000001</v>
      </c>
      <c r="H6774" s="28">
        <f t="shared" si="309"/>
        <v>1389.0822000000001</v>
      </c>
      <c r="I6774" s="28">
        <f t="shared" si="310"/>
        <v>1415.9337</v>
      </c>
      <c r="J6774" s="28">
        <f t="shared" si="311"/>
        <v>1437.5241000000001</v>
      </c>
      <c r="K6774" s="28">
        <f t="shared" si="312"/>
        <v>1475.6766</v>
      </c>
      <c r="L6774" s="4"/>
      <c r="M6774" s="241">
        <v>1415.9337</v>
      </c>
    </row>
    <row r="6775" spans="3:13" hidden="1" outlineLevel="1" x14ac:dyDescent="0.2">
      <c r="C6775" s="139">
        <v>191.69999999999339</v>
      </c>
      <c r="D6775" s="28">
        <f t="shared" si="305"/>
        <v>1533.5999999999472</v>
      </c>
      <c r="E6775" s="28">
        <f t="shared" si="306"/>
        <v>1437.7499999999504</v>
      </c>
      <c r="F6775" s="28">
        <f t="shared" si="307"/>
        <v>1419.7499999999504</v>
      </c>
      <c r="G6775" s="28">
        <f t="shared" si="308"/>
        <v>1338.4862000000001</v>
      </c>
      <c r="H6775" s="28">
        <f t="shared" si="309"/>
        <v>1390.0835</v>
      </c>
      <c r="I6775" s="28">
        <f t="shared" si="310"/>
        <v>1416.9539</v>
      </c>
      <c r="J6775" s="28">
        <f t="shared" si="311"/>
        <v>1438.5617</v>
      </c>
      <c r="K6775" s="28">
        <f t="shared" si="312"/>
        <v>1476.7172</v>
      </c>
      <c r="L6775" s="4"/>
      <c r="M6775" s="241">
        <v>1416.9539</v>
      </c>
    </row>
    <row r="6776" spans="3:13" hidden="1" outlineLevel="1" x14ac:dyDescent="0.2">
      <c r="C6776" s="139">
        <v>191.79999999999339</v>
      </c>
      <c r="D6776" s="28">
        <f t="shared" si="305"/>
        <v>1534.3999999999471</v>
      </c>
      <c r="E6776" s="28">
        <f t="shared" si="306"/>
        <v>1438.4999999999504</v>
      </c>
      <c r="F6776" s="28">
        <f t="shared" si="307"/>
        <v>1420.4999999999504</v>
      </c>
      <c r="G6776" s="28">
        <f t="shared" si="308"/>
        <v>1339.4728</v>
      </c>
      <c r="H6776" s="28">
        <f t="shared" si="309"/>
        <v>1391.0847000000001</v>
      </c>
      <c r="I6776" s="28">
        <f t="shared" si="310"/>
        <v>1417.9740999999999</v>
      </c>
      <c r="J6776" s="28">
        <f t="shared" si="311"/>
        <v>1439.5754999999999</v>
      </c>
      <c r="K6776" s="28">
        <f t="shared" si="312"/>
        <v>1477.7818</v>
      </c>
      <c r="L6776" s="4"/>
      <c r="M6776" s="241">
        <v>1417.9740999999999</v>
      </c>
    </row>
    <row r="6777" spans="3:13" hidden="1" outlineLevel="1" x14ac:dyDescent="0.2">
      <c r="C6777" s="139">
        <v>191.89999999999338</v>
      </c>
      <c r="D6777" s="28">
        <f t="shared" si="305"/>
        <v>1535.1999999999471</v>
      </c>
      <c r="E6777" s="28">
        <f t="shared" si="306"/>
        <v>1439.2499999999504</v>
      </c>
      <c r="F6777" s="28">
        <f t="shared" si="307"/>
        <v>1421.2499999999504</v>
      </c>
      <c r="G6777" s="28">
        <f t="shared" si="308"/>
        <v>1340.4377999999999</v>
      </c>
      <c r="H6777" s="28">
        <f t="shared" si="309"/>
        <v>1392.0861</v>
      </c>
      <c r="I6777" s="28">
        <f t="shared" si="310"/>
        <v>1418.9943000000001</v>
      </c>
      <c r="J6777" s="28">
        <f t="shared" si="311"/>
        <v>1440.6131</v>
      </c>
      <c r="K6777" s="28">
        <f t="shared" si="312"/>
        <v>1478.8224</v>
      </c>
      <c r="L6777" s="4"/>
      <c r="M6777" s="241">
        <v>1418.9943000000001</v>
      </c>
    </row>
    <row r="6778" spans="3:13" hidden="1" outlineLevel="1" x14ac:dyDescent="0.2">
      <c r="C6778" s="139">
        <v>191.99999999999338</v>
      </c>
      <c r="D6778" s="28">
        <f t="shared" si="305"/>
        <v>1535.999999999947</v>
      </c>
      <c r="E6778" s="28">
        <f t="shared" si="306"/>
        <v>1439.9999999999504</v>
      </c>
      <c r="F6778" s="28">
        <f t="shared" si="307"/>
        <v>1421.9999999999504</v>
      </c>
      <c r="G6778" s="28">
        <f t="shared" si="308"/>
        <v>1340.4377999999999</v>
      </c>
      <c r="H6778" s="28">
        <f t="shared" si="309"/>
        <v>1392.0861</v>
      </c>
      <c r="I6778" s="28">
        <f t="shared" si="310"/>
        <v>1418.9943000000001</v>
      </c>
      <c r="J6778" s="28">
        <f t="shared" si="311"/>
        <v>1440.6131</v>
      </c>
      <c r="K6778" s="28">
        <f t="shared" si="312"/>
        <v>1478.8224</v>
      </c>
      <c r="L6778" s="4"/>
      <c r="M6778" s="241">
        <v>1418.9943000000001</v>
      </c>
    </row>
    <row r="6779" spans="3:13" hidden="1" outlineLevel="1" x14ac:dyDescent="0.2">
      <c r="C6779" s="139">
        <v>192.09999999999337</v>
      </c>
      <c r="D6779" s="28">
        <f t="shared" ref="D6779:D6842" si="313">C6779*Channels.per.TRX</f>
        <v>1536.799999999947</v>
      </c>
      <c r="E6779" s="28">
        <f t="shared" ref="E6779:E6842" si="314">D6779-C6779*sig.channel.per.TRX</f>
        <v>1440.7499999999502</v>
      </c>
      <c r="F6779" s="28">
        <f t="shared" ref="F6779:F6842" si="315">MAX(0,E6779-GPRS.channel.per.sector)</f>
        <v>1422.7499999999502</v>
      </c>
      <c r="G6779" s="28">
        <f t="shared" ref="G6779:G6842" si="316">INDEX(D$10:D$4326,MATCH($F6779,$C$10:$C$4326,1))</f>
        <v>1341.4245000000001</v>
      </c>
      <c r="H6779" s="28">
        <f t="shared" ref="H6779:H6842" si="317">INDEX(E$10:E$4326,MATCH($F6779,$C$10:$C$4326,1))</f>
        <v>1393.0873999999999</v>
      </c>
      <c r="I6779" s="28">
        <f t="shared" ref="I6779:I6842" si="318">INDEX(F$10:F$4326,MATCH($F6779,$C$10:$C$4326,1))</f>
        <v>1419.9929</v>
      </c>
      <c r="J6779" s="28">
        <f t="shared" ref="J6779:J6842" si="319">INDEX(G$10:G$4326,MATCH($F6779,$C$10:$C$4326,1))</f>
        <v>1441.6269</v>
      </c>
      <c r="K6779" s="28">
        <f t="shared" ref="K6779:K6842" si="320">INDEX(H$10:H$4326,MATCH($F6779,$C$10:$C$4326,1))</f>
        <v>1479.8631</v>
      </c>
      <c r="L6779" s="4"/>
      <c r="M6779" s="241">
        <v>1419.9929</v>
      </c>
    </row>
    <row r="6780" spans="3:13" hidden="1" outlineLevel="1" x14ac:dyDescent="0.2">
      <c r="C6780" s="139">
        <v>192.19999999999337</v>
      </c>
      <c r="D6780" s="28">
        <f t="shared" si="313"/>
        <v>1537.5999999999469</v>
      </c>
      <c r="E6780" s="28">
        <f t="shared" si="314"/>
        <v>1441.4999999999502</v>
      </c>
      <c r="F6780" s="28">
        <f t="shared" si="315"/>
        <v>1423.4999999999502</v>
      </c>
      <c r="G6780" s="28">
        <f t="shared" si="316"/>
        <v>1342.4112</v>
      </c>
      <c r="H6780" s="28">
        <f t="shared" si="317"/>
        <v>1394.0888</v>
      </c>
      <c r="I6780" s="28">
        <f t="shared" si="318"/>
        <v>1421.0132000000001</v>
      </c>
      <c r="J6780" s="28">
        <f t="shared" si="319"/>
        <v>1442.6646000000001</v>
      </c>
      <c r="K6780" s="28">
        <f t="shared" si="320"/>
        <v>1480.9277</v>
      </c>
      <c r="L6780" s="4"/>
      <c r="M6780" s="241">
        <v>1421.0132000000001</v>
      </c>
    </row>
    <row r="6781" spans="3:13" hidden="1" outlineLevel="1" x14ac:dyDescent="0.2">
      <c r="C6781" s="139">
        <v>192.29999999999336</v>
      </c>
      <c r="D6781" s="28">
        <f t="shared" si="313"/>
        <v>1538.3999999999469</v>
      </c>
      <c r="E6781" s="28">
        <f t="shared" si="314"/>
        <v>1442.2499999999502</v>
      </c>
      <c r="F6781" s="28">
        <f t="shared" si="315"/>
        <v>1424.2499999999502</v>
      </c>
      <c r="G6781" s="28">
        <f t="shared" si="316"/>
        <v>1343.3762999999999</v>
      </c>
      <c r="H6781" s="28">
        <f t="shared" si="317"/>
        <v>1395.0902000000001</v>
      </c>
      <c r="I6781" s="28">
        <f t="shared" si="318"/>
        <v>1422.0336</v>
      </c>
      <c r="J6781" s="28">
        <f t="shared" si="319"/>
        <v>1443.6784</v>
      </c>
      <c r="K6781" s="28">
        <f t="shared" si="320"/>
        <v>1481.9684</v>
      </c>
      <c r="L6781" s="4"/>
      <c r="M6781" s="241">
        <v>1422.0336</v>
      </c>
    </row>
    <row r="6782" spans="3:13" hidden="1" outlineLevel="1" x14ac:dyDescent="0.2">
      <c r="C6782" s="139">
        <v>192.39999999999336</v>
      </c>
      <c r="D6782" s="28">
        <f t="shared" si="313"/>
        <v>1539.1999999999468</v>
      </c>
      <c r="E6782" s="28">
        <f t="shared" si="314"/>
        <v>1442.9999999999502</v>
      </c>
      <c r="F6782" s="28">
        <f t="shared" si="315"/>
        <v>1424.9999999999502</v>
      </c>
      <c r="G6782" s="28">
        <f t="shared" si="316"/>
        <v>1343.3762999999999</v>
      </c>
      <c r="H6782" s="28">
        <f t="shared" si="317"/>
        <v>1395.0902000000001</v>
      </c>
      <c r="I6782" s="28">
        <f t="shared" si="318"/>
        <v>1422.0336</v>
      </c>
      <c r="J6782" s="28">
        <f t="shared" si="319"/>
        <v>1443.6784</v>
      </c>
      <c r="K6782" s="28">
        <f t="shared" si="320"/>
        <v>1481.9684</v>
      </c>
      <c r="L6782" s="4"/>
      <c r="M6782" s="241">
        <v>1422.0336</v>
      </c>
    </row>
    <row r="6783" spans="3:13" hidden="1" outlineLevel="1" x14ac:dyDescent="0.2">
      <c r="C6783" s="139">
        <v>192.49999999999335</v>
      </c>
      <c r="D6783" s="28">
        <f t="shared" si="313"/>
        <v>1539.9999999999468</v>
      </c>
      <c r="E6783" s="28">
        <f t="shared" si="314"/>
        <v>1443.7499999999502</v>
      </c>
      <c r="F6783" s="28">
        <f t="shared" si="315"/>
        <v>1425.7499999999502</v>
      </c>
      <c r="G6783" s="28">
        <f t="shared" si="316"/>
        <v>1344.3632</v>
      </c>
      <c r="H6783" s="28">
        <f t="shared" si="317"/>
        <v>1396.0916999999999</v>
      </c>
      <c r="I6783" s="28">
        <f t="shared" si="318"/>
        <v>1423.0539000000001</v>
      </c>
      <c r="J6783" s="28">
        <f t="shared" si="319"/>
        <v>1444.7162000000001</v>
      </c>
      <c r="K6783" s="28">
        <f t="shared" si="320"/>
        <v>1483.0329999999999</v>
      </c>
      <c r="L6783" s="4"/>
      <c r="M6783" s="241">
        <v>1423.0539000000001</v>
      </c>
    </row>
    <row r="6784" spans="3:13" hidden="1" outlineLevel="1" x14ac:dyDescent="0.2">
      <c r="C6784" s="139">
        <v>192.59999999999334</v>
      </c>
      <c r="D6784" s="28">
        <f t="shared" si="313"/>
        <v>1540.7999999999467</v>
      </c>
      <c r="E6784" s="28">
        <f t="shared" si="314"/>
        <v>1444.49999999995</v>
      </c>
      <c r="F6784" s="28">
        <f t="shared" si="315"/>
        <v>1426.49999999995</v>
      </c>
      <c r="G6784" s="28">
        <f t="shared" si="316"/>
        <v>1345.3284000000001</v>
      </c>
      <c r="H6784" s="28">
        <f t="shared" si="317"/>
        <v>1397.0931</v>
      </c>
      <c r="I6784" s="28">
        <f t="shared" si="318"/>
        <v>1424.0526</v>
      </c>
      <c r="J6784" s="28">
        <f t="shared" si="319"/>
        <v>1445.7538999999999</v>
      </c>
      <c r="K6784" s="28">
        <f t="shared" si="320"/>
        <v>1484.0737999999999</v>
      </c>
      <c r="L6784" s="4"/>
      <c r="M6784" s="241">
        <v>1424.0526</v>
      </c>
    </row>
    <row r="6785" spans="3:13" hidden="1" outlineLevel="1" x14ac:dyDescent="0.2">
      <c r="C6785" s="139">
        <v>192.69999999999334</v>
      </c>
      <c r="D6785" s="28">
        <f t="shared" si="313"/>
        <v>1541.5999999999467</v>
      </c>
      <c r="E6785" s="28">
        <f t="shared" si="314"/>
        <v>1445.24999999995</v>
      </c>
      <c r="F6785" s="28">
        <f t="shared" si="315"/>
        <v>1427.24999999995</v>
      </c>
      <c r="G6785" s="28">
        <f t="shared" si="316"/>
        <v>1346.3154</v>
      </c>
      <c r="H6785" s="28">
        <f t="shared" si="317"/>
        <v>1398.0945999999999</v>
      </c>
      <c r="I6785" s="28">
        <f t="shared" si="318"/>
        <v>1425.0730000000001</v>
      </c>
      <c r="J6785" s="28">
        <f t="shared" si="319"/>
        <v>1446.7678000000001</v>
      </c>
      <c r="K6785" s="28">
        <f t="shared" si="320"/>
        <v>1485.1384</v>
      </c>
      <c r="L6785" s="4"/>
      <c r="M6785" s="241">
        <v>1425.0730000000001</v>
      </c>
    </row>
    <row r="6786" spans="3:13" hidden="1" outlineLevel="1" x14ac:dyDescent="0.2">
      <c r="C6786" s="139">
        <v>192.79999999999333</v>
      </c>
      <c r="D6786" s="28">
        <f t="shared" si="313"/>
        <v>1542.3999999999467</v>
      </c>
      <c r="E6786" s="28">
        <f t="shared" si="314"/>
        <v>1445.99999999995</v>
      </c>
      <c r="F6786" s="28">
        <f t="shared" si="315"/>
        <v>1427.99999999995</v>
      </c>
      <c r="G6786" s="28">
        <f t="shared" si="316"/>
        <v>1346.3154</v>
      </c>
      <c r="H6786" s="28">
        <f t="shared" si="317"/>
        <v>1398.0945999999999</v>
      </c>
      <c r="I6786" s="28">
        <f t="shared" si="318"/>
        <v>1425.0730000000001</v>
      </c>
      <c r="J6786" s="28">
        <f t="shared" si="319"/>
        <v>1446.7678000000001</v>
      </c>
      <c r="K6786" s="28">
        <f t="shared" si="320"/>
        <v>1485.1384</v>
      </c>
      <c r="L6786" s="4"/>
      <c r="M6786" s="241">
        <v>1425.0730000000001</v>
      </c>
    </row>
    <row r="6787" spans="3:13" hidden="1" outlineLevel="1" x14ac:dyDescent="0.2">
      <c r="C6787" s="139">
        <v>192.89999999999333</v>
      </c>
      <c r="D6787" s="28">
        <f t="shared" si="313"/>
        <v>1543.1999999999466</v>
      </c>
      <c r="E6787" s="28">
        <f t="shared" si="314"/>
        <v>1446.74999999995</v>
      </c>
      <c r="F6787" s="28">
        <f t="shared" si="315"/>
        <v>1428.74999999995</v>
      </c>
      <c r="G6787" s="28">
        <f t="shared" si="316"/>
        <v>1347.2806</v>
      </c>
      <c r="H6787" s="28">
        <f t="shared" si="317"/>
        <v>1399.0962</v>
      </c>
      <c r="I6787" s="28">
        <f t="shared" si="318"/>
        <v>1426.0934</v>
      </c>
      <c r="J6787" s="28">
        <f t="shared" si="319"/>
        <v>1447.8055999999999</v>
      </c>
      <c r="K6787" s="28">
        <f t="shared" si="320"/>
        <v>1486.1792</v>
      </c>
      <c r="L6787" s="4"/>
      <c r="M6787" s="241">
        <v>1426.0934</v>
      </c>
    </row>
    <row r="6788" spans="3:13" hidden="1" outlineLevel="1" x14ac:dyDescent="0.2">
      <c r="C6788" s="139">
        <v>192.99999999999332</v>
      </c>
      <c r="D6788" s="28">
        <f t="shared" si="313"/>
        <v>1543.9999999999466</v>
      </c>
      <c r="E6788" s="28">
        <f t="shared" si="314"/>
        <v>1447.49999999995</v>
      </c>
      <c r="F6788" s="28">
        <f t="shared" si="315"/>
        <v>1429.49999999995</v>
      </c>
      <c r="G6788" s="28">
        <f t="shared" si="316"/>
        <v>1348.2677000000001</v>
      </c>
      <c r="H6788" s="28">
        <f t="shared" si="317"/>
        <v>1400.0977</v>
      </c>
      <c r="I6788" s="28">
        <f t="shared" si="318"/>
        <v>1427.1139000000001</v>
      </c>
      <c r="J6788" s="28">
        <f t="shared" si="319"/>
        <v>1448.8195000000001</v>
      </c>
      <c r="K6788" s="28">
        <f t="shared" si="320"/>
        <v>1487.2438999999999</v>
      </c>
      <c r="L6788" s="4"/>
      <c r="M6788" s="241">
        <v>1427.1139000000001</v>
      </c>
    </row>
    <row r="6789" spans="3:13" hidden="1" outlineLevel="1" x14ac:dyDescent="0.2">
      <c r="C6789" s="139">
        <v>193.09999999999332</v>
      </c>
      <c r="D6789" s="28">
        <f t="shared" si="313"/>
        <v>1544.7999999999465</v>
      </c>
      <c r="E6789" s="28">
        <f t="shared" si="314"/>
        <v>1448.24999999995</v>
      </c>
      <c r="F6789" s="28">
        <f t="shared" si="315"/>
        <v>1430.24999999995</v>
      </c>
      <c r="G6789" s="28">
        <f t="shared" si="316"/>
        <v>1349.2329999999999</v>
      </c>
      <c r="H6789" s="28">
        <f t="shared" si="317"/>
        <v>1401.0993000000001</v>
      </c>
      <c r="I6789" s="28">
        <f t="shared" si="318"/>
        <v>1428.1343999999999</v>
      </c>
      <c r="J6789" s="28">
        <f t="shared" si="319"/>
        <v>1449.8574000000001</v>
      </c>
      <c r="K6789" s="28">
        <f t="shared" si="320"/>
        <v>1488.2846999999999</v>
      </c>
      <c r="L6789" s="4"/>
      <c r="M6789" s="241">
        <v>1428.1343999999999</v>
      </c>
    </row>
    <row r="6790" spans="3:13" hidden="1" outlineLevel="1" x14ac:dyDescent="0.2">
      <c r="C6790" s="139">
        <v>193.19999999999331</v>
      </c>
      <c r="D6790" s="28">
        <f t="shared" si="313"/>
        <v>1545.5999999999465</v>
      </c>
      <c r="E6790" s="28">
        <f t="shared" si="314"/>
        <v>1448.9999999999498</v>
      </c>
      <c r="F6790" s="28">
        <f t="shared" si="315"/>
        <v>1430.9999999999498</v>
      </c>
      <c r="G6790" s="28">
        <f t="shared" si="316"/>
        <v>1349.2329999999999</v>
      </c>
      <c r="H6790" s="28">
        <f t="shared" si="317"/>
        <v>1401.0993000000001</v>
      </c>
      <c r="I6790" s="28">
        <f t="shared" si="318"/>
        <v>1428.1343999999999</v>
      </c>
      <c r="J6790" s="28">
        <f t="shared" si="319"/>
        <v>1449.8574000000001</v>
      </c>
      <c r="K6790" s="28">
        <f t="shared" si="320"/>
        <v>1488.2846999999999</v>
      </c>
      <c r="L6790" s="4"/>
      <c r="M6790" s="241">
        <v>1428.1343999999999</v>
      </c>
    </row>
    <row r="6791" spans="3:13" hidden="1" outlineLevel="1" x14ac:dyDescent="0.2">
      <c r="C6791" s="139">
        <v>193.2999999999933</v>
      </c>
      <c r="D6791" s="28">
        <f t="shared" si="313"/>
        <v>1546.3999999999464</v>
      </c>
      <c r="E6791" s="28">
        <f t="shared" si="314"/>
        <v>1449.7499999999498</v>
      </c>
      <c r="F6791" s="28">
        <f t="shared" si="315"/>
        <v>1431.7499999999498</v>
      </c>
      <c r="G6791" s="28">
        <f t="shared" si="316"/>
        <v>1350.2202</v>
      </c>
      <c r="H6791" s="28">
        <f t="shared" si="317"/>
        <v>1402.1008999999999</v>
      </c>
      <c r="I6791" s="28">
        <f t="shared" si="318"/>
        <v>1429.1331</v>
      </c>
      <c r="J6791" s="28">
        <f t="shared" si="319"/>
        <v>1450.8952999999999</v>
      </c>
      <c r="K6791" s="28">
        <f t="shared" si="320"/>
        <v>1489.3253999999999</v>
      </c>
      <c r="L6791" s="4"/>
      <c r="M6791" s="241">
        <v>1429.1331</v>
      </c>
    </row>
    <row r="6792" spans="3:13" hidden="1" outlineLevel="1" x14ac:dyDescent="0.2">
      <c r="C6792" s="139">
        <v>193.3999999999933</v>
      </c>
      <c r="D6792" s="28">
        <f t="shared" si="313"/>
        <v>1547.1999999999464</v>
      </c>
      <c r="E6792" s="28">
        <f t="shared" si="314"/>
        <v>1450.4999999999498</v>
      </c>
      <c r="F6792" s="28">
        <f t="shared" si="315"/>
        <v>1432.4999999999498</v>
      </c>
      <c r="G6792" s="28">
        <f t="shared" si="316"/>
        <v>1351.1856</v>
      </c>
      <c r="H6792" s="28">
        <f t="shared" si="317"/>
        <v>1403.1025999999999</v>
      </c>
      <c r="I6792" s="28">
        <f t="shared" si="318"/>
        <v>1430.1536000000001</v>
      </c>
      <c r="J6792" s="28">
        <f t="shared" si="319"/>
        <v>1451.9092000000001</v>
      </c>
      <c r="K6792" s="28">
        <f t="shared" si="320"/>
        <v>1490.3902</v>
      </c>
      <c r="L6792" s="4"/>
      <c r="M6792" s="241">
        <v>1430.1536000000001</v>
      </c>
    </row>
    <row r="6793" spans="3:13" hidden="1" outlineLevel="1" x14ac:dyDescent="0.2">
      <c r="C6793" s="139">
        <v>193.49999999999329</v>
      </c>
      <c r="D6793" s="28">
        <f t="shared" si="313"/>
        <v>1547.9999999999463</v>
      </c>
      <c r="E6793" s="28">
        <f t="shared" si="314"/>
        <v>1451.2499999999498</v>
      </c>
      <c r="F6793" s="28">
        <f t="shared" si="315"/>
        <v>1433.2499999999498</v>
      </c>
      <c r="G6793" s="28">
        <f t="shared" si="316"/>
        <v>1352.1729</v>
      </c>
      <c r="H6793" s="28">
        <f t="shared" si="317"/>
        <v>1404.1043</v>
      </c>
      <c r="I6793" s="28">
        <f t="shared" si="318"/>
        <v>1431.1741999999999</v>
      </c>
      <c r="J6793" s="28">
        <f t="shared" si="319"/>
        <v>1452.9471000000001</v>
      </c>
      <c r="K6793" s="28">
        <f t="shared" si="320"/>
        <v>1491.431</v>
      </c>
      <c r="L6793" s="4"/>
      <c r="M6793" s="241">
        <v>1431.1741999999999</v>
      </c>
    </row>
    <row r="6794" spans="3:13" hidden="1" outlineLevel="1" x14ac:dyDescent="0.2">
      <c r="C6794" s="139">
        <v>193.59999999999329</v>
      </c>
      <c r="D6794" s="28">
        <f t="shared" si="313"/>
        <v>1548.7999999999463</v>
      </c>
      <c r="E6794" s="28">
        <f t="shared" si="314"/>
        <v>1451.9999999999498</v>
      </c>
      <c r="F6794" s="28">
        <f t="shared" si="315"/>
        <v>1433.9999999999498</v>
      </c>
      <c r="G6794" s="28">
        <f t="shared" si="316"/>
        <v>1352.1729</v>
      </c>
      <c r="H6794" s="28">
        <f t="shared" si="317"/>
        <v>1404.1043</v>
      </c>
      <c r="I6794" s="28">
        <f t="shared" si="318"/>
        <v>1431.1741999999999</v>
      </c>
      <c r="J6794" s="28">
        <f t="shared" si="319"/>
        <v>1452.9471000000001</v>
      </c>
      <c r="K6794" s="28">
        <f t="shared" si="320"/>
        <v>1491.431</v>
      </c>
      <c r="L6794" s="4"/>
      <c r="M6794" s="241">
        <v>1431.1741999999999</v>
      </c>
    </row>
    <row r="6795" spans="3:13" hidden="1" outlineLevel="1" x14ac:dyDescent="0.2">
      <c r="C6795" s="139">
        <v>193.69999999999328</v>
      </c>
      <c r="D6795" s="28">
        <f t="shared" si="313"/>
        <v>1549.5999999999462</v>
      </c>
      <c r="E6795" s="28">
        <f t="shared" si="314"/>
        <v>1452.7499999999495</v>
      </c>
      <c r="F6795" s="28">
        <f t="shared" si="315"/>
        <v>1434.7499999999495</v>
      </c>
      <c r="G6795" s="28">
        <f t="shared" si="316"/>
        <v>1353.1384</v>
      </c>
      <c r="H6795" s="28">
        <f t="shared" si="317"/>
        <v>1405.106</v>
      </c>
      <c r="I6795" s="28">
        <f t="shared" si="318"/>
        <v>1432.1948</v>
      </c>
      <c r="J6795" s="28">
        <f t="shared" si="319"/>
        <v>1453.961</v>
      </c>
      <c r="K6795" s="28">
        <f t="shared" si="320"/>
        <v>1492.4957999999999</v>
      </c>
      <c r="L6795" s="4"/>
      <c r="M6795" s="241">
        <v>1432.1948</v>
      </c>
    </row>
    <row r="6796" spans="3:13" hidden="1" outlineLevel="1" x14ac:dyDescent="0.2">
      <c r="C6796" s="139">
        <v>193.79999999999328</v>
      </c>
      <c r="D6796" s="28">
        <f t="shared" si="313"/>
        <v>1550.3999999999462</v>
      </c>
      <c r="E6796" s="28">
        <f t="shared" si="314"/>
        <v>1453.4999999999495</v>
      </c>
      <c r="F6796" s="28">
        <f t="shared" si="315"/>
        <v>1435.4999999999495</v>
      </c>
      <c r="G6796" s="28">
        <f t="shared" si="316"/>
        <v>1354.1258</v>
      </c>
      <c r="H6796" s="28">
        <f t="shared" si="317"/>
        <v>1406.1077</v>
      </c>
      <c r="I6796" s="28">
        <f t="shared" si="318"/>
        <v>1433.1936000000001</v>
      </c>
      <c r="J6796" s="28">
        <f t="shared" si="319"/>
        <v>1454.999</v>
      </c>
      <c r="K6796" s="28">
        <f t="shared" si="320"/>
        <v>1493.5365999999999</v>
      </c>
      <c r="L6796" s="4"/>
      <c r="M6796" s="241">
        <v>1433.1936000000001</v>
      </c>
    </row>
    <row r="6797" spans="3:13" hidden="1" outlineLevel="1" x14ac:dyDescent="0.2">
      <c r="C6797" s="139">
        <v>193.89999999999327</v>
      </c>
      <c r="D6797" s="28">
        <f t="shared" si="313"/>
        <v>1551.1999999999462</v>
      </c>
      <c r="E6797" s="28">
        <f t="shared" si="314"/>
        <v>1454.2499999999495</v>
      </c>
      <c r="F6797" s="28">
        <f t="shared" si="315"/>
        <v>1436.2499999999495</v>
      </c>
      <c r="G6797" s="28">
        <f t="shared" si="316"/>
        <v>1355.0913</v>
      </c>
      <c r="H6797" s="28">
        <f t="shared" si="317"/>
        <v>1407.0876000000001</v>
      </c>
      <c r="I6797" s="28">
        <f t="shared" si="318"/>
        <v>1434.2141999999999</v>
      </c>
      <c r="J6797" s="28">
        <f t="shared" si="319"/>
        <v>1456.0129999999999</v>
      </c>
      <c r="K6797" s="28">
        <f t="shared" si="320"/>
        <v>1494.6015</v>
      </c>
      <c r="L6797" s="4"/>
      <c r="M6797" s="241">
        <v>1434.2141999999999</v>
      </c>
    </row>
    <row r="6798" spans="3:13" hidden="1" outlineLevel="1" x14ac:dyDescent="0.2">
      <c r="C6798" s="139">
        <v>193.99999999999326</v>
      </c>
      <c r="D6798" s="28">
        <f t="shared" si="313"/>
        <v>1551.9999999999461</v>
      </c>
      <c r="E6798" s="28">
        <f t="shared" si="314"/>
        <v>1454.9999999999495</v>
      </c>
      <c r="F6798" s="28">
        <f t="shared" si="315"/>
        <v>1436.9999999999495</v>
      </c>
      <c r="G6798" s="28">
        <f t="shared" si="316"/>
        <v>1355.0913</v>
      </c>
      <c r="H6798" s="28">
        <f t="shared" si="317"/>
        <v>1407.0876000000001</v>
      </c>
      <c r="I6798" s="28">
        <f t="shared" si="318"/>
        <v>1434.2141999999999</v>
      </c>
      <c r="J6798" s="28">
        <f t="shared" si="319"/>
        <v>1456.0129999999999</v>
      </c>
      <c r="K6798" s="28">
        <f t="shared" si="320"/>
        <v>1494.6015</v>
      </c>
      <c r="L6798" s="4"/>
      <c r="M6798" s="241">
        <v>1434.2141999999999</v>
      </c>
    </row>
    <row r="6799" spans="3:13" hidden="1" outlineLevel="1" x14ac:dyDescent="0.2">
      <c r="C6799" s="139">
        <v>194.09999999999326</v>
      </c>
      <c r="D6799" s="28">
        <f t="shared" si="313"/>
        <v>1552.7999999999461</v>
      </c>
      <c r="E6799" s="28">
        <f t="shared" si="314"/>
        <v>1455.7499999999495</v>
      </c>
      <c r="F6799" s="28">
        <f t="shared" si="315"/>
        <v>1437.7499999999495</v>
      </c>
      <c r="G6799" s="28">
        <f t="shared" si="316"/>
        <v>1356.0788</v>
      </c>
      <c r="H6799" s="28">
        <f t="shared" si="317"/>
        <v>1408.0894000000001</v>
      </c>
      <c r="I6799" s="28">
        <f t="shared" si="318"/>
        <v>1435.2348999999999</v>
      </c>
      <c r="J6799" s="28">
        <f t="shared" si="319"/>
        <v>1457.0509999999999</v>
      </c>
      <c r="K6799" s="28">
        <f t="shared" si="320"/>
        <v>1495.6423</v>
      </c>
      <c r="L6799" s="4"/>
      <c r="M6799" s="241">
        <v>1435.2348999999999</v>
      </c>
    </row>
    <row r="6800" spans="3:13" hidden="1" outlineLevel="1" x14ac:dyDescent="0.2">
      <c r="C6800" s="139">
        <v>194.19999999999325</v>
      </c>
      <c r="D6800" s="28">
        <f t="shared" si="313"/>
        <v>1553.599999999946</v>
      </c>
      <c r="E6800" s="28">
        <f t="shared" si="314"/>
        <v>1456.4999999999493</v>
      </c>
      <c r="F6800" s="28">
        <f t="shared" si="315"/>
        <v>1438.4999999999493</v>
      </c>
      <c r="G6800" s="28">
        <f t="shared" si="316"/>
        <v>1357.0445</v>
      </c>
      <c r="H6800" s="28">
        <f t="shared" si="317"/>
        <v>1409.0912000000001</v>
      </c>
      <c r="I6800" s="28">
        <f t="shared" si="318"/>
        <v>1436.2556</v>
      </c>
      <c r="J6800" s="28">
        <f t="shared" si="319"/>
        <v>1458.0890999999999</v>
      </c>
      <c r="K6800" s="28">
        <f t="shared" si="320"/>
        <v>1496.6831999999999</v>
      </c>
      <c r="L6800" s="4"/>
      <c r="M6800" s="241">
        <v>1436.2556</v>
      </c>
    </row>
    <row r="6801" spans="3:13" hidden="1" outlineLevel="1" x14ac:dyDescent="0.2">
      <c r="C6801" s="139">
        <v>194.29999999999325</v>
      </c>
      <c r="D6801" s="28">
        <f t="shared" si="313"/>
        <v>1554.399999999946</v>
      </c>
      <c r="E6801" s="28">
        <f t="shared" si="314"/>
        <v>1457.2499999999493</v>
      </c>
      <c r="F6801" s="28">
        <f t="shared" si="315"/>
        <v>1439.2499999999493</v>
      </c>
      <c r="G6801" s="28">
        <f t="shared" si="316"/>
        <v>1358.0320999999999</v>
      </c>
      <c r="H6801" s="28">
        <f t="shared" si="317"/>
        <v>1410.0931</v>
      </c>
      <c r="I6801" s="28">
        <f t="shared" si="318"/>
        <v>1437.2544</v>
      </c>
      <c r="J6801" s="28">
        <f t="shared" si="319"/>
        <v>1459.1031</v>
      </c>
      <c r="K6801" s="28">
        <f t="shared" si="320"/>
        <v>1497.7481</v>
      </c>
      <c r="L6801" s="4"/>
      <c r="M6801" s="241">
        <v>1437.2544</v>
      </c>
    </row>
    <row r="6802" spans="3:13" hidden="1" outlineLevel="1" x14ac:dyDescent="0.2">
      <c r="C6802" s="139">
        <v>194.39999999999324</v>
      </c>
      <c r="D6802" s="28">
        <f t="shared" si="313"/>
        <v>1555.1999999999459</v>
      </c>
      <c r="E6802" s="28">
        <f t="shared" si="314"/>
        <v>1457.9999999999493</v>
      </c>
      <c r="F6802" s="28">
        <f t="shared" si="315"/>
        <v>1439.9999999999493</v>
      </c>
      <c r="G6802" s="28">
        <f t="shared" si="316"/>
        <v>1358.0320999999999</v>
      </c>
      <c r="H6802" s="28">
        <f t="shared" si="317"/>
        <v>1410.0931</v>
      </c>
      <c r="I6802" s="28">
        <f t="shared" si="318"/>
        <v>1437.2544</v>
      </c>
      <c r="J6802" s="28">
        <f t="shared" si="319"/>
        <v>1459.1031</v>
      </c>
      <c r="K6802" s="28">
        <f t="shared" si="320"/>
        <v>1497.7481</v>
      </c>
      <c r="L6802" s="4"/>
      <c r="M6802" s="241">
        <v>1437.2544</v>
      </c>
    </row>
    <row r="6803" spans="3:13" hidden="1" outlineLevel="1" x14ac:dyDescent="0.2">
      <c r="C6803" s="139">
        <v>194.49999999999324</v>
      </c>
      <c r="D6803" s="28">
        <f t="shared" si="313"/>
        <v>1555.9999999999459</v>
      </c>
      <c r="E6803" s="28">
        <f t="shared" si="314"/>
        <v>1458.7499999999493</v>
      </c>
      <c r="F6803" s="28">
        <f t="shared" si="315"/>
        <v>1440.7499999999493</v>
      </c>
      <c r="G6803" s="28">
        <f t="shared" si="316"/>
        <v>1359.0198</v>
      </c>
      <c r="H6803" s="28">
        <f t="shared" si="317"/>
        <v>1411.095</v>
      </c>
      <c r="I6803" s="28">
        <f t="shared" si="318"/>
        <v>1438.2751000000001</v>
      </c>
      <c r="J6803" s="28">
        <f t="shared" si="319"/>
        <v>1460.1412</v>
      </c>
      <c r="K6803" s="28">
        <f t="shared" si="320"/>
        <v>1498.7889</v>
      </c>
      <c r="L6803" s="4"/>
      <c r="M6803" s="241">
        <v>1438.2751000000001</v>
      </c>
    </row>
    <row r="6804" spans="3:13" hidden="1" outlineLevel="1" x14ac:dyDescent="0.2">
      <c r="C6804" s="139">
        <v>194.59999999999323</v>
      </c>
      <c r="D6804" s="28">
        <f t="shared" si="313"/>
        <v>1556.7999999999458</v>
      </c>
      <c r="E6804" s="28">
        <f t="shared" si="314"/>
        <v>1459.4999999999493</v>
      </c>
      <c r="F6804" s="28">
        <f t="shared" si="315"/>
        <v>1441.4999999999493</v>
      </c>
      <c r="G6804" s="28">
        <f t="shared" si="316"/>
        <v>1359.9855</v>
      </c>
      <c r="H6804" s="28">
        <f t="shared" si="317"/>
        <v>1412.0969</v>
      </c>
      <c r="I6804" s="28">
        <f t="shared" si="318"/>
        <v>1439.2959000000001</v>
      </c>
      <c r="J6804" s="28">
        <f t="shared" si="319"/>
        <v>1461.1551999999999</v>
      </c>
      <c r="K6804" s="28">
        <f t="shared" si="320"/>
        <v>1499.854</v>
      </c>
      <c r="L6804" s="4"/>
      <c r="M6804" s="241">
        <v>1439.2959000000001</v>
      </c>
    </row>
    <row r="6805" spans="3:13" hidden="1" outlineLevel="1" x14ac:dyDescent="0.2">
      <c r="C6805" s="139">
        <v>194.69999999999322</v>
      </c>
      <c r="D6805" s="28">
        <f t="shared" si="313"/>
        <v>1557.5999999999458</v>
      </c>
      <c r="E6805" s="28">
        <f t="shared" si="314"/>
        <v>1460.2499999999491</v>
      </c>
      <c r="F6805" s="28">
        <f t="shared" si="315"/>
        <v>1442.2499999999491</v>
      </c>
      <c r="G6805" s="28">
        <f t="shared" si="316"/>
        <v>1360.9733000000001</v>
      </c>
      <c r="H6805" s="28">
        <f t="shared" si="317"/>
        <v>1413.0988</v>
      </c>
      <c r="I6805" s="28">
        <f t="shared" si="318"/>
        <v>1440.3168000000001</v>
      </c>
      <c r="J6805" s="28">
        <f t="shared" si="319"/>
        <v>1462.1934000000001</v>
      </c>
      <c r="K6805" s="28">
        <f t="shared" si="320"/>
        <v>1500.8948</v>
      </c>
      <c r="L6805" s="4"/>
      <c r="M6805" s="241">
        <v>1440.3168000000001</v>
      </c>
    </row>
    <row r="6806" spans="3:13" hidden="1" outlineLevel="1" x14ac:dyDescent="0.2">
      <c r="C6806" s="139">
        <v>194.79999999999322</v>
      </c>
      <c r="D6806" s="28">
        <f t="shared" si="313"/>
        <v>1558.3999999999457</v>
      </c>
      <c r="E6806" s="28">
        <f t="shared" si="314"/>
        <v>1460.9999999999491</v>
      </c>
      <c r="F6806" s="28">
        <f t="shared" si="315"/>
        <v>1442.9999999999491</v>
      </c>
      <c r="G6806" s="28">
        <f t="shared" si="316"/>
        <v>1360.9733000000001</v>
      </c>
      <c r="H6806" s="28">
        <f t="shared" si="317"/>
        <v>1413.0988</v>
      </c>
      <c r="I6806" s="28">
        <f t="shared" si="318"/>
        <v>1440.3168000000001</v>
      </c>
      <c r="J6806" s="28">
        <f t="shared" si="319"/>
        <v>1462.1934000000001</v>
      </c>
      <c r="K6806" s="28">
        <f t="shared" si="320"/>
        <v>1500.8948</v>
      </c>
      <c r="L6806" s="4"/>
      <c r="M6806" s="241">
        <v>1440.3168000000001</v>
      </c>
    </row>
    <row r="6807" spans="3:13" hidden="1" outlineLevel="1" x14ac:dyDescent="0.2">
      <c r="C6807" s="139">
        <v>194.89999999999321</v>
      </c>
      <c r="D6807" s="28">
        <f t="shared" si="313"/>
        <v>1559.1999999999457</v>
      </c>
      <c r="E6807" s="28">
        <f t="shared" si="314"/>
        <v>1461.7499999999491</v>
      </c>
      <c r="F6807" s="28">
        <f t="shared" si="315"/>
        <v>1443.7499999999491</v>
      </c>
      <c r="G6807" s="28">
        <f t="shared" si="316"/>
        <v>1361.9391000000001</v>
      </c>
      <c r="H6807" s="28">
        <f t="shared" si="317"/>
        <v>1414.1007999999999</v>
      </c>
      <c r="I6807" s="28">
        <f t="shared" si="318"/>
        <v>1441.3376000000001</v>
      </c>
      <c r="J6807" s="28">
        <f t="shared" si="319"/>
        <v>1463.2316000000001</v>
      </c>
      <c r="K6807" s="28">
        <f t="shared" si="320"/>
        <v>1501.9599000000001</v>
      </c>
      <c r="L6807" s="4"/>
      <c r="M6807" s="241">
        <v>1441.3376000000001</v>
      </c>
    </row>
    <row r="6808" spans="3:13" hidden="1" outlineLevel="1" x14ac:dyDescent="0.2">
      <c r="C6808" s="139">
        <v>194.99999999999321</v>
      </c>
      <c r="D6808" s="28">
        <f t="shared" si="313"/>
        <v>1559.9999999999457</v>
      </c>
      <c r="E6808" s="28">
        <f t="shared" si="314"/>
        <v>1462.4999999999491</v>
      </c>
      <c r="F6808" s="28">
        <f t="shared" si="315"/>
        <v>1444.4999999999491</v>
      </c>
      <c r="G6808" s="28">
        <f t="shared" si="316"/>
        <v>1362.9269999999999</v>
      </c>
      <c r="H6808" s="28">
        <f t="shared" si="317"/>
        <v>1415.1027999999999</v>
      </c>
      <c r="I6808" s="28">
        <f t="shared" si="318"/>
        <v>1442.3364999999999</v>
      </c>
      <c r="J6808" s="28">
        <f t="shared" si="319"/>
        <v>1464.2456999999999</v>
      </c>
      <c r="K6808" s="28">
        <f t="shared" si="320"/>
        <v>1503.0007000000001</v>
      </c>
      <c r="L6808" s="4"/>
      <c r="M6808" s="241">
        <v>1442.3364999999999</v>
      </c>
    </row>
    <row r="6809" spans="3:13" hidden="1" outlineLevel="1" x14ac:dyDescent="0.2">
      <c r="C6809" s="139">
        <v>195.0999999999932</v>
      </c>
      <c r="D6809" s="28">
        <f t="shared" si="313"/>
        <v>1560.7999999999456</v>
      </c>
      <c r="E6809" s="28">
        <f t="shared" si="314"/>
        <v>1463.2499999999491</v>
      </c>
      <c r="F6809" s="28">
        <f t="shared" si="315"/>
        <v>1445.2499999999491</v>
      </c>
      <c r="G6809" s="28">
        <f t="shared" si="316"/>
        <v>1363.8929000000001</v>
      </c>
      <c r="H6809" s="28">
        <f t="shared" si="317"/>
        <v>1416.1049</v>
      </c>
      <c r="I6809" s="28">
        <f t="shared" si="318"/>
        <v>1443.3574000000001</v>
      </c>
      <c r="J6809" s="28">
        <f t="shared" si="319"/>
        <v>1465.2838999999999</v>
      </c>
      <c r="K6809" s="28">
        <f t="shared" si="320"/>
        <v>1504.0658000000001</v>
      </c>
      <c r="L6809" s="4"/>
      <c r="M6809" s="241">
        <v>1443.3574000000001</v>
      </c>
    </row>
    <row r="6810" spans="3:13" hidden="1" outlineLevel="1" x14ac:dyDescent="0.2">
      <c r="C6810" s="139">
        <v>195.1999999999932</v>
      </c>
      <c r="D6810" s="28">
        <f t="shared" si="313"/>
        <v>1561.5999999999456</v>
      </c>
      <c r="E6810" s="28">
        <f t="shared" si="314"/>
        <v>1463.9999999999491</v>
      </c>
      <c r="F6810" s="28">
        <f t="shared" si="315"/>
        <v>1445.9999999999491</v>
      </c>
      <c r="G6810" s="28">
        <f t="shared" si="316"/>
        <v>1363.8929000000001</v>
      </c>
      <c r="H6810" s="28">
        <f t="shared" si="317"/>
        <v>1416.1049</v>
      </c>
      <c r="I6810" s="28">
        <f t="shared" si="318"/>
        <v>1443.3574000000001</v>
      </c>
      <c r="J6810" s="28">
        <f t="shared" si="319"/>
        <v>1465.2838999999999</v>
      </c>
      <c r="K6810" s="28">
        <f t="shared" si="320"/>
        <v>1504.0658000000001</v>
      </c>
      <c r="L6810" s="4"/>
      <c r="M6810" s="241">
        <v>1443.3574000000001</v>
      </c>
    </row>
    <row r="6811" spans="3:13" hidden="1" outlineLevel="1" x14ac:dyDescent="0.2">
      <c r="C6811" s="139">
        <v>195.29999999999319</v>
      </c>
      <c r="D6811" s="28">
        <f t="shared" si="313"/>
        <v>1562.3999999999455</v>
      </c>
      <c r="E6811" s="28">
        <f t="shared" si="314"/>
        <v>1464.7499999999488</v>
      </c>
      <c r="F6811" s="28">
        <f t="shared" si="315"/>
        <v>1446.7499999999488</v>
      </c>
      <c r="G6811" s="28">
        <f t="shared" si="316"/>
        <v>1364.8809000000001</v>
      </c>
      <c r="H6811" s="28">
        <f t="shared" si="317"/>
        <v>1417.1069</v>
      </c>
      <c r="I6811" s="28">
        <f t="shared" si="318"/>
        <v>1444.3783000000001</v>
      </c>
      <c r="J6811" s="28">
        <f t="shared" si="319"/>
        <v>1466.298</v>
      </c>
      <c r="K6811" s="28">
        <f t="shared" si="320"/>
        <v>1505.1067</v>
      </c>
      <c r="L6811" s="4"/>
      <c r="M6811" s="241">
        <v>1444.3783000000001</v>
      </c>
    </row>
    <row r="6812" spans="3:13" hidden="1" outlineLevel="1" x14ac:dyDescent="0.2">
      <c r="C6812" s="139">
        <v>195.39999999999318</v>
      </c>
      <c r="D6812" s="28">
        <f t="shared" si="313"/>
        <v>1563.1999999999455</v>
      </c>
      <c r="E6812" s="28">
        <f t="shared" si="314"/>
        <v>1465.4999999999488</v>
      </c>
      <c r="F6812" s="28">
        <f t="shared" si="315"/>
        <v>1447.4999999999488</v>
      </c>
      <c r="G6812" s="28">
        <f t="shared" si="316"/>
        <v>1365.8469</v>
      </c>
      <c r="H6812" s="28">
        <f t="shared" si="317"/>
        <v>1418.1089999999999</v>
      </c>
      <c r="I6812" s="28">
        <f t="shared" si="318"/>
        <v>1445.3992000000001</v>
      </c>
      <c r="J6812" s="28">
        <f t="shared" si="319"/>
        <v>1467.3362999999999</v>
      </c>
      <c r="K6812" s="28">
        <f t="shared" si="320"/>
        <v>1506.1476</v>
      </c>
      <c r="L6812" s="4"/>
      <c r="M6812" s="241">
        <v>1445.3992000000001</v>
      </c>
    </row>
    <row r="6813" spans="3:13" hidden="1" outlineLevel="1" x14ac:dyDescent="0.2">
      <c r="C6813" s="139">
        <v>195.49999999999318</v>
      </c>
      <c r="D6813" s="28">
        <f t="shared" si="313"/>
        <v>1563.9999999999454</v>
      </c>
      <c r="E6813" s="28">
        <f t="shared" si="314"/>
        <v>1466.2499999999488</v>
      </c>
      <c r="F6813" s="28">
        <f t="shared" si="315"/>
        <v>1448.2499999999488</v>
      </c>
      <c r="G6813" s="28">
        <f t="shared" si="316"/>
        <v>1366.835</v>
      </c>
      <c r="H6813" s="28">
        <f t="shared" si="317"/>
        <v>1419.1111000000001</v>
      </c>
      <c r="I6813" s="28">
        <f t="shared" si="318"/>
        <v>1446.3981000000001</v>
      </c>
      <c r="J6813" s="28">
        <f t="shared" si="319"/>
        <v>1468.3503000000001</v>
      </c>
      <c r="K6813" s="28">
        <f t="shared" si="320"/>
        <v>1507.2128</v>
      </c>
      <c r="L6813" s="4"/>
      <c r="M6813" s="241">
        <v>1446.3981000000001</v>
      </c>
    </row>
    <row r="6814" spans="3:13" hidden="1" outlineLevel="1" x14ac:dyDescent="0.2">
      <c r="C6814" s="139">
        <v>195.59999999999317</v>
      </c>
      <c r="D6814" s="28">
        <f t="shared" si="313"/>
        <v>1564.7999999999454</v>
      </c>
      <c r="E6814" s="28">
        <f t="shared" si="314"/>
        <v>1466.9999999999488</v>
      </c>
      <c r="F6814" s="28">
        <f t="shared" si="315"/>
        <v>1448.9999999999488</v>
      </c>
      <c r="G6814" s="28">
        <f t="shared" si="316"/>
        <v>1366.835</v>
      </c>
      <c r="H6814" s="28">
        <f t="shared" si="317"/>
        <v>1419.1111000000001</v>
      </c>
      <c r="I6814" s="28">
        <f t="shared" si="318"/>
        <v>1446.3981000000001</v>
      </c>
      <c r="J6814" s="28">
        <f t="shared" si="319"/>
        <v>1468.3503000000001</v>
      </c>
      <c r="K6814" s="28">
        <f t="shared" si="320"/>
        <v>1507.2128</v>
      </c>
      <c r="L6814" s="4"/>
      <c r="M6814" s="241">
        <v>1446.3981000000001</v>
      </c>
    </row>
    <row r="6815" spans="3:13" hidden="1" outlineLevel="1" x14ac:dyDescent="0.2">
      <c r="C6815" s="139">
        <v>195.69999999999317</v>
      </c>
      <c r="D6815" s="28">
        <f t="shared" si="313"/>
        <v>1565.5999999999453</v>
      </c>
      <c r="E6815" s="28">
        <f t="shared" si="314"/>
        <v>1467.7499999999488</v>
      </c>
      <c r="F6815" s="28">
        <f t="shared" si="315"/>
        <v>1449.7499999999488</v>
      </c>
      <c r="G6815" s="28">
        <f t="shared" si="316"/>
        <v>1367.8010999999999</v>
      </c>
      <c r="H6815" s="28">
        <f t="shared" si="317"/>
        <v>1420.1133</v>
      </c>
      <c r="I6815" s="28">
        <f t="shared" si="318"/>
        <v>1447.4191000000001</v>
      </c>
      <c r="J6815" s="28">
        <f t="shared" si="319"/>
        <v>1469.3887</v>
      </c>
      <c r="K6815" s="28">
        <f t="shared" si="320"/>
        <v>1508.2537</v>
      </c>
      <c r="L6815" s="4"/>
      <c r="M6815" s="241">
        <v>1447.4191000000001</v>
      </c>
    </row>
    <row r="6816" spans="3:13" hidden="1" outlineLevel="1" x14ac:dyDescent="0.2">
      <c r="C6816" s="139">
        <v>195.79999999999316</v>
      </c>
      <c r="D6816" s="28">
        <f t="shared" si="313"/>
        <v>1566.3999999999453</v>
      </c>
      <c r="E6816" s="28">
        <f t="shared" si="314"/>
        <v>1468.4999999999486</v>
      </c>
      <c r="F6816" s="28">
        <f t="shared" si="315"/>
        <v>1450.4999999999486</v>
      </c>
      <c r="G6816" s="28">
        <f t="shared" si="316"/>
        <v>1368.7892999999999</v>
      </c>
      <c r="H6816" s="28">
        <f t="shared" si="317"/>
        <v>1421.1155000000001</v>
      </c>
      <c r="I6816" s="28">
        <f t="shared" si="318"/>
        <v>1448.4402</v>
      </c>
      <c r="J6816" s="28">
        <f t="shared" si="319"/>
        <v>1470.4271000000001</v>
      </c>
      <c r="K6816" s="28">
        <f t="shared" si="320"/>
        <v>1509.3189</v>
      </c>
      <c r="L6816" s="4"/>
      <c r="M6816" s="241">
        <v>1448.4402</v>
      </c>
    </row>
    <row r="6817" spans="3:13" hidden="1" outlineLevel="1" x14ac:dyDescent="0.2">
      <c r="C6817" s="139">
        <v>195.89999999999316</v>
      </c>
      <c r="D6817" s="28">
        <f t="shared" si="313"/>
        <v>1567.1999999999452</v>
      </c>
      <c r="E6817" s="28">
        <f t="shared" si="314"/>
        <v>1469.2499999999486</v>
      </c>
      <c r="F6817" s="28">
        <f t="shared" si="315"/>
        <v>1451.2499999999486</v>
      </c>
      <c r="G6817" s="28">
        <f t="shared" si="316"/>
        <v>1369.7554</v>
      </c>
      <c r="H6817" s="28">
        <f t="shared" si="317"/>
        <v>1422.1177</v>
      </c>
      <c r="I6817" s="28">
        <f t="shared" si="318"/>
        <v>1449.4612</v>
      </c>
      <c r="J6817" s="28">
        <f t="shared" si="319"/>
        <v>1471.4412</v>
      </c>
      <c r="K6817" s="28">
        <f t="shared" si="320"/>
        <v>1510.3598</v>
      </c>
      <c r="L6817" s="4"/>
      <c r="M6817" s="241">
        <v>1449.4612</v>
      </c>
    </row>
    <row r="6818" spans="3:13" hidden="1" outlineLevel="1" x14ac:dyDescent="0.2">
      <c r="C6818" s="139">
        <v>195.99999999999315</v>
      </c>
      <c r="D6818" s="28">
        <f t="shared" si="313"/>
        <v>1567.9999999999452</v>
      </c>
      <c r="E6818" s="28">
        <f t="shared" si="314"/>
        <v>1469.9999999999486</v>
      </c>
      <c r="F6818" s="28">
        <f t="shared" si="315"/>
        <v>1451.9999999999486</v>
      </c>
      <c r="G6818" s="28">
        <f t="shared" si="316"/>
        <v>1369.7554</v>
      </c>
      <c r="H6818" s="28">
        <f t="shared" si="317"/>
        <v>1422.1177</v>
      </c>
      <c r="I6818" s="28">
        <f t="shared" si="318"/>
        <v>1449.4612</v>
      </c>
      <c r="J6818" s="28">
        <f t="shared" si="319"/>
        <v>1471.4412</v>
      </c>
      <c r="K6818" s="28">
        <f t="shared" si="320"/>
        <v>1510.3598</v>
      </c>
      <c r="L6818" s="4"/>
      <c r="M6818" s="241">
        <v>1449.4612</v>
      </c>
    </row>
    <row r="6819" spans="3:13" hidden="1" outlineLevel="1" x14ac:dyDescent="0.2">
      <c r="C6819" s="139">
        <v>196.09999999999314</v>
      </c>
      <c r="D6819" s="28">
        <f t="shared" si="313"/>
        <v>1568.7999999999452</v>
      </c>
      <c r="E6819" s="28">
        <f t="shared" si="314"/>
        <v>1470.7499999999486</v>
      </c>
      <c r="F6819" s="28">
        <f t="shared" si="315"/>
        <v>1452.7499999999486</v>
      </c>
      <c r="G6819" s="28">
        <f t="shared" si="316"/>
        <v>1370.7437</v>
      </c>
      <c r="H6819" s="28">
        <f t="shared" si="317"/>
        <v>1423.12</v>
      </c>
      <c r="I6819" s="28">
        <f t="shared" si="318"/>
        <v>1450.4602</v>
      </c>
      <c r="J6819" s="28">
        <f t="shared" si="319"/>
        <v>1472.4797000000001</v>
      </c>
      <c r="K6819" s="28">
        <f t="shared" si="320"/>
        <v>1511.4250999999999</v>
      </c>
      <c r="L6819" s="4"/>
      <c r="M6819" s="241">
        <v>1450.4602</v>
      </c>
    </row>
    <row r="6820" spans="3:13" hidden="1" outlineLevel="1" x14ac:dyDescent="0.2">
      <c r="C6820" s="139">
        <v>196.19999999999314</v>
      </c>
      <c r="D6820" s="28">
        <f t="shared" si="313"/>
        <v>1569.5999999999451</v>
      </c>
      <c r="E6820" s="28">
        <f t="shared" si="314"/>
        <v>1471.4999999999486</v>
      </c>
      <c r="F6820" s="28">
        <f t="shared" si="315"/>
        <v>1453.4999999999486</v>
      </c>
      <c r="G6820" s="28">
        <f t="shared" si="316"/>
        <v>1371.71</v>
      </c>
      <c r="H6820" s="28">
        <f t="shared" si="317"/>
        <v>1424.1222</v>
      </c>
      <c r="I6820" s="28">
        <f t="shared" si="318"/>
        <v>1451.4812999999999</v>
      </c>
      <c r="J6820" s="28">
        <f t="shared" si="319"/>
        <v>1473.4938</v>
      </c>
      <c r="K6820" s="28">
        <f t="shared" si="320"/>
        <v>1512.4659999999999</v>
      </c>
      <c r="L6820" s="4"/>
      <c r="M6820" s="241">
        <v>1451.4812999999999</v>
      </c>
    </row>
    <row r="6821" spans="3:13" hidden="1" outlineLevel="1" x14ac:dyDescent="0.2">
      <c r="C6821" s="139">
        <v>196.29999999999313</v>
      </c>
      <c r="D6821" s="28">
        <f t="shared" si="313"/>
        <v>1570.3999999999451</v>
      </c>
      <c r="E6821" s="28">
        <f t="shared" si="314"/>
        <v>1472.2499999999486</v>
      </c>
      <c r="F6821" s="28">
        <f t="shared" si="315"/>
        <v>1454.2499999999486</v>
      </c>
      <c r="G6821" s="28">
        <f t="shared" si="316"/>
        <v>1372.6984</v>
      </c>
      <c r="H6821" s="28">
        <f t="shared" si="317"/>
        <v>1425.1246000000001</v>
      </c>
      <c r="I6821" s="28">
        <f t="shared" si="318"/>
        <v>1452.5024000000001</v>
      </c>
      <c r="J6821" s="28">
        <f t="shared" si="319"/>
        <v>1474.5323000000001</v>
      </c>
      <c r="K6821" s="28">
        <f t="shared" si="320"/>
        <v>1513.5069000000001</v>
      </c>
      <c r="L6821" s="4"/>
      <c r="M6821" s="241">
        <v>1452.5024000000001</v>
      </c>
    </row>
    <row r="6822" spans="3:13" hidden="1" outlineLevel="1" x14ac:dyDescent="0.2">
      <c r="C6822" s="139">
        <v>196.39999999999313</v>
      </c>
      <c r="D6822" s="28">
        <f t="shared" si="313"/>
        <v>1571.199999999945</v>
      </c>
      <c r="E6822" s="28">
        <f t="shared" si="314"/>
        <v>1472.9999999999484</v>
      </c>
      <c r="F6822" s="28">
        <f t="shared" si="315"/>
        <v>1454.9999999999484</v>
      </c>
      <c r="G6822" s="28">
        <f t="shared" si="316"/>
        <v>1372.6984</v>
      </c>
      <c r="H6822" s="28">
        <f t="shared" si="317"/>
        <v>1425.1246000000001</v>
      </c>
      <c r="I6822" s="28">
        <f t="shared" si="318"/>
        <v>1452.5024000000001</v>
      </c>
      <c r="J6822" s="28">
        <f t="shared" si="319"/>
        <v>1474.5323000000001</v>
      </c>
      <c r="K6822" s="28">
        <f t="shared" si="320"/>
        <v>1513.5069000000001</v>
      </c>
      <c r="L6822" s="4"/>
      <c r="M6822" s="241">
        <v>1452.5024000000001</v>
      </c>
    </row>
    <row r="6823" spans="3:13" hidden="1" outlineLevel="1" x14ac:dyDescent="0.2">
      <c r="C6823" s="139">
        <v>196.49999999999312</v>
      </c>
      <c r="D6823" s="28">
        <f t="shared" si="313"/>
        <v>1571.999999999945</v>
      </c>
      <c r="E6823" s="28">
        <f t="shared" si="314"/>
        <v>1473.7499999999484</v>
      </c>
      <c r="F6823" s="28">
        <f t="shared" si="315"/>
        <v>1455.7499999999484</v>
      </c>
      <c r="G6823" s="28">
        <f t="shared" si="316"/>
        <v>1373.6647</v>
      </c>
      <c r="H6823" s="28">
        <f t="shared" si="317"/>
        <v>1426.1269</v>
      </c>
      <c r="I6823" s="28">
        <f t="shared" si="318"/>
        <v>1453.5236</v>
      </c>
      <c r="J6823" s="28">
        <f t="shared" si="319"/>
        <v>1475.5463999999999</v>
      </c>
      <c r="K6823" s="28">
        <f t="shared" si="320"/>
        <v>1514.5723</v>
      </c>
      <c r="L6823" s="4"/>
      <c r="M6823" s="241">
        <v>1453.5236</v>
      </c>
    </row>
    <row r="6824" spans="3:13" hidden="1" outlineLevel="1" x14ac:dyDescent="0.2">
      <c r="C6824" s="139">
        <v>196.59999999999312</v>
      </c>
      <c r="D6824" s="28">
        <f t="shared" si="313"/>
        <v>1572.7999999999449</v>
      </c>
      <c r="E6824" s="28">
        <f t="shared" si="314"/>
        <v>1474.4999999999484</v>
      </c>
      <c r="F6824" s="28">
        <f t="shared" si="315"/>
        <v>1456.4999999999484</v>
      </c>
      <c r="G6824" s="28">
        <f t="shared" si="316"/>
        <v>1374.6532</v>
      </c>
      <c r="H6824" s="28">
        <f t="shared" si="317"/>
        <v>1427.1293000000001</v>
      </c>
      <c r="I6824" s="28">
        <f t="shared" si="318"/>
        <v>1454.5226</v>
      </c>
      <c r="J6824" s="28">
        <f t="shared" si="319"/>
        <v>1476.585</v>
      </c>
      <c r="K6824" s="28">
        <f t="shared" si="320"/>
        <v>1515.6132</v>
      </c>
      <c r="L6824" s="4"/>
      <c r="M6824" s="241">
        <v>1454.5226</v>
      </c>
    </row>
    <row r="6825" spans="3:13" hidden="1" outlineLevel="1" x14ac:dyDescent="0.2">
      <c r="C6825" s="139">
        <v>196.69999999999311</v>
      </c>
      <c r="D6825" s="28">
        <f t="shared" si="313"/>
        <v>1573.5999999999449</v>
      </c>
      <c r="E6825" s="28">
        <f t="shared" si="314"/>
        <v>1475.2499999999484</v>
      </c>
      <c r="F6825" s="28">
        <f t="shared" si="315"/>
        <v>1457.2499999999484</v>
      </c>
      <c r="G6825" s="28">
        <f t="shared" si="316"/>
        <v>1375.6196</v>
      </c>
      <c r="H6825" s="28">
        <f t="shared" si="317"/>
        <v>1428.1316999999999</v>
      </c>
      <c r="I6825" s="28">
        <f t="shared" si="318"/>
        <v>1455.5437999999999</v>
      </c>
      <c r="J6825" s="28">
        <f t="shared" si="319"/>
        <v>1477.6235999999999</v>
      </c>
      <c r="K6825" s="28">
        <f t="shared" si="320"/>
        <v>1516.6786</v>
      </c>
      <c r="L6825" s="4"/>
      <c r="M6825" s="241">
        <v>1455.5437999999999</v>
      </c>
    </row>
    <row r="6826" spans="3:13" hidden="1" outlineLevel="1" x14ac:dyDescent="0.2">
      <c r="C6826" s="139">
        <v>196.7999999999931</v>
      </c>
      <c r="D6826" s="28">
        <f t="shared" si="313"/>
        <v>1574.3999999999448</v>
      </c>
      <c r="E6826" s="28">
        <f t="shared" si="314"/>
        <v>1475.9999999999484</v>
      </c>
      <c r="F6826" s="28">
        <f t="shared" si="315"/>
        <v>1457.9999999999484</v>
      </c>
      <c r="G6826" s="28">
        <f t="shared" si="316"/>
        <v>1375.6196</v>
      </c>
      <c r="H6826" s="28">
        <f t="shared" si="317"/>
        <v>1428.1316999999999</v>
      </c>
      <c r="I6826" s="28">
        <f t="shared" si="318"/>
        <v>1455.5437999999999</v>
      </c>
      <c r="J6826" s="28">
        <f t="shared" si="319"/>
        <v>1477.6235999999999</v>
      </c>
      <c r="K6826" s="28">
        <f t="shared" si="320"/>
        <v>1516.6786</v>
      </c>
      <c r="L6826" s="4"/>
      <c r="M6826" s="241">
        <v>1455.5437999999999</v>
      </c>
    </row>
    <row r="6827" spans="3:13" hidden="1" outlineLevel="1" x14ac:dyDescent="0.2">
      <c r="C6827" s="139">
        <v>196.8999999999931</v>
      </c>
      <c r="D6827" s="28">
        <f t="shared" si="313"/>
        <v>1575.1999999999448</v>
      </c>
      <c r="E6827" s="28">
        <f t="shared" si="314"/>
        <v>1476.7499999999482</v>
      </c>
      <c r="F6827" s="28">
        <f t="shared" si="315"/>
        <v>1458.7499999999482</v>
      </c>
      <c r="G6827" s="28">
        <f t="shared" si="316"/>
        <v>1376.6081999999999</v>
      </c>
      <c r="H6827" s="28">
        <f t="shared" si="317"/>
        <v>1429.1341</v>
      </c>
      <c r="I6827" s="28">
        <f t="shared" si="318"/>
        <v>1456.5650000000001</v>
      </c>
      <c r="J6827" s="28">
        <f t="shared" si="319"/>
        <v>1478.6377</v>
      </c>
      <c r="K6827" s="28">
        <f t="shared" si="320"/>
        <v>1517.7195999999999</v>
      </c>
      <c r="L6827" s="4"/>
      <c r="M6827" s="241">
        <v>1456.5650000000001</v>
      </c>
    </row>
    <row r="6828" spans="3:13" hidden="1" outlineLevel="1" x14ac:dyDescent="0.2">
      <c r="C6828" s="139">
        <v>196.99999999999309</v>
      </c>
      <c r="D6828" s="28">
        <f t="shared" si="313"/>
        <v>1575.9999999999447</v>
      </c>
      <c r="E6828" s="28">
        <f t="shared" si="314"/>
        <v>1477.4999999999482</v>
      </c>
      <c r="F6828" s="28">
        <f t="shared" si="315"/>
        <v>1459.4999999999482</v>
      </c>
      <c r="G6828" s="28">
        <f t="shared" si="316"/>
        <v>1377.5745999999999</v>
      </c>
      <c r="H6828" s="28">
        <f t="shared" si="317"/>
        <v>1430.1366</v>
      </c>
      <c r="I6828" s="28">
        <f t="shared" si="318"/>
        <v>1457.5862999999999</v>
      </c>
      <c r="J6828" s="28">
        <f t="shared" si="319"/>
        <v>1479.6764000000001</v>
      </c>
      <c r="K6828" s="28">
        <f t="shared" si="320"/>
        <v>1518.7605000000001</v>
      </c>
      <c r="L6828" s="4"/>
      <c r="M6828" s="241">
        <v>1457.5862999999999</v>
      </c>
    </row>
    <row r="6829" spans="3:13" hidden="1" outlineLevel="1" x14ac:dyDescent="0.2">
      <c r="C6829" s="139">
        <v>197.09999999999309</v>
      </c>
      <c r="D6829" s="28">
        <f t="shared" si="313"/>
        <v>1576.7999999999447</v>
      </c>
      <c r="E6829" s="28">
        <f t="shared" si="314"/>
        <v>1478.2499999999482</v>
      </c>
      <c r="F6829" s="28">
        <f t="shared" si="315"/>
        <v>1460.2499999999482</v>
      </c>
      <c r="G6829" s="28">
        <f t="shared" si="316"/>
        <v>1378.5410999999999</v>
      </c>
      <c r="H6829" s="28">
        <f t="shared" si="317"/>
        <v>1431.1391000000001</v>
      </c>
      <c r="I6829" s="28">
        <f t="shared" si="318"/>
        <v>1458.5853999999999</v>
      </c>
      <c r="J6829" s="28">
        <f t="shared" si="319"/>
        <v>1480.6904999999999</v>
      </c>
      <c r="K6829" s="28">
        <f t="shared" si="320"/>
        <v>1519.826</v>
      </c>
      <c r="L6829" s="4"/>
      <c r="M6829" s="241">
        <v>1458.5853999999999</v>
      </c>
    </row>
    <row r="6830" spans="3:13" hidden="1" outlineLevel="1" x14ac:dyDescent="0.2">
      <c r="C6830" s="139">
        <v>197.19999999999308</v>
      </c>
      <c r="D6830" s="28">
        <f t="shared" si="313"/>
        <v>1577.5999999999447</v>
      </c>
      <c r="E6830" s="28">
        <f t="shared" si="314"/>
        <v>1478.9999999999482</v>
      </c>
      <c r="F6830" s="28">
        <f t="shared" si="315"/>
        <v>1460.9999999999482</v>
      </c>
      <c r="G6830" s="28">
        <f t="shared" si="316"/>
        <v>1378.5410999999999</v>
      </c>
      <c r="H6830" s="28">
        <f t="shared" si="317"/>
        <v>1431.1391000000001</v>
      </c>
      <c r="I6830" s="28">
        <f t="shared" si="318"/>
        <v>1458.5853999999999</v>
      </c>
      <c r="J6830" s="28">
        <f t="shared" si="319"/>
        <v>1480.6904999999999</v>
      </c>
      <c r="K6830" s="28">
        <f t="shared" si="320"/>
        <v>1519.826</v>
      </c>
      <c r="L6830" s="4"/>
      <c r="M6830" s="241">
        <v>1458.5853999999999</v>
      </c>
    </row>
    <row r="6831" spans="3:13" hidden="1" outlineLevel="1" x14ac:dyDescent="0.2">
      <c r="C6831" s="139">
        <v>197.29999999999308</v>
      </c>
      <c r="D6831" s="28">
        <f t="shared" si="313"/>
        <v>1578.3999999999446</v>
      </c>
      <c r="E6831" s="28">
        <f t="shared" si="314"/>
        <v>1479.7499999999482</v>
      </c>
      <c r="F6831" s="28">
        <f t="shared" si="315"/>
        <v>1461.7499999999482</v>
      </c>
      <c r="G6831" s="28">
        <f t="shared" si="316"/>
        <v>1379.5299</v>
      </c>
      <c r="H6831" s="28">
        <f t="shared" si="317"/>
        <v>1432.1193000000001</v>
      </c>
      <c r="I6831" s="28">
        <f t="shared" si="318"/>
        <v>1459.6067</v>
      </c>
      <c r="J6831" s="28">
        <f t="shared" si="319"/>
        <v>1481.7292</v>
      </c>
      <c r="K6831" s="28">
        <f t="shared" si="320"/>
        <v>1520.867</v>
      </c>
      <c r="L6831" s="4"/>
      <c r="M6831" s="241">
        <v>1459.6067</v>
      </c>
    </row>
    <row r="6832" spans="3:13" hidden="1" outlineLevel="1" x14ac:dyDescent="0.2">
      <c r="C6832" s="139">
        <v>197.39999999999307</v>
      </c>
      <c r="D6832" s="28">
        <f t="shared" si="313"/>
        <v>1579.1999999999446</v>
      </c>
      <c r="E6832" s="28">
        <f t="shared" si="314"/>
        <v>1480.4999999999479</v>
      </c>
      <c r="F6832" s="28">
        <f t="shared" si="315"/>
        <v>1462.4999999999479</v>
      </c>
      <c r="G6832" s="28">
        <f t="shared" si="316"/>
        <v>1380.4964</v>
      </c>
      <c r="H6832" s="28">
        <f t="shared" si="317"/>
        <v>1433.1217999999999</v>
      </c>
      <c r="I6832" s="28">
        <f t="shared" si="318"/>
        <v>1460.6279999999999</v>
      </c>
      <c r="J6832" s="28">
        <f t="shared" si="319"/>
        <v>1482.7434000000001</v>
      </c>
      <c r="K6832" s="28">
        <f t="shared" si="320"/>
        <v>1521.9324999999999</v>
      </c>
      <c r="L6832" s="4"/>
      <c r="M6832" s="241">
        <v>1460.6279999999999</v>
      </c>
    </row>
    <row r="6833" spans="3:13" hidden="1" outlineLevel="1" x14ac:dyDescent="0.2">
      <c r="C6833" s="139">
        <v>197.49999999999307</v>
      </c>
      <c r="D6833" s="28">
        <f t="shared" si="313"/>
        <v>1579.9999999999445</v>
      </c>
      <c r="E6833" s="28">
        <f t="shared" si="314"/>
        <v>1481.2499999999479</v>
      </c>
      <c r="F6833" s="28">
        <f t="shared" si="315"/>
        <v>1463.2499999999479</v>
      </c>
      <c r="G6833" s="28">
        <f t="shared" si="316"/>
        <v>1381.4853000000001</v>
      </c>
      <c r="H6833" s="28">
        <f t="shared" si="317"/>
        <v>1434.1243999999999</v>
      </c>
      <c r="I6833" s="28">
        <f t="shared" si="318"/>
        <v>1461.6494</v>
      </c>
      <c r="J6833" s="28">
        <f t="shared" si="319"/>
        <v>1483.7822000000001</v>
      </c>
      <c r="K6833" s="28">
        <f t="shared" si="320"/>
        <v>1522.9735000000001</v>
      </c>
      <c r="L6833" s="4"/>
      <c r="M6833" s="241">
        <v>1461.6494</v>
      </c>
    </row>
    <row r="6834" spans="3:13" hidden="1" outlineLevel="1" x14ac:dyDescent="0.2">
      <c r="C6834" s="139">
        <v>197.59999999999306</v>
      </c>
      <c r="D6834" s="28">
        <f t="shared" si="313"/>
        <v>1580.7999999999445</v>
      </c>
      <c r="E6834" s="28">
        <f t="shared" si="314"/>
        <v>1481.9999999999479</v>
      </c>
      <c r="F6834" s="28">
        <f t="shared" si="315"/>
        <v>1463.9999999999479</v>
      </c>
      <c r="G6834" s="28">
        <f t="shared" si="316"/>
        <v>1381.4853000000001</v>
      </c>
      <c r="H6834" s="28">
        <f t="shared" si="317"/>
        <v>1434.1243999999999</v>
      </c>
      <c r="I6834" s="28">
        <f t="shared" si="318"/>
        <v>1461.6494</v>
      </c>
      <c r="J6834" s="28">
        <f t="shared" si="319"/>
        <v>1483.7822000000001</v>
      </c>
      <c r="K6834" s="28">
        <f t="shared" si="320"/>
        <v>1522.9735000000001</v>
      </c>
      <c r="L6834" s="4"/>
      <c r="M6834" s="241">
        <v>1461.6494</v>
      </c>
    </row>
    <row r="6835" spans="3:13" hidden="1" outlineLevel="1" x14ac:dyDescent="0.2">
      <c r="C6835" s="139">
        <v>197.69999999999305</v>
      </c>
      <c r="D6835" s="28">
        <f t="shared" si="313"/>
        <v>1581.5999999999444</v>
      </c>
      <c r="E6835" s="28">
        <f t="shared" si="314"/>
        <v>1482.7499999999479</v>
      </c>
      <c r="F6835" s="28">
        <f t="shared" si="315"/>
        <v>1464.7499999999479</v>
      </c>
      <c r="G6835" s="28">
        <f t="shared" si="316"/>
        <v>1382.452</v>
      </c>
      <c r="H6835" s="28">
        <f t="shared" si="317"/>
        <v>1435.127</v>
      </c>
      <c r="I6835" s="28">
        <f t="shared" si="318"/>
        <v>1462.6485</v>
      </c>
      <c r="J6835" s="28">
        <f t="shared" si="319"/>
        <v>1484.7963999999999</v>
      </c>
      <c r="K6835" s="28">
        <f t="shared" si="320"/>
        <v>1524.0391</v>
      </c>
      <c r="L6835" s="4"/>
      <c r="M6835" s="241">
        <v>1462.6485</v>
      </c>
    </row>
    <row r="6836" spans="3:13" hidden="1" outlineLevel="1" x14ac:dyDescent="0.2">
      <c r="C6836" s="139">
        <v>197.79999999999305</v>
      </c>
      <c r="D6836" s="28">
        <f t="shared" si="313"/>
        <v>1582.3999999999444</v>
      </c>
      <c r="E6836" s="28">
        <f t="shared" si="314"/>
        <v>1483.4999999999479</v>
      </c>
      <c r="F6836" s="28">
        <f t="shared" si="315"/>
        <v>1465.4999999999479</v>
      </c>
      <c r="G6836" s="28">
        <f t="shared" si="316"/>
        <v>1383.441</v>
      </c>
      <c r="H6836" s="28">
        <f t="shared" si="317"/>
        <v>1436.1296</v>
      </c>
      <c r="I6836" s="28">
        <f t="shared" si="318"/>
        <v>1463.6699000000001</v>
      </c>
      <c r="J6836" s="28">
        <f t="shared" si="319"/>
        <v>1485.8352</v>
      </c>
      <c r="K6836" s="28">
        <f t="shared" si="320"/>
        <v>1525.0800999999999</v>
      </c>
      <c r="L6836" s="4"/>
      <c r="M6836" s="241">
        <v>1463.6699000000001</v>
      </c>
    </row>
    <row r="6837" spans="3:13" hidden="1" outlineLevel="1" x14ac:dyDescent="0.2">
      <c r="C6837" s="139">
        <v>197.89999999999304</v>
      </c>
      <c r="D6837" s="28">
        <f t="shared" si="313"/>
        <v>1583.1999999999443</v>
      </c>
      <c r="E6837" s="28">
        <f t="shared" si="314"/>
        <v>1484.2499999999477</v>
      </c>
      <c r="F6837" s="28">
        <f t="shared" si="315"/>
        <v>1466.2499999999477</v>
      </c>
      <c r="G6837" s="28">
        <f t="shared" si="316"/>
        <v>1384.4077</v>
      </c>
      <c r="H6837" s="28">
        <f t="shared" si="317"/>
        <v>1437.1323</v>
      </c>
      <c r="I6837" s="28">
        <f t="shared" si="318"/>
        <v>1464.6913999999999</v>
      </c>
      <c r="J6837" s="28">
        <f t="shared" si="319"/>
        <v>1486.874</v>
      </c>
      <c r="K6837" s="28">
        <f t="shared" si="320"/>
        <v>1526.1211000000001</v>
      </c>
      <c r="L6837" s="4"/>
      <c r="M6837" s="241">
        <v>1464.6913999999999</v>
      </c>
    </row>
    <row r="6838" spans="3:13" hidden="1" outlineLevel="1" x14ac:dyDescent="0.2">
      <c r="C6838" s="139">
        <v>197.99999999999304</v>
      </c>
      <c r="D6838" s="28">
        <f t="shared" si="313"/>
        <v>1583.9999999999443</v>
      </c>
      <c r="E6838" s="28">
        <f t="shared" si="314"/>
        <v>1484.9999999999477</v>
      </c>
      <c r="F6838" s="28">
        <f t="shared" si="315"/>
        <v>1466.9999999999477</v>
      </c>
      <c r="G6838" s="28">
        <f t="shared" si="316"/>
        <v>1384.4077</v>
      </c>
      <c r="H6838" s="28">
        <f t="shared" si="317"/>
        <v>1437.1323</v>
      </c>
      <c r="I6838" s="28">
        <f t="shared" si="318"/>
        <v>1464.6913999999999</v>
      </c>
      <c r="J6838" s="28">
        <f t="shared" si="319"/>
        <v>1486.874</v>
      </c>
      <c r="K6838" s="28">
        <f t="shared" si="320"/>
        <v>1526.1211000000001</v>
      </c>
      <c r="L6838" s="4"/>
      <c r="M6838" s="241">
        <v>1464.6913999999999</v>
      </c>
    </row>
    <row r="6839" spans="3:13" hidden="1" outlineLevel="1" x14ac:dyDescent="0.2">
      <c r="C6839" s="139">
        <v>198.09999999999303</v>
      </c>
      <c r="D6839" s="28">
        <f t="shared" si="313"/>
        <v>1584.7999999999442</v>
      </c>
      <c r="E6839" s="28">
        <f t="shared" si="314"/>
        <v>1485.7499999999477</v>
      </c>
      <c r="F6839" s="28">
        <f t="shared" si="315"/>
        <v>1467.7499999999477</v>
      </c>
      <c r="G6839" s="28">
        <f t="shared" si="316"/>
        <v>1385.3968</v>
      </c>
      <c r="H6839" s="28">
        <f t="shared" si="317"/>
        <v>1438.135</v>
      </c>
      <c r="I6839" s="28">
        <f t="shared" si="318"/>
        <v>1465.6904999999999</v>
      </c>
      <c r="J6839" s="28">
        <f t="shared" si="319"/>
        <v>1487.8882000000001</v>
      </c>
      <c r="K6839" s="28">
        <f t="shared" si="320"/>
        <v>1527.1867</v>
      </c>
      <c r="L6839" s="4"/>
      <c r="M6839" s="241">
        <v>1465.6904999999999</v>
      </c>
    </row>
    <row r="6840" spans="3:13" hidden="1" outlineLevel="1" x14ac:dyDescent="0.2">
      <c r="C6840" s="139">
        <v>198.19999999999303</v>
      </c>
      <c r="D6840" s="28">
        <f t="shared" si="313"/>
        <v>1585.5999999999442</v>
      </c>
      <c r="E6840" s="28">
        <f t="shared" si="314"/>
        <v>1486.4999999999477</v>
      </c>
      <c r="F6840" s="28">
        <f t="shared" si="315"/>
        <v>1468.4999999999477</v>
      </c>
      <c r="G6840" s="28">
        <f t="shared" si="316"/>
        <v>1386.3635999999999</v>
      </c>
      <c r="H6840" s="28">
        <f t="shared" si="317"/>
        <v>1439.1377</v>
      </c>
      <c r="I6840" s="28">
        <f t="shared" si="318"/>
        <v>1466.712</v>
      </c>
      <c r="J6840" s="28">
        <f t="shared" si="319"/>
        <v>1488.9271000000001</v>
      </c>
      <c r="K6840" s="28">
        <f t="shared" si="320"/>
        <v>1528.2276999999999</v>
      </c>
      <c r="L6840" s="4"/>
      <c r="M6840" s="241">
        <v>1466.712</v>
      </c>
    </row>
    <row r="6841" spans="3:13" hidden="1" outlineLevel="1" x14ac:dyDescent="0.2">
      <c r="C6841" s="139">
        <v>198.29999999999302</v>
      </c>
      <c r="D6841" s="28">
        <f t="shared" si="313"/>
        <v>1586.3999999999442</v>
      </c>
      <c r="E6841" s="28">
        <f t="shared" si="314"/>
        <v>1487.2499999999477</v>
      </c>
      <c r="F6841" s="28">
        <f t="shared" si="315"/>
        <v>1469.2499999999477</v>
      </c>
      <c r="G6841" s="28">
        <f t="shared" si="316"/>
        <v>1387.3527999999999</v>
      </c>
      <c r="H6841" s="28">
        <f t="shared" si="317"/>
        <v>1440.1405</v>
      </c>
      <c r="I6841" s="28">
        <f t="shared" si="318"/>
        <v>1467.7335</v>
      </c>
      <c r="J6841" s="28">
        <f t="shared" si="319"/>
        <v>1489.9413999999999</v>
      </c>
      <c r="K6841" s="28">
        <f t="shared" si="320"/>
        <v>1529.2934</v>
      </c>
      <c r="L6841" s="4"/>
      <c r="M6841" s="241">
        <v>1467.7335</v>
      </c>
    </row>
    <row r="6842" spans="3:13" hidden="1" outlineLevel="1" x14ac:dyDescent="0.2">
      <c r="C6842" s="139">
        <v>198.39999999999301</v>
      </c>
      <c r="D6842" s="28">
        <f t="shared" si="313"/>
        <v>1587.1999999999441</v>
      </c>
      <c r="E6842" s="28">
        <f t="shared" si="314"/>
        <v>1487.9999999999477</v>
      </c>
      <c r="F6842" s="28">
        <f t="shared" si="315"/>
        <v>1469.9999999999477</v>
      </c>
      <c r="G6842" s="28">
        <f t="shared" si="316"/>
        <v>1387.3527999999999</v>
      </c>
      <c r="H6842" s="28">
        <f t="shared" si="317"/>
        <v>1440.1405</v>
      </c>
      <c r="I6842" s="28">
        <f t="shared" si="318"/>
        <v>1467.7335</v>
      </c>
      <c r="J6842" s="28">
        <f t="shared" si="319"/>
        <v>1489.9413999999999</v>
      </c>
      <c r="K6842" s="28">
        <f t="shared" si="320"/>
        <v>1529.2934</v>
      </c>
      <c r="L6842" s="4"/>
      <c r="M6842" s="241">
        <v>1467.7335</v>
      </c>
    </row>
    <row r="6843" spans="3:13" hidden="1" outlineLevel="1" x14ac:dyDescent="0.2">
      <c r="C6843" s="139">
        <v>198.49999999999301</v>
      </c>
      <c r="D6843" s="28">
        <f t="shared" ref="D6843:D6906" si="321">C6843*Channels.per.TRX</f>
        <v>1587.9999999999441</v>
      </c>
      <c r="E6843" s="28">
        <f t="shared" ref="E6843:E6906" si="322">D6843-C6843*sig.channel.per.TRX</f>
        <v>1488.7499999999475</v>
      </c>
      <c r="F6843" s="28">
        <f t="shared" ref="F6843:F6906" si="323">MAX(0,E6843-GPRS.channel.per.sector)</f>
        <v>1470.7499999999475</v>
      </c>
      <c r="G6843" s="28">
        <f t="shared" ref="G6843:G6906" si="324">INDEX(D$10:D$4326,MATCH($F6843,$C$10:$C$4326,1))</f>
        <v>1388.3196</v>
      </c>
      <c r="H6843" s="28">
        <f t="shared" ref="H6843:H6906" si="325">INDEX(E$10:E$4326,MATCH($F6843,$C$10:$C$4326,1))</f>
        <v>1441.1433</v>
      </c>
      <c r="I6843" s="28">
        <f t="shared" ref="I6843:I6906" si="326">INDEX(F$10:F$4326,MATCH($F6843,$C$10:$C$4326,1))</f>
        <v>1468.7551000000001</v>
      </c>
      <c r="J6843" s="28">
        <f t="shared" ref="J6843:J6906" si="327">INDEX(G$10:G$4326,MATCH($F6843,$C$10:$C$4326,1))</f>
        <v>1490.9802999999999</v>
      </c>
      <c r="K6843" s="28">
        <f t="shared" ref="K6843:K6906" si="328">INDEX(H$10:H$4326,MATCH($F6843,$C$10:$C$4326,1))</f>
        <v>1530.3344999999999</v>
      </c>
      <c r="L6843" s="4"/>
      <c r="M6843" s="241">
        <v>1468.7551000000001</v>
      </c>
    </row>
    <row r="6844" spans="3:13" hidden="1" outlineLevel="1" x14ac:dyDescent="0.2">
      <c r="C6844" s="139">
        <v>198.599999999993</v>
      </c>
      <c r="D6844" s="28">
        <f t="shared" si="321"/>
        <v>1588.799999999944</v>
      </c>
      <c r="E6844" s="28">
        <f t="shared" si="322"/>
        <v>1489.4999999999475</v>
      </c>
      <c r="F6844" s="28">
        <f t="shared" si="323"/>
        <v>1471.4999999999475</v>
      </c>
      <c r="G6844" s="28">
        <f t="shared" si="324"/>
        <v>1389.309</v>
      </c>
      <c r="H6844" s="28">
        <f t="shared" si="325"/>
        <v>1442.1460999999999</v>
      </c>
      <c r="I6844" s="28">
        <f t="shared" si="326"/>
        <v>1469.7543000000001</v>
      </c>
      <c r="J6844" s="28">
        <f t="shared" si="327"/>
        <v>1491.9946</v>
      </c>
      <c r="K6844" s="28">
        <f t="shared" si="328"/>
        <v>1531.4002</v>
      </c>
      <c r="L6844" s="4"/>
      <c r="M6844" s="241">
        <v>1469.7543000000001</v>
      </c>
    </row>
    <row r="6845" spans="3:13" hidden="1" outlineLevel="1" x14ac:dyDescent="0.2">
      <c r="C6845" s="139">
        <v>198.699999999993</v>
      </c>
      <c r="D6845" s="28">
        <f t="shared" si="321"/>
        <v>1589.599999999944</v>
      </c>
      <c r="E6845" s="28">
        <f t="shared" si="322"/>
        <v>1490.2499999999475</v>
      </c>
      <c r="F6845" s="28">
        <f t="shared" si="323"/>
        <v>1472.2499999999475</v>
      </c>
      <c r="G6845" s="28">
        <f t="shared" si="324"/>
        <v>1390.2759000000001</v>
      </c>
      <c r="H6845" s="28">
        <f t="shared" si="325"/>
        <v>1443.1488999999999</v>
      </c>
      <c r="I6845" s="28">
        <f t="shared" si="326"/>
        <v>1470.7759000000001</v>
      </c>
      <c r="J6845" s="28">
        <f t="shared" si="327"/>
        <v>1493.0335</v>
      </c>
      <c r="K6845" s="28">
        <f t="shared" si="328"/>
        <v>1532.4413</v>
      </c>
      <c r="L6845" s="4"/>
      <c r="M6845" s="241">
        <v>1470.7759000000001</v>
      </c>
    </row>
    <row r="6846" spans="3:13" hidden="1" outlineLevel="1" x14ac:dyDescent="0.2">
      <c r="C6846" s="139">
        <v>198.79999999999299</v>
      </c>
      <c r="D6846" s="28">
        <f t="shared" si="321"/>
        <v>1590.3999999999439</v>
      </c>
      <c r="E6846" s="28">
        <f t="shared" si="322"/>
        <v>1490.9999999999475</v>
      </c>
      <c r="F6846" s="28">
        <f t="shared" si="323"/>
        <v>1472.9999999999475</v>
      </c>
      <c r="G6846" s="28">
        <f t="shared" si="324"/>
        <v>1390.2759000000001</v>
      </c>
      <c r="H6846" s="28">
        <f t="shared" si="325"/>
        <v>1443.1488999999999</v>
      </c>
      <c r="I6846" s="28">
        <f t="shared" si="326"/>
        <v>1470.7759000000001</v>
      </c>
      <c r="J6846" s="28">
        <f t="shared" si="327"/>
        <v>1493.0335</v>
      </c>
      <c r="K6846" s="28">
        <f t="shared" si="328"/>
        <v>1532.4413</v>
      </c>
      <c r="L6846" s="4"/>
      <c r="M6846" s="241">
        <v>1470.7759000000001</v>
      </c>
    </row>
    <row r="6847" spans="3:13" hidden="1" outlineLevel="1" x14ac:dyDescent="0.2">
      <c r="C6847" s="139">
        <v>198.89999999999299</v>
      </c>
      <c r="D6847" s="28">
        <f t="shared" si="321"/>
        <v>1591.1999999999439</v>
      </c>
      <c r="E6847" s="28">
        <f t="shared" si="322"/>
        <v>1491.7499999999475</v>
      </c>
      <c r="F6847" s="28">
        <f t="shared" si="323"/>
        <v>1473.7499999999475</v>
      </c>
      <c r="G6847" s="28">
        <f t="shared" si="324"/>
        <v>1391.2653</v>
      </c>
      <c r="H6847" s="28">
        <f t="shared" si="325"/>
        <v>1444.1518000000001</v>
      </c>
      <c r="I6847" s="28">
        <f t="shared" si="326"/>
        <v>1471.7974999999999</v>
      </c>
      <c r="J6847" s="28">
        <f t="shared" si="327"/>
        <v>1494.0478000000001</v>
      </c>
      <c r="K6847" s="28">
        <f t="shared" si="328"/>
        <v>1533.4822999999999</v>
      </c>
      <c r="L6847" s="4"/>
      <c r="M6847" s="241">
        <v>1471.7974999999999</v>
      </c>
    </row>
    <row r="6848" spans="3:13" hidden="1" outlineLevel="1" x14ac:dyDescent="0.2">
      <c r="C6848" s="139">
        <v>198.99999999999298</v>
      </c>
      <c r="D6848" s="28">
        <f t="shared" si="321"/>
        <v>1591.9999999999438</v>
      </c>
      <c r="E6848" s="28">
        <f t="shared" si="322"/>
        <v>1492.4999999999472</v>
      </c>
      <c r="F6848" s="28">
        <f t="shared" si="323"/>
        <v>1474.4999999999472</v>
      </c>
      <c r="G6848" s="28">
        <f t="shared" si="324"/>
        <v>1392.2322999999999</v>
      </c>
      <c r="H6848" s="28">
        <f t="shared" si="325"/>
        <v>1445.1547</v>
      </c>
      <c r="I6848" s="28">
        <f t="shared" si="326"/>
        <v>1472.8191999999999</v>
      </c>
      <c r="J6848" s="28">
        <f t="shared" si="327"/>
        <v>1495.0869</v>
      </c>
      <c r="K6848" s="28">
        <f t="shared" si="328"/>
        <v>1534.5481</v>
      </c>
      <c r="L6848" s="4"/>
      <c r="M6848" s="241">
        <v>1472.8191999999999</v>
      </c>
    </row>
    <row r="6849" spans="3:13" hidden="1" outlineLevel="1" x14ac:dyDescent="0.2">
      <c r="C6849" s="139">
        <v>199.09999999999297</v>
      </c>
      <c r="D6849" s="28">
        <f t="shared" si="321"/>
        <v>1592.7999999999438</v>
      </c>
      <c r="E6849" s="28">
        <f t="shared" si="322"/>
        <v>1493.2499999999472</v>
      </c>
      <c r="F6849" s="28">
        <f t="shared" si="323"/>
        <v>1475.2499999999472</v>
      </c>
      <c r="G6849" s="28">
        <f t="shared" si="324"/>
        <v>1393.2219</v>
      </c>
      <c r="H6849" s="28">
        <f t="shared" si="325"/>
        <v>1446.1576</v>
      </c>
      <c r="I6849" s="28">
        <f t="shared" si="326"/>
        <v>1473.8184000000001</v>
      </c>
      <c r="J6849" s="28">
        <f t="shared" si="327"/>
        <v>1496.1259</v>
      </c>
      <c r="K6849" s="28">
        <f t="shared" si="328"/>
        <v>1535.5891999999999</v>
      </c>
      <c r="L6849" s="4"/>
      <c r="M6849" s="241">
        <v>1473.8184000000001</v>
      </c>
    </row>
    <row r="6850" spans="3:13" hidden="1" outlineLevel="1" x14ac:dyDescent="0.2">
      <c r="C6850" s="139">
        <v>199.19999999999297</v>
      </c>
      <c r="D6850" s="28">
        <f t="shared" si="321"/>
        <v>1593.5999999999437</v>
      </c>
      <c r="E6850" s="28">
        <f t="shared" si="322"/>
        <v>1493.9999999999472</v>
      </c>
      <c r="F6850" s="28">
        <f t="shared" si="323"/>
        <v>1475.9999999999472</v>
      </c>
      <c r="G6850" s="28">
        <f t="shared" si="324"/>
        <v>1393.2219</v>
      </c>
      <c r="H6850" s="28">
        <f t="shared" si="325"/>
        <v>1446.1576</v>
      </c>
      <c r="I6850" s="28">
        <f t="shared" si="326"/>
        <v>1473.8184000000001</v>
      </c>
      <c r="J6850" s="28">
        <f t="shared" si="327"/>
        <v>1496.1259</v>
      </c>
      <c r="K6850" s="28">
        <f t="shared" si="328"/>
        <v>1535.5891999999999</v>
      </c>
      <c r="L6850" s="4"/>
      <c r="M6850" s="241">
        <v>1473.8184000000001</v>
      </c>
    </row>
    <row r="6851" spans="3:13" hidden="1" outlineLevel="1" x14ac:dyDescent="0.2">
      <c r="C6851" s="139">
        <v>199.29999999999296</v>
      </c>
      <c r="D6851" s="28">
        <f t="shared" si="321"/>
        <v>1594.3999999999437</v>
      </c>
      <c r="E6851" s="28">
        <f t="shared" si="322"/>
        <v>1494.7499999999472</v>
      </c>
      <c r="F6851" s="28">
        <f t="shared" si="323"/>
        <v>1476.7499999999472</v>
      </c>
      <c r="G6851" s="28">
        <f t="shared" si="324"/>
        <v>1394.1889000000001</v>
      </c>
      <c r="H6851" s="28">
        <f t="shared" si="325"/>
        <v>1447.1605999999999</v>
      </c>
      <c r="I6851" s="28">
        <f t="shared" si="326"/>
        <v>1474.8400999999999</v>
      </c>
      <c r="J6851" s="28">
        <f t="shared" si="327"/>
        <v>1497.1402</v>
      </c>
      <c r="K6851" s="28">
        <f t="shared" si="328"/>
        <v>1536.6550999999999</v>
      </c>
      <c r="L6851" s="4"/>
      <c r="M6851" s="241">
        <v>1474.8400999999999</v>
      </c>
    </row>
    <row r="6852" spans="3:13" hidden="1" outlineLevel="1" x14ac:dyDescent="0.2">
      <c r="C6852" s="139">
        <v>199.39999999999296</v>
      </c>
      <c r="D6852" s="28">
        <f t="shared" si="321"/>
        <v>1595.1999999999437</v>
      </c>
      <c r="E6852" s="28">
        <f t="shared" si="322"/>
        <v>1495.4999999999472</v>
      </c>
      <c r="F6852" s="28">
        <f t="shared" si="323"/>
        <v>1477.4999999999472</v>
      </c>
      <c r="G6852" s="28">
        <f t="shared" si="324"/>
        <v>1395.1559999999999</v>
      </c>
      <c r="H6852" s="28">
        <f t="shared" si="325"/>
        <v>1448.1411000000001</v>
      </c>
      <c r="I6852" s="28">
        <f t="shared" si="326"/>
        <v>1475.8619000000001</v>
      </c>
      <c r="J6852" s="28">
        <f t="shared" si="327"/>
        <v>1498.1794</v>
      </c>
      <c r="K6852" s="28">
        <f t="shared" si="328"/>
        <v>1537.6960999999999</v>
      </c>
      <c r="L6852" s="4"/>
      <c r="M6852" s="241">
        <v>1475.8619000000001</v>
      </c>
    </row>
    <row r="6853" spans="3:13" hidden="1" outlineLevel="1" x14ac:dyDescent="0.2">
      <c r="C6853" s="139">
        <v>199.49999999999295</v>
      </c>
      <c r="D6853" s="28">
        <f t="shared" si="321"/>
        <v>1595.9999999999436</v>
      </c>
      <c r="E6853" s="28">
        <f t="shared" si="322"/>
        <v>1496.2499999999472</v>
      </c>
      <c r="F6853" s="28">
        <f t="shared" si="323"/>
        <v>1478.2499999999472</v>
      </c>
      <c r="G6853" s="28">
        <f t="shared" si="324"/>
        <v>1396.1457</v>
      </c>
      <c r="H6853" s="28">
        <f t="shared" si="325"/>
        <v>1449.1441</v>
      </c>
      <c r="I6853" s="28">
        <f t="shared" si="326"/>
        <v>1476.8837000000001</v>
      </c>
      <c r="J6853" s="28">
        <f t="shared" si="327"/>
        <v>1499.1937</v>
      </c>
      <c r="K6853" s="28">
        <f t="shared" si="328"/>
        <v>1538.7372</v>
      </c>
      <c r="L6853" s="4"/>
      <c r="M6853" s="241">
        <v>1476.8837000000001</v>
      </c>
    </row>
    <row r="6854" spans="3:13" hidden="1" outlineLevel="1" x14ac:dyDescent="0.2">
      <c r="C6854" s="139">
        <v>199.59999999999295</v>
      </c>
      <c r="D6854" s="28">
        <f t="shared" si="321"/>
        <v>1596.7999999999436</v>
      </c>
      <c r="E6854" s="28">
        <f t="shared" si="322"/>
        <v>1496.999999999947</v>
      </c>
      <c r="F6854" s="28">
        <f t="shared" si="323"/>
        <v>1478.999999999947</v>
      </c>
      <c r="G6854" s="28">
        <f t="shared" si="324"/>
        <v>1396.1457</v>
      </c>
      <c r="H6854" s="28">
        <f t="shared" si="325"/>
        <v>1449.1441</v>
      </c>
      <c r="I6854" s="28">
        <f t="shared" si="326"/>
        <v>1476.8837000000001</v>
      </c>
      <c r="J6854" s="28">
        <f t="shared" si="327"/>
        <v>1499.1937</v>
      </c>
      <c r="K6854" s="28">
        <f t="shared" si="328"/>
        <v>1538.7372</v>
      </c>
      <c r="L6854" s="4"/>
      <c r="M6854" s="241">
        <v>1476.8837000000001</v>
      </c>
    </row>
    <row r="6855" spans="3:13" hidden="1" outlineLevel="1" x14ac:dyDescent="0.2">
      <c r="C6855" s="139">
        <v>199.69999999999294</v>
      </c>
      <c r="D6855" s="28">
        <f t="shared" si="321"/>
        <v>1597.5999999999435</v>
      </c>
      <c r="E6855" s="28">
        <f t="shared" si="322"/>
        <v>1497.749999999947</v>
      </c>
      <c r="F6855" s="28">
        <f t="shared" si="323"/>
        <v>1479.749999999947</v>
      </c>
      <c r="G6855" s="28">
        <f t="shared" si="324"/>
        <v>1397.1129000000001</v>
      </c>
      <c r="H6855" s="28">
        <f t="shared" si="325"/>
        <v>1450.1470999999999</v>
      </c>
      <c r="I6855" s="28">
        <f t="shared" si="326"/>
        <v>1477.8829000000001</v>
      </c>
      <c r="J6855" s="28">
        <f t="shared" si="327"/>
        <v>1500.2329</v>
      </c>
      <c r="K6855" s="28">
        <f t="shared" si="328"/>
        <v>1539.8032000000001</v>
      </c>
      <c r="L6855" s="4"/>
      <c r="M6855" s="241">
        <v>1477.8829000000001</v>
      </c>
    </row>
    <row r="6856" spans="3:13" hidden="1" outlineLevel="1" x14ac:dyDescent="0.2">
      <c r="C6856" s="139">
        <v>199.79999999999293</v>
      </c>
      <c r="D6856" s="28">
        <f t="shared" si="321"/>
        <v>1598.3999999999435</v>
      </c>
      <c r="E6856" s="28">
        <f t="shared" si="322"/>
        <v>1498.499999999947</v>
      </c>
      <c r="F6856" s="28">
        <f t="shared" si="323"/>
        <v>1480.499999999947</v>
      </c>
      <c r="G6856" s="28">
        <f t="shared" si="324"/>
        <v>1398.1026999999999</v>
      </c>
      <c r="H6856" s="28">
        <f t="shared" si="325"/>
        <v>1451.1502</v>
      </c>
      <c r="I6856" s="28">
        <f t="shared" si="326"/>
        <v>1478.9047</v>
      </c>
      <c r="J6856" s="28">
        <f t="shared" si="327"/>
        <v>1501.2472</v>
      </c>
      <c r="K6856" s="28">
        <f t="shared" si="328"/>
        <v>1540.8443</v>
      </c>
      <c r="L6856" s="4"/>
      <c r="M6856" s="241">
        <v>1478.9047</v>
      </c>
    </row>
    <row r="6857" spans="3:13" hidden="1" outlineLevel="1" x14ac:dyDescent="0.2">
      <c r="C6857" s="139">
        <v>199.89999999999293</v>
      </c>
      <c r="D6857" s="28">
        <f t="shared" si="321"/>
        <v>1599.1999999999434</v>
      </c>
      <c r="E6857" s="28">
        <f t="shared" si="322"/>
        <v>1499.249999999947</v>
      </c>
      <c r="F6857" s="28">
        <f t="shared" si="323"/>
        <v>1481.249999999947</v>
      </c>
      <c r="G6857" s="28">
        <f t="shared" si="324"/>
        <v>1399.07</v>
      </c>
      <c r="H6857" s="28">
        <f t="shared" si="325"/>
        <v>1452.1532999999999</v>
      </c>
      <c r="I6857" s="28">
        <f t="shared" si="326"/>
        <v>1479.9266</v>
      </c>
      <c r="J6857" s="28">
        <f t="shared" si="327"/>
        <v>1502.2864</v>
      </c>
      <c r="K6857" s="28">
        <f t="shared" si="328"/>
        <v>1541.9102</v>
      </c>
      <c r="L6857" s="4"/>
      <c r="M6857" s="241">
        <v>1479.9266</v>
      </c>
    </row>
    <row r="6858" spans="3:13" hidden="1" outlineLevel="1" x14ac:dyDescent="0.2">
      <c r="C6858" s="139">
        <v>199.99999999999292</v>
      </c>
      <c r="D6858" s="28">
        <f t="shared" si="321"/>
        <v>1599.9999999999434</v>
      </c>
      <c r="E6858" s="28">
        <f t="shared" si="322"/>
        <v>1499.999999999947</v>
      </c>
      <c r="F6858" s="28">
        <f t="shared" si="323"/>
        <v>1481.999999999947</v>
      </c>
      <c r="G6858" s="28">
        <f t="shared" si="324"/>
        <v>1399.07</v>
      </c>
      <c r="H6858" s="28">
        <f t="shared" si="325"/>
        <v>1452.1532999999999</v>
      </c>
      <c r="I6858" s="28">
        <f t="shared" si="326"/>
        <v>1479.9266</v>
      </c>
      <c r="J6858" s="28">
        <f t="shared" si="327"/>
        <v>1502.2864</v>
      </c>
      <c r="K6858" s="28">
        <f t="shared" si="328"/>
        <v>1541.9102</v>
      </c>
      <c r="L6858" s="4"/>
      <c r="M6858" s="241">
        <v>1479.9266</v>
      </c>
    </row>
    <row r="6859" spans="3:13" hidden="1" outlineLevel="1" x14ac:dyDescent="0.2">
      <c r="C6859" s="139">
        <v>200.09999999999292</v>
      </c>
      <c r="D6859" s="28">
        <f t="shared" si="321"/>
        <v>1600.7999999999433</v>
      </c>
      <c r="E6859" s="28">
        <f t="shared" si="322"/>
        <v>1500.7499999999468</v>
      </c>
      <c r="F6859" s="28">
        <f t="shared" si="323"/>
        <v>1482.7499999999468</v>
      </c>
      <c r="G6859" s="28">
        <f t="shared" si="324"/>
        <v>1400.0599</v>
      </c>
      <c r="H6859" s="28">
        <f t="shared" si="325"/>
        <v>1453.1564000000001</v>
      </c>
      <c r="I6859" s="28">
        <f t="shared" si="326"/>
        <v>1480.9259</v>
      </c>
      <c r="J6859" s="28">
        <f t="shared" si="327"/>
        <v>1503.3008</v>
      </c>
      <c r="K6859" s="28">
        <f t="shared" si="328"/>
        <v>1542.9513999999999</v>
      </c>
      <c r="L6859" s="4"/>
      <c r="M6859" s="241">
        <v>1480.9259</v>
      </c>
    </row>
    <row r="6860" spans="3:13" hidden="1" outlineLevel="1" x14ac:dyDescent="0.2">
      <c r="C6860" s="139">
        <v>200.19999999999291</v>
      </c>
      <c r="D6860" s="28">
        <f t="shared" si="321"/>
        <v>1601.5999999999433</v>
      </c>
      <c r="E6860" s="28">
        <f t="shared" si="322"/>
        <v>1501.4999999999468</v>
      </c>
      <c r="F6860" s="28">
        <f t="shared" si="323"/>
        <v>1483.4999999999468</v>
      </c>
      <c r="G6860" s="28">
        <f t="shared" si="324"/>
        <v>1401.0272</v>
      </c>
      <c r="H6860" s="28">
        <f t="shared" si="325"/>
        <v>1454.1596</v>
      </c>
      <c r="I6860" s="28">
        <f t="shared" si="326"/>
        <v>1481.9477999999999</v>
      </c>
      <c r="J6860" s="28">
        <f t="shared" si="327"/>
        <v>1504.3400999999999</v>
      </c>
      <c r="K6860" s="28">
        <f t="shared" si="328"/>
        <v>1543.9925000000001</v>
      </c>
      <c r="L6860" s="4"/>
      <c r="M6860" s="241">
        <v>1481.9477999999999</v>
      </c>
    </row>
    <row r="6861" spans="3:13" hidden="1" outlineLevel="1" x14ac:dyDescent="0.2">
      <c r="C6861" s="139">
        <v>200.29999999999291</v>
      </c>
      <c r="D6861" s="28">
        <f t="shared" si="321"/>
        <v>1602.3999999999432</v>
      </c>
      <c r="E6861" s="28">
        <f t="shared" si="322"/>
        <v>1502.2499999999468</v>
      </c>
      <c r="F6861" s="28">
        <f t="shared" si="323"/>
        <v>1484.2499999999468</v>
      </c>
      <c r="G6861" s="28">
        <f t="shared" si="324"/>
        <v>1402.0172</v>
      </c>
      <c r="H6861" s="28">
        <f t="shared" si="325"/>
        <v>1455.1628000000001</v>
      </c>
      <c r="I6861" s="28">
        <f t="shared" si="326"/>
        <v>1482.9697000000001</v>
      </c>
      <c r="J6861" s="28">
        <f t="shared" si="327"/>
        <v>1505.3794</v>
      </c>
      <c r="K6861" s="28">
        <f t="shared" si="328"/>
        <v>1545.0585000000001</v>
      </c>
      <c r="L6861" s="4"/>
      <c r="M6861" s="241">
        <v>1482.9697000000001</v>
      </c>
    </row>
    <row r="6862" spans="3:13" hidden="1" outlineLevel="1" x14ac:dyDescent="0.2">
      <c r="C6862" s="139">
        <v>200.3999999999929</v>
      </c>
      <c r="D6862" s="28">
        <f t="shared" si="321"/>
        <v>1603.1999999999432</v>
      </c>
      <c r="E6862" s="28">
        <f t="shared" si="322"/>
        <v>1502.9999999999468</v>
      </c>
      <c r="F6862" s="28">
        <f t="shared" si="323"/>
        <v>1484.9999999999468</v>
      </c>
      <c r="G6862" s="28">
        <f t="shared" si="324"/>
        <v>1402.0172</v>
      </c>
      <c r="H6862" s="28">
        <f t="shared" si="325"/>
        <v>1455.1628000000001</v>
      </c>
      <c r="I6862" s="28">
        <f t="shared" si="326"/>
        <v>1482.9697000000001</v>
      </c>
      <c r="J6862" s="28">
        <f t="shared" si="327"/>
        <v>1505.3794</v>
      </c>
      <c r="K6862" s="28">
        <f t="shared" si="328"/>
        <v>1545.0585000000001</v>
      </c>
      <c r="L6862" s="4"/>
      <c r="M6862" s="241">
        <v>1482.9697000000001</v>
      </c>
    </row>
    <row r="6863" spans="3:13" hidden="1" outlineLevel="1" x14ac:dyDescent="0.2">
      <c r="C6863" s="139">
        <v>200.49999999999289</v>
      </c>
      <c r="D6863" s="28">
        <f t="shared" si="321"/>
        <v>1603.9999999999432</v>
      </c>
      <c r="E6863" s="28">
        <f t="shared" si="322"/>
        <v>1503.7499999999468</v>
      </c>
      <c r="F6863" s="28">
        <f t="shared" si="323"/>
        <v>1485.7499999999468</v>
      </c>
      <c r="G6863" s="28">
        <f t="shared" si="324"/>
        <v>1402.9847</v>
      </c>
      <c r="H6863" s="28">
        <f t="shared" si="325"/>
        <v>1456.1659999999999</v>
      </c>
      <c r="I6863" s="28">
        <f t="shared" si="326"/>
        <v>1483.9917</v>
      </c>
      <c r="J6863" s="28">
        <f t="shared" si="327"/>
        <v>1506.3938000000001</v>
      </c>
      <c r="K6863" s="28">
        <f t="shared" si="328"/>
        <v>1546.0997</v>
      </c>
      <c r="L6863" s="4"/>
      <c r="M6863" s="241">
        <v>1483.9917</v>
      </c>
    </row>
    <row r="6864" spans="3:13" hidden="1" outlineLevel="1" x14ac:dyDescent="0.2">
      <c r="C6864" s="139">
        <v>200.59999999999289</v>
      </c>
      <c r="D6864" s="28">
        <f t="shared" si="321"/>
        <v>1604.7999999999431</v>
      </c>
      <c r="E6864" s="28">
        <f t="shared" si="322"/>
        <v>1504.4999999999466</v>
      </c>
      <c r="F6864" s="28">
        <f t="shared" si="323"/>
        <v>1486.4999999999466</v>
      </c>
      <c r="G6864" s="28">
        <f t="shared" si="324"/>
        <v>1403.9748</v>
      </c>
      <c r="H6864" s="28">
        <f t="shared" si="325"/>
        <v>1457.1693</v>
      </c>
      <c r="I6864" s="28">
        <f t="shared" si="326"/>
        <v>1484.991</v>
      </c>
      <c r="J6864" s="28">
        <f t="shared" si="327"/>
        <v>1507.4331</v>
      </c>
      <c r="K6864" s="28">
        <f t="shared" si="328"/>
        <v>1547.1658</v>
      </c>
      <c r="L6864" s="4"/>
      <c r="M6864" s="241">
        <v>1484.991</v>
      </c>
    </row>
    <row r="6865" spans="3:13" hidden="1" outlineLevel="1" x14ac:dyDescent="0.2">
      <c r="C6865" s="139">
        <v>200.69999999999288</v>
      </c>
      <c r="D6865" s="28">
        <f t="shared" si="321"/>
        <v>1605.5999999999431</v>
      </c>
      <c r="E6865" s="28">
        <f t="shared" si="322"/>
        <v>1505.2499999999466</v>
      </c>
      <c r="F6865" s="28">
        <f t="shared" si="323"/>
        <v>1487.2499999999466</v>
      </c>
      <c r="G6865" s="28">
        <f t="shared" si="324"/>
        <v>1404.9422999999999</v>
      </c>
      <c r="H6865" s="28">
        <f t="shared" si="325"/>
        <v>1458.1726000000001</v>
      </c>
      <c r="I6865" s="28">
        <f t="shared" si="326"/>
        <v>1486.0129999999999</v>
      </c>
      <c r="J6865" s="28">
        <f t="shared" si="327"/>
        <v>1508.4476</v>
      </c>
      <c r="K6865" s="28">
        <f t="shared" si="328"/>
        <v>1548.2068999999999</v>
      </c>
      <c r="L6865" s="4"/>
      <c r="M6865" s="241">
        <v>1486.0129999999999</v>
      </c>
    </row>
    <row r="6866" spans="3:13" hidden="1" outlineLevel="1" x14ac:dyDescent="0.2">
      <c r="C6866" s="139">
        <v>200.79999999999288</v>
      </c>
      <c r="D6866" s="28">
        <f t="shared" si="321"/>
        <v>1606.399999999943</v>
      </c>
      <c r="E6866" s="28">
        <f t="shared" si="322"/>
        <v>1505.9999999999466</v>
      </c>
      <c r="F6866" s="28">
        <f t="shared" si="323"/>
        <v>1487.9999999999466</v>
      </c>
      <c r="G6866" s="28">
        <f t="shared" si="324"/>
        <v>1404.9422999999999</v>
      </c>
      <c r="H6866" s="28">
        <f t="shared" si="325"/>
        <v>1458.1726000000001</v>
      </c>
      <c r="I6866" s="28">
        <f t="shared" si="326"/>
        <v>1486.0129999999999</v>
      </c>
      <c r="J6866" s="28">
        <f t="shared" si="327"/>
        <v>1508.4476</v>
      </c>
      <c r="K6866" s="28">
        <f t="shared" si="328"/>
        <v>1548.2068999999999</v>
      </c>
      <c r="L6866" s="4"/>
      <c r="M6866" s="241">
        <v>1486.0129999999999</v>
      </c>
    </row>
    <row r="6867" spans="3:13" hidden="1" outlineLevel="1" x14ac:dyDescent="0.2">
      <c r="C6867" s="139">
        <v>200.89999999999287</v>
      </c>
      <c r="D6867" s="28">
        <f t="shared" si="321"/>
        <v>1607.199999999943</v>
      </c>
      <c r="E6867" s="28">
        <f t="shared" si="322"/>
        <v>1506.7499999999466</v>
      </c>
      <c r="F6867" s="28">
        <f t="shared" si="323"/>
        <v>1488.7499999999466</v>
      </c>
      <c r="G6867" s="28">
        <f t="shared" si="324"/>
        <v>1405.9097999999999</v>
      </c>
      <c r="H6867" s="28">
        <f t="shared" si="325"/>
        <v>1459.1759</v>
      </c>
      <c r="I6867" s="28">
        <f t="shared" si="326"/>
        <v>1487.0350000000001</v>
      </c>
      <c r="J6867" s="28">
        <f t="shared" si="327"/>
        <v>1509.4870000000001</v>
      </c>
      <c r="K6867" s="28">
        <f t="shared" si="328"/>
        <v>1549.2731000000001</v>
      </c>
      <c r="L6867" s="4"/>
      <c r="M6867" s="241">
        <v>1487.0350000000001</v>
      </c>
    </row>
    <row r="6868" spans="3:13" hidden="1" outlineLevel="1" x14ac:dyDescent="0.2">
      <c r="C6868" s="139">
        <v>200.99999999999287</v>
      </c>
      <c r="D6868" s="28">
        <f t="shared" si="321"/>
        <v>1607.9999999999429</v>
      </c>
      <c r="E6868" s="28">
        <f t="shared" si="322"/>
        <v>1507.4999999999466</v>
      </c>
      <c r="F6868" s="28">
        <f t="shared" si="323"/>
        <v>1489.4999999999466</v>
      </c>
      <c r="G6868" s="28">
        <f t="shared" si="324"/>
        <v>1406.9001000000001</v>
      </c>
      <c r="H6868" s="28">
        <f t="shared" si="325"/>
        <v>1460.1793</v>
      </c>
      <c r="I6868" s="28">
        <f t="shared" si="326"/>
        <v>1488.0571</v>
      </c>
      <c r="J6868" s="28">
        <f t="shared" si="327"/>
        <v>1510.5014000000001</v>
      </c>
      <c r="K6868" s="28">
        <f t="shared" si="328"/>
        <v>1550.3142</v>
      </c>
      <c r="L6868" s="4"/>
      <c r="M6868" s="241">
        <v>1488.0571</v>
      </c>
    </row>
    <row r="6869" spans="3:13" hidden="1" outlineLevel="1" x14ac:dyDescent="0.2">
      <c r="C6869" s="139">
        <v>201.09999999999286</v>
      </c>
      <c r="D6869" s="28">
        <f t="shared" si="321"/>
        <v>1608.7999999999429</v>
      </c>
      <c r="E6869" s="28">
        <f t="shared" si="322"/>
        <v>1508.2499999999463</v>
      </c>
      <c r="F6869" s="28">
        <f t="shared" si="323"/>
        <v>1490.2499999999463</v>
      </c>
      <c r="G6869" s="28">
        <f t="shared" si="324"/>
        <v>1407.8677</v>
      </c>
      <c r="H6869" s="28">
        <f t="shared" si="325"/>
        <v>1461.1599000000001</v>
      </c>
      <c r="I6869" s="28">
        <f t="shared" si="326"/>
        <v>1489.0564999999999</v>
      </c>
      <c r="J6869" s="28">
        <f t="shared" si="327"/>
        <v>1511.5408</v>
      </c>
      <c r="K6869" s="28">
        <f t="shared" si="328"/>
        <v>1551.3553999999999</v>
      </c>
      <c r="L6869" s="4"/>
      <c r="M6869" s="241">
        <v>1489.0564999999999</v>
      </c>
    </row>
    <row r="6870" spans="3:13" hidden="1" outlineLevel="1" x14ac:dyDescent="0.2">
      <c r="C6870" s="139">
        <v>201.19999999999285</v>
      </c>
      <c r="D6870" s="28">
        <f t="shared" si="321"/>
        <v>1609.5999999999428</v>
      </c>
      <c r="E6870" s="28">
        <f t="shared" si="322"/>
        <v>1508.9999999999463</v>
      </c>
      <c r="F6870" s="28">
        <f t="shared" si="323"/>
        <v>1490.9999999999463</v>
      </c>
      <c r="G6870" s="28">
        <f t="shared" si="324"/>
        <v>1407.8677</v>
      </c>
      <c r="H6870" s="28">
        <f t="shared" si="325"/>
        <v>1461.1599000000001</v>
      </c>
      <c r="I6870" s="28">
        <f t="shared" si="326"/>
        <v>1489.0564999999999</v>
      </c>
      <c r="J6870" s="28">
        <f t="shared" si="327"/>
        <v>1511.5408</v>
      </c>
      <c r="K6870" s="28">
        <f t="shared" si="328"/>
        <v>1551.3553999999999</v>
      </c>
      <c r="L6870" s="4"/>
      <c r="M6870" s="241">
        <v>1489.0564999999999</v>
      </c>
    </row>
    <row r="6871" spans="3:13" hidden="1" outlineLevel="1" x14ac:dyDescent="0.2">
      <c r="C6871" s="139">
        <v>201.29999999999285</v>
      </c>
      <c r="D6871" s="28">
        <f t="shared" si="321"/>
        <v>1610.3999999999428</v>
      </c>
      <c r="E6871" s="28">
        <f t="shared" si="322"/>
        <v>1509.7499999999463</v>
      </c>
      <c r="F6871" s="28">
        <f t="shared" si="323"/>
        <v>1491.7499999999463</v>
      </c>
      <c r="G6871" s="28">
        <f t="shared" si="324"/>
        <v>1408.8579999999999</v>
      </c>
      <c r="H6871" s="28">
        <f t="shared" si="325"/>
        <v>1462.1632999999999</v>
      </c>
      <c r="I6871" s="28">
        <f t="shared" si="326"/>
        <v>1490.0786000000001</v>
      </c>
      <c r="J6871" s="28">
        <f t="shared" si="327"/>
        <v>1512.5553</v>
      </c>
      <c r="K6871" s="28">
        <f t="shared" si="328"/>
        <v>1552.4215999999999</v>
      </c>
      <c r="L6871" s="4"/>
      <c r="M6871" s="241">
        <v>1490.0786000000001</v>
      </c>
    </row>
    <row r="6872" spans="3:13" hidden="1" outlineLevel="1" x14ac:dyDescent="0.2">
      <c r="C6872" s="139">
        <v>201.39999999999284</v>
      </c>
      <c r="D6872" s="28">
        <f t="shared" si="321"/>
        <v>1611.1999999999427</v>
      </c>
      <c r="E6872" s="28">
        <f t="shared" si="322"/>
        <v>1510.4999999999463</v>
      </c>
      <c r="F6872" s="28">
        <f t="shared" si="323"/>
        <v>1492.4999999999463</v>
      </c>
      <c r="G6872" s="28">
        <f t="shared" si="324"/>
        <v>1409.8257000000001</v>
      </c>
      <c r="H6872" s="28">
        <f t="shared" si="325"/>
        <v>1463.1667</v>
      </c>
      <c r="I6872" s="28">
        <f t="shared" si="326"/>
        <v>1491.1007</v>
      </c>
      <c r="J6872" s="28">
        <f t="shared" si="327"/>
        <v>1513.5948000000001</v>
      </c>
      <c r="K6872" s="28">
        <f t="shared" si="328"/>
        <v>1553.4628</v>
      </c>
      <c r="L6872" s="4"/>
      <c r="M6872" s="241">
        <v>1491.1007</v>
      </c>
    </row>
    <row r="6873" spans="3:13" hidden="1" outlineLevel="1" x14ac:dyDescent="0.2">
      <c r="C6873" s="139">
        <v>201.49999999999284</v>
      </c>
      <c r="D6873" s="28">
        <f t="shared" si="321"/>
        <v>1611.9999999999427</v>
      </c>
      <c r="E6873" s="28">
        <f t="shared" si="322"/>
        <v>1511.2499999999463</v>
      </c>
      <c r="F6873" s="28">
        <f t="shared" si="323"/>
        <v>1493.2499999999463</v>
      </c>
      <c r="G6873" s="28">
        <f t="shared" si="324"/>
        <v>1410.8162</v>
      </c>
      <c r="H6873" s="28">
        <f t="shared" si="325"/>
        <v>1464.1702</v>
      </c>
      <c r="I6873" s="28">
        <f t="shared" si="326"/>
        <v>1492.1001000000001</v>
      </c>
      <c r="J6873" s="28">
        <f t="shared" si="327"/>
        <v>1514.6093000000001</v>
      </c>
      <c r="K6873" s="28">
        <f t="shared" si="328"/>
        <v>1554.5291</v>
      </c>
      <c r="L6873" s="4"/>
      <c r="M6873" s="241">
        <v>1492.1001000000001</v>
      </c>
    </row>
    <row r="6874" spans="3:13" hidden="1" outlineLevel="1" x14ac:dyDescent="0.2">
      <c r="C6874" s="139">
        <v>201.59999999999283</v>
      </c>
      <c r="D6874" s="28">
        <f t="shared" si="321"/>
        <v>1612.7999999999427</v>
      </c>
      <c r="E6874" s="28">
        <f t="shared" si="322"/>
        <v>1511.9999999999463</v>
      </c>
      <c r="F6874" s="28">
        <f t="shared" si="323"/>
        <v>1493.9999999999463</v>
      </c>
      <c r="G6874" s="28">
        <f t="shared" si="324"/>
        <v>1410.8162</v>
      </c>
      <c r="H6874" s="28">
        <f t="shared" si="325"/>
        <v>1464.1702</v>
      </c>
      <c r="I6874" s="28">
        <f t="shared" si="326"/>
        <v>1492.1001000000001</v>
      </c>
      <c r="J6874" s="28">
        <f t="shared" si="327"/>
        <v>1514.6093000000001</v>
      </c>
      <c r="K6874" s="28">
        <f t="shared" si="328"/>
        <v>1554.5291</v>
      </c>
      <c r="L6874" s="4"/>
      <c r="M6874" s="241">
        <v>1492.1001000000001</v>
      </c>
    </row>
    <row r="6875" spans="3:13" hidden="1" outlineLevel="1" x14ac:dyDescent="0.2">
      <c r="C6875" s="139">
        <v>201.69999999999283</v>
      </c>
      <c r="D6875" s="28">
        <f t="shared" si="321"/>
        <v>1613.5999999999426</v>
      </c>
      <c r="E6875" s="28">
        <f t="shared" si="322"/>
        <v>1512.7499999999461</v>
      </c>
      <c r="F6875" s="28">
        <f t="shared" si="323"/>
        <v>1494.7499999999461</v>
      </c>
      <c r="G6875" s="28">
        <f t="shared" si="324"/>
        <v>1411.7840000000001</v>
      </c>
      <c r="H6875" s="28">
        <f t="shared" si="325"/>
        <v>1465.1737000000001</v>
      </c>
      <c r="I6875" s="28">
        <f t="shared" si="326"/>
        <v>1493.1223</v>
      </c>
      <c r="J6875" s="28">
        <f t="shared" si="327"/>
        <v>1515.6487999999999</v>
      </c>
      <c r="K6875" s="28">
        <f t="shared" si="328"/>
        <v>1555.5703000000001</v>
      </c>
      <c r="L6875" s="4"/>
      <c r="M6875" s="241">
        <v>1493.1223</v>
      </c>
    </row>
    <row r="6876" spans="3:13" hidden="1" outlineLevel="1" x14ac:dyDescent="0.2">
      <c r="C6876" s="139">
        <v>201.79999999999282</v>
      </c>
      <c r="D6876" s="28">
        <f t="shared" si="321"/>
        <v>1614.3999999999426</v>
      </c>
      <c r="E6876" s="28">
        <f t="shared" si="322"/>
        <v>1513.4999999999461</v>
      </c>
      <c r="F6876" s="28">
        <f t="shared" si="323"/>
        <v>1495.4999999999461</v>
      </c>
      <c r="G6876" s="28">
        <f t="shared" si="324"/>
        <v>1412.7517</v>
      </c>
      <c r="H6876" s="28">
        <f t="shared" si="325"/>
        <v>1466.1772000000001</v>
      </c>
      <c r="I6876" s="28">
        <f t="shared" si="326"/>
        <v>1494.1446000000001</v>
      </c>
      <c r="J6876" s="28">
        <f t="shared" si="327"/>
        <v>1516.6884</v>
      </c>
      <c r="K6876" s="28">
        <f t="shared" si="328"/>
        <v>1556.6115</v>
      </c>
      <c r="L6876" s="4"/>
      <c r="M6876" s="241">
        <v>1494.1446000000001</v>
      </c>
    </row>
    <row r="6877" spans="3:13" hidden="1" outlineLevel="1" x14ac:dyDescent="0.2">
      <c r="C6877" s="139">
        <v>201.89999999999281</v>
      </c>
      <c r="D6877" s="28">
        <f t="shared" si="321"/>
        <v>1615.1999999999425</v>
      </c>
      <c r="E6877" s="28">
        <f t="shared" si="322"/>
        <v>1514.2499999999461</v>
      </c>
      <c r="F6877" s="28">
        <f t="shared" si="323"/>
        <v>1496.2499999999461</v>
      </c>
      <c r="G6877" s="28">
        <f t="shared" si="324"/>
        <v>1413.7424000000001</v>
      </c>
      <c r="H6877" s="28">
        <f t="shared" si="325"/>
        <v>1467.1806999999999</v>
      </c>
      <c r="I6877" s="28">
        <f t="shared" si="326"/>
        <v>1495.1668</v>
      </c>
      <c r="J6877" s="28">
        <f t="shared" si="327"/>
        <v>1517.7029</v>
      </c>
      <c r="K6877" s="28">
        <f t="shared" si="328"/>
        <v>1557.6777999999999</v>
      </c>
      <c r="L6877" s="4"/>
      <c r="M6877" s="241">
        <v>1495.1668</v>
      </c>
    </row>
    <row r="6878" spans="3:13" hidden="1" outlineLevel="1" x14ac:dyDescent="0.2">
      <c r="C6878" s="139">
        <v>201.99999999999281</v>
      </c>
      <c r="D6878" s="28">
        <f t="shared" si="321"/>
        <v>1615.9999999999425</v>
      </c>
      <c r="E6878" s="28">
        <f t="shared" si="322"/>
        <v>1514.9999999999461</v>
      </c>
      <c r="F6878" s="28">
        <f t="shared" si="323"/>
        <v>1496.9999999999461</v>
      </c>
      <c r="G6878" s="28">
        <f t="shared" si="324"/>
        <v>1413.7424000000001</v>
      </c>
      <c r="H6878" s="28">
        <f t="shared" si="325"/>
        <v>1467.1806999999999</v>
      </c>
      <c r="I6878" s="28">
        <f t="shared" si="326"/>
        <v>1495.1668</v>
      </c>
      <c r="J6878" s="28">
        <f t="shared" si="327"/>
        <v>1517.7029</v>
      </c>
      <c r="K6878" s="28">
        <f t="shared" si="328"/>
        <v>1557.6777999999999</v>
      </c>
      <c r="L6878" s="4"/>
      <c r="M6878" s="241">
        <v>1495.1668</v>
      </c>
    </row>
    <row r="6879" spans="3:13" hidden="1" outlineLevel="1" x14ac:dyDescent="0.2">
      <c r="C6879" s="139">
        <v>202.0999999999928</v>
      </c>
      <c r="D6879" s="28">
        <f t="shared" si="321"/>
        <v>1616.7999999999424</v>
      </c>
      <c r="E6879" s="28">
        <f t="shared" si="322"/>
        <v>1515.7499999999461</v>
      </c>
      <c r="F6879" s="28">
        <f t="shared" si="323"/>
        <v>1497.7499999999461</v>
      </c>
      <c r="G6879" s="28">
        <f t="shared" si="324"/>
        <v>1414.7102</v>
      </c>
      <c r="H6879" s="28">
        <f t="shared" si="325"/>
        <v>1468.1842999999999</v>
      </c>
      <c r="I6879" s="28">
        <f t="shared" si="326"/>
        <v>1496.1663000000001</v>
      </c>
      <c r="J6879" s="28">
        <f t="shared" si="327"/>
        <v>1518.7425000000001</v>
      </c>
      <c r="K6879" s="28">
        <f t="shared" si="328"/>
        <v>1558.7190000000001</v>
      </c>
      <c r="L6879" s="4"/>
      <c r="M6879" s="241">
        <v>1496.1663000000001</v>
      </c>
    </row>
    <row r="6880" spans="3:13" hidden="1" outlineLevel="1" x14ac:dyDescent="0.2">
      <c r="C6880" s="139">
        <v>202.1999999999928</v>
      </c>
      <c r="D6880" s="28">
        <f t="shared" si="321"/>
        <v>1617.5999999999424</v>
      </c>
      <c r="E6880" s="28">
        <f t="shared" si="322"/>
        <v>1516.4999999999459</v>
      </c>
      <c r="F6880" s="28">
        <f t="shared" si="323"/>
        <v>1498.4999999999459</v>
      </c>
      <c r="G6880" s="28">
        <f t="shared" si="324"/>
        <v>1415.701</v>
      </c>
      <c r="H6880" s="28">
        <f t="shared" si="325"/>
        <v>1469.1878999999999</v>
      </c>
      <c r="I6880" s="28">
        <f t="shared" si="326"/>
        <v>1497.1886</v>
      </c>
      <c r="J6880" s="28">
        <f t="shared" si="327"/>
        <v>1519.7571</v>
      </c>
      <c r="K6880" s="28">
        <f t="shared" si="328"/>
        <v>1559.7854</v>
      </c>
      <c r="L6880" s="4"/>
      <c r="M6880" s="241">
        <v>1497.1886</v>
      </c>
    </row>
    <row r="6881" spans="3:13" hidden="1" outlineLevel="1" x14ac:dyDescent="0.2">
      <c r="C6881" s="139">
        <v>202.29999999999279</v>
      </c>
      <c r="D6881" s="28">
        <f t="shared" si="321"/>
        <v>1618.3999999999423</v>
      </c>
      <c r="E6881" s="28">
        <f t="shared" si="322"/>
        <v>1517.2499999999459</v>
      </c>
      <c r="F6881" s="28">
        <f t="shared" si="323"/>
        <v>1499.2499999999459</v>
      </c>
      <c r="G6881" s="28">
        <f t="shared" si="324"/>
        <v>1416.6688999999999</v>
      </c>
      <c r="H6881" s="28">
        <f t="shared" si="325"/>
        <v>1470.1916000000001</v>
      </c>
      <c r="I6881" s="28">
        <f t="shared" si="326"/>
        <v>1498.2109</v>
      </c>
      <c r="J6881" s="28">
        <f t="shared" si="327"/>
        <v>1520.7968000000001</v>
      </c>
      <c r="K6881" s="28">
        <f t="shared" si="328"/>
        <v>1560.8267000000001</v>
      </c>
      <c r="L6881" s="4"/>
      <c r="M6881" s="241">
        <v>1498.2109</v>
      </c>
    </row>
    <row r="6882" spans="3:13" hidden="1" outlineLevel="1" x14ac:dyDescent="0.2">
      <c r="C6882" s="139">
        <v>202.39999999999279</v>
      </c>
      <c r="D6882" s="28">
        <f t="shared" si="321"/>
        <v>1619.1999999999423</v>
      </c>
      <c r="E6882" s="28">
        <f t="shared" si="322"/>
        <v>1517.9999999999459</v>
      </c>
      <c r="F6882" s="28">
        <f t="shared" si="323"/>
        <v>1499.9999999999459</v>
      </c>
      <c r="G6882" s="28">
        <f t="shared" si="324"/>
        <v>1416.6688999999999</v>
      </c>
      <c r="H6882" s="28">
        <f t="shared" si="325"/>
        <v>1470.1916000000001</v>
      </c>
      <c r="I6882" s="28">
        <f t="shared" si="326"/>
        <v>1498.2109</v>
      </c>
      <c r="J6882" s="28">
        <f t="shared" si="327"/>
        <v>1520.7968000000001</v>
      </c>
      <c r="K6882" s="28">
        <f t="shared" si="328"/>
        <v>1560.8267000000001</v>
      </c>
      <c r="L6882" s="4"/>
      <c r="M6882" s="241">
        <v>1498.2109</v>
      </c>
    </row>
    <row r="6883" spans="3:13" hidden="1" outlineLevel="1" x14ac:dyDescent="0.2">
      <c r="C6883" s="139">
        <v>202.49999999999278</v>
      </c>
      <c r="D6883" s="28">
        <f t="shared" si="321"/>
        <v>1619.9999999999422</v>
      </c>
      <c r="E6883" s="28">
        <f t="shared" si="322"/>
        <v>1518.7499999999459</v>
      </c>
      <c r="F6883" s="28">
        <f t="shared" si="323"/>
        <v>1500.7499999999459</v>
      </c>
      <c r="G6883" s="28">
        <f t="shared" si="324"/>
        <v>1417.6597999999999</v>
      </c>
      <c r="H6883" s="28">
        <f t="shared" si="325"/>
        <v>1471.1952000000001</v>
      </c>
      <c r="I6883" s="28">
        <f t="shared" si="326"/>
        <v>1499.2103999999999</v>
      </c>
      <c r="J6883" s="28">
        <f t="shared" si="327"/>
        <v>1521.8113000000001</v>
      </c>
      <c r="K6883" s="28">
        <f t="shared" si="328"/>
        <v>1561.8679</v>
      </c>
      <c r="L6883" s="4"/>
      <c r="M6883" s="241">
        <v>1499.2103999999999</v>
      </c>
    </row>
    <row r="6884" spans="3:13" hidden="1" outlineLevel="1" x14ac:dyDescent="0.2">
      <c r="C6884" s="139">
        <v>202.59999999999278</v>
      </c>
      <c r="D6884" s="28">
        <f t="shared" si="321"/>
        <v>1620.7999999999422</v>
      </c>
      <c r="E6884" s="28">
        <f t="shared" si="322"/>
        <v>1519.4999999999459</v>
      </c>
      <c r="F6884" s="28">
        <f t="shared" si="323"/>
        <v>1501.4999999999459</v>
      </c>
      <c r="G6884" s="28">
        <f t="shared" si="324"/>
        <v>1418.6278</v>
      </c>
      <c r="H6884" s="28">
        <f t="shared" si="325"/>
        <v>1472.1759999999999</v>
      </c>
      <c r="I6884" s="28">
        <f t="shared" si="326"/>
        <v>1500.2327</v>
      </c>
      <c r="J6884" s="28">
        <f t="shared" si="327"/>
        <v>1522.8510000000001</v>
      </c>
      <c r="K6884" s="28">
        <f t="shared" si="328"/>
        <v>1562.9342999999999</v>
      </c>
      <c r="L6884" s="4"/>
      <c r="M6884" s="241">
        <v>1500.2327</v>
      </c>
    </row>
    <row r="6885" spans="3:13" hidden="1" outlineLevel="1" x14ac:dyDescent="0.2">
      <c r="C6885" s="139">
        <v>202.69999999999277</v>
      </c>
      <c r="D6885" s="28">
        <f t="shared" si="321"/>
        <v>1621.5999999999422</v>
      </c>
      <c r="E6885" s="28">
        <f t="shared" si="322"/>
        <v>1520.2499999999459</v>
      </c>
      <c r="F6885" s="28">
        <f t="shared" si="323"/>
        <v>1502.2499999999459</v>
      </c>
      <c r="G6885" s="28">
        <f t="shared" si="324"/>
        <v>1419.5958000000001</v>
      </c>
      <c r="H6885" s="28">
        <f t="shared" si="325"/>
        <v>1473.1796999999999</v>
      </c>
      <c r="I6885" s="28">
        <f t="shared" si="326"/>
        <v>1501.2551000000001</v>
      </c>
      <c r="J6885" s="28">
        <f t="shared" si="327"/>
        <v>1523.8656000000001</v>
      </c>
      <c r="K6885" s="28">
        <f t="shared" si="328"/>
        <v>1563.9756</v>
      </c>
      <c r="L6885" s="4"/>
      <c r="M6885" s="241">
        <v>1501.2551000000001</v>
      </c>
    </row>
    <row r="6886" spans="3:13" hidden="1" outlineLevel="1" x14ac:dyDescent="0.2">
      <c r="C6886" s="139">
        <v>202.79999999999276</v>
      </c>
      <c r="D6886" s="28">
        <f t="shared" si="321"/>
        <v>1622.3999999999421</v>
      </c>
      <c r="E6886" s="28">
        <f t="shared" si="322"/>
        <v>1520.9999999999457</v>
      </c>
      <c r="F6886" s="28">
        <f t="shared" si="323"/>
        <v>1502.9999999999457</v>
      </c>
      <c r="G6886" s="28">
        <f t="shared" si="324"/>
        <v>1419.5958000000001</v>
      </c>
      <c r="H6886" s="28">
        <f t="shared" si="325"/>
        <v>1473.1796999999999</v>
      </c>
      <c r="I6886" s="28">
        <f t="shared" si="326"/>
        <v>1501.2551000000001</v>
      </c>
      <c r="J6886" s="28">
        <f t="shared" si="327"/>
        <v>1523.8656000000001</v>
      </c>
      <c r="K6886" s="28">
        <f t="shared" si="328"/>
        <v>1563.9756</v>
      </c>
      <c r="L6886" s="4"/>
      <c r="M6886" s="241">
        <v>1501.2551000000001</v>
      </c>
    </row>
    <row r="6887" spans="3:13" hidden="1" outlineLevel="1" x14ac:dyDescent="0.2">
      <c r="C6887" s="139">
        <v>202.89999999999276</v>
      </c>
      <c r="D6887" s="28">
        <f t="shared" si="321"/>
        <v>1623.1999999999421</v>
      </c>
      <c r="E6887" s="28">
        <f t="shared" si="322"/>
        <v>1521.7499999999457</v>
      </c>
      <c r="F6887" s="28">
        <f t="shared" si="323"/>
        <v>1503.7499999999457</v>
      </c>
      <c r="G6887" s="28">
        <f t="shared" si="324"/>
        <v>1420.5868</v>
      </c>
      <c r="H6887" s="28">
        <f t="shared" si="325"/>
        <v>1474.1835000000001</v>
      </c>
      <c r="I6887" s="28">
        <f t="shared" si="326"/>
        <v>1502.2775999999999</v>
      </c>
      <c r="J6887" s="28">
        <f t="shared" si="327"/>
        <v>1524.9054000000001</v>
      </c>
      <c r="K6887" s="28">
        <f t="shared" si="328"/>
        <v>1565.0420999999999</v>
      </c>
      <c r="L6887" s="4"/>
      <c r="M6887" s="241">
        <v>1502.2775999999999</v>
      </c>
    </row>
    <row r="6888" spans="3:13" hidden="1" outlineLevel="1" x14ac:dyDescent="0.2">
      <c r="C6888" s="139">
        <v>202.99999999999275</v>
      </c>
      <c r="D6888" s="28">
        <f t="shared" si="321"/>
        <v>1623.999999999942</v>
      </c>
      <c r="E6888" s="28">
        <f t="shared" si="322"/>
        <v>1522.4999999999457</v>
      </c>
      <c r="F6888" s="28">
        <f t="shared" si="323"/>
        <v>1504.4999999999457</v>
      </c>
      <c r="G6888" s="28">
        <f t="shared" si="324"/>
        <v>1421.5549000000001</v>
      </c>
      <c r="H6888" s="28">
        <f t="shared" si="325"/>
        <v>1475.1873000000001</v>
      </c>
      <c r="I6888" s="28">
        <f t="shared" si="326"/>
        <v>1503.2771</v>
      </c>
      <c r="J6888" s="28">
        <f t="shared" si="327"/>
        <v>1525.9199000000001</v>
      </c>
      <c r="K6888" s="28">
        <f t="shared" si="328"/>
        <v>1566.0834</v>
      </c>
      <c r="L6888" s="4"/>
      <c r="M6888" s="241">
        <v>1503.2771</v>
      </c>
    </row>
    <row r="6889" spans="3:13" hidden="1" outlineLevel="1" x14ac:dyDescent="0.2">
      <c r="C6889" s="139">
        <v>203.09999999999275</v>
      </c>
      <c r="D6889" s="28">
        <f t="shared" si="321"/>
        <v>1624.799999999942</v>
      </c>
      <c r="E6889" s="28">
        <f t="shared" si="322"/>
        <v>1523.2499999999457</v>
      </c>
      <c r="F6889" s="28">
        <f t="shared" si="323"/>
        <v>1505.2499999999457</v>
      </c>
      <c r="G6889" s="28">
        <f t="shared" si="324"/>
        <v>1422.546</v>
      </c>
      <c r="H6889" s="28">
        <f t="shared" si="325"/>
        <v>1476.1911</v>
      </c>
      <c r="I6889" s="28">
        <f t="shared" si="326"/>
        <v>1504.2996000000001</v>
      </c>
      <c r="J6889" s="28">
        <f t="shared" si="327"/>
        <v>1526.9598000000001</v>
      </c>
      <c r="K6889" s="28">
        <f t="shared" si="328"/>
        <v>1567.1247000000001</v>
      </c>
      <c r="L6889" s="4"/>
      <c r="M6889" s="241">
        <v>1504.2996000000001</v>
      </c>
    </row>
    <row r="6890" spans="3:13" hidden="1" outlineLevel="1" x14ac:dyDescent="0.2">
      <c r="C6890" s="139">
        <v>203.19999999999274</v>
      </c>
      <c r="D6890" s="28">
        <f t="shared" si="321"/>
        <v>1625.5999999999419</v>
      </c>
      <c r="E6890" s="28">
        <f t="shared" si="322"/>
        <v>1523.9999999999457</v>
      </c>
      <c r="F6890" s="28">
        <f t="shared" si="323"/>
        <v>1505.9999999999457</v>
      </c>
      <c r="G6890" s="28">
        <f t="shared" si="324"/>
        <v>1422.546</v>
      </c>
      <c r="H6890" s="28">
        <f t="shared" si="325"/>
        <v>1476.1911</v>
      </c>
      <c r="I6890" s="28">
        <f t="shared" si="326"/>
        <v>1504.2996000000001</v>
      </c>
      <c r="J6890" s="28">
        <f t="shared" si="327"/>
        <v>1526.9598000000001</v>
      </c>
      <c r="K6890" s="28">
        <f t="shared" si="328"/>
        <v>1567.1247000000001</v>
      </c>
      <c r="L6890" s="4"/>
      <c r="M6890" s="241">
        <v>1504.2996000000001</v>
      </c>
    </row>
    <row r="6891" spans="3:13" hidden="1" outlineLevel="1" x14ac:dyDescent="0.2">
      <c r="C6891" s="139">
        <v>203.29999999999274</v>
      </c>
      <c r="D6891" s="28">
        <f t="shared" si="321"/>
        <v>1626.3999999999419</v>
      </c>
      <c r="E6891" s="28">
        <f t="shared" si="322"/>
        <v>1524.7499999999454</v>
      </c>
      <c r="F6891" s="28">
        <f t="shared" si="323"/>
        <v>1506.7499999999454</v>
      </c>
      <c r="G6891" s="28">
        <f t="shared" si="324"/>
        <v>1423.5142000000001</v>
      </c>
      <c r="H6891" s="28">
        <f t="shared" si="325"/>
        <v>1477.1949</v>
      </c>
      <c r="I6891" s="28">
        <f t="shared" si="326"/>
        <v>1505.3221000000001</v>
      </c>
      <c r="J6891" s="28">
        <f t="shared" si="327"/>
        <v>1527.9744000000001</v>
      </c>
      <c r="K6891" s="28">
        <f t="shared" si="328"/>
        <v>1568.1912</v>
      </c>
      <c r="L6891" s="4"/>
      <c r="M6891" s="241">
        <v>1505.3221000000001</v>
      </c>
    </row>
    <row r="6892" spans="3:13" hidden="1" outlineLevel="1" x14ac:dyDescent="0.2">
      <c r="C6892" s="139">
        <v>203.39999999999273</v>
      </c>
      <c r="D6892" s="28">
        <f t="shared" si="321"/>
        <v>1627.1999999999418</v>
      </c>
      <c r="E6892" s="28">
        <f t="shared" si="322"/>
        <v>1525.4999999999454</v>
      </c>
      <c r="F6892" s="28">
        <f t="shared" si="323"/>
        <v>1507.4999999999454</v>
      </c>
      <c r="G6892" s="28">
        <f t="shared" si="324"/>
        <v>1424.5055</v>
      </c>
      <c r="H6892" s="28">
        <f t="shared" si="325"/>
        <v>1478.1987999999999</v>
      </c>
      <c r="I6892" s="28">
        <f t="shared" si="326"/>
        <v>1506.3216</v>
      </c>
      <c r="J6892" s="28">
        <f t="shared" si="327"/>
        <v>1529.0143</v>
      </c>
      <c r="K6892" s="28">
        <f t="shared" si="328"/>
        <v>1569.2325000000001</v>
      </c>
      <c r="L6892" s="4"/>
      <c r="M6892" s="241">
        <v>1506.3216</v>
      </c>
    </row>
    <row r="6893" spans="3:13" hidden="1" outlineLevel="1" x14ac:dyDescent="0.2">
      <c r="C6893" s="139">
        <v>203.49999999999272</v>
      </c>
      <c r="D6893" s="28">
        <f t="shared" si="321"/>
        <v>1627.9999999999418</v>
      </c>
      <c r="E6893" s="28">
        <f t="shared" si="322"/>
        <v>1526.2499999999454</v>
      </c>
      <c r="F6893" s="28">
        <f t="shared" si="323"/>
        <v>1508.2499999999454</v>
      </c>
      <c r="G6893" s="28">
        <f t="shared" si="324"/>
        <v>1425.4737</v>
      </c>
      <c r="H6893" s="28">
        <f t="shared" si="325"/>
        <v>1479.2027</v>
      </c>
      <c r="I6893" s="28">
        <f t="shared" si="326"/>
        <v>1507.3442</v>
      </c>
      <c r="J6893" s="28">
        <f t="shared" si="327"/>
        <v>1530.0542</v>
      </c>
      <c r="K6893" s="28">
        <f t="shared" si="328"/>
        <v>1570.2991</v>
      </c>
      <c r="L6893" s="4"/>
      <c r="M6893" s="241">
        <v>1507.3442</v>
      </c>
    </row>
    <row r="6894" spans="3:13" hidden="1" outlineLevel="1" x14ac:dyDescent="0.2">
      <c r="C6894" s="139">
        <v>203.59999999999272</v>
      </c>
      <c r="D6894" s="28">
        <f t="shared" si="321"/>
        <v>1628.7999999999417</v>
      </c>
      <c r="E6894" s="28">
        <f t="shared" si="322"/>
        <v>1526.9999999999454</v>
      </c>
      <c r="F6894" s="28">
        <f t="shared" si="323"/>
        <v>1508.9999999999454</v>
      </c>
      <c r="G6894" s="28">
        <f t="shared" si="324"/>
        <v>1425.4737</v>
      </c>
      <c r="H6894" s="28">
        <f t="shared" si="325"/>
        <v>1479.2027</v>
      </c>
      <c r="I6894" s="28">
        <f t="shared" si="326"/>
        <v>1507.3442</v>
      </c>
      <c r="J6894" s="28">
        <f t="shared" si="327"/>
        <v>1530.0542</v>
      </c>
      <c r="K6894" s="28">
        <f t="shared" si="328"/>
        <v>1570.2991</v>
      </c>
      <c r="L6894" s="4"/>
      <c r="M6894" s="241">
        <v>1507.3442</v>
      </c>
    </row>
    <row r="6895" spans="3:13" hidden="1" outlineLevel="1" x14ac:dyDescent="0.2">
      <c r="C6895" s="139">
        <v>203.69999999999271</v>
      </c>
      <c r="D6895" s="28">
        <f t="shared" si="321"/>
        <v>1629.5999999999417</v>
      </c>
      <c r="E6895" s="28">
        <f t="shared" si="322"/>
        <v>1527.7499999999454</v>
      </c>
      <c r="F6895" s="28">
        <f t="shared" si="323"/>
        <v>1509.7499999999454</v>
      </c>
      <c r="G6895" s="28">
        <f t="shared" si="324"/>
        <v>1426.442</v>
      </c>
      <c r="H6895" s="28">
        <f t="shared" si="325"/>
        <v>1480.2066</v>
      </c>
      <c r="I6895" s="28">
        <f t="shared" si="326"/>
        <v>1508.3668</v>
      </c>
      <c r="J6895" s="28">
        <f t="shared" si="327"/>
        <v>1531.0688</v>
      </c>
      <c r="K6895" s="28">
        <f t="shared" si="328"/>
        <v>1571.3404</v>
      </c>
      <c r="L6895" s="4"/>
      <c r="M6895" s="241">
        <v>1508.3668</v>
      </c>
    </row>
    <row r="6896" spans="3:13" hidden="1" outlineLevel="1" x14ac:dyDescent="0.2">
      <c r="C6896" s="139">
        <v>203.79999999999271</v>
      </c>
      <c r="D6896" s="28">
        <f t="shared" si="321"/>
        <v>1630.3999999999417</v>
      </c>
      <c r="E6896" s="28">
        <f t="shared" si="322"/>
        <v>1528.4999999999452</v>
      </c>
      <c r="F6896" s="28">
        <f t="shared" si="323"/>
        <v>1510.4999999999452</v>
      </c>
      <c r="G6896" s="28">
        <f t="shared" si="324"/>
        <v>1427.4333999999999</v>
      </c>
      <c r="H6896" s="28">
        <f t="shared" si="325"/>
        <v>1481.2106000000001</v>
      </c>
      <c r="I6896" s="28">
        <f t="shared" si="326"/>
        <v>1509.3664000000001</v>
      </c>
      <c r="J6896" s="28">
        <f t="shared" si="327"/>
        <v>1532.1088</v>
      </c>
      <c r="K6896" s="28">
        <f t="shared" si="328"/>
        <v>1572.3816999999999</v>
      </c>
      <c r="L6896" s="4"/>
      <c r="M6896" s="241">
        <v>1509.3664000000001</v>
      </c>
    </row>
    <row r="6897" spans="3:13" hidden="1" outlineLevel="1" x14ac:dyDescent="0.2">
      <c r="C6897" s="139">
        <v>203.8999999999927</v>
      </c>
      <c r="D6897" s="28">
        <f t="shared" si="321"/>
        <v>1631.1999999999416</v>
      </c>
      <c r="E6897" s="28">
        <f t="shared" si="322"/>
        <v>1529.2499999999452</v>
      </c>
      <c r="F6897" s="28">
        <f t="shared" si="323"/>
        <v>1511.2499999999452</v>
      </c>
      <c r="G6897" s="28">
        <f t="shared" si="324"/>
        <v>1428.4018000000001</v>
      </c>
      <c r="H6897" s="28">
        <f t="shared" si="325"/>
        <v>1482.1914999999999</v>
      </c>
      <c r="I6897" s="28">
        <f t="shared" si="326"/>
        <v>1510.3889999999999</v>
      </c>
      <c r="J6897" s="28">
        <f t="shared" si="327"/>
        <v>1533.1233999999999</v>
      </c>
      <c r="K6897" s="28">
        <f t="shared" si="328"/>
        <v>1573.4484</v>
      </c>
      <c r="L6897" s="4"/>
      <c r="M6897" s="241">
        <v>1510.3889999999999</v>
      </c>
    </row>
    <row r="6898" spans="3:13" hidden="1" outlineLevel="1" x14ac:dyDescent="0.2">
      <c r="C6898" s="139">
        <v>203.9999999999927</v>
      </c>
      <c r="D6898" s="28">
        <f t="shared" si="321"/>
        <v>1631.9999999999416</v>
      </c>
      <c r="E6898" s="28">
        <f t="shared" si="322"/>
        <v>1529.9999999999452</v>
      </c>
      <c r="F6898" s="28">
        <f t="shared" si="323"/>
        <v>1511.9999999999452</v>
      </c>
      <c r="G6898" s="28">
        <f t="shared" si="324"/>
        <v>1428.4018000000001</v>
      </c>
      <c r="H6898" s="28">
        <f t="shared" si="325"/>
        <v>1482.1914999999999</v>
      </c>
      <c r="I6898" s="28">
        <f t="shared" si="326"/>
        <v>1510.3889999999999</v>
      </c>
      <c r="J6898" s="28">
        <f t="shared" si="327"/>
        <v>1533.1233999999999</v>
      </c>
      <c r="K6898" s="28">
        <f t="shared" si="328"/>
        <v>1573.4484</v>
      </c>
      <c r="L6898" s="4"/>
      <c r="M6898" s="241">
        <v>1510.3889999999999</v>
      </c>
    </row>
    <row r="6899" spans="3:13" hidden="1" outlineLevel="1" x14ac:dyDescent="0.2">
      <c r="C6899" s="139">
        <v>204.09999999999269</v>
      </c>
      <c r="D6899" s="28">
        <f t="shared" si="321"/>
        <v>1632.7999999999415</v>
      </c>
      <c r="E6899" s="28">
        <f t="shared" si="322"/>
        <v>1530.7499999999452</v>
      </c>
      <c r="F6899" s="28">
        <f t="shared" si="323"/>
        <v>1512.7499999999452</v>
      </c>
      <c r="G6899" s="28">
        <f t="shared" si="324"/>
        <v>1429.3932</v>
      </c>
      <c r="H6899" s="28">
        <f t="shared" si="325"/>
        <v>1483.1955</v>
      </c>
      <c r="I6899" s="28">
        <f t="shared" si="326"/>
        <v>1511.4117000000001</v>
      </c>
      <c r="J6899" s="28">
        <f t="shared" si="327"/>
        <v>1534.1633999999999</v>
      </c>
      <c r="K6899" s="28">
        <f t="shared" si="328"/>
        <v>1574.4897000000001</v>
      </c>
      <c r="L6899" s="4"/>
      <c r="M6899" s="241">
        <v>1511.4117000000001</v>
      </c>
    </row>
    <row r="6900" spans="3:13" hidden="1" outlineLevel="1" x14ac:dyDescent="0.2">
      <c r="C6900" s="139">
        <v>204.19999999999268</v>
      </c>
      <c r="D6900" s="28">
        <f t="shared" si="321"/>
        <v>1633.5999999999415</v>
      </c>
      <c r="E6900" s="28">
        <f t="shared" si="322"/>
        <v>1531.4999999999452</v>
      </c>
      <c r="F6900" s="28">
        <f t="shared" si="323"/>
        <v>1513.4999999999452</v>
      </c>
      <c r="G6900" s="28">
        <f t="shared" si="324"/>
        <v>1430.3616999999999</v>
      </c>
      <c r="H6900" s="28">
        <f t="shared" si="325"/>
        <v>1484.1994999999999</v>
      </c>
      <c r="I6900" s="28">
        <f t="shared" si="326"/>
        <v>1512.4344000000001</v>
      </c>
      <c r="J6900" s="28">
        <f t="shared" si="327"/>
        <v>1535.1781000000001</v>
      </c>
      <c r="K6900" s="28">
        <f t="shared" si="328"/>
        <v>1575.5564999999999</v>
      </c>
      <c r="L6900" s="4"/>
      <c r="M6900" s="241">
        <v>1512.4344000000001</v>
      </c>
    </row>
    <row r="6901" spans="3:13" hidden="1" outlineLevel="1" x14ac:dyDescent="0.2">
      <c r="C6901" s="139">
        <v>204.29999999999268</v>
      </c>
      <c r="D6901" s="28">
        <f t="shared" si="321"/>
        <v>1634.3999999999414</v>
      </c>
      <c r="E6901" s="28">
        <f t="shared" si="322"/>
        <v>1532.249999999945</v>
      </c>
      <c r="F6901" s="28">
        <f t="shared" si="323"/>
        <v>1514.249999999945</v>
      </c>
      <c r="G6901" s="28">
        <f t="shared" si="324"/>
        <v>1431.3302000000001</v>
      </c>
      <c r="H6901" s="28">
        <f t="shared" si="325"/>
        <v>1485.2036000000001</v>
      </c>
      <c r="I6901" s="28">
        <f t="shared" si="326"/>
        <v>1513.434</v>
      </c>
      <c r="J6901" s="28">
        <f t="shared" si="327"/>
        <v>1536.2182</v>
      </c>
      <c r="K6901" s="28">
        <f t="shared" si="328"/>
        <v>1576.5978</v>
      </c>
      <c r="L6901" s="4"/>
      <c r="M6901" s="241">
        <v>1513.434</v>
      </c>
    </row>
    <row r="6902" spans="3:13" hidden="1" outlineLevel="1" x14ac:dyDescent="0.2">
      <c r="C6902" s="139">
        <v>204.39999999999267</v>
      </c>
      <c r="D6902" s="28">
        <f t="shared" si="321"/>
        <v>1635.1999999999414</v>
      </c>
      <c r="E6902" s="28">
        <f t="shared" si="322"/>
        <v>1532.999999999945</v>
      </c>
      <c r="F6902" s="28">
        <f t="shared" si="323"/>
        <v>1514.999999999945</v>
      </c>
      <c r="G6902" s="28">
        <f t="shared" si="324"/>
        <v>1431.3302000000001</v>
      </c>
      <c r="H6902" s="28">
        <f t="shared" si="325"/>
        <v>1485.2036000000001</v>
      </c>
      <c r="I6902" s="28">
        <f t="shared" si="326"/>
        <v>1513.434</v>
      </c>
      <c r="J6902" s="28">
        <f t="shared" si="327"/>
        <v>1536.2182</v>
      </c>
      <c r="K6902" s="28">
        <f t="shared" si="328"/>
        <v>1576.5978</v>
      </c>
      <c r="L6902" s="4"/>
      <c r="M6902" s="241">
        <v>1513.434</v>
      </c>
    </row>
    <row r="6903" spans="3:13" hidden="1" outlineLevel="1" x14ac:dyDescent="0.2">
      <c r="C6903" s="139">
        <v>204.49999999999267</v>
      </c>
      <c r="D6903" s="28">
        <f t="shared" si="321"/>
        <v>1635.9999999999413</v>
      </c>
      <c r="E6903" s="28">
        <f t="shared" si="322"/>
        <v>1533.749999999945</v>
      </c>
      <c r="F6903" s="28">
        <f t="shared" si="323"/>
        <v>1515.749999999945</v>
      </c>
      <c r="G6903" s="28">
        <f t="shared" si="324"/>
        <v>1432.3217999999999</v>
      </c>
      <c r="H6903" s="28">
        <f t="shared" si="325"/>
        <v>1486.2076999999999</v>
      </c>
      <c r="I6903" s="28">
        <f t="shared" si="326"/>
        <v>1514.4567</v>
      </c>
      <c r="J6903" s="28">
        <f t="shared" si="327"/>
        <v>1537.2328</v>
      </c>
      <c r="K6903" s="28">
        <f t="shared" si="328"/>
        <v>1577.6392000000001</v>
      </c>
      <c r="L6903" s="4"/>
      <c r="M6903" s="241">
        <v>1514.4567</v>
      </c>
    </row>
    <row r="6904" spans="3:13" hidden="1" outlineLevel="1" x14ac:dyDescent="0.2">
      <c r="C6904" s="139">
        <v>204.59999999999266</v>
      </c>
      <c r="D6904" s="28">
        <f t="shared" si="321"/>
        <v>1636.7999999999413</v>
      </c>
      <c r="E6904" s="28">
        <f t="shared" si="322"/>
        <v>1534.499999999945</v>
      </c>
      <c r="F6904" s="28">
        <f t="shared" si="323"/>
        <v>1516.499999999945</v>
      </c>
      <c r="G6904" s="28">
        <f t="shared" si="324"/>
        <v>1433.2904000000001</v>
      </c>
      <c r="H6904" s="28">
        <f t="shared" si="325"/>
        <v>1487.2118</v>
      </c>
      <c r="I6904" s="28">
        <f t="shared" si="326"/>
        <v>1515.4794999999999</v>
      </c>
      <c r="J6904" s="28">
        <f t="shared" si="327"/>
        <v>1538.2729999999999</v>
      </c>
      <c r="K6904" s="28">
        <f t="shared" si="328"/>
        <v>1578.7058999999999</v>
      </c>
      <c r="L6904" s="4"/>
      <c r="M6904" s="241">
        <v>1515.4794999999999</v>
      </c>
    </row>
    <row r="6905" spans="3:13" hidden="1" outlineLevel="1" x14ac:dyDescent="0.2">
      <c r="C6905" s="139">
        <v>204.69999999999266</v>
      </c>
      <c r="D6905" s="28">
        <f t="shared" si="321"/>
        <v>1637.5999999999412</v>
      </c>
      <c r="E6905" s="28">
        <f t="shared" si="322"/>
        <v>1535.249999999945</v>
      </c>
      <c r="F6905" s="28">
        <f t="shared" si="323"/>
        <v>1517.249999999945</v>
      </c>
      <c r="G6905" s="28">
        <f t="shared" si="324"/>
        <v>1434.2820999999999</v>
      </c>
      <c r="H6905" s="28">
        <f t="shared" si="325"/>
        <v>1488.2159999999999</v>
      </c>
      <c r="I6905" s="28">
        <f t="shared" si="326"/>
        <v>1516.4792</v>
      </c>
      <c r="J6905" s="28">
        <f t="shared" si="327"/>
        <v>1539.2877000000001</v>
      </c>
      <c r="K6905" s="28">
        <f t="shared" si="328"/>
        <v>1579.7473</v>
      </c>
      <c r="L6905" s="4"/>
      <c r="M6905" s="241">
        <v>1516.4792</v>
      </c>
    </row>
    <row r="6906" spans="3:13" hidden="1" outlineLevel="1" x14ac:dyDescent="0.2">
      <c r="C6906" s="139">
        <v>204.79999999999265</v>
      </c>
      <c r="D6906" s="28">
        <f t="shared" si="321"/>
        <v>1638.3999999999412</v>
      </c>
      <c r="E6906" s="28">
        <f t="shared" si="322"/>
        <v>1535.999999999945</v>
      </c>
      <c r="F6906" s="28">
        <f t="shared" si="323"/>
        <v>1517.999999999945</v>
      </c>
      <c r="G6906" s="28">
        <f t="shared" si="324"/>
        <v>1434.2820999999999</v>
      </c>
      <c r="H6906" s="28">
        <f t="shared" si="325"/>
        <v>1488.2159999999999</v>
      </c>
      <c r="I6906" s="28">
        <f t="shared" si="326"/>
        <v>1516.4792</v>
      </c>
      <c r="J6906" s="28">
        <f t="shared" si="327"/>
        <v>1539.2877000000001</v>
      </c>
      <c r="K6906" s="28">
        <f t="shared" si="328"/>
        <v>1579.7473</v>
      </c>
      <c r="L6906" s="4"/>
      <c r="M6906" s="241">
        <v>1516.4792</v>
      </c>
    </row>
    <row r="6907" spans="3:13" hidden="1" outlineLevel="1" x14ac:dyDescent="0.2">
      <c r="C6907" s="139">
        <v>204.89999999999264</v>
      </c>
      <c r="D6907" s="28">
        <f t="shared" ref="D6907:D6970" si="329">C6907*Channels.per.TRX</f>
        <v>1639.1999999999412</v>
      </c>
      <c r="E6907" s="28">
        <f t="shared" ref="E6907:E6970" si="330">D6907-C6907*sig.channel.per.TRX</f>
        <v>1536.7499999999447</v>
      </c>
      <c r="F6907" s="28">
        <f t="shared" ref="F6907:F6970" si="331">MAX(0,E6907-GPRS.channel.per.sector)</f>
        <v>1518.7499999999447</v>
      </c>
      <c r="G6907" s="28">
        <f t="shared" ref="G6907:G6970" si="332">INDEX(D$10:D$4326,MATCH($F6907,$C$10:$C$4326,1))</f>
        <v>1435.2507000000001</v>
      </c>
      <c r="H6907" s="28">
        <f t="shared" ref="H6907:H6970" si="333">INDEX(E$10:E$4326,MATCH($F6907,$C$10:$C$4326,1))</f>
        <v>1489.2202</v>
      </c>
      <c r="I6907" s="28">
        <f t="shared" ref="I6907:I6970" si="334">INDEX(F$10:F$4326,MATCH($F6907,$C$10:$C$4326,1))</f>
        <v>1517.5136</v>
      </c>
      <c r="J6907" s="28">
        <f t="shared" ref="J6907:J6970" si="335">INDEX(G$10:G$4326,MATCH($F6907,$C$10:$C$4326,1))</f>
        <v>1540.3278</v>
      </c>
      <c r="K6907" s="28">
        <f t="shared" ref="K6907:K6970" si="336">INDEX(H$10:H$4326,MATCH($F6907,$C$10:$C$4326,1))</f>
        <v>1580.8142</v>
      </c>
      <c r="L6907" s="4"/>
      <c r="M6907" s="241">
        <v>1517.5136</v>
      </c>
    </row>
    <row r="6908" spans="3:13" hidden="1" outlineLevel="1" x14ac:dyDescent="0.2">
      <c r="C6908" s="139">
        <v>204.99999999999264</v>
      </c>
      <c r="D6908" s="28">
        <f t="shared" si="329"/>
        <v>1639.9999999999411</v>
      </c>
      <c r="E6908" s="28">
        <f t="shared" si="330"/>
        <v>1537.4999999999447</v>
      </c>
      <c r="F6908" s="28">
        <f t="shared" si="331"/>
        <v>1519.4999999999447</v>
      </c>
      <c r="G6908" s="28">
        <f t="shared" si="332"/>
        <v>1436.2194</v>
      </c>
      <c r="H6908" s="28">
        <f t="shared" si="333"/>
        <v>1490.2244000000001</v>
      </c>
      <c r="I6908" s="28">
        <f t="shared" si="334"/>
        <v>1518.5133000000001</v>
      </c>
      <c r="J6908" s="28">
        <f t="shared" si="335"/>
        <v>1541.3425</v>
      </c>
      <c r="K6908" s="28">
        <f t="shared" si="336"/>
        <v>1581.8554999999999</v>
      </c>
      <c r="L6908" s="4"/>
      <c r="M6908" s="241">
        <v>1518.5133000000001</v>
      </c>
    </row>
    <row r="6909" spans="3:13" hidden="1" outlineLevel="1" x14ac:dyDescent="0.2">
      <c r="C6909" s="139">
        <v>205.09999999999263</v>
      </c>
      <c r="D6909" s="28">
        <f t="shared" si="329"/>
        <v>1640.7999999999411</v>
      </c>
      <c r="E6909" s="28">
        <f t="shared" si="330"/>
        <v>1538.2499999999447</v>
      </c>
      <c r="F6909" s="28">
        <f t="shared" si="331"/>
        <v>1520.2499999999447</v>
      </c>
      <c r="G6909" s="28">
        <f t="shared" si="332"/>
        <v>1437.2112999999999</v>
      </c>
      <c r="H6909" s="28">
        <f t="shared" si="333"/>
        <v>1491.2054000000001</v>
      </c>
      <c r="I6909" s="28">
        <f t="shared" si="334"/>
        <v>1519.5128999999999</v>
      </c>
      <c r="J6909" s="28">
        <f t="shared" si="335"/>
        <v>1542.3828000000001</v>
      </c>
      <c r="K6909" s="28">
        <f t="shared" si="336"/>
        <v>1582.8969</v>
      </c>
      <c r="L6909" s="4"/>
      <c r="M6909" s="241">
        <v>1519.5128999999999</v>
      </c>
    </row>
    <row r="6910" spans="3:13" hidden="1" outlineLevel="1" x14ac:dyDescent="0.2">
      <c r="C6910" s="139">
        <v>205.19999999999263</v>
      </c>
      <c r="D6910" s="28">
        <f t="shared" si="329"/>
        <v>1641.599999999941</v>
      </c>
      <c r="E6910" s="28">
        <f t="shared" si="330"/>
        <v>1538.9999999999447</v>
      </c>
      <c r="F6910" s="28">
        <f t="shared" si="331"/>
        <v>1520.9999999999447</v>
      </c>
      <c r="G6910" s="28">
        <f t="shared" si="332"/>
        <v>1437.2112999999999</v>
      </c>
      <c r="H6910" s="28">
        <f t="shared" si="333"/>
        <v>1491.2054000000001</v>
      </c>
      <c r="I6910" s="28">
        <f t="shared" si="334"/>
        <v>1519.5128999999999</v>
      </c>
      <c r="J6910" s="28">
        <f t="shared" si="335"/>
        <v>1542.3828000000001</v>
      </c>
      <c r="K6910" s="28">
        <f t="shared" si="336"/>
        <v>1582.8969</v>
      </c>
      <c r="L6910" s="4"/>
      <c r="M6910" s="241">
        <v>1519.5128999999999</v>
      </c>
    </row>
    <row r="6911" spans="3:13" hidden="1" outlineLevel="1" x14ac:dyDescent="0.2">
      <c r="C6911" s="139">
        <v>205.29999999999262</v>
      </c>
      <c r="D6911" s="28">
        <f t="shared" si="329"/>
        <v>1642.399999999941</v>
      </c>
      <c r="E6911" s="28">
        <f t="shared" si="330"/>
        <v>1539.7499999999447</v>
      </c>
      <c r="F6911" s="28">
        <f t="shared" si="331"/>
        <v>1521.7499999999447</v>
      </c>
      <c r="G6911" s="28">
        <f t="shared" si="332"/>
        <v>1438.18</v>
      </c>
      <c r="H6911" s="28">
        <f t="shared" si="333"/>
        <v>1492.2097000000001</v>
      </c>
      <c r="I6911" s="28">
        <f t="shared" si="334"/>
        <v>1520.559</v>
      </c>
      <c r="J6911" s="28">
        <f t="shared" si="335"/>
        <v>1543.3975</v>
      </c>
      <c r="K6911" s="28">
        <f t="shared" si="336"/>
        <v>1583.9638</v>
      </c>
      <c r="L6911" s="4"/>
      <c r="M6911" s="241">
        <v>1520.559</v>
      </c>
    </row>
    <row r="6912" spans="3:13" hidden="1" outlineLevel="1" x14ac:dyDescent="0.2">
      <c r="C6912" s="139">
        <v>205.39999999999262</v>
      </c>
      <c r="D6912" s="28">
        <f t="shared" si="329"/>
        <v>1643.1999999999409</v>
      </c>
      <c r="E6912" s="28">
        <f t="shared" si="330"/>
        <v>1540.4999999999445</v>
      </c>
      <c r="F6912" s="28">
        <f t="shared" si="331"/>
        <v>1522.4999999999445</v>
      </c>
      <c r="G6912" s="28">
        <f t="shared" si="332"/>
        <v>1439.172</v>
      </c>
      <c r="H6912" s="28">
        <f t="shared" si="333"/>
        <v>1493.2139999999999</v>
      </c>
      <c r="I6912" s="28">
        <f t="shared" si="334"/>
        <v>1521.5587</v>
      </c>
      <c r="J6912" s="28">
        <f t="shared" si="335"/>
        <v>1544.4376999999999</v>
      </c>
      <c r="K6912" s="28">
        <f t="shared" si="336"/>
        <v>1585.0052000000001</v>
      </c>
      <c r="L6912" s="4"/>
      <c r="M6912" s="241">
        <v>1521.5587</v>
      </c>
    </row>
    <row r="6913" spans="3:13" hidden="1" outlineLevel="1" x14ac:dyDescent="0.2">
      <c r="C6913" s="139">
        <v>205.49999999999261</v>
      </c>
      <c r="D6913" s="28">
        <f t="shared" si="329"/>
        <v>1643.9999999999409</v>
      </c>
      <c r="E6913" s="28">
        <f t="shared" si="330"/>
        <v>1541.2499999999445</v>
      </c>
      <c r="F6913" s="28">
        <f t="shared" si="331"/>
        <v>1523.2499999999445</v>
      </c>
      <c r="G6913" s="28">
        <f t="shared" si="332"/>
        <v>1440.1409000000001</v>
      </c>
      <c r="H6913" s="28">
        <f t="shared" si="333"/>
        <v>1494.2183</v>
      </c>
      <c r="I6913" s="28">
        <f t="shared" si="334"/>
        <v>1522.6049</v>
      </c>
      <c r="J6913" s="28">
        <f t="shared" si="335"/>
        <v>1545.4525000000001</v>
      </c>
      <c r="K6913" s="28">
        <f t="shared" si="336"/>
        <v>1586.0465999999999</v>
      </c>
      <c r="L6913" s="4"/>
      <c r="M6913" s="241">
        <v>1522.6049</v>
      </c>
    </row>
    <row r="6914" spans="3:13" hidden="1" outlineLevel="1" x14ac:dyDescent="0.2">
      <c r="C6914" s="139">
        <v>205.5999999999926</v>
      </c>
      <c r="D6914" s="28">
        <f t="shared" si="329"/>
        <v>1644.7999999999408</v>
      </c>
      <c r="E6914" s="28">
        <f t="shared" si="330"/>
        <v>1541.9999999999445</v>
      </c>
      <c r="F6914" s="28">
        <f t="shared" si="331"/>
        <v>1523.9999999999445</v>
      </c>
      <c r="G6914" s="28">
        <f t="shared" si="332"/>
        <v>1440.1409000000001</v>
      </c>
      <c r="H6914" s="28">
        <f t="shared" si="333"/>
        <v>1494.2183</v>
      </c>
      <c r="I6914" s="28">
        <f t="shared" si="334"/>
        <v>1522.6049</v>
      </c>
      <c r="J6914" s="28">
        <f t="shared" si="335"/>
        <v>1545.4525000000001</v>
      </c>
      <c r="K6914" s="28">
        <f t="shared" si="336"/>
        <v>1586.0465999999999</v>
      </c>
      <c r="L6914" s="4"/>
      <c r="M6914" s="241">
        <v>1522.6049</v>
      </c>
    </row>
    <row r="6915" spans="3:13" hidden="1" outlineLevel="1" x14ac:dyDescent="0.2">
      <c r="C6915" s="139">
        <v>205.6999999999926</v>
      </c>
      <c r="D6915" s="28">
        <f t="shared" si="329"/>
        <v>1645.5999999999408</v>
      </c>
      <c r="E6915" s="28">
        <f t="shared" si="330"/>
        <v>1542.7499999999445</v>
      </c>
      <c r="F6915" s="28">
        <f t="shared" si="331"/>
        <v>1524.7499999999445</v>
      </c>
      <c r="G6915" s="28">
        <f t="shared" si="332"/>
        <v>1441.1097</v>
      </c>
      <c r="H6915" s="28">
        <f t="shared" si="333"/>
        <v>1495.2227</v>
      </c>
      <c r="I6915" s="28">
        <f t="shared" si="334"/>
        <v>1523.6047000000001</v>
      </c>
      <c r="J6915" s="28">
        <f t="shared" si="335"/>
        <v>1546.4928</v>
      </c>
      <c r="K6915" s="28">
        <f t="shared" si="336"/>
        <v>1587.1135999999999</v>
      </c>
      <c r="L6915" s="4"/>
      <c r="M6915" s="241">
        <v>1523.6047000000001</v>
      </c>
    </row>
    <row r="6916" spans="3:13" hidden="1" outlineLevel="1" x14ac:dyDescent="0.2">
      <c r="C6916" s="139">
        <v>205.79999999999259</v>
      </c>
      <c r="D6916" s="28">
        <f t="shared" si="329"/>
        <v>1646.3999999999407</v>
      </c>
      <c r="E6916" s="28">
        <f t="shared" si="330"/>
        <v>1543.4999999999445</v>
      </c>
      <c r="F6916" s="28">
        <f t="shared" si="331"/>
        <v>1525.4999999999445</v>
      </c>
      <c r="G6916" s="28">
        <f t="shared" si="332"/>
        <v>1442.1018999999999</v>
      </c>
      <c r="H6916" s="28">
        <f t="shared" si="333"/>
        <v>1496.2271000000001</v>
      </c>
      <c r="I6916" s="28">
        <f t="shared" si="334"/>
        <v>1524.6043999999999</v>
      </c>
      <c r="J6916" s="28">
        <f t="shared" si="335"/>
        <v>1547.5332000000001</v>
      </c>
      <c r="K6916" s="28">
        <f t="shared" si="336"/>
        <v>1588.155</v>
      </c>
      <c r="L6916" s="4"/>
      <c r="M6916" s="241">
        <v>1524.6043999999999</v>
      </c>
    </row>
    <row r="6917" spans="3:13" hidden="1" outlineLevel="1" x14ac:dyDescent="0.2">
      <c r="C6917" s="139">
        <v>205.89999999999259</v>
      </c>
      <c r="D6917" s="28">
        <f t="shared" si="329"/>
        <v>1647.1999999999407</v>
      </c>
      <c r="E6917" s="28">
        <f t="shared" si="330"/>
        <v>1544.2499999999445</v>
      </c>
      <c r="F6917" s="28">
        <f t="shared" si="331"/>
        <v>1526.2499999999445</v>
      </c>
      <c r="G6917" s="28">
        <f t="shared" si="332"/>
        <v>1443.0708</v>
      </c>
      <c r="H6917" s="28">
        <f t="shared" si="333"/>
        <v>1497.2315000000001</v>
      </c>
      <c r="I6917" s="28">
        <f t="shared" si="334"/>
        <v>1525.6506999999999</v>
      </c>
      <c r="J6917" s="28">
        <f t="shared" si="335"/>
        <v>1548.5479</v>
      </c>
      <c r="K6917" s="28">
        <f t="shared" si="336"/>
        <v>1589.222</v>
      </c>
      <c r="L6917" s="4"/>
      <c r="M6917" s="241">
        <v>1525.6506999999999</v>
      </c>
    </row>
    <row r="6918" spans="3:13" hidden="1" outlineLevel="1" x14ac:dyDescent="0.2">
      <c r="C6918" s="139">
        <v>205.99999999999258</v>
      </c>
      <c r="D6918" s="28">
        <f t="shared" si="329"/>
        <v>1647.9999999999407</v>
      </c>
      <c r="E6918" s="28">
        <f t="shared" si="330"/>
        <v>1544.9999999999443</v>
      </c>
      <c r="F6918" s="28">
        <f t="shared" si="331"/>
        <v>1526.9999999999443</v>
      </c>
      <c r="G6918" s="28">
        <f t="shared" si="332"/>
        <v>1443.0708</v>
      </c>
      <c r="H6918" s="28">
        <f t="shared" si="333"/>
        <v>1497.2315000000001</v>
      </c>
      <c r="I6918" s="28">
        <f t="shared" si="334"/>
        <v>1525.6506999999999</v>
      </c>
      <c r="J6918" s="28">
        <f t="shared" si="335"/>
        <v>1548.5479</v>
      </c>
      <c r="K6918" s="28">
        <f t="shared" si="336"/>
        <v>1589.222</v>
      </c>
      <c r="L6918" s="4"/>
      <c r="M6918" s="241">
        <v>1525.6506999999999</v>
      </c>
    </row>
    <row r="6919" spans="3:13" hidden="1" outlineLevel="1" x14ac:dyDescent="0.2">
      <c r="C6919" s="139">
        <v>206.09999999999258</v>
      </c>
      <c r="D6919" s="28">
        <f t="shared" si="329"/>
        <v>1648.7999999999406</v>
      </c>
      <c r="E6919" s="28">
        <f t="shared" si="330"/>
        <v>1545.7499999999443</v>
      </c>
      <c r="F6919" s="28">
        <f t="shared" si="331"/>
        <v>1527.7499999999443</v>
      </c>
      <c r="G6919" s="28">
        <f t="shared" si="332"/>
        <v>1444.0630000000001</v>
      </c>
      <c r="H6919" s="28">
        <f t="shared" si="333"/>
        <v>1498.2358999999999</v>
      </c>
      <c r="I6919" s="28">
        <f t="shared" si="334"/>
        <v>1526.6505</v>
      </c>
      <c r="J6919" s="28">
        <f t="shared" si="335"/>
        <v>1549.5884000000001</v>
      </c>
      <c r="K6919" s="28">
        <f t="shared" si="336"/>
        <v>1590.2635</v>
      </c>
      <c r="L6919" s="4"/>
      <c r="M6919" s="241">
        <v>1526.6505</v>
      </c>
    </row>
    <row r="6920" spans="3:13" hidden="1" outlineLevel="1" x14ac:dyDescent="0.2">
      <c r="C6920" s="139">
        <v>206.19999999999257</v>
      </c>
      <c r="D6920" s="28">
        <f t="shared" si="329"/>
        <v>1649.5999999999406</v>
      </c>
      <c r="E6920" s="28">
        <f t="shared" si="330"/>
        <v>1546.4999999999443</v>
      </c>
      <c r="F6920" s="28">
        <f t="shared" si="331"/>
        <v>1528.4999999999443</v>
      </c>
      <c r="G6920" s="28">
        <f t="shared" si="332"/>
        <v>1445.0319999999999</v>
      </c>
      <c r="H6920" s="28">
        <f t="shared" si="333"/>
        <v>1499.2403999999999</v>
      </c>
      <c r="I6920" s="28">
        <f t="shared" si="334"/>
        <v>1527.6503</v>
      </c>
      <c r="J6920" s="28">
        <f t="shared" si="335"/>
        <v>1550.6031</v>
      </c>
      <c r="K6920" s="28">
        <f t="shared" si="336"/>
        <v>1591.3049000000001</v>
      </c>
      <c r="L6920" s="4"/>
      <c r="M6920" s="241">
        <v>1527.6503</v>
      </c>
    </row>
    <row r="6921" spans="3:13" hidden="1" outlineLevel="1" x14ac:dyDescent="0.2">
      <c r="C6921" s="139">
        <v>206.29999999999256</v>
      </c>
      <c r="D6921" s="28">
        <f t="shared" si="329"/>
        <v>1650.3999999999405</v>
      </c>
      <c r="E6921" s="28">
        <f t="shared" si="330"/>
        <v>1547.2499999999443</v>
      </c>
      <c r="F6921" s="28">
        <f t="shared" si="331"/>
        <v>1529.2499999999443</v>
      </c>
      <c r="G6921" s="28">
        <f t="shared" si="332"/>
        <v>1446.0011</v>
      </c>
      <c r="H6921" s="28">
        <f t="shared" si="333"/>
        <v>1500.2216000000001</v>
      </c>
      <c r="I6921" s="28">
        <f t="shared" si="334"/>
        <v>1528.6967</v>
      </c>
      <c r="J6921" s="28">
        <f t="shared" si="335"/>
        <v>1551.6436000000001</v>
      </c>
      <c r="K6921" s="28">
        <f t="shared" si="336"/>
        <v>1592.3720000000001</v>
      </c>
      <c r="L6921" s="4"/>
      <c r="M6921" s="241">
        <v>1528.6967</v>
      </c>
    </row>
    <row r="6922" spans="3:13" hidden="1" outlineLevel="1" x14ac:dyDescent="0.2">
      <c r="C6922" s="139">
        <v>206.39999999999256</v>
      </c>
      <c r="D6922" s="28">
        <f t="shared" si="329"/>
        <v>1651.1999999999405</v>
      </c>
      <c r="E6922" s="28">
        <f t="shared" si="330"/>
        <v>1547.9999999999443</v>
      </c>
      <c r="F6922" s="28">
        <f t="shared" si="331"/>
        <v>1529.9999999999443</v>
      </c>
      <c r="G6922" s="28">
        <f t="shared" si="332"/>
        <v>1446.0011</v>
      </c>
      <c r="H6922" s="28">
        <f t="shared" si="333"/>
        <v>1500.2216000000001</v>
      </c>
      <c r="I6922" s="28">
        <f t="shared" si="334"/>
        <v>1528.6967</v>
      </c>
      <c r="J6922" s="28">
        <f t="shared" si="335"/>
        <v>1551.6436000000001</v>
      </c>
      <c r="K6922" s="28">
        <f t="shared" si="336"/>
        <v>1592.3720000000001</v>
      </c>
      <c r="L6922" s="4"/>
      <c r="M6922" s="241">
        <v>1528.6967</v>
      </c>
    </row>
    <row r="6923" spans="3:13" hidden="1" outlineLevel="1" x14ac:dyDescent="0.2">
      <c r="C6923" s="139">
        <v>206.49999999999255</v>
      </c>
      <c r="D6923" s="28">
        <f t="shared" si="329"/>
        <v>1651.9999999999404</v>
      </c>
      <c r="E6923" s="28">
        <f t="shared" si="330"/>
        <v>1548.7499999999441</v>
      </c>
      <c r="F6923" s="28">
        <f t="shared" si="331"/>
        <v>1530.7499999999441</v>
      </c>
      <c r="G6923" s="28">
        <f t="shared" si="332"/>
        <v>1446.9935</v>
      </c>
      <c r="H6923" s="28">
        <f t="shared" si="333"/>
        <v>1501.2261000000001</v>
      </c>
      <c r="I6923" s="28">
        <f t="shared" si="334"/>
        <v>1529.6965</v>
      </c>
      <c r="J6923" s="28">
        <f t="shared" si="335"/>
        <v>1552.6584</v>
      </c>
      <c r="K6923" s="28">
        <f t="shared" si="336"/>
        <v>1593.4133999999999</v>
      </c>
      <c r="L6923" s="4"/>
      <c r="M6923" s="241">
        <v>1529.6965</v>
      </c>
    </row>
    <row r="6924" spans="3:13" hidden="1" outlineLevel="1" x14ac:dyDescent="0.2">
      <c r="C6924" s="139">
        <v>206.59999999999255</v>
      </c>
      <c r="D6924" s="28">
        <f t="shared" si="329"/>
        <v>1652.7999999999404</v>
      </c>
      <c r="E6924" s="28">
        <f t="shared" si="330"/>
        <v>1549.4999999999441</v>
      </c>
      <c r="F6924" s="28">
        <f t="shared" si="331"/>
        <v>1531.4999999999441</v>
      </c>
      <c r="G6924" s="28">
        <f t="shared" si="332"/>
        <v>1447.9626000000001</v>
      </c>
      <c r="H6924" s="28">
        <f t="shared" si="333"/>
        <v>1502.2307000000001</v>
      </c>
      <c r="I6924" s="28">
        <f t="shared" si="334"/>
        <v>1530.6963000000001</v>
      </c>
      <c r="J6924" s="28">
        <f t="shared" si="335"/>
        <v>1553.6989000000001</v>
      </c>
      <c r="K6924" s="28">
        <f t="shared" si="336"/>
        <v>1594.4806000000001</v>
      </c>
      <c r="L6924" s="4"/>
      <c r="M6924" s="241">
        <v>1530.6963000000001</v>
      </c>
    </row>
    <row r="6925" spans="3:13" hidden="1" outlineLevel="1" x14ac:dyDescent="0.2">
      <c r="C6925" s="139">
        <v>206.69999999999254</v>
      </c>
      <c r="D6925" s="28">
        <f t="shared" si="329"/>
        <v>1653.5999999999403</v>
      </c>
      <c r="E6925" s="28">
        <f t="shared" si="330"/>
        <v>1550.2499999999441</v>
      </c>
      <c r="F6925" s="28">
        <f t="shared" si="331"/>
        <v>1532.2499999999441</v>
      </c>
      <c r="G6925" s="28">
        <f t="shared" si="332"/>
        <v>1448.9317000000001</v>
      </c>
      <c r="H6925" s="28">
        <f t="shared" si="333"/>
        <v>1503.2353000000001</v>
      </c>
      <c r="I6925" s="28">
        <f t="shared" si="334"/>
        <v>1531.7429</v>
      </c>
      <c r="J6925" s="28">
        <f t="shared" si="335"/>
        <v>1554.7137</v>
      </c>
      <c r="K6925" s="28">
        <f t="shared" si="336"/>
        <v>1595.5219999999999</v>
      </c>
      <c r="L6925" s="4"/>
      <c r="M6925" s="241">
        <v>1531.7429</v>
      </c>
    </row>
    <row r="6926" spans="3:13" hidden="1" outlineLevel="1" x14ac:dyDescent="0.2">
      <c r="C6926" s="139">
        <v>206.79999999999254</v>
      </c>
      <c r="D6926" s="28">
        <f t="shared" si="329"/>
        <v>1654.3999999999403</v>
      </c>
      <c r="E6926" s="28">
        <f t="shared" si="330"/>
        <v>1550.9999999999441</v>
      </c>
      <c r="F6926" s="28">
        <f t="shared" si="331"/>
        <v>1532.9999999999441</v>
      </c>
      <c r="G6926" s="28">
        <f t="shared" si="332"/>
        <v>1448.9317000000001</v>
      </c>
      <c r="H6926" s="28">
        <f t="shared" si="333"/>
        <v>1503.2353000000001</v>
      </c>
      <c r="I6926" s="28">
        <f t="shared" si="334"/>
        <v>1531.7429</v>
      </c>
      <c r="J6926" s="28">
        <f t="shared" si="335"/>
        <v>1554.7137</v>
      </c>
      <c r="K6926" s="28">
        <f t="shared" si="336"/>
        <v>1595.5219999999999</v>
      </c>
      <c r="L6926" s="4"/>
      <c r="M6926" s="241">
        <v>1531.7429</v>
      </c>
    </row>
    <row r="6927" spans="3:13" hidden="1" outlineLevel="1" x14ac:dyDescent="0.2">
      <c r="C6927" s="139">
        <v>206.89999999999253</v>
      </c>
      <c r="D6927" s="28">
        <f t="shared" si="329"/>
        <v>1655.1999999999402</v>
      </c>
      <c r="E6927" s="28">
        <f t="shared" si="330"/>
        <v>1551.7499999999441</v>
      </c>
      <c r="F6927" s="28">
        <f t="shared" si="331"/>
        <v>1533.7499999999441</v>
      </c>
      <c r="G6927" s="28">
        <f t="shared" si="332"/>
        <v>1449.9242999999999</v>
      </c>
      <c r="H6927" s="28">
        <f t="shared" si="333"/>
        <v>1504.2399</v>
      </c>
      <c r="I6927" s="28">
        <f t="shared" si="334"/>
        <v>1532.7427</v>
      </c>
      <c r="J6927" s="28">
        <f t="shared" si="335"/>
        <v>1555.7543000000001</v>
      </c>
      <c r="K6927" s="28">
        <f t="shared" si="336"/>
        <v>1596.5635</v>
      </c>
      <c r="L6927" s="4"/>
      <c r="M6927" s="241">
        <v>1532.7427</v>
      </c>
    </row>
    <row r="6928" spans="3:13" hidden="1" outlineLevel="1" x14ac:dyDescent="0.2">
      <c r="C6928" s="139">
        <v>206.99999999999253</v>
      </c>
      <c r="D6928" s="28">
        <f t="shared" si="329"/>
        <v>1655.9999999999402</v>
      </c>
      <c r="E6928" s="28">
        <f t="shared" si="330"/>
        <v>1552.4999999999438</v>
      </c>
      <c r="F6928" s="28">
        <f t="shared" si="331"/>
        <v>1534.4999999999438</v>
      </c>
      <c r="G6928" s="28">
        <f t="shared" si="332"/>
        <v>1450.8934999999999</v>
      </c>
      <c r="H6928" s="28">
        <f t="shared" si="333"/>
        <v>1505.2445</v>
      </c>
      <c r="I6928" s="28">
        <f t="shared" si="334"/>
        <v>1533.7425000000001</v>
      </c>
      <c r="J6928" s="28">
        <f t="shared" si="335"/>
        <v>1556.7691</v>
      </c>
      <c r="K6928" s="28">
        <f t="shared" si="336"/>
        <v>1597.6306999999999</v>
      </c>
      <c r="L6928" s="4"/>
      <c r="M6928" s="241">
        <v>1533.7425000000001</v>
      </c>
    </row>
    <row r="6929" spans="3:13" hidden="1" outlineLevel="1" x14ac:dyDescent="0.2">
      <c r="C6929" s="139">
        <v>207.09999999999252</v>
      </c>
      <c r="D6929" s="28">
        <f t="shared" si="329"/>
        <v>1656.7999999999402</v>
      </c>
      <c r="E6929" s="28">
        <f t="shared" si="330"/>
        <v>1553.2499999999438</v>
      </c>
      <c r="F6929" s="28">
        <f t="shared" si="331"/>
        <v>1535.2499999999438</v>
      </c>
      <c r="G6929" s="28">
        <f t="shared" si="332"/>
        <v>1451.8861999999999</v>
      </c>
      <c r="H6929" s="28">
        <f t="shared" si="333"/>
        <v>1506.2492</v>
      </c>
      <c r="I6929" s="28">
        <f t="shared" si="334"/>
        <v>1534.7891999999999</v>
      </c>
      <c r="J6929" s="28">
        <f t="shared" si="335"/>
        <v>1557.8097</v>
      </c>
      <c r="K6929" s="28">
        <f t="shared" si="336"/>
        <v>1598.6722</v>
      </c>
      <c r="L6929" s="4"/>
      <c r="M6929" s="241">
        <v>1534.7891999999999</v>
      </c>
    </row>
    <row r="6930" spans="3:13" hidden="1" outlineLevel="1" x14ac:dyDescent="0.2">
      <c r="C6930" s="139">
        <v>207.19999999999251</v>
      </c>
      <c r="D6930" s="28">
        <f t="shared" si="329"/>
        <v>1657.5999999999401</v>
      </c>
      <c r="E6930" s="28">
        <f t="shared" si="330"/>
        <v>1553.9999999999438</v>
      </c>
      <c r="F6930" s="28">
        <f t="shared" si="331"/>
        <v>1535.9999999999438</v>
      </c>
      <c r="G6930" s="28">
        <f t="shared" si="332"/>
        <v>1451.8861999999999</v>
      </c>
      <c r="H6930" s="28">
        <f t="shared" si="333"/>
        <v>1506.2492</v>
      </c>
      <c r="I6930" s="28">
        <f t="shared" si="334"/>
        <v>1534.7891999999999</v>
      </c>
      <c r="J6930" s="28">
        <f t="shared" si="335"/>
        <v>1557.8097</v>
      </c>
      <c r="K6930" s="28">
        <f t="shared" si="336"/>
        <v>1598.6722</v>
      </c>
      <c r="L6930" s="4"/>
      <c r="M6930" s="241">
        <v>1534.7891999999999</v>
      </c>
    </row>
    <row r="6931" spans="3:13" hidden="1" outlineLevel="1" x14ac:dyDescent="0.2">
      <c r="C6931" s="139">
        <v>207.29999999999251</v>
      </c>
      <c r="D6931" s="28">
        <f t="shared" si="329"/>
        <v>1658.3999999999401</v>
      </c>
      <c r="E6931" s="28">
        <f t="shared" si="330"/>
        <v>1554.7499999999438</v>
      </c>
      <c r="F6931" s="28">
        <f t="shared" si="331"/>
        <v>1536.7499999999438</v>
      </c>
      <c r="G6931" s="28">
        <f t="shared" si="332"/>
        <v>1452.8554999999999</v>
      </c>
      <c r="H6931" s="28">
        <f t="shared" si="333"/>
        <v>1507.2538999999999</v>
      </c>
      <c r="I6931" s="28">
        <f t="shared" si="334"/>
        <v>1535.7891</v>
      </c>
      <c r="J6931" s="28">
        <f t="shared" si="335"/>
        <v>1558.8245999999999</v>
      </c>
      <c r="K6931" s="28">
        <f t="shared" si="336"/>
        <v>1599.7394999999999</v>
      </c>
      <c r="L6931" s="4"/>
      <c r="M6931" s="241">
        <v>1535.7891</v>
      </c>
    </row>
    <row r="6932" spans="3:13" hidden="1" outlineLevel="1" x14ac:dyDescent="0.2">
      <c r="C6932" s="139">
        <v>207.3999999999925</v>
      </c>
      <c r="D6932" s="28">
        <f t="shared" si="329"/>
        <v>1659.19999999994</v>
      </c>
      <c r="E6932" s="28">
        <f t="shared" si="330"/>
        <v>1555.4999999999438</v>
      </c>
      <c r="F6932" s="28">
        <f t="shared" si="331"/>
        <v>1537.4999999999438</v>
      </c>
      <c r="G6932" s="28">
        <f t="shared" si="332"/>
        <v>1453.8248000000001</v>
      </c>
      <c r="H6932" s="28">
        <f t="shared" si="333"/>
        <v>1508.2352000000001</v>
      </c>
      <c r="I6932" s="28">
        <f t="shared" si="334"/>
        <v>1536.7889</v>
      </c>
      <c r="J6932" s="28">
        <f t="shared" si="335"/>
        <v>1559.8652999999999</v>
      </c>
      <c r="K6932" s="28">
        <f t="shared" si="336"/>
        <v>1600.7809999999999</v>
      </c>
      <c r="L6932" s="4"/>
      <c r="M6932" s="241">
        <v>1536.7889</v>
      </c>
    </row>
    <row r="6933" spans="3:13" hidden="1" outlineLevel="1" x14ac:dyDescent="0.2">
      <c r="C6933" s="139">
        <v>207.4999999999925</v>
      </c>
      <c r="D6933" s="28">
        <f t="shared" si="329"/>
        <v>1659.99999999994</v>
      </c>
      <c r="E6933" s="28">
        <f t="shared" si="330"/>
        <v>1556.2499999999436</v>
      </c>
      <c r="F6933" s="28">
        <f t="shared" si="331"/>
        <v>1538.2499999999436</v>
      </c>
      <c r="G6933" s="28">
        <f t="shared" si="332"/>
        <v>1454.8176000000001</v>
      </c>
      <c r="H6933" s="28">
        <f t="shared" si="333"/>
        <v>1509.2399</v>
      </c>
      <c r="I6933" s="28">
        <f t="shared" si="334"/>
        <v>1537.8357000000001</v>
      </c>
      <c r="J6933" s="28">
        <f t="shared" si="335"/>
        <v>1560.8801000000001</v>
      </c>
      <c r="K6933" s="28">
        <f t="shared" si="336"/>
        <v>1601.8224</v>
      </c>
      <c r="L6933" s="4"/>
      <c r="M6933" s="241">
        <v>1537.8357000000001</v>
      </c>
    </row>
    <row r="6934" spans="3:13" hidden="1" outlineLevel="1" x14ac:dyDescent="0.2">
      <c r="C6934" s="139">
        <v>207.59999999999249</v>
      </c>
      <c r="D6934" s="28">
        <f t="shared" si="329"/>
        <v>1660.7999999999399</v>
      </c>
      <c r="E6934" s="28">
        <f t="shared" si="330"/>
        <v>1556.9999999999436</v>
      </c>
      <c r="F6934" s="28">
        <f t="shared" si="331"/>
        <v>1538.9999999999436</v>
      </c>
      <c r="G6934" s="28">
        <f t="shared" si="332"/>
        <v>1454.8176000000001</v>
      </c>
      <c r="H6934" s="28">
        <f t="shared" si="333"/>
        <v>1509.2399</v>
      </c>
      <c r="I6934" s="28">
        <f t="shared" si="334"/>
        <v>1537.8357000000001</v>
      </c>
      <c r="J6934" s="28">
        <f t="shared" si="335"/>
        <v>1560.8801000000001</v>
      </c>
      <c r="K6934" s="28">
        <f t="shared" si="336"/>
        <v>1601.8224</v>
      </c>
      <c r="L6934" s="4"/>
      <c r="M6934" s="241">
        <v>1537.8357000000001</v>
      </c>
    </row>
    <row r="6935" spans="3:13" hidden="1" outlineLevel="1" x14ac:dyDescent="0.2">
      <c r="C6935" s="139">
        <v>207.69999999999249</v>
      </c>
      <c r="D6935" s="28">
        <f t="shared" si="329"/>
        <v>1661.5999999999399</v>
      </c>
      <c r="E6935" s="28">
        <f t="shared" si="330"/>
        <v>1557.7499999999436</v>
      </c>
      <c r="F6935" s="28">
        <f t="shared" si="331"/>
        <v>1539.7499999999436</v>
      </c>
      <c r="G6935" s="28">
        <f t="shared" si="332"/>
        <v>1455.787</v>
      </c>
      <c r="H6935" s="28">
        <f t="shared" si="333"/>
        <v>1510.2447</v>
      </c>
      <c r="I6935" s="28">
        <f t="shared" si="334"/>
        <v>1538.8356000000001</v>
      </c>
      <c r="J6935" s="28">
        <f t="shared" si="335"/>
        <v>1561.9209000000001</v>
      </c>
      <c r="K6935" s="28">
        <f t="shared" si="336"/>
        <v>1602.8897999999999</v>
      </c>
      <c r="L6935" s="4"/>
      <c r="M6935" s="241">
        <v>1538.8356000000001</v>
      </c>
    </row>
    <row r="6936" spans="3:13" hidden="1" outlineLevel="1" x14ac:dyDescent="0.2">
      <c r="C6936" s="139">
        <v>207.79999999999248</v>
      </c>
      <c r="D6936" s="28">
        <f t="shared" si="329"/>
        <v>1662.3999999999398</v>
      </c>
      <c r="E6936" s="28">
        <f t="shared" si="330"/>
        <v>1558.4999999999436</v>
      </c>
      <c r="F6936" s="28">
        <f t="shared" si="331"/>
        <v>1540.4999999999436</v>
      </c>
      <c r="G6936" s="28">
        <f t="shared" si="332"/>
        <v>1456.7564</v>
      </c>
      <c r="H6936" s="28">
        <f t="shared" si="333"/>
        <v>1511.2494999999999</v>
      </c>
      <c r="I6936" s="28">
        <f t="shared" si="334"/>
        <v>1539.8354999999999</v>
      </c>
      <c r="J6936" s="28">
        <f t="shared" si="335"/>
        <v>1562.9357</v>
      </c>
      <c r="K6936" s="28">
        <f t="shared" si="336"/>
        <v>1603.9313</v>
      </c>
      <c r="L6936" s="4"/>
      <c r="M6936" s="241">
        <v>1539.8354999999999</v>
      </c>
    </row>
    <row r="6937" spans="3:13" hidden="1" outlineLevel="1" x14ac:dyDescent="0.2">
      <c r="C6937" s="139">
        <v>207.89999999999247</v>
      </c>
      <c r="D6937" s="28">
        <f t="shared" si="329"/>
        <v>1663.1999999999398</v>
      </c>
      <c r="E6937" s="28">
        <f t="shared" si="330"/>
        <v>1559.2499999999436</v>
      </c>
      <c r="F6937" s="28">
        <f t="shared" si="331"/>
        <v>1541.2499999999436</v>
      </c>
      <c r="G6937" s="28">
        <f t="shared" si="332"/>
        <v>1457.7493999999999</v>
      </c>
      <c r="H6937" s="28">
        <f t="shared" si="333"/>
        <v>1512.2544</v>
      </c>
      <c r="I6937" s="28">
        <f t="shared" si="334"/>
        <v>1540.8824</v>
      </c>
      <c r="J6937" s="28">
        <f t="shared" si="335"/>
        <v>1563.9765</v>
      </c>
      <c r="K6937" s="28">
        <f t="shared" si="336"/>
        <v>1604.9728</v>
      </c>
      <c r="L6937" s="4"/>
      <c r="M6937" s="241">
        <v>1540.8824</v>
      </c>
    </row>
    <row r="6938" spans="3:13" hidden="1" outlineLevel="1" x14ac:dyDescent="0.2">
      <c r="C6938" s="139">
        <v>207.99999999999247</v>
      </c>
      <c r="D6938" s="28">
        <f t="shared" si="329"/>
        <v>1663.9999999999397</v>
      </c>
      <c r="E6938" s="28">
        <f t="shared" si="330"/>
        <v>1559.9999999999436</v>
      </c>
      <c r="F6938" s="28">
        <f t="shared" si="331"/>
        <v>1541.9999999999436</v>
      </c>
      <c r="G6938" s="28">
        <f t="shared" si="332"/>
        <v>1457.7493999999999</v>
      </c>
      <c r="H6938" s="28">
        <f t="shared" si="333"/>
        <v>1512.2544</v>
      </c>
      <c r="I6938" s="28">
        <f t="shared" si="334"/>
        <v>1540.8824</v>
      </c>
      <c r="J6938" s="28">
        <f t="shared" si="335"/>
        <v>1563.9765</v>
      </c>
      <c r="K6938" s="28">
        <f t="shared" si="336"/>
        <v>1604.9728</v>
      </c>
      <c r="L6938" s="4"/>
      <c r="M6938" s="241">
        <v>1540.8824</v>
      </c>
    </row>
    <row r="6939" spans="3:13" hidden="1" outlineLevel="1" x14ac:dyDescent="0.2">
      <c r="C6939" s="139">
        <v>208.09999999999246</v>
      </c>
      <c r="D6939" s="28">
        <f t="shared" si="329"/>
        <v>1664.7999999999397</v>
      </c>
      <c r="E6939" s="28">
        <f t="shared" si="330"/>
        <v>1560.7499999999434</v>
      </c>
      <c r="F6939" s="28">
        <f t="shared" si="331"/>
        <v>1542.7499999999434</v>
      </c>
      <c r="G6939" s="28">
        <f t="shared" si="332"/>
        <v>1458.7189000000001</v>
      </c>
      <c r="H6939" s="28">
        <f t="shared" si="333"/>
        <v>1513.2592999999999</v>
      </c>
      <c r="I6939" s="28">
        <f t="shared" si="334"/>
        <v>1541.8824</v>
      </c>
      <c r="J6939" s="28">
        <f t="shared" si="335"/>
        <v>1564.9914000000001</v>
      </c>
      <c r="K6939" s="28">
        <f t="shared" si="336"/>
        <v>1606.0401999999999</v>
      </c>
      <c r="L6939" s="4"/>
      <c r="M6939" s="241">
        <v>1541.8824</v>
      </c>
    </row>
    <row r="6940" spans="3:13" hidden="1" outlineLevel="1" x14ac:dyDescent="0.2">
      <c r="C6940" s="139">
        <v>208.19999999999246</v>
      </c>
      <c r="D6940" s="28">
        <f t="shared" si="329"/>
        <v>1665.5999999999397</v>
      </c>
      <c r="E6940" s="28">
        <f t="shared" si="330"/>
        <v>1561.4999999999434</v>
      </c>
      <c r="F6940" s="28">
        <f t="shared" si="331"/>
        <v>1543.4999999999434</v>
      </c>
      <c r="G6940" s="28">
        <f t="shared" si="332"/>
        <v>1459.6885</v>
      </c>
      <c r="H6940" s="28">
        <f t="shared" si="333"/>
        <v>1514.2642000000001</v>
      </c>
      <c r="I6940" s="28">
        <f t="shared" si="334"/>
        <v>1542.8823</v>
      </c>
      <c r="J6940" s="28">
        <f t="shared" si="335"/>
        <v>1566.0322000000001</v>
      </c>
      <c r="K6940" s="28">
        <f t="shared" si="336"/>
        <v>1607.0817</v>
      </c>
      <c r="L6940" s="4"/>
      <c r="M6940" s="241">
        <v>1542.8823</v>
      </c>
    </row>
    <row r="6941" spans="3:13" hidden="1" outlineLevel="1" x14ac:dyDescent="0.2">
      <c r="C6941" s="139">
        <v>208.29999999999245</v>
      </c>
      <c r="D6941" s="28">
        <f t="shared" si="329"/>
        <v>1666.3999999999396</v>
      </c>
      <c r="E6941" s="28">
        <f t="shared" si="330"/>
        <v>1562.2499999999434</v>
      </c>
      <c r="F6941" s="28">
        <f t="shared" si="331"/>
        <v>1544.2499999999434</v>
      </c>
      <c r="G6941" s="28">
        <f t="shared" si="332"/>
        <v>1460.6815999999999</v>
      </c>
      <c r="H6941" s="28">
        <f t="shared" si="333"/>
        <v>1515.2691</v>
      </c>
      <c r="I6941" s="28">
        <f t="shared" si="334"/>
        <v>1543.9293</v>
      </c>
      <c r="J6941" s="28">
        <f t="shared" si="335"/>
        <v>1567.0471</v>
      </c>
      <c r="K6941" s="28">
        <f t="shared" si="336"/>
        <v>1608.1492000000001</v>
      </c>
      <c r="L6941" s="4"/>
      <c r="M6941" s="241">
        <v>1543.9293</v>
      </c>
    </row>
    <row r="6942" spans="3:13" hidden="1" outlineLevel="1" x14ac:dyDescent="0.2">
      <c r="C6942" s="139">
        <v>208.39999999999245</v>
      </c>
      <c r="D6942" s="28">
        <f t="shared" si="329"/>
        <v>1667.1999999999396</v>
      </c>
      <c r="E6942" s="28">
        <f t="shared" si="330"/>
        <v>1562.9999999999434</v>
      </c>
      <c r="F6942" s="28">
        <f t="shared" si="331"/>
        <v>1544.9999999999434</v>
      </c>
      <c r="G6942" s="28">
        <f t="shared" si="332"/>
        <v>1460.6815999999999</v>
      </c>
      <c r="H6942" s="28">
        <f t="shared" si="333"/>
        <v>1515.2691</v>
      </c>
      <c r="I6942" s="28">
        <f t="shared" si="334"/>
        <v>1543.9293</v>
      </c>
      <c r="J6942" s="28">
        <f t="shared" si="335"/>
        <v>1567.0471</v>
      </c>
      <c r="K6942" s="28">
        <f t="shared" si="336"/>
        <v>1608.1492000000001</v>
      </c>
      <c r="L6942" s="4"/>
      <c r="M6942" s="241">
        <v>1543.9293</v>
      </c>
    </row>
    <row r="6943" spans="3:13" hidden="1" outlineLevel="1" x14ac:dyDescent="0.2">
      <c r="C6943" s="139">
        <v>208.49999999999244</v>
      </c>
      <c r="D6943" s="28">
        <f t="shared" si="329"/>
        <v>1667.9999999999395</v>
      </c>
      <c r="E6943" s="28">
        <f t="shared" si="330"/>
        <v>1563.7499999999434</v>
      </c>
      <c r="F6943" s="28">
        <f t="shared" si="331"/>
        <v>1545.7499999999434</v>
      </c>
      <c r="G6943" s="28">
        <f t="shared" si="332"/>
        <v>1461.6512</v>
      </c>
      <c r="H6943" s="28">
        <f t="shared" si="333"/>
        <v>1516.2505000000001</v>
      </c>
      <c r="I6943" s="28">
        <f t="shared" si="334"/>
        <v>1544.9293</v>
      </c>
      <c r="J6943" s="28">
        <f t="shared" si="335"/>
        <v>1568.088</v>
      </c>
      <c r="K6943" s="28">
        <f t="shared" si="336"/>
        <v>1609.1907000000001</v>
      </c>
      <c r="L6943" s="4"/>
      <c r="M6943" s="241">
        <v>1544.9293</v>
      </c>
    </row>
    <row r="6944" spans="3:13" hidden="1" outlineLevel="1" x14ac:dyDescent="0.2">
      <c r="C6944" s="139">
        <v>208.59999999999243</v>
      </c>
      <c r="D6944" s="28">
        <f t="shared" si="329"/>
        <v>1668.7999999999395</v>
      </c>
      <c r="E6944" s="28">
        <f t="shared" si="330"/>
        <v>1564.4999999999432</v>
      </c>
      <c r="F6944" s="28">
        <f t="shared" si="331"/>
        <v>1546.4999999999432</v>
      </c>
      <c r="G6944" s="28">
        <f t="shared" si="332"/>
        <v>1462.6443999999999</v>
      </c>
      <c r="H6944" s="28">
        <f t="shared" si="333"/>
        <v>1517.2437</v>
      </c>
      <c r="I6944" s="28">
        <f t="shared" si="334"/>
        <v>1545.9292</v>
      </c>
      <c r="J6944" s="28">
        <f t="shared" si="335"/>
        <v>1569.1030000000001</v>
      </c>
      <c r="K6944" s="28">
        <f t="shared" si="336"/>
        <v>1610.2322999999999</v>
      </c>
      <c r="L6944" s="4"/>
      <c r="M6944" s="241">
        <v>1545.9292</v>
      </c>
    </row>
    <row r="6945" spans="3:13" hidden="1" outlineLevel="1" x14ac:dyDescent="0.2">
      <c r="C6945" s="139">
        <v>208.69999999999243</v>
      </c>
      <c r="D6945" s="28">
        <f t="shared" si="329"/>
        <v>1669.5999999999394</v>
      </c>
      <c r="E6945" s="28">
        <f t="shared" si="330"/>
        <v>1565.2499999999432</v>
      </c>
      <c r="F6945" s="28">
        <f t="shared" si="331"/>
        <v>1547.2499999999432</v>
      </c>
      <c r="G6945" s="28">
        <f t="shared" si="332"/>
        <v>1463.6141</v>
      </c>
      <c r="H6945" s="28">
        <f t="shared" si="333"/>
        <v>1518.2723000000001</v>
      </c>
      <c r="I6945" s="28">
        <f t="shared" si="334"/>
        <v>1546.9764</v>
      </c>
      <c r="J6945" s="28">
        <f t="shared" si="335"/>
        <v>1570.1439</v>
      </c>
      <c r="K6945" s="28">
        <f t="shared" si="336"/>
        <v>1611.2998</v>
      </c>
      <c r="L6945" s="4"/>
      <c r="M6945" s="241">
        <v>1546.9764</v>
      </c>
    </row>
    <row r="6946" spans="3:13" hidden="1" outlineLevel="1" x14ac:dyDescent="0.2">
      <c r="C6946" s="139">
        <v>208.79999999999242</v>
      </c>
      <c r="D6946" s="28">
        <f t="shared" si="329"/>
        <v>1670.3999999999394</v>
      </c>
      <c r="E6946" s="28">
        <f t="shared" si="330"/>
        <v>1565.9999999999432</v>
      </c>
      <c r="F6946" s="28">
        <f t="shared" si="331"/>
        <v>1547.9999999999432</v>
      </c>
      <c r="G6946" s="28">
        <f t="shared" si="332"/>
        <v>1463.6141</v>
      </c>
      <c r="H6946" s="28">
        <f t="shared" si="333"/>
        <v>1518.2723000000001</v>
      </c>
      <c r="I6946" s="28">
        <f t="shared" si="334"/>
        <v>1546.9764</v>
      </c>
      <c r="J6946" s="28">
        <f t="shared" si="335"/>
        <v>1570.1439</v>
      </c>
      <c r="K6946" s="28">
        <f t="shared" si="336"/>
        <v>1611.2998</v>
      </c>
      <c r="L6946" s="4"/>
      <c r="M6946" s="241">
        <v>1546.9764</v>
      </c>
    </row>
    <row r="6947" spans="3:13" hidden="1" outlineLevel="1" x14ac:dyDescent="0.2">
      <c r="C6947" s="139">
        <v>208.89999999999242</v>
      </c>
      <c r="D6947" s="28">
        <f t="shared" si="329"/>
        <v>1671.1999999999393</v>
      </c>
      <c r="E6947" s="28">
        <f t="shared" si="330"/>
        <v>1566.7499999999432</v>
      </c>
      <c r="F6947" s="28">
        <f t="shared" si="331"/>
        <v>1548.7499999999432</v>
      </c>
      <c r="G6947" s="28">
        <f t="shared" si="332"/>
        <v>1464.5838000000001</v>
      </c>
      <c r="H6947" s="28">
        <f t="shared" si="333"/>
        <v>1519.2537</v>
      </c>
      <c r="I6947" s="28">
        <f t="shared" si="334"/>
        <v>1547.9764</v>
      </c>
      <c r="J6947" s="28">
        <f t="shared" si="335"/>
        <v>1571.1587999999999</v>
      </c>
      <c r="K6947" s="28">
        <f t="shared" si="336"/>
        <v>1612.3413</v>
      </c>
      <c r="L6947" s="4"/>
      <c r="M6947" s="241">
        <v>1547.9764</v>
      </c>
    </row>
    <row r="6948" spans="3:13" hidden="1" outlineLevel="1" x14ac:dyDescent="0.2">
      <c r="C6948" s="139">
        <v>208.99999999999241</v>
      </c>
      <c r="D6948" s="28">
        <f t="shared" si="329"/>
        <v>1671.9999999999393</v>
      </c>
      <c r="E6948" s="28">
        <f t="shared" si="330"/>
        <v>1567.4999999999432</v>
      </c>
      <c r="F6948" s="28">
        <f t="shared" si="331"/>
        <v>1549.4999999999432</v>
      </c>
      <c r="G6948" s="28">
        <f t="shared" si="332"/>
        <v>1465.5771999999999</v>
      </c>
      <c r="H6948" s="28">
        <f t="shared" si="333"/>
        <v>1520.2824000000001</v>
      </c>
      <c r="I6948" s="28">
        <f t="shared" si="334"/>
        <v>1548.9764</v>
      </c>
      <c r="J6948" s="28">
        <f t="shared" si="335"/>
        <v>1572.1998000000001</v>
      </c>
      <c r="K6948" s="28">
        <f t="shared" si="336"/>
        <v>1613.3829000000001</v>
      </c>
      <c r="L6948" s="4"/>
      <c r="M6948" s="241">
        <v>1548.9764</v>
      </c>
    </row>
    <row r="6949" spans="3:13" hidden="1" outlineLevel="1" x14ac:dyDescent="0.2">
      <c r="C6949" s="139">
        <v>209.09999999999241</v>
      </c>
      <c r="D6949" s="28">
        <f t="shared" si="329"/>
        <v>1672.7999999999392</v>
      </c>
      <c r="E6949" s="28">
        <f t="shared" si="330"/>
        <v>1568.2499999999432</v>
      </c>
      <c r="F6949" s="28">
        <f t="shared" si="331"/>
        <v>1550.2499999999432</v>
      </c>
      <c r="G6949" s="28">
        <f t="shared" si="332"/>
        <v>1466.547</v>
      </c>
      <c r="H6949" s="28">
        <f t="shared" si="333"/>
        <v>1521.2638999999999</v>
      </c>
      <c r="I6949" s="28">
        <f t="shared" si="334"/>
        <v>1550.0083</v>
      </c>
      <c r="J6949" s="28">
        <f t="shared" si="335"/>
        <v>1573.2148</v>
      </c>
      <c r="K6949" s="28">
        <f t="shared" si="336"/>
        <v>1614.4504999999999</v>
      </c>
      <c r="L6949" s="4"/>
      <c r="M6949" s="241">
        <v>1550.0083</v>
      </c>
    </row>
    <row r="6950" spans="3:13" hidden="1" outlineLevel="1" x14ac:dyDescent="0.2">
      <c r="C6950" s="139">
        <v>209.1999999999924</v>
      </c>
      <c r="D6950" s="28">
        <f t="shared" si="329"/>
        <v>1673.5999999999392</v>
      </c>
      <c r="E6950" s="28">
        <f t="shared" si="330"/>
        <v>1568.9999999999429</v>
      </c>
      <c r="F6950" s="28">
        <f t="shared" si="331"/>
        <v>1550.9999999999429</v>
      </c>
      <c r="G6950" s="28">
        <f t="shared" si="332"/>
        <v>1466.547</v>
      </c>
      <c r="H6950" s="28">
        <f t="shared" si="333"/>
        <v>1521.2638999999999</v>
      </c>
      <c r="I6950" s="28">
        <f t="shared" si="334"/>
        <v>1550.0083</v>
      </c>
      <c r="J6950" s="28">
        <f t="shared" si="335"/>
        <v>1573.2148</v>
      </c>
      <c r="K6950" s="28">
        <f t="shared" si="336"/>
        <v>1614.4504999999999</v>
      </c>
      <c r="L6950" s="4"/>
      <c r="M6950" s="241">
        <v>1550.0083</v>
      </c>
    </row>
    <row r="6951" spans="3:13" hidden="1" outlineLevel="1" x14ac:dyDescent="0.2">
      <c r="C6951" s="139">
        <v>209.29999999999239</v>
      </c>
      <c r="D6951" s="28">
        <f t="shared" si="329"/>
        <v>1674.3999999999392</v>
      </c>
      <c r="E6951" s="28">
        <f t="shared" si="330"/>
        <v>1569.7499999999429</v>
      </c>
      <c r="F6951" s="28">
        <f t="shared" si="331"/>
        <v>1551.7499999999429</v>
      </c>
      <c r="G6951" s="28">
        <f t="shared" si="332"/>
        <v>1467.5168000000001</v>
      </c>
      <c r="H6951" s="28">
        <f t="shared" si="333"/>
        <v>1522.2927</v>
      </c>
      <c r="I6951" s="28">
        <f t="shared" si="334"/>
        <v>1551.0343</v>
      </c>
      <c r="J6951" s="28">
        <f t="shared" si="335"/>
        <v>1574.2557999999999</v>
      </c>
      <c r="K6951" s="28">
        <f t="shared" si="336"/>
        <v>1615.4920999999999</v>
      </c>
      <c r="L6951" s="4"/>
      <c r="M6951" s="241">
        <v>1551.0343</v>
      </c>
    </row>
    <row r="6952" spans="3:13" hidden="1" outlineLevel="1" x14ac:dyDescent="0.2">
      <c r="C6952" s="139">
        <v>209.39999999999239</v>
      </c>
      <c r="D6952" s="28">
        <f t="shared" si="329"/>
        <v>1675.1999999999391</v>
      </c>
      <c r="E6952" s="28">
        <f t="shared" si="330"/>
        <v>1570.4999999999429</v>
      </c>
      <c r="F6952" s="28">
        <f t="shared" si="331"/>
        <v>1552.4999999999429</v>
      </c>
      <c r="G6952" s="28">
        <f t="shared" si="332"/>
        <v>1468.5103999999999</v>
      </c>
      <c r="H6952" s="28">
        <f t="shared" si="333"/>
        <v>1523.2742000000001</v>
      </c>
      <c r="I6952" s="28">
        <f t="shared" si="334"/>
        <v>1552.0343</v>
      </c>
      <c r="J6952" s="28">
        <f t="shared" si="335"/>
        <v>1575.2708</v>
      </c>
      <c r="K6952" s="28">
        <f t="shared" si="336"/>
        <v>1616.5597</v>
      </c>
      <c r="L6952" s="4"/>
      <c r="M6952" s="241">
        <v>1552.0343</v>
      </c>
    </row>
    <row r="6953" spans="3:13" hidden="1" outlineLevel="1" x14ac:dyDescent="0.2">
      <c r="C6953" s="139">
        <v>209.49999999999238</v>
      </c>
      <c r="D6953" s="28">
        <f t="shared" si="329"/>
        <v>1675.9999999999391</v>
      </c>
      <c r="E6953" s="28">
        <f t="shared" si="330"/>
        <v>1571.2499999999429</v>
      </c>
      <c r="F6953" s="28">
        <f t="shared" si="331"/>
        <v>1553.2499999999429</v>
      </c>
      <c r="G6953" s="28">
        <f t="shared" si="332"/>
        <v>1469.4802999999999</v>
      </c>
      <c r="H6953" s="28">
        <f t="shared" si="333"/>
        <v>1524.2556999999999</v>
      </c>
      <c r="I6953" s="28">
        <f t="shared" si="334"/>
        <v>1553.0604000000001</v>
      </c>
      <c r="J6953" s="28">
        <f t="shared" si="335"/>
        <v>1576.3117999999999</v>
      </c>
      <c r="K6953" s="28">
        <f t="shared" si="336"/>
        <v>1617.6013</v>
      </c>
      <c r="L6953" s="4"/>
      <c r="M6953" s="241">
        <v>1553.0604000000001</v>
      </c>
    </row>
    <row r="6954" spans="3:13" hidden="1" outlineLevel="1" x14ac:dyDescent="0.2">
      <c r="C6954" s="139">
        <v>209.59999999999238</v>
      </c>
      <c r="D6954" s="28">
        <f t="shared" si="329"/>
        <v>1676.799999999939</v>
      </c>
      <c r="E6954" s="28">
        <f t="shared" si="330"/>
        <v>1571.9999999999429</v>
      </c>
      <c r="F6954" s="28">
        <f t="shared" si="331"/>
        <v>1553.9999999999429</v>
      </c>
      <c r="G6954" s="28">
        <f t="shared" si="332"/>
        <v>1469.4802999999999</v>
      </c>
      <c r="H6954" s="28">
        <f t="shared" si="333"/>
        <v>1524.2556999999999</v>
      </c>
      <c r="I6954" s="28">
        <f t="shared" si="334"/>
        <v>1553.0604000000001</v>
      </c>
      <c r="J6954" s="28">
        <f t="shared" si="335"/>
        <v>1576.3117999999999</v>
      </c>
      <c r="K6954" s="28">
        <f t="shared" si="336"/>
        <v>1617.6013</v>
      </c>
      <c r="L6954" s="4"/>
      <c r="M6954" s="241">
        <v>1553.0604000000001</v>
      </c>
    </row>
    <row r="6955" spans="3:13" hidden="1" outlineLevel="1" x14ac:dyDescent="0.2">
      <c r="C6955" s="139">
        <v>209.69999999999237</v>
      </c>
      <c r="D6955" s="28">
        <f t="shared" si="329"/>
        <v>1677.599999999939</v>
      </c>
      <c r="E6955" s="28">
        <f t="shared" si="330"/>
        <v>1572.7499999999427</v>
      </c>
      <c r="F6955" s="28">
        <f t="shared" si="331"/>
        <v>1554.7499999999427</v>
      </c>
      <c r="G6955" s="28">
        <f t="shared" si="332"/>
        <v>1470.4502</v>
      </c>
      <c r="H6955" s="28">
        <f t="shared" si="333"/>
        <v>1525.2846</v>
      </c>
      <c r="I6955" s="28">
        <f t="shared" si="334"/>
        <v>1554.0864999999999</v>
      </c>
      <c r="J6955" s="28">
        <f t="shared" si="335"/>
        <v>1577.3268</v>
      </c>
      <c r="K6955" s="28">
        <f t="shared" si="336"/>
        <v>1618.6429000000001</v>
      </c>
      <c r="L6955" s="4"/>
      <c r="M6955" s="241">
        <v>1554.0864999999999</v>
      </c>
    </row>
    <row r="6956" spans="3:13" hidden="1" outlineLevel="1" x14ac:dyDescent="0.2">
      <c r="C6956" s="139">
        <v>209.79999999999237</v>
      </c>
      <c r="D6956" s="28">
        <f t="shared" si="329"/>
        <v>1678.3999999999389</v>
      </c>
      <c r="E6956" s="28">
        <f t="shared" si="330"/>
        <v>1573.4999999999427</v>
      </c>
      <c r="F6956" s="28">
        <f t="shared" si="331"/>
        <v>1555.4999999999427</v>
      </c>
      <c r="G6956" s="28">
        <f t="shared" si="332"/>
        <v>1471.4439</v>
      </c>
      <c r="H6956" s="28">
        <f t="shared" si="333"/>
        <v>1526.2661000000001</v>
      </c>
      <c r="I6956" s="28">
        <f t="shared" si="334"/>
        <v>1555.0866000000001</v>
      </c>
      <c r="J6956" s="28">
        <f t="shared" si="335"/>
        <v>1578.3679</v>
      </c>
      <c r="K6956" s="28">
        <f t="shared" si="336"/>
        <v>1619.7106000000001</v>
      </c>
      <c r="L6956" s="4"/>
      <c r="M6956" s="241">
        <v>1555.0866000000001</v>
      </c>
    </row>
    <row r="6957" spans="3:13" hidden="1" outlineLevel="1" x14ac:dyDescent="0.2">
      <c r="C6957" s="139">
        <v>209.89999999999236</v>
      </c>
      <c r="D6957" s="28">
        <f t="shared" si="329"/>
        <v>1679.1999999999389</v>
      </c>
      <c r="E6957" s="28">
        <f t="shared" si="330"/>
        <v>1574.2499999999427</v>
      </c>
      <c r="F6957" s="28">
        <f t="shared" si="331"/>
        <v>1556.2499999999427</v>
      </c>
      <c r="G6957" s="28">
        <f t="shared" si="332"/>
        <v>1472.4139</v>
      </c>
      <c r="H6957" s="28">
        <f t="shared" si="333"/>
        <v>1527.2951</v>
      </c>
      <c r="I6957" s="28">
        <f t="shared" si="334"/>
        <v>1556.1128000000001</v>
      </c>
      <c r="J6957" s="28">
        <f t="shared" si="335"/>
        <v>1579.383</v>
      </c>
      <c r="K6957" s="28">
        <f t="shared" si="336"/>
        <v>1620.7521999999999</v>
      </c>
      <c r="L6957" s="4"/>
      <c r="M6957" s="241">
        <v>1556.1128000000001</v>
      </c>
    </row>
    <row r="6958" spans="3:13" hidden="1" outlineLevel="1" x14ac:dyDescent="0.2">
      <c r="C6958" s="139">
        <v>209.99999999999235</v>
      </c>
      <c r="D6958" s="28">
        <f t="shared" si="329"/>
        <v>1679.9999999999388</v>
      </c>
      <c r="E6958" s="28">
        <f t="shared" si="330"/>
        <v>1574.9999999999427</v>
      </c>
      <c r="F6958" s="28">
        <f t="shared" si="331"/>
        <v>1556.9999999999427</v>
      </c>
      <c r="G6958" s="28">
        <f t="shared" si="332"/>
        <v>1472.4139</v>
      </c>
      <c r="H6958" s="28">
        <f t="shared" si="333"/>
        <v>1527.2951</v>
      </c>
      <c r="I6958" s="28">
        <f t="shared" si="334"/>
        <v>1556.1128000000001</v>
      </c>
      <c r="J6958" s="28">
        <f t="shared" si="335"/>
        <v>1579.383</v>
      </c>
      <c r="K6958" s="28">
        <f t="shared" si="336"/>
        <v>1620.7521999999999</v>
      </c>
      <c r="L6958" s="4"/>
      <c r="M6958" s="241">
        <v>1556.1128000000001</v>
      </c>
    </row>
    <row r="6959" spans="3:13" hidden="1" outlineLevel="1" x14ac:dyDescent="0.2">
      <c r="C6959" s="139">
        <v>210.09999999999235</v>
      </c>
      <c r="D6959" s="28">
        <f t="shared" si="329"/>
        <v>1680.7999999999388</v>
      </c>
      <c r="E6959" s="28">
        <f t="shared" si="330"/>
        <v>1575.7499999999427</v>
      </c>
      <c r="F6959" s="28">
        <f t="shared" si="331"/>
        <v>1557.7499999999427</v>
      </c>
      <c r="G6959" s="28">
        <f t="shared" si="332"/>
        <v>1473.3839</v>
      </c>
      <c r="H6959" s="28">
        <f t="shared" si="333"/>
        <v>1528.2766999999999</v>
      </c>
      <c r="I6959" s="28">
        <f t="shared" si="334"/>
        <v>1557.1129000000001</v>
      </c>
      <c r="J6959" s="28">
        <f t="shared" si="335"/>
        <v>1580.4241</v>
      </c>
      <c r="K6959" s="28">
        <f t="shared" si="336"/>
        <v>1621.82</v>
      </c>
      <c r="L6959" s="4"/>
      <c r="M6959" s="241">
        <v>1557.1129000000001</v>
      </c>
    </row>
    <row r="6960" spans="3:13" hidden="1" outlineLevel="1" x14ac:dyDescent="0.2">
      <c r="C6960" s="139">
        <v>210.19999999999234</v>
      </c>
      <c r="D6960" s="28">
        <f t="shared" si="329"/>
        <v>1681.5999999999387</v>
      </c>
      <c r="E6960" s="28">
        <f t="shared" si="330"/>
        <v>1576.4999999999425</v>
      </c>
      <c r="F6960" s="28">
        <f t="shared" si="331"/>
        <v>1558.4999999999425</v>
      </c>
      <c r="G6960" s="28">
        <f t="shared" si="332"/>
        <v>1474.3778</v>
      </c>
      <c r="H6960" s="28">
        <f t="shared" si="333"/>
        <v>1529.3058000000001</v>
      </c>
      <c r="I6960" s="28">
        <f t="shared" si="334"/>
        <v>1558.1391000000001</v>
      </c>
      <c r="J6960" s="28">
        <f t="shared" si="335"/>
        <v>1581.4392</v>
      </c>
      <c r="K6960" s="28">
        <f t="shared" si="336"/>
        <v>1622.8616</v>
      </c>
      <c r="L6960" s="4"/>
      <c r="M6960" s="241">
        <v>1558.1391000000001</v>
      </c>
    </row>
    <row r="6961" spans="3:13" hidden="1" outlineLevel="1" x14ac:dyDescent="0.2">
      <c r="C6961" s="139">
        <v>210.29999999999234</v>
      </c>
      <c r="D6961" s="28">
        <f t="shared" si="329"/>
        <v>1682.3999999999387</v>
      </c>
      <c r="E6961" s="28">
        <f t="shared" si="330"/>
        <v>1577.2499999999425</v>
      </c>
      <c r="F6961" s="28">
        <f t="shared" si="331"/>
        <v>1559.2499999999425</v>
      </c>
      <c r="G6961" s="28">
        <f t="shared" si="332"/>
        <v>1475.3479</v>
      </c>
      <c r="H6961" s="28">
        <f t="shared" si="333"/>
        <v>1530.2873</v>
      </c>
      <c r="I6961" s="28">
        <f t="shared" si="334"/>
        <v>1559.1652999999999</v>
      </c>
      <c r="J6961" s="28">
        <f t="shared" si="335"/>
        <v>1582.4803999999999</v>
      </c>
      <c r="K6961" s="28">
        <f t="shared" si="336"/>
        <v>1623.9032</v>
      </c>
      <c r="L6961" s="4"/>
      <c r="M6961" s="241">
        <v>1559.1652999999999</v>
      </c>
    </row>
    <row r="6962" spans="3:13" hidden="1" outlineLevel="1" x14ac:dyDescent="0.2">
      <c r="C6962" s="139">
        <v>210.39999999999233</v>
      </c>
      <c r="D6962" s="28">
        <f t="shared" si="329"/>
        <v>1683.1999999999387</v>
      </c>
      <c r="E6962" s="28">
        <f t="shared" si="330"/>
        <v>1577.9999999999425</v>
      </c>
      <c r="F6962" s="28">
        <f t="shared" si="331"/>
        <v>1559.9999999999425</v>
      </c>
      <c r="G6962" s="28">
        <f t="shared" si="332"/>
        <v>1475.3479</v>
      </c>
      <c r="H6962" s="28">
        <f t="shared" si="333"/>
        <v>1530.2873</v>
      </c>
      <c r="I6962" s="28">
        <f t="shared" si="334"/>
        <v>1559.1652999999999</v>
      </c>
      <c r="J6962" s="28">
        <f t="shared" si="335"/>
        <v>1582.4803999999999</v>
      </c>
      <c r="K6962" s="28">
        <f t="shared" si="336"/>
        <v>1623.9032</v>
      </c>
      <c r="L6962" s="4"/>
      <c r="M6962" s="241">
        <v>1559.1652999999999</v>
      </c>
    </row>
    <row r="6963" spans="3:13" hidden="1" outlineLevel="1" x14ac:dyDescent="0.2">
      <c r="C6963" s="139">
        <v>210.49999999999233</v>
      </c>
      <c r="D6963" s="28">
        <f t="shared" si="329"/>
        <v>1683.9999999999386</v>
      </c>
      <c r="E6963" s="28">
        <f t="shared" si="330"/>
        <v>1578.7499999999425</v>
      </c>
      <c r="F6963" s="28">
        <f t="shared" si="331"/>
        <v>1560.7499999999425</v>
      </c>
      <c r="G6963" s="28">
        <f t="shared" si="332"/>
        <v>1476.3181</v>
      </c>
      <c r="H6963" s="28">
        <f t="shared" si="333"/>
        <v>1531.2689</v>
      </c>
      <c r="I6963" s="28">
        <f t="shared" si="334"/>
        <v>1560.1654000000001</v>
      </c>
      <c r="J6963" s="28">
        <f t="shared" si="335"/>
        <v>1583.4955</v>
      </c>
      <c r="K6963" s="28">
        <f t="shared" si="336"/>
        <v>1624.971</v>
      </c>
      <c r="L6963" s="4"/>
      <c r="M6963" s="241">
        <v>1560.1654000000001</v>
      </c>
    </row>
    <row r="6964" spans="3:13" hidden="1" outlineLevel="1" x14ac:dyDescent="0.2">
      <c r="C6964" s="139">
        <v>210.59999999999232</v>
      </c>
      <c r="D6964" s="28">
        <f t="shared" si="329"/>
        <v>1684.7999999999386</v>
      </c>
      <c r="E6964" s="28">
        <f t="shared" si="330"/>
        <v>1579.4999999999425</v>
      </c>
      <c r="F6964" s="28">
        <f t="shared" si="331"/>
        <v>1561.4999999999425</v>
      </c>
      <c r="G6964" s="28">
        <f t="shared" si="332"/>
        <v>1477.3119999999999</v>
      </c>
      <c r="H6964" s="28">
        <f t="shared" si="333"/>
        <v>1532.2981</v>
      </c>
      <c r="I6964" s="28">
        <f t="shared" si="334"/>
        <v>1561.1917000000001</v>
      </c>
      <c r="J6964" s="28">
        <f t="shared" si="335"/>
        <v>1584.5367000000001</v>
      </c>
      <c r="K6964" s="28">
        <f t="shared" si="336"/>
        <v>1626.0127</v>
      </c>
      <c r="L6964" s="4"/>
      <c r="M6964" s="241">
        <v>1561.1917000000001</v>
      </c>
    </row>
    <row r="6965" spans="3:13" hidden="1" outlineLevel="1" x14ac:dyDescent="0.2">
      <c r="C6965" s="139">
        <v>210.69999999999231</v>
      </c>
      <c r="D6965" s="28">
        <f t="shared" si="329"/>
        <v>1685.5999999999385</v>
      </c>
      <c r="E6965" s="28">
        <f t="shared" si="330"/>
        <v>1580.2499999999422</v>
      </c>
      <c r="F6965" s="28">
        <f t="shared" si="331"/>
        <v>1562.2499999999422</v>
      </c>
      <c r="G6965" s="28">
        <f t="shared" si="332"/>
        <v>1478.2823000000001</v>
      </c>
      <c r="H6965" s="28">
        <f t="shared" si="333"/>
        <v>1533.2798</v>
      </c>
      <c r="I6965" s="28">
        <f t="shared" si="334"/>
        <v>1562.1919</v>
      </c>
      <c r="J6965" s="28">
        <f t="shared" si="335"/>
        <v>1585.5518</v>
      </c>
      <c r="K6965" s="28">
        <f t="shared" si="336"/>
        <v>1627.0543</v>
      </c>
      <c r="L6965" s="4"/>
      <c r="M6965" s="241">
        <v>1562.1919</v>
      </c>
    </row>
    <row r="6966" spans="3:13" hidden="1" outlineLevel="1" x14ac:dyDescent="0.2">
      <c r="C6966" s="139">
        <v>210.79999999999231</v>
      </c>
      <c r="D6966" s="28">
        <f t="shared" si="329"/>
        <v>1686.3999999999385</v>
      </c>
      <c r="E6966" s="28">
        <f t="shared" si="330"/>
        <v>1580.9999999999422</v>
      </c>
      <c r="F6966" s="28">
        <f t="shared" si="331"/>
        <v>1562.9999999999422</v>
      </c>
      <c r="G6966" s="28">
        <f t="shared" si="332"/>
        <v>1478.2823000000001</v>
      </c>
      <c r="H6966" s="28">
        <f t="shared" si="333"/>
        <v>1533.2798</v>
      </c>
      <c r="I6966" s="28">
        <f t="shared" si="334"/>
        <v>1562.1919</v>
      </c>
      <c r="J6966" s="28">
        <f t="shared" si="335"/>
        <v>1585.5518</v>
      </c>
      <c r="K6966" s="28">
        <f t="shared" si="336"/>
        <v>1627.0543</v>
      </c>
      <c r="L6966" s="4"/>
      <c r="M6966" s="241">
        <v>1562.1919</v>
      </c>
    </row>
    <row r="6967" spans="3:13" hidden="1" outlineLevel="1" x14ac:dyDescent="0.2">
      <c r="C6967" s="139">
        <v>210.8999999999923</v>
      </c>
      <c r="D6967" s="28">
        <f t="shared" si="329"/>
        <v>1687.1999999999384</v>
      </c>
      <c r="E6967" s="28">
        <f t="shared" si="330"/>
        <v>1581.7499999999422</v>
      </c>
      <c r="F6967" s="28">
        <f t="shared" si="331"/>
        <v>1563.7499999999422</v>
      </c>
      <c r="G6967" s="28">
        <f t="shared" si="332"/>
        <v>1479.2525000000001</v>
      </c>
      <c r="H6967" s="28">
        <f t="shared" si="333"/>
        <v>1534.3090999999999</v>
      </c>
      <c r="I6967" s="28">
        <f t="shared" si="334"/>
        <v>1563.2182</v>
      </c>
      <c r="J6967" s="28">
        <f t="shared" si="335"/>
        <v>1586.5931</v>
      </c>
      <c r="K6967" s="28">
        <f t="shared" si="336"/>
        <v>1628.1222</v>
      </c>
      <c r="L6967" s="4"/>
      <c r="M6967" s="241">
        <v>1563.2182</v>
      </c>
    </row>
    <row r="6968" spans="3:13" hidden="1" outlineLevel="1" x14ac:dyDescent="0.2">
      <c r="C6968" s="139">
        <v>210.9999999999923</v>
      </c>
      <c r="D6968" s="28">
        <f t="shared" si="329"/>
        <v>1687.9999999999384</v>
      </c>
      <c r="E6968" s="28">
        <f t="shared" si="330"/>
        <v>1582.4999999999422</v>
      </c>
      <c r="F6968" s="28">
        <f t="shared" si="331"/>
        <v>1564.4999999999422</v>
      </c>
      <c r="G6968" s="28">
        <f t="shared" si="332"/>
        <v>1480.2466999999999</v>
      </c>
      <c r="H6968" s="28">
        <f t="shared" si="333"/>
        <v>1535.2907</v>
      </c>
      <c r="I6968" s="28">
        <f t="shared" si="334"/>
        <v>1564.2446</v>
      </c>
      <c r="J6968" s="28">
        <f t="shared" si="335"/>
        <v>1587.6081999999999</v>
      </c>
      <c r="K6968" s="28">
        <f t="shared" si="336"/>
        <v>1629.1639</v>
      </c>
      <c r="L6968" s="4"/>
      <c r="M6968" s="241">
        <v>1564.2446</v>
      </c>
    </row>
    <row r="6969" spans="3:13" hidden="1" outlineLevel="1" x14ac:dyDescent="0.2">
      <c r="C6969" s="139">
        <v>211.09999999999229</v>
      </c>
      <c r="D6969" s="28">
        <f t="shared" si="329"/>
        <v>1688.7999999999383</v>
      </c>
      <c r="E6969" s="28">
        <f t="shared" si="330"/>
        <v>1583.2499999999422</v>
      </c>
      <c r="F6969" s="28">
        <f t="shared" si="331"/>
        <v>1565.2499999999422</v>
      </c>
      <c r="G6969" s="28">
        <f t="shared" si="332"/>
        <v>1481.2170000000001</v>
      </c>
      <c r="H6969" s="28">
        <f t="shared" si="333"/>
        <v>1536.2724000000001</v>
      </c>
      <c r="I6969" s="28">
        <f t="shared" si="334"/>
        <v>1565.2447999999999</v>
      </c>
      <c r="J6969" s="28">
        <f t="shared" si="335"/>
        <v>1588.6496</v>
      </c>
      <c r="K6969" s="28">
        <f t="shared" si="336"/>
        <v>1630.2055</v>
      </c>
      <c r="L6969" s="4"/>
      <c r="M6969" s="241">
        <v>1565.2447999999999</v>
      </c>
    </row>
    <row r="6970" spans="3:13" hidden="1" outlineLevel="1" x14ac:dyDescent="0.2">
      <c r="C6970" s="139">
        <v>211.19999999999229</v>
      </c>
      <c r="D6970" s="28">
        <f t="shared" si="329"/>
        <v>1689.5999999999383</v>
      </c>
      <c r="E6970" s="28">
        <f t="shared" si="330"/>
        <v>1583.9999999999422</v>
      </c>
      <c r="F6970" s="28">
        <f t="shared" si="331"/>
        <v>1565.9999999999422</v>
      </c>
      <c r="G6970" s="28">
        <f t="shared" si="332"/>
        <v>1481.2170000000001</v>
      </c>
      <c r="H6970" s="28">
        <f t="shared" si="333"/>
        <v>1536.2724000000001</v>
      </c>
      <c r="I6970" s="28">
        <f t="shared" si="334"/>
        <v>1565.2447999999999</v>
      </c>
      <c r="J6970" s="28">
        <f t="shared" si="335"/>
        <v>1588.6496</v>
      </c>
      <c r="K6970" s="28">
        <f t="shared" si="336"/>
        <v>1630.2055</v>
      </c>
      <c r="L6970" s="4"/>
      <c r="M6970" s="241">
        <v>1565.2447999999999</v>
      </c>
    </row>
    <row r="6971" spans="3:13" hidden="1" outlineLevel="1" x14ac:dyDescent="0.2">
      <c r="C6971" s="139">
        <v>211.29999999999228</v>
      </c>
      <c r="D6971" s="28">
        <f t="shared" ref="D6971:D7034" si="337">C6971*Channels.per.TRX</f>
        <v>1690.3999999999382</v>
      </c>
      <c r="E6971" s="28">
        <f t="shared" ref="E6971:E7034" si="338">D6971-C6971*sig.channel.per.TRX</f>
        <v>1584.749999999942</v>
      </c>
      <c r="F6971" s="28">
        <f t="shared" ref="F6971:F7034" si="339">MAX(0,E6971-GPRS.channel.per.sector)</f>
        <v>1566.749999999942</v>
      </c>
      <c r="G6971" s="28">
        <f t="shared" ref="G6971:G7034" si="340">INDEX(D$10:D$4326,MATCH($F6971,$C$10:$C$4326,1))</f>
        <v>1482.1874</v>
      </c>
      <c r="H6971" s="28">
        <f t="shared" ref="H6971:H7034" si="341">INDEX(E$10:E$4326,MATCH($F6971,$C$10:$C$4326,1))</f>
        <v>1537.3018</v>
      </c>
      <c r="I6971" s="28">
        <f t="shared" ref="I6971:I7034" si="342">INDEX(F$10:F$4326,MATCH($F6971,$C$10:$C$4326,1))</f>
        <v>1566.2711999999999</v>
      </c>
      <c r="J6971" s="28">
        <f t="shared" ref="J6971:J7034" si="343">INDEX(G$10:G$4326,MATCH($F6971,$C$10:$C$4326,1))</f>
        <v>1589.6647</v>
      </c>
      <c r="K6971" s="28">
        <f t="shared" ref="K6971:K7034" si="344">INDEX(H$10:H$4326,MATCH($F6971,$C$10:$C$4326,1))</f>
        <v>1631.2735</v>
      </c>
      <c r="L6971" s="4"/>
      <c r="M6971" s="241">
        <v>1566.2711999999999</v>
      </c>
    </row>
    <row r="6972" spans="3:13" hidden="1" outlineLevel="1" x14ac:dyDescent="0.2">
      <c r="C6972" s="139">
        <v>211.39999999999227</v>
      </c>
      <c r="D6972" s="28">
        <f t="shared" si="337"/>
        <v>1691.1999999999382</v>
      </c>
      <c r="E6972" s="28">
        <f t="shared" si="338"/>
        <v>1585.499999999942</v>
      </c>
      <c r="F6972" s="28">
        <f t="shared" si="339"/>
        <v>1567.499999999942</v>
      </c>
      <c r="G6972" s="28">
        <f t="shared" si="340"/>
        <v>1483.1817000000001</v>
      </c>
      <c r="H6972" s="28">
        <f t="shared" si="341"/>
        <v>1538.2835</v>
      </c>
      <c r="I6972" s="28">
        <f t="shared" si="342"/>
        <v>1567.2714000000001</v>
      </c>
      <c r="J6972" s="28">
        <f t="shared" si="343"/>
        <v>1590.7061000000001</v>
      </c>
      <c r="K6972" s="28">
        <f t="shared" si="344"/>
        <v>1632.3152</v>
      </c>
      <c r="L6972" s="4"/>
      <c r="M6972" s="241">
        <v>1567.2714000000001</v>
      </c>
    </row>
    <row r="6973" spans="3:13" hidden="1" outlineLevel="1" x14ac:dyDescent="0.2">
      <c r="C6973" s="139">
        <v>211.49999999999227</v>
      </c>
      <c r="D6973" s="28">
        <f t="shared" si="337"/>
        <v>1691.9999999999382</v>
      </c>
      <c r="E6973" s="28">
        <f t="shared" si="338"/>
        <v>1586.249999999942</v>
      </c>
      <c r="F6973" s="28">
        <f t="shared" si="339"/>
        <v>1568.249999999942</v>
      </c>
      <c r="G6973" s="28">
        <f t="shared" si="340"/>
        <v>1484.1521</v>
      </c>
      <c r="H6973" s="28">
        <f t="shared" si="341"/>
        <v>1539.3130000000001</v>
      </c>
      <c r="I6973" s="28">
        <f t="shared" si="342"/>
        <v>1568.2979</v>
      </c>
      <c r="J6973" s="28">
        <f t="shared" si="343"/>
        <v>1591.7212</v>
      </c>
      <c r="K6973" s="28">
        <f t="shared" si="344"/>
        <v>1633.3832</v>
      </c>
      <c r="L6973" s="4"/>
      <c r="M6973" s="241">
        <v>1568.2979</v>
      </c>
    </row>
    <row r="6974" spans="3:13" hidden="1" outlineLevel="1" x14ac:dyDescent="0.2">
      <c r="C6974" s="139">
        <v>211.59999999999226</v>
      </c>
      <c r="D6974" s="28">
        <f t="shared" si="337"/>
        <v>1692.7999999999381</v>
      </c>
      <c r="E6974" s="28">
        <f t="shared" si="338"/>
        <v>1586.999999999942</v>
      </c>
      <c r="F6974" s="28">
        <f t="shared" si="339"/>
        <v>1568.999999999942</v>
      </c>
      <c r="G6974" s="28">
        <f t="shared" si="340"/>
        <v>1484.1521</v>
      </c>
      <c r="H6974" s="28">
        <f t="shared" si="341"/>
        <v>1539.3130000000001</v>
      </c>
      <c r="I6974" s="28">
        <f t="shared" si="342"/>
        <v>1568.2979</v>
      </c>
      <c r="J6974" s="28">
        <f t="shared" si="343"/>
        <v>1591.7212</v>
      </c>
      <c r="K6974" s="28">
        <f t="shared" si="344"/>
        <v>1633.3832</v>
      </c>
      <c r="L6974" s="4"/>
      <c r="M6974" s="241">
        <v>1568.2979</v>
      </c>
    </row>
    <row r="6975" spans="3:13" hidden="1" outlineLevel="1" x14ac:dyDescent="0.2">
      <c r="C6975" s="139">
        <v>211.69999999999226</v>
      </c>
      <c r="D6975" s="28">
        <f t="shared" si="337"/>
        <v>1693.5999999999381</v>
      </c>
      <c r="E6975" s="28">
        <f t="shared" si="338"/>
        <v>1587.749999999942</v>
      </c>
      <c r="F6975" s="28">
        <f t="shared" si="339"/>
        <v>1569.749999999942</v>
      </c>
      <c r="G6975" s="28">
        <f t="shared" si="340"/>
        <v>1485.1225999999999</v>
      </c>
      <c r="H6975" s="28">
        <f t="shared" si="341"/>
        <v>1540.2946999999999</v>
      </c>
      <c r="I6975" s="28">
        <f t="shared" si="342"/>
        <v>1569.3244</v>
      </c>
      <c r="J6975" s="28">
        <f t="shared" si="343"/>
        <v>1592.7627</v>
      </c>
      <c r="K6975" s="28">
        <f t="shared" si="344"/>
        <v>1634.4249</v>
      </c>
      <c r="L6975" s="4"/>
      <c r="M6975" s="241">
        <v>1569.3244</v>
      </c>
    </row>
    <row r="6976" spans="3:13" hidden="1" outlineLevel="1" x14ac:dyDescent="0.2">
      <c r="C6976" s="139">
        <v>211.79999999999225</v>
      </c>
      <c r="D6976" s="28">
        <f t="shared" si="337"/>
        <v>1694.399999999938</v>
      </c>
      <c r="E6976" s="28">
        <f t="shared" si="338"/>
        <v>1588.4999999999418</v>
      </c>
      <c r="F6976" s="28">
        <f t="shared" si="339"/>
        <v>1570.4999999999418</v>
      </c>
      <c r="G6976" s="28">
        <f t="shared" si="340"/>
        <v>1486.117</v>
      </c>
      <c r="H6976" s="28">
        <f t="shared" si="341"/>
        <v>1541.3243</v>
      </c>
      <c r="I6976" s="28">
        <f t="shared" si="342"/>
        <v>1570.3245999999999</v>
      </c>
      <c r="J6976" s="28">
        <f t="shared" si="343"/>
        <v>1593.7778000000001</v>
      </c>
      <c r="K6976" s="28">
        <f t="shared" si="344"/>
        <v>1635.4666</v>
      </c>
      <c r="L6976" s="4"/>
      <c r="M6976" s="241">
        <v>1570.3245999999999</v>
      </c>
    </row>
    <row r="6977" spans="3:13" hidden="1" outlineLevel="1" x14ac:dyDescent="0.2">
      <c r="C6977" s="139">
        <v>211.89999999999225</v>
      </c>
      <c r="D6977" s="28">
        <f t="shared" si="337"/>
        <v>1695.199999999938</v>
      </c>
      <c r="E6977" s="28">
        <f t="shared" si="338"/>
        <v>1589.2499999999418</v>
      </c>
      <c r="F6977" s="28">
        <f t="shared" si="339"/>
        <v>1571.2499999999418</v>
      </c>
      <c r="G6977" s="28">
        <f t="shared" si="340"/>
        <v>1487.0876000000001</v>
      </c>
      <c r="H6977" s="28">
        <f t="shared" si="341"/>
        <v>1542.306</v>
      </c>
      <c r="I6977" s="28">
        <f t="shared" si="342"/>
        <v>1571.3512000000001</v>
      </c>
      <c r="J6977" s="28">
        <f t="shared" si="343"/>
        <v>1594.8193000000001</v>
      </c>
      <c r="K6977" s="28">
        <f t="shared" si="344"/>
        <v>1636.5346</v>
      </c>
      <c r="L6977" s="4"/>
      <c r="M6977" s="241">
        <v>1571.3512000000001</v>
      </c>
    </row>
    <row r="6978" spans="3:13" hidden="1" outlineLevel="1" x14ac:dyDescent="0.2">
      <c r="C6978" s="139">
        <v>211.99999999999224</v>
      </c>
      <c r="D6978" s="28">
        <f t="shared" si="337"/>
        <v>1695.9999999999379</v>
      </c>
      <c r="E6978" s="28">
        <f t="shared" si="338"/>
        <v>1589.9999999999418</v>
      </c>
      <c r="F6978" s="28">
        <f t="shared" si="339"/>
        <v>1571.9999999999418</v>
      </c>
      <c r="G6978" s="28">
        <f t="shared" si="340"/>
        <v>1487.0876000000001</v>
      </c>
      <c r="H6978" s="28">
        <f t="shared" si="341"/>
        <v>1542.306</v>
      </c>
      <c r="I6978" s="28">
        <f t="shared" si="342"/>
        <v>1571.3512000000001</v>
      </c>
      <c r="J6978" s="28">
        <f t="shared" si="343"/>
        <v>1594.8193000000001</v>
      </c>
      <c r="K6978" s="28">
        <f t="shared" si="344"/>
        <v>1636.5346</v>
      </c>
      <c r="L6978" s="4"/>
      <c r="M6978" s="241">
        <v>1571.3512000000001</v>
      </c>
    </row>
    <row r="6979" spans="3:13" hidden="1" outlineLevel="1" x14ac:dyDescent="0.2">
      <c r="C6979" s="139">
        <v>212.09999999999224</v>
      </c>
      <c r="D6979" s="28">
        <f t="shared" si="337"/>
        <v>1696.7999999999379</v>
      </c>
      <c r="E6979" s="28">
        <f t="shared" si="338"/>
        <v>1590.7499999999418</v>
      </c>
      <c r="F6979" s="28">
        <f t="shared" si="339"/>
        <v>1572.7499999999418</v>
      </c>
      <c r="G6979" s="28">
        <f t="shared" si="340"/>
        <v>1488.0581</v>
      </c>
      <c r="H6979" s="28">
        <f t="shared" si="341"/>
        <v>1543.2878000000001</v>
      </c>
      <c r="I6979" s="28">
        <f t="shared" si="342"/>
        <v>1572.3514</v>
      </c>
      <c r="J6979" s="28">
        <f t="shared" si="343"/>
        <v>1595.8344999999999</v>
      </c>
      <c r="K6979" s="28">
        <f t="shared" si="344"/>
        <v>1637.5763999999999</v>
      </c>
      <c r="L6979" s="4"/>
      <c r="M6979" s="241">
        <v>1572.3514</v>
      </c>
    </row>
    <row r="6980" spans="3:13" hidden="1" outlineLevel="1" x14ac:dyDescent="0.2">
      <c r="C6980" s="139">
        <v>212.19999999999223</v>
      </c>
      <c r="D6980" s="28">
        <f t="shared" si="337"/>
        <v>1697.5999999999378</v>
      </c>
      <c r="E6980" s="28">
        <f t="shared" si="338"/>
        <v>1591.4999999999418</v>
      </c>
      <c r="F6980" s="28">
        <f t="shared" si="339"/>
        <v>1573.4999999999418</v>
      </c>
      <c r="G6980" s="28">
        <f t="shared" si="340"/>
        <v>1489.0527</v>
      </c>
      <c r="H6980" s="28">
        <f t="shared" si="341"/>
        <v>1544.3175000000001</v>
      </c>
      <c r="I6980" s="28">
        <f t="shared" si="342"/>
        <v>1573.3779999999999</v>
      </c>
      <c r="J6980" s="28">
        <f t="shared" si="343"/>
        <v>1596.8761</v>
      </c>
      <c r="K6980" s="28">
        <f t="shared" si="344"/>
        <v>1638.6180999999999</v>
      </c>
      <c r="L6980" s="4"/>
      <c r="M6980" s="241">
        <v>1573.3779999999999</v>
      </c>
    </row>
    <row r="6981" spans="3:13" hidden="1" outlineLevel="1" x14ac:dyDescent="0.2">
      <c r="C6981" s="139">
        <v>212.29999999999222</v>
      </c>
      <c r="D6981" s="28">
        <f t="shared" si="337"/>
        <v>1698.3999999999378</v>
      </c>
      <c r="E6981" s="28">
        <f t="shared" si="338"/>
        <v>1592.2499999999418</v>
      </c>
      <c r="F6981" s="28">
        <f t="shared" si="339"/>
        <v>1574.2499999999418</v>
      </c>
      <c r="G6981" s="28">
        <f t="shared" si="340"/>
        <v>1490.0234</v>
      </c>
      <c r="H6981" s="28">
        <f t="shared" si="341"/>
        <v>1545.2992999999999</v>
      </c>
      <c r="I6981" s="28">
        <f t="shared" si="342"/>
        <v>1574.4047</v>
      </c>
      <c r="J6981" s="28">
        <f t="shared" si="343"/>
        <v>1597.8912</v>
      </c>
      <c r="K6981" s="28">
        <f t="shared" si="344"/>
        <v>1639.6862000000001</v>
      </c>
      <c r="L6981" s="4"/>
      <c r="M6981" s="241">
        <v>1574.4047</v>
      </c>
    </row>
    <row r="6982" spans="3:13" hidden="1" outlineLevel="1" x14ac:dyDescent="0.2">
      <c r="C6982" s="139">
        <v>212.39999999999222</v>
      </c>
      <c r="D6982" s="28">
        <f t="shared" si="337"/>
        <v>1699.1999999999377</v>
      </c>
      <c r="E6982" s="28">
        <f t="shared" si="338"/>
        <v>1592.9999999999416</v>
      </c>
      <c r="F6982" s="28">
        <f t="shared" si="339"/>
        <v>1574.9999999999416</v>
      </c>
      <c r="G6982" s="28">
        <f t="shared" si="340"/>
        <v>1490.0234</v>
      </c>
      <c r="H6982" s="28">
        <f t="shared" si="341"/>
        <v>1545.2992999999999</v>
      </c>
      <c r="I6982" s="28">
        <f t="shared" si="342"/>
        <v>1574.4047</v>
      </c>
      <c r="J6982" s="28">
        <f t="shared" si="343"/>
        <v>1597.8912</v>
      </c>
      <c r="K6982" s="28">
        <f t="shared" si="344"/>
        <v>1639.6862000000001</v>
      </c>
      <c r="L6982" s="4"/>
      <c r="M6982" s="241">
        <v>1574.4047</v>
      </c>
    </row>
    <row r="6983" spans="3:13" hidden="1" outlineLevel="1" x14ac:dyDescent="0.2">
      <c r="C6983" s="139">
        <v>212.49999999999221</v>
      </c>
      <c r="D6983" s="28">
        <f t="shared" si="337"/>
        <v>1699.9999999999377</v>
      </c>
      <c r="E6983" s="28">
        <f t="shared" si="338"/>
        <v>1593.7499999999416</v>
      </c>
      <c r="F6983" s="28">
        <f t="shared" si="339"/>
        <v>1575.7499999999416</v>
      </c>
      <c r="G6983" s="28">
        <f t="shared" si="340"/>
        <v>1490.9940999999999</v>
      </c>
      <c r="H6983" s="28">
        <f t="shared" si="341"/>
        <v>1546.3290999999999</v>
      </c>
      <c r="I6983" s="28">
        <f t="shared" si="342"/>
        <v>1575.4049</v>
      </c>
      <c r="J6983" s="28">
        <f t="shared" si="343"/>
        <v>1598.9329</v>
      </c>
      <c r="K6983" s="28">
        <f t="shared" si="344"/>
        <v>1640.7279000000001</v>
      </c>
      <c r="L6983" s="4"/>
      <c r="M6983" s="241">
        <v>1575.4049</v>
      </c>
    </row>
    <row r="6984" spans="3:13" hidden="1" outlineLevel="1" x14ac:dyDescent="0.2">
      <c r="C6984" s="139">
        <v>212.59999999999221</v>
      </c>
      <c r="D6984" s="28">
        <f t="shared" si="337"/>
        <v>1700.7999999999377</v>
      </c>
      <c r="E6984" s="28">
        <f t="shared" si="338"/>
        <v>1594.4999999999416</v>
      </c>
      <c r="F6984" s="28">
        <f t="shared" si="339"/>
        <v>1576.4999999999416</v>
      </c>
      <c r="G6984" s="28">
        <f t="shared" si="340"/>
        <v>1491.9888000000001</v>
      </c>
      <c r="H6984" s="28">
        <f t="shared" si="341"/>
        <v>1547.3108999999999</v>
      </c>
      <c r="I6984" s="28">
        <f t="shared" si="342"/>
        <v>1576.4317000000001</v>
      </c>
      <c r="J6984" s="28">
        <f t="shared" si="343"/>
        <v>1599.9481000000001</v>
      </c>
      <c r="K6984" s="28">
        <f t="shared" si="344"/>
        <v>1641.7961</v>
      </c>
      <c r="L6984" s="4"/>
      <c r="M6984" s="241">
        <v>1576.4317000000001</v>
      </c>
    </row>
    <row r="6985" spans="3:13" hidden="1" outlineLevel="1" x14ac:dyDescent="0.2">
      <c r="C6985" s="139">
        <v>212.6999999999922</v>
      </c>
      <c r="D6985" s="28">
        <f t="shared" si="337"/>
        <v>1701.5999999999376</v>
      </c>
      <c r="E6985" s="28">
        <f t="shared" si="338"/>
        <v>1595.2499999999416</v>
      </c>
      <c r="F6985" s="28">
        <f t="shared" si="339"/>
        <v>1577.2499999999416</v>
      </c>
      <c r="G6985" s="28">
        <f t="shared" si="340"/>
        <v>1492.9595999999999</v>
      </c>
      <c r="H6985" s="28">
        <f t="shared" si="341"/>
        <v>1548.3407999999999</v>
      </c>
      <c r="I6985" s="28">
        <f t="shared" si="342"/>
        <v>1577.4319</v>
      </c>
      <c r="J6985" s="28">
        <f t="shared" si="343"/>
        <v>1600.9897000000001</v>
      </c>
      <c r="K6985" s="28">
        <f t="shared" si="344"/>
        <v>1642.8379</v>
      </c>
      <c r="L6985" s="4"/>
      <c r="M6985" s="241">
        <v>1577.4319</v>
      </c>
    </row>
    <row r="6986" spans="3:13" hidden="1" outlineLevel="1" x14ac:dyDescent="0.2">
      <c r="C6986" s="139">
        <v>212.7999999999922</v>
      </c>
      <c r="D6986" s="28">
        <f t="shared" si="337"/>
        <v>1702.3999999999376</v>
      </c>
      <c r="E6986" s="28">
        <f t="shared" si="338"/>
        <v>1595.9999999999416</v>
      </c>
      <c r="F6986" s="28">
        <f t="shared" si="339"/>
        <v>1577.9999999999416</v>
      </c>
      <c r="G6986" s="28">
        <f t="shared" si="340"/>
        <v>1492.9595999999999</v>
      </c>
      <c r="H6986" s="28">
        <f t="shared" si="341"/>
        <v>1548.3407999999999</v>
      </c>
      <c r="I6986" s="28">
        <f t="shared" si="342"/>
        <v>1577.4319</v>
      </c>
      <c r="J6986" s="28">
        <f t="shared" si="343"/>
        <v>1600.9897000000001</v>
      </c>
      <c r="K6986" s="28">
        <f t="shared" si="344"/>
        <v>1642.8379</v>
      </c>
      <c r="L6986" s="4"/>
      <c r="M6986" s="241">
        <v>1577.4319</v>
      </c>
    </row>
    <row r="6987" spans="3:13" hidden="1" outlineLevel="1" x14ac:dyDescent="0.2">
      <c r="C6987" s="139">
        <v>212.89999999999219</v>
      </c>
      <c r="D6987" s="28">
        <f t="shared" si="337"/>
        <v>1703.1999999999375</v>
      </c>
      <c r="E6987" s="28">
        <f t="shared" si="338"/>
        <v>1596.7499999999413</v>
      </c>
      <c r="F6987" s="28">
        <f t="shared" si="339"/>
        <v>1578.7499999999413</v>
      </c>
      <c r="G6987" s="28">
        <f t="shared" si="340"/>
        <v>1493.9304</v>
      </c>
      <c r="H6987" s="28">
        <f t="shared" si="341"/>
        <v>1549.3226999999999</v>
      </c>
      <c r="I6987" s="28">
        <f t="shared" si="342"/>
        <v>1578.4586999999999</v>
      </c>
      <c r="J6987" s="28">
        <f t="shared" si="343"/>
        <v>1602.0048999999999</v>
      </c>
      <c r="K6987" s="28">
        <f t="shared" si="344"/>
        <v>1643.8796</v>
      </c>
      <c r="L6987" s="4"/>
      <c r="M6987" s="241">
        <v>1578.4586999999999</v>
      </c>
    </row>
    <row r="6988" spans="3:13" hidden="1" outlineLevel="1" x14ac:dyDescent="0.2">
      <c r="C6988" s="139">
        <v>212.99999999999218</v>
      </c>
      <c r="D6988" s="28">
        <f t="shared" si="337"/>
        <v>1703.9999999999375</v>
      </c>
      <c r="E6988" s="28">
        <f t="shared" si="338"/>
        <v>1597.4999999999413</v>
      </c>
      <c r="F6988" s="28">
        <f t="shared" si="339"/>
        <v>1579.4999999999413</v>
      </c>
      <c r="G6988" s="28">
        <f t="shared" si="340"/>
        <v>1494.9253000000001</v>
      </c>
      <c r="H6988" s="28">
        <f t="shared" si="341"/>
        <v>1550.3045</v>
      </c>
      <c r="I6988" s="28">
        <f t="shared" si="342"/>
        <v>1579.4855</v>
      </c>
      <c r="J6988" s="28">
        <f t="shared" si="343"/>
        <v>1603.0465999999999</v>
      </c>
      <c r="K6988" s="28">
        <f t="shared" si="344"/>
        <v>1644.9478999999999</v>
      </c>
      <c r="L6988" s="4"/>
      <c r="M6988" s="241">
        <v>1579.4855</v>
      </c>
    </row>
    <row r="6989" spans="3:13" hidden="1" outlineLevel="1" x14ac:dyDescent="0.2">
      <c r="C6989" s="139">
        <v>213.09999999999218</v>
      </c>
      <c r="D6989" s="28">
        <f t="shared" si="337"/>
        <v>1704.7999999999374</v>
      </c>
      <c r="E6989" s="28">
        <f t="shared" si="338"/>
        <v>1598.2499999999413</v>
      </c>
      <c r="F6989" s="28">
        <f t="shared" si="339"/>
        <v>1580.2499999999413</v>
      </c>
      <c r="G6989" s="28">
        <f t="shared" si="340"/>
        <v>1495.8960999999999</v>
      </c>
      <c r="H6989" s="28">
        <f t="shared" si="341"/>
        <v>1551.3344999999999</v>
      </c>
      <c r="I6989" s="28">
        <f t="shared" si="342"/>
        <v>1580.4857999999999</v>
      </c>
      <c r="J6989" s="28">
        <f t="shared" si="343"/>
        <v>1604.0618999999999</v>
      </c>
      <c r="K6989" s="28">
        <f t="shared" si="344"/>
        <v>1645.9896000000001</v>
      </c>
      <c r="L6989" s="4"/>
      <c r="M6989" s="241">
        <v>1580.4857999999999</v>
      </c>
    </row>
    <row r="6990" spans="3:13" hidden="1" outlineLevel="1" x14ac:dyDescent="0.2">
      <c r="C6990" s="139">
        <v>213.19999999999217</v>
      </c>
      <c r="D6990" s="28">
        <f t="shared" si="337"/>
        <v>1705.5999999999374</v>
      </c>
      <c r="E6990" s="28">
        <f t="shared" si="338"/>
        <v>1598.9999999999413</v>
      </c>
      <c r="F6990" s="28">
        <f t="shared" si="339"/>
        <v>1580.9999999999413</v>
      </c>
      <c r="G6990" s="28">
        <f t="shared" si="340"/>
        <v>1495.8960999999999</v>
      </c>
      <c r="H6990" s="28">
        <f t="shared" si="341"/>
        <v>1551.3344999999999</v>
      </c>
      <c r="I6990" s="28">
        <f t="shared" si="342"/>
        <v>1580.4857999999999</v>
      </c>
      <c r="J6990" s="28">
        <f t="shared" si="343"/>
        <v>1604.0618999999999</v>
      </c>
      <c r="K6990" s="28">
        <f t="shared" si="344"/>
        <v>1645.9896000000001</v>
      </c>
      <c r="L6990" s="4"/>
      <c r="M6990" s="241">
        <v>1580.4857999999999</v>
      </c>
    </row>
    <row r="6991" spans="3:13" hidden="1" outlineLevel="1" x14ac:dyDescent="0.2">
      <c r="C6991" s="139">
        <v>213.29999999999217</v>
      </c>
      <c r="D6991" s="28">
        <f t="shared" si="337"/>
        <v>1706.3999999999373</v>
      </c>
      <c r="E6991" s="28">
        <f t="shared" si="338"/>
        <v>1599.7499999999413</v>
      </c>
      <c r="F6991" s="28">
        <f t="shared" si="339"/>
        <v>1581.7499999999413</v>
      </c>
      <c r="G6991" s="28">
        <f t="shared" si="340"/>
        <v>1496.867</v>
      </c>
      <c r="H6991" s="28">
        <f t="shared" si="341"/>
        <v>1552.3163999999999</v>
      </c>
      <c r="I6991" s="28">
        <f t="shared" si="342"/>
        <v>1581.5126</v>
      </c>
      <c r="J6991" s="28">
        <f t="shared" si="343"/>
        <v>1605.1035999999999</v>
      </c>
      <c r="K6991" s="28">
        <f t="shared" si="344"/>
        <v>1647.0314000000001</v>
      </c>
      <c r="L6991" s="4"/>
      <c r="M6991" s="241">
        <v>1581.5126</v>
      </c>
    </row>
    <row r="6992" spans="3:13" hidden="1" outlineLevel="1" x14ac:dyDescent="0.2">
      <c r="C6992" s="139">
        <v>213.39999999999216</v>
      </c>
      <c r="D6992" s="28">
        <f t="shared" si="337"/>
        <v>1707.1999999999373</v>
      </c>
      <c r="E6992" s="28">
        <f t="shared" si="338"/>
        <v>1600.4999999999411</v>
      </c>
      <c r="F6992" s="28">
        <f t="shared" si="339"/>
        <v>1582.4999999999411</v>
      </c>
      <c r="G6992" s="28">
        <f t="shared" si="340"/>
        <v>1497.8621000000001</v>
      </c>
      <c r="H6992" s="28">
        <f t="shared" si="341"/>
        <v>1553.3465000000001</v>
      </c>
      <c r="I6992" s="28">
        <f t="shared" si="342"/>
        <v>1582.5129999999999</v>
      </c>
      <c r="J6992" s="28">
        <f t="shared" si="343"/>
        <v>1606.1188999999999</v>
      </c>
      <c r="K6992" s="28">
        <f t="shared" si="344"/>
        <v>1648.0997</v>
      </c>
      <c r="L6992" s="4"/>
      <c r="M6992" s="241">
        <v>1582.5129999999999</v>
      </c>
    </row>
    <row r="6993" spans="3:13" hidden="1" outlineLevel="1" x14ac:dyDescent="0.2">
      <c r="C6993" s="139">
        <v>213.49999999999216</v>
      </c>
      <c r="D6993" s="28">
        <f t="shared" si="337"/>
        <v>1707.9999999999372</v>
      </c>
      <c r="E6993" s="28">
        <f t="shared" si="338"/>
        <v>1601.2499999999411</v>
      </c>
      <c r="F6993" s="28">
        <f t="shared" si="339"/>
        <v>1583.2499999999411</v>
      </c>
      <c r="G6993" s="28">
        <f t="shared" si="340"/>
        <v>1498.8331000000001</v>
      </c>
      <c r="H6993" s="28">
        <f t="shared" si="341"/>
        <v>1554.3284000000001</v>
      </c>
      <c r="I6993" s="28">
        <f t="shared" si="342"/>
        <v>1583.5399</v>
      </c>
      <c r="J6993" s="28">
        <f t="shared" si="343"/>
        <v>1607.1606999999999</v>
      </c>
      <c r="K6993" s="28">
        <f t="shared" si="344"/>
        <v>1649.1415</v>
      </c>
      <c r="L6993" s="4"/>
      <c r="M6993" s="241">
        <v>1583.5399</v>
      </c>
    </row>
    <row r="6994" spans="3:13" hidden="1" outlineLevel="1" x14ac:dyDescent="0.2">
      <c r="C6994" s="139">
        <v>213.59999999999215</v>
      </c>
      <c r="D6994" s="28">
        <f t="shared" si="337"/>
        <v>1708.7999999999372</v>
      </c>
      <c r="E6994" s="28">
        <f t="shared" si="338"/>
        <v>1601.9999999999411</v>
      </c>
      <c r="F6994" s="28">
        <f t="shared" si="339"/>
        <v>1583.9999999999411</v>
      </c>
      <c r="G6994" s="28">
        <f t="shared" si="340"/>
        <v>1498.8331000000001</v>
      </c>
      <c r="H6994" s="28">
        <f t="shared" si="341"/>
        <v>1554.3284000000001</v>
      </c>
      <c r="I6994" s="28">
        <f t="shared" si="342"/>
        <v>1583.5399</v>
      </c>
      <c r="J6994" s="28">
        <f t="shared" si="343"/>
        <v>1607.1606999999999</v>
      </c>
      <c r="K6994" s="28">
        <f t="shared" si="344"/>
        <v>1649.1415</v>
      </c>
      <c r="L6994" s="4"/>
      <c r="M6994" s="241">
        <v>1583.5399</v>
      </c>
    </row>
    <row r="6995" spans="3:13" hidden="1" outlineLevel="1" x14ac:dyDescent="0.2">
      <c r="C6995" s="139">
        <v>213.69999999999214</v>
      </c>
      <c r="D6995" s="28">
        <f t="shared" si="337"/>
        <v>1709.5999999999372</v>
      </c>
      <c r="E6995" s="28">
        <f t="shared" si="338"/>
        <v>1602.7499999999411</v>
      </c>
      <c r="F6995" s="28">
        <f t="shared" si="339"/>
        <v>1584.7499999999411</v>
      </c>
      <c r="G6995" s="28">
        <f t="shared" si="340"/>
        <v>1499.8041000000001</v>
      </c>
      <c r="H6995" s="28">
        <f t="shared" si="341"/>
        <v>1555.3103000000001</v>
      </c>
      <c r="I6995" s="28">
        <f t="shared" si="342"/>
        <v>1584.5668000000001</v>
      </c>
      <c r="J6995" s="28">
        <f t="shared" si="343"/>
        <v>1608.1759999999999</v>
      </c>
      <c r="K6995" s="28">
        <f t="shared" si="344"/>
        <v>1650.1832999999999</v>
      </c>
      <c r="L6995" s="4"/>
      <c r="M6995" s="241">
        <v>1584.5668000000001</v>
      </c>
    </row>
    <row r="6996" spans="3:13" hidden="1" outlineLevel="1" x14ac:dyDescent="0.2">
      <c r="C6996" s="139">
        <v>213.79999999999214</v>
      </c>
      <c r="D6996" s="28">
        <f t="shared" si="337"/>
        <v>1710.3999999999371</v>
      </c>
      <c r="E6996" s="28">
        <f t="shared" si="338"/>
        <v>1603.4999999999411</v>
      </c>
      <c r="F6996" s="28">
        <f t="shared" si="339"/>
        <v>1585.4999999999411</v>
      </c>
      <c r="G6996" s="28">
        <f t="shared" si="340"/>
        <v>1500.7992999999999</v>
      </c>
      <c r="H6996" s="28">
        <f t="shared" si="341"/>
        <v>1556.3406</v>
      </c>
      <c r="I6996" s="28">
        <f t="shared" si="342"/>
        <v>1585.5671</v>
      </c>
      <c r="J6996" s="28">
        <f t="shared" si="343"/>
        <v>1609.2177999999999</v>
      </c>
      <c r="K6996" s="28">
        <f t="shared" si="344"/>
        <v>1651.2517</v>
      </c>
      <c r="L6996" s="4"/>
      <c r="M6996" s="241">
        <v>1585.5671</v>
      </c>
    </row>
    <row r="6997" spans="3:13" hidden="1" outlineLevel="1" x14ac:dyDescent="0.2">
      <c r="C6997" s="139">
        <v>213.89999999999213</v>
      </c>
      <c r="D6997" s="28">
        <f t="shared" si="337"/>
        <v>1711.1999999999371</v>
      </c>
      <c r="E6997" s="28">
        <f t="shared" si="338"/>
        <v>1604.2499999999409</v>
      </c>
      <c r="F6997" s="28">
        <f t="shared" si="339"/>
        <v>1586.2499999999409</v>
      </c>
      <c r="G6997" s="28">
        <f t="shared" si="340"/>
        <v>1501.7704000000001</v>
      </c>
      <c r="H6997" s="28">
        <f t="shared" si="341"/>
        <v>1557.3225</v>
      </c>
      <c r="I6997" s="28">
        <f t="shared" si="342"/>
        <v>1586.5941</v>
      </c>
      <c r="J6997" s="28">
        <f t="shared" si="343"/>
        <v>1610.2330999999999</v>
      </c>
      <c r="K6997" s="28">
        <f t="shared" si="344"/>
        <v>1652.2935</v>
      </c>
      <c r="L6997" s="4"/>
      <c r="M6997" s="241">
        <v>1586.5941</v>
      </c>
    </row>
    <row r="6998" spans="3:13" hidden="1" outlineLevel="1" x14ac:dyDescent="0.2">
      <c r="C6998" s="139">
        <v>213.99999999999213</v>
      </c>
      <c r="D6998" s="28">
        <f t="shared" si="337"/>
        <v>1711.999999999937</v>
      </c>
      <c r="E6998" s="28">
        <f t="shared" si="338"/>
        <v>1604.9999999999409</v>
      </c>
      <c r="F6998" s="28">
        <f t="shared" si="339"/>
        <v>1586.9999999999409</v>
      </c>
      <c r="G6998" s="28">
        <f t="shared" si="340"/>
        <v>1501.7704000000001</v>
      </c>
      <c r="H6998" s="28">
        <f t="shared" si="341"/>
        <v>1557.3225</v>
      </c>
      <c r="I6998" s="28">
        <f t="shared" si="342"/>
        <v>1586.5941</v>
      </c>
      <c r="J6998" s="28">
        <f t="shared" si="343"/>
        <v>1610.2330999999999</v>
      </c>
      <c r="K6998" s="28">
        <f t="shared" si="344"/>
        <v>1652.2935</v>
      </c>
      <c r="L6998" s="4"/>
      <c r="M6998" s="241">
        <v>1586.5941</v>
      </c>
    </row>
    <row r="6999" spans="3:13" hidden="1" outlineLevel="1" x14ac:dyDescent="0.2">
      <c r="C6999" s="139">
        <v>214.09999999999212</v>
      </c>
      <c r="D6999" s="28">
        <f t="shared" si="337"/>
        <v>1712.799999999937</v>
      </c>
      <c r="E6999" s="28">
        <f t="shared" si="338"/>
        <v>1605.7499999999409</v>
      </c>
      <c r="F6999" s="28">
        <f t="shared" si="339"/>
        <v>1587.7499999999409</v>
      </c>
      <c r="G6999" s="28">
        <f t="shared" si="340"/>
        <v>1502.7415000000001</v>
      </c>
      <c r="H6999" s="28">
        <f t="shared" si="341"/>
        <v>1558.3527999999999</v>
      </c>
      <c r="I6999" s="28">
        <f t="shared" si="342"/>
        <v>1587.5944999999999</v>
      </c>
      <c r="J6999" s="28">
        <f t="shared" si="343"/>
        <v>1611.2750000000001</v>
      </c>
      <c r="K6999" s="28">
        <f t="shared" si="344"/>
        <v>1653.3619000000001</v>
      </c>
      <c r="L6999" s="4"/>
      <c r="M6999" s="241">
        <v>1587.5944999999999</v>
      </c>
    </row>
    <row r="7000" spans="3:13" hidden="1" outlineLevel="1" x14ac:dyDescent="0.2">
      <c r="C7000" s="139">
        <v>214.19999999999212</v>
      </c>
      <c r="D7000" s="28">
        <f t="shared" si="337"/>
        <v>1713.5999999999369</v>
      </c>
      <c r="E7000" s="28">
        <f t="shared" si="338"/>
        <v>1606.4999999999409</v>
      </c>
      <c r="F7000" s="28">
        <f t="shared" si="339"/>
        <v>1588.4999999999409</v>
      </c>
      <c r="G7000" s="28">
        <f t="shared" si="340"/>
        <v>1503.7126000000001</v>
      </c>
      <c r="H7000" s="28">
        <f t="shared" si="341"/>
        <v>1559.3348000000001</v>
      </c>
      <c r="I7000" s="28">
        <f t="shared" si="342"/>
        <v>1588.6215</v>
      </c>
      <c r="J7000" s="28">
        <f t="shared" si="343"/>
        <v>1612.2902999999999</v>
      </c>
      <c r="K7000" s="28">
        <f t="shared" si="344"/>
        <v>1654.4037000000001</v>
      </c>
      <c r="L7000" s="4"/>
      <c r="M7000" s="241">
        <v>1588.6215</v>
      </c>
    </row>
    <row r="7001" spans="3:13" hidden="1" outlineLevel="1" x14ac:dyDescent="0.2">
      <c r="C7001" s="139">
        <v>214.29999999999211</v>
      </c>
      <c r="D7001" s="28">
        <f t="shared" si="337"/>
        <v>1714.3999999999369</v>
      </c>
      <c r="E7001" s="28">
        <f t="shared" si="338"/>
        <v>1607.2499999999409</v>
      </c>
      <c r="F7001" s="28">
        <f t="shared" si="339"/>
        <v>1589.2499999999409</v>
      </c>
      <c r="G7001" s="28">
        <f t="shared" si="340"/>
        <v>1504.7080000000001</v>
      </c>
      <c r="H7001" s="28">
        <f t="shared" si="341"/>
        <v>1560.3167000000001</v>
      </c>
      <c r="I7001" s="28">
        <f t="shared" si="342"/>
        <v>1589.6486</v>
      </c>
      <c r="J7001" s="28">
        <f t="shared" si="343"/>
        <v>1613.3323</v>
      </c>
      <c r="K7001" s="28">
        <f t="shared" si="344"/>
        <v>1655.4455</v>
      </c>
      <c r="L7001" s="4"/>
      <c r="M7001" s="241">
        <v>1589.6486</v>
      </c>
    </row>
    <row r="7002" spans="3:13" hidden="1" outlineLevel="1" x14ac:dyDescent="0.2">
      <c r="C7002" s="139">
        <v>214.3999999999921</v>
      </c>
      <c r="D7002" s="28">
        <f t="shared" si="337"/>
        <v>1715.1999999999368</v>
      </c>
      <c r="E7002" s="28">
        <f t="shared" si="338"/>
        <v>1607.9999999999409</v>
      </c>
      <c r="F7002" s="28">
        <f t="shared" si="339"/>
        <v>1589.9999999999409</v>
      </c>
      <c r="G7002" s="28">
        <f t="shared" si="340"/>
        <v>1504.7080000000001</v>
      </c>
      <c r="H7002" s="28">
        <f t="shared" si="341"/>
        <v>1560.3167000000001</v>
      </c>
      <c r="I7002" s="28">
        <f t="shared" si="342"/>
        <v>1589.6486</v>
      </c>
      <c r="J7002" s="28">
        <f t="shared" si="343"/>
        <v>1613.3323</v>
      </c>
      <c r="K7002" s="28">
        <f t="shared" si="344"/>
        <v>1655.4455</v>
      </c>
      <c r="L7002" s="4"/>
      <c r="M7002" s="241">
        <v>1589.6486</v>
      </c>
    </row>
    <row r="7003" spans="3:13" hidden="1" outlineLevel="1" x14ac:dyDescent="0.2">
      <c r="C7003" s="139">
        <v>214.4999999999921</v>
      </c>
      <c r="D7003" s="28">
        <f t="shared" si="337"/>
        <v>1715.9999999999368</v>
      </c>
      <c r="E7003" s="28">
        <f t="shared" si="338"/>
        <v>1608.7499999999407</v>
      </c>
      <c r="F7003" s="28">
        <f t="shared" si="339"/>
        <v>1590.7499999999407</v>
      </c>
      <c r="G7003" s="28">
        <f t="shared" si="340"/>
        <v>1505.6792</v>
      </c>
      <c r="H7003" s="28">
        <f t="shared" si="341"/>
        <v>1561.3471999999999</v>
      </c>
      <c r="I7003" s="28">
        <f t="shared" si="342"/>
        <v>1590.6489999999999</v>
      </c>
      <c r="J7003" s="28">
        <f t="shared" si="343"/>
        <v>1614.3476000000001</v>
      </c>
      <c r="K7003" s="28">
        <f t="shared" si="344"/>
        <v>1656.5139999999999</v>
      </c>
      <c r="L7003" s="4"/>
      <c r="M7003" s="241">
        <v>1590.6489999999999</v>
      </c>
    </row>
    <row r="7004" spans="3:13" hidden="1" outlineLevel="1" x14ac:dyDescent="0.2">
      <c r="C7004" s="139">
        <v>214.59999999999209</v>
      </c>
      <c r="D7004" s="28">
        <f t="shared" si="337"/>
        <v>1716.7999999999367</v>
      </c>
      <c r="E7004" s="28">
        <f t="shared" si="338"/>
        <v>1609.4999999999407</v>
      </c>
      <c r="F7004" s="28">
        <f t="shared" si="339"/>
        <v>1591.4999999999407</v>
      </c>
      <c r="G7004" s="28">
        <f t="shared" si="340"/>
        <v>1506.6505</v>
      </c>
      <c r="H7004" s="28">
        <f t="shared" si="341"/>
        <v>1562.3291999999999</v>
      </c>
      <c r="I7004" s="28">
        <f t="shared" si="342"/>
        <v>1591.6760999999999</v>
      </c>
      <c r="J7004" s="28">
        <f t="shared" si="343"/>
        <v>1615.3896</v>
      </c>
      <c r="K7004" s="28">
        <f t="shared" si="344"/>
        <v>1657.5559000000001</v>
      </c>
      <c r="L7004" s="4"/>
      <c r="M7004" s="241">
        <v>1591.6760999999999</v>
      </c>
    </row>
    <row r="7005" spans="3:13" hidden="1" outlineLevel="1" x14ac:dyDescent="0.2">
      <c r="C7005" s="139">
        <v>214.69999999999209</v>
      </c>
      <c r="D7005" s="28">
        <f t="shared" si="337"/>
        <v>1717.5999999999367</v>
      </c>
      <c r="E7005" s="28">
        <f t="shared" si="338"/>
        <v>1610.2499999999407</v>
      </c>
      <c r="F7005" s="28">
        <f t="shared" si="339"/>
        <v>1592.2499999999407</v>
      </c>
      <c r="G7005" s="28">
        <f t="shared" si="340"/>
        <v>1507.6460999999999</v>
      </c>
      <c r="H7005" s="28">
        <f t="shared" si="341"/>
        <v>1563.3597</v>
      </c>
      <c r="I7005" s="28">
        <f t="shared" si="342"/>
        <v>1592.6765</v>
      </c>
      <c r="J7005" s="28">
        <f t="shared" si="343"/>
        <v>1616.4049</v>
      </c>
      <c r="K7005" s="28">
        <f t="shared" si="344"/>
        <v>1658.5977</v>
      </c>
      <c r="L7005" s="4"/>
      <c r="M7005" s="241">
        <v>1592.6765</v>
      </c>
    </row>
    <row r="7006" spans="3:13" hidden="1" outlineLevel="1" x14ac:dyDescent="0.2">
      <c r="C7006" s="139">
        <v>214.79999999999208</v>
      </c>
      <c r="D7006" s="28">
        <f t="shared" si="337"/>
        <v>1718.3999999999367</v>
      </c>
      <c r="E7006" s="28">
        <f t="shared" si="338"/>
        <v>1610.9999999999407</v>
      </c>
      <c r="F7006" s="28">
        <f t="shared" si="339"/>
        <v>1592.9999999999407</v>
      </c>
      <c r="G7006" s="28">
        <f t="shared" si="340"/>
        <v>1507.6460999999999</v>
      </c>
      <c r="H7006" s="28">
        <f t="shared" si="341"/>
        <v>1563.3597</v>
      </c>
      <c r="I7006" s="28">
        <f t="shared" si="342"/>
        <v>1592.6765</v>
      </c>
      <c r="J7006" s="28">
        <f t="shared" si="343"/>
        <v>1616.4049</v>
      </c>
      <c r="K7006" s="28">
        <f t="shared" si="344"/>
        <v>1658.5977</v>
      </c>
      <c r="L7006" s="4"/>
      <c r="M7006" s="241">
        <v>1592.6765</v>
      </c>
    </row>
    <row r="7007" spans="3:13" hidden="1" outlineLevel="1" x14ac:dyDescent="0.2">
      <c r="C7007" s="139">
        <v>214.89999999999208</v>
      </c>
      <c r="D7007" s="28">
        <f t="shared" si="337"/>
        <v>1719.1999999999366</v>
      </c>
      <c r="E7007" s="28">
        <f t="shared" si="338"/>
        <v>1611.7499999999407</v>
      </c>
      <c r="F7007" s="28">
        <f t="shared" si="339"/>
        <v>1593.7499999999407</v>
      </c>
      <c r="G7007" s="28">
        <f t="shared" si="340"/>
        <v>1508.6174000000001</v>
      </c>
      <c r="H7007" s="28">
        <f t="shared" si="341"/>
        <v>1564.3417999999999</v>
      </c>
      <c r="I7007" s="28">
        <f t="shared" si="342"/>
        <v>1593.7037</v>
      </c>
      <c r="J7007" s="28">
        <f t="shared" si="343"/>
        <v>1617.4469999999999</v>
      </c>
      <c r="K7007" s="28">
        <f t="shared" si="344"/>
        <v>1659.6663000000001</v>
      </c>
      <c r="L7007" s="4"/>
      <c r="M7007" s="241">
        <v>1593.7037</v>
      </c>
    </row>
    <row r="7008" spans="3:13" hidden="1" outlineLevel="1" x14ac:dyDescent="0.2">
      <c r="C7008" s="139">
        <v>214.99999999999207</v>
      </c>
      <c r="D7008" s="28">
        <f t="shared" si="337"/>
        <v>1719.9999999999366</v>
      </c>
      <c r="E7008" s="28">
        <f t="shared" si="338"/>
        <v>1612.4999999999404</v>
      </c>
      <c r="F7008" s="28">
        <f t="shared" si="339"/>
        <v>1594.4999999999404</v>
      </c>
      <c r="G7008" s="28">
        <f t="shared" si="340"/>
        <v>1509.5887</v>
      </c>
      <c r="H7008" s="28">
        <f t="shared" si="341"/>
        <v>1565.3724</v>
      </c>
      <c r="I7008" s="28">
        <f t="shared" si="342"/>
        <v>1594.7040999999999</v>
      </c>
      <c r="J7008" s="28">
        <f t="shared" si="343"/>
        <v>1618.4623999999999</v>
      </c>
      <c r="K7008" s="28">
        <f t="shared" si="344"/>
        <v>1660.7081000000001</v>
      </c>
      <c r="L7008" s="4"/>
      <c r="M7008" s="241">
        <v>1594.7040999999999</v>
      </c>
    </row>
    <row r="7009" spans="3:13" hidden="1" outlineLevel="1" x14ac:dyDescent="0.2">
      <c r="C7009" s="139">
        <v>215.09999999999206</v>
      </c>
      <c r="D7009" s="28">
        <f t="shared" si="337"/>
        <v>1720.7999999999365</v>
      </c>
      <c r="E7009" s="28">
        <f t="shared" si="338"/>
        <v>1613.2499999999404</v>
      </c>
      <c r="F7009" s="28">
        <f t="shared" si="339"/>
        <v>1595.2499999999404</v>
      </c>
      <c r="G7009" s="28">
        <f t="shared" si="340"/>
        <v>1510.5844</v>
      </c>
      <c r="H7009" s="28">
        <f t="shared" si="341"/>
        <v>1566.3543999999999</v>
      </c>
      <c r="I7009" s="28">
        <f t="shared" si="342"/>
        <v>1595.7312999999999</v>
      </c>
      <c r="J7009" s="28">
        <f t="shared" si="343"/>
        <v>1619.5045</v>
      </c>
      <c r="K7009" s="28">
        <f t="shared" si="344"/>
        <v>1661.75</v>
      </c>
      <c r="L7009" s="4"/>
      <c r="M7009" s="241">
        <v>1595.7312999999999</v>
      </c>
    </row>
    <row r="7010" spans="3:13" hidden="1" outlineLevel="1" x14ac:dyDescent="0.2">
      <c r="C7010" s="139">
        <v>215.19999999999206</v>
      </c>
      <c r="D7010" s="28">
        <f t="shared" si="337"/>
        <v>1721.5999999999365</v>
      </c>
      <c r="E7010" s="28">
        <f t="shared" si="338"/>
        <v>1613.9999999999404</v>
      </c>
      <c r="F7010" s="28">
        <f t="shared" si="339"/>
        <v>1595.9999999999404</v>
      </c>
      <c r="G7010" s="28">
        <f t="shared" si="340"/>
        <v>1510.5844</v>
      </c>
      <c r="H7010" s="28">
        <f t="shared" si="341"/>
        <v>1566.3543999999999</v>
      </c>
      <c r="I7010" s="28">
        <f t="shared" si="342"/>
        <v>1595.7312999999999</v>
      </c>
      <c r="J7010" s="28">
        <f t="shared" si="343"/>
        <v>1619.5045</v>
      </c>
      <c r="K7010" s="28">
        <f t="shared" si="344"/>
        <v>1661.75</v>
      </c>
      <c r="L7010" s="4"/>
      <c r="M7010" s="241">
        <v>1595.7312999999999</v>
      </c>
    </row>
    <row r="7011" spans="3:13" hidden="1" outlineLevel="1" x14ac:dyDescent="0.2">
      <c r="C7011" s="139">
        <v>215.29999999999205</v>
      </c>
      <c r="D7011" s="28">
        <f t="shared" si="337"/>
        <v>1722.3999999999364</v>
      </c>
      <c r="E7011" s="28">
        <f t="shared" si="338"/>
        <v>1614.7499999999404</v>
      </c>
      <c r="F7011" s="28">
        <f t="shared" si="339"/>
        <v>1596.7499999999404</v>
      </c>
      <c r="G7011" s="28">
        <f t="shared" si="340"/>
        <v>1511.5559000000001</v>
      </c>
      <c r="H7011" s="28">
        <f t="shared" si="341"/>
        <v>1567.3364999999999</v>
      </c>
      <c r="I7011" s="28">
        <f t="shared" si="342"/>
        <v>1596.7585999999999</v>
      </c>
      <c r="J7011" s="28">
        <f t="shared" si="343"/>
        <v>1620.5198</v>
      </c>
      <c r="K7011" s="28">
        <f t="shared" si="344"/>
        <v>1662.8186000000001</v>
      </c>
      <c r="L7011" s="4"/>
      <c r="M7011" s="241">
        <v>1596.7585999999999</v>
      </c>
    </row>
    <row r="7012" spans="3:13" hidden="1" outlineLevel="1" x14ac:dyDescent="0.2">
      <c r="C7012" s="139">
        <v>215.39999999999205</v>
      </c>
      <c r="D7012" s="28">
        <f t="shared" si="337"/>
        <v>1723.1999999999364</v>
      </c>
      <c r="E7012" s="28">
        <f t="shared" si="338"/>
        <v>1615.4999999999404</v>
      </c>
      <c r="F7012" s="28">
        <f t="shared" si="339"/>
        <v>1597.4999999999404</v>
      </c>
      <c r="G7012" s="28">
        <f t="shared" si="340"/>
        <v>1512.5273</v>
      </c>
      <c r="H7012" s="28">
        <f t="shared" si="341"/>
        <v>1568.3672999999999</v>
      </c>
      <c r="I7012" s="28">
        <f t="shared" si="342"/>
        <v>1597.7591</v>
      </c>
      <c r="J7012" s="28">
        <f t="shared" si="343"/>
        <v>1621.5619999999999</v>
      </c>
      <c r="K7012" s="28">
        <f t="shared" si="344"/>
        <v>1663.8605</v>
      </c>
      <c r="L7012" s="4"/>
      <c r="M7012" s="241">
        <v>1597.7591</v>
      </c>
    </row>
    <row r="7013" spans="3:13" hidden="1" outlineLevel="1" x14ac:dyDescent="0.2">
      <c r="C7013" s="139">
        <v>215.49999999999204</v>
      </c>
      <c r="D7013" s="28">
        <f t="shared" si="337"/>
        <v>1723.9999999999363</v>
      </c>
      <c r="E7013" s="28">
        <f t="shared" si="338"/>
        <v>1616.2499999999404</v>
      </c>
      <c r="F7013" s="28">
        <f t="shared" si="339"/>
        <v>1598.2499999999404</v>
      </c>
      <c r="G7013" s="28">
        <f t="shared" si="340"/>
        <v>1513.4988000000001</v>
      </c>
      <c r="H7013" s="28">
        <f t="shared" si="341"/>
        <v>1569.3493000000001</v>
      </c>
      <c r="I7013" s="28">
        <f t="shared" si="342"/>
        <v>1598.7864</v>
      </c>
      <c r="J7013" s="28">
        <f t="shared" si="343"/>
        <v>1622.5773999999999</v>
      </c>
      <c r="K7013" s="28">
        <f t="shared" si="344"/>
        <v>1664.9292</v>
      </c>
      <c r="L7013" s="4"/>
      <c r="M7013" s="241">
        <v>1598.7864</v>
      </c>
    </row>
    <row r="7014" spans="3:13" hidden="1" outlineLevel="1" x14ac:dyDescent="0.2">
      <c r="C7014" s="139">
        <v>215.59999999999204</v>
      </c>
      <c r="D7014" s="28">
        <f t="shared" si="337"/>
        <v>1724.7999999999363</v>
      </c>
      <c r="E7014" s="28">
        <f t="shared" si="338"/>
        <v>1616.9999999999402</v>
      </c>
      <c r="F7014" s="28">
        <f t="shared" si="339"/>
        <v>1598.9999999999402</v>
      </c>
      <c r="G7014" s="28">
        <f t="shared" si="340"/>
        <v>1513.4988000000001</v>
      </c>
      <c r="H7014" s="28">
        <f t="shared" si="341"/>
        <v>1569.3493000000001</v>
      </c>
      <c r="I7014" s="28">
        <f t="shared" si="342"/>
        <v>1598.7864</v>
      </c>
      <c r="J7014" s="28">
        <f t="shared" si="343"/>
        <v>1622.5773999999999</v>
      </c>
      <c r="K7014" s="28">
        <f t="shared" si="344"/>
        <v>1664.9292</v>
      </c>
      <c r="L7014" s="4"/>
      <c r="M7014" s="241">
        <v>1598.7864</v>
      </c>
    </row>
    <row r="7015" spans="3:13" hidden="1" outlineLevel="1" x14ac:dyDescent="0.2">
      <c r="C7015" s="139">
        <v>215.69999999999203</v>
      </c>
      <c r="D7015" s="28">
        <f t="shared" si="337"/>
        <v>1725.5999999999362</v>
      </c>
      <c r="E7015" s="28">
        <f t="shared" si="338"/>
        <v>1617.7499999999402</v>
      </c>
      <c r="F7015" s="28">
        <f t="shared" si="339"/>
        <v>1599.7499999999402</v>
      </c>
      <c r="G7015" s="28">
        <f t="shared" si="340"/>
        <v>1514.4947</v>
      </c>
      <c r="H7015" s="28">
        <f t="shared" si="341"/>
        <v>1570.3802000000001</v>
      </c>
      <c r="I7015" s="28">
        <f t="shared" si="342"/>
        <v>1599.7869000000001</v>
      </c>
      <c r="J7015" s="28">
        <f t="shared" si="343"/>
        <v>1623.6196</v>
      </c>
      <c r="K7015" s="28">
        <f t="shared" si="344"/>
        <v>1665.9711</v>
      </c>
      <c r="L7015" s="4"/>
      <c r="M7015" s="241">
        <v>1599.7869000000001</v>
      </c>
    </row>
    <row r="7016" spans="3:13" hidden="1" outlineLevel="1" x14ac:dyDescent="0.2">
      <c r="C7016" s="139">
        <v>215.79999999999202</v>
      </c>
      <c r="D7016" s="28">
        <f t="shared" si="337"/>
        <v>1726.3999999999362</v>
      </c>
      <c r="E7016" s="28">
        <f t="shared" si="338"/>
        <v>1618.4999999999402</v>
      </c>
      <c r="F7016" s="28">
        <f t="shared" si="339"/>
        <v>1600.4999999999402</v>
      </c>
      <c r="G7016" s="28">
        <f t="shared" si="340"/>
        <v>1515.4663</v>
      </c>
      <c r="H7016" s="28">
        <f t="shared" si="341"/>
        <v>1571.3623</v>
      </c>
      <c r="I7016" s="28">
        <f t="shared" si="342"/>
        <v>1600.8142</v>
      </c>
      <c r="J7016" s="28">
        <f t="shared" si="343"/>
        <v>1624.635</v>
      </c>
      <c r="K7016" s="28">
        <f t="shared" si="344"/>
        <v>1667.0128999999999</v>
      </c>
      <c r="L7016" s="4"/>
      <c r="M7016" s="241">
        <v>1600.8142</v>
      </c>
    </row>
    <row r="7017" spans="3:13" hidden="1" outlineLevel="1" x14ac:dyDescent="0.2">
      <c r="C7017" s="139">
        <v>215.89999999999202</v>
      </c>
      <c r="D7017" s="28">
        <f t="shared" si="337"/>
        <v>1727.1999999999362</v>
      </c>
      <c r="E7017" s="28">
        <f t="shared" si="338"/>
        <v>1619.2499999999402</v>
      </c>
      <c r="F7017" s="28">
        <f t="shared" si="339"/>
        <v>1601.2499999999402</v>
      </c>
      <c r="G7017" s="28">
        <f t="shared" si="340"/>
        <v>1516.4378999999999</v>
      </c>
      <c r="H7017" s="28">
        <f t="shared" si="341"/>
        <v>1572.3444</v>
      </c>
      <c r="I7017" s="28">
        <f t="shared" si="342"/>
        <v>1601.8416</v>
      </c>
      <c r="J7017" s="28">
        <f t="shared" si="343"/>
        <v>1625.6773000000001</v>
      </c>
      <c r="K7017" s="28">
        <f t="shared" si="344"/>
        <v>1668.0817</v>
      </c>
      <c r="L7017" s="4"/>
      <c r="M7017" s="241">
        <v>1601.8416</v>
      </c>
    </row>
    <row r="7018" spans="3:13" hidden="1" outlineLevel="1" x14ac:dyDescent="0.2">
      <c r="C7018" s="139">
        <v>215.99999999999201</v>
      </c>
      <c r="D7018" s="28">
        <f t="shared" si="337"/>
        <v>1727.9999999999361</v>
      </c>
      <c r="E7018" s="28">
        <f t="shared" si="338"/>
        <v>1619.9999999999402</v>
      </c>
      <c r="F7018" s="28">
        <f t="shared" si="339"/>
        <v>1601.9999999999402</v>
      </c>
      <c r="G7018" s="28">
        <f t="shared" si="340"/>
        <v>1516.4378999999999</v>
      </c>
      <c r="H7018" s="28">
        <f t="shared" si="341"/>
        <v>1572.3444</v>
      </c>
      <c r="I7018" s="28">
        <f t="shared" si="342"/>
        <v>1601.8416</v>
      </c>
      <c r="J7018" s="28">
        <f t="shared" si="343"/>
        <v>1625.6773000000001</v>
      </c>
      <c r="K7018" s="28">
        <f t="shared" si="344"/>
        <v>1668.0817</v>
      </c>
      <c r="L7018" s="4"/>
      <c r="M7018" s="241">
        <v>1601.8416</v>
      </c>
    </row>
    <row r="7019" spans="3:13" hidden="1" outlineLevel="1" x14ac:dyDescent="0.2">
      <c r="C7019" s="139">
        <v>216.09999999999201</v>
      </c>
      <c r="D7019" s="28">
        <f t="shared" si="337"/>
        <v>1728.7999999999361</v>
      </c>
      <c r="E7019" s="28">
        <f t="shared" si="338"/>
        <v>1620.74999999994</v>
      </c>
      <c r="F7019" s="28">
        <f t="shared" si="339"/>
        <v>1602.74999999994</v>
      </c>
      <c r="G7019" s="28">
        <f t="shared" si="340"/>
        <v>1517.4462000000001</v>
      </c>
      <c r="H7019" s="28">
        <f t="shared" si="341"/>
        <v>1573.3753999999999</v>
      </c>
      <c r="I7019" s="28">
        <f t="shared" si="342"/>
        <v>1602.8421000000001</v>
      </c>
      <c r="J7019" s="28">
        <f t="shared" si="343"/>
        <v>1626.6927000000001</v>
      </c>
      <c r="K7019" s="28">
        <f t="shared" si="344"/>
        <v>1669.1369999999999</v>
      </c>
      <c r="L7019" s="4"/>
      <c r="M7019" s="241">
        <v>1602.8421000000001</v>
      </c>
    </row>
    <row r="7020" spans="3:13" hidden="1" outlineLevel="1" x14ac:dyDescent="0.2">
      <c r="C7020" s="139">
        <v>216.199999999992</v>
      </c>
      <c r="D7020" s="28">
        <f t="shared" si="337"/>
        <v>1729.599999999936</v>
      </c>
      <c r="E7020" s="28">
        <f t="shared" si="338"/>
        <v>1621.49999999994</v>
      </c>
      <c r="F7020" s="28">
        <f t="shared" si="339"/>
        <v>1603.49999999994</v>
      </c>
      <c r="G7020" s="28">
        <f t="shared" si="340"/>
        <v>1518.3933999999999</v>
      </c>
      <c r="H7020" s="28">
        <f t="shared" si="341"/>
        <v>1574.3575000000001</v>
      </c>
      <c r="I7020" s="28">
        <f t="shared" si="342"/>
        <v>1603.8695</v>
      </c>
      <c r="J7020" s="28">
        <f t="shared" si="343"/>
        <v>1627.7349999999999</v>
      </c>
      <c r="K7020" s="28">
        <f t="shared" si="344"/>
        <v>1670.1789000000001</v>
      </c>
      <c r="L7020" s="4"/>
      <c r="M7020" s="241">
        <v>1603.8695</v>
      </c>
    </row>
    <row r="7021" spans="3:13" hidden="1" outlineLevel="1" x14ac:dyDescent="0.2">
      <c r="C7021" s="139">
        <v>216.299999999992</v>
      </c>
      <c r="D7021" s="28">
        <f t="shared" si="337"/>
        <v>1730.399999999936</v>
      </c>
      <c r="E7021" s="28">
        <f t="shared" si="338"/>
        <v>1622.24999999994</v>
      </c>
      <c r="F7021" s="28">
        <f t="shared" si="339"/>
        <v>1604.24999999994</v>
      </c>
      <c r="G7021" s="28">
        <f t="shared" si="340"/>
        <v>1519.3896</v>
      </c>
      <c r="H7021" s="28">
        <f t="shared" si="341"/>
        <v>1575.3886</v>
      </c>
      <c r="I7021" s="28">
        <f t="shared" si="342"/>
        <v>1604.8701000000001</v>
      </c>
      <c r="J7021" s="28">
        <f t="shared" si="343"/>
        <v>1628.7503999999999</v>
      </c>
      <c r="K7021" s="28">
        <f t="shared" si="344"/>
        <v>1671.2209</v>
      </c>
      <c r="L7021" s="4"/>
      <c r="M7021" s="241">
        <v>1604.8701000000001</v>
      </c>
    </row>
    <row r="7022" spans="3:13" hidden="1" outlineLevel="1" x14ac:dyDescent="0.2">
      <c r="C7022" s="139">
        <v>216.39999999999199</v>
      </c>
      <c r="D7022" s="28">
        <f t="shared" si="337"/>
        <v>1731.1999999999359</v>
      </c>
      <c r="E7022" s="28">
        <f t="shared" si="338"/>
        <v>1622.99999999994</v>
      </c>
      <c r="F7022" s="28">
        <f t="shared" si="339"/>
        <v>1604.99999999994</v>
      </c>
      <c r="G7022" s="28">
        <f t="shared" si="340"/>
        <v>1519.3896</v>
      </c>
      <c r="H7022" s="28">
        <f t="shared" si="341"/>
        <v>1575.3886</v>
      </c>
      <c r="I7022" s="28">
        <f t="shared" si="342"/>
        <v>1604.8701000000001</v>
      </c>
      <c r="J7022" s="28">
        <f t="shared" si="343"/>
        <v>1628.7503999999999</v>
      </c>
      <c r="K7022" s="28">
        <f t="shared" si="344"/>
        <v>1671.2209</v>
      </c>
      <c r="L7022" s="4"/>
      <c r="M7022" s="241">
        <v>1604.8701000000001</v>
      </c>
    </row>
    <row r="7023" spans="3:13" hidden="1" outlineLevel="1" x14ac:dyDescent="0.2">
      <c r="C7023" s="139">
        <v>216.49999999999199</v>
      </c>
      <c r="D7023" s="28">
        <f t="shared" si="337"/>
        <v>1731.9999999999359</v>
      </c>
      <c r="E7023" s="28">
        <f t="shared" si="338"/>
        <v>1623.74999999994</v>
      </c>
      <c r="F7023" s="28">
        <f t="shared" si="339"/>
        <v>1605.74999999994</v>
      </c>
      <c r="G7023" s="28">
        <f t="shared" si="340"/>
        <v>1520.3368</v>
      </c>
      <c r="H7023" s="28">
        <f t="shared" si="341"/>
        <v>1576.3707999999999</v>
      </c>
      <c r="I7023" s="28">
        <f t="shared" si="342"/>
        <v>1605.8976</v>
      </c>
      <c r="J7023" s="28">
        <f t="shared" si="343"/>
        <v>1629.7659000000001</v>
      </c>
      <c r="K7023" s="28">
        <f t="shared" si="344"/>
        <v>1672.2628</v>
      </c>
      <c r="L7023" s="4"/>
      <c r="M7023" s="241">
        <v>1605.8976</v>
      </c>
    </row>
    <row r="7024" spans="3:13" hidden="1" outlineLevel="1" x14ac:dyDescent="0.2">
      <c r="C7024" s="139">
        <v>216.59999999999198</v>
      </c>
      <c r="D7024" s="28">
        <f t="shared" si="337"/>
        <v>1732.7999999999358</v>
      </c>
      <c r="E7024" s="28">
        <f t="shared" si="338"/>
        <v>1624.4999999999397</v>
      </c>
      <c r="F7024" s="28">
        <f t="shared" si="339"/>
        <v>1606.4999999999397</v>
      </c>
      <c r="G7024" s="28">
        <f t="shared" si="340"/>
        <v>1521.3331000000001</v>
      </c>
      <c r="H7024" s="28">
        <f t="shared" si="341"/>
        <v>1577.3529000000001</v>
      </c>
      <c r="I7024" s="28">
        <f t="shared" si="342"/>
        <v>1606.8981000000001</v>
      </c>
      <c r="J7024" s="28">
        <f t="shared" si="343"/>
        <v>1630.8082999999999</v>
      </c>
      <c r="K7024" s="28">
        <f t="shared" si="344"/>
        <v>1673.3046999999999</v>
      </c>
      <c r="L7024" s="4"/>
      <c r="M7024" s="241">
        <v>1606.8981000000001</v>
      </c>
    </row>
    <row r="7025" spans="3:13" hidden="1" outlineLevel="1" x14ac:dyDescent="0.2">
      <c r="C7025" s="139">
        <v>216.69999999999197</v>
      </c>
      <c r="D7025" s="28">
        <f t="shared" si="337"/>
        <v>1733.5999999999358</v>
      </c>
      <c r="E7025" s="28">
        <f t="shared" si="338"/>
        <v>1625.2499999999397</v>
      </c>
      <c r="F7025" s="28">
        <f t="shared" si="339"/>
        <v>1607.2499999999397</v>
      </c>
      <c r="G7025" s="28">
        <f t="shared" si="340"/>
        <v>1522.3294000000001</v>
      </c>
      <c r="H7025" s="28">
        <f t="shared" si="341"/>
        <v>1578.3841</v>
      </c>
      <c r="I7025" s="28">
        <f t="shared" si="342"/>
        <v>1607.9257</v>
      </c>
      <c r="J7025" s="28">
        <f t="shared" si="343"/>
        <v>1631.8236999999999</v>
      </c>
      <c r="K7025" s="28">
        <f t="shared" si="344"/>
        <v>1674.4005</v>
      </c>
      <c r="L7025" s="4"/>
      <c r="M7025" s="241">
        <v>1607.9257</v>
      </c>
    </row>
    <row r="7026" spans="3:13" hidden="1" outlineLevel="1" x14ac:dyDescent="0.2">
      <c r="C7026" s="139">
        <v>216.79999999999197</v>
      </c>
      <c r="D7026" s="28">
        <f t="shared" si="337"/>
        <v>1734.3999999999357</v>
      </c>
      <c r="E7026" s="28">
        <f t="shared" si="338"/>
        <v>1625.9999999999397</v>
      </c>
      <c r="F7026" s="28">
        <f t="shared" si="339"/>
        <v>1607.9999999999397</v>
      </c>
      <c r="G7026" s="28">
        <f t="shared" si="340"/>
        <v>1522.3294000000001</v>
      </c>
      <c r="H7026" s="28">
        <f t="shared" si="341"/>
        <v>1578.3841</v>
      </c>
      <c r="I7026" s="28">
        <f t="shared" si="342"/>
        <v>1607.9257</v>
      </c>
      <c r="J7026" s="28">
        <f t="shared" si="343"/>
        <v>1631.8236999999999</v>
      </c>
      <c r="K7026" s="28">
        <f t="shared" si="344"/>
        <v>1674.4005</v>
      </c>
      <c r="L7026" s="4"/>
      <c r="M7026" s="241">
        <v>1607.9257</v>
      </c>
    </row>
    <row r="7027" spans="3:13" hidden="1" outlineLevel="1" x14ac:dyDescent="0.2">
      <c r="C7027" s="139">
        <v>216.89999999999196</v>
      </c>
      <c r="D7027" s="28">
        <f t="shared" si="337"/>
        <v>1735.1999999999357</v>
      </c>
      <c r="E7027" s="28">
        <f t="shared" si="338"/>
        <v>1626.7499999999397</v>
      </c>
      <c r="F7027" s="28">
        <f t="shared" si="339"/>
        <v>1608.7499999999397</v>
      </c>
      <c r="G7027" s="28">
        <f t="shared" si="340"/>
        <v>1523.2766999999999</v>
      </c>
      <c r="H7027" s="28">
        <f t="shared" si="341"/>
        <v>1579.3662999999999</v>
      </c>
      <c r="I7027" s="28">
        <f t="shared" si="342"/>
        <v>1608.9531999999999</v>
      </c>
      <c r="J7027" s="28">
        <f t="shared" si="343"/>
        <v>1632.8661</v>
      </c>
      <c r="K7027" s="28">
        <f t="shared" si="344"/>
        <v>1675.4425000000001</v>
      </c>
      <c r="L7027" s="4"/>
      <c r="M7027" s="241">
        <v>1608.9531999999999</v>
      </c>
    </row>
    <row r="7028" spans="3:13" hidden="1" outlineLevel="1" x14ac:dyDescent="0.2">
      <c r="C7028" s="139">
        <v>216.99999999999196</v>
      </c>
      <c r="D7028" s="28">
        <f t="shared" si="337"/>
        <v>1735.9999999999357</v>
      </c>
      <c r="E7028" s="28">
        <f t="shared" si="338"/>
        <v>1627.4999999999397</v>
      </c>
      <c r="F7028" s="28">
        <f t="shared" si="339"/>
        <v>1609.4999999999397</v>
      </c>
      <c r="G7028" s="28">
        <f t="shared" si="340"/>
        <v>1524.2731000000001</v>
      </c>
      <c r="H7028" s="28">
        <f t="shared" si="341"/>
        <v>1580.3976</v>
      </c>
      <c r="I7028" s="28">
        <f t="shared" si="342"/>
        <v>1609.9538</v>
      </c>
      <c r="J7028" s="28">
        <f t="shared" si="343"/>
        <v>1633.8815999999999</v>
      </c>
      <c r="K7028" s="28">
        <f t="shared" si="344"/>
        <v>1676.4844000000001</v>
      </c>
      <c r="L7028" s="4"/>
      <c r="M7028" s="241">
        <v>1609.9538</v>
      </c>
    </row>
    <row r="7029" spans="3:13" hidden="1" outlineLevel="1" x14ac:dyDescent="0.2">
      <c r="C7029" s="139">
        <v>217.09999999999195</v>
      </c>
      <c r="D7029" s="28">
        <f t="shared" si="337"/>
        <v>1736.7999999999356</v>
      </c>
      <c r="E7029" s="28">
        <f t="shared" si="338"/>
        <v>1628.2499999999395</v>
      </c>
      <c r="F7029" s="28">
        <f t="shared" si="339"/>
        <v>1610.2499999999395</v>
      </c>
      <c r="G7029" s="28">
        <f t="shared" si="340"/>
        <v>1525.2696000000001</v>
      </c>
      <c r="H7029" s="28">
        <f t="shared" si="341"/>
        <v>1581.3798999999999</v>
      </c>
      <c r="I7029" s="28">
        <f t="shared" si="342"/>
        <v>1610.9813999999999</v>
      </c>
      <c r="J7029" s="28">
        <f t="shared" si="343"/>
        <v>1634.9241</v>
      </c>
      <c r="K7029" s="28">
        <f t="shared" si="344"/>
        <v>1677.5264</v>
      </c>
      <c r="L7029" s="4"/>
      <c r="M7029" s="241">
        <v>1610.9813999999999</v>
      </c>
    </row>
    <row r="7030" spans="3:13" hidden="1" outlineLevel="1" x14ac:dyDescent="0.2">
      <c r="C7030" s="139">
        <v>217.19999999999195</v>
      </c>
      <c r="D7030" s="28">
        <f t="shared" si="337"/>
        <v>1737.5999999999356</v>
      </c>
      <c r="E7030" s="28">
        <f t="shared" si="338"/>
        <v>1628.9999999999395</v>
      </c>
      <c r="F7030" s="28">
        <f t="shared" si="339"/>
        <v>1610.9999999999395</v>
      </c>
      <c r="G7030" s="28">
        <f t="shared" si="340"/>
        <v>1525.2696000000001</v>
      </c>
      <c r="H7030" s="28">
        <f t="shared" si="341"/>
        <v>1581.3798999999999</v>
      </c>
      <c r="I7030" s="28">
        <f t="shared" si="342"/>
        <v>1610.9813999999999</v>
      </c>
      <c r="J7030" s="28">
        <f t="shared" si="343"/>
        <v>1634.9241</v>
      </c>
      <c r="K7030" s="28">
        <f t="shared" si="344"/>
        <v>1677.5264</v>
      </c>
      <c r="L7030" s="4"/>
      <c r="M7030" s="241">
        <v>1610.9813999999999</v>
      </c>
    </row>
    <row r="7031" spans="3:13" hidden="1" outlineLevel="1" x14ac:dyDescent="0.2">
      <c r="C7031" s="139">
        <v>217.29999999999194</v>
      </c>
      <c r="D7031" s="28">
        <f t="shared" si="337"/>
        <v>1738.3999999999355</v>
      </c>
      <c r="E7031" s="28">
        <f t="shared" si="338"/>
        <v>1629.7499999999395</v>
      </c>
      <c r="F7031" s="28">
        <f t="shared" si="339"/>
        <v>1611.7499999999395</v>
      </c>
      <c r="G7031" s="28">
        <f t="shared" si="340"/>
        <v>1526.2170000000001</v>
      </c>
      <c r="H7031" s="28">
        <f t="shared" si="341"/>
        <v>1582.3621000000001</v>
      </c>
      <c r="I7031" s="28">
        <f t="shared" si="342"/>
        <v>1611.982</v>
      </c>
      <c r="J7031" s="28">
        <f t="shared" si="343"/>
        <v>1635.9395999999999</v>
      </c>
      <c r="K7031" s="28">
        <f t="shared" si="344"/>
        <v>1678.5682999999999</v>
      </c>
      <c r="L7031" s="4"/>
      <c r="M7031" s="241">
        <v>1611.982</v>
      </c>
    </row>
    <row r="7032" spans="3:13" hidden="1" outlineLevel="1" x14ac:dyDescent="0.2">
      <c r="C7032" s="139">
        <v>217.39999999999193</v>
      </c>
      <c r="D7032" s="28">
        <f t="shared" si="337"/>
        <v>1739.1999999999355</v>
      </c>
      <c r="E7032" s="28">
        <f t="shared" si="338"/>
        <v>1630.4999999999395</v>
      </c>
      <c r="F7032" s="28">
        <f t="shared" si="339"/>
        <v>1612.4999999999395</v>
      </c>
      <c r="G7032" s="28">
        <f t="shared" si="340"/>
        <v>1527.2136</v>
      </c>
      <c r="H7032" s="28">
        <f t="shared" si="341"/>
        <v>1583.3934999999999</v>
      </c>
      <c r="I7032" s="28">
        <f t="shared" si="342"/>
        <v>1613.0097000000001</v>
      </c>
      <c r="J7032" s="28">
        <f t="shared" si="343"/>
        <v>1636.9820999999999</v>
      </c>
      <c r="K7032" s="28">
        <f t="shared" si="344"/>
        <v>1679.6642999999999</v>
      </c>
      <c r="L7032" s="4"/>
      <c r="M7032" s="241">
        <v>1613.0097000000001</v>
      </c>
    </row>
    <row r="7033" spans="3:13" hidden="1" outlineLevel="1" x14ac:dyDescent="0.2">
      <c r="C7033" s="139">
        <v>217.49999999999193</v>
      </c>
      <c r="D7033" s="28">
        <f t="shared" si="337"/>
        <v>1739.9999999999354</v>
      </c>
      <c r="E7033" s="28">
        <f t="shared" si="338"/>
        <v>1631.2499999999395</v>
      </c>
      <c r="F7033" s="28">
        <f t="shared" si="339"/>
        <v>1613.2499999999395</v>
      </c>
      <c r="G7033" s="28">
        <f t="shared" si="340"/>
        <v>1528.2102</v>
      </c>
      <c r="H7033" s="28">
        <f t="shared" si="341"/>
        <v>1584.3757000000001</v>
      </c>
      <c r="I7033" s="28">
        <f t="shared" si="342"/>
        <v>1614.0102999999999</v>
      </c>
      <c r="J7033" s="28">
        <f t="shared" si="343"/>
        <v>1637.9975999999999</v>
      </c>
      <c r="K7033" s="28">
        <f t="shared" si="344"/>
        <v>1680.7063000000001</v>
      </c>
      <c r="L7033" s="4"/>
      <c r="M7033" s="241">
        <v>1614.0102999999999</v>
      </c>
    </row>
    <row r="7034" spans="3:13" hidden="1" outlineLevel="1" x14ac:dyDescent="0.2">
      <c r="C7034" s="139">
        <v>217.59999999999192</v>
      </c>
      <c r="D7034" s="28">
        <f t="shared" si="337"/>
        <v>1740.7999999999354</v>
      </c>
      <c r="E7034" s="28">
        <f t="shared" si="338"/>
        <v>1631.9999999999395</v>
      </c>
      <c r="F7034" s="28">
        <f t="shared" si="339"/>
        <v>1613.9999999999395</v>
      </c>
      <c r="G7034" s="28">
        <f t="shared" si="340"/>
        <v>1528.2102</v>
      </c>
      <c r="H7034" s="28">
        <f t="shared" si="341"/>
        <v>1584.3757000000001</v>
      </c>
      <c r="I7034" s="28">
        <f t="shared" si="342"/>
        <v>1614.0102999999999</v>
      </c>
      <c r="J7034" s="28">
        <f t="shared" si="343"/>
        <v>1637.9975999999999</v>
      </c>
      <c r="K7034" s="28">
        <f t="shared" si="344"/>
        <v>1680.7063000000001</v>
      </c>
      <c r="L7034" s="4"/>
      <c r="M7034" s="241">
        <v>1614.0102999999999</v>
      </c>
    </row>
    <row r="7035" spans="3:13" hidden="1" outlineLevel="1" x14ac:dyDescent="0.2">
      <c r="C7035" s="139">
        <v>217.69999999999192</v>
      </c>
      <c r="D7035" s="28">
        <f t="shared" ref="D7035:D7098" si="345">C7035*Channels.per.TRX</f>
        <v>1741.5999999999353</v>
      </c>
      <c r="E7035" s="28">
        <f t="shared" ref="E7035:E7098" si="346">D7035-C7035*sig.channel.per.TRX</f>
        <v>1632.7499999999393</v>
      </c>
      <c r="F7035" s="28">
        <f t="shared" ref="F7035:F7098" si="347">MAX(0,E7035-GPRS.channel.per.sector)</f>
        <v>1614.7499999999393</v>
      </c>
      <c r="G7035" s="28">
        <f t="shared" ref="G7035:G7098" si="348">INDEX(D$10:D$4326,MATCH($F7035,$C$10:$C$4326,1))</f>
        <v>1529.1576</v>
      </c>
      <c r="H7035" s="28">
        <f t="shared" ref="H7035:H7098" si="349">INDEX(E$10:E$4326,MATCH($F7035,$C$10:$C$4326,1))</f>
        <v>1585.4073000000001</v>
      </c>
      <c r="I7035" s="28">
        <f t="shared" ref="I7035:I7098" si="350">INDEX(F$10:F$4326,MATCH($F7035,$C$10:$C$4326,1))</f>
        <v>1615.0381</v>
      </c>
      <c r="J7035" s="28">
        <f t="shared" ref="J7035:J7098" si="351">INDEX(G$10:G$4326,MATCH($F7035,$C$10:$C$4326,1))</f>
        <v>1639.0401999999999</v>
      </c>
      <c r="K7035" s="28">
        <f t="shared" ref="K7035:K7098" si="352">INDEX(H$10:H$4326,MATCH($F7035,$C$10:$C$4326,1))</f>
        <v>1681.7483</v>
      </c>
      <c r="L7035" s="4"/>
      <c r="M7035" s="241">
        <v>1615.0381</v>
      </c>
    </row>
    <row r="7036" spans="3:13" hidden="1" outlineLevel="1" x14ac:dyDescent="0.2">
      <c r="C7036" s="139">
        <v>217.79999999999191</v>
      </c>
      <c r="D7036" s="28">
        <f t="shared" si="345"/>
        <v>1742.3999999999353</v>
      </c>
      <c r="E7036" s="28">
        <f t="shared" si="346"/>
        <v>1633.4999999999393</v>
      </c>
      <c r="F7036" s="28">
        <f t="shared" si="347"/>
        <v>1615.4999999999393</v>
      </c>
      <c r="G7036" s="28">
        <f t="shared" si="348"/>
        <v>1530.1542999999999</v>
      </c>
      <c r="H7036" s="28">
        <f t="shared" si="349"/>
        <v>1586.3895</v>
      </c>
      <c r="I7036" s="28">
        <f t="shared" si="350"/>
        <v>1616.0658000000001</v>
      </c>
      <c r="J7036" s="28">
        <f t="shared" si="351"/>
        <v>1640.0556999999999</v>
      </c>
      <c r="K7036" s="28">
        <f t="shared" si="352"/>
        <v>1682.7902999999999</v>
      </c>
      <c r="L7036" s="4"/>
      <c r="M7036" s="241">
        <v>1616.0658000000001</v>
      </c>
    </row>
    <row r="7037" spans="3:13" hidden="1" outlineLevel="1" x14ac:dyDescent="0.2">
      <c r="C7037" s="139">
        <v>217.89999999999191</v>
      </c>
      <c r="D7037" s="28">
        <f t="shared" si="345"/>
        <v>1743.1999999999352</v>
      </c>
      <c r="E7037" s="28">
        <f t="shared" si="346"/>
        <v>1634.2499999999393</v>
      </c>
      <c r="F7037" s="28">
        <f t="shared" si="347"/>
        <v>1616.2499999999393</v>
      </c>
      <c r="G7037" s="28">
        <f t="shared" si="348"/>
        <v>1531.1017999999999</v>
      </c>
      <c r="H7037" s="28">
        <f t="shared" si="349"/>
        <v>1587.3717999999999</v>
      </c>
      <c r="I7037" s="28">
        <f t="shared" si="350"/>
        <v>1617.0664999999999</v>
      </c>
      <c r="J7037" s="28">
        <f t="shared" si="351"/>
        <v>1641.0984000000001</v>
      </c>
      <c r="K7037" s="28">
        <f t="shared" si="352"/>
        <v>1683.8323</v>
      </c>
      <c r="L7037" s="4"/>
      <c r="M7037" s="241">
        <v>1617.0664999999999</v>
      </c>
    </row>
    <row r="7038" spans="3:13" hidden="1" outlineLevel="1" x14ac:dyDescent="0.2">
      <c r="C7038" s="139">
        <v>217.9999999999919</v>
      </c>
      <c r="D7038" s="28">
        <f t="shared" si="345"/>
        <v>1743.9999999999352</v>
      </c>
      <c r="E7038" s="28">
        <f t="shared" si="346"/>
        <v>1634.9999999999393</v>
      </c>
      <c r="F7038" s="28">
        <f t="shared" si="347"/>
        <v>1616.9999999999393</v>
      </c>
      <c r="G7038" s="28">
        <f t="shared" si="348"/>
        <v>1531.1017999999999</v>
      </c>
      <c r="H7038" s="28">
        <f t="shared" si="349"/>
        <v>1587.3717999999999</v>
      </c>
      <c r="I7038" s="28">
        <f t="shared" si="350"/>
        <v>1617.0664999999999</v>
      </c>
      <c r="J7038" s="28">
        <f t="shared" si="351"/>
        <v>1641.0984000000001</v>
      </c>
      <c r="K7038" s="28">
        <f t="shared" si="352"/>
        <v>1683.8323</v>
      </c>
      <c r="L7038" s="4"/>
      <c r="M7038" s="241">
        <v>1617.0664999999999</v>
      </c>
    </row>
    <row r="7039" spans="3:13" hidden="1" outlineLevel="1" x14ac:dyDescent="0.2">
      <c r="C7039" s="139">
        <v>218.09999999999189</v>
      </c>
      <c r="D7039" s="28">
        <f t="shared" si="345"/>
        <v>1744.7999999999352</v>
      </c>
      <c r="E7039" s="28">
        <f t="shared" si="346"/>
        <v>1635.7499999999393</v>
      </c>
      <c r="F7039" s="28">
        <f t="shared" si="347"/>
        <v>1617.7499999999393</v>
      </c>
      <c r="G7039" s="28">
        <f t="shared" si="348"/>
        <v>1532.0986</v>
      </c>
      <c r="H7039" s="28">
        <f t="shared" si="349"/>
        <v>1588.4034999999999</v>
      </c>
      <c r="I7039" s="28">
        <f t="shared" si="350"/>
        <v>1618.0943</v>
      </c>
      <c r="J7039" s="28">
        <f t="shared" si="351"/>
        <v>1642.1139000000001</v>
      </c>
      <c r="K7039" s="28">
        <f t="shared" si="352"/>
        <v>1684.8742</v>
      </c>
      <c r="L7039" s="4"/>
      <c r="M7039" s="241">
        <v>1618.0943</v>
      </c>
    </row>
    <row r="7040" spans="3:13" hidden="1" outlineLevel="1" x14ac:dyDescent="0.2">
      <c r="C7040" s="139">
        <v>218.19999999999189</v>
      </c>
      <c r="D7040" s="28">
        <f t="shared" si="345"/>
        <v>1745.5999999999351</v>
      </c>
      <c r="E7040" s="28">
        <f t="shared" si="346"/>
        <v>1636.4999999999391</v>
      </c>
      <c r="F7040" s="28">
        <f t="shared" si="347"/>
        <v>1618.4999999999391</v>
      </c>
      <c r="G7040" s="28">
        <f t="shared" si="348"/>
        <v>1533.0954999999999</v>
      </c>
      <c r="H7040" s="28">
        <f t="shared" si="349"/>
        <v>1589.3858</v>
      </c>
      <c r="I7040" s="28">
        <f t="shared" si="350"/>
        <v>1619.0949000000001</v>
      </c>
      <c r="J7040" s="28">
        <f t="shared" si="351"/>
        <v>1643.1566</v>
      </c>
      <c r="K7040" s="28">
        <f t="shared" si="352"/>
        <v>1685.9704999999999</v>
      </c>
      <c r="L7040" s="4"/>
      <c r="M7040" s="241">
        <v>1619.0949000000001</v>
      </c>
    </row>
    <row r="7041" spans="3:13" hidden="1" outlineLevel="1" x14ac:dyDescent="0.2">
      <c r="C7041" s="139">
        <v>218.29999999999188</v>
      </c>
      <c r="D7041" s="28">
        <f t="shared" si="345"/>
        <v>1746.3999999999351</v>
      </c>
      <c r="E7041" s="28">
        <f t="shared" si="346"/>
        <v>1637.2499999999391</v>
      </c>
      <c r="F7041" s="28">
        <f t="shared" si="347"/>
        <v>1619.2499999999391</v>
      </c>
      <c r="G7041" s="28">
        <f t="shared" si="348"/>
        <v>1534.0429999999999</v>
      </c>
      <c r="H7041" s="28">
        <f t="shared" si="349"/>
        <v>1590.4175</v>
      </c>
      <c r="I7041" s="28">
        <f t="shared" si="350"/>
        <v>1620.1228000000001</v>
      </c>
      <c r="J7041" s="28">
        <f t="shared" si="351"/>
        <v>1644.1721</v>
      </c>
      <c r="K7041" s="28">
        <f t="shared" si="352"/>
        <v>1687.0125</v>
      </c>
      <c r="L7041" s="4"/>
      <c r="M7041" s="241">
        <v>1620.1228000000001</v>
      </c>
    </row>
    <row r="7042" spans="3:13" hidden="1" outlineLevel="1" x14ac:dyDescent="0.2">
      <c r="C7042" s="139">
        <v>218.39999999999188</v>
      </c>
      <c r="D7042" s="28">
        <f t="shared" si="345"/>
        <v>1747.199999999935</v>
      </c>
      <c r="E7042" s="28">
        <f t="shared" si="346"/>
        <v>1637.9999999999391</v>
      </c>
      <c r="F7042" s="28">
        <f t="shared" si="347"/>
        <v>1619.9999999999391</v>
      </c>
      <c r="G7042" s="28">
        <f t="shared" si="348"/>
        <v>1534.0429999999999</v>
      </c>
      <c r="H7042" s="28">
        <f t="shared" si="349"/>
        <v>1590.4175</v>
      </c>
      <c r="I7042" s="28">
        <f t="shared" si="350"/>
        <v>1620.1228000000001</v>
      </c>
      <c r="J7042" s="28">
        <f t="shared" si="351"/>
        <v>1644.1721</v>
      </c>
      <c r="K7042" s="28">
        <f t="shared" si="352"/>
        <v>1687.0125</v>
      </c>
      <c r="L7042" s="4"/>
      <c r="M7042" s="241">
        <v>1620.1228000000001</v>
      </c>
    </row>
    <row r="7043" spans="3:13" hidden="1" outlineLevel="1" x14ac:dyDescent="0.2">
      <c r="C7043" s="139">
        <v>218.49999999999187</v>
      </c>
      <c r="D7043" s="28">
        <f t="shared" si="345"/>
        <v>1747.999999999935</v>
      </c>
      <c r="E7043" s="28">
        <f t="shared" si="346"/>
        <v>1638.7499999999391</v>
      </c>
      <c r="F7043" s="28">
        <f t="shared" si="347"/>
        <v>1620.7499999999391</v>
      </c>
      <c r="G7043" s="28">
        <f t="shared" si="348"/>
        <v>1535.04</v>
      </c>
      <c r="H7043" s="28">
        <f t="shared" si="349"/>
        <v>1591.3997999999999</v>
      </c>
      <c r="I7043" s="28">
        <f t="shared" si="350"/>
        <v>1621.1234999999999</v>
      </c>
      <c r="J7043" s="28">
        <f t="shared" si="351"/>
        <v>1645.2148999999999</v>
      </c>
      <c r="K7043" s="28">
        <f t="shared" si="352"/>
        <v>1688.0545</v>
      </c>
      <c r="L7043" s="4"/>
      <c r="M7043" s="241">
        <v>1621.1234999999999</v>
      </c>
    </row>
    <row r="7044" spans="3:13" hidden="1" outlineLevel="1" x14ac:dyDescent="0.2">
      <c r="C7044" s="139">
        <v>218.59999999999187</v>
      </c>
      <c r="D7044" s="28">
        <f t="shared" si="345"/>
        <v>1748.7999999999349</v>
      </c>
      <c r="E7044" s="28">
        <f t="shared" si="346"/>
        <v>1639.4999999999391</v>
      </c>
      <c r="F7044" s="28">
        <f t="shared" si="347"/>
        <v>1621.4999999999391</v>
      </c>
      <c r="G7044" s="28">
        <f t="shared" si="348"/>
        <v>1536.037</v>
      </c>
      <c r="H7044" s="28">
        <f t="shared" si="349"/>
        <v>1592.3822</v>
      </c>
      <c r="I7044" s="28">
        <f t="shared" si="350"/>
        <v>1622.1514</v>
      </c>
      <c r="J7044" s="28">
        <f t="shared" si="351"/>
        <v>1646.2303999999999</v>
      </c>
      <c r="K7044" s="28">
        <f t="shared" si="352"/>
        <v>1689.0965000000001</v>
      </c>
      <c r="L7044" s="4"/>
      <c r="M7044" s="241">
        <v>1622.1514</v>
      </c>
    </row>
    <row r="7045" spans="3:13" hidden="1" outlineLevel="1" x14ac:dyDescent="0.2">
      <c r="C7045" s="139">
        <v>218.69999999999186</v>
      </c>
      <c r="D7045" s="28">
        <f t="shared" si="345"/>
        <v>1749.5999999999349</v>
      </c>
      <c r="E7045" s="28">
        <f t="shared" si="346"/>
        <v>1640.2499999999391</v>
      </c>
      <c r="F7045" s="28">
        <f t="shared" si="347"/>
        <v>1622.2499999999391</v>
      </c>
      <c r="G7045" s="28">
        <f t="shared" si="348"/>
        <v>1536.9846</v>
      </c>
      <c r="H7045" s="28">
        <f t="shared" si="349"/>
        <v>1593.414</v>
      </c>
      <c r="I7045" s="28">
        <f t="shared" si="350"/>
        <v>1623.1793</v>
      </c>
      <c r="J7045" s="28">
        <f t="shared" si="351"/>
        <v>1647.2732000000001</v>
      </c>
      <c r="K7045" s="28">
        <f t="shared" si="352"/>
        <v>1690.1386</v>
      </c>
      <c r="L7045" s="4"/>
      <c r="M7045" s="241">
        <v>1623.1793</v>
      </c>
    </row>
    <row r="7046" spans="3:13" hidden="1" outlineLevel="1" x14ac:dyDescent="0.2">
      <c r="C7046" s="139">
        <v>218.79999999999185</v>
      </c>
      <c r="D7046" s="28">
        <f t="shared" si="345"/>
        <v>1750.3999999999348</v>
      </c>
      <c r="E7046" s="28">
        <f t="shared" si="346"/>
        <v>1640.9999999999388</v>
      </c>
      <c r="F7046" s="28">
        <f t="shared" si="347"/>
        <v>1622.9999999999388</v>
      </c>
      <c r="G7046" s="28">
        <f t="shared" si="348"/>
        <v>1536.9846</v>
      </c>
      <c r="H7046" s="28">
        <f t="shared" si="349"/>
        <v>1593.414</v>
      </c>
      <c r="I7046" s="28">
        <f t="shared" si="350"/>
        <v>1623.1793</v>
      </c>
      <c r="J7046" s="28">
        <f t="shared" si="351"/>
        <v>1647.2732000000001</v>
      </c>
      <c r="K7046" s="28">
        <f t="shared" si="352"/>
        <v>1690.1386</v>
      </c>
      <c r="L7046" s="4"/>
      <c r="M7046" s="241">
        <v>1623.1793</v>
      </c>
    </row>
    <row r="7047" spans="3:13" hidden="1" outlineLevel="1" x14ac:dyDescent="0.2">
      <c r="C7047" s="139">
        <v>218.89999999999185</v>
      </c>
      <c r="D7047" s="28">
        <f t="shared" si="345"/>
        <v>1751.1999999999348</v>
      </c>
      <c r="E7047" s="28">
        <f t="shared" si="346"/>
        <v>1641.7499999999388</v>
      </c>
      <c r="F7047" s="28">
        <f t="shared" si="347"/>
        <v>1623.7499999999388</v>
      </c>
      <c r="G7047" s="28">
        <f t="shared" si="348"/>
        <v>1537.9817</v>
      </c>
      <c r="H7047" s="28">
        <f t="shared" si="349"/>
        <v>1594.3964000000001</v>
      </c>
      <c r="I7047" s="28">
        <f t="shared" si="350"/>
        <v>1624.1801</v>
      </c>
      <c r="J7047" s="28">
        <f t="shared" si="351"/>
        <v>1648.2888</v>
      </c>
      <c r="K7047" s="28">
        <f t="shared" si="352"/>
        <v>1691.1805999999999</v>
      </c>
      <c r="L7047" s="4"/>
      <c r="M7047" s="241">
        <v>1624.1801</v>
      </c>
    </row>
    <row r="7048" spans="3:13" hidden="1" outlineLevel="1" x14ac:dyDescent="0.2">
      <c r="C7048" s="139">
        <v>218.99999999999184</v>
      </c>
      <c r="D7048" s="28">
        <f t="shared" si="345"/>
        <v>1751.9999999999347</v>
      </c>
      <c r="E7048" s="28">
        <f t="shared" si="346"/>
        <v>1642.4999999999388</v>
      </c>
      <c r="F7048" s="28">
        <f t="shared" si="347"/>
        <v>1624.4999999999388</v>
      </c>
      <c r="G7048" s="28">
        <f t="shared" si="348"/>
        <v>1538.9789000000001</v>
      </c>
      <c r="H7048" s="28">
        <f t="shared" si="349"/>
        <v>1595.4283</v>
      </c>
      <c r="I7048" s="28">
        <f t="shared" si="350"/>
        <v>1625.2080000000001</v>
      </c>
      <c r="J7048" s="28">
        <f t="shared" si="351"/>
        <v>1649.3044</v>
      </c>
      <c r="K7048" s="28">
        <f t="shared" si="352"/>
        <v>1692.2771</v>
      </c>
      <c r="L7048" s="4"/>
      <c r="M7048" s="241">
        <v>1625.2080000000001</v>
      </c>
    </row>
    <row r="7049" spans="3:13" hidden="1" outlineLevel="1" x14ac:dyDescent="0.2">
      <c r="C7049" s="139">
        <v>219.09999999999184</v>
      </c>
      <c r="D7049" s="28">
        <f t="shared" si="345"/>
        <v>1752.7999999999347</v>
      </c>
      <c r="E7049" s="28">
        <f t="shared" si="346"/>
        <v>1643.2499999999388</v>
      </c>
      <c r="F7049" s="28">
        <f t="shared" si="347"/>
        <v>1625.2499999999388</v>
      </c>
      <c r="G7049" s="28">
        <f t="shared" si="348"/>
        <v>1539.9265</v>
      </c>
      <c r="H7049" s="28">
        <f t="shared" si="349"/>
        <v>1596.4108000000001</v>
      </c>
      <c r="I7049" s="28">
        <f t="shared" si="350"/>
        <v>1626.2088000000001</v>
      </c>
      <c r="J7049" s="28">
        <f t="shared" si="351"/>
        <v>1650.3471999999999</v>
      </c>
      <c r="K7049" s="28">
        <f t="shared" si="352"/>
        <v>1693.3190999999999</v>
      </c>
      <c r="L7049" s="4"/>
      <c r="M7049" s="241">
        <v>1626.2088000000001</v>
      </c>
    </row>
    <row r="7050" spans="3:13" hidden="1" outlineLevel="1" x14ac:dyDescent="0.2">
      <c r="C7050" s="139">
        <v>219.19999999999183</v>
      </c>
      <c r="D7050" s="28">
        <f t="shared" si="345"/>
        <v>1753.5999999999347</v>
      </c>
      <c r="E7050" s="28">
        <f t="shared" si="346"/>
        <v>1643.9999999999388</v>
      </c>
      <c r="F7050" s="28">
        <f t="shared" si="347"/>
        <v>1625.9999999999388</v>
      </c>
      <c r="G7050" s="28">
        <f t="shared" si="348"/>
        <v>1539.9265</v>
      </c>
      <c r="H7050" s="28">
        <f t="shared" si="349"/>
        <v>1596.4108000000001</v>
      </c>
      <c r="I7050" s="28">
        <f t="shared" si="350"/>
        <v>1626.2088000000001</v>
      </c>
      <c r="J7050" s="28">
        <f t="shared" si="351"/>
        <v>1650.3471999999999</v>
      </c>
      <c r="K7050" s="28">
        <f t="shared" si="352"/>
        <v>1693.3190999999999</v>
      </c>
      <c r="L7050" s="4"/>
      <c r="M7050" s="241">
        <v>1626.2088000000001</v>
      </c>
    </row>
    <row r="7051" spans="3:13" hidden="1" outlineLevel="1" x14ac:dyDescent="0.2">
      <c r="C7051" s="139">
        <v>219.29999999999183</v>
      </c>
      <c r="D7051" s="28">
        <f t="shared" si="345"/>
        <v>1754.3999999999346</v>
      </c>
      <c r="E7051" s="28">
        <f t="shared" si="346"/>
        <v>1644.7499999999386</v>
      </c>
      <c r="F7051" s="28">
        <f t="shared" si="347"/>
        <v>1626.7499999999386</v>
      </c>
      <c r="G7051" s="28">
        <f t="shared" si="348"/>
        <v>1540.9238</v>
      </c>
      <c r="H7051" s="28">
        <f t="shared" si="349"/>
        <v>1597.3932</v>
      </c>
      <c r="I7051" s="28">
        <f t="shared" si="350"/>
        <v>1627.2367999999999</v>
      </c>
      <c r="J7051" s="28">
        <f t="shared" si="351"/>
        <v>1651.3628000000001</v>
      </c>
      <c r="K7051" s="28">
        <f t="shared" si="352"/>
        <v>1694.3612000000001</v>
      </c>
      <c r="L7051" s="4"/>
      <c r="M7051" s="241">
        <v>1627.2367999999999</v>
      </c>
    </row>
    <row r="7052" spans="3:13" hidden="1" outlineLevel="1" x14ac:dyDescent="0.2">
      <c r="C7052" s="139">
        <v>219.39999999999182</v>
      </c>
      <c r="D7052" s="28">
        <f t="shared" si="345"/>
        <v>1755.1999999999346</v>
      </c>
      <c r="E7052" s="28">
        <f t="shared" si="346"/>
        <v>1645.4999999999386</v>
      </c>
      <c r="F7052" s="28">
        <f t="shared" si="347"/>
        <v>1627.4999999999386</v>
      </c>
      <c r="G7052" s="28">
        <f t="shared" si="348"/>
        <v>1541.8715</v>
      </c>
      <c r="H7052" s="28">
        <f t="shared" si="349"/>
        <v>1598.4251999999999</v>
      </c>
      <c r="I7052" s="28">
        <f t="shared" si="350"/>
        <v>1628.2375999999999</v>
      </c>
      <c r="J7052" s="28">
        <f t="shared" si="351"/>
        <v>1652.4057</v>
      </c>
      <c r="K7052" s="28">
        <f t="shared" si="352"/>
        <v>1695.4032</v>
      </c>
      <c r="L7052" s="4"/>
      <c r="M7052" s="241">
        <v>1628.2375999999999</v>
      </c>
    </row>
    <row r="7053" spans="3:13" hidden="1" outlineLevel="1" x14ac:dyDescent="0.2">
      <c r="C7053" s="139">
        <v>219.49999999999181</v>
      </c>
      <c r="D7053" s="28">
        <f t="shared" si="345"/>
        <v>1755.9999999999345</v>
      </c>
      <c r="E7053" s="28">
        <f t="shared" si="346"/>
        <v>1646.2499999999386</v>
      </c>
      <c r="F7053" s="28">
        <f t="shared" si="347"/>
        <v>1628.2499999999386</v>
      </c>
      <c r="G7053" s="28">
        <f t="shared" si="348"/>
        <v>1542.8688</v>
      </c>
      <c r="H7053" s="28">
        <f t="shared" si="349"/>
        <v>1599.4077</v>
      </c>
      <c r="I7053" s="28">
        <f t="shared" si="350"/>
        <v>1629.2656999999999</v>
      </c>
      <c r="J7053" s="28">
        <f t="shared" si="351"/>
        <v>1653.4213999999999</v>
      </c>
      <c r="K7053" s="28">
        <f t="shared" si="352"/>
        <v>1696.4453000000001</v>
      </c>
      <c r="L7053" s="4"/>
      <c r="M7053" s="241">
        <v>1629.2656999999999</v>
      </c>
    </row>
    <row r="7054" spans="3:13" hidden="1" outlineLevel="1" x14ac:dyDescent="0.2">
      <c r="C7054" s="139">
        <v>219.59999999999181</v>
      </c>
      <c r="D7054" s="28">
        <f t="shared" si="345"/>
        <v>1756.7999999999345</v>
      </c>
      <c r="E7054" s="28">
        <f t="shared" si="346"/>
        <v>1646.9999999999386</v>
      </c>
      <c r="F7054" s="28">
        <f t="shared" si="347"/>
        <v>1628.9999999999386</v>
      </c>
      <c r="G7054" s="28">
        <f t="shared" si="348"/>
        <v>1542.8688</v>
      </c>
      <c r="H7054" s="28">
        <f t="shared" si="349"/>
        <v>1599.4077</v>
      </c>
      <c r="I7054" s="28">
        <f t="shared" si="350"/>
        <v>1629.2656999999999</v>
      </c>
      <c r="J7054" s="28">
        <f t="shared" si="351"/>
        <v>1653.4213999999999</v>
      </c>
      <c r="K7054" s="28">
        <f t="shared" si="352"/>
        <v>1696.4453000000001</v>
      </c>
      <c r="L7054" s="4"/>
      <c r="M7054" s="241">
        <v>1629.2656999999999</v>
      </c>
    </row>
    <row r="7055" spans="3:13" hidden="1" outlineLevel="1" x14ac:dyDescent="0.2">
      <c r="C7055" s="139">
        <v>219.6999999999918</v>
      </c>
      <c r="D7055" s="28">
        <f t="shared" si="345"/>
        <v>1757.5999999999344</v>
      </c>
      <c r="E7055" s="28">
        <f t="shared" si="346"/>
        <v>1647.7499999999386</v>
      </c>
      <c r="F7055" s="28">
        <f t="shared" si="347"/>
        <v>1629.7499999999386</v>
      </c>
      <c r="G7055" s="28">
        <f t="shared" si="348"/>
        <v>1543.8662999999999</v>
      </c>
      <c r="H7055" s="28">
        <f t="shared" si="349"/>
        <v>1600.4398000000001</v>
      </c>
      <c r="I7055" s="28">
        <f t="shared" si="350"/>
        <v>1630.2664</v>
      </c>
      <c r="J7055" s="28">
        <f t="shared" si="351"/>
        <v>1654.4643000000001</v>
      </c>
      <c r="K7055" s="28">
        <f t="shared" si="352"/>
        <v>1697.4873</v>
      </c>
      <c r="L7055" s="4"/>
      <c r="M7055" s="241">
        <v>1630.2664</v>
      </c>
    </row>
    <row r="7056" spans="3:13" hidden="1" outlineLevel="1" x14ac:dyDescent="0.2">
      <c r="C7056" s="139">
        <v>219.7999999999918</v>
      </c>
      <c r="D7056" s="28">
        <f t="shared" si="345"/>
        <v>1758.3999999999344</v>
      </c>
      <c r="E7056" s="28">
        <f t="shared" si="346"/>
        <v>1648.4999999999384</v>
      </c>
      <c r="F7056" s="28">
        <f t="shared" si="347"/>
        <v>1630.4999999999384</v>
      </c>
      <c r="G7056" s="28">
        <f t="shared" si="348"/>
        <v>1544.8140000000001</v>
      </c>
      <c r="H7056" s="28">
        <f t="shared" si="349"/>
        <v>1601.4223</v>
      </c>
      <c r="I7056" s="28">
        <f t="shared" si="350"/>
        <v>1631.2945999999999</v>
      </c>
      <c r="J7056" s="28">
        <f t="shared" si="351"/>
        <v>1655.4799</v>
      </c>
      <c r="K7056" s="28">
        <f t="shared" si="352"/>
        <v>1698.5841</v>
      </c>
      <c r="L7056" s="4"/>
      <c r="M7056" s="241">
        <v>1631.2945999999999</v>
      </c>
    </row>
    <row r="7057" spans="3:13" hidden="1" outlineLevel="1" x14ac:dyDescent="0.2">
      <c r="C7057" s="139">
        <v>219.89999999999179</v>
      </c>
      <c r="D7057" s="28">
        <f t="shared" si="345"/>
        <v>1759.1999999999343</v>
      </c>
      <c r="E7057" s="28">
        <f t="shared" si="346"/>
        <v>1649.2499999999384</v>
      </c>
      <c r="F7057" s="28">
        <f t="shared" si="347"/>
        <v>1631.2499999999384</v>
      </c>
      <c r="G7057" s="28">
        <f t="shared" si="348"/>
        <v>1545.8115</v>
      </c>
      <c r="H7057" s="28">
        <f t="shared" si="349"/>
        <v>1602.4047</v>
      </c>
      <c r="I7057" s="28">
        <f t="shared" si="350"/>
        <v>1632.3226999999999</v>
      </c>
      <c r="J7057" s="28">
        <f t="shared" si="351"/>
        <v>1656.5228999999999</v>
      </c>
      <c r="K7057" s="28">
        <f t="shared" si="352"/>
        <v>1699.6261</v>
      </c>
      <c r="L7057" s="4"/>
      <c r="M7057" s="241">
        <v>1632.3226999999999</v>
      </c>
    </row>
    <row r="7058" spans="3:13" hidden="1" outlineLevel="1" x14ac:dyDescent="0.2">
      <c r="C7058" s="139">
        <v>219.99999999999179</v>
      </c>
      <c r="D7058" s="28">
        <f t="shared" si="345"/>
        <v>1759.9999999999343</v>
      </c>
      <c r="E7058" s="28">
        <f t="shared" si="346"/>
        <v>1649.9999999999384</v>
      </c>
      <c r="F7058" s="28">
        <f t="shared" si="347"/>
        <v>1631.9999999999384</v>
      </c>
      <c r="G7058" s="28">
        <f t="shared" si="348"/>
        <v>1545.8115</v>
      </c>
      <c r="H7058" s="28">
        <f t="shared" si="349"/>
        <v>1602.4047</v>
      </c>
      <c r="I7058" s="28">
        <f t="shared" si="350"/>
        <v>1632.3226999999999</v>
      </c>
      <c r="J7058" s="28">
        <f t="shared" si="351"/>
        <v>1656.5228999999999</v>
      </c>
      <c r="K7058" s="28">
        <f t="shared" si="352"/>
        <v>1699.6261</v>
      </c>
      <c r="L7058" s="4"/>
      <c r="M7058" s="241">
        <v>1632.3226999999999</v>
      </c>
    </row>
    <row r="7059" spans="3:13" hidden="1" outlineLevel="1" x14ac:dyDescent="0.2">
      <c r="C7059" s="139">
        <v>220.09999999999178</v>
      </c>
      <c r="D7059" s="28">
        <f t="shared" si="345"/>
        <v>1760.7999999999342</v>
      </c>
      <c r="E7059" s="28">
        <f t="shared" si="346"/>
        <v>1650.7499999999384</v>
      </c>
      <c r="F7059" s="28">
        <f t="shared" si="347"/>
        <v>1632.7499999999384</v>
      </c>
      <c r="G7059" s="28">
        <f t="shared" si="348"/>
        <v>1546.8090999999999</v>
      </c>
      <c r="H7059" s="28">
        <f t="shared" si="349"/>
        <v>1603.4369999999999</v>
      </c>
      <c r="I7059" s="28">
        <f t="shared" si="350"/>
        <v>1633.3235999999999</v>
      </c>
      <c r="J7059" s="28">
        <f t="shared" si="351"/>
        <v>1657.5386000000001</v>
      </c>
      <c r="K7059" s="28">
        <f t="shared" si="352"/>
        <v>1700.6682000000001</v>
      </c>
      <c r="L7059" s="4"/>
      <c r="M7059" s="241">
        <v>1633.3235999999999</v>
      </c>
    </row>
    <row r="7060" spans="3:13" hidden="1" outlineLevel="1" x14ac:dyDescent="0.2">
      <c r="C7060" s="139">
        <v>220.19999999999177</v>
      </c>
      <c r="D7060" s="28">
        <f t="shared" si="345"/>
        <v>1761.5999999999342</v>
      </c>
      <c r="E7060" s="28">
        <f t="shared" si="346"/>
        <v>1651.4999999999384</v>
      </c>
      <c r="F7060" s="28">
        <f t="shared" si="347"/>
        <v>1633.4999999999384</v>
      </c>
      <c r="G7060" s="28">
        <f t="shared" si="348"/>
        <v>1547.7569000000001</v>
      </c>
      <c r="H7060" s="28">
        <f t="shared" si="349"/>
        <v>1604.4195</v>
      </c>
      <c r="I7060" s="28">
        <f t="shared" si="350"/>
        <v>1634.3517999999999</v>
      </c>
      <c r="J7060" s="28">
        <f t="shared" si="351"/>
        <v>1658.5817</v>
      </c>
      <c r="K7060" s="28">
        <f t="shared" si="352"/>
        <v>1701.7103</v>
      </c>
      <c r="L7060" s="4"/>
      <c r="M7060" s="241">
        <v>1634.3517999999999</v>
      </c>
    </row>
    <row r="7061" spans="3:13" hidden="1" outlineLevel="1" x14ac:dyDescent="0.2">
      <c r="C7061" s="139">
        <v>220.29999999999177</v>
      </c>
      <c r="D7061" s="28">
        <f t="shared" si="345"/>
        <v>1762.3999999999342</v>
      </c>
      <c r="E7061" s="28">
        <f t="shared" si="346"/>
        <v>1652.2499999999382</v>
      </c>
      <c r="F7061" s="28">
        <f t="shared" si="347"/>
        <v>1634.2499999999382</v>
      </c>
      <c r="G7061" s="28">
        <f t="shared" si="348"/>
        <v>1548.7545</v>
      </c>
      <c r="H7061" s="28">
        <f t="shared" si="349"/>
        <v>1605.4519</v>
      </c>
      <c r="I7061" s="28">
        <f t="shared" si="350"/>
        <v>1635.3525999999999</v>
      </c>
      <c r="J7061" s="28">
        <f t="shared" si="351"/>
        <v>1659.5972999999999</v>
      </c>
      <c r="K7061" s="28">
        <f t="shared" si="352"/>
        <v>1702.7524000000001</v>
      </c>
      <c r="L7061" s="4"/>
      <c r="M7061" s="241">
        <v>1635.3525999999999</v>
      </c>
    </row>
    <row r="7062" spans="3:13" hidden="1" outlineLevel="1" x14ac:dyDescent="0.2">
      <c r="C7062" s="139">
        <v>220.39999999999176</v>
      </c>
      <c r="D7062" s="28">
        <f t="shared" si="345"/>
        <v>1763.1999999999341</v>
      </c>
      <c r="E7062" s="28">
        <f t="shared" si="346"/>
        <v>1652.9999999999382</v>
      </c>
      <c r="F7062" s="28">
        <f t="shared" si="347"/>
        <v>1634.9999999999382</v>
      </c>
      <c r="G7062" s="28">
        <f t="shared" si="348"/>
        <v>1548.7545</v>
      </c>
      <c r="H7062" s="28">
        <f t="shared" si="349"/>
        <v>1605.4519</v>
      </c>
      <c r="I7062" s="28">
        <f t="shared" si="350"/>
        <v>1635.3525999999999</v>
      </c>
      <c r="J7062" s="28">
        <f t="shared" si="351"/>
        <v>1659.5972999999999</v>
      </c>
      <c r="K7062" s="28">
        <f t="shared" si="352"/>
        <v>1702.7524000000001</v>
      </c>
      <c r="L7062" s="4"/>
      <c r="M7062" s="241">
        <v>1635.3525999999999</v>
      </c>
    </row>
    <row r="7063" spans="3:13" hidden="1" outlineLevel="1" x14ac:dyDescent="0.2">
      <c r="C7063" s="139">
        <v>220.49999999999176</v>
      </c>
      <c r="D7063" s="28">
        <f t="shared" si="345"/>
        <v>1763.9999999999341</v>
      </c>
      <c r="E7063" s="28">
        <f t="shared" si="346"/>
        <v>1653.7499999999382</v>
      </c>
      <c r="F7063" s="28">
        <f t="shared" si="347"/>
        <v>1635.7499999999382</v>
      </c>
      <c r="G7063" s="28">
        <f t="shared" si="348"/>
        <v>1549.7023999999999</v>
      </c>
      <c r="H7063" s="28">
        <f t="shared" si="349"/>
        <v>1606.4344000000001</v>
      </c>
      <c r="I7063" s="28">
        <f t="shared" si="350"/>
        <v>1636.3809000000001</v>
      </c>
      <c r="J7063" s="28">
        <f t="shared" si="351"/>
        <v>1660.6404</v>
      </c>
      <c r="K7063" s="28">
        <f t="shared" si="352"/>
        <v>1703.8493000000001</v>
      </c>
      <c r="L7063" s="4"/>
      <c r="M7063" s="241">
        <v>1636.3809000000001</v>
      </c>
    </row>
    <row r="7064" spans="3:13" hidden="1" outlineLevel="1" x14ac:dyDescent="0.2">
      <c r="C7064" s="139">
        <v>220.59999999999175</v>
      </c>
      <c r="D7064" s="28">
        <f t="shared" si="345"/>
        <v>1764.799999999934</v>
      </c>
      <c r="E7064" s="28">
        <f t="shared" si="346"/>
        <v>1654.4999999999382</v>
      </c>
      <c r="F7064" s="28">
        <f t="shared" si="347"/>
        <v>1636.4999999999382</v>
      </c>
      <c r="G7064" s="28">
        <f t="shared" si="348"/>
        <v>1550.7001</v>
      </c>
      <c r="H7064" s="28">
        <f t="shared" si="349"/>
        <v>1607.4168999999999</v>
      </c>
      <c r="I7064" s="28">
        <f t="shared" si="350"/>
        <v>1637.3816999999999</v>
      </c>
      <c r="J7064" s="28">
        <f t="shared" si="351"/>
        <v>1661.6560999999999</v>
      </c>
      <c r="K7064" s="28">
        <f t="shared" si="352"/>
        <v>1704.8914</v>
      </c>
      <c r="L7064" s="4"/>
      <c r="M7064" s="241">
        <v>1637.3816999999999</v>
      </c>
    </row>
    <row r="7065" spans="3:13" hidden="1" outlineLevel="1" x14ac:dyDescent="0.2">
      <c r="C7065" s="139">
        <v>220.69999999999175</v>
      </c>
      <c r="D7065" s="28">
        <f t="shared" si="345"/>
        <v>1765.599999999934</v>
      </c>
      <c r="E7065" s="28">
        <f t="shared" si="346"/>
        <v>1655.2499999999382</v>
      </c>
      <c r="F7065" s="28">
        <f t="shared" si="347"/>
        <v>1637.2499999999382</v>
      </c>
      <c r="G7065" s="28">
        <f t="shared" si="348"/>
        <v>1551.6980000000001</v>
      </c>
      <c r="H7065" s="28">
        <f t="shared" si="349"/>
        <v>1608.4494</v>
      </c>
      <c r="I7065" s="28">
        <f t="shared" si="350"/>
        <v>1638.41</v>
      </c>
      <c r="J7065" s="28">
        <f t="shared" si="351"/>
        <v>1662.6993</v>
      </c>
      <c r="K7065" s="28">
        <f t="shared" si="352"/>
        <v>1705.9335000000001</v>
      </c>
      <c r="L7065" s="4"/>
      <c r="M7065" s="241">
        <v>1638.41</v>
      </c>
    </row>
    <row r="7066" spans="3:13" hidden="1" outlineLevel="1" x14ac:dyDescent="0.2">
      <c r="C7066" s="139">
        <v>220.79999999999174</v>
      </c>
      <c r="D7066" s="28">
        <f t="shared" si="345"/>
        <v>1766.3999999999339</v>
      </c>
      <c r="E7066" s="28">
        <f t="shared" si="346"/>
        <v>1655.9999999999382</v>
      </c>
      <c r="F7066" s="28">
        <f t="shared" si="347"/>
        <v>1637.9999999999382</v>
      </c>
      <c r="G7066" s="28">
        <f t="shared" si="348"/>
        <v>1551.6980000000001</v>
      </c>
      <c r="H7066" s="28">
        <f t="shared" si="349"/>
        <v>1608.4494</v>
      </c>
      <c r="I7066" s="28">
        <f t="shared" si="350"/>
        <v>1638.41</v>
      </c>
      <c r="J7066" s="28">
        <f t="shared" si="351"/>
        <v>1662.6993</v>
      </c>
      <c r="K7066" s="28">
        <f t="shared" si="352"/>
        <v>1705.9335000000001</v>
      </c>
      <c r="L7066" s="4"/>
      <c r="M7066" s="241">
        <v>1638.41</v>
      </c>
    </row>
    <row r="7067" spans="3:13" hidden="1" outlineLevel="1" x14ac:dyDescent="0.2">
      <c r="C7067" s="139">
        <v>220.89999999999173</v>
      </c>
      <c r="D7067" s="28">
        <f t="shared" si="345"/>
        <v>1767.1999999999339</v>
      </c>
      <c r="E7067" s="28">
        <f t="shared" si="346"/>
        <v>1656.7499999999379</v>
      </c>
      <c r="F7067" s="28">
        <f t="shared" si="347"/>
        <v>1638.7499999999379</v>
      </c>
      <c r="G7067" s="28">
        <f t="shared" si="348"/>
        <v>1552.6458</v>
      </c>
      <c r="H7067" s="28">
        <f t="shared" si="349"/>
        <v>1609.432</v>
      </c>
      <c r="I7067" s="28">
        <f t="shared" si="350"/>
        <v>1639.4384</v>
      </c>
      <c r="J7067" s="28">
        <f t="shared" si="351"/>
        <v>1663.7149999999999</v>
      </c>
      <c r="K7067" s="28">
        <f t="shared" si="352"/>
        <v>1706.9757</v>
      </c>
      <c r="L7067" s="4"/>
      <c r="M7067" s="241">
        <v>1639.4384</v>
      </c>
    </row>
    <row r="7068" spans="3:13" hidden="1" outlineLevel="1" x14ac:dyDescent="0.2">
      <c r="C7068" s="139">
        <v>220.99999999999173</v>
      </c>
      <c r="D7068" s="28">
        <f t="shared" si="345"/>
        <v>1767.9999999999338</v>
      </c>
      <c r="E7068" s="28">
        <f t="shared" si="346"/>
        <v>1657.4999999999379</v>
      </c>
      <c r="F7068" s="28">
        <f t="shared" si="347"/>
        <v>1639.4999999999379</v>
      </c>
      <c r="G7068" s="28">
        <f t="shared" si="348"/>
        <v>1553.6438000000001</v>
      </c>
      <c r="H7068" s="28">
        <f t="shared" si="349"/>
        <v>1610.4646</v>
      </c>
      <c r="I7068" s="28">
        <f t="shared" si="350"/>
        <v>1640.4393</v>
      </c>
      <c r="J7068" s="28">
        <f t="shared" si="351"/>
        <v>1664.7307000000001</v>
      </c>
      <c r="K7068" s="28">
        <f t="shared" si="352"/>
        <v>1708.0178000000001</v>
      </c>
      <c r="L7068" s="4"/>
      <c r="M7068" s="241">
        <v>1640.4393</v>
      </c>
    </row>
    <row r="7069" spans="3:13" hidden="1" outlineLevel="1" x14ac:dyDescent="0.2">
      <c r="C7069" s="139">
        <v>221.09999999999172</v>
      </c>
      <c r="D7069" s="28">
        <f t="shared" si="345"/>
        <v>1768.7999999999338</v>
      </c>
      <c r="E7069" s="28">
        <f t="shared" si="346"/>
        <v>1658.2499999999379</v>
      </c>
      <c r="F7069" s="28">
        <f t="shared" si="347"/>
        <v>1640.2499999999379</v>
      </c>
      <c r="G7069" s="28">
        <f t="shared" si="348"/>
        <v>1554.6416999999999</v>
      </c>
      <c r="H7069" s="28">
        <f t="shared" si="349"/>
        <v>1611.4471000000001</v>
      </c>
      <c r="I7069" s="28">
        <f t="shared" si="350"/>
        <v>1641.4676999999999</v>
      </c>
      <c r="J7069" s="28">
        <f t="shared" si="351"/>
        <v>1665.7738999999999</v>
      </c>
      <c r="K7069" s="28">
        <f t="shared" si="352"/>
        <v>1709.0599</v>
      </c>
      <c r="L7069" s="4"/>
      <c r="M7069" s="241">
        <v>1641.4676999999999</v>
      </c>
    </row>
    <row r="7070" spans="3:13" hidden="1" outlineLevel="1" x14ac:dyDescent="0.2">
      <c r="C7070" s="139">
        <v>221.19999999999172</v>
      </c>
      <c r="D7070" s="28">
        <f t="shared" si="345"/>
        <v>1769.5999999999337</v>
      </c>
      <c r="E7070" s="28">
        <f t="shared" si="346"/>
        <v>1658.9999999999379</v>
      </c>
      <c r="F7070" s="28">
        <f t="shared" si="347"/>
        <v>1640.9999999999379</v>
      </c>
      <c r="G7070" s="28">
        <f t="shared" si="348"/>
        <v>1554.6416999999999</v>
      </c>
      <c r="H7070" s="28">
        <f t="shared" si="349"/>
        <v>1611.4471000000001</v>
      </c>
      <c r="I7070" s="28">
        <f t="shared" si="350"/>
        <v>1641.4676999999999</v>
      </c>
      <c r="J7070" s="28">
        <f t="shared" si="351"/>
        <v>1665.7738999999999</v>
      </c>
      <c r="K7070" s="28">
        <f t="shared" si="352"/>
        <v>1709.0599</v>
      </c>
      <c r="L7070" s="4"/>
      <c r="M7070" s="241">
        <v>1641.4676999999999</v>
      </c>
    </row>
    <row r="7071" spans="3:13" hidden="1" outlineLevel="1" x14ac:dyDescent="0.2">
      <c r="C7071" s="139">
        <v>221.29999999999171</v>
      </c>
      <c r="D7071" s="28">
        <f t="shared" si="345"/>
        <v>1770.3999999999337</v>
      </c>
      <c r="E7071" s="28">
        <f t="shared" si="346"/>
        <v>1659.7499999999379</v>
      </c>
      <c r="F7071" s="28">
        <f t="shared" si="347"/>
        <v>1641.7499999999379</v>
      </c>
      <c r="G7071" s="28">
        <f t="shared" si="348"/>
        <v>1555.5897</v>
      </c>
      <c r="H7071" s="28">
        <f t="shared" si="349"/>
        <v>1612.4296999999999</v>
      </c>
      <c r="I7071" s="28">
        <f t="shared" si="350"/>
        <v>1642.4685999999999</v>
      </c>
      <c r="J7071" s="28">
        <f t="shared" si="351"/>
        <v>1666.7896000000001</v>
      </c>
      <c r="K7071" s="28">
        <f t="shared" si="352"/>
        <v>1710.1570999999999</v>
      </c>
      <c r="L7071" s="4"/>
      <c r="M7071" s="241">
        <v>1642.4685999999999</v>
      </c>
    </row>
    <row r="7072" spans="3:13" hidden="1" outlineLevel="1" x14ac:dyDescent="0.2">
      <c r="C7072" s="139">
        <v>221.39999999999171</v>
      </c>
      <c r="D7072" s="28">
        <f t="shared" si="345"/>
        <v>1771.1999999999337</v>
      </c>
      <c r="E7072" s="28">
        <f t="shared" si="346"/>
        <v>1660.4999999999377</v>
      </c>
      <c r="F7072" s="28">
        <f t="shared" si="347"/>
        <v>1642.4999999999377</v>
      </c>
      <c r="G7072" s="28">
        <f t="shared" si="348"/>
        <v>1556.5877</v>
      </c>
      <c r="H7072" s="28">
        <f t="shared" si="349"/>
        <v>1613.4623999999999</v>
      </c>
      <c r="I7072" s="28">
        <f t="shared" si="350"/>
        <v>1643.4970000000001</v>
      </c>
      <c r="J7072" s="28">
        <f t="shared" si="351"/>
        <v>1667.8329000000001</v>
      </c>
      <c r="K7072" s="28">
        <f t="shared" si="352"/>
        <v>1711.1992</v>
      </c>
      <c r="L7072" s="4"/>
      <c r="M7072" s="241">
        <v>1643.4970000000001</v>
      </c>
    </row>
    <row r="7073" spans="3:13" hidden="1" outlineLevel="1" x14ac:dyDescent="0.2">
      <c r="C7073" s="139">
        <v>221.4999999999917</v>
      </c>
      <c r="D7073" s="28">
        <f t="shared" si="345"/>
        <v>1771.9999999999336</v>
      </c>
      <c r="E7073" s="28">
        <f t="shared" si="346"/>
        <v>1661.2499999999377</v>
      </c>
      <c r="F7073" s="28">
        <f t="shared" si="347"/>
        <v>1643.2499999999377</v>
      </c>
      <c r="G7073" s="28">
        <f t="shared" si="348"/>
        <v>1557.5356999999999</v>
      </c>
      <c r="H7073" s="28">
        <f t="shared" si="349"/>
        <v>1614.4450999999999</v>
      </c>
      <c r="I7073" s="28">
        <f t="shared" si="350"/>
        <v>1644.4979000000001</v>
      </c>
      <c r="J7073" s="28">
        <f t="shared" si="351"/>
        <v>1668.8486</v>
      </c>
      <c r="K7073" s="28">
        <f t="shared" si="352"/>
        <v>1712.2414000000001</v>
      </c>
      <c r="L7073" s="4"/>
      <c r="M7073" s="241">
        <v>1644.4979000000001</v>
      </c>
    </row>
    <row r="7074" spans="3:13" hidden="1" outlineLevel="1" x14ac:dyDescent="0.2">
      <c r="C7074" s="139">
        <v>221.5999999999917</v>
      </c>
      <c r="D7074" s="28">
        <f t="shared" si="345"/>
        <v>1772.7999999999336</v>
      </c>
      <c r="E7074" s="28">
        <f t="shared" si="346"/>
        <v>1661.9999999999377</v>
      </c>
      <c r="F7074" s="28">
        <f t="shared" si="347"/>
        <v>1643.9999999999377</v>
      </c>
      <c r="G7074" s="28">
        <f t="shared" si="348"/>
        <v>1557.5356999999999</v>
      </c>
      <c r="H7074" s="28">
        <f t="shared" si="349"/>
        <v>1614.4450999999999</v>
      </c>
      <c r="I7074" s="28">
        <f t="shared" si="350"/>
        <v>1644.4979000000001</v>
      </c>
      <c r="J7074" s="28">
        <f t="shared" si="351"/>
        <v>1668.8486</v>
      </c>
      <c r="K7074" s="28">
        <f t="shared" si="352"/>
        <v>1712.2414000000001</v>
      </c>
      <c r="L7074" s="4"/>
      <c r="M7074" s="241">
        <v>1644.4979000000001</v>
      </c>
    </row>
    <row r="7075" spans="3:13" hidden="1" outlineLevel="1" x14ac:dyDescent="0.2">
      <c r="C7075" s="139">
        <v>221.69999999999169</v>
      </c>
      <c r="D7075" s="28">
        <f t="shared" si="345"/>
        <v>1773.5999999999335</v>
      </c>
      <c r="E7075" s="28">
        <f t="shared" si="346"/>
        <v>1662.7499999999377</v>
      </c>
      <c r="F7075" s="28">
        <f t="shared" si="347"/>
        <v>1644.7499999999377</v>
      </c>
      <c r="G7075" s="28">
        <f t="shared" si="348"/>
        <v>1558.5338999999999</v>
      </c>
      <c r="H7075" s="28">
        <f t="shared" si="349"/>
        <v>1615.4777999999999</v>
      </c>
      <c r="I7075" s="28">
        <f t="shared" si="350"/>
        <v>1645.5264</v>
      </c>
      <c r="J7075" s="28">
        <f t="shared" si="351"/>
        <v>1669.9057</v>
      </c>
      <c r="K7075" s="28">
        <f t="shared" si="352"/>
        <v>1713.2835</v>
      </c>
      <c r="L7075" s="4"/>
      <c r="M7075" s="241">
        <v>1645.5264</v>
      </c>
    </row>
    <row r="7076" spans="3:13" hidden="1" outlineLevel="1" x14ac:dyDescent="0.2">
      <c r="C7076" s="139">
        <v>221.79999999999168</v>
      </c>
      <c r="D7076" s="28">
        <f t="shared" si="345"/>
        <v>1774.3999999999335</v>
      </c>
      <c r="E7076" s="28">
        <f t="shared" si="346"/>
        <v>1663.4999999999377</v>
      </c>
      <c r="F7076" s="28">
        <f t="shared" si="347"/>
        <v>1645.4999999999377</v>
      </c>
      <c r="G7076" s="28">
        <f t="shared" si="348"/>
        <v>1559.5320999999999</v>
      </c>
      <c r="H7076" s="28">
        <f t="shared" si="349"/>
        <v>1616.4604999999999</v>
      </c>
      <c r="I7076" s="28">
        <f t="shared" si="350"/>
        <v>1646.5273999999999</v>
      </c>
      <c r="J7076" s="28">
        <f t="shared" si="351"/>
        <v>1670.9214999999999</v>
      </c>
      <c r="K7076" s="28">
        <f t="shared" si="352"/>
        <v>1714.3255999999999</v>
      </c>
      <c r="L7076" s="4"/>
      <c r="M7076" s="241">
        <v>1646.5273999999999</v>
      </c>
    </row>
    <row r="7077" spans="3:13" hidden="1" outlineLevel="1" x14ac:dyDescent="0.2">
      <c r="C7077" s="139">
        <v>221.89999999999168</v>
      </c>
      <c r="D7077" s="28">
        <f t="shared" si="345"/>
        <v>1775.1999999999334</v>
      </c>
      <c r="E7077" s="28">
        <f t="shared" si="346"/>
        <v>1664.2499999999377</v>
      </c>
      <c r="F7077" s="28">
        <f t="shared" si="347"/>
        <v>1646.2499999999377</v>
      </c>
      <c r="G7077" s="28">
        <f t="shared" si="348"/>
        <v>1560.4801</v>
      </c>
      <c r="H7077" s="28">
        <f t="shared" si="349"/>
        <v>1617.4431</v>
      </c>
      <c r="I7077" s="28">
        <f t="shared" si="350"/>
        <v>1647.5559000000001</v>
      </c>
      <c r="J7077" s="28">
        <f t="shared" si="351"/>
        <v>1671.9373000000001</v>
      </c>
      <c r="K7077" s="28">
        <f t="shared" si="352"/>
        <v>1715.3678</v>
      </c>
      <c r="L7077" s="4"/>
      <c r="M7077" s="241">
        <v>1647.5559000000001</v>
      </c>
    </row>
    <row r="7078" spans="3:13" hidden="1" outlineLevel="1" x14ac:dyDescent="0.2">
      <c r="C7078" s="139">
        <v>221.99999999999167</v>
      </c>
      <c r="D7078" s="28">
        <f t="shared" si="345"/>
        <v>1775.9999999999334</v>
      </c>
      <c r="E7078" s="28">
        <f t="shared" si="346"/>
        <v>1664.9999999999375</v>
      </c>
      <c r="F7078" s="28">
        <f t="shared" si="347"/>
        <v>1646.9999999999375</v>
      </c>
      <c r="G7078" s="28">
        <f t="shared" si="348"/>
        <v>1560.4801</v>
      </c>
      <c r="H7078" s="28">
        <f t="shared" si="349"/>
        <v>1617.4431</v>
      </c>
      <c r="I7078" s="28">
        <f t="shared" si="350"/>
        <v>1647.5559000000001</v>
      </c>
      <c r="J7078" s="28">
        <f t="shared" si="351"/>
        <v>1671.9373000000001</v>
      </c>
      <c r="K7078" s="28">
        <f t="shared" si="352"/>
        <v>1715.3678</v>
      </c>
      <c r="L7078" s="4"/>
      <c r="M7078" s="241">
        <v>1647.5559000000001</v>
      </c>
    </row>
    <row r="7079" spans="3:13" hidden="1" outlineLevel="1" x14ac:dyDescent="0.2">
      <c r="C7079" s="139">
        <v>222.09999999999167</v>
      </c>
      <c r="D7079" s="28">
        <f t="shared" si="345"/>
        <v>1776.7999999999333</v>
      </c>
      <c r="E7079" s="28">
        <f t="shared" si="346"/>
        <v>1665.7499999999375</v>
      </c>
      <c r="F7079" s="28">
        <f t="shared" si="347"/>
        <v>1647.7499999999375</v>
      </c>
      <c r="G7079" s="28">
        <f t="shared" si="348"/>
        <v>1561.4784</v>
      </c>
      <c r="H7079" s="28">
        <f t="shared" si="349"/>
        <v>1618.4761000000001</v>
      </c>
      <c r="I7079" s="28">
        <f t="shared" si="350"/>
        <v>1648.5569</v>
      </c>
      <c r="J7079" s="28">
        <f t="shared" si="351"/>
        <v>1672.953</v>
      </c>
      <c r="K7079" s="28">
        <f t="shared" si="352"/>
        <v>1716.4652000000001</v>
      </c>
      <c r="L7079" s="4"/>
      <c r="M7079" s="241">
        <v>1648.5569</v>
      </c>
    </row>
    <row r="7080" spans="3:13" hidden="1" outlineLevel="1" x14ac:dyDescent="0.2">
      <c r="C7080" s="139">
        <v>222.19999999999166</v>
      </c>
      <c r="D7080" s="28">
        <f t="shared" si="345"/>
        <v>1777.5999999999333</v>
      </c>
      <c r="E7080" s="28">
        <f t="shared" si="346"/>
        <v>1666.4999999999375</v>
      </c>
      <c r="F7080" s="28">
        <f t="shared" si="347"/>
        <v>1648.4999999999375</v>
      </c>
      <c r="G7080" s="28">
        <f t="shared" si="348"/>
        <v>1562.4265</v>
      </c>
      <c r="H7080" s="28">
        <f t="shared" si="349"/>
        <v>1619.4586999999999</v>
      </c>
      <c r="I7080" s="28">
        <f t="shared" si="350"/>
        <v>1649.5854999999999</v>
      </c>
      <c r="J7080" s="28">
        <f t="shared" si="351"/>
        <v>1674.0241000000001</v>
      </c>
      <c r="K7080" s="28">
        <f t="shared" si="352"/>
        <v>1717.5074</v>
      </c>
      <c r="L7080" s="4"/>
      <c r="M7080" s="241">
        <v>1649.5854999999999</v>
      </c>
    </row>
    <row r="7081" spans="3:13" hidden="1" outlineLevel="1" x14ac:dyDescent="0.2">
      <c r="C7081" s="139">
        <v>222.29999999999166</v>
      </c>
      <c r="D7081" s="28">
        <f t="shared" si="345"/>
        <v>1778.3999999999332</v>
      </c>
      <c r="E7081" s="28">
        <f t="shared" si="346"/>
        <v>1667.2499999999375</v>
      </c>
      <c r="F7081" s="28">
        <f t="shared" si="347"/>
        <v>1649.2499999999375</v>
      </c>
      <c r="G7081" s="28">
        <f t="shared" si="348"/>
        <v>1563.4249</v>
      </c>
      <c r="H7081" s="28">
        <f t="shared" si="349"/>
        <v>1620.4413999999999</v>
      </c>
      <c r="I7081" s="28">
        <f t="shared" si="350"/>
        <v>1650.6141</v>
      </c>
      <c r="J7081" s="28">
        <f t="shared" si="351"/>
        <v>1675.0399</v>
      </c>
      <c r="K7081" s="28">
        <f t="shared" si="352"/>
        <v>1718.5496000000001</v>
      </c>
      <c r="L7081" s="4"/>
      <c r="M7081" s="241">
        <v>1650.6141</v>
      </c>
    </row>
    <row r="7082" spans="3:13" hidden="1" outlineLevel="1" x14ac:dyDescent="0.2">
      <c r="C7082" s="139">
        <v>222.39999999999165</v>
      </c>
      <c r="D7082" s="28">
        <f t="shared" si="345"/>
        <v>1779.1999999999332</v>
      </c>
      <c r="E7082" s="28">
        <f t="shared" si="346"/>
        <v>1667.9999999999375</v>
      </c>
      <c r="F7082" s="28">
        <f t="shared" si="347"/>
        <v>1649.9999999999375</v>
      </c>
      <c r="G7082" s="28">
        <f t="shared" si="348"/>
        <v>1563.4249</v>
      </c>
      <c r="H7082" s="28">
        <f t="shared" si="349"/>
        <v>1620.4413999999999</v>
      </c>
      <c r="I7082" s="28">
        <f t="shared" si="350"/>
        <v>1650.6141</v>
      </c>
      <c r="J7082" s="28">
        <f t="shared" si="351"/>
        <v>1675.0399</v>
      </c>
      <c r="K7082" s="28">
        <f t="shared" si="352"/>
        <v>1718.5496000000001</v>
      </c>
      <c r="L7082" s="4"/>
      <c r="M7082" s="241">
        <v>1650.6141</v>
      </c>
    </row>
    <row r="7083" spans="3:13" hidden="1" outlineLevel="1" x14ac:dyDescent="0.2">
      <c r="C7083" s="139">
        <v>222.49999999999164</v>
      </c>
      <c r="D7083" s="28">
        <f t="shared" si="345"/>
        <v>1779.9999999999332</v>
      </c>
      <c r="E7083" s="28">
        <f t="shared" si="346"/>
        <v>1668.7499999999372</v>
      </c>
      <c r="F7083" s="28">
        <f t="shared" si="347"/>
        <v>1650.7499999999372</v>
      </c>
      <c r="G7083" s="28">
        <f t="shared" si="348"/>
        <v>1564.4233999999999</v>
      </c>
      <c r="H7083" s="28">
        <f t="shared" si="349"/>
        <v>1621.4745</v>
      </c>
      <c r="I7083" s="28">
        <f t="shared" si="350"/>
        <v>1651.6151</v>
      </c>
      <c r="J7083" s="28">
        <f t="shared" si="351"/>
        <v>1676.0556999999999</v>
      </c>
      <c r="K7083" s="28">
        <f t="shared" si="352"/>
        <v>1719.5917999999999</v>
      </c>
      <c r="L7083" s="4"/>
      <c r="M7083" s="241">
        <v>1651.6151</v>
      </c>
    </row>
    <row r="7084" spans="3:13" hidden="1" outlineLevel="1" x14ac:dyDescent="0.2">
      <c r="C7084" s="139">
        <v>222.59999999999164</v>
      </c>
      <c r="D7084" s="28">
        <f t="shared" si="345"/>
        <v>1780.7999999999331</v>
      </c>
      <c r="E7084" s="28">
        <f t="shared" si="346"/>
        <v>1669.4999999999372</v>
      </c>
      <c r="F7084" s="28">
        <f t="shared" si="347"/>
        <v>1651.4999999999372</v>
      </c>
      <c r="G7084" s="28">
        <f t="shared" si="348"/>
        <v>1565.3715</v>
      </c>
      <c r="H7084" s="28">
        <f t="shared" si="349"/>
        <v>1622.4572000000001</v>
      </c>
      <c r="I7084" s="28">
        <f t="shared" si="350"/>
        <v>1652.6438000000001</v>
      </c>
      <c r="J7084" s="28">
        <f t="shared" si="351"/>
        <v>1677.0715</v>
      </c>
      <c r="K7084" s="28">
        <f t="shared" si="352"/>
        <v>1720.6339</v>
      </c>
      <c r="L7084" s="4"/>
      <c r="M7084" s="241">
        <v>1652.6438000000001</v>
      </c>
    </row>
    <row r="7085" spans="3:13" hidden="1" outlineLevel="1" x14ac:dyDescent="0.2">
      <c r="C7085" s="139">
        <v>222.69999999999163</v>
      </c>
      <c r="D7085" s="28">
        <f t="shared" si="345"/>
        <v>1781.5999999999331</v>
      </c>
      <c r="E7085" s="28">
        <f t="shared" si="346"/>
        <v>1670.2499999999372</v>
      </c>
      <c r="F7085" s="28">
        <f t="shared" si="347"/>
        <v>1652.2499999999372</v>
      </c>
      <c r="G7085" s="28">
        <f t="shared" si="348"/>
        <v>1566.3701000000001</v>
      </c>
      <c r="H7085" s="28">
        <f t="shared" si="349"/>
        <v>1623.4902999999999</v>
      </c>
      <c r="I7085" s="28">
        <f t="shared" si="350"/>
        <v>1653.6448</v>
      </c>
      <c r="J7085" s="28">
        <f t="shared" si="351"/>
        <v>1678.0872999999999</v>
      </c>
      <c r="K7085" s="28">
        <f t="shared" si="352"/>
        <v>1721.6760999999999</v>
      </c>
      <c r="L7085" s="4"/>
      <c r="M7085" s="241">
        <v>1653.6448</v>
      </c>
    </row>
    <row r="7086" spans="3:13" hidden="1" outlineLevel="1" x14ac:dyDescent="0.2">
      <c r="C7086" s="139">
        <v>222.79999999999163</v>
      </c>
      <c r="D7086" s="28">
        <f t="shared" si="345"/>
        <v>1782.399999999933</v>
      </c>
      <c r="E7086" s="28">
        <f t="shared" si="346"/>
        <v>1670.9999999999372</v>
      </c>
      <c r="F7086" s="28">
        <f t="shared" si="347"/>
        <v>1652.9999999999372</v>
      </c>
      <c r="G7086" s="28">
        <f t="shared" si="348"/>
        <v>1566.3701000000001</v>
      </c>
      <c r="H7086" s="28">
        <f t="shared" si="349"/>
        <v>1623.4902999999999</v>
      </c>
      <c r="I7086" s="28">
        <f t="shared" si="350"/>
        <v>1653.6448</v>
      </c>
      <c r="J7086" s="28">
        <f t="shared" si="351"/>
        <v>1678.0872999999999</v>
      </c>
      <c r="K7086" s="28">
        <f t="shared" si="352"/>
        <v>1721.6760999999999</v>
      </c>
      <c r="L7086" s="4"/>
      <c r="M7086" s="241">
        <v>1653.6448</v>
      </c>
    </row>
    <row r="7087" spans="3:13" hidden="1" outlineLevel="1" x14ac:dyDescent="0.2">
      <c r="C7087" s="139">
        <v>222.89999999999162</v>
      </c>
      <c r="D7087" s="28">
        <f t="shared" si="345"/>
        <v>1783.199999999933</v>
      </c>
      <c r="E7087" s="28">
        <f t="shared" si="346"/>
        <v>1671.7499999999372</v>
      </c>
      <c r="F7087" s="28">
        <f t="shared" si="347"/>
        <v>1653.7499999999372</v>
      </c>
      <c r="G7087" s="28">
        <f t="shared" si="348"/>
        <v>1567.3687</v>
      </c>
      <c r="H7087" s="28">
        <f t="shared" si="349"/>
        <v>1624.473</v>
      </c>
      <c r="I7087" s="28">
        <f t="shared" si="350"/>
        <v>1654.6735000000001</v>
      </c>
      <c r="J7087" s="28">
        <f t="shared" si="351"/>
        <v>1679.1585</v>
      </c>
      <c r="K7087" s="28">
        <f t="shared" si="352"/>
        <v>1722.7737999999999</v>
      </c>
      <c r="L7087" s="4"/>
      <c r="M7087" s="241">
        <v>1654.6735000000001</v>
      </c>
    </row>
    <row r="7088" spans="3:13" hidden="1" outlineLevel="1" x14ac:dyDescent="0.2">
      <c r="C7088" s="139">
        <v>222.99999999999162</v>
      </c>
      <c r="D7088" s="28">
        <f t="shared" si="345"/>
        <v>1783.9999999999329</v>
      </c>
      <c r="E7088" s="28">
        <f t="shared" si="346"/>
        <v>1672.499999999937</v>
      </c>
      <c r="F7088" s="28">
        <f t="shared" si="347"/>
        <v>1654.499999999937</v>
      </c>
      <c r="G7088" s="28">
        <f t="shared" si="348"/>
        <v>1568.3169</v>
      </c>
      <c r="H7088" s="28">
        <f t="shared" si="349"/>
        <v>1625.4558</v>
      </c>
      <c r="I7088" s="28">
        <f t="shared" si="350"/>
        <v>1655.6745000000001</v>
      </c>
      <c r="J7088" s="28">
        <f t="shared" si="351"/>
        <v>1680.1744000000001</v>
      </c>
      <c r="K7088" s="28">
        <f t="shared" si="352"/>
        <v>1723.816</v>
      </c>
      <c r="L7088" s="4"/>
      <c r="M7088" s="241">
        <v>1655.6745000000001</v>
      </c>
    </row>
    <row r="7089" spans="3:13" hidden="1" outlineLevel="1" x14ac:dyDescent="0.2">
      <c r="C7089" s="139">
        <v>223.09999999999161</v>
      </c>
      <c r="D7089" s="28">
        <f t="shared" si="345"/>
        <v>1784.7999999999329</v>
      </c>
      <c r="E7089" s="28">
        <f t="shared" si="346"/>
        <v>1673.249999999937</v>
      </c>
      <c r="F7089" s="28">
        <f t="shared" si="347"/>
        <v>1655.249999999937</v>
      </c>
      <c r="G7089" s="28">
        <f t="shared" si="348"/>
        <v>1569.3155999999999</v>
      </c>
      <c r="H7089" s="28">
        <f t="shared" si="349"/>
        <v>1626.489</v>
      </c>
      <c r="I7089" s="28">
        <f t="shared" si="350"/>
        <v>1656.7032999999999</v>
      </c>
      <c r="J7089" s="28">
        <f t="shared" si="351"/>
        <v>1681.1902</v>
      </c>
      <c r="K7089" s="28">
        <f t="shared" si="352"/>
        <v>1724.8581999999999</v>
      </c>
      <c r="L7089" s="4"/>
      <c r="M7089" s="241">
        <v>1656.7032999999999</v>
      </c>
    </row>
    <row r="7090" spans="3:13" hidden="1" outlineLevel="1" x14ac:dyDescent="0.2">
      <c r="C7090" s="139">
        <v>223.1999999999916</v>
      </c>
      <c r="D7090" s="28">
        <f t="shared" si="345"/>
        <v>1785.5999999999328</v>
      </c>
      <c r="E7090" s="28">
        <f t="shared" si="346"/>
        <v>1673.999999999937</v>
      </c>
      <c r="F7090" s="28">
        <f t="shared" si="347"/>
        <v>1655.999999999937</v>
      </c>
      <c r="G7090" s="28">
        <f t="shared" si="348"/>
        <v>1569.3155999999999</v>
      </c>
      <c r="H7090" s="28">
        <f t="shared" si="349"/>
        <v>1626.489</v>
      </c>
      <c r="I7090" s="28">
        <f t="shared" si="350"/>
        <v>1656.7032999999999</v>
      </c>
      <c r="J7090" s="28">
        <f t="shared" si="351"/>
        <v>1681.1902</v>
      </c>
      <c r="K7090" s="28">
        <f t="shared" si="352"/>
        <v>1724.8581999999999</v>
      </c>
      <c r="L7090" s="4"/>
      <c r="M7090" s="241">
        <v>1656.7032999999999</v>
      </c>
    </row>
    <row r="7091" spans="3:13" hidden="1" outlineLevel="1" x14ac:dyDescent="0.2">
      <c r="C7091" s="139">
        <v>223.2999999999916</v>
      </c>
      <c r="D7091" s="28">
        <f t="shared" si="345"/>
        <v>1786.3999999999328</v>
      </c>
      <c r="E7091" s="28">
        <f t="shared" si="346"/>
        <v>1674.749999999937</v>
      </c>
      <c r="F7091" s="28">
        <f t="shared" si="347"/>
        <v>1656.749999999937</v>
      </c>
      <c r="G7091" s="28">
        <f t="shared" si="348"/>
        <v>1570.2637999999999</v>
      </c>
      <c r="H7091" s="28">
        <f t="shared" si="349"/>
        <v>1627.4718</v>
      </c>
      <c r="I7091" s="28">
        <f t="shared" si="350"/>
        <v>1657.7044000000001</v>
      </c>
      <c r="J7091" s="28">
        <f t="shared" si="351"/>
        <v>1682.2059999999999</v>
      </c>
      <c r="K7091" s="28">
        <f t="shared" si="352"/>
        <v>1725.9004</v>
      </c>
      <c r="L7091" s="4"/>
      <c r="M7091" s="241">
        <v>1657.7044000000001</v>
      </c>
    </row>
    <row r="7092" spans="3:13" hidden="1" outlineLevel="1" x14ac:dyDescent="0.2">
      <c r="C7092" s="139">
        <v>223.39999999999159</v>
      </c>
      <c r="D7092" s="28">
        <f t="shared" si="345"/>
        <v>1787.1999999999327</v>
      </c>
      <c r="E7092" s="28">
        <f t="shared" si="346"/>
        <v>1675.499999999937</v>
      </c>
      <c r="F7092" s="28">
        <f t="shared" si="347"/>
        <v>1657.499999999937</v>
      </c>
      <c r="G7092" s="28">
        <f t="shared" si="348"/>
        <v>1571.2626</v>
      </c>
      <c r="H7092" s="28">
        <f t="shared" si="349"/>
        <v>1628.5051000000001</v>
      </c>
      <c r="I7092" s="28">
        <f t="shared" si="350"/>
        <v>1658.7331999999999</v>
      </c>
      <c r="J7092" s="28">
        <f t="shared" si="351"/>
        <v>1683.2774999999999</v>
      </c>
      <c r="K7092" s="28">
        <f t="shared" si="352"/>
        <v>1726.9426000000001</v>
      </c>
      <c r="L7092" s="4"/>
      <c r="M7092" s="241">
        <v>1658.7331999999999</v>
      </c>
    </row>
    <row r="7093" spans="3:13" hidden="1" outlineLevel="1" x14ac:dyDescent="0.2">
      <c r="C7093" s="139">
        <v>223.49999999999159</v>
      </c>
      <c r="D7093" s="28">
        <f t="shared" si="345"/>
        <v>1787.9999999999327</v>
      </c>
      <c r="E7093" s="28">
        <f t="shared" si="346"/>
        <v>1676.2499999999368</v>
      </c>
      <c r="F7093" s="28">
        <f t="shared" si="347"/>
        <v>1658.2499999999368</v>
      </c>
      <c r="G7093" s="28">
        <f t="shared" si="348"/>
        <v>1572.2614000000001</v>
      </c>
      <c r="H7093" s="28">
        <f t="shared" si="349"/>
        <v>1629.4879000000001</v>
      </c>
      <c r="I7093" s="28">
        <f t="shared" si="350"/>
        <v>1659.7620999999999</v>
      </c>
      <c r="J7093" s="28">
        <f t="shared" si="351"/>
        <v>1684.2933</v>
      </c>
      <c r="K7093" s="28">
        <f t="shared" si="352"/>
        <v>1727.9848</v>
      </c>
      <c r="L7093" s="4"/>
      <c r="M7093" s="241">
        <v>1659.7620999999999</v>
      </c>
    </row>
    <row r="7094" spans="3:13" hidden="1" outlineLevel="1" x14ac:dyDescent="0.2">
      <c r="C7094" s="139">
        <v>223.59999999999158</v>
      </c>
      <c r="D7094" s="28">
        <f t="shared" si="345"/>
        <v>1788.7999999999327</v>
      </c>
      <c r="E7094" s="28">
        <f t="shared" si="346"/>
        <v>1676.9999999999368</v>
      </c>
      <c r="F7094" s="28">
        <f t="shared" si="347"/>
        <v>1658.9999999999368</v>
      </c>
      <c r="G7094" s="28">
        <f t="shared" si="348"/>
        <v>1572.2614000000001</v>
      </c>
      <c r="H7094" s="28">
        <f t="shared" si="349"/>
        <v>1629.4879000000001</v>
      </c>
      <c r="I7094" s="28">
        <f t="shared" si="350"/>
        <v>1659.7620999999999</v>
      </c>
      <c r="J7094" s="28">
        <f t="shared" si="351"/>
        <v>1684.2933</v>
      </c>
      <c r="K7094" s="28">
        <f t="shared" si="352"/>
        <v>1727.9848</v>
      </c>
      <c r="L7094" s="4"/>
      <c r="M7094" s="241">
        <v>1659.7620999999999</v>
      </c>
    </row>
    <row r="7095" spans="3:13" hidden="1" outlineLevel="1" x14ac:dyDescent="0.2">
      <c r="C7095" s="139">
        <v>223.69999999999158</v>
      </c>
      <c r="D7095" s="28">
        <f t="shared" si="345"/>
        <v>1789.5999999999326</v>
      </c>
      <c r="E7095" s="28">
        <f t="shared" si="346"/>
        <v>1677.7499999999368</v>
      </c>
      <c r="F7095" s="28">
        <f t="shared" si="347"/>
        <v>1659.7499999999368</v>
      </c>
      <c r="G7095" s="28">
        <f t="shared" si="348"/>
        <v>1573.2097000000001</v>
      </c>
      <c r="H7095" s="28">
        <f t="shared" si="349"/>
        <v>1630.4707000000001</v>
      </c>
      <c r="I7095" s="28">
        <f t="shared" si="350"/>
        <v>1660.7630999999999</v>
      </c>
      <c r="J7095" s="28">
        <f t="shared" si="351"/>
        <v>1685.3091999999999</v>
      </c>
      <c r="K7095" s="28">
        <f t="shared" si="352"/>
        <v>1729.0826999999999</v>
      </c>
      <c r="L7095" s="4"/>
      <c r="M7095" s="241">
        <v>1660.7630999999999</v>
      </c>
    </row>
    <row r="7096" spans="3:13" hidden="1" outlineLevel="1" x14ac:dyDescent="0.2">
      <c r="C7096" s="139">
        <v>223.79999999999157</v>
      </c>
      <c r="D7096" s="28">
        <f t="shared" si="345"/>
        <v>1790.3999999999326</v>
      </c>
      <c r="E7096" s="28">
        <f t="shared" si="346"/>
        <v>1678.4999999999368</v>
      </c>
      <c r="F7096" s="28">
        <f t="shared" si="347"/>
        <v>1660.4999999999368</v>
      </c>
      <c r="G7096" s="28">
        <f t="shared" si="348"/>
        <v>1574.2086999999999</v>
      </c>
      <c r="H7096" s="28">
        <f t="shared" si="349"/>
        <v>1631.5042000000001</v>
      </c>
      <c r="I7096" s="28">
        <f t="shared" si="350"/>
        <v>1661.7920999999999</v>
      </c>
      <c r="J7096" s="28">
        <f t="shared" si="351"/>
        <v>1686.325</v>
      </c>
      <c r="K7096" s="28">
        <f t="shared" si="352"/>
        <v>1730.125</v>
      </c>
      <c r="L7096" s="4"/>
      <c r="M7096" s="241">
        <v>1661.7920999999999</v>
      </c>
    </row>
    <row r="7097" spans="3:13" hidden="1" outlineLevel="1" x14ac:dyDescent="0.2">
      <c r="C7097" s="139">
        <v>223.89999999999156</v>
      </c>
      <c r="D7097" s="28">
        <f t="shared" si="345"/>
        <v>1791.1999999999325</v>
      </c>
      <c r="E7097" s="28">
        <f t="shared" si="346"/>
        <v>1679.2499999999368</v>
      </c>
      <c r="F7097" s="28">
        <f t="shared" si="347"/>
        <v>1661.2499999999368</v>
      </c>
      <c r="G7097" s="28">
        <f t="shared" si="348"/>
        <v>1575.1569999999999</v>
      </c>
      <c r="H7097" s="28">
        <f t="shared" si="349"/>
        <v>1632.4870000000001</v>
      </c>
      <c r="I7097" s="28">
        <f t="shared" si="350"/>
        <v>1662.7931000000001</v>
      </c>
      <c r="J7097" s="28">
        <f t="shared" si="351"/>
        <v>1687.3408999999999</v>
      </c>
      <c r="K7097" s="28">
        <f t="shared" si="352"/>
        <v>1731.1672000000001</v>
      </c>
      <c r="L7097" s="4"/>
      <c r="M7097" s="241">
        <v>1662.7931000000001</v>
      </c>
    </row>
    <row r="7098" spans="3:13" hidden="1" outlineLevel="1" x14ac:dyDescent="0.2">
      <c r="C7098" s="139">
        <v>223.99999999999156</v>
      </c>
      <c r="D7098" s="28">
        <f t="shared" si="345"/>
        <v>1791.9999999999325</v>
      </c>
      <c r="E7098" s="28">
        <f t="shared" si="346"/>
        <v>1679.9999999999368</v>
      </c>
      <c r="F7098" s="28">
        <f t="shared" si="347"/>
        <v>1661.9999999999368</v>
      </c>
      <c r="G7098" s="28">
        <f t="shared" si="348"/>
        <v>1575.1569999999999</v>
      </c>
      <c r="H7098" s="28">
        <f t="shared" si="349"/>
        <v>1632.4870000000001</v>
      </c>
      <c r="I7098" s="28">
        <f t="shared" si="350"/>
        <v>1662.7931000000001</v>
      </c>
      <c r="J7098" s="28">
        <f t="shared" si="351"/>
        <v>1687.3408999999999</v>
      </c>
      <c r="K7098" s="28">
        <f t="shared" si="352"/>
        <v>1731.1672000000001</v>
      </c>
      <c r="L7098" s="4"/>
      <c r="M7098" s="241">
        <v>1662.7931000000001</v>
      </c>
    </row>
    <row r="7099" spans="3:13" hidden="1" outlineLevel="1" x14ac:dyDescent="0.2">
      <c r="C7099" s="139">
        <v>224.09999999999155</v>
      </c>
      <c r="D7099" s="28">
        <f t="shared" ref="D7099:D7162" si="353">C7099*Channels.per.TRX</f>
        <v>1792.7999999999324</v>
      </c>
      <c r="E7099" s="28">
        <f t="shared" ref="E7099:E7162" si="354">D7099-C7099*sig.channel.per.TRX</f>
        <v>1680.7499999999366</v>
      </c>
      <c r="F7099" s="28">
        <f t="shared" ref="F7099:F7162" si="355">MAX(0,E7099-GPRS.channel.per.sector)</f>
        <v>1662.7499999999366</v>
      </c>
      <c r="G7099" s="28">
        <f t="shared" ref="G7099:G7162" si="356">INDEX(D$10:D$4326,MATCH($F7099,$C$10:$C$4326,1))</f>
        <v>1576.1559999999999</v>
      </c>
      <c r="H7099" s="28">
        <f t="shared" ref="H7099:H7162" si="357">INDEX(E$10:E$4326,MATCH($F7099,$C$10:$C$4326,1))</f>
        <v>1633.4699000000001</v>
      </c>
      <c r="I7099" s="28">
        <f t="shared" ref="I7099:I7162" si="358">INDEX(F$10:F$4326,MATCH($F7099,$C$10:$C$4326,1))</f>
        <v>1663.8221000000001</v>
      </c>
      <c r="J7099" s="28">
        <f t="shared" ref="J7099:J7162" si="359">INDEX(G$10:G$4326,MATCH($F7099,$C$10:$C$4326,1))</f>
        <v>1688.4126000000001</v>
      </c>
      <c r="K7099" s="28">
        <f t="shared" ref="K7099:K7162" si="360">INDEX(H$10:H$4326,MATCH($F7099,$C$10:$C$4326,1))</f>
        <v>1732.2094999999999</v>
      </c>
      <c r="L7099" s="4"/>
      <c r="M7099" s="241">
        <v>1663.8221000000001</v>
      </c>
    </row>
    <row r="7100" spans="3:13" hidden="1" outlineLevel="1" x14ac:dyDescent="0.2">
      <c r="C7100" s="139">
        <v>224.19999999999155</v>
      </c>
      <c r="D7100" s="28">
        <f t="shared" si="353"/>
        <v>1793.5999999999324</v>
      </c>
      <c r="E7100" s="28">
        <f t="shared" si="354"/>
        <v>1681.4999999999366</v>
      </c>
      <c r="F7100" s="28">
        <f t="shared" si="355"/>
        <v>1663.4999999999366</v>
      </c>
      <c r="G7100" s="28">
        <f t="shared" si="356"/>
        <v>1577.1550999999999</v>
      </c>
      <c r="H7100" s="28">
        <f t="shared" si="357"/>
        <v>1634.5035</v>
      </c>
      <c r="I7100" s="28">
        <f t="shared" si="358"/>
        <v>1664.8232</v>
      </c>
      <c r="J7100" s="28">
        <f t="shared" si="359"/>
        <v>1689.4284</v>
      </c>
      <c r="K7100" s="28">
        <f t="shared" si="360"/>
        <v>1733.2517</v>
      </c>
      <c r="L7100" s="4"/>
      <c r="M7100" s="241">
        <v>1664.8232</v>
      </c>
    </row>
    <row r="7101" spans="3:13" hidden="1" outlineLevel="1" x14ac:dyDescent="0.2">
      <c r="C7101" s="139">
        <v>224.29999999999154</v>
      </c>
      <c r="D7101" s="28">
        <f t="shared" si="353"/>
        <v>1794.3999999999323</v>
      </c>
      <c r="E7101" s="28">
        <f t="shared" si="354"/>
        <v>1682.2499999999366</v>
      </c>
      <c r="F7101" s="28">
        <f t="shared" si="355"/>
        <v>1664.2499999999366</v>
      </c>
      <c r="G7101" s="28">
        <f t="shared" si="356"/>
        <v>1578.1034999999999</v>
      </c>
      <c r="H7101" s="28">
        <f t="shared" si="357"/>
        <v>1635.4863</v>
      </c>
      <c r="I7101" s="28">
        <f t="shared" si="358"/>
        <v>1665.8522</v>
      </c>
      <c r="J7101" s="28">
        <f t="shared" si="359"/>
        <v>1690.4443000000001</v>
      </c>
      <c r="K7101" s="28">
        <f t="shared" si="360"/>
        <v>1734.2938999999999</v>
      </c>
      <c r="L7101" s="4"/>
      <c r="M7101" s="241">
        <v>1665.8522</v>
      </c>
    </row>
    <row r="7102" spans="3:13" hidden="1" outlineLevel="1" x14ac:dyDescent="0.2">
      <c r="C7102" s="139">
        <v>224.39999999999154</v>
      </c>
      <c r="D7102" s="28">
        <f t="shared" si="353"/>
        <v>1795.1999999999323</v>
      </c>
      <c r="E7102" s="28">
        <f t="shared" si="354"/>
        <v>1682.9999999999366</v>
      </c>
      <c r="F7102" s="28">
        <f t="shared" si="355"/>
        <v>1664.9999999999366</v>
      </c>
      <c r="G7102" s="28">
        <f t="shared" si="356"/>
        <v>1578.1034999999999</v>
      </c>
      <c r="H7102" s="28">
        <f t="shared" si="357"/>
        <v>1635.4863</v>
      </c>
      <c r="I7102" s="28">
        <f t="shared" si="358"/>
        <v>1665.8522</v>
      </c>
      <c r="J7102" s="28">
        <f t="shared" si="359"/>
        <v>1690.4443000000001</v>
      </c>
      <c r="K7102" s="28">
        <f t="shared" si="360"/>
        <v>1734.2938999999999</v>
      </c>
      <c r="L7102" s="4"/>
      <c r="M7102" s="241">
        <v>1665.8522</v>
      </c>
    </row>
    <row r="7103" spans="3:13" hidden="1" outlineLevel="1" x14ac:dyDescent="0.2">
      <c r="C7103" s="139">
        <v>224.49999999999153</v>
      </c>
      <c r="D7103" s="28">
        <f t="shared" si="353"/>
        <v>1795.9999999999322</v>
      </c>
      <c r="E7103" s="28">
        <f t="shared" si="354"/>
        <v>1683.7499999999366</v>
      </c>
      <c r="F7103" s="28">
        <f t="shared" si="355"/>
        <v>1665.7499999999366</v>
      </c>
      <c r="G7103" s="28">
        <f t="shared" si="356"/>
        <v>1579.1026999999999</v>
      </c>
      <c r="H7103" s="28">
        <f t="shared" si="357"/>
        <v>1636.52</v>
      </c>
      <c r="I7103" s="28">
        <f t="shared" si="358"/>
        <v>1666.8534</v>
      </c>
      <c r="J7103" s="28">
        <f t="shared" si="359"/>
        <v>1691.4602</v>
      </c>
      <c r="K7103" s="28">
        <f t="shared" si="360"/>
        <v>1735.3921</v>
      </c>
      <c r="L7103" s="4"/>
      <c r="M7103" s="241">
        <v>1666.8534</v>
      </c>
    </row>
    <row r="7104" spans="3:13" hidden="1" outlineLevel="1" x14ac:dyDescent="0.2">
      <c r="C7104" s="139">
        <v>224.59999999999152</v>
      </c>
      <c r="D7104" s="28">
        <f t="shared" si="353"/>
        <v>1796.7999999999322</v>
      </c>
      <c r="E7104" s="28">
        <f t="shared" si="354"/>
        <v>1684.4999999999363</v>
      </c>
      <c r="F7104" s="28">
        <f t="shared" si="355"/>
        <v>1666.4999999999363</v>
      </c>
      <c r="G7104" s="28">
        <f t="shared" si="356"/>
        <v>1580.0510999999999</v>
      </c>
      <c r="H7104" s="28">
        <f t="shared" si="357"/>
        <v>1637.5029</v>
      </c>
      <c r="I7104" s="28">
        <f t="shared" si="358"/>
        <v>1667.8824</v>
      </c>
      <c r="J7104" s="28">
        <f t="shared" si="359"/>
        <v>1692.5319999999999</v>
      </c>
      <c r="K7104" s="28">
        <f t="shared" si="360"/>
        <v>1736.4344000000001</v>
      </c>
      <c r="L7104" s="4"/>
      <c r="M7104" s="241">
        <v>1667.8824</v>
      </c>
    </row>
    <row r="7105" spans="3:13" hidden="1" outlineLevel="1" x14ac:dyDescent="0.2">
      <c r="C7105" s="139">
        <v>224.69999999999152</v>
      </c>
      <c r="D7105" s="28">
        <f t="shared" si="353"/>
        <v>1797.5999999999322</v>
      </c>
      <c r="E7105" s="28">
        <f t="shared" si="354"/>
        <v>1685.2499999999363</v>
      </c>
      <c r="F7105" s="28">
        <f t="shared" si="355"/>
        <v>1667.2499999999363</v>
      </c>
      <c r="G7105" s="28">
        <f t="shared" si="356"/>
        <v>1581.0504000000001</v>
      </c>
      <c r="H7105" s="28">
        <f t="shared" si="357"/>
        <v>1638.4857999999999</v>
      </c>
      <c r="I7105" s="28">
        <f t="shared" si="358"/>
        <v>1668.8835999999999</v>
      </c>
      <c r="J7105" s="28">
        <f t="shared" si="359"/>
        <v>1693.548</v>
      </c>
      <c r="K7105" s="28">
        <f t="shared" si="360"/>
        <v>1737.4766</v>
      </c>
      <c r="L7105" s="4"/>
      <c r="M7105" s="241">
        <v>1668.8835999999999</v>
      </c>
    </row>
    <row r="7106" spans="3:13" hidden="1" outlineLevel="1" x14ac:dyDescent="0.2">
      <c r="C7106" s="139">
        <v>224.79999999999151</v>
      </c>
      <c r="D7106" s="28">
        <f t="shared" si="353"/>
        <v>1798.3999999999321</v>
      </c>
      <c r="E7106" s="28">
        <f t="shared" si="354"/>
        <v>1685.9999999999363</v>
      </c>
      <c r="F7106" s="28">
        <f t="shared" si="355"/>
        <v>1667.9999999999363</v>
      </c>
      <c r="G7106" s="28">
        <f t="shared" si="356"/>
        <v>1581.0504000000001</v>
      </c>
      <c r="H7106" s="28">
        <f t="shared" si="357"/>
        <v>1638.4857999999999</v>
      </c>
      <c r="I7106" s="28">
        <f t="shared" si="358"/>
        <v>1668.8835999999999</v>
      </c>
      <c r="J7106" s="28">
        <f t="shared" si="359"/>
        <v>1693.548</v>
      </c>
      <c r="K7106" s="28">
        <f t="shared" si="360"/>
        <v>1737.4766</v>
      </c>
      <c r="L7106" s="4"/>
      <c r="M7106" s="241">
        <v>1668.8835999999999</v>
      </c>
    </row>
    <row r="7107" spans="3:13" hidden="1" outlineLevel="1" x14ac:dyDescent="0.2">
      <c r="C7107" s="139">
        <v>224.89999999999151</v>
      </c>
      <c r="D7107" s="28">
        <f t="shared" si="353"/>
        <v>1799.1999999999321</v>
      </c>
      <c r="E7107" s="28">
        <f t="shared" si="354"/>
        <v>1686.7499999999363</v>
      </c>
      <c r="F7107" s="28">
        <f t="shared" si="355"/>
        <v>1668.7499999999363</v>
      </c>
      <c r="G7107" s="28">
        <f t="shared" si="356"/>
        <v>1582.0497</v>
      </c>
      <c r="H7107" s="28">
        <f t="shared" si="357"/>
        <v>1639.5196000000001</v>
      </c>
      <c r="I7107" s="28">
        <f t="shared" si="358"/>
        <v>1669.9267</v>
      </c>
      <c r="J7107" s="28">
        <f t="shared" si="359"/>
        <v>1694.5639000000001</v>
      </c>
      <c r="K7107" s="28">
        <f t="shared" si="360"/>
        <v>1738.5189</v>
      </c>
      <c r="L7107" s="4"/>
      <c r="M7107" s="241">
        <v>1669.9267</v>
      </c>
    </row>
    <row r="7108" spans="3:13" hidden="1" outlineLevel="1" x14ac:dyDescent="0.2">
      <c r="C7108" s="139">
        <v>224.9999999999915</v>
      </c>
      <c r="D7108" s="28">
        <f t="shared" si="353"/>
        <v>1799.999999999932</v>
      </c>
      <c r="E7108" s="28">
        <f t="shared" si="354"/>
        <v>1687.4999999999363</v>
      </c>
      <c r="F7108" s="28">
        <f t="shared" si="355"/>
        <v>1669.4999999999363</v>
      </c>
      <c r="G7108" s="28">
        <f t="shared" si="356"/>
        <v>1582.9982</v>
      </c>
      <c r="H7108" s="28">
        <f t="shared" si="357"/>
        <v>1640.5025000000001</v>
      </c>
      <c r="I7108" s="28">
        <f t="shared" si="358"/>
        <v>1670.9277999999999</v>
      </c>
      <c r="J7108" s="28">
        <f t="shared" si="359"/>
        <v>1695.5798</v>
      </c>
      <c r="K7108" s="28">
        <f t="shared" si="360"/>
        <v>1739.5612000000001</v>
      </c>
      <c r="L7108" s="4"/>
      <c r="M7108" s="241">
        <v>1670.9277999999999</v>
      </c>
    </row>
    <row r="7109" spans="3:13" hidden="1" outlineLevel="1" x14ac:dyDescent="0.2">
      <c r="C7109" s="139">
        <v>225.0999999999915</v>
      </c>
      <c r="D7109" s="28">
        <f t="shared" si="353"/>
        <v>1800.799999999932</v>
      </c>
      <c r="E7109" s="28">
        <f t="shared" si="354"/>
        <v>1688.2499999999363</v>
      </c>
      <c r="F7109" s="28">
        <f t="shared" si="355"/>
        <v>1670.2499999999363</v>
      </c>
      <c r="G7109" s="28">
        <f t="shared" si="356"/>
        <v>1583.9976999999999</v>
      </c>
      <c r="H7109" s="28">
        <f t="shared" si="357"/>
        <v>1641.5364</v>
      </c>
      <c r="I7109" s="28">
        <f t="shared" si="358"/>
        <v>1671.9290000000001</v>
      </c>
      <c r="J7109" s="28">
        <f t="shared" si="359"/>
        <v>1696.5957000000001</v>
      </c>
      <c r="K7109" s="28">
        <f t="shared" si="360"/>
        <v>1740.6034999999999</v>
      </c>
      <c r="L7109" s="4"/>
      <c r="M7109" s="241">
        <v>1671.9290000000001</v>
      </c>
    </row>
    <row r="7110" spans="3:13" hidden="1" outlineLevel="1" x14ac:dyDescent="0.2">
      <c r="C7110" s="139">
        <v>225.19999999999149</v>
      </c>
      <c r="D7110" s="28">
        <f t="shared" si="353"/>
        <v>1801.5999999999319</v>
      </c>
      <c r="E7110" s="28">
        <f t="shared" si="354"/>
        <v>1688.9999999999361</v>
      </c>
      <c r="F7110" s="28">
        <f t="shared" si="355"/>
        <v>1670.9999999999361</v>
      </c>
      <c r="G7110" s="28">
        <f t="shared" si="356"/>
        <v>1583.9976999999999</v>
      </c>
      <c r="H7110" s="28">
        <f t="shared" si="357"/>
        <v>1641.5364</v>
      </c>
      <c r="I7110" s="28">
        <f t="shared" si="358"/>
        <v>1671.9290000000001</v>
      </c>
      <c r="J7110" s="28">
        <f t="shared" si="359"/>
        <v>1696.5957000000001</v>
      </c>
      <c r="K7110" s="28">
        <f t="shared" si="360"/>
        <v>1740.6034999999999</v>
      </c>
      <c r="L7110" s="4"/>
      <c r="M7110" s="241">
        <v>1671.9290000000001</v>
      </c>
    </row>
    <row r="7111" spans="3:13" hidden="1" outlineLevel="1" x14ac:dyDescent="0.2">
      <c r="C7111" s="139">
        <v>225.29999999999148</v>
      </c>
      <c r="D7111" s="28">
        <f t="shared" si="353"/>
        <v>1802.3999999999319</v>
      </c>
      <c r="E7111" s="28">
        <f t="shared" si="354"/>
        <v>1689.7499999999361</v>
      </c>
      <c r="F7111" s="28">
        <f t="shared" si="355"/>
        <v>1671.7499999999361</v>
      </c>
      <c r="G7111" s="28">
        <f t="shared" si="356"/>
        <v>1584.9462000000001</v>
      </c>
      <c r="H7111" s="28">
        <f t="shared" si="357"/>
        <v>1642.5193999999999</v>
      </c>
      <c r="I7111" s="28">
        <f t="shared" si="358"/>
        <v>1672.9863</v>
      </c>
      <c r="J7111" s="28">
        <f t="shared" si="359"/>
        <v>1697.6677999999999</v>
      </c>
      <c r="K7111" s="28">
        <f t="shared" si="360"/>
        <v>1741.7018</v>
      </c>
      <c r="L7111" s="4"/>
      <c r="M7111" s="241">
        <v>1672.9863</v>
      </c>
    </row>
    <row r="7112" spans="3:13" hidden="1" outlineLevel="1" x14ac:dyDescent="0.2">
      <c r="C7112" s="139">
        <v>225.39999999999148</v>
      </c>
      <c r="D7112" s="28">
        <f t="shared" si="353"/>
        <v>1803.1999999999318</v>
      </c>
      <c r="E7112" s="28">
        <f t="shared" si="354"/>
        <v>1690.4999999999361</v>
      </c>
      <c r="F7112" s="28">
        <f t="shared" si="355"/>
        <v>1672.4999999999361</v>
      </c>
      <c r="G7112" s="28">
        <f t="shared" si="356"/>
        <v>1585.9457</v>
      </c>
      <c r="H7112" s="28">
        <f t="shared" si="357"/>
        <v>1643.5023000000001</v>
      </c>
      <c r="I7112" s="28">
        <f t="shared" si="358"/>
        <v>1673.9874</v>
      </c>
      <c r="J7112" s="28">
        <f t="shared" si="359"/>
        <v>1698.6837</v>
      </c>
      <c r="K7112" s="28">
        <f t="shared" si="360"/>
        <v>1742.7442000000001</v>
      </c>
      <c r="L7112" s="4"/>
      <c r="M7112" s="241">
        <v>1673.9874</v>
      </c>
    </row>
    <row r="7113" spans="3:13" hidden="1" outlineLevel="1" x14ac:dyDescent="0.2">
      <c r="C7113" s="139">
        <v>225.49999999999147</v>
      </c>
      <c r="D7113" s="28">
        <f t="shared" si="353"/>
        <v>1803.9999999999318</v>
      </c>
      <c r="E7113" s="28">
        <f t="shared" si="354"/>
        <v>1691.2499999999361</v>
      </c>
      <c r="F7113" s="28">
        <f t="shared" si="355"/>
        <v>1673.2499999999361</v>
      </c>
      <c r="G7113" s="28">
        <f t="shared" si="356"/>
        <v>1586.9453000000001</v>
      </c>
      <c r="H7113" s="28">
        <f t="shared" si="357"/>
        <v>1644.5363</v>
      </c>
      <c r="I7113" s="28">
        <f t="shared" si="358"/>
        <v>1674.9885999999999</v>
      </c>
      <c r="J7113" s="28">
        <f t="shared" si="359"/>
        <v>1699.6996999999999</v>
      </c>
      <c r="K7113" s="28">
        <f t="shared" si="360"/>
        <v>1743.7864999999999</v>
      </c>
      <c r="L7113" s="4"/>
      <c r="M7113" s="241">
        <v>1674.9885999999999</v>
      </c>
    </row>
    <row r="7114" spans="3:13" hidden="1" outlineLevel="1" x14ac:dyDescent="0.2">
      <c r="C7114" s="139">
        <v>225.59999999999147</v>
      </c>
      <c r="D7114" s="28">
        <f t="shared" si="353"/>
        <v>1804.7999999999317</v>
      </c>
      <c r="E7114" s="28">
        <f t="shared" si="354"/>
        <v>1691.9999999999361</v>
      </c>
      <c r="F7114" s="28">
        <f t="shared" si="355"/>
        <v>1673.9999999999361</v>
      </c>
      <c r="G7114" s="28">
        <f t="shared" si="356"/>
        <v>1586.9453000000001</v>
      </c>
      <c r="H7114" s="28">
        <f t="shared" si="357"/>
        <v>1644.5363</v>
      </c>
      <c r="I7114" s="28">
        <f t="shared" si="358"/>
        <v>1674.9885999999999</v>
      </c>
      <c r="J7114" s="28">
        <f t="shared" si="359"/>
        <v>1699.6996999999999</v>
      </c>
      <c r="K7114" s="28">
        <f t="shared" si="360"/>
        <v>1743.7864999999999</v>
      </c>
      <c r="L7114" s="4"/>
      <c r="M7114" s="241">
        <v>1674.9885999999999</v>
      </c>
    </row>
    <row r="7115" spans="3:13" hidden="1" outlineLevel="1" x14ac:dyDescent="0.2">
      <c r="C7115" s="139">
        <v>225.69999999999146</v>
      </c>
      <c r="D7115" s="28">
        <f t="shared" si="353"/>
        <v>1805.5999999999317</v>
      </c>
      <c r="E7115" s="28">
        <f t="shared" si="354"/>
        <v>1692.7499999999359</v>
      </c>
      <c r="F7115" s="28">
        <f t="shared" si="355"/>
        <v>1674.7499999999359</v>
      </c>
      <c r="G7115" s="28">
        <f t="shared" si="356"/>
        <v>1587.8938000000001</v>
      </c>
      <c r="H7115" s="28">
        <f t="shared" si="357"/>
        <v>1645.5192999999999</v>
      </c>
      <c r="I7115" s="28">
        <f t="shared" si="358"/>
        <v>1675.9898000000001</v>
      </c>
      <c r="J7115" s="28">
        <f t="shared" si="359"/>
        <v>1700.7156</v>
      </c>
      <c r="K7115" s="28">
        <f t="shared" si="360"/>
        <v>1744.8288</v>
      </c>
      <c r="L7115" s="4"/>
      <c r="M7115" s="241">
        <v>1675.9898000000001</v>
      </c>
    </row>
    <row r="7116" spans="3:13" hidden="1" outlineLevel="1" x14ac:dyDescent="0.2">
      <c r="C7116" s="139">
        <v>225.79999999999146</v>
      </c>
      <c r="D7116" s="28">
        <f t="shared" si="353"/>
        <v>1806.3999999999317</v>
      </c>
      <c r="E7116" s="28">
        <f t="shared" si="354"/>
        <v>1693.4999999999359</v>
      </c>
      <c r="F7116" s="28">
        <f t="shared" si="355"/>
        <v>1675.4999999999359</v>
      </c>
      <c r="G7116" s="28">
        <f t="shared" si="356"/>
        <v>1588.8934999999999</v>
      </c>
      <c r="H7116" s="28">
        <f t="shared" si="357"/>
        <v>1646.5023000000001</v>
      </c>
      <c r="I7116" s="28">
        <f t="shared" si="358"/>
        <v>1677.0472</v>
      </c>
      <c r="J7116" s="28">
        <f t="shared" si="359"/>
        <v>1701.7878000000001</v>
      </c>
      <c r="K7116" s="28">
        <f t="shared" si="360"/>
        <v>1745.8711000000001</v>
      </c>
      <c r="L7116" s="4"/>
      <c r="M7116" s="241">
        <v>1677.0472</v>
      </c>
    </row>
    <row r="7117" spans="3:13" hidden="1" outlineLevel="1" x14ac:dyDescent="0.2">
      <c r="C7117" s="139">
        <v>225.89999999999145</v>
      </c>
      <c r="D7117" s="28">
        <f t="shared" si="353"/>
        <v>1807.1999999999316</v>
      </c>
      <c r="E7117" s="28">
        <f t="shared" si="354"/>
        <v>1694.2499999999359</v>
      </c>
      <c r="F7117" s="28">
        <f t="shared" si="355"/>
        <v>1676.2499999999359</v>
      </c>
      <c r="G7117" s="28">
        <f t="shared" si="356"/>
        <v>1589.8421000000001</v>
      </c>
      <c r="H7117" s="28">
        <f t="shared" si="357"/>
        <v>1647.5364</v>
      </c>
      <c r="I7117" s="28">
        <f t="shared" si="358"/>
        <v>1678.0485000000001</v>
      </c>
      <c r="J7117" s="28">
        <f t="shared" si="359"/>
        <v>1702.8037999999999</v>
      </c>
      <c r="K7117" s="28">
        <f t="shared" si="360"/>
        <v>1746.9133999999999</v>
      </c>
      <c r="L7117" s="4"/>
      <c r="M7117" s="241">
        <v>1678.0485000000001</v>
      </c>
    </row>
    <row r="7118" spans="3:13" hidden="1" outlineLevel="1" x14ac:dyDescent="0.2">
      <c r="C7118" s="139">
        <v>225.99999999999145</v>
      </c>
      <c r="D7118" s="28">
        <f t="shared" si="353"/>
        <v>1807.9999999999316</v>
      </c>
      <c r="E7118" s="28">
        <f t="shared" si="354"/>
        <v>1694.9999999999359</v>
      </c>
      <c r="F7118" s="28">
        <f t="shared" si="355"/>
        <v>1676.9999999999359</v>
      </c>
      <c r="G7118" s="28">
        <f t="shared" si="356"/>
        <v>1589.8421000000001</v>
      </c>
      <c r="H7118" s="28">
        <f t="shared" si="357"/>
        <v>1647.5364</v>
      </c>
      <c r="I7118" s="28">
        <f t="shared" si="358"/>
        <v>1678.0485000000001</v>
      </c>
      <c r="J7118" s="28">
        <f t="shared" si="359"/>
        <v>1702.8037999999999</v>
      </c>
      <c r="K7118" s="28">
        <f t="shared" si="360"/>
        <v>1746.9133999999999</v>
      </c>
      <c r="L7118" s="4"/>
      <c r="M7118" s="241">
        <v>1678.0485000000001</v>
      </c>
    </row>
    <row r="7119" spans="3:13" hidden="1" outlineLevel="1" x14ac:dyDescent="0.2">
      <c r="C7119" s="139">
        <v>226.09999999999144</v>
      </c>
      <c r="D7119" s="28">
        <f t="shared" si="353"/>
        <v>1808.7999999999315</v>
      </c>
      <c r="E7119" s="28">
        <f t="shared" si="354"/>
        <v>1695.7499999999359</v>
      </c>
      <c r="F7119" s="28">
        <f t="shared" si="355"/>
        <v>1677.7499999999359</v>
      </c>
      <c r="G7119" s="28">
        <f t="shared" si="356"/>
        <v>1590.8418999999999</v>
      </c>
      <c r="H7119" s="28">
        <f t="shared" si="357"/>
        <v>1648.5195000000001</v>
      </c>
      <c r="I7119" s="28">
        <f t="shared" si="358"/>
        <v>1679.0497</v>
      </c>
      <c r="J7119" s="28">
        <f t="shared" si="359"/>
        <v>1703.8198</v>
      </c>
      <c r="K7119" s="28">
        <f t="shared" si="360"/>
        <v>1748.0119999999999</v>
      </c>
      <c r="L7119" s="4"/>
      <c r="M7119" s="241">
        <v>1679.0497</v>
      </c>
    </row>
    <row r="7120" spans="3:13" hidden="1" outlineLevel="1" x14ac:dyDescent="0.2">
      <c r="C7120" s="139">
        <v>226.19999999999143</v>
      </c>
      <c r="D7120" s="28">
        <f t="shared" si="353"/>
        <v>1809.5999999999315</v>
      </c>
      <c r="E7120" s="28">
        <f t="shared" si="354"/>
        <v>1696.4999999999357</v>
      </c>
      <c r="F7120" s="28">
        <f t="shared" si="355"/>
        <v>1678.4999999999357</v>
      </c>
      <c r="G7120" s="28">
        <f t="shared" si="356"/>
        <v>1591.8416999999999</v>
      </c>
      <c r="H7120" s="28">
        <f t="shared" si="357"/>
        <v>1649.5536999999999</v>
      </c>
      <c r="I7120" s="28">
        <f t="shared" si="358"/>
        <v>1680.0509</v>
      </c>
      <c r="J7120" s="28">
        <f t="shared" si="359"/>
        <v>1704.8358000000001</v>
      </c>
      <c r="K7120" s="28">
        <f t="shared" si="360"/>
        <v>1749.0543</v>
      </c>
      <c r="L7120" s="4"/>
      <c r="M7120" s="241">
        <v>1680.0509</v>
      </c>
    </row>
    <row r="7121" spans="3:13" hidden="1" outlineLevel="1" x14ac:dyDescent="0.2">
      <c r="C7121" s="139">
        <v>226.29999999999143</v>
      </c>
      <c r="D7121" s="28">
        <f t="shared" si="353"/>
        <v>1810.3999999999314</v>
      </c>
      <c r="E7121" s="28">
        <f t="shared" si="354"/>
        <v>1697.2499999999357</v>
      </c>
      <c r="F7121" s="28">
        <f t="shared" si="355"/>
        <v>1679.2499999999357</v>
      </c>
      <c r="G7121" s="28">
        <f t="shared" si="356"/>
        <v>1592.7904000000001</v>
      </c>
      <c r="H7121" s="28">
        <f t="shared" si="357"/>
        <v>1650.5367000000001</v>
      </c>
      <c r="I7121" s="28">
        <f t="shared" si="358"/>
        <v>1681.1085</v>
      </c>
      <c r="J7121" s="28">
        <f t="shared" si="359"/>
        <v>1705.8517999999999</v>
      </c>
      <c r="K7121" s="28">
        <f t="shared" si="360"/>
        <v>1750.0967000000001</v>
      </c>
      <c r="L7121" s="4"/>
      <c r="M7121" s="241">
        <v>1681.1085</v>
      </c>
    </row>
    <row r="7122" spans="3:13" hidden="1" outlineLevel="1" x14ac:dyDescent="0.2">
      <c r="C7122" s="139">
        <v>226.39999999999142</v>
      </c>
      <c r="D7122" s="28">
        <f t="shared" si="353"/>
        <v>1811.1999999999314</v>
      </c>
      <c r="E7122" s="28">
        <f t="shared" si="354"/>
        <v>1697.9999999999357</v>
      </c>
      <c r="F7122" s="28">
        <f t="shared" si="355"/>
        <v>1679.9999999999357</v>
      </c>
      <c r="G7122" s="28">
        <f t="shared" si="356"/>
        <v>1592.7904000000001</v>
      </c>
      <c r="H7122" s="28">
        <f t="shared" si="357"/>
        <v>1650.5367000000001</v>
      </c>
      <c r="I7122" s="28">
        <f t="shared" si="358"/>
        <v>1681.1085</v>
      </c>
      <c r="J7122" s="28">
        <f t="shared" si="359"/>
        <v>1705.8517999999999</v>
      </c>
      <c r="K7122" s="28">
        <f t="shared" si="360"/>
        <v>1750.0967000000001</v>
      </c>
      <c r="L7122" s="4"/>
      <c r="M7122" s="241">
        <v>1681.1085</v>
      </c>
    </row>
    <row r="7123" spans="3:13" hidden="1" outlineLevel="1" x14ac:dyDescent="0.2">
      <c r="C7123" s="139">
        <v>226.49999999999142</v>
      </c>
      <c r="D7123" s="28">
        <f t="shared" si="353"/>
        <v>1811.9999999999313</v>
      </c>
      <c r="E7123" s="28">
        <f t="shared" si="354"/>
        <v>1698.7499999999357</v>
      </c>
      <c r="F7123" s="28">
        <f t="shared" si="355"/>
        <v>1680.7499999999357</v>
      </c>
      <c r="G7123" s="28">
        <f t="shared" si="356"/>
        <v>1593.7902999999999</v>
      </c>
      <c r="H7123" s="28">
        <f t="shared" si="357"/>
        <v>1651.5198</v>
      </c>
      <c r="I7123" s="28">
        <f t="shared" si="358"/>
        <v>1682.1097</v>
      </c>
      <c r="J7123" s="28">
        <f t="shared" si="359"/>
        <v>1706.9241999999999</v>
      </c>
      <c r="K7123" s="28">
        <f t="shared" si="360"/>
        <v>1751.1389999999999</v>
      </c>
      <c r="L7123" s="4"/>
      <c r="M7123" s="241">
        <v>1682.1097</v>
      </c>
    </row>
    <row r="7124" spans="3:13" hidden="1" outlineLevel="1" x14ac:dyDescent="0.2">
      <c r="C7124" s="139">
        <v>226.59999999999141</v>
      </c>
      <c r="D7124" s="28">
        <f t="shared" si="353"/>
        <v>1812.7999999999313</v>
      </c>
      <c r="E7124" s="28">
        <f t="shared" si="354"/>
        <v>1699.4999999999357</v>
      </c>
      <c r="F7124" s="28">
        <f t="shared" si="355"/>
        <v>1681.4999999999357</v>
      </c>
      <c r="G7124" s="28">
        <f t="shared" si="356"/>
        <v>1594.739</v>
      </c>
      <c r="H7124" s="28">
        <f t="shared" si="357"/>
        <v>1652.5541000000001</v>
      </c>
      <c r="I7124" s="28">
        <f t="shared" si="358"/>
        <v>1683.1110000000001</v>
      </c>
      <c r="J7124" s="28">
        <f t="shared" si="359"/>
        <v>1707.9402</v>
      </c>
      <c r="K7124" s="28">
        <f t="shared" si="360"/>
        <v>1752.1813999999999</v>
      </c>
      <c r="L7124" s="4"/>
      <c r="M7124" s="241">
        <v>1683.1110000000001</v>
      </c>
    </row>
    <row r="7125" spans="3:13" hidden="1" outlineLevel="1" x14ac:dyDescent="0.2">
      <c r="C7125" s="139">
        <v>226.69999999999141</v>
      </c>
      <c r="D7125" s="28">
        <f t="shared" si="353"/>
        <v>1813.5999999999312</v>
      </c>
      <c r="E7125" s="28">
        <f t="shared" si="354"/>
        <v>1700.2499999999354</v>
      </c>
      <c r="F7125" s="28">
        <f t="shared" si="355"/>
        <v>1682.2499999999354</v>
      </c>
      <c r="G7125" s="28">
        <f t="shared" si="356"/>
        <v>1595.739</v>
      </c>
      <c r="H7125" s="28">
        <f t="shared" si="357"/>
        <v>1653.5372</v>
      </c>
      <c r="I7125" s="28">
        <f t="shared" si="358"/>
        <v>1684.1123</v>
      </c>
      <c r="J7125" s="28">
        <f t="shared" si="359"/>
        <v>1708.9562000000001</v>
      </c>
      <c r="K7125" s="28">
        <f t="shared" si="360"/>
        <v>1753.2237</v>
      </c>
      <c r="L7125" s="4"/>
      <c r="M7125" s="241">
        <v>1684.1123</v>
      </c>
    </row>
    <row r="7126" spans="3:13" hidden="1" outlineLevel="1" x14ac:dyDescent="0.2">
      <c r="C7126" s="139">
        <v>226.7999999999914</v>
      </c>
      <c r="D7126" s="28">
        <f t="shared" si="353"/>
        <v>1814.3999999999312</v>
      </c>
      <c r="E7126" s="28">
        <f t="shared" si="354"/>
        <v>1700.9999999999354</v>
      </c>
      <c r="F7126" s="28">
        <f t="shared" si="355"/>
        <v>1682.9999999999354</v>
      </c>
      <c r="G7126" s="28">
        <f t="shared" si="356"/>
        <v>1595.739</v>
      </c>
      <c r="H7126" s="28">
        <f t="shared" si="357"/>
        <v>1653.5372</v>
      </c>
      <c r="I7126" s="28">
        <f t="shared" si="358"/>
        <v>1684.1123</v>
      </c>
      <c r="J7126" s="28">
        <f t="shared" si="359"/>
        <v>1708.9562000000001</v>
      </c>
      <c r="K7126" s="28">
        <f t="shared" si="360"/>
        <v>1753.2237</v>
      </c>
      <c r="L7126" s="4"/>
      <c r="M7126" s="241">
        <v>1684.1123</v>
      </c>
    </row>
    <row r="7127" spans="3:13" hidden="1" outlineLevel="1" x14ac:dyDescent="0.2">
      <c r="C7127" s="139">
        <v>226.89999999999139</v>
      </c>
      <c r="D7127" s="28">
        <f t="shared" si="353"/>
        <v>1815.1999999999312</v>
      </c>
      <c r="E7127" s="28">
        <f t="shared" si="354"/>
        <v>1701.7499999999354</v>
      </c>
      <c r="F7127" s="28">
        <f t="shared" si="355"/>
        <v>1683.7499999999354</v>
      </c>
      <c r="G7127" s="28">
        <f t="shared" si="356"/>
        <v>1596.7391</v>
      </c>
      <c r="H7127" s="28">
        <f t="shared" si="357"/>
        <v>1654.5202999999999</v>
      </c>
      <c r="I7127" s="28">
        <f t="shared" si="358"/>
        <v>1685.17</v>
      </c>
      <c r="J7127" s="28">
        <f t="shared" si="359"/>
        <v>1709.9722999999999</v>
      </c>
      <c r="K7127" s="28">
        <f t="shared" si="360"/>
        <v>1754.3226</v>
      </c>
      <c r="L7127" s="4"/>
      <c r="M7127" s="241">
        <v>1685.17</v>
      </c>
    </row>
    <row r="7128" spans="3:13" hidden="1" outlineLevel="1" x14ac:dyDescent="0.2">
      <c r="C7128" s="139">
        <v>226.99999999999139</v>
      </c>
      <c r="D7128" s="28">
        <f t="shared" si="353"/>
        <v>1815.9999999999311</v>
      </c>
      <c r="E7128" s="28">
        <f t="shared" si="354"/>
        <v>1702.4999999999354</v>
      </c>
      <c r="F7128" s="28">
        <f t="shared" si="355"/>
        <v>1684.4999999999354</v>
      </c>
      <c r="G7128" s="28">
        <f t="shared" si="356"/>
        <v>1597.6877999999999</v>
      </c>
      <c r="H7128" s="28">
        <f t="shared" si="357"/>
        <v>1655.5546999999999</v>
      </c>
      <c r="I7128" s="28">
        <f t="shared" si="358"/>
        <v>1686.1713</v>
      </c>
      <c r="J7128" s="28">
        <f t="shared" si="359"/>
        <v>1711.0447999999999</v>
      </c>
      <c r="K7128" s="28">
        <f t="shared" si="360"/>
        <v>1755.3649</v>
      </c>
      <c r="L7128" s="4"/>
      <c r="M7128" s="241">
        <v>1686.1713</v>
      </c>
    </row>
    <row r="7129" spans="3:13" hidden="1" outlineLevel="1" x14ac:dyDescent="0.2">
      <c r="C7129" s="139">
        <v>227.09999999999138</v>
      </c>
      <c r="D7129" s="28">
        <f t="shared" si="353"/>
        <v>1816.7999999999311</v>
      </c>
      <c r="E7129" s="28">
        <f t="shared" si="354"/>
        <v>1703.2499999999354</v>
      </c>
      <c r="F7129" s="28">
        <f t="shared" si="355"/>
        <v>1685.2499999999354</v>
      </c>
      <c r="G7129" s="28">
        <f t="shared" si="356"/>
        <v>1598.6880000000001</v>
      </c>
      <c r="H7129" s="28">
        <f t="shared" si="357"/>
        <v>1656.5379</v>
      </c>
      <c r="I7129" s="28">
        <f t="shared" si="358"/>
        <v>1687.1726000000001</v>
      </c>
      <c r="J7129" s="28">
        <f t="shared" si="359"/>
        <v>1712.0608999999999</v>
      </c>
      <c r="K7129" s="28">
        <f t="shared" si="360"/>
        <v>1756.4073000000001</v>
      </c>
      <c r="L7129" s="4"/>
      <c r="M7129" s="241">
        <v>1687.1726000000001</v>
      </c>
    </row>
    <row r="7130" spans="3:13" hidden="1" outlineLevel="1" x14ac:dyDescent="0.2">
      <c r="C7130" s="139">
        <v>227.19999999999138</v>
      </c>
      <c r="D7130" s="28">
        <f t="shared" si="353"/>
        <v>1817.599999999931</v>
      </c>
      <c r="E7130" s="28">
        <f t="shared" si="354"/>
        <v>1703.9999999999354</v>
      </c>
      <c r="F7130" s="28">
        <f t="shared" si="355"/>
        <v>1685.9999999999354</v>
      </c>
      <c r="G7130" s="28">
        <f t="shared" si="356"/>
        <v>1598.6880000000001</v>
      </c>
      <c r="H7130" s="28">
        <f t="shared" si="357"/>
        <v>1656.5379</v>
      </c>
      <c r="I7130" s="28">
        <f t="shared" si="358"/>
        <v>1687.1726000000001</v>
      </c>
      <c r="J7130" s="28">
        <f t="shared" si="359"/>
        <v>1712.0608999999999</v>
      </c>
      <c r="K7130" s="28">
        <f t="shared" si="360"/>
        <v>1756.4073000000001</v>
      </c>
      <c r="L7130" s="4"/>
      <c r="M7130" s="241">
        <v>1687.1726000000001</v>
      </c>
    </row>
    <row r="7131" spans="3:13" hidden="1" outlineLevel="1" x14ac:dyDescent="0.2">
      <c r="C7131" s="139">
        <v>227.29999999999137</v>
      </c>
      <c r="D7131" s="28">
        <f t="shared" si="353"/>
        <v>1818.399999999931</v>
      </c>
      <c r="E7131" s="28">
        <f t="shared" si="354"/>
        <v>1704.7499999999352</v>
      </c>
      <c r="F7131" s="28">
        <f t="shared" si="355"/>
        <v>1686.7499999999352</v>
      </c>
      <c r="G7131" s="28">
        <f t="shared" si="356"/>
        <v>1599.6367</v>
      </c>
      <c r="H7131" s="28">
        <f t="shared" si="357"/>
        <v>1657.5724</v>
      </c>
      <c r="I7131" s="28">
        <f t="shared" si="358"/>
        <v>1688.2304999999999</v>
      </c>
      <c r="J7131" s="28">
        <f t="shared" si="359"/>
        <v>1713.077</v>
      </c>
      <c r="K7131" s="28">
        <f t="shared" si="360"/>
        <v>1757.4496999999999</v>
      </c>
      <c r="L7131" s="4"/>
      <c r="M7131" s="241">
        <v>1688.2304999999999</v>
      </c>
    </row>
    <row r="7132" spans="3:13" hidden="1" outlineLevel="1" x14ac:dyDescent="0.2">
      <c r="C7132" s="139">
        <v>227.39999999999137</v>
      </c>
      <c r="D7132" s="28">
        <f t="shared" si="353"/>
        <v>1819.1999999999309</v>
      </c>
      <c r="E7132" s="28">
        <f t="shared" si="354"/>
        <v>1705.4999999999352</v>
      </c>
      <c r="F7132" s="28">
        <f t="shared" si="355"/>
        <v>1687.4999999999352</v>
      </c>
      <c r="G7132" s="28">
        <f t="shared" si="356"/>
        <v>1600.6369999999999</v>
      </c>
      <c r="H7132" s="28">
        <f t="shared" si="357"/>
        <v>1658.5555999999999</v>
      </c>
      <c r="I7132" s="28">
        <f t="shared" si="358"/>
        <v>1689.2318</v>
      </c>
      <c r="J7132" s="28">
        <f t="shared" si="359"/>
        <v>1714.0930000000001</v>
      </c>
      <c r="K7132" s="28">
        <f t="shared" si="360"/>
        <v>1758.4920999999999</v>
      </c>
      <c r="L7132" s="4"/>
      <c r="M7132" s="241">
        <v>1689.2318</v>
      </c>
    </row>
    <row r="7133" spans="3:13" hidden="1" outlineLevel="1" x14ac:dyDescent="0.2">
      <c r="C7133" s="139">
        <v>227.49999999999136</v>
      </c>
      <c r="D7133" s="28">
        <f t="shared" si="353"/>
        <v>1819.9999999999309</v>
      </c>
      <c r="E7133" s="28">
        <f t="shared" si="354"/>
        <v>1706.2499999999352</v>
      </c>
      <c r="F7133" s="28">
        <f t="shared" si="355"/>
        <v>1688.2499999999352</v>
      </c>
      <c r="G7133" s="28">
        <f t="shared" si="356"/>
        <v>1601.6373000000001</v>
      </c>
      <c r="H7133" s="28">
        <f t="shared" si="357"/>
        <v>1659.5387000000001</v>
      </c>
      <c r="I7133" s="28">
        <f t="shared" si="358"/>
        <v>1690.2330999999999</v>
      </c>
      <c r="J7133" s="28">
        <f t="shared" si="359"/>
        <v>1715.1090999999999</v>
      </c>
      <c r="K7133" s="28">
        <f t="shared" si="360"/>
        <v>1759.5345</v>
      </c>
      <c r="L7133" s="4"/>
      <c r="M7133" s="241">
        <v>1690.2330999999999</v>
      </c>
    </row>
    <row r="7134" spans="3:13" hidden="1" outlineLevel="1" x14ac:dyDescent="0.2">
      <c r="C7134" s="139">
        <v>227.59999999999135</v>
      </c>
      <c r="D7134" s="28">
        <f t="shared" si="353"/>
        <v>1820.7999999999308</v>
      </c>
      <c r="E7134" s="28">
        <f t="shared" si="354"/>
        <v>1706.9999999999352</v>
      </c>
      <c r="F7134" s="28">
        <f t="shared" si="355"/>
        <v>1688.9999999999352</v>
      </c>
      <c r="G7134" s="28">
        <f t="shared" si="356"/>
        <v>1601.6373000000001</v>
      </c>
      <c r="H7134" s="28">
        <f t="shared" si="357"/>
        <v>1659.5387000000001</v>
      </c>
      <c r="I7134" s="28">
        <f t="shared" si="358"/>
        <v>1690.2330999999999</v>
      </c>
      <c r="J7134" s="28">
        <f t="shared" si="359"/>
        <v>1715.1090999999999</v>
      </c>
      <c r="K7134" s="28">
        <f t="shared" si="360"/>
        <v>1759.5345</v>
      </c>
      <c r="L7134" s="4"/>
      <c r="M7134" s="241">
        <v>1690.2330999999999</v>
      </c>
    </row>
    <row r="7135" spans="3:13" hidden="1" outlineLevel="1" x14ac:dyDescent="0.2">
      <c r="C7135" s="139">
        <v>227.69999999999135</v>
      </c>
      <c r="D7135" s="28">
        <f t="shared" si="353"/>
        <v>1821.5999999999308</v>
      </c>
      <c r="E7135" s="28">
        <f t="shared" si="354"/>
        <v>1707.7499999999352</v>
      </c>
      <c r="F7135" s="28">
        <f t="shared" si="355"/>
        <v>1689.7499999999352</v>
      </c>
      <c r="G7135" s="28">
        <f t="shared" si="356"/>
        <v>1602.5862</v>
      </c>
      <c r="H7135" s="28">
        <f t="shared" si="357"/>
        <v>1660.5734</v>
      </c>
      <c r="I7135" s="28">
        <f t="shared" si="358"/>
        <v>1691.2344000000001</v>
      </c>
      <c r="J7135" s="28">
        <f t="shared" si="359"/>
        <v>1716.1818000000001</v>
      </c>
      <c r="K7135" s="28">
        <f t="shared" si="360"/>
        <v>1760.5768</v>
      </c>
      <c r="L7135" s="4"/>
      <c r="M7135" s="241">
        <v>1691.2344000000001</v>
      </c>
    </row>
    <row r="7136" spans="3:13" hidden="1" outlineLevel="1" x14ac:dyDescent="0.2">
      <c r="C7136" s="139">
        <v>227.79999999999134</v>
      </c>
      <c r="D7136" s="28">
        <f t="shared" si="353"/>
        <v>1822.3999999999307</v>
      </c>
      <c r="E7136" s="28">
        <f t="shared" si="354"/>
        <v>1708.499999999935</v>
      </c>
      <c r="F7136" s="28">
        <f t="shared" si="355"/>
        <v>1690.499999999935</v>
      </c>
      <c r="G7136" s="28">
        <f t="shared" si="356"/>
        <v>1603.5866000000001</v>
      </c>
      <c r="H7136" s="28">
        <f t="shared" si="357"/>
        <v>1661.5564999999999</v>
      </c>
      <c r="I7136" s="28">
        <f t="shared" si="358"/>
        <v>1692.2925</v>
      </c>
      <c r="J7136" s="28">
        <f t="shared" si="359"/>
        <v>1717.1978999999999</v>
      </c>
      <c r="K7136" s="28">
        <f t="shared" si="360"/>
        <v>1761.6759</v>
      </c>
      <c r="L7136" s="4"/>
      <c r="M7136" s="241">
        <v>1692.2925</v>
      </c>
    </row>
    <row r="7137" spans="3:13" hidden="1" outlineLevel="1" x14ac:dyDescent="0.2">
      <c r="C7137" s="139">
        <v>227.89999999999134</v>
      </c>
      <c r="D7137" s="28">
        <f t="shared" si="353"/>
        <v>1823.1999999999307</v>
      </c>
      <c r="E7137" s="28">
        <f t="shared" si="354"/>
        <v>1709.249999999935</v>
      </c>
      <c r="F7137" s="28">
        <f t="shared" si="355"/>
        <v>1691.249999999935</v>
      </c>
      <c r="G7137" s="28">
        <f t="shared" si="356"/>
        <v>1604.5354</v>
      </c>
      <c r="H7137" s="28">
        <f t="shared" si="357"/>
        <v>1662.5397</v>
      </c>
      <c r="I7137" s="28">
        <f t="shared" si="358"/>
        <v>1693.2938999999999</v>
      </c>
      <c r="J7137" s="28">
        <f t="shared" si="359"/>
        <v>1718.2139999999999</v>
      </c>
      <c r="K7137" s="28">
        <f t="shared" si="360"/>
        <v>1762.7184</v>
      </c>
      <c r="L7137" s="4"/>
      <c r="M7137" s="241">
        <v>1693.2938999999999</v>
      </c>
    </row>
    <row r="7138" spans="3:13" hidden="1" outlineLevel="1" x14ac:dyDescent="0.2">
      <c r="C7138" s="139">
        <v>227.99999999999133</v>
      </c>
      <c r="D7138" s="28">
        <f t="shared" si="353"/>
        <v>1823.9999999999307</v>
      </c>
      <c r="E7138" s="28">
        <f t="shared" si="354"/>
        <v>1709.999999999935</v>
      </c>
      <c r="F7138" s="28">
        <f t="shared" si="355"/>
        <v>1691.999999999935</v>
      </c>
      <c r="G7138" s="28">
        <f t="shared" si="356"/>
        <v>1604.5354</v>
      </c>
      <c r="H7138" s="28">
        <f t="shared" si="357"/>
        <v>1662.5397</v>
      </c>
      <c r="I7138" s="28">
        <f t="shared" si="358"/>
        <v>1693.2938999999999</v>
      </c>
      <c r="J7138" s="28">
        <f t="shared" si="359"/>
        <v>1718.2139999999999</v>
      </c>
      <c r="K7138" s="28">
        <f t="shared" si="360"/>
        <v>1762.7184</v>
      </c>
      <c r="L7138" s="4"/>
      <c r="M7138" s="241">
        <v>1693.2938999999999</v>
      </c>
    </row>
    <row r="7139" spans="3:13" hidden="1" outlineLevel="1" x14ac:dyDescent="0.2">
      <c r="C7139" s="139">
        <v>228.09999999999133</v>
      </c>
      <c r="D7139" s="28">
        <f t="shared" si="353"/>
        <v>1824.7999999999306</v>
      </c>
      <c r="E7139" s="28">
        <f t="shared" si="354"/>
        <v>1710.749999999935</v>
      </c>
      <c r="F7139" s="28">
        <f t="shared" si="355"/>
        <v>1692.749999999935</v>
      </c>
      <c r="G7139" s="28">
        <f t="shared" si="356"/>
        <v>1605.5359000000001</v>
      </c>
      <c r="H7139" s="28">
        <f t="shared" si="357"/>
        <v>1663.5744999999999</v>
      </c>
      <c r="I7139" s="28">
        <f t="shared" si="358"/>
        <v>1694.2952</v>
      </c>
      <c r="J7139" s="28">
        <f t="shared" si="359"/>
        <v>1719.2301</v>
      </c>
      <c r="K7139" s="28">
        <f t="shared" si="360"/>
        <v>1763.7608</v>
      </c>
      <c r="L7139" s="4"/>
      <c r="M7139" s="241">
        <v>1694.2952</v>
      </c>
    </row>
    <row r="7140" spans="3:13" hidden="1" outlineLevel="1" x14ac:dyDescent="0.2">
      <c r="C7140" s="139">
        <v>228.19999999999132</v>
      </c>
      <c r="D7140" s="28">
        <f t="shared" si="353"/>
        <v>1825.5999999999306</v>
      </c>
      <c r="E7140" s="28">
        <f t="shared" si="354"/>
        <v>1711.499999999935</v>
      </c>
      <c r="F7140" s="28">
        <f t="shared" si="355"/>
        <v>1693.499999999935</v>
      </c>
      <c r="G7140" s="28">
        <f t="shared" si="356"/>
        <v>1606.5364999999999</v>
      </c>
      <c r="H7140" s="28">
        <f t="shared" si="357"/>
        <v>1664.5577000000001</v>
      </c>
      <c r="I7140" s="28">
        <f t="shared" si="358"/>
        <v>1695.2965999999999</v>
      </c>
      <c r="J7140" s="28">
        <f t="shared" si="359"/>
        <v>1720.3030000000001</v>
      </c>
      <c r="K7140" s="28">
        <f t="shared" si="360"/>
        <v>1764.8032000000001</v>
      </c>
      <c r="L7140" s="4"/>
      <c r="M7140" s="241">
        <v>1695.2965999999999</v>
      </c>
    </row>
    <row r="7141" spans="3:13" hidden="1" outlineLevel="1" x14ac:dyDescent="0.2">
      <c r="C7141" s="139">
        <v>228.29999999999131</v>
      </c>
      <c r="D7141" s="28">
        <f t="shared" si="353"/>
        <v>1826.3999999999305</v>
      </c>
      <c r="E7141" s="28">
        <f t="shared" si="354"/>
        <v>1712.249999999935</v>
      </c>
      <c r="F7141" s="28">
        <f t="shared" si="355"/>
        <v>1694.249999999935</v>
      </c>
      <c r="G7141" s="28">
        <f t="shared" si="356"/>
        <v>1607.4854</v>
      </c>
      <c r="H7141" s="28">
        <f t="shared" si="357"/>
        <v>1665.5925999999999</v>
      </c>
      <c r="I7141" s="28">
        <f t="shared" si="358"/>
        <v>1696.3548000000001</v>
      </c>
      <c r="J7141" s="28">
        <f t="shared" si="359"/>
        <v>1721.3191999999999</v>
      </c>
      <c r="K7141" s="28">
        <f t="shared" si="360"/>
        <v>1765.8456000000001</v>
      </c>
      <c r="L7141" s="4"/>
      <c r="M7141" s="241">
        <v>1696.3548000000001</v>
      </c>
    </row>
    <row r="7142" spans="3:13" hidden="1" outlineLevel="1" x14ac:dyDescent="0.2">
      <c r="C7142" s="139">
        <v>228.39999999999131</v>
      </c>
      <c r="D7142" s="28">
        <f t="shared" si="353"/>
        <v>1827.1999999999305</v>
      </c>
      <c r="E7142" s="28">
        <f t="shared" si="354"/>
        <v>1712.9999999999347</v>
      </c>
      <c r="F7142" s="28">
        <f t="shared" si="355"/>
        <v>1694.9999999999347</v>
      </c>
      <c r="G7142" s="28">
        <f t="shared" si="356"/>
        <v>1607.4854</v>
      </c>
      <c r="H7142" s="28">
        <f t="shared" si="357"/>
        <v>1665.5925999999999</v>
      </c>
      <c r="I7142" s="28">
        <f t="shared" si="358"/>
        <v>1696.3548000000001</v>
      </c>
      <c r="J7142" s="28">
        <f t="shared" si="359"/>
        <v>1721.3191999999999</v>
      </c>
      <c r="K7142" s="28">
        <f t="shared" si="360"/>
        <v>1765.8456000000001</v>
      </c>
      <c r="L7142" s="4"/>
      <c r="M7142" s="241">
        <v>1696.3548000000001</v>
      </c>
    </row>
    <row r="7143" spans="3:13" hidden="1" outlineLevel="1" x14ac:dyDescent="0.2">
      <c r="C7143" s="139">
        <v>228.4999999999913</v>
      </c>
      <c r="D7143" s="28">
        <f t="shared" si="353"/>
        <v>1827.9999999999304</v>
      </c>
      <c r="E7143" s="28">
        <f t="shared" si="354"/>
        <v>1713.7499999999347</v>
      </c>
      <c r="F7143" s="28">
        <f t="shared" si="355"/>
        <v>1695.7499999999347</v>
      </c>
      <c r="G7143" s="28">
        <f t="shared" si="356"/>
        <v>1608.4861000000001</v>
      </c>
      <c r="H7143" s="28">
        <f t="shared" si="357"/>
        <v>1666.5759</v>
      </c>
      <c r="I7143" s="28">
        <f t="shared" si="358"/>
        <v>1697.3561999999999</v>
      </c>
      <c r="J7143" s="28">
        <f t="shared" si="359"/>
        <v>1722.3353</v>
      </c>
      <c r="K7143" s="28">
        <f t="shared" si="360"/>
        <v>1766.8879999999999</v>
      </c>
      <c r="L7143" s="4"/>
      <c r="M7143" s="241">
        <v>1697.3561999999999</v>
      </c>
    </row>
    <row r="7144" spans="3:13" hidden="1" outlineLevel="1" x14ac:dyDescent="0.2">
      <c r="C7144" s="139">
        <v>228.5999999999913</v>
      </c>
      <c r="D7144" s="28">
        <f t="shared" si="353"/>
        <v>1828.7999999999304</v>
      </c>
      <c r="E7144" s="28">
        <f t="shared" si="354"/>
        <v>1714.4999999999347</v>
      </c>
      <c r="F7144" s="28">
        <f t="shared" si="355"/>
        <v>1696.4999999999347</v>
      </c>
      <c r="G7144" s="28">
        <f t="shared" si="356"/>
        <v>1609.4350999999999</v>
      </c>
      <c r="H7144" s="28">
        <f t="shared" si="357"/>
        <v>1667.5590999999999</v>
      </c>
      <c r="I7144" s="28">
        <f t="shared" si="358"/>
        <v>1698.3576</v>
      </c>
      <c r="J7144" s="28">
        <f t="shared" si="359"/>
        <v>1723.3514</v>
      </c>
      <c r="K7144" s="28">
        <f t="shared" si="360"/>
        <v>1767.9874</v>
      </c>
      <c r="L7144" s="4"/>
      <c r="M7144" s="241">
        <v>1698.3576</v>
      </c>
    </row>
    <row r="7145" spans="3:13" hidden="1" outlineLevel="1" x14ac:dyDescent="0.2">
      <c r="C7145" s="139">
        <v>228.69999999999129</v>
      </c>
      <c r="D7145" s="28">
        <f t="shared" si="353"/>
        <v>1829.5999999999303</v>
      </c>
      <c r="E7145" s="28">
        <f t="shared" si="354"/>
        <v>1715.2499999999347</v>
      </c>
      <c r="F7145" s="28">
        <f t="shared" si="355"/>
        <v>1697.2499999999347</v>
      </c>
      <c r="G7145" s="28">
        <f t="shared" si="356"/>
        <v>1610.4358</v>
      </c>
      <c r="H7145" s="28">
        <f t="shared" si="357"/>
        <v>1668.5941</v>
      </c>
      <c r="I7145" s="28">
        <f t="shared" si="358"/>
        <v>1699.3589999999999</v>
      </c>
      <c r="J7145" s="28">
        <f t="shared" si="359"/>
        <v>1724.3675000000001</v>
      </c>
      <c r="K7145" s="28">
        <f t="shared" si="360"/>
        <v>1769.0298</v>
      </c>
      <c r="L7145" s="4"/>
      <c r="M7145" s="241">
        <v>1699.3589999999999</v>
      </c>
    </row>
    <row r="7146" spans="3:13" hidden="1" outlineLevel="1" x14ac:dyDescent="0.2">
      <c r="C7146" s="139">
        <v>228.79999999999129</v>
      </c>
      <c r="D7146" s="28">
        <f t="shared" si="353"/>
        <v>1830.3999999999303</v>
      </c>
      <c r="E7146" s="28">
        <f t="shared" si="354"/>
        <v>1715.9999999999347</v>
      </c>
      <c r="F7146" s="28">
        <f t="shared" si="355"/>
        <v>1697.9999999999347</v>
      </c>
      <c r="G7146" s="28">
        <f t="shared" si="356"/>
        <v>1610.4358</v>
      </c>
      <c r="H7146" s="28">
        <f t="shared" si="357"/>
        <v>1668.5941</v>
      </c>
      <c r="I7146" s="28">
        <f t="shared" si="358"/>
        <v>1699.3589999999999</v>
      </c>
      <c r="J7146" s="28">
        <f t="shared" si="359"/>
        <v>1724.3675000000001</v>
      </c>
      <c r="K7146" s="28">
        <f t="shared" si="360"/>
        <v>1769.0298</v>
      </c>
      <c r="L7146" s="4"/>
      <c r="M7146" s="241">
        <v>1699.3589999999999</v>
      </c>
    </row>
    <row r="7147" spans="3:13" hidden="1" outlineLevel="1" x14ac:dyDescent="0.2">
      <c r="C7147" s="139">
        <v>228.89999999999128</v>
      </c>
      <c r="D7147" s="28">
        <f t="shared" si="353"/>
        <v>1831.1999999999302</v>
      </c>
      <c r="E7147" s="28">
        <f t="shared" si="354"/>
        <v>1716.7499999999345</v>
      </c>
      <c r="F7147" s="28">
        <f t="shared" si="355"/>
        <v>1698.7499999999345</v>
      </c>
      <c r="G7147" s="28">
        <f t="shared" si="356"/>
        <v>1611.3848</v>
      </c>
      <c r="H7147" s="28">
        <f t="shared" si="357"/>
        <v>1669.5773999999999</v>
      </c>
      <c r="I7147" s="28">
        <f t="shared" si="358"/>
        <v>1700.4173000000001</v>
      </c>
      <c r="J7147" s="28">
        <f t="shared" si="359"/>
        <v>1725.4407000000001</v>
      </c>
      <c r="K7147" s="28">
        <f t="shared" si="360"/>
        <v>1770.0722000000001</v>
      </c>
      <c r="L7147" s="4"/>
      <c r="M7147" s="241">
        <v>1700.4173000000001</v>
      </c>
    </row>
    <row r="7148" spans="3:13" hidden="1" outlineLevel="1" x14ac:dyDescent="0.2">
      <c r="C7148" s="139">
        <v>228.99999999999127</v>
      </c>
      <c r="D7148" s="28">
        <f t="shared" si="353"/>
        <v>1831.9999999999302</v>
      </c>
      <c r="E7148" s="28">
        <f t="shared" si="354"/>
        <v>1717.4999999999345</v>
      </c>
      <c r="F7148" s="28">
        <f t="shared" si="355"/>
        <v>1699.4999999999345</v>
      </c>
      <c r="G7148" s="28">
        <f t="shared" si="356"/>
        <v>1612.3856000000001</v>
      </c>
      <c r="H7148" s="28">
        <f t="shared" si="357"/>
        <v>1670.5606</v>
      </c>
      <c r="I7148" s="28">
        <f t="shared" si="358"/>
        <v>1701.4187999999999</v>
      </c>
      <c r="J7148" s="28">
        <f t="shared" si="359"/>
        <v>1726.4567999999999</v>
      </c>
      <c r="K7148" s="28">
        <f t="shared" si="360"/>
        <v>1771.1147000000001</v>
      </c>
      <c r="L7148" s="4"/>
      <c r="M7148" s="241">
        <v>1701.4187999999999</v>
      </c>
    </row>
    <row r="7149" spans="3:13" hidden="1" outlineLevel="1" x14ac:dyDescent="0.2">
      <c r="C7149" s="139">
        <v>229.09999999999127</v>
      </c>
      <c r="D7149" s="28">
        <f t="shared" si="353"/>
        <v>1832.7999999999302</v>
      </c>
      <c r="E7149" s="28">
        <f t="shared" si="354"/>
        <v>1718.2499999999345</v>
      </c>
      <c r="F7149" s="28">
        <f t="shared" si="355"/>
        <v>1700.2499999999345</v>
      </c>
      <c r="G7149" s="28">
        <f t="shared" si="356"/>
        <v>1613.3865000000001</v>
      </c>
      <c r="H7149" s="28">
        <f t="shared" si="357"/>
        <v>1671.5958000000001</v>
      </c>
      <c r="I7149" s="28">
        <f t="shared" si="358"/>
        <v>1702.4202</v>
      </c>
      <c r="J7149" s="28">
        <f t="shared" si="359"/>
        <v>1727.473</v>
      </c>
      <c r="K7149" s="28">
        <f t="shared" si="360"/>
        <v>1772.1570999999999</v>
      </c>
      <c r="L7149" s="4"/>
      <c r="M7149" s="241">
        <v>1702.4202</v>
      </c>
    </row>
    <row r="7150" spans="3:13" hidden="1" outlineLevel="1" x14ac:dyDescent="0.2">
      <c r="C7150" s="139">
        <v>229.19999999999126</v>
      </c>
      <c r="D7150" s="28">
        <f t="shared" si="353"/>
        <v>1833.5999999999301</v>
      </c>
      <c r="E7150" s="28">
        <f t="shared" si="354"/>
        <v>1718.9999999999345</v>
      </c>
      <c r="F7150" s="28">
        <f t="shared" si="355"/>
        <v>1700.9999999999345</v>
      </c>
      <c r="G7150" s="28">
        <f t="shared" si="356"/>
        <v>1613.3865000000001</v>
      </c>
      <c r="H7150" s="28">
        <f t="shared" si="357"/>
        <v>1671.5958000000001</v>
      </c>
      <c r="I7150" s="28">
        <f t="shared" si="358"/>
        <v>1702.4202</v>
      </c>
      <c r="J7150" s="28">
        <f t="shared" si="359"/>
        <v>1727.473</v>
      </c>
      <c r="K7150" s="28">
        <f t="shared" si="360"/>
        <v>1772.1570999999999</v>
      </c>
      <c r="L7150" s="4"/>
      <c r="M7150" s="241">
        <v>1702.4202</v>
      </c>
    </row>
    <row r="7151" spans="3:13" hidden="1" outlineLevel="1" x14ac:dyDescent="0.2">
      <c r="C7151" s="139">
        <v>229.29999999999126</v>
      </c>
      <c r="D7151" s="28">
        <f t="shared" si="353"/>
        <v>1834.3999999999301</v>
      </c>
      <c r="E7151" s="28">
        <f t="shared" si="354"/>
        <v>1719.7499999999345</v>
      </c>
      <c r="F7151" s="28">
        <f t="shared" si="355"/>
        <v>1701.7499999999345</v>
      </c>
      <c r="G7151" s="28">
        <f t="shared" si="356"/>
        <v>1614.3356000000001</v>
      </c>
      <c r="H7151" s="28">
        <f t="shared" si="357"/>
        <v>1672.5790999999999</v>
      </c>
      <c r="I7151" s="28">
        <f t="shared" si="358"/>
        <v>1703.4215999999999</v>
      </c>
      <c r="J7151" s="28">
        <f t="shared" si="359"/>
        <v>1728.4892</v>
      </c>
      <c r="K7151" s="28">
        <f t="shared" si="360"/>
        <v>1773.1995999999999</v>
      </c>
      <c r="L7151" s="4"/>
      <c r="M7151" s="241">
        <v>1703.4215999999999</v>
      </c>
    </row>
    <row r="7152" spans="3:13" hidden="1" outlineLevel="1" x14ac:dyDescent="0.2">
      <c r="C7152" s="139">
        <v>229.39999999999125</v>
      </c>
      <c r="D7152" s="28">
        <f t="shared" si="353"/>
        <v>1835.19999999993</v>
      </c>
      <c r="E7152" s="28">
        <f t="shared" si="354"/>
        <v>1720.4999999999343</v>
      </c>
      <c r="F7152" s="28">
        <f t="shared" si="355"/>
        <v>1702.4999999999343</v>
      </c>
      <c r="G7152" s="28">
        <f t="shared" si="356"/>
        <v>1615.3366000000001</v>
      </c>
      <c r="H7152" s="28">
        <f t="shared" si="357"/>
        <v>1673.5623000000001</v>
      </c>
      <c r="I7152" s="28">
        <f t="shared" si="358"/>
        <v>1704.4802</v>
      </c>
      <c r="J7152" s="28">
        <f t="shared" si="359"/>
        <v>1729.5053</v>
      </c>
      <c r="K7152" s="28">
        <f t="shared" si="360"/>
        <v>1774.2991999999999</v>
      </c>
      <c r="L7152" s="4"/>
      <c r="M7152" s="241">
        <v>1704.4802</v>
      </c>
    </row>
    <row r="7153" spans="3:13" hidden="1" outlineLevel="1" x14ac:dyDescent="0.2">
      <c r="C7153" s="139">
        <v>229.49999999999125</v>
      </c>
      <c r="D7153" s="28">
        <f t="shared" si="353"/>
        <v>1835.99999999993</v>
      </c>
      <c r="E7153" s="28">
        <f t="shared" si="354"/>
        <v>1721.2499999999343</v>
      </c>
      <c r="F7153" s="28">
        <f t="shared" si="355"/>
        <v>1703.2499999999343</v>
      </c>
      <c r="G7153" s="28">
        <f t="shared" si="356"/>
        <v>1616.2856999999999</v>
      </c>
      <c r="H7153" s="28">
        <f t="shared" si="357"/>
        <v>1674.5976000000001</v>
      </c>
      <c r="I7153" s="28">
        <f t="shared" si="358"/>
        <v>1705.4816000000001</v>
      </c>
      <c r="J7153" s="28">
        <f t="shared" si="359"/>
        <v>1730.5786000000001</v>
      </c>
      <c r="K7153" s="28">
        <f t="shared" si="360"/>
        <v>1775.3416</v>
      </c>
      <c r="L7153" s="4"/>
      <c r="M7153" s="241">
        <v>1705.4816000000001</v>
      </c>
    </row>
    <row r="7154" spans="3:13" hidden="1" outlineLevel="1" x14ac:dyDescent="0.2">
      <c r="C7154" s="139">
        <v>229.59999999999124</v>
      </c>
      <c r="D7154" s="28">
        <f t="shared" si="353"/>
        <v>1836.7999999999299</v>
      </c>
      <c r="E7154" s="28">
        <f t="shared" si="354"/>
        <v>1721.9999999999343</v>
      </c>
      <c r="F7154" s="28">
        <f t="shared" si="355"/>
        <v>1703.9999999999343</v>
      </c>
      <c r="G7154" s="28">
        <f t="shared" si="356"/>
        <v>1616.2856999999999</v>
      </c>
      <c r="H7154" s="28">
        <f t="shared" si="357"/>
        <v>1674.5976000000001</v>
      </c>
      <c r="I7154" s="28">
        <f t="shared" si="358"/>
        <v>1705.4816000000001</v>
      </c>
      <c r="J7154" s="28">
        <f t="shared" si="359"/>
        <v>1730.5786000000001</v>
      </c>
      <c r="K7154" s="28">
        <f t="shared" si="360"/>
        <v>1775.3416</v>
      </c>
      <c r="L7154" s="4"/>
      <c r="M7154" s="241">
        <v>1705.4816000000001</v>
      </c>
    </row>
    <row r="7155" spans="3:13" hidden="1" outlineLevel="1" x14ac:dyDescent="0.2">
      <c r="C7155" s="139">
        <v>229.69999999999123</v>
      </c>
      <c r="D7155" s="28">
        <f t="shared" si="353"/>
        <v>1837.5999999999299</v>
      </c>
      <c r="E7155" s="28">
        <f t="shared" si="354"/>
        <v>1722.7499999999343</v>
      </c>
      <c r="F7155" s="28">
        <f t="shared" si="355"/>
        <v>1704.7499999999343</v>
      </c>
      <c r="G7155" s="28">
        <f t="shared" si="356"/>
        <v>1617.2867000000001</v>
      </c>
      <c r="H7155" s="28">
        <f t="shared" si="357"/>
        <v>1675.5808999999999</v>
      </c>
      <c r="I7155" s="28">
        <f t="shared" si="358"/>
        <v>1706.4830999999999</v>
      </c>
      <c r="J7155" s="28">
        <f t="shared" si="359"/>
        <v>1731.5948000000001</v>
      </c>
      <c r="K7155" s="28">
        <f t="shared" si="360"/>
        <v>1776.3841</v>
      </c>
      <c r="L7155" s="4"/>
      <c r="M7155" s="241">
        <v>1706.4830999999999</v>
      </c>
    </row>
    <row r="7156" spans="3:13" hidden="1" outlineLevel="1" x14ac:dyDescent="0.2">
      <c r="C7156" s="139">
        <v>229.79999999999123</v>
      </c>
      <c r="D7156" s="28">
        <f t="shared" si="353"/>
        <v>1838.3999999999298</v>
      </c>
      <c r="E7156" s="28">
        <f t="shared" si="354"/>
        <v>1723.4999999999343</v>
      </c>
      <c r="F7156" s="28">
        <f t="shared" si="355"/>
        <v>1705.4999999999343</v>
      </c>
      <c r="G7156" s="28">
        <f t="shared" si="356"/>
        <v>1618.2879</v>
      </c>
      <c r="H7156" s="28">
        <f t="shared" si="357"/>
        <v>1676.6162999999999</v>
      </c>
      <c r="I7156" s="28">
        <f t="shared" si="358"/>
        <v>1707.5418</v>
      </c>
      <c r="J7156" s="28">
        <f t="shared" si="359"/>
        <v>1732.6110000000001</v>
      </c>
      <c r="K7156" s="28">
        <f t="shared" si="360"/>
        <v>1777.4266</v>
      </c>
      <c r="L7156" s="4"/>
      <c r="M7156" s="241">
        <v>1707.5418</v>
      </c>
    </row>
    <row r="7157" spans="3:13" hidden="1" outlineLevel="1" x14ac:dyDescent="0.2">
      <c r="C7157" s="139">
        <v>229.89999999999122</v>
      </c>
      <c r="D7157" s="28">
        <f t="shared" si="353"/>
        <v>1839.1999999999298</v>
      </c>
      <c r="E7157" s="28">
        <f t="shared" si="354"/>
        <v>1724.2499999999341</v>
      </c>
      <c r="F7157" s="28">
        <f t="shared" si="355"/>
        <v>1706.2499999999341</v>
      </c>
      <c r="G7157" s="28">
        <f t="shared" si="356"/>
        <v>1619.2370000000001</v>
      </c>
      <c r="H7157" s="28">
        <f t="shared" si="357"/>
        <v>1677.5996</v>
      </c>
      <c r="I7157" s="28">
        <f t="shared" si="358"/>
        <v>1708.5433</v>
      </c>
      <c r="J7157" s="28">
        <f t="shared" si="359"/>
        <v>1733.6271999999999</v>
      </c>
      <c r="K7157" s="28">
        <f t="shared" si="360"/>
        <v>1778.4691</v>
      </c>
      <c r="L7157" s="4"/>
      <c r="M7157" s="241">
        <v>1708.5433</v>
      </c>
    </row>
    <row r="7158" spans="3:13" hidden="1" outlineLevel="1" x14ac:dyDescent="0.2">
      <c r="C7158" s="139">
        <v>229.99999999999122</v>
      </c>
      <c r="D7158" s="28">
        <f t="shared" si="353"/>
        <v>1839.9999999999297</v>
      </c>
      <c r="E7158" s="28">
        <f t="shared" si="354"/>
        <v>1724.9999999999341</v>
      </c>
      <c r="F7158" s="28">
        <f t="shared" si="355"/>
        <v>1706.9999999999341</v>
      </c>
      <c r="G7158" s="28">
        <f t="shared" si="356"/>
        <v>1619.2370000000001</v>
      </c>
      <c r="H7158" s="28">
        <f t="shared" si="357"/>
        <v>1677.5996</v>
      </c>
      <c r="I7158" s="28">
        <f t="shared" si="358"/>
        <v>1708.5433</v>
      </c>
      <c r="J7158" s="28">
        <f t="shared" si="359"/>
        <v>1733.6271999999999</v>
      </c>
      <c r="K7158" s="28">
        <f t="shared" si="360"/>
        <v>1778.4691</v>
      </c>
      <c r="L7158" s="4"/>
      <c r="M7158" s="241">
        <v>1708.5433</v>
      </c>
    </row>
    <row r="7159" spans="3:13" hidden="1" outlineLevel="1" x14ac:dyDescent="0.2">
      <c r="C7159" s="139">
        <v>230.09999999999121</v>
      </c>
      <c r="D7159" s="28">
        <f t="shared" si="353"/>
        <v>1840.7999999999297</v>
      </c>
      <c r="E7159" s="28">
        <f t="shared" si="354"/>
        <v>1725.7499999999341</v>
      </c>
      <c r="F7159" s="28">
        <f t="shared" si="355"/>
        <v>1707.7499999999341</v>
      </c>
      <c r="G7159" s="28">
        <f t="shared" si="356"/>
        <v>1620.2383</v>
      </c>
      <c r="H7159" s="28">
        <f t="shared" si="357"/>
        <v>1678.5830000000001</v>
      </c>
      <c r="I7159" s="28">
        <f t="shared" si="358"/>
        <v>1709.5447999999999</v>
      </c>
      <c r="J7159" s="28">
        <f t="shared" si="359"/>
        <v>1734.7007000000001</v>
      </c>
      <c r="K7159" s="28">
        <f t="shared" si="360"/>
        <v>1779.5116</v>
      </c>
      <c r="L7159" s="4"/>
      <c r="M7159" s="241">
        <v>1709.5447999999999</v>
      </c>
    </row>
    <row r="7160" spans="3:13" hidden="1" outlineLevel="1" x14ac:dyDescent="0.2">
      <c r="C7160" s="139">
        <v>230.19999999999121</v>
      </c>
      <c r="D7160" s="28">
        <f t="shared" si="353"/>
        <v>1841.5999999999297</v>
      </c>
      <c r="E7160" s="28">
        <f t="shared" si="354"/>
        <v>1726.4999999999341</v>
      </c>
      <c r="F7160" s="28">
        <f t="shared" si="355"/>
        <v>1708.4999999999341</v>
      </c>
      <c r="G7160" s="28">
        <f t="shared" si="356"/>
        <v>1621.1874</v>
      </c>
      <c r="H7160" s="28">
        <f t="shared" si="357"/>
        <v>1679.6185</v>
      </c>
      <c r="I7160" s="28">
        <f t="shared" si="358"/>
        <v>1710.5463</v>
      </c>
      <c r="J7160" s="28">
        <f t="shared" si="359"/>
        <v>1735.7168999999999</v>
      </c>
      <c r="K7160" s="28">
        <f t="shared" si="360"/>
        <v>1780.6114</v>
      </c>
      <c r="L7160" s="4"/>
      <c r="M7160" s="241">
        <v>1710.5463</v>
      </c>
    </row>
    <row r="7161" spans="3:13" hidden="1" outlineLevel="1" x14ac:dyDescent="0.2">
      <c r="C7161" s="139">
        <v>230.2999999999912</v>
      </c>
      <c r="D7161" s="28">
        <f t="shared" si="353"/>
        <v>1842.3999999999296</v>
      </c>
      <c r="E7161" s="28">
        <f t="shared" si="354"/>
        <v>1727.2499999999341</v>
      </c>
      <c r="F7161" s="28">
        <f t="shared" si="355"/>
        <v>1709.2499999999341</v>
      </c>
      <c r="G7161" s="28">
        <f t="shared" si="356"/>
        <v>1622.1887999999999</v>
      </c>
      <c r="H7161" s="28">
        <f t="shared" si="357"/>
        <v>1680.6018999999999</v>
      </c>
      <c r="I7161" s="28">
        <f t="shared" si="358"/>
        <v>1711.6051</v>
      </c>
      <c r="J7161" s="28">
        <f t="shared" si="359"/>
        <v>1736.7331999999999</v>
      </c>
      <c r="K7161" s="28">
        <f t="shared" si="360"/>
        <v>1781.6539</v>
      </c>
      <c r="L7161" s="4"/>
      <c r="M7161" s="241">
        <v>1711.6051</v>
      </c>
    </row>
    <row r="7162" spans="3:13" hidden="1" outlineLevel="1" x14ac:dyDescent="0.2">
      <c r="C7162" s="139">
        <v>230.39999999999119</v>
      </c>
      <c r="D7162" s="28">
        <f t="shared" si="353"/>
        <v>1843.1999999999296</v>
      </c>
      <c r="E7162" s="28">
        <f t="shared" si="354"/>
        <v>1727.9999999999341</v>
      </c>
      <c r="F7162" s="28">
        <f t="shared" si="355"/>
        <v>1709.9999999999341</v>
      </c>
      <c r="G7162" s="28">
        <f t="shared" si="356"/>
        <v>1622.1887999999999</v>
      </c>
      <c r="H7162" s="28">
        <f t="shared" si="357"/>
        <v>1680.6018999999999</v>
      </c>
      <c r="I7162" s="28">
        <f t="shared" si="358"/>
        <v>1711.6051</v>
      </c>
      <c r="J7162" s="28">
        <f t="shared" si="359"/>
        <v>1736.7331999999999</v>
      </c>
      <c r="K7162" s="28">
        <f t="shared" si="360"/>
        <v>1781.6539</v>
      </c>
      <c r="L7162" s="4"/>
      <c r="M7162" s="241">
        <v>1711.6051</v>
      </c>
    </row>
    <row r="7163" spans="3:13" hidden="1" outlineLevel="1" x14ac:dyDescent="0.2">
      <c r="C7163" s="139">
        <v>230.49999999999119</v>
      </c>
      <c r="D7163" s="28">
        <f t="shared" ref="D7163:D7226" si="361">C7163*Channels.per.TRX</f>
        <v>1843.9999999999295</v>
      </c>
      <c r="E7163" s="28">
        <f t="shared" ref="E7163:E7226" si="362">D7163-C7163*sig.channel.per.TRX</f>
        <v>1728.7499999999338</v>
      </c>
      <c r="F7163" s="28">
        <f t="shared" ref="F7163:F7226" si="363">MAX(0,E7163-GPRS.channel.per.sector)</f>
        <v>1710.7499999999338</v>
      </c>
      <c r="G7163" s="28">
        <f t="shared" ref="G7163:G7226" si="364">INDEX(D$10:D$4326,MATCH($F7163,$C$10:$C$4326,1))</f>
        <v>1623.1379999999999</v>
      </c>
      <c r="H7163" s="28">
        <f t="shared" ref="H7163:H7226" si="365">INDEX(E$10:E$4326,MATCH($F7163,$C$10:$C$4326,1))</f>
        <v>1681.5852</v>
      </c>
      <c r="I7163" s="28">
        <f t="shared" ref="I7163:I7226" si="366">INDEX(F$10:F$4326,MATCH($F7163,$C$10:$C$4326,1))</f>
        <v>1712.6066000000001</v>
      </c>
      <c r="J7163" s="28">
        <f t="shared" ref="J7163:J7226" si="367">INDEX(G$10:G$4326,MATCH($F7163,$C$10:$C$4326,1))</f>
        <v>1737.7493999999999</v>
      </c>
      <c r="K7163" s="28">
        <f t="shared" ref="K7163:K7226" si="368">INDEX(H$10:H$4326,MATCH($F7163,$C$10:$C$4326,1))</f>
        <v>1782.6964</v>
      </c>
      <c r="L7163" s="4"/>
      <c r="M7163" s="241">
        <v>1712.6066000000001</v>
      </c>
    </row>
    <row r="7164" spans="3:13" hidden="1" outlineLevel="1" x14ac:dyDescent="0.2">
      <c r="C7164" s="139">
        <v>230.59999999999118</v>
      </c>
      <c r="D7164" s="28">
        <f t="shared" si="361"/>
        <v>1844.7999999999295</v>
      </c>
      <c r="E7164" s="28">
        <f t="shared" si="362"/>
        <v>1729.4999999999338</v>
      </c>
      <c r="F7164" s="28">
        <f t="shared" si="363"/>
        <v>1711.4999999999338</v>
      </c>
      <c r="G7164" s="28">
        <f t="shared" si="364"/>
        <v>1624.1394</v>
      </c>
      <c r="H7164" s="28">
        <f t="shared" si="365"/>
        <v>1682.6207999999999</v>
      </c>
      <c r="I7164" s="28">
        <f t="shared" si="366"/>
        <v>1713.6081999999999</v>
      </c>
      <c r="J7164" s="28">
        <f t="shared" si="367"/>
        <v>1738.7655999999999</v>
      </c>
      <c r="K7164" s="28">
        <f t="shared" si="368"/>
        <v>1783.7389000000001</v>
      </c>
      <c r="L7164" s="4"/>
      <c r="M7164" s="241">
        <v>1713.6081999999999</v>
      </c>
    </row>
    <row r="7165" spans="3:13" hidden="1" outlineLevel="1" x14ac:dyDescent="0.2">
      <c r="C7165" s="139">
        <v>230.69999999999118</v>
      </c>
      <c r="D7165" s="28">
        <f t="shared" si="361"/>
        <v>1845.5999999999294</v>
      </c>
      <c r="E7165" s="28">
        <f t="shared" si="362"/>
        <v>1730.2499999999338</v>
      </c>
      <c r="F7165" s="28">
        <f t="shared" si="363"/>
        <v>1712.2499999999338</v>
      </c>
      <c r="G7165" s="28">
        <f t="shared" si="364"/>
        <v>1625.1409000000001</v>
      </c>
      <c r="H7165" s="28">
        <f t="shared" si="365"/>
        <v>1683.6042</v>
      </c>
      <c r="I7165" s="28">
        <f t="shared" si="366"/>
        <v>1714.6097</v>
      </c>
      <c r="J7165" s="28">
        <f t="shared" si="367"/>
        <v>1739.8393000000001</v>
      </c>
      <c r="K7165" s="28">
        <f t="shared" si="368"/>
        <v>1784.7814000000001</v>
      </c>
      <c r="L7165" s="4"/>
      <c r="M7165" s="241">
        <v>1714.6097</v>
      </c>
    </row>
    <row r="7166" spans="3:13" hidden="1" outlineLevel="1" x14ac:dyDescent="0.2">
      <c r="C7166" s="139">
        <v>230.79999999999117</v>
      </c>
      <c r="D7166" s="28">
        <f t="shared" si="361"/>
        <v>1846.3999999999294</v>
      </c>
      <c r="E7166" s="28">
        <f t="shared" si="362"/>
        <v>1730.9999999999338</v>
      </c>
      <c r="F7166" s="28">
        <f t="shared" si="363"/>
        <v>1712.9999999999338</v>
      </c>
      <c r="G7166" s="28">
        <f t="shared" si="364"/>
        <v>1625.1409000000001</v>
      </c>
      <c r="H7166" s="28">
        <f t="shared" si="365"/>
        <v>1683.6042</v>
      </c>
      <c r="I7166" s="28">
        <f t="shared" si="366"/>
        <v>1714.6097</v>
      </c>
      <c r="J7166" s="28">
        <f t="shared" si="367"/>
        <v>1739.8393000000001</v>
      </c>
      <c r="K7166" s="28">
        <f t="shared" si="368"/>
        <v>1784.7814000000001</v>
      </c>
      <c r="L7166" s="4"/>
      <c r="M7166" s="241">
        <v>1714.6097</v>
      </c>
    </row>
    <row r="7167" spans="3:13" hidden="1" outlineLevel="1" x14ac:dyDescent="0.2">
      <c r="C7167" s="139">
        <v>230.89999999999117</v>
      </c>
      <c r="D7167" s="28">
        <f t="shared" si="361"/>
        <v>1847.1999999999293</v>
      </c>
      <c r="E7167" s="28">
        <f t="shared" si="362"/>
        <v>1731.7499999999338</v>
      </c>
      <c r="F7167" s="28">
        <f t="shared" si="363"/>
        <v>1713.7499999999338</v>
      </c>
      <c r="G7167" s="28">
        <f t="shared" si="364"/>
        <v>1626.0900999999999</v>
      </c>
      <c r="H7167" s="28">
        <f t="shared" si="365"/>
        <v>1684.6398999999999</v>
      </c>
      <c r="I7167" s="28">
        <f t="shared" si="366"/>
        <v>1715.6686999999999</v>
      </c>
      <c r="J7167" s="28">
        <f t="shared" si="367"/>
        <v>1740.8556000000001</v>
      </c>
      <c r="K7167" s="28">
        <f t="shared" si="368"/>
        <v>1785.8239000000001</v>
      </c>
      <c r="L7167" s="4"/>
      <c r="M7167" s="241">
        <v>1715.6686999999999</v>
      </c>
    </row>
    <row r="7168" spans="3:13" hidden="1" outlineLevel="1" x14ac:dyDescent="0.2">
      <c r="C7168" s="139">
        <v>230.99999999999116</v>
      </c>
      <c r="D7168" s="28">
        <f t="shared" si="361"/>
        <v>1847.9999999999293</v>
      </c>
      <c r="E7168" s="28">
        <f t="shared" si="362"/>
        <v>1732.4999999999336</v>
      </c>
      <c r="F7168" s="28">
        <f t="shared" si="363"/>
        <v>1714.4999999999336</v>
      </c>
      <c r="G7168" s="28">
        <f t="shared" si="364"/>
        <v>1627.0916999999999</v>
      </c>
      <c r="H7168" s="28">
        <f t="shared" si="365"/>
        <v>1685.6233999999999</v>
      </c>
      <c r="I7168" s="28">
        <f t="shared" si="366"/>
        <v>1716.6703</v>
      </c>
      <c r="J7168" s="28">
        <f t="shared" si="367"/>
        <v>1741.8719000000001</v>
      </c>
      <c r="K7168" s="28">
        <f t="shared" si="368"/>
        <v>1786.8664000000001</v>
      </c>
      <c r="L7168" s="4"/>
      <c r="M7168" s="241">
        <v>1716.6703</v>
      </c>
    </row>
    <row r="7169" spans="3:13" hidden="1" outlineLevel="1" x14ac:dyDescent="0.2">
      <c r="C7169" s="139">
        <v>231.09999999999116</v>
      </c>
      <c r="D7169" s="28">
        <f t="shared" si="361"/>
        <v>1848.7999999999292</v>
      </c>
      <c r="E7169" s="28">
        <f t="shared" si="362"/>
        <v>1733.2499999999336</v>
      </c>
      <c r="F7169" s="28">
        <f t="shared" si="363"/>
        <v>1715.2499999999336</v>
      </c>
      <c r="G7169" s="28">
        <f t="shared" si="364"/>
        <v>1628.0409999999999</v>
      </c>
      <c r="H7169" s="28">
        <f t="shared" si="365"/>
        <v>1686.6068</v>
      </c>
      <c r="I7169" s="28">
        <f t="shared" si="366"/>
        <v>1717.6718000000001</v>
      </c>
      <c r="J7169" s="28">
        <f t="shared" si="367"/>
        <v>1742.8880999999999</v>
      </c>
      <c r="K7169" s="28">
        <f t="shared" si="368"/>
        <v>1787.9665</v>
      </c>
      <c r="L7169" s="4"/>
      <c r="M7169" s="241">
        <v>1717.6718000000001</v>
      </c>
    </row>
    <row r="7170" spans="3:13" hidden="1" outlineLevel="1" x14ac:dyDescent="0.2">
      <c r="C7170" s="139">
        <v>231.19999999999115</v>
      </c>
      <c r="D7170" s="28">
        <f t="shared" si="361"/>
        <v>1849.5999999999292</v>
      </c>
      <c r="E7170" s="28">
        <f t="shared" si="362"/>
        <v>1733.9999999999336</v>
      </c>
      <c r="F7170" s="28">
        <f t="shared" si="363"/>
        <v>1715.9999999999336</v>
      </c>
      <c r="G7170" s="28">
        <f t="shared" si="364"/>
        <v>1628.0409999999999</v>
      </c>
      <c r="H7170" s="28">
        <f t="shared" si="365"/>
        <v>1686.6068</v>
      </c>
      <c r="I7170" s="28">
        <f t="shared" si="366"/>
        <v>1717.6718000000001</v>
      </c>
      <c r="J7170" s="28">
        <f t="shared" si="367"/>
        <v>1742.8880999999999</v>
      </c>
      <c r="K7170" s="28">
        <f t="shared" si="368"/>
        <v>1787.9665</v>
      </c>
      <c r="L7170" s="4"/>
      <c r="M7170" s="241">
        <v>1717.6718000000001</v>
      </c>
    </row>
    <row r="7171" spans="3:13" hidden="1" outlineLevel="1" x14ac:dyDescent="0.2">
      <c r="C7171" s="139">
        <v>231.29999999999114</v>
      </c>
      <c r="D7171" s="28">
        <f t="shared" si="361"/>
        <v>1850.3999999999292</v>
      </c>
      <c r="E7171" s="28">
        <f t="shared" si="362"/>
        <v>1734.7499999999336</v>
      </c>
      <c r="F7171" s="28">
        <f t="shared" si="363"/>
        <v>1716.7499999999336</v>
      </c>
      <c r="G7171" s="28">
        <f t="shared" si="364"/>
        <v>1629.0427</v>
      </c>
      <c r="H7171" s="28">
        <f t="shared" si="365"/>
        <v>1687.6425999999999</v>
      </c>
      <c r="I7171" s="28">
        <f t="shared" si="366"/>
        <v>1718.6733999999999</v>
      </c>
      <c r="J7171" s="28">
        <f t="shared" si="367"/>
        <v>1743.9043999999999</v>
      </c>
      <c r="K7171" s="28">
        <f t="shared" si="368"/>
        <v>1789.0091</v>
      </c>
      <c r="L7171" s="4"/>
      <c r="M7171" s="241">
        <v>1718.6733999999999</v>
      </c>
    </row>
    <row r="7172" spans="3:13" hidden="1" outlineLevel="1" x14ac:dyDescent="0.2">
      <c r="C7172" s="139">
        <v>231.39999999999114</v>
      </c>
      <c r="D7172" s="28">
        <f t="shared" si="361"/>
        <v>1851.1999999999291</v>
      </c>
      <c r="E7172" s="28">
        <f t="shared" si="362"/>
        <v>1735.4999999999336</v>
      </c>
      <c r="F7172" s="28">
        <f t="shared" si="363"/>
        <v>1717.4999999999336</v>
      </c>
      <c r="G7172" s="28">
        <f t="shared" si="364"/>
        <v>1630.0444</v>
      </c>
      <c r="H7172" s="28">
        <f t="shared" si="365"/>
        <v>1688.6261</v>
      </c>
      <c r="I7172" s="28">
        <f t="shared" si="366"/>
        <v>1719.7326</v>
      </c>
      <c r="J7172" s="28">
        <f t="shared" si="367"/>
        <v>1744.9783</v>
      </c>
      <c r="K7172" s="28">
        <f t="shared" si="368"/>
        <v>1790.0516</v>
      </c>
      <c r="L7172" s="4"/>
      <c r="M7172" s="241">
        <v>1719.7326</v>
      </c>
    </row>
    <row r="7173" spans="3:13" hidden="1" outlineLevel="1" x14ac:dyDescent="0.2">
      <c r="C7173" s="139">
        <v>231.49999999999113</v>
      </c>
      <c r="D7173" s="28">
        <f t="shared" si="361"/>
        <v>1851.9999999999291</v>
      </c>
      <c r="E7173" s="28">
        <f t="shared" si="362"/>
        <v>1736.2499999999336</v>
      </c>
      <c r="F7173" s="28">
        <f t="shared" si="363"/>
        <v>1718.2499999999336</v>
      </c>
      <c r="G7173" s="28">
        <f t="shared" si="364"/>
        <v>1630.9937</v>
      </c>
      <c r="H7173" s="28">
        <f t="shared" si="365"/>
        <v>1689.6096</v>
      </c>
      <c r="I7173" s="28">
        <f t="shared" si="366"/>
        <v>1720.7342000000001</v>
      </c>
      <c r="J7173" s="28">
        <f t="shared" si="367"/>
        <v>1745.9946</v>
      </c>
      <c r="K7173" s="28">
        <f t="shared" si="368"/>
        <v>1791.0942</v>
      </c>
      <c r="L7173" s="4"/>
      <c r="M7173" s="241">
        <v>1720.7342000000001</v>
      </c>
    </row>
    <row r="7174" spans="3:13" hidden="1" outlineLevel="1" x14ac:dyDescent="0.2">
      <c r="C7174" s="139">
        <v>231.59999999999113</v>
      </c>
      <c r="D7174" s="28">
        <f t="shared" si="361"/>
        <v>1852.799999999929</v>
      </c>
      <c r="E7174" s="28">
        <f t="shared" si="362"/>
        <v>1736.9999999999334</v>
      </c>
      <c r="F7174" s="28">
        <f t="shared" si="363"/>
        <v>1718.9999999999334</v>
      </c>
      <c r="G7174" s="28">
        <f t="shared" si="364"/>
        <v>1630.9937</v>
      </c>
      <c r="H7174" s="28">
        <f t="shared" si="365"/>
        <v>1689.6096</v>
      </c>
      <c r="I7174" s="28">
        <f t="shared" si="366"/>
        <v>1720.7342000000001</v>
      </c>
      <c r="J7174" s="28">
        <f t="shared" si="367"/>
        <v>1745.9946</v>
      </c>
      <c r="K7174" s="28">
        <f t="shared" si="368"/>
        <v>1791.0942</v>
      </c>
      <c r="L7174" s="4"/>
      <c r="M7174" s="241">
        <v>1720.7342000000001</v>
      </c>
    </row>
    <row r="7175" spans="3:13" hidden="1" outlineLevel="1" x14ac:dyDescent="0.2">
      <c r="C7175" s="139">
        <v>231.69999999999112</v>
      </c>
      <c r="D7175" s="28">
        <f t="shared" si="361"/>
        <v>1853.599999999929</v>
      </c>
      <c r="E7175" s="28">
        <f t="shared" si="362"/>
        <v>1737.7499999999334</v>
      </c>
      <c r="F7175" s="28">
        <f t="shared" si="363"/>
        <v>1719.7499999999334</v>
      </c>
      <c r="G7175" s="28">
        <f t="shared" si="364"/>
        <v>1631.9956</v>
      </c>
      <c r="H7175" s="28">
        <f t="shared" si="365"/>
        <v>1690.6455000000001</v>
      </c>
      <c r="I7175" s="28">
        <f t="shared" si="366"/>
        <v>1721.7357999999999</v>
      </c>
      <c r="J7175" s="28">
        <f t="shared" si="367"/>
        <v>1747.0109</v>
      </c>
      <c r="K7175" s="28">
        <f t="shared" si="368"/>
        <v>1792.1367</v>
      </c>
      <c r="L7175" s="4"/>
      <c r="M7175" s="241">
        <v>1721.7357999999999</v>
      </c>
    </row>
    <row r="7176" spans="3:13" hidden="1" outlineLevel="1" x14ac:dyDescent="0.2">
      <c r="C7176" s="139">
        <v>231.79999999999112</v>
      </c>
      <c r="D7176" s="28">
        <f t="shared" si="361"/>
        <v>1854.3999999999289</v>
      </c>
      <c r="E7176" s="28">
        <f t="shared" si="362"/>
        <v>1738.4999999999334</v>
      </c>
      <c r="F7176" s="28">
        <f t="shared" si="363"/>
        <v>1720.4999999999334</v>
      </c>
      <c r="G7176" s="28">
        <f t="shared" si="364"/>
        <v>1632.9449</v>
      </c>
      <c r="H7176" s="28">
        <f t="shared" si="365"/>
        <v>1691.6289999999999</v>
      </c>
      <c r="I7176" s="28">
        <f t="shared" si="366"/>
        <v>1722.7374</v>
      </c>
      <c r="J7176" s="28">
        <f t="shared" si="367"/>
        <v>1748.0272</v>
      </c>
      <c r="K7176" s="28">
        <f t="shared" si="368"/>
        <v>1793.1793</v>
      </c>
      <c r="L7176" s="4"/>
      <c r="M7176" s="241">
        <v>1722.7374</v>
      </c>
    </row>
    <row r="7177" spans="3:13" hidden="1" outlineLevel="1" x14ac:dyDescent="0.2">
      <c r="C7177" s="139">
        <v>231.89999999999111</v>
      </c>
      <c r="D7177" s="28">
        <f t="shared" si="361"/>
        <v>1855.1999999999289</v>
      </c>
      <c r="E7177" s="28">
        <f t="shared" si="362"/>
        <v>1739.2499999999334</v>
      </c>
      <c r="F7177" s="28">
        <f t="shared" si="363"/>
        <v>1721.2499999999334</v>
      </c>
      <c r="G7177" s="28">
        <f t="shared" si="364"/>
        <v>1633.9468999999999</v>
      </c>
      <c r="H7177" s="28">
        <f t="shared" si="365"/>
        <v>1692.6125</v>
      </c>
      <c r="I7177" s="28">
        <f t="shared" si="366"/>
        <v>1723.7967000000001</v>
      </c>
      <c r="J7177" s="28">
        <f t="shared" si="367"/>
        <v>1749.1012000000001</v>
      </c>
      <c r="K7177" s="28">
        <f t="shared" si="368"/>
        <v>1794.2796000000001</v>
      </c>
      <c r="L7177" s="4"/>
      <c r="M7177" s="241">
        <v>1723.7967000000001</v>
      </c>
    </row>
    <row r="7178" spans="3:13" hidden="1" outlineLevel="1" x14ac:dyDescent="0.2">
      <c r="C7178" s="139">
        <v>231.9999999999911</v>
      </c>
      <c r="D7178" s="28">
        <f t="shared" si="361"/>
        <v>1855.9999999999288</v>
      </c>
      <c r="E7178" s="28">
        <f t="shared" si="362"/>
        <v>1739.9999999999334</v>
      </c>
      <c r="F7178" s="28">
        <f t="shared" si="363"/>
        <v>1721.9999999999334</v>
      </c>
      <c r="G7178" s="28">
        <f t="shared" si="364"/>
        <v>1633.9468999999999</v>
      </c>
      <c r="H7178" s="28">
        <f t="shared" si="365"/>
        <v>1692.6125</v>
      </c>
      <c r="I7178" s="28">
        <f t="shared" si="366"/>
        <v>1723.7967000000001</v>
      </c>
      <c r="J7178" s="28">
        <f t="shared" si="367"/>
        <v>1749.1012000000001</v>
      </c>
      <c r="K7178" s="28">
        <f t="shared" si="368"/>
        <v>1794.2796000000001</v>
      </c>
      <c r="L7178" s="4"/>
      <c r="M7178" s="241">
        <v>1723.7967000000001</v>
      </c>
    </row>
    <row r="7179" spans="3:13" hidden="1" outlineLevel="1" x14ac:dyDescent="0.2">
      <c r="C7179" s="139">
        <v>232.0999999999911</v>
      </c>
      <c r="D7179" s="28">
        <f t="shared" si="361"/>
        <v>1856.7999999999288</v>
      </c>
      <c r="E7179" s="28">
        <f t="shared" si="362"/>
        <v>1740.7499999999332</v>
      </c>
      <c r="F7179" s="28">
        <f t="shared" si="363"/>
        <v>1722.7499999999332</v>
      </c>
      <c r="G7179" s="28">
        <f t="shared" si="364"/>
        <v>1634.8963000000001</v>
      </c>
      <c r="H7179" s="28">
        <f t="shared" si="365"/>
        <v>1693.6486</v>
      </c>
      <c r="I7179" s="28">
        <f t="shared" si="366"/>
        <v>1724.7983999999999</v>
      </c>
      <c r="J7179" s="28">
        <f t="shared" si="367"/>
        <v>1750.1176</v>
      </c>
      <c r="K7179" s="28">
        <f t="shared" si="368"/>
        <v>1795.3222000000001</v>
      </c>
      <c r="L7179" s="4"/>
      <c r="M7179" s="241">
        <v>1724.7983999999999</v>
      </c>
    </row>
    <row r="7180" spans="3:13" hidden="1" outlineLevel="1" x14ac:dyDescent="0.2">
      <c r="C7180" s="139">
        <v>232.19999999999109</v>
      </c>
      <c r="D7180" s="28">
        <f t="shared" si="361"/>
        <v>1857.5999999999287</v>
      </c>
      <c r="E7180" s="28">
        <f t="shared" si="362"/>
        <v>1741.4999999999332</v>
      </c>
      <c r="F7180" s="28">
        <f t="shared" si="363"/>
        <v>1723.4999999999332</v>
      </c>
      <c r="G7180" s="28">
        <f t="shared" si="364"/>
        <v>1635.8983000000001</v>
      </c>
      <c r="H7180" s="28">
        <f t="shared" si="365"/>
        <v>1694.6321</v>
      </c>
      <c r="I7180" s="28">
        <f t="shared" si="366"/>
        <v>1725.8</v>
      </c>
      <c r="J7180" s="28">
        <f t="shared" si="367"/>
        <v>1751.1339</v>
      </c>
      <c r="K7180" s="28">
        <f t="shared" si="368"/>
        <v>1796.3647000000001</v>
      </c>
      <c r="L7180" s="4"/>
      <c r="M7180" s="241">
        <v>1725.8</v>
      </c>
    </row>
    <row r="7181" spans="3:13" hidden="1" outlineLevel="1" x14ac:dyDescent="0.2">
      <c r="C7181" s="139">
        <v>232.29999999999109</v>
      </c>
      <c r="D7181" s="28">
        <f t="shared" si="361"/>
        <v>1858.3999999999287</v>
      </c>
      <c r="E7181" s="28">
        <f t="shared" si="362"/>
        <v>1742.2499999999332</v>
      </c>
      <c r="F7181" s="28">
        <f t="shared" si="363"/>
        <v>1724.2499999999332</v>
      </c>
      <c r="G7181" s="28">
        <f t="shared" si="364"/>
        <v>1636.9003</v>
      </c>
      <c r="H7181" s="28">
        <f t="shared" si="365"/>
        <v>1695.6157000000001</v>
      </c>
      <c r="I7181" s="28">
        <f t="shared" si="366"/>
        <v>1726.8016</v>
      </c>
      <c r="J7181" s="28">
        <f t="shared" si="367"/>
        <v>1752.1502</v>
      </c>
      <c r="K7181" s="28">
        <f t="shared" si="368"/>
        <v>1797.4073000000001</v>
      </c>
      <c r="L7181" s="4"/>
      <c r="M7181" s="241">
        <v>1726.8016</v>
      </c>
    </row>
    <row r="7182" spans="3:13" hidden="1" outlineLevel="1" x14ac:dyDescent="0.2">
      <c r="C7182" s="139">
        <v>232.39999999999108</v>
      </c>
      <c r="D7182" s="28">
        <f t="shared" si="361"/>
        <v>1859.1999999999287</v>
      </c>
      <c r="E7182" s="28">
        <f t="shared" si="362"/>
        <v>1742.9999999999332</v>
      </c>
      <c r="F7182" s="28">
        <f t="shared" si="363"/>
        <v>1724.9999999999332</v>
      </c>
      <c r="G7182" s="28">
        <f t="shared" si="364"/>
        <v>1636.9003</v>
      </c>
      <c r="H7182" s="28">
        <f t="shared" si="365"/>
        <v>1695.6157000000001</v>
      </c>
      <c r="I7182" s="28">
        <f t="shared" si="366"/>
        <v>1726.8016</v>
      </c>
      <c r="J7182" s="28">
        <f t="shared" si="367"/>
        <v>1752.1502</v>
      </c>
      <c r="K7182" s="28">
        <f t="shared" si="368"/>
        <v>1797.4073000000001</v>
      </c>
      <c r="L7182" s="4"/>
      <c r="M7182" s="241">
        <v>1726.8016</v>
      </c>
    </row>
    <row r="7183" spans="3:13" hidden="1" outlineLevel="1" x14ac:dyDescent="0.2">
      <c r="C7183" s="139">
        <v>232.49999999999108</v>
      </c>
      <c r="D7183" s="28">
        <f t="shared" si="361"/>
        <v>1859.9999999999286</v>
      </c>
      <c r="E7183" s="28">
        <f t="shared" si="362"/>
        <v>1743.7499999999332</v>
      </c>
      <c r="F7183" s="28">
        <f t="shared" si="363"/>
        <v>1725.7499999999332</v>
      </c>
      <c r="G7183" s="28">
        <f t="shared" si="364"/>
        <v>1637.8498</v>
      </c>
      <c r="H7183" s="28">
        <f t="shared" si="365"/>
        <v>1696.6518000000001</v>
      </c>
      <c r="I7183" s="28">
        <f t="shared" si="366"/>
        <v>1727.8611000000001</v>
      </c>
      <c r="J7183" s="28">
        <f t="shared" si="367"/>
        <v>1753.1665</v>
      </c>
      <c r="K7183" s="28">
        <f t="shared" si="368"/>
        <v>1798.4499000000001</v>
      </c>
      <c r="L7183" s="4"/>
      <c r="M7183" s="241">
        <v>1727.8611000000001</v>
      </c>
    </row>
    <row r="7184" spans="3:13" hidden="1" outlineLevel="1" x14ac:dyDescent="0.2">
      <c r="C7184" s="139">
        <v>232.59999999999107</v>
      </c>
      <c r="D7184" s="28">
        <f t="shared" si="361"/>
        <v>1860.7999999999286</v>
      </c>
      <c r="E7184" s="28">
        <f t="shared" si="362"/>
        <v>1744.4999999999329</v>
      </c>
      <c r="F7184" s="28">
        <f t="shared" si="363"/>
        <v>1726.4999999999329</v>
      </c>
      <c r="G7184" s="28">
        <f t="shared" si="364"/>
        <v>1638.8520000000001</v>
      </c>
      <c r="H7184" s="28">
        <f t="shared" si="365"/>
        <v>1697.6353999999999</v>
      </c>
      <c r="I7184" s="28">
        <f t="shared" si="366"/>
        <v>1728.8628000000001</v>
      </c>
      <c r="J7184" s="28">
        <f t="shared" si="367"/>
        <v>1754.2408</v>
      </c>
      <c r="K7184" s="28">
        <f t="shared" si="368"/>
        <v>1799.4925000000001</v>
      </c>
      <c r="L7184" s="4"/>
      <c r="M7184" s="241">
        <v>1728.8628000000001</v>
      </c>
    </row>
    <row r="7185" spans="3:13" hidden="1" outlineLevel="1" x14ac:dyDescent="0.2">
      <c r="C7185" s="139">
        <v>232.69999999999106</v>
      </c>
      <c r="D7185" s="28">
        <f t="shared" si="361"/>
        <v>1861.5999999999285</v>
      </c>
      <c r="E7185" s="28">
        <f t="shared" si="362"/>
        <v>1745.2499999999329</v>
      </c>
      <c r="F7185" s="28">
        <f t="shared" si="363"/>
        <v>1727.2499999999329</v>
      </c>
      <c r="G7185" s="28">
        <f t="shared" si="364"/>
        <v>1639.8015</v>
      </c>
      <c r="H7185" s="28">
        <f t="shared" si="365"/>
        <v>1698.6717000000001</v>
      </c>
      <c r="I7185" s="28">
        <f t="shared" si="366"/>
        <v>1729.8644999999999</v>
      </c>
      <c r="J7185" s="28">
        <f t="shared" si="367"/>
        <v>1755.2572</v>
      </c>
      <c r="K7185" s="28">
        <f t="shared" si="368"/>
        <v>1800.5930000000001</v>
      </c>
      <c r="L7185" s="4"/>
      <c r="M7185" s="241">
        <v>1729.8644999999999</v>
      </c>
    </row>
    <row r="7186" spans="3:13" hidden="1" outlineLevel="1" x14ac:dyDescent="0.2">
      <c r="C7186" s="139">
        <v>232.79999999999106</v>
      </c>
      <c r="D7186" s="28">
        <f t="shared" si="361"/>
        <v>1862.3999999999285</v>
      </c>
      <c r="E7186" s="28">
        <f t="shared" si="362"/>
        <v>1745.9999999999329</v>
      </c>
      <c r="F7186" s="28">
        <f t="shared" si="363"/>
        <v>1727.9999999999329</v>
      </c>
      <c r="G7186" s="28">
        <f t="shared" si="364"/>
        <v>1639.8015</v>
      </c>
      <c r="H7186" s="28">
        <f t="shared" si="365"/>
        <v>1698.6717000000001</v>
      </c>
      <c r="I7186" s="28">
        <f t="shared" si="366"/>
        <v>1729.8644999999999</v>
      </c>
      <c r="J7186" s="28">
        <f t="shared" si="367"/>
        <v>1755.2572</v>
      </c>
      <c r="K7186" s="28">
        <f t="shared" si="368"/>
        <v>1800.5930000000001</v>
      </c>
      <c r="L7186" s="4"/>
      <c r="M7186" s="241">
        <v>1729.8644999999999</v>
      </c>
    </row>
    <row r="7187" spans="3:13" hidden="1" outlineLevel="1" x14ac:dyDescent="0.2">
      <c r="C7187" s="139">
        <v>232.89999999999105</v>
      </c>
      <c r="D7187" s="28">
        <f t="shared" si="361"/>
        <v>1863.1999999999284</v>
      </c>
      <c r="E7187" s="28">
        <f t="shared" si="362"/>
        <v>1746.7499999999329</v>
      </c>
      <c r="F7187" s="28">
        <f t="shared" si="363"/>
        <v>1728.7499999999329</v>
      </c>
      <c r="G7187" s="28">
        <f t="shared" si="364"/>
        <v>1640.8036999999999</v>
      </c>
      <c r="H7187" s="28">
        <f t="shared" si="365"/>
        <v>1699.6552999999999</v>
      </c>
      <c r="I7187" s="28">
        <f t="shared" si="366"/>
        <v>1730.8661</v>
      </c>
      <c r="J7187" s="28">
        <f t="shared" si="367"/>
        <v>1756.2735</v>
      </c>
      <c r="K7187" s="28">
        <f t="shared" si="368"/>
        <v>1801.6356000000001</v>
      </c>
      <c r="L7187" s="4"/>
      <c r="M7187" s="241">
        <v>1730.8661</v>
      </c>
    </row>
    <row r="7188" spans="3:13" hidden="1" outlineLevel="1" x14ac:dyDescent="0.2">
      <c r="C7188" s="139">
        <v>232.99999999999105</v>
      </c>
      <c r="D7188" s="28">
        <f t="shared" si="361"/>
        <v>1863.9999999999284</v>
      </c>
      <c r="E7188" s="28">
        <f t="shared" si="362"/>
        <v>1747.4999999999329</v>
      </c>
      <c r="F7188" s="28">
        <f t="shared" si="363"/>
        <v>1729.4999999999329</v>
      </c>
      <c r="G7188" s="28">
        <f t="shared" si="364"/>
        <v>1641.7533000000001</v>
      </c>
      <c r="H7188" s="28">
        <f t="shared" si="365"/>
        <v>1700.6388999999999</v>
      </c>
      <c r="I7188" s="28">
        <f t="shared" si="366"/>
        <v>1731.9258</v>
      </c>
      <c r="J7188" s="28">
        <f t="shared" si="367"/>
        <v>1757.2899</v>
      </c>
      <c r="K7188" s="28">
        <f t="shared" si="368"/>
        <v>1802.6783</v>
      </c>
      <c r="L7188" s="4"/>
      <c r="M7188" s="241">
        <v>1731.9258</v>
      </c>
    </row>
    <row r="7189" spans="3:13" hidden="1" outlineLevel="1" x14ac:dyDescent="0.2">
      <c r="C7189" s="139">
        <v>233.09999999999104</v>
      </c>
      <c r="D7189" s="28">
        <f t="shared" si="361"/>
        <v>1864.7999999999283</v>
      </c>
      <c r="E7189" s="28">
        <f t="shared" si="362"/>
        <v>1748.2499999999327</v>
      </c>
      <c r="F7189" s="28">
        <f t="shared" si="363"/>
        <v>1730.2499999999327</v>
      </c>
      <c r="G7189" s="28">
        <f t="shared" si="364"/>
        <v>1642.7556</v>
      </c>
      <c r="H7189" s="28">
        <f t="shared" si="365"/>
        <v>1701.6753000000001</v>
      </c>
      <c r="I7189" s="28">
        <f t="shared" si="366"/>
        <v>1732.9275</v>
      </c>
      <c r="J7189" s="28">
        <f t="shared" si="367"/>
        <v>1758.3063</v>
      </c>
      <c r="K7189" s="28">
        <f t="shared" si="368"/>
        <v>1803.7209</v>
      </c>
      <c r="L7189" s="4"/>
      <c r="M7189" s="241">
        <v>1732.9275</v>
      </c>
    </row>
    <row r="7190" spans="3:13" hidden="1" outlineLevel="1" x14ac:dyDescent="0.2">
      <c r="C7190" s="139">
        <v>233.19999999999104</v>
      </c>
      <c r="D7190" s="28">
        <f t="shared" si="361"/>
        <v>1865.5999999999283</v>
      </c>
      <c r="E7190" s="28">
        <f t="shared" si="362"/>
        <v>1748.9999999999327</v>
      </c>
      <c r="F7190" s="28">
        <f t="shared" si="363"/>
        <v>1730.9999999999327</v>
      </c>
      <c r="G7190" s="28">
        <f t="shared" si="364"/>
        <v>1642.7556</v>
      </c>
      <c r="H7190" s="28">
        <f t="shared" si="365"/>
        <v>1701.6753000000001</v>
      </c>
      <c r="I7190" s="28">
        <f t="shared" si="366"/>
        <v>1732.9275</v>
      </c>
      <c r="J7190" s="28">
        <f t="shared" si="367"/>
        <v>1758.3063</v>
      </c>
      <c r="K7190" s="28">
        <f t="shared" si="368"/>
        <v>1803.7209</v>
      </c>
      <c r="L7190" s="4"/>
      <c r="M7190" s="241">
        <v>1732.9275</v>
      </c>
    </row>
    <row r="7191" spans="3:13" hidden="1" outlineLevel="1" x14ac:dyDescent="0.2">
      <c r="C7191" s="139">
        <v>233.29999999999103</v>
      </c>
      <c r="D7191" s="28">
        <f t="shared" si="361"/>
        <v>1866.3999999999282</v>
      </c>
      <c r="E7191" s="28">
        <f t="shared" si="362"/>
        <v>1749.7499999999327</v>
      </c>
      <c r="F7191" s="28">
        <f t="shared" si="363"/>
        <v>1731.7499999999327</v>
      </c>
      <c r="G7191" s="28">
        <f t="shared" si="364"/>
        <v>1643.758</v>
      </c>
      <c r="H7191" s="28">
        <f t="shared" si="365"/>
        <v>1702.6588999999999</v>
      </c>
      <c r="I7191" s="28">
        <f t="shared" si="366"/>
        <v>1733.9292</v>
      </c>
      <c r="J7191" s="28">
        <f t="shared" si="367"/>
        <v>1759.3806999999999</v>
      </c>
      <c r="K7191" s="28">
        <f t="shared" si="368"/>
        <v>1804.7635</v>
      </c>
      <c r="L7191" s="4"/>
      <c r="M7191" s="241">
        <v>1733.9292</v>
      </c>
    </row>
    <row r="7192" spans="3:13" hidden="1" outlineLevel="1" x14ac:dyDescent="0.2">
      <c r="C7192" s="139">
        <v>233.39999999999102</v>
      </c>
      <c r="D7192" s="28">
        <f t="shared" si="361"/>
        <v>1867.1999999999282</v>
      </c>
      <c r="E7192" s="28">
        <f t="shared" si="362"/>
        <v>1750.4999999999327</v>
      </c>
      <c r="F7192" s="28">
        <f t="shared" si="363"/>
        <v>1732.4999999999327</v>
      </c>
      <c r="G7192" s="28">
        <f t="shared" si="364"/>
        <v>1644.7076</v>
      </c>
      <c r="H7192" s="28">
        <f t="shared" si="365"/>
        <v>1703.6424999999999</v>
      </c>
      <c r="I7192" s="28">
        <f t="shared" si="366"/>
        <v>1734.9309000000001</v>
      </c>
      <c r="J7192" s="28">
        <f t="shared" si="367"/>
        <v>1760.3970999999999</v>
      </c>
      <c r="K7192" s="28">
        <f t="shared" si="368"/>
        <v>1805.8061</v>
      </c>
      <c r="L7192" s="4"/>
      <c r="M7192" s="241">
        <v>1734.9309000000001</v>
      </c>
    </row>
    <row r="7193" spans="3:13" hidden="1" outlineLevel="1" x14ac:dyDescent="0.2">
      <c r="C7193" s="139">
        <v>233.49999999999102</v>
      </c>
      <c r="D7193" s="28">
        <f t="shared" si="361"/>
        <v>1867.9999999999281</v>
      </c>
      <c r="E7193" s="28">
        <f t="shared" si="362"/>
        <v>1751.2499999999327</v>
      </c>
      <c r="F7193" s="28">
        <f t="shared" si="363"/>
        <v>1733.2499999999327</v>
      </c>
      <c r="G7193" s="28">
        <f t="shared" si="364"/>
        <v>1645.7101</v>
      </c>
      <c r="H7193" s="28">
        <f t="shared" si="365"/>
        <v>1704.6790000000001</v>
      </c>
      <c r="I7193" s="28">
        <f t="shared" si="366"/>
        <v>1735.9908</v>
      </c>
      <c r="J7193" s="28">
        <f t="shared" si="367"/>
        <v>1761.4135000000001</v>
      </c>
      <c r="K7193" s="28">
        <f t="shared" si="368"/>
        <v>1806.8487</v>
      </c>
      <c r="L7193" s="4"/>
      <c r="M7193" s="241">
        <v>1735.9908</v>
      </c>
    </row>
    <row r="7194" spans="3:13" hidden="1" outlineLevel="1" x14ac:dyDescent="0.2">
      <c r="C7194" s="139">
        <v>233.59999999999101</v>
      </c>
      <c r="D7194" s="28">
        <f t="shared" si="361"/>
        <v>1868.7999999999281</v>
      </c>
      <c r="E7194" s="28">
        <f t="shared" si="362"/>
        <v>1751.9999999999327</v>
      </c>
      <c r="F7194" s="28">
        <f t="shared" si="363"/>
        <v>1733.9999999999327</v>
      </c>
      <c r="G7194" s="28">
        <f t="shared" si="364"/>
        <v>1645.7101</v>
      </c>
      <c r="H7194" s="28">
        <f t="shared" si="365"/>
        <v>1704.6790000000001</v>
      </c>
      <c r="I7194" s="28">
        <f t="shared" si="366"/>
        <v>1735.9908</v>
      </c>
      <c r="J7194" s="28">
        <f t="shared" si="367"/>
        <v>1761.4135000000001</v>
      </c>
      <c r="K7194" s="28">
        <f t="shared" si="368"/>
        <v>1806.8487</v>
      </c>
      <c r="L7194" s="4"/>
      <c r="M7194" s="241">
        <v>1735.9908</v>
      </c>
    </row>
    <row r="7195" spans="3:13" hidden="1" outlineLevel="1" x14ac:dyDescent="0.2">
      <c r="C7195" s="139">
        <v>233.69999999999101</v>
      </c>
      <c r="D7195" s="28">
        <f t="shared" si="361"/>
        <v>1869.5999999999281</v>
      </c>
      <c r="E7195" s="28">
        <f t="shared" si="362"/>
        <v>1752.7499999999325</v>
      </c>
      <c r="F7195" s="28">
        <f t="shared" si="363"/>
        <v>1734.7499999999325</v>
      </c>
      <c r="G7195" s="28">
        <f t="shared" si="364"/>
        <v>1646.6596999999999</v>
      </c>
      <c r="H7195" s="28">
        <f t="shared" si="365"/>
        <v>1705.6627000000001</v>
      </c>
      <c r="I7195" s="28">
        <f t="shared" si="366"/>
        <v>1736.9925000000001</v>
      </c>
      <c r="J7195" s="28">
        <f t="shared" si="367"/>
        <v>1762.4299000000001</v>
      </c>
      <c r="K7195" s="28">
        <f t="shared" si="368"/>
        <v>1807.9494999999999</v>
      </c>
      <c r="L7195" s="4"/>
      <c r="M7195" s="241">
        <v>1736.9925000000001</v>
      </c>
    </row>
    <row r="7196" spans="3:13" hidden="1" outlineLevel="1" x14ac:dyDescent="0.2">
      <c r="C7196" s="139">
        <v>233.799999999991</v>
      </c>
      <c r="D7196" s="28">
        <f t="shared" si="361"/>
        <v>1870.399999999928</v>
      </c>
      <c r="E7196" s="28">
        <f t="shared" si="362"/>
        <v>1753.4999999999325</v>
      </c>
      <c r="F7196" s="28">
        <f t="shared" si="363"/>
        <v>1735.4999999999325</v>
      </c>
      <c r="G7196" s="28">
        <f t="shared" si="364"/>
        <v>1647.6623</v>
      </c>
      <c r="H7196" s="28">
        <f t="shared" si="365"/>
        <v>1706.6463000000001</v>
      </c>
      <c r="I7196" s="28">
        <f t="shared" si="366"/>
        <v>1737.9942000000001</v>
      </c>
      <c r="J7196" s="28">
        <f t="shared" si="367"/>
        <v>1763.4463000000001</v>
      </c>
      <c r="K7196" s="28">
        <f t="shared" si="368"/>
        <v>1808.9921999999999</v>
      </c>
      <c r="L7196" s="4"/>
      <c r="M7196" s="241">
        <v>1737.9942000000001</v>
      </c>
    </row>
    <row r="7197" spans="3:13" hidden="1" outlineLevel="1" x14ac:dyDescent="0.2">
      <c r="C7197" s="139">
        <v>233.899999999991</v>
      </c>
      <c r="D7197" s="28">
        <f t="shared" si="361"/>
        <v>1871.199999999928</v>
      </c>
      <c r="E7197" s="28">
        <f t="shared" si="362"/>
        <v>1754.2499999999325</v>
      </c>
      <c r="F7197" s="28">
        <f t="shared" si="363"/>
        <v>1736.2499999999325</v>
      </c>
      <c r="G7197" s="28">
        <f t="shared" si="364"/>
        <v>1648.6119000000001</v>
      </c>
      <c r="H7197" s="28">
        <f t="shared" si="365"/>
        <v>1707.683</v>
      </c>
      <c r="I7197" s="28">
        <f t="shared" si="366"/>
        <v>1738.9958999999999</v>
      </c>
      <c r="J7197" s="28">
        <f t="shared" si="367"/>
        <v>1764.521</v>
      </c>
      <c r="K7197" s="28">
        <f t="shared" si="368"/>
        <v>1810.0347999999999</v>
      </c>
      <c r="L7197" s="4"/>
      <c r="M7197" s="241">
        <v>1738.9958999999999</v>
      </c>
    </row>
    <row r="7198" spans="3:13" hidden="1" outlineLevel="1" x14ac:dyDescent="0.2">
      <c r="C7198" s="139">
        <v>233.99999999999099</v>
      </c>
      <c r="D7198" s="28">
        <f t="shared" si="361"/>
        <v>1871.9999999999279</v>
      </c>
      <c r="E7198" s="28">
        <f t="shared" si="362"/>
        <v>1754.9999999999325</v>
      </c>
      <c r="F7198" s="28">
        <f t="shared" si="363"/>
        <v>1736.9999999999325</v>
      </c>
      <c r="G7198" s="28">
        <f t="shared" si="364"/>
        <v>1648.6119000000001</v>
      </c>
      <c r="H7198" s="28">
        <f t="shared" si="365"/>
        <v>1707.683</v>
      </c>
      <c r="I7198" s="28">
        <f t="shared" si="366"/>
        <v>1738.9958999999999</v>
      </c>
      <c r="J7198" s="28">
        <f t="shared" si="367"/>
        <v>1764.521</v>
      </c>
      <c r="K7198" s="28">
        <f t="shared" si="368"/>
        <v>1810.0347999999999</v>
      </c>
      <c r="L7198" s="4"/>
      <c r="M7198" s="241">
        <v>1738.9958999999999</v>
      </c>
    </row>
    <row r="7199" spans="3:13" hidden="1" outlineLevel="1" x14ac:dyDescent="0.2">
      <c r="C7199" s="139">
        <v>234.09999999999098</v>
      </c>
      <c r="D7199" s="28">
        <f t="shared" si="361"/>
        <v>1872.7999999999279</v>
      </c>
      <c r="E7199" s="28">
        <f t="shared" si="362"/>
        <v>1755.7499999999325</v>
      </c>
      <c r="F7199" s="28">
        <f t="shared" si="363"/>
        <v>1737.7499999999325</v>
      </c>
      <c r="G7199" s="28">
        <f t="shared" si="364"/>
        <v>1649.6146000000001</v>
      </c>
      <c r="H7199" s="28">
        <f t="shared" si="365"/>
        <v>1708.6667</v>
      </c>
      <c r="I7199" s="28">
        <f t="shared" si="366"/>
        <v>1740.056</v>
      </c>
      <c r="J7199" s="28">
        <f t="shared" si="367"/>
        <v>1765.5373999999999</v>
      </c>
      <c r="K7199" s="28">
        <f t="shared" si="368"/>
        <v>1811.0775000000001</v>
      </c>
      <c r="L7199" s="4"/>
      <c r="M7199" s="241">
        <v>1740.056</v>
      </c>
    </row>
    <row r="7200" spans="3:13" hidden="1" outlineLevel="1" x14ac:dyDescent="0.2">
      <c r="C7200" s="139">
        <v>234.19999999999098</v>
      </c>
      <c r="D7200" s="28">
        <f t="shared" si="361"/>
        <v>1873.5999999999278</v>
      </c>
      <c r="E7200" s="28">
        <f t="shared" si="362"/>
        <v>1756.4999999999322</v>
      </c>
      <c r="F7200" s="28">
        <f t="shared" si="363"/>
        <v>1738.4999999999322</v>
      </c>
      <c r="G7200" s="28">
        <f t="shared" si="364"/>
        <v>1650.6172999999999</v>
      </c>
      <c r="H7200" s="28">
        <f t="shared" si="365"/>
        <v>1709.7034000000001</v>
      </c>
      <c r="I7200" s="28">
        <f t="shared" si="366"/>
        <v>1741.0577000000001</v>
      </c>
      <c r="J7200" s="28">
        <f t="shared" si="367"/>
        <v>1766.5537999999999</v>
      </c>
      <c r="K7200" s="28">
        <f t="shared" si="368"/>
        <v>1812.1201000000001</v>
      </c>
      <c r="L7200" s="4"/>
      <c r="M7200" s="241">
        <v>1741.0577000000001</v>
      </c>
    </row>
    <row r="7201" spans="3:13" hidden="1" outlineLevel="1" x14ac:dyDescent="0.2">
      <c r="C7201" s="139">
        <v>234.29999999999097</v>
      </c>
      <c r="D7201" s="28">
        <f t="shared" si="361"/>
        <v>1874.3999999999278</v>
      </c>
      <c r="E7201" s="28">
        <f t="shared" si="362"/>
        <v>1757.2499999999322</v>
      </c>
      <c r="F7201" s="28">
        <f t="shared" si="363"/>
        <v>1739.2499999999322</v>
      </c>
      <c r="G7201" s="28">
        <f t="shared" si="364"/>
        <v>1651.5671</v>
      </c>
      <c r="H7201" s="28">
        <f t="shared" si="365"/>
        <v>1710.6871000000001</v>
      </c>
      <c r="I7201" s="28">
        <f t="shared" si="366"/>
        <v>1742.0595000000001</v>
      </c>
      <c r="J7201" s="28">
        <f t="shared" si="367"/>
        <v>1767.5703000000001</v>
      </c>
      <c r="K7201" s="28">
        <f t="shared" si="368"/>
        <v>1813.1628000000001</v>
      </c>
      <c r="L7201" s="4"/>
      <c r="M7201" s="241">
        <v>1742.0595000000001</v>
      </c>
    </row>
    <row r="7202" spans="3:13" hidden="1" outlineLevel="1" x14ac:dyDescent="0.2">
      <c r="C7202" s="139">
        <v>234.39999999999097</v>
      </c>
      <c r="D7202" s="28">
        <f t="shared" si="361"/>
        <v>1875.1999999999277</v>
      </c>
      <c r="E7202" s="28">
        <f t="shared" si="362"/>
        <v>1757.9999999999322</v>
      </c>
      <c r="F7202" s="28">
        <f t="shared" si="363"/>
        <v>1739.9999999999322</v>
      </c>
      <c r="G7202" s="28">
        <f t="shared" si="364"/>
        <v>1651.5671</v>
      </c>
      <c r="H7202" s="28">
        <f t="shared" si="365"/>
        <v>1710.6871000000001</v>
      </c>
      <c r="I7202" s="28">
        <f t="shared" si="366"/>
        <v>1742.0595000000001</v>
      </c>
      <c r="J7202" s="28">
        <f t="shared" si="367"/>
        <v>1767.5703000000001</v>
      </c>
      <c r="K7202" s="28">
        <f t="shared" si="368"/>
        <v>1813.1628000000001</v>
      </c>
      <c r="L7202" s="4"/>
      <c r="M7202" s="241">
        <v>1742.0595000000001</v>
      </c>
    </row>
    <row r="7203" spans="3:13" hidden="1" outlineLevel="1" x14ac:dyDescent="0.2">
      <c r="C7203" s="139">
        <v>234.49999999999096</v>
      </c>
      <c r="D7203" s="28">
        <f t="shared" si="361"/>
        <v>1875.9999999999277</v>
      </c>
      <c r="E7203" s="28">
        <f t="shared" si="362"/>
        <v>1758.7499999999322</v>
      </c>
      <c r="F7203" s="28">
        <f t="shared" si="363"/>
        <v>1740.7499999999322</v>
      </c>
      <c r="G7203" s="28">
        <f t="shared" si="364"/>
        <v>1652.5699</v>
      </c>
      <c r="H7203" s="28">
        <f t="shared" si="365"/>
        <v>1711.6708000000001</v>
      </c>
      <c r="I7203" s="28">
        <f t="shared" si="366"/>
        <v>1743.0612000000001</v>
      </c>
      <c r="J7203" s="28">
        <f t="shared" si="367"/>
        <v>1768.6451</v>
      </c>
      <c r="K7203" s="28">
        <f t="shared" si="368"/>
        <v>1814.2637999999999</v>
      </c>
      <c r="L7203" s="4"/>
      <c r="M7203" s="241">
        <v>1743.0612000000001</v>
      </c>
    </row>
    <row r="7204" spans="3:13" hidden="1" outlineLevel="1" x14ac:dyDescent="0.2">
      <c r="C7204" s="139">
        <v>234.59999999999096</v>
      </c>
      <c r="D7204" s="28">
        <f t="shared" si="361"/>
        <v>1876.7999999999276</v>
      </c>
      <c r="E7204" s="28">
        <f t="shared" si="362"/>
        <v>1759.4999999999322</v>
      </c>
      <c r="F7204" s="28">
        <f t="shared" si="363"/>
        <v>1741.4999999999322</v>
      </c>
      <c r="G7204" s="28">
        <f t="shared" si="364"/>
        <v>1653.5196000000001</v>
      </c>
      <c r="H7204" s="28">
        <f t="shared" si="365"/>
        <v>1712.7076999999999</v>
      </c>
      <c r="I7204" s="28">
        <f t="shared" si="366"/>
        <v>1744.1215</v>
      </c>
      <c r="J7204" s="28">
        <f t="shared" si="367"/>
        <v>1769.6615999999999</v>
      </c>
      <c r="K7204" s="28">
        <f t="shared" si="368"/>
        <v>1815.3064999999999</v>
      </c>
      <c r="L7204" s="4"/>
      <c r="M7204" s="241">
        <v>1744.1215</v>
      </c>
    </row>
    <row r="7205" spans="3:13" hidden="1" outlineLevel="1" x14ac:dyDescent="0.2">
      <c r="C7205" s="139">
        <v>234.69999999999095</v>
      </c>
      <c r="D7205" s="28">
        <f t="shared" si="361"/>
        <v>1877.5999999999276</v>
      </c>
      <c r="E7205" s="28">
        <f t="shared" si="362"/>
        <v>1760.2499999999322</v>
      </c>
      <c r="F7205" s="28">
        <f t="shared" si="363"/>
        <v>1742.2499999999322</v>
      </c>
      <c r="G7205" s="28">
        <f t="shared" si="364"/>
        <v>1654.5226</v>
      </c>
      <c r="H7205" s="28">
        <f t="shared" si="365"/>
        <v>1713.6913999999999</v>
      </c>
      <c r="I7205" s="28">
        <f t="shared" si="366"/>
        <v>1745.1232</v>
      </c>
      <c r="J7205" s="28">
        <f t="shared" si="367"/>
        <v>1770.6780000000001</v>
      </c>
      <c r="K7205" s="28">
        <f t="shared" si="368"/>
        <v>1816.3492000000001</v>
      </c>
      <c r="L7205" s="4"/>
      <c r="M7205" s="241">
        <v>1745.1232</v>
      </c>
    </row>
    <row r="7206" spans="3:13" hidden="1" outlineLevel="1" x14ac:dyDescent="0.2">
      <c r="C7206" s="139">
        <v>234.79999999999094</v>
      </c>
      <c r="D7206" s="28">
        <f t="shared" si="361"/>
        <v>1878.3999999999276</v>
      </c>
      <c r="E7206" s="28">
        <f t="shared" si="362"/>
        <v>1760.999999999932</v>
      </c>
      <c r="F7206" s="28">
        <f t="shared" si="363"/>
        <v>1742.999999999932</v>
      </c>
      <c r="G7206" s="28">
        <f t="shared" si="364"/>
        <v>1654.5226</v>
      </c>
      <c r="H7206" s="28">
        <f t="shared" si="365"/>
        <v>1713.6913999999999</v>
      </c>
      <c r="I7206" s="28">
        <f t="shared" si="366"/>
        <v>1745.1232</v>
      </c>
      <c r="J7206" s="28">
        <f t="shared" si="367"/>
        <v>1770.6780000000001</v>
      </c>
      <c r="K7206" s="28">
        <f t="shared" si="368"/>
        <v>1816.3492000000001</v>
      </c>
      <c r="L7206" s="4"/>
      <c r="M7206" s="241">
        <v>1745.1232</v>
      </c>
    </row>
    <row r="7207" spans="3:13" hidden="1" outlineLevel="1" x14ac:dyDescent="0.2">
      <c r="C7207" s="139">
        <v>234.89999999999094</v>
      </c>
      <c r="D7207" s="28">
        <f t="shared" si="361"/>
        <v>1879.1999999999275</v>
      </c>
      <c r="E7207" s="28">
        <f t="shared" si="362"/>
        <v>1761.749999999932</v>
      </c>
      <c r="F7207" s="28">
        <f t="shared" si="363"/>
        <v>1743.749999999932</v>
      </c>
      <c r="G7207" s="28">
        <f t="shared" si="364"/>
        <v>1655.4722999999999</v>
      </c>
      <c r="H7207" s="28">
        <f t="shared" si="365"/>
        <v>1714.6751999999999</v>
      </c>
      <c r="I7207" s="28">
        <f t="shared" si="366"/>
        <v>1746.125</v>
      </c>
      <c r="J7207" s="28">
        <f t="shared" si="367"/>
        <v>1771.6945000000001</v>
      </c>
      <c r="K7207" s="28">
        <f t="shared" si="368"/>
        <v>1817.3919000000001</v>
      </c>
      <c r="L7207" s="4"/>
      <c r="M7207" s="241">
        <v>1746.125</v>
      </c>
    </row>
    <row r="7208" spans="3:13" hidden="1" outlineLevel="1" x14ac:dyDescent="0.2">
      <c r="C7208" s="139">
        <v>234.99999999999093</v>
      </c>
      <c r="D7208" s="28">
        <f t="shared" si="361"/>
        <v>1879.9999999999275</v>
      </c>
      <c r="E7208" s="28">
        <f t="shared" si="362"/>
        <v>1762.499999999932</v>
      </c>
      <c r="F7208" s="28">
        <f t="shared" si="363"/>
        <v>1744.499999999932</v>
      </c>
      <c r="G7208" s="28">
        <f t="shared" si="364"/>
        <v>1656.4753000000001</v>
      </c>
      <c r="H7208" s="28">
        <f t="shared" si="365"/>
        <v>1715.7121999999999</v>
      </c>
      <c r="I7208" s="28">
        <f t="shared" si="366"/>
        <v>1747.1268</v>
      </c>
      <c r="J7208" s="28">
        <f t="shared" si="367"/>
        <v>1772.711</v>
      </c>
      <c r="K7208" s="28">
        <f t="shared" si="368"/>
        <v>1818.4345000000001</v>
      </c>
      <c r="L7208" s="4"/>
      <c r="M7208" s="241">
        <v>1747.1268</v>
      </c>
    </row>
    <row r="7209" spans="3:13" hidden="1" outlineLevel="1" x14ac:dyDescent="0.2">
      <c r="C7209" s="139">
        <v>235.09999999999093</v>
      </c>
      <c r="D7209" s="28">
        <f t="shared" si="361"/>
        <v>1880.7999999999274</v>
      </c>
      <c r="E7209" s="28">
        <f t="shared" si="362"/>
        <v>1763.249999999932</v>
      </c>
      <c r="F7209" s="28">
        <f t="shared" si="363"/>
        <v>1745.249999999932</v>
      </c>
      <c r="G7209" s="28">
        <f t="shared" si="364"/>
        <v>1657.4784</v>
      </c>
      <c r="H7209" s="28">
        <f t="shared" si="365"/>
        <v>1716.6958999999999</v>
      </c>
      <c r="I7209" s="28">
        <f t="shared" si="366"/>
        <v>1748.1872000000001</v>
      </c>
      <c r="J7209" s="28">
        <f t="shared" si="367"/>
        <v>1773.7860000000001</v>
      </c>
      <c r="K7209" s="28">
        <f t="shared" si="368"/>
        <v>1819.4772</v>
      </c>
      <c r="L7209" s="4"/>
      <c r="M7209" s="241">
        <v>1748.1872000000001</v>
      </c>
    </row>
    <row r="7210" spans="3:13" hidden="1" outlineLevel="1" x14ac:dyDescent="0.2">
      <c r="C7210" s="139">
        <v>235.19999999999092</v>
      </c>
      <c r="D7210" s="28">
        <f t="shared" si="361"/>
        <v>1881.5999999999274</v>
      </c>
      <c r="E7210" s="28">
        <f t="shared" si="362"/>
        <v>1763.999999999932</v>
      </c>
      <c r="F7210" s="28">
        <f t="shared" si="363"/>
        <v>1745.999999999932</v>
      </c>
      <c r="G7210" s="28">
        <f t="shared" si="364"/>
        <v>1657.4784</v>
      </c>
      <c r="H7210" s="28">
        <f t="shared" si="365"/>
        <v>1716.6958999999999</v>
      </c>
      <c r="I7210" s="28">
        <f t="shared" si="366"/>
        <v>1748.1872000000001</v>
      </c>
      <c r="J7210" s="28">
        <f t="shared" si="367"/>
        <v>1773.7860000000001</v>
      </c>
      <c r="K7210" s="28">
        <f t="shared" si="368"/>
        <v>1819.4772</v>
      </c>
      <c r="L7210" s="4"/>
      <c r="M7210" s="241">
        <v>1748.1872000000001</v>
      </c>
    </row>
    <row r="7211" spans="3:13" hidden="1" outlineLevel="1" x14ac:dyDescent="0.2">
      <c r="C7211" s="139">
        <v>235.29999999999092</v>
      </c>
      <c r="D7211" s="28">
        <f t="shared" si="361"/>
        <v>1882.3999999999273</v>
      </c>
      <c r="E7211" s="28">
        <f t="shared" si="362"/>
        <v>1764.7499999999318</v>
      </c>
      <c r="F7211" s="28">
        <f t="shared" si="363"/>
        <v>1746.7499999999318</v>
      </c>
      <c r="G7211" s="28">
        <f t="shared" si="364"/>
        <v>1658.4283</v>
      </c>
      <c r="H7211" s="28">
        <f t="shared" si="365"/>
        <v>1717.6796999999999</v>
      </c>
      <c r="I7211" s="28">
        <f t="shared" si="366"/>
        <v>1749.1890000000001</v>
      </c>
      <c r="J7211" s="28">
        <f t="shared" si="367"/>
        <v>1774.8025</v>
      </c>
      <c r="K7211" s="28">
        <f t="shared" si="368"/>
        <v>1820.5199</v>
      </c>
      <c r="L7211" s="4"/>
      <c r="M7211" s="241">
        <v>1749.1890000000001</v>
      </c>
    </row>
    <row r="7212" spans="3:13" hidden="1" outlineLevel="1" x14ac:dyDescent="0.2">
      <c r="C7212" s="139">
        <v>235.39999999999091</v>
      </c>
      <c r="D7212" s="28">
        <f t="shared" si="361"/>
        <v>1883.1999999999273</v>
      </c>
      <c r="E7212" s="28">
        <f t="shared" si="362"/>
        <v>1765.4999999999318</v>
      </c>
      <c r="F7212" s="28">
        <f t="shared" si="363"/>
        <v>1747.4999999999318</v>
      </c>
      <c r="G7212" s="28">
        <f t="shared" si="364"/>
        <v>1659.4313999999999</v>
      </c>
      <c r="H7212" s="28">
        <f t="shared" si="365"/>
        <v>1718.7167999999999</v>
      </c>
      <c r="I7212" s="28">
        <f t="shared" si="366"/>
        <v>1750.1909000000001</v>
      </c>
      <c r="J7212" s="28">
        <f t="shared" si="367"/>
        <v>1775.819</v>
      </c>
      <c r="K7212" s="28">
        <f t="shared" si="368"/>
        <v>1821.6212</v>
      </c>
      <c r="L7212" s="4"/>
      <c r="M7212" s="241">
        <v>1750.1909000000001</v>
      </c>
    </row>
    <row r="7213" spans="3:13" hidden="1" outlineLevel="1" x14ac:dyDescent="0.2">
      <c r="C7213" s="139">
        <v>235.49999999999091</v>
      </c>
      <c r="D7213" s="28">
        <f t="shared" si="361"/>
        <v>1883.9999999999272</v>
      </c>
      <c r="E7213" s="28">
        <f t="shared" si="362"/>
        <v>1766.2499999999318</v>
      </c>
      <c r="F7213" s="28">
        <f t="shared" si="363"/>
        <v>1748.2499999999318</v>
      </c>
      <c r="G7213" s="28">
        <f t="shared" si="364"/>
        <v>1660.3813</v>
      </c>
      <c r="H7213" s="28">
        <f t="shared" si="365"/>
        <v>1719.7005999999999</v>
      </c>
      <c r="I7213" s="28">
        <f t="shared" si="366"/>
        <v>1751.1927000000001</v>
      </c>
      <c r="J7213" s="28">
        <f t="shared" si="367"/>
        <v>1776.8354999999999</v>
      </c>
      <c r="K7213" s="28">
        <f t="shared" si="368"/>
        <v>1822.6639</v>
      </c>
      <c r="L7213" s="4"/>
      <c r="M7213" s="241">
        <v>1751.1927000000001</v>
      </c>
    </row>
    <row r="7214" spans="3:13" hidden="1" outlineLevel="1" x14ac:dyDescent="0.2">
      <c r="C7214" s="139">
        <v>235.5999999999909</v>
      </c>
      <c r="D7214" s="28">
        <f t="shared" si="361"/>
        <v>1884.7999999999272</v>
      </c>
      <c r="E7214" s="28">
        <f t="shared" si="362"/>
        <v>1766.9999999999318</v>
      </c>
      <c r="F7214" s="28">
        <f t="shared" si="363"/>
        <v>1748.9999999999318</v>
      </c>
      <c r="G7214" s="28">
        <f t="shared" si="364"/>
        <v>1660.3813</v>
      </c>
      <c r="H7214" s="28">
        <f t="shared" si="365"/>
        <v>1719.7005999999999</v>
      </c>
      <c r="I7214" s="28">
        <f t="shared" si="366"/>
        <v>1751.1927000000001</v>
      </c>
      <c r="J7214" s="28">
        <f t="shared" si="367"/>
        <v>1776.8354999999999</v>
      </c>
      <c r="K7214" s="28">
        <f t="shared" si="368"/>
        <v>1822.6639</v>
      </c>
      <c r="L7214" s="4"/>
      <c r="M7214" s="241">
        <v>1751.1927000000001</v>
      </c>
    </row>
    <row r="7215" spans="3:13" hidden="1" outlineLevel="1" x14ac:dyDescent="0.2">
      <c r="C7215" s="139">
        <v>235.69999999999089</v>
      </c>
      <c r="D7215" s="28">
        <f t="shared" si="361"/>
        <v>1885.5999999999271</v>
      </c>
      <c r="E7215" s="28">
        <f t="shared" si="362"/>
        <v>1767.7499999999318</v>
      </c>
      <c r="F7215" s="28">
        <f t="shared" si="363"/>
        <v>1749.7499999999318</v>
      </c>
      <c r="G7215" s="28">
        <f t="shared" si="364"/>
        <v>1661.3844999999999</v>
      </c>
      <c r="H7215" s="28">
        <f t="shared" si="365"/>
        <v>1720.6844000000001</v>
      </c>
      <c r="I7215" s="28">
        <f t="shared" si="366"/>
        <v>1752.2532000000001</v>
      </c>
      <c r="J7215" s="28">
        <f t="shared" si="367"/>
        <v>1777.8520000000001</v>
      </c>
      <c r="K7215" s="28">
        <f t="shared" si="368"/>
        <v>1823.7067</v>
      </c>
      <c r="L7215" s="4"/>
      <c r="M7215" s="241">
        <v>1752.2532000000001</v>
      </c>
    </row>
    <row r="7216" spans="3:13" hidden="1" outlineLevel="1" x14ac:dyDescent="0.2">
      <c r="C7216" s="139">
        <v>235.79999999999089</v>
      </c>
      <c r="D7216" s="28">
        <f t="shared" si="361"/>
        <v>1886.3999999999271</v>
      </c>
      <c r="E7216" s="28">
        <f t="shared" si="362"/>
        <v>1768.4999999999316</v>
      </c>
      <c r="F7216" s="28">
        <f t="shared" si="363"/>
        <v>1750.4999999999316</v>
      </c>
      <c r="G7216" s="28">
        <f t="shared" si="364"/>
        <v>1662.3344</v>
      </c>
      <c r="H7216" s="28">
        <f t="shared" si="365"/>
        <v>1721.7216000000001</v>
      </c>
      <c r="I7216" s="28">
        <f t="shared" si="366"/>
        <v>1753.2551000000001</v>
      </c>
      <c r="J7216" s="28">
        <f t="shared" si="367"/>
        <v>1778.9272000000001</v>
      </c>
      <c r="K7216" s="28">
        <f t="shared" si="368"/>
        <v>1824.7493999999999</v>
      </c>
      <c r="L7216" s="4"/>
      <c r="M7216" s="241">
        <v>1753.2551000000001</v>
      </c>
    </row>
    <row r="7217" spans="3:13" hidden="1" outlineLevel="1" x14ac:dyDescent="0.2">
      <c r="C7217" s="139">
        <v>235.89999999999088</v>
      </c>
      <c r="D7217" s="28">
        <f t="shared" si="361"/>
        <v>1887.1999999999271</v>
      </c>
      <c r="E7217" s="28">
        <f t="shared" si="362"/>
        <v>1769.2499999999316</v>
      </c>
      <c r="F7217" s="28">
        <f t="shared" si="363"/>
        <v>1751.2499999999316</v>
      </c>
      <c r="G7217" s="28">
        <f t="shared" si="364"/>
        <v>1663.3378</v>
      </c>
      <c r="H7217" s="28">
        <f t="shared" si="365"/>
        <v>1722.7055</v>
      </c>
      <c r="I7217" s="28">
        <f t="shared" si="366"/>
        <v>1754.2569000000001</v>
      </c>
      <c r="J7217" s="28">
        <f t="shared" si="367"/>
        <v>1779.9438</v>
      </c>
      <c r="K7217" s="28">
        <f t="shared" si="368"/>
        <v>1825.7920999999999</v>
      </c>
      <c r="L7217" s="4"/>
      <c r="M7217" s="241">
        <v>1754.2569000000001</v>
      </c>
    </row>
    <row r="7218" spans="3:13" hidden="1" outlineLevel="1" x14ac:dyDescent="0.2">
      <c r="C7218" s="139">
        <v>235.99999999999088</v>
      </c>
      <c r="D7218" s="28">
        <f t="shared" si="361"/>
        <v>1887.999999999927</v>
      </c>
      <c r="E7218" s="28">
        <f t="shared" si="362"/>
        <v>1769.9999999999316</v>
      </c>
      <c r="F7218" s="28">
        <f t="shared" si="363"/>
        <v>1751.9999999999316</v>
      </c>
      <c r="G7218" s="28">
        <f t="shared" si="364"/>
        <v>1663.3378</v>
      </c>
      <c r="H7218" s="28">
        <f t="shared" si="365"/>
        <v>1722.7055</v>
      </c>
      <c r="I7218" s="28">
        <f t="shared" si="366"/>
        <v>1754.2569000000001</v>
      </c>
      <c r="J7218" s="28">
        <f t="shared" si="367"/>
        <v>1779.9438</v>
      </c>
      <c r="K7218" s="28">
        <f t="shared" si="368"/>
        <v>1825.7920999999999</v>
      </c>
      <c r="L7218" s="4"/>
      <c r="M7218" s="241">
        <v>1754.2569000000001</v>
      </c>
    </row>
    <row r="7219" spans="3:13" hidden="1" outlineLevel="1" x14ac:dyDescent="0.2">
      <c r="C7219" s="139">
        <v>236.09999999999087</v>
      </c>
      <c r="D7219" s="28">
        <f t="shared" si="361"/>
        <v>1888.799999999927</v>
      </c>
      <c r="E7219" s="28">
        <f t="shared" si="362"/>
        <v>1770.7499999999316</v>
      </c>
      <c r="F7219" s="28">
        <f t="shared" si="363"/>
        <v>1752.7499999999316</v>
      </c>
      <c r="G7219" s="28">
        <f t="shared" si="364"/>
        <v>1664.2877000000001</v>
      </c>
      <c r="H7219" s="28">
        <f t="shared" si="365"/>
        <v>1723.6893</v>
      </c>
      <c r="I7219" s="28">
        <f t="shared" si="366"/>
        <v>1755.2588000000001</v>
      </c>
      <c r="J7219" s="28">
        <f t="shared" si="367"/>
        <v>1780.9603</v>
      </c>
      <c r="K7219" s="28">
        <f t="shared" si="368"/>
        <v>1826.8348000000001</v>
      </c>
      <c r="L7219" s="4"/>
      <c r="M7219" s="241">
        <v>1755.2588000000001</v>
      </c>
    </row>
    <row r="7220" spans="3:13" hidden="1" outlineLevel="1" x14ac:dyDescent="0.2">
      <c r="C7220" s="139">
        <v>236.19999999999087</v>
      </c>
      <c r="D7220" s="28">
        <f t="shared" si="361"/>
        <v>1889.5999999999269</v>
      </c>
      <c r="E7220" s="28">
        <f t="shared" si="362"/>
        <v>1771.4999999999316</v>
      </c>
      <c r="F7220" s="28">
        <f t="shared" si="363"/>
        <v>1753.4999999999316</v>
      </c>
      <c r="G7220" s="28">
        <f t="shared" si="364"/>
        <v>1665.2911999999999</v>
      </c>
      <c r="H7220" s="28">
        <f t="shared" si="365"/>
        <v>1724.7266999999999</v>
      </c>
      <c r="I7220" s="28">
        <f t="shared" si="366"/>
        <v>1756.3195000000001</v>
      </c>
      <c r="J7220" s="28">
        <f t="shared" si="367"/>
        <v>1781.9767999999999</v>
      </c>
      <c r="K7220" s="28">
        <f t="shared" si="368"/>
        <v>1827.9364</v>
      </c>
      <c r="L7220" s="4"/>
      <c r="M7220" s="241">
        <v>1756.3195000000001</v>
      </c>
    </row>
    <row r="7221" spans="3:13" hidden="1" outlineLevel="1" x14ac:dyDescent="0.2">
      <c r="C7221" s="139">
        <v>236.29999999999086</v>
      </c>
      <c r="D7221" s="28">
        <f t="shared" si="361"/>
        <v>1890.3999999999269</v>
      </c>
      <c r="E7221" s="28">
        <f t="shared" si="362"/>
        <v>1772.2499999999313</v>
      </c>
      <c r="F7221" s="28">
        <f t="shared" si="363"/>
        <v>1754.2499999999313</v>
      </c>
      <c r="G7221" s="28">
        <f t="shared" si="364"/>
        <v>1666.2945999999999</v>
      </c>
      <c r="H7221" s="28">
        <f t="shared" si="365"/>
        <v>1725.7104999999999</v>
      </c>
      <c r="I7221" s="28">
        <f t="shared" si="366"/>
        <v>1757.3214</v>
      </c>
      <c r="J7221" s="28">
        <f t="shared" si="367"/>
        <v>1782.9934000000001</v>
      </c>
      <c r="K7221" s="28">
        <f t="shared" si="368"/>
        <v>1828.9791</v>
      </c>
      <c r="L7221" s="4"/>
      <c r="M7221" s="241">
        <v>1757.3214</v>
      </c>
    </row>
    <row r="7222" spans="3:13" hidden="1" outlineLevel="1" x14ac:dyDescent="0.2">
      <c r="C7222" s="139">
        <v>236.39999999999085</v>
      </c>
      <c r="D7222" s="28">
        <f t="shared" si="361"/>
        <v>1891.1999999999268</v>
      </c>
      <c r="E7222" s="28">
        <f t="shared" si="362"/>
        <v>1772.9999999999313</v>
      </c>
      <c r="F7222" s="28">
        <f t="shared" si="363"/>
        <v>1754.9999999999313</v>
      </c>
      <c r="G7222" s="28">
        <f t="shared" si="364"/>
        <v>1666.2945999999999</v>
      </c>
      <c r="H7222" s="28">
        <f t="shared" si="365"/>
        <v>1725.7104999999999</v>
      </c>
      <c r="I7222" s="28">
        <f t="shared" si="366"/>
        <v>1757.3214</v>
      </c>
      <c r="J7222" s="28">
        <f t="shared" si="367"/>
        <v>1782.9934000000001</v>
      </c>
      <c r="K7222" s="28">
        <f t="shared" si="368"/>
        <v>1828.9791</v>
      </c>
      <c r="L7222" s="4"/>
      <c r="M7222" s="241">
        <v>1757.3214</v>
      </c>
    </row>
    <row r="7223" spans="3:13" hidden="1" outlineLevel="1" x14ac:dyDescent="0.2">
      <c r="C7223" s="139">
        <v>236.49999999999085</v>
      </c>
      <c r="D7223" s="28">
        <f t="shared" si="361"/>
        <v>1891.9999999999268</v>
      </c>
      <c r="E7223" s="28">
        <f t="shared" si="362"/>
        <v>1773.7499999999313</v>
      </c>
      <c r="F7223" s="28">
        <f t="shared" si="363"/>
        <v>1755.7499999999313</v>
      </c>
      <c r="G7223" s="28">
        <f t="shared" si="364"/>
        <v>1667.2446</v>
      </c>
      <c r="H7223" s="28">
        <f t="shared" si="365"/>
        <v>1726.748</v>
      </c>
      <c r="I7223" s="28">
        <f t="shared" si="366"/>
        <v>1758.3233</v>
      </c>
      <c r="J7223" s="28">
        <f t="shared" si="367"/>
        <v>1784.0688</v>
      </c>
      <c r="K7223" s="28">
        <f t="shared" si="368"/>
        <v>1830.0219</v>
      </c>
      <c r="L7223" s="4"/>
      <c r="M7223" s="241">
        <v>1758.3233</v>
      </c>
    </row>
    <row r="7224" spans="3:13" hidden="1" outlineLevel="1" x14ac:dyDescent="0.2">
      <c r="C7224" s="139">
        <v>236.59999999999084</v>
      </c>
      <c r="D7224" s="28">
        <f t="shared" si="361"/>
        <v>1892.7999999999267</v>
      </c>
      <c r="E7224" s="28">
        <f t="shared" si="362"/>
        <v>1774.4999999999313</v>
      </c>
      <c r="F7224" s="28">
        <f t="shared" si="363"/>
        <v>1756.4999999999313</v>
      </c>
      <c r="G7224" s="28">
        <f t="shared" si="364"/>
        <v>1668.2482</v>
      </c>
      <c r="H7224" s="28">
        <f t="shared" si="365"/>
        <v>1727.7319</v>
      </c>
      <c r="I7224" s="28">
        <f t="shared" si="366"/>
        <v>1759.3252</v>
      </c>
      <c r="J7224" s="28">
        <f t="shared" si="367"/>
        <v>1785.0853999999999</v>
      </c>
      <c r="K7224" s="28">
        <f t="shared" si="368"/>
        <v>1831.0645999999999</v>
      </c>
      <c r="L7224" s="4"/>
      <c r="M7224" s="241">
        <v>1759.3252</v>
      </c>
    </row>
    <row r="7225" spans="3:13" hidden="1" outlineLevel="1" x14ac:dyDescent="0.2">
      <c r="C7225" s="139">
        <v>236.69999999999084</v>
      </c>
      <c r="D7225" s="28">
        <f t="shared" si="361"/>
        <v>1893.5999999999267</v>
      </c>
      <c r="E7225" s="28">
        <f t="shared" si="362"/>
        <v>1775.2499999999313</v>
      </c>
      <c r="F7225" s="28">
        <f t="shared" si="363"/>
        <v>1757.2499999999313</v>
      </c>
      <c r="G7225" s="28">
        <f t="shared" si="364"/>
        <v>1669.1983</v>
      </c>
      <c r="H7225" s="28">
        <f t="shared" si="365"/>
        <v>1728.7157999999999</v>
      </c>
      <c r="I7225" s="28">
        <f t="shared" si="366"/>
        <v>1760.3860999999999</v>
      </c>
      <c r="J7225" s="28">
        <f t="shared" si="367"/>
        <v>1786.1018999999999</v>
      </c>
      <c r="K7225" s="28">
        <f t="shared" si="368"/>
        <v>1832.1074000000001</v>
      </c>
      <c r="L7225" s="4"/>
      <c r="M7225" s="241">
        <v>1760.3860999999999</v>
      </c>
    </row>
    <row r="7226" spans="3:13" hidden="1" outlineLevel="1" x14ac:dyDescent="0.2">
      <c r="C7226" s="139">
        <v>236.79999999999083</v>
      </c>
      <c r="D7226" s="28">
        <f t="shared" si="361"/>
        <v>1894.3999999999266</v>
      </c>
      <c r="E7226" s="28">
        <f t="shared" si="362"/>
        <v>1775.9999999999313</v>
      </c>
      <c r="F7226" s="28">
        <f t="shared" si="363"/>
        <v>1757.9999999999313</v>
      </c>
      <c r="G7226" s="28">
        <f t="shared" si="364"/>
        <v>1669.1983</v>
      </c>
      <c r="H7226" s="28">
        <f t="shared" si="365"/>
        <v>1728.7157999999999</v>
      </c>
      <c r="I7226" s="28">
        <f t="shared" si="366"/>
        <v>1760.3860999999999</v>
      </c>
      <c r="J7226" s="28">
        <f t="shared" si="367"/>
        <v>1786.1018999999999</v>
      </c>
      <c r="K7226" s="28">
        <f t="shared" si="368"/>
        <v>1832.1074000000001</v>
      </c>
      <c r="L7226" s="4"/>
      <c r="M7226" s="241">
        <v>1760.3860999999999</v>
      </c>
    </row>
    <row r="7227" spans="3:13" hidden="1" outlineLevel="1" x14ac:dyDescent="0.2">
      <c r="C7227" s="139">
        <v>236.89999999999083</v>
      </c>
      <c r="D7227" s="28">
        <f t="shared" ref="D7227:D7290" si="369">C7227*Channels.per.TRX</f>
        <v>1895.1999999999266</v>
      </c>
      <c r="E7227" s="28">
        <f t="shared" ref="E7227:E7290" si="370">D7227-C7227*sig.channel.per.TRX</f>
        <v>1776.7499999999311</v>
      </c>
      <c r="F7227" s="28">
        <f t="shared" ref="F7227:F7290" si="371">MAX(0,E7227-GPRS.channel.per.sector)</f>
        <v>1758.7499999999311</v>
      </c>
      <c r="G7227" s="28">
        <f t="shared" ref="G7227:G7290" si="372">INDEX(D$10:D$4326,MATCH($F7227,$C$10:$C$4326,1))</f>
        <v>1670.2019</v>
      </c>
      <c r="H7227" s="28">
        <f t="shared" ref="H7227:H7290" si="373">INDEX(E$10:E$4326,MATCH($F7227,$C$10:$C$4326,1))</f>
        <v>1729.7533000000001</v>
      </c>
      <c r="I7227" s="28">
        <f t="shared" ref="I7227:I7290" si="374">INDEX(F$10:F$4326,MATCH($F7227,$C$10:$C$4326,1))</f>
        <v>1761.3879999999999</v>
      </c>
      <c r="J7227" s="28">
        <f t="shared" ref="J7227:J7290" si="375">INDEX(G$10:G$4326,MATCH($F7227,$C$10:$C$4326,1))</f>
        <v>1787.1185</v>
      </c>
      <c r="K7227" s="28">
        <f t="shared" ref="K7227:K7290" si="376">INDEX(H$10:H$4326,MATCH($F7227,$C$10:$C$4326,1))</f>
        <v>1833.1501000000001</v>
      </c>
      <c r="L7227" s="4"/>
      <c r="M7227" s="241">
        <v>1761.3879999999999</v>
      </c>
    </row>
    <row r="7228" spans="3:13" hidden="1" outlineLevel="1" x14ac:dyDescent="0.2">
      <c r="C7228" s="139">
        <v>236.99999999999082</v>
      </c>
      <c r="D7228" s="28">
        <f t="shared" si="369"/>
        <v>1895.9999999999266</v>
      </c>
      <c r="E7228" s="28">
        <f t="shared" si="370"/>
        <v>1777.4999999999311</v>
      </c>
      <c r="F7228" s="28">
        <f t="shared" si="371"/>
        <v>1759.4999999999311</v>
      </c>
      <c r="G7228" s="28">
        <f t="shared" si="372"/>
        <v>1671.152</v>
      </c>
      <c r="H7228" s="28">
        <f t="shared" si="373"/>
        <v>1730.7373</v>
      </c>
      <c r="I7228" s="28">
        <f t="shared" si="374"/>
        <v>1762.3898999999999</v>
      </c>
      <c r="J7228" s="28">
        <f t="shared" si="375"/>
        <v>1788.135</v>
      </c>
      <c r="K7228" s="28">
        <f t="shared" si="376"/>
        <v>1834.1928</v>
      </c>
      <c r="L7228" s="4"/>
      <c r="M7228" s="241">
        <v>1762.3898999999999</v>
      </c>
    </row>
    <row r="7229" spans="3:13" hidden="1" outlineLevel="1" x14ac:dyDescent="0.2">
      <c r="C7229" s="139">
        <v>237.09999999999081</v>
      </c>
      <c r="D7229" s="28">
        <f t="shared" si="369"/>
        <v>1896.7999999999265</v>
      </c>
      <c r="E7229" s="28">
        <f t="shared" si="370"/>
        <v>1778.2499999999311</v>
      </c>
      <c r="F7229" s="28">
        <f t="shared" si="371"/>
        <v>1760.2499999999311</v>
      </c>
      <c r="G7229" s="28">
        <f t="shared" si="372"/>
        <v>1672.1558</v>
      </c>
      <c r="H7229" s="28">
        <f t="shared" si="373"/>
        <v>1731.7212</v>
      </c>
      <c r="I7229" s="28">
        <f t="shared" si="374"/>
        <v>1763.3918000000001</v>
      </c>
      <c r="J7229" s="28">
        <f t="shared" si="375"/>
        <v>1789.2107000000001</v>
      </c>
      <c r="K7229" s="28">
        <f t="shared" si="376"/>
        <v>1835.2946999999999</v>
      </c>
      <c r="L7229" s="4"/>
      <c r="M7229" s="241">
        <v>1763.3918000000001</v>
      </c>
    </row>
    <row r="7230" spans="3:13" hidden="1" outlineLevel="1" x14ac:dyDescent="0.2">
      <c r="C7230" s="139">
        <v>237.19999999999081</v>
      </c>
      <c r="D7230" s="28">
        <f t="shared" si="369"/>
        <v>1897.5999999999265</v>
      </c>
      <c r="E7230" s="28">
        <f t="shared" si="370"/>
        <v>1778.9999999999311</v>
      </c>
      <c r="F7230" s="28">
        <f t="shared" si="371"/>
        <v>1760.9999999999311</v>
      </c>
      <c r="G7230" s="28">
        <f t="shared" si="372"/>
        <v>1672.1558</v>
      </c>
      <c r="H7230" s="28">
        <f t="shared" si="373"/>
        <v>1731.7212</v>
      </c>
      <c r="I7230" s="28">
        <f t="shared" si="374"/>
        <v>1763.3918000000001</v>
      </c>
      <c r="J7230" s="28">
        <f t="shared" si="375"/>
        <v>1789.2107000000001</v>
      </c>
      <c r="K7230" s="28">
        <f t="shared" si="376"/>
        <v>1835.2946999999999</v>
      </c>
      <c r="L7230" s="4"/>
      <c r="M7230" s="241">
        <v>1763.3918000000001</v>
      </c>
    </row>
    <row r="7231" spans="3:13" hidden="1" outlineLevel="1" x14ac:dyDescent="0.2">
      <c r="C7231" s="139">
        <v>237.2999999999908</v>
      </c>
      <c r="D7231" s="28">
        <f t="shared" si="369"/>
        <v>1898.3999999999264</v>
      </c>
      <c r="E7231" s="28">
        <f t="shared" si="370"/>
        <v>1779.7499999999311</v>
      </c>
      <c r="F7231" s="28">
        <f t="shared" si="371"/>
        <v>1761.7499999999311</v>
      </c>
      <c r="G7231" s="28">
        <f t="shared" si="372"/>
        <v>1673.1059</v>
      </c>
      <c r="H7231" s="28">
        <f t="shared" si="373"/>
        <v>1732.7589</v>
      </c>
      <c r="I7231" s="28">
        <f t="shared" si="374"/>
        <v>1764.4529</v>
      </c>
      <c r="J7231" s="28">
        <f t="shared" si="375"/>
        <v>1790.2273</v>
      </c>
      <c r="K7231" s="28">
        <f t="shared" si="376"/>
        <v>1836.3375000000001</v>
      </c>
      <c r="L7231" s="4"/>
      <c r="M7231" s="241">
        <v>1764.4529</v>
      </c>
    </row>
    <row r="7232" spans="3:13" hidden="1" outlineLevel="1" x14ac:dyDescent="0.2">
      <c r="C7232" s="139">
        <v>237.3999999999908</v>
      </c>
      <c r="D7232" s="28">
        <f t="shared" si="369"/>
        <v>1899.1999999999264</v>
      </c>
      <c r="E7232" s="28">
        <f t="shared" si="370"/>
        <v>1780.4999999999309</v>
      </c>
      <c r="F7232" s="28">
        <f t="shared" si="371"/>
        <v>1762.4999999999309</v>
      </c>
      <c r="G7232" s="28">
        <f t="shared" si="372"/>
        <v>1674.1097</v>
      </c>
      <c r="H7232" s="28">
        <f t="shared" si="373"/>
        <v>1733.7428</v>
      </c>
      <c r="I7232" s="28">
        <f t="shared" si="374"/>
        <v>1765.4548</v>
      </c>
      <c r="J7232" s="28">
        <f t="shared" si="375"/>
        <v>1791.2438999999999</v>
      </c>
      <c r="K7232" s="28">
        <f t="shared" si="376"/>
        <v>1837.3802000000001</v>
      </c>
      <c r="L7232" s="4"/>
      <c r="M7232" s="241">
        <v>1765.4548</v>
      </c>
    </row>
    <row r="7233" spans="3:13" hidden="1" outlineLevel="1" x14ac:dyDescent="0.2">
      <c r="C7233" s="139">
        <v>237.49999999999079</v>
      </c>
      <c r="D7233" s="28">
        <f t="shared" si="369"/>
        <v>1899.9999999999263</v>
      </c>
      <c r="E7233" s="28">
        <f t="shared" si="370"/>
        <v>1781.2499999999309</v>
      </c>
      <c r="F7233" s="28">
        <f t="shared" si="371"/>
        <v>1763.2499999999309</v>
      </c>
      <c r="G7233" s="28">
        <f t="shared" si="372"/>
        <v>1675.1135999999999</v>
      </c>
      <c r="H7233" s="28">
        <f t="shared" si="373"/>
        <v>1734.7267999999999</v>
      </c>
      <c r="I7233" s="28">
        <f t="shared" si="374"/>
        <v>1766.4567999999999</v>
      </c>
      <c r="J7233" s="28">
        <f t="shared" si="375"/>
        <v>1792.2605000000001</v>
      </c>
      <c r="K7233" s="28">
        <f t="shared" si="376"/>
        <v>1838.423</v>
      </c>
      <c r="L7233" s="4"/>
      <c r="M7233" s="241">
        <v>1766.4567999999999</v>
      </c>
    </row>
    <row r="7234" spans="3:13" hidden="1" outlineLevel="1" x14ac:dyDescent="0.2">
      <c r="C7234" s="139">
        <v>237.59999999999079</v>
      </c>
      <c r="D7234" s="28">
        <f t="shared" si="369"/>
        <v>1900.7999999999263</v>
      </c>
      <c r="E7234" s="28">
        <f t="shared" si="370"/>
        <v>1781.9999999999309</v>
      </c>
      <c r="F7234" s="28">
        <f t="shared" si="371"/>
        <v>1763.9999999999309</v>
      </c>
      <c r="G7234" s="28">
        <f t="shared" si="372"/>
        <v>1675.1135999999999</v>
      </c>
      <c r="H7234" s="28">
        <f t="shared" si="373"/>
        <v>1734.7267999999999</v>
      </c>
      <c r="I7234" s="28">
        <f t="shared" si="374"/>
        <v>1766.4567999999999</v>
      </c>
      <c r="J7234" s="28">
        <f t="shared" si="375"/>
        <v>1792.2605000000001</v>
      </c>
      <c r="K7234" s="28">
        <f t="shared" si="376"/>
        <v>1838.423</v>
      </c>
      <c r="L7234" s="4"/>
      <c r="M7234" s="241">
        <v>1766.4567999999999</v>
      </c>
    </row>
    <row r="7235" spans="3:13" hidden="1" outlineLevel="1" x14ac:dyDescent="0.2">
      <c r="C7235" s="139">
        <v>237.69999999999078</v>
      </c>
      <c r="D7235" s="28">
        <f t="shared" si="369"/>
        <v>1901.5999999999262</v>
      </c>
      <c r="E7235" s="28">
        <f t="shared" si="370"/>
        <v>1782.7499999999309</v>
      </c>
      <c r="F7235" s="28">
        <f t="shared" si="371"/>
        <v>1764.7499999999309</v>
      </c>
      <c r="G7235" s="28">
        <f t="shared" si="372"/>
        <v>1676.0637999999999</v>
      </c>
      <c r="H7235" s="28">
        <f t="shared" si="373"/>
        <v>1735.7646</v>
      </c>
      <c r="I7235" s="28">
        <f t="shared" si="374"/>
        <v>1767.4588000000001</v>
      </c>
      <c r="J7235" s="28">
        <f t="shared" si="375"/>
        <v>1793.2771</v>
      </c>
      <c r="K7235" s="28">
        <f t="shared" si="376"/>
        <v>1839.4657999999999</v>
      </c>
      <c r="L7235" s="4"/>
      <c r="M7235" s="241">
        <v>1767.4588000000001</v>
      </c>
    </row>
    <row r="7236" spans="3:13" hidden="1" outlineLevel="1" x14ac:dyDescent="0.2">
      <c r="C7236" s="139">
        <v>237.79999999999077</v>
      </c>
      <c r="D7236" s="28">
        <f t="shared" si="369"/>
        <v>1902.3999999999262</v>
      </c>
      <c r="E7236" s="28">
        <f t="shared" si="370"/>
        <v>1783.4999999999309</v>
      </c>
      <c r="F7236" s="28">
        <f t="shared" si="371"/>
        <v>1765.4999999999309</v>
      </c>
      <c r="G7236" s="28">
        <f t="shared" si="372"/>
        <v>1677.0678</v>
      </c>
      <c r="H7236" s="28">
        <f t="shared" si="373"/>
        <v>1736.7485999999999</v>
      </c>
      <c r="I7236" s="28">
        <f t="shared" si="374"/>
        <v>1768.52</v>
      </c>
      <c r="J7236" s="28">
        <f t="shared" si="375"/>
        <v>1794.3529000000001</v>
      </c>
      <c r="K7236" s="28">
        <f t="shared" si="376"/>
        <v>1840.5085999999999</v>
      </c>
      <c r="L7236" s="4"/>
      <c r="M7236" s="241">
        <v>1768.52</v>
      </c>
    </row>
    <row r="7237" spans="3:13" hidden="1" outlineLevel="1" x14ac:dyDescent="0.2">
      <c r="C7237" s="139">
        <v>237.89999999999077</v>
      </c>
      <c r="D7237" s="28">
        <f t="shared" si="369"/>
        <v>1903.1999999999261</v>
      </c>
      <c r="E7237" s="28">
        <f t="shared" si="370"/>
        <v>1784.2499999999309</v>
      </c>
      <c r="F7237" s="28">
        <f t="shared" si="371"/>
        <v>1766.2499999999309</v>
      </c>
      <c r="G7237" s="28">
        <f t="shared" si="372"/>
        <v>1678.018</v>
      </c>
      <c r="H7237" s="28">
        <f t="shared" si="373"/>
        <v>1737.7326</v>
      </c>
      <c r="I7237" s="28">
        <f t="shared" si="374"/>
        <v>1769.5219999999999</v>
      </c>
      <c r="J7237" s="28">
        <f t="shared" si="375"/>
        <v>1795.3696</v>
      </c>
      <c r="K7237" s="28">
        <f t="shared" si="376"/>
        <v>1841.5514000000001</v>
      </c>
      <c r="L7237" s="4"/>
      <c r="M7237" s="241">
        <v>1769.5219999999999</v>
      </c>
    </row>
    <row r="7238" spans="3:13" hidden="1" outlineLevel="1" x14ac:dyDescent="0.2">
      <c r="C7238" s="139">
        <v>237.99999999999076</v>
      </c>
      <c r="D7238" s="28">
        <f t="shared" si="369"/>
        <v>1903.9999999999261</v>
      </c>
      <c r="E7238" s="28">
        <f t="shared" si="370"/>
        <v>1784.9999999999307</v>
      </c>
      <c r="F7238" s="28">
        <f t="shared" si="371"/>
        <v>1766.9999999999307</v>
      </c>
      <c r="G7238" s="28">
        <f t="shared" si="372"/>
        <v>1678.018</v>
      </c>
      <c r="H7238" s="28">
        <f t="shared" si="373"/>
        <v>1737.7326</v>
      </c>
      <c r="I7238" s="28">
        <f t="shared" si="374"/>
        <v>1769.5219999999999</v>
      </c>
      <c r="J7238" s="28">
        <f t="shared" si="375"/>
        <v>1795.3696</v>
      </c>
      <c r="K7238" s="28">
        <f t="shared" si="376"/>
        <v>1841.5514000000001</v>
      </c>
      <c r="L7238" s="4"/>
      <c r="M7238" s="241">
        <v>1769.5219999999999</v>
      </c>
    </row>
    <row r="7239" spans="3:13" hidden="1" outlineLevel="1" x14ac:dyDescent="0.2">
      <c r="C7239" s="139">
        <v>238.09999999999076</v>
      </c>
      <c r="D7239" s="28">
        <f t="shared" si="369"/>
        <v>1904.7999999999261</v>
      </c>
      <c r="E7239" s="28">
        <f t="shared" si="370"/>
        <v>1785.7499999999307</v>
      </c>
      <c r="F7239" s="28">
        <f t="shared" si="371"/>
        <v>1767.7499999999307</v>
      </c>
      <c r="G7239" s="28">
        <f t="shared" si="372"/>
        <v>1679.0220999999999</v>
      </c>
      <c r="H7239" s="28">
        <f t="shared" si="373"/>
        <v>1738.7705000000001</v>
      </c>
      <c r="I7239" s="28">
        <f t="shared" si="374"/>
        <v>1770.5239999999999</v>
      </c>
      <c r="J7239" s="28">
        <f t="shared" si="375"/>
        <v>1796.3861999999999</v>
      </c>
      <c r="K7239" s="28">
        <f t="shared" si="376"/>
        <v>1842.6534999999999</v>
      </c>
      <c r="L7239" s="4"/>
      <c r="M7239" s="241">
        <v>1770.5239999999999</v>
      </c>
    </row>
    <row r="7240" spans="3:13" hidden="1" outlineLevel="1" x14ac:dyDescent="0.2">
      <c r="C7240" s="139">
        <v>238.19999999999075</v>
      </c>
      <c r="D7240" s="28">
        <f t="shared" si="369"/>
        <v>1905.599999999926</v>
      </c>
      <c r="E7240" s="28">
        <f t="shared" si="370"/>
        <v>1786.4999999999307</v>
      </c>
      <c r="F7240" s="28">
        <f t="shared" si="371"/>
        <v>1768.4999999999307</v>
      </c>
      <c r="G7240" s="28">
        <f t="shared" si="372"/>
        <v>1679.9722999999999</v>
      </c>
      <c r="H7240" s="28">
        <f t="shared" si="373"/>
        <v>1739.7545</v>
      </c>
      <c r="I7240" s="28">
        <f t="shared" si="374"/>
        <v>1771.5260000000001</v>
      </c>
      <c r="J7240" s="28">
        <f t="shared" si="375"/>
        <v>1797.4028000000001</v>
      </c>
      <c r="K7240" s="28">
        <f t="shared" si="376"/>
        <v>1843.6963000000001</v>
      </c>
      <c r="L7240" s="4"/>
      <c r="M7240" s="241">
        <v>1771.5260000000001</v>
      </c>
    </row>
    <row r="7241" spans="3:13" hidden="1" outlineLevel="1" x14ac:dyDescent="0.2">
      <c r="C7241" s="139">
        <v>238.29999999999075</v>
      </c>
      <c r="D7241" s="28">
        <f t="shared" si="369"/>
        <v>1906.399999999926</v>
      </c>
      <c r="E7241" s="28">
        <f t="shared" si="370"/>
        <v>1787.2499999999307</v>
      </c>
      <c r="F7241" s="28">
        <f t="shared" si="371"/>
        <v>1769.2499999999307</v>
      </c>
      <c r="G7241" s="28">
        <f t="shared" si="372"/>
        <v>1680.9765</v>
      </c>
      <c r="H7241" s="28">
        <f t="shared" si="373"/>
        <v>1740.7384999999999</v>
      </c>
      <c r="I7241" s="28">
        <f t="shared" si="374"/>
        <v>1772.5872999999999</v>
      </c>
      <c r="J7241" s="28">
        <f t="shared" si="375"/>
        <v>1798.4195</v>
      </c>
      <c r="K7241" s="28">
        <f t="shared" si="376"/>
        <v>1844.7391</v>
      </c>
      <c r="L7241" s="4"/>
      <c r="M7241" s="241">
        <v>1772.5872999999999</v>
      </c>
    </row>
    <row r="7242" spans="3:13" hidden="1" outlineLevel="1" x14ac:dyDescent="0.2">
      <c r="C7242" s="139">
        <v>238.39999999999074</v>
      </c>
      <c r="D7242" s="28">
        <f t="shared" si="369"/>
        <v>1907.1999999999259</v>
      </c>
      <c r="E7242" s="28">
        <f t="shared" si="370"/>
        <v>1787.9999999999307</v>
      </c>
      <c r="F7242" s="28">
        <f t="shared" si="371"/>
        <v>1769.9999999999307</v>
      </c>
      <c r="G7242" s="28">
        <f t="shared" si="372"/>
        <v>1680.9765</v>
      </c>
      <c r="H7242" s="28">
        <f t="shared" si="373"/>
        <v>1740.7384999999999</v>
      </c>
      <c r="I7242" s="28">
        <f t="shared" si="374"/>
        <v>1772.5872999999999</v>
      </c>
      <c r="J7242" s="28">
        <f t="shared" si="375"/>
        <v>1798.4195</v>
      </c>
      <c r="K7242" s="28">
        <f t="shared" si="376"/>
        <v>1844.7391</v>
      </c>
      <c r="L7242" s="4"/>
      <c r="M7242" s="241">
        <v>1772.5872999999999</v>
      </c>
    </row>
    <row r="7243" spans="3:13" hidden="1" outlineLevel="1" x14ac:dyDescent="0.2">
      <c r="C7243" s="139">
        <v>238.49999999999073</v>
      </c>
      <c r="D7243" s="28">
        <f t="shared" si="369"/>
        <v>1907.9999999999259</v>
      </c>
      <c r="E7243" s="28">
        <f t="shared" si="370"/>
        <v>1788.7499999999304</v>
      </c>
      <c r="F7243" s="28">
        <f t="shared" si="371"/>
        <v>1770.7499999999304</v>
      </c>
      <c r="G7243" s="28">
        <f t="shared" si="372"/>
        <v>1681.9267</v>
      </c>
      <c r="H7243" s="28">
        <f t="shared" si="373"/>
        <v>1741.7765999999999</v>
      </c>
      <c r="I7243" s="28">
        <f t="shared" si="374"/>
        <v>1773.5894000000001</v>
      </c>
      <c r="J7243" s="28">
        <f t="shared" si="375"/>
        <v>1799.4955</v>
      </c>
      <c r="K7243" s="28">
        <f t="shared" si="376"/>
        <v>1845.7819</v>
      </c>
      <c r="L7243" s="4"/>
      <c r="M7243" s="241">
        <v>1773.5894000000001</v>
      </c>
    </row>
    <row r="7244" spans="3:13" hidden="1" outlineLevel="1" x14ac:dyDescent="0.2">
      <c r="C7244" s="139">
        <v>238.59999999999073</v>
      </c>
      <c r="D7244" s="28">
        <f t="shared" si="369"/>
        <v>1908.7999999999258</v>
      </c>
      <c r="E7244" s="28">
        <f t="shared" si="370"/>
        <v>1789.4999999999304</v>
      </c>
      <c r="F7244" s="28">
        <f t="shared" si="371"/>
        <v>1771.4999999999304</v>
      </c>
      <c r="G7244" s="28">
        <f t="shared" si="372"/>
        <v>1682.931</v>
      </c>
      <c r="H7244" s="28">
        <f t="shared" si="373"/>
        <v>1742.7606000000001</v>
      </c>
      <c r="I7244" s="28">
        <f t="shared" si="374"/>
        <v>1774.5914</v>
      </c>
      <c r="J7244" s="28">
        <f t="shared" si="375"/>
        <v>1800.5121999999999</v>
      </c>
      <c r="K7244" s="28">
        <f t="shared" si="376"/>
        <v>1846.8246999999999</v>
      </c>
      <c r="L7244" s="4"/>
      <c r="M7244" s="241">
        <v>1774.5914</v>
      </c>
    </row>
    <row r="7245" spans="3:13" hidden="1" outlineLevel="1" x14ac:dyDescent="0.2">
      <c r="C7245" s="139">
        <v>238.69999999999072</v>
      </c>
      <c r="D7245" s="28">
        <f t="shared" si="369"/>
        <v>1909.5999999999258</v>
      </c>
      <c r="E7245" s="28">
        <f t="shared" si="370"/>
        <v>1790.2499999999304</v>
      </c>
      <c r="F7245" s="28">
        <f t="shared" si="371"/>
        <v>1772.2499999999304</v>
      </c>
      <c r="G7245" s="28">
        <f t="shared" si="372"/>
        <v>1683.9354000000001</v>
      </c>
      <c r="H7245" s="28">
        <f t="shared" si="373"/>
        <v>1743.7447</v>
      </c>
      <c r="I7245" s="28">
        <f t="shared" si="374"/>
        <v>1775.5934</v>
      </c>
      <c r="J7245" s="28">
        <f t="shared" si="375"/>
        <v>1801.5288</v>
      </c>
      <c r="K7245" s="28">
        <f t="shared" si="376"/>
        <v>1847.8675000000001</v>
      </c>
      <c r="L7245" s="4"/>
      <c r="M7245" s="241">
        <v>1775.5934</v>
      </c>
    </row>
    <row r="7246" spans="3:13" hidden="1" outlineLevel="1" x14ac:dyDescent="0.2">
      <c r="C7246" s="139">
        <v>238.79999999999072</v>
      </c>
      <c r="D7246" s="28">
        <f t="shared" si="369"/>
        <v>1910.3999999999257</v>
      </c>
      <c r="E7246" s="28">
        <f t="shared" si="370"/>
        <v>1790.9999999999304</v>
      </c>
      <c r="F7246" s="28">
        <f t="shared" si="371"/>
        <v>1772.9999999999304</v>
      </c>
      <c r="G7246" s="28">
        <f t="shared" si="372"/>
        <v>1683.9354000000001</v>
      </c>
      <c r="H7246" s="28">
        <f t="shared" si="373"/>
        <v>1743.7447</v>
      </c>
      <c r="I7246" s="28">
        <f t="shared" si="374"/>
        <v>1775.5934</v>
      </c>
      <c r="J7246" s="28">
        <f t="shared" si="375"/>
        <v>1801.5288</v>
      </c>
      <c r="K7246" s="28">
        <f t="shared" si="376"/>
        <v>1847.8675000000001</v>
      </c>
      <c r="L7246" s="4"/>
      <c r="M7246" s="241">
        <v>1775.5934</v>
      </c>
    </row>
    <row r="7247" spans="3:13" hidden="1" outlineLevel="1" x14ac:dyDescent="0.2">
      <c r="C7247" s="139">
        <v>238.89999999999071</v>
      </c>
      <c r="D7247" s="28">
        <f t="shared" si="369"/>
        <v>1911.1999999999257</v>
      </c>
      <c r="E7247" s="28">
        <f t="shared" si="370"/>
        <v>1791.7499999999304</v>
      </c>
      <c r="F7247" s="28">
        <f t="shared" si="371"/>
        <v>1773.7499999999304</v>
      </c>
      <c r="G7247" s="28">
        <f t="shared" si="372"/>
        <v>1684.8857</v>
      </c>
      <c r="H7247" s="28">
        <f t="shared" si="373"/>
        <v>1744.7828999999999</v>
      </c>
      <c r="I7247" s="28">
        <f t="shared" si="374"/>
        <v>1776.655</v>
      </c>
      <c r="J7247" s="28">
        <f t="shared" si="375"/>
        <v>1802.5454999999999</v>
      </c>
      <c r="K7247" s="28">
        <f t="shared" si="376"/>
        <v>1848.9104</v>
      </c>
      <c r="L7247" s="4"/>
      <c r="M7247" s="241">
        <v>1776.655</v>
      </c>
    </row>
    <row r="7248" spans="3:13" hidden="1" outlineLevel="1" x14ac:dyDescent="0.2">
      <c r="C7248" s="139">
        <v>238.99999999999071</v>
      </c>
      <c r="D7248" s="28">
        <f t="shared" si="369"/>
        <v>1911.9999999999256</v>
      </c>
      <c r="E7248" s="28">
        <f t="shared" si="370"/>
        <v>1792.4999999999302</v>
      </c>
      <c r="F7248" s="28">
        <f t="shared" si="371"/>
        <v>1774.4999999999302</v>
      </c>
      <c r="G7248" s="28">
        <f t="shared" si="372"/>
        <v>1685.8901000000001</v>
      </c>
      <c r="H7248" s="28">
        <f t="shared" si="373"/>
        <v>1745.7669000000001</v>
      </c>
      <c r="I7248" s="28">
        <f t="shared" si="374"/>
        <v>1777.6569999999999</v>
      </c>
      <c r="J7248" s="28">
        <f t="shared" si="375"/>
        <v>1803.5622000000001</v>
      </c>
      <c r="K7248" s="28">
        <f t="shared" si="376"/>
        <v>1850.0127</v>
      </c>
      <c r="L7248" s="4"/>
      <c r="M7248" s="241">
        <v>1777.6569999999999</v>
      </c>
    </row>
    <row r="7249" spans="3:13" hidden="1" outlineLevel="1" x14ac:dyDescent="0.2">
      <c r="C7249" s="139">
        <v>239.0999999999907</v>
      </c>
      <c r="D7249" s="28">
        <f t="shared" si="369"/>
        <v>1912.7999999999256</v>
      </c>
      <c r="E7249" s="28">
        <f t="shared" si="370"/>
        <v>1793.2499999999302</v>
      </c>
      <c r="F7249" s="28">
        <f t="shared" si="371"/>
        <v>1775.2499999999302</v>
      </c>
      <c r="G7249" s="28">
        <f t="shared" si="372"/>
        <v>1686.8404</v>
      </c>
      <c r="H7249" s="28">
        <f t="shared" si="373"/>
        <v>1746.751</v>
      </c>
      <c r="I7249" s="28">
        <f t="shared" si="374"/>
        <v>1778.6591000000001</v>
      </c>
      <c r="J7249" s="28">
        <f t="shared" si="375"/>
        <v>1804.6384</v>
      </c>
      <c r="K7249" s="28">
        <f t="shared" si="376"/>
        <v>1851.0555999999999</v>
      </c>
      <c r="L7249" s="4"/>
      <c r="M7249" s="241">
        <v>1778.6591000000001</v>
      </c>
    </row>
    <row r="7250" spans="3:13" hidden="1" outlineLevel="1" x14ac:dyDescent="0.2">
      <c r="C7250" s="139">
        <v>239.19999999999069</v>
      </c>
      <c r="D7250" s="28">
        <f t="shared" si="369"/>
        <v>1913.5999999999256</v>
      </c>
      <c r="E7250" s="28">
        <f t="shared" si="370"/>
        <v>1793.9999999999302</v>
      </c>
      <c r="F7250" s="28">
        <f t="shared" si="371"/>
        <v>1775.9999999999302</v>
      </c>
      <c r="G7250" s="28">
        <f t="shared" si="372"/>
        <v>1686.8404</v>
      </c>
      <c r="H7250" s="28">
        <f t="shared" si="373"/>
        <v>1746.751</v>
      </c>
      <c r="I7250" s="28">
        <f t="shared" si="374"/>
        <v>1778.6591000000001</v>
      </c>
      <c r="J7250" s="28">
        <f t="shared" si="375"/>
        <v>1804.6384</v>
      </c>
      <c r="K7250" s="28">
        <f t="shared" si="376"/>
        <v>1851.0555999999999</v>
      </c>
      <c r="L7250" s="4"/>
      <c r="M7250" s="241">
        <v>1778.6591000000001</v>
      </c>
    </row>
    <row r="7251" spans="3:13" hidden="1" outlineLevel="1" x14ac:dyDescent="0.2">
      <c r="C7251" s="139">
        <v>239.29999999999069</v>
      </c>
      <c r="D7251" s="28">
        <f t="shared" si="369"/>
        <v>1914.3999999999255</v>
      </c>
      <c r="E7251" s="28">
        <f t="shared" si="370"/>
        <v>1794.7499999999302</v>
      </c>
      <c r="F7251" s="28">
        <f t="shared" si="371"/>
        <v>1776.7499999999302</v>
      </c>
      <c r="G7251" s="28">
        <f t="shared" si="372"/>
        <v>1687.845</v>
      </c>
      <c r="H7251" s="28">
        <f t="shared" si="373"/>
        <v>1747.7892999999999</v>
      </c>
      <c r="I7251" s="28">
        <f t="shared" si="374"/>
        <v>1779.6612</v>
      </c>
      <c r="J7251" s="28">
        <f t="shared" si="375"/>
        <v>1805.6550999999999</v>
      </c>
      <c r="K7251" s="28">
        <f t="shared" si="376"/>
        <v>1852.0984000000001</v>
      </c>
      <c r="L7251" s="4"/>
      <c r="M7251" s="241">
        <v>1779.6612</v>
      </c>
    </row>
    <row r="7252" spans="3:13" hidden="1" outlineLevel="1" x14ac:dyDescent="0.2">
      <c r="C7252" s="139">
        <v>239.39999999999068</v>
      </c>
      <c r="D7252" s="28">
        <f t="shared" si="369"/>
        <v>1915.1999999999255</v>
      </c>
      <c r="E7252" s="28">
        <f t="shared" si="370"/>
        <v>1795.4999999999302</v>
      </c>
      <c r="F7252" s="28">
        <f t="shared" si="371"/>
        <v>1777.4999999999302</v>
      </c>
      <c r="G7252" s="28">
        <f t="shared" si="372"/>
        <v>1688.7953</v>
      </c>
      <c r="H7252" s="28">
        <f t="shared" si="373"/>
        <v>1748.7734</v>
      </c>
      <c r="I7252" s="28">
        <f t="shared" si="374"/>
        <v>1780.7229</v>
      </c>
      <c r="J7252" s="28">
        <f t="shared" si="375"/>
        <v>1806.6718000000001</v>
      </c>
      <c r="K7252" s="28">
        <f t="shared" si="376"/>
        <v>1853.1413</v>
      </c>
      <c r="L7252" s="4"/>
      <c r="M7252" s="241">
        <v>1780.7229</v>
      </c>
    </row>
    <row r="7253" spans="3:13" hidden="1" outlineLevel="1" x14ac:dyDescent="0.2">
      <c r="C7253" s="139">
        <v>239.49999999999068</v>
      </c>
      <c r="D7253" s="28">
        <f t="shared" si="369"/>
        <v>1915.9999999999254</v>
      </c>
      <c r="E7253" s="28">
        <f t="shared" si="370"/>
        <v>1796.24999999993</v>
      </c>
      <c r="F7253" s="28">
        <f t="shared" si="371"/>
        <v>1778.24999999993</v>
      </c>
      <c r="G7253" s="28">
        <f t="shared" si="372"/>
        <v>1689.8</v>
      </c>
      <c r="H7253" s="28">
        <f t="shared" si="373"/>
        <v>1749.7574999999999</v>
      </c>
      <c r="I7253" s="28">
        <f t="shared" si="374"/>
        <v>1781.7249999999999</v>
      </c>
      <c r="J7253" s="28">
        <f t="shared" si="375"/>
        <v>1807.6885</v>
      </c>
      <c r="K7253" s="28">
        <f t="shared" si="376"/>
        <v>1854.1840999999999</v>
      </c>
      <c r="L7253" s="4"/>
      <c r="M7253" s="241">
        <v>1781.7249999999999</v>
      </c>
    </row>
    <row r="7254" spans="3:13" hidden="1" outlineLevel="1" x14ac:dyDescent="0.2">
      <c r="C7254" s="139">
        <v>239.59999999999067</v>
      </c>
      <c r="D7254" s="28">
        <f t="shared" si="369"/>
        <v>1916.7999999999254</v>
      </c>
      <c r="E7254" s="28">
        <f t="shared" si="370"/>
        <v>1796.99999999993</v>
      </c>
      <c r="F7254" s="28">
        <f t="shared" si="371"/>
        <v>1778.99999999993</v>
      </c>
      <c r="G7254" s="28">
        <f t="shared" si="372"/>
        <v>1689.8</v>
      </c>
      <c r="H7254" s="28">
        <f t="shared" si="373"/>
        <v>1749.7574999999999</v>
      </c>
      <c r="I7254" s="28">
        <f t="shared" si="374"/>
        <v>1781.7249999999999</v>
      </c>
      <c r="J7254" s="28">
        <f t="shared" si="375"/>
        <v>1807.6885</v>
      </c>
      <c r="K7254" s="28">
        <f t="shared" si="376"/>
        <v>1854.1840999999999</v>
      </c>
      <c r="L7254" s="4"/>
      <c r="M7254" s="241">
        <v>1781.7249999999999</v>
      </c>
    </row>
    <row r="7255" spans="3:13" hidden="1" outlineLevel="1" x14ac:dyDescent="0.2">
      <c r="C7255" s="139">
        <v>239.69999999999067</v>
      </c>
      <c r="D7255" s="28">
        <f t="shared" si="369"/>
        <v>1917.5999999999253</v>
      </c>
      <c r="E7255" s="28">
        <f t="shared" si="370"/>
        <v>1797.74999999993</v>
      </c>
      <c r="F7255" s="28">
        <f t="shared" si="371"/>
        <v>1779.74999999993</v>
      </c>
      <c r="G7255" s="28">
        <f t="shared" si="372"/>
        <v>1690.7503999999999</v>
      </c>
      <c r="H7255" s="28">
        <f t="shared" si="373"/>
        <v>1750.7959000000001</v>
      </c>
      <c r="I7255" s="28">
        <f t="shared" si="374"/>
        <v>1782.7271000000001</v>
      </c>
      <c r="J7255" s="28">
        <f t="shared" si="375"/>
        <v>1808.7052000000001</v>
      </c>
      <c r="K7255" s="28">
        <f t="shared" si="376"/>
        <v>1855.2270000000001</v>
      </c>
      <c r="L7255" s="4"/>
      <c r="M7255" s="241">
        <v>1782.7271000000001</v>
      </c>
    </row>
    <row r="7256" spans="3:13" hidden="1" outlineLevel="1" x14ac:dyDescent="0.2">
      <c r="C7256" s="139">
        <v>239.79999999999066</v>
      </c>
      <c r="D7256" s="28">
        <f t="shared" si="369"/>
        <v>1918.3999999999253</v>
      </c>
      <c r="E7256" s="28">
        <f t="shared" si="370"/>
        <v>1798.49999999993</v>
      </c>
      <c r="F7256" s="28">
        <f t="shared" si="371"/>
        <v>1780.49999999993</v>
      </c>
      <c r="G7256" s="28">
        <f t="shared" si="372"/>
        <v>1691.7551000000001</v>
      </c>
      <c r="H7256" s="28">
        <f t="shared" si="373"/>
        <v>1751.7800999999999</v>
      </c>
      <c r="I7256" s="28">
        <f t="shared" si="374"/>
        <v>1783.7292</v>
      </c>
      <c r="J7256" s="28">
        <f t="shared" si="375"/>
        <v>1809.7816</v>
      </c>
      <c r="K7256" s="28">
        <f t="shared" si="376"/>
        <v>1856.3296</v>
      </c>
      <c r="L7256" s="4"/>
      <c r="M7256" s="241">
        <v>1783.7292</v>
      </c>
    </row>
    <row r="7257" spans="3:13" hidden="1" outlineLevel="1" x14ac:dyDescent="0.2">
      <c r="C7257" s="139">
        <v>239.89999999999065</v>
      </c>
      <c r="D7257" s="28">
        <f t="shared" si="369"/>
        <v>1919.1999999999252</v>
      </c>
      <c r="E7257" s="28">
        <f t="shared" si="370"/>
        <v>1799.24999999993</v>
      </c>
      <c r="F7257" s="28">
        <f t="shared" si="371"/>
        <v>1781.24999999993</v>
      </c>
      <c r="G7257" s="28">
        <f t="shared" si="372"/>
        <v>1692.7055</v>
      </c>
      <c r="H7257" s="28">
        <f t="shared" si="373"/>
        <v>1752.7642000000001</v>
      </c>
      <c r="I7257" s="28">
        <f t="shared" si="374"/>
        <v>1784.7909999999999</v>
      </c>
      <c r="J7257" s="28">
        <f t="shared" si="375"/>
        <v>1810.7983999999999</v>
      </c>
      <c r="K7257" s="28">
        <f t="shared" si="376"/>
        <v>1857.3724</v>
      </c>
      <c r="L7257" s="4"/>
      <c r="M7257" s="241">
        <v>1784.7909999999999</v>
      </c>
    </row>
    <row r="7258" spans="3:13" hidden="1" outlineLevel="1" x14ac:dyDescent="0.2">
      <c r="C7258" s="139">
        <v>239.99999999999065</v>
      </c>
      <c r="D7258" s="28">
        <f t="shared" si="369"/>
        <v>1919.9999999999252</v>
      </c>
      <c r="E7258" s="28">
        <f t="shared" si="370"/>
        <v>1799.99999999993</v>
      </c>
      <c r="F7258" s="28">
        <f t="shared" si="371"/>
        <v>1781.99999999993</v>
      </c>
      <c r="G7258" s="28">
        <f t="shared" si="372"/>
        <v>1692.7055</v>
      </c>
      <c r="H7258" s="28">
        <f t="shared" si="373"/>
        <v>1752.7642000000001</v>
      </c>
      <c r="I7258" s="28">
        <f t="shared" si="374"/>
        <v>1784.7909999999999</v>
      </c>
      <c r="J7258" s="28">
        <f t="shared" si="375"/>
        <v>1810.7983999999999</v>
      </c>
      <c r="K7258" s="28">
        <f t="shared" si="376"/>
        <v>1857.3724</v>
      </c>
      <c r="L7258" s="4"/>
      <c r="M7258" s="241">
        <v>1784.7909999999999</v>
      </c>
    </row>
    <row r="7259" spans="3:13" hidden="1" outlineLevel="1" x14ac:dyDescent="0.2">
      <c r="C7259" s="139">
        <v>240.09999999999064</v>
      </c>
      <c r="D7259" s="28">
        <f t="shared" si="369"/>
        <v>1920.7999999999251</v>
      </c>
      <c r="E7259" s="28">
        <f t="shared" si="370"/>
        <v>1800.7499999999297</v>
      </c>
      <c r="F7259" s="28">
        <f t="shared" si="371"/>
        <v>1782.7499999999297</v>
      </c>
      <c r="G7259" s="28">
        <f t="shared" si="372"/>
        <v>1693.7103</v>
      </c>
      <c r="H7259" s="28">
        <f t="shared" si="373"/>
        <v>1753.8027999999999</v>
      </c>
      <c r="I7259" s="28">
        <f t="shared" si="374"/>
        <v>1785.7932000000001</v>
      </c>
      <c r="J7259" s="28">
        <f t="shared" si="375"/>
        <v>1811.8151</v>
      </c>
      <c r="K7259" s="28">
        <f t="shared" si="376"/>
        <v>1858.4152999999999</v>
      </c>
      <c r="L7259" s="4"/>
      <c r="M7259" s="241">
        <v>1785.7932000000001</v>
      </c>
    </row>
    <row r="7260" spans="3:13" hidden="1" outlineLevel="1" x14ac:dyDescent="0.2">
      <c r="C7260" s="139">
        <v>240.19999999999064</v>
      </c>
      <c r="D7260" s="28">
        <f t="shared" si="369"/>
        <v>1921.5999999999251</v>
      </c>
      <c r="E7260" s="28">
        <f t="shared" si="370"/>
        <v>1801.4999999999297</v>
      </c>
      <c r="F7260" s="28">
        <f t="shared" si="371"/>
        <v>1783.4999999999297</v>
      </c>
      <c r="G7260" s="28">
        <f t="shared" si="372"/>
        <v>1694.7152000000001</v>
      </c>
      <c r="H7260" s="28">
        <f t="shared" si="373"/>
        <v>1754.7869000000001</v>
      </c>
      <c r="I7260" s="28">
        <f t="shared" si="374"/>
        <v>1786.7953</v>
      </c>
      <c r="J7260" s="28">
        <f t="shared" si="375"/>
        <v>1812.8317999999999</v>
      </c>
      <c r="K7260" s="28">
        <f t="shared" si="376"/>
        <v>1859.4582</v>
      </c>
      <c r="L7260" s="4"/>
      <c r="M7260" s="241">
        <v>1786.7953</v>
      </c>
    </row>
    <row r="7261" spans="3:13" hidden="1" outlineLevel="1" x14ac:dyDescent="0.2">
      <c r="C7261" s="139">
        <v>240.29999999999063</v>
      </c>
      <c r="D7261" s="28">
        <f t="shared" si="369"/>
        <v>1922.3999999999251</v>
      </c>
      <c r="E7261" s="28">
        <f t="shared" si="370"/>
        <v>1802.2499999999297</v>
      </c>
      <c r="F7261" s="28">
        <f t="shared" si="371"/>
        <v>1784.2499999999297</v>
      </c>
      <c r="G7261" s="28">
        <f t="shared" si="372"/>
        <v>1695.6656</v>
      </c>
      <c r="H7261" s="28">
        <f t="shared" si="373"/>
        <v>1755.8255999999999</v>
      </c>
      <c r="I7261" s="28">
        <f t="shared" si="374"/>
        <v>1787.7973999999999</v>
      </c>
      <c r="J7261" s="28">
        <f t="shared" si="375"/>
        <v>1813.8486</v>
      </c>
      <c r="K7261" s="28">
        <f t="shared" si="376"/>
        <v>1860.5011</v>
      </c>
      <c r="L7261" s="4"/>
      <c r="M7261" s="241">
        <v>1787.7973999999999</v>
      </c>
    </row>
    <row r="7262" spans="3:13" hidden="1" outlineLevel="1" x14ac:dyDescent="0.2">
      <c r="C7262" s="139">
        <v>240.39999999999063</v>
      </c>
      <c r="D7262" s="28">
        <f t="shared" si="369"/>
        <v>1923.199999999925</v>
      </c>
      <c r="E7262" s="28">
        <f t="shared" si="370"/>
        <v>1802.9999999999297</v>
      </c>
      <c r="F7262" s="28">
        <f t="shared" si="371"/>
        <v>1784.9999999999297</v>
      </c>
      <c r="G7262" s="28">
        <f t="shared" si="372"/>
        <v>1695.6656</v>
      </c>
      <c r="H7262" s="28">
        <f t="shared" si="373"/>
        <v>1755.8255999999999</v>
      </c>
      <c r="I7262" s="28">
        <f t="shared" si="374"/>
        <v>1787.7973999999999</v>
      </c>
      <c r="J7262" s="28">
        <f t="shared" si="375"/>
        <v>1813.8486</v>
      </c>
      <c r="K7262" s="28">
        <f t="shared" si="376"/>
        <v>1860.5011</v>
      </c>
      <c r="L7262" s="4"/>
      <c r="M7262" s="241">
        <v>1787.7973999999999</v>
      </c>
    </row>
    <row r="7263" spans="3:13" hidden="1" outlineLevel="1" x14ac:dyDescent="0.2">
      <c r="C7263" s="139">
        <v>240.49999999999062</v>
      </c>
      <c r="D7263" s="28">
        <f t="shared" si="369"/>
        <v>1923.999999999925</v>
      </c>
      <c r="E7263" s="28">
        <f t="shared" si="370"/>
        <v>1803.7499999999297</v>
      </c>
      <c r="F7263" s="28">
        <f t="shared" si="371"/>
        <v>1785.7499999999297</v>
      </c>
      <c r="G7263" s="28">
        <f t="shared" si="372"/>
        <v>1696.6705999999999</v>
      </c>
      <c r="H7263" s="28">
        <f t="shared" si="373"/>
        <v>1756.8098</v>
      </c>
      <c r="I7263" s="28">
        <f t="shared" si="374"/>
        <v>1788.8595</v>
      </c>
      <c r="J7263" s="28">
        <f t="shared" si="375"/>
        <v>1814.9251999999999</v>
      </c>
      <c r="K7263" s="28">
        <f t="shared" si="376"/>
        <v>1861.5440000000001</v>
      </c>
      <c r="L7263" s="4"/>
      <c r="M7263" s="241">
        <v>1788.8595</v>
      </c>
    </row>
    <row r="7264" spans="3:13" hidden="1" outlineLevel="1" x14ac:dyDescent="0.2">
      <c r="C7264" s="139">
        <v>240.59999999999062</v>
      </c>
      <c r="D7264" s="28">
        <f t="shared" si="369"/>
        <v>1924.7999999999249</v>
      </c>
      <c r="E7264" s="28">
        <f t="shared" si="370"/>
        <v>1804.4999999999295</v>
      </c>
      <c r="F7264" s="28">
        <f t="shared" si="371"/>
        <v>1786.4999999999295</v>
      </c>
      <c r="G7264" s="28">
        <f t="shared" si="372"/>
        <v>1697.6211000000001</v>
      </c>
      <c r="H7264" s="28">
        <f t="shared" si="373"/>
        <v>1757.7940000000001</v>
      </c>
      <c r="I7264" s="28">
        <f t="shared" si="374"/>
        <v>1789.8616</v>
      </c>
      <c r="J7264" s="28">
        <f t="shared" si="375"/>
        <v>1815.942</v>
      </c>
      <c r="K7264" s="28">
        <f t="shared" si="376"/>
        <v>1862.5868</v>
      </c>
      <c r="L7264" s="4"/>
      <c r="M7264" s="241">
        <v>1789.8616</v>
      </c>
    </row>
    <row r="7265" spans="3:13" hidden="1" outlineLevel="1" x14ac:dyDescent="0.2">
      <c r="C7265" s="139">
        <v>240.69999999999061</v>
      </c>
      <c r="D7265" s="28">
        <f t="shared" si="369"/>
        <v>1925.5999999999249</v>
      </c>
      <c r="E7265" s="28">
        <f t="shared" si="370"/>
        <v>1805.2499999999295</v>
      </c>
      <c r="F7265" s="28">
        <f t="shared" si="371"/>
        <v>1787.2499999999295</v>
      </c>
      <c r="G7265" s="28">
        <f t="shared" si="372"/>
        <v>1698.6261999999999</v>
      </c>
      <c r="H7265" s="28">
        <f t="shared" si="373"/>
        <v>1758.8326999999999</v>
      </c>
      <c r="I7265" s="28">
        <f t="shared" si="374"/>
        <v>1790.8638000000001</v>
      </c>
      <c r="J7265" s="28">
        <f t="shared" si="375"/>
        <v>1816.9588000000001</v>
      </c>
      <c r="K7265" s="28">
        <f t="shared" si="376"/>
        <v>1863.6896999999999</v>
      </c>
      <c r="L7265" s="4"/>
      <c r="M7265" s="241">
        <v>1790.8638000000001</v>
      </c>
    </row>
    <row r="7266" spans="3:13" hidden="1" outlineLevel="1" x14ac:dyDescent="0.2">
      <c r="C7266" s="139">
        <v>240.7999999999906</v>
      </c>
      <c r="D7266" s="28">
        <f t="shared" si="369"/>
        <v>1926.3999999999248</v>
      </c>
      <c r="E7266" s="28">
        <f t="shared" si="370"/>
        <v>1805.9999999999295</v>
      </c>
      <c r="F7266" s="28">
        <f t="shared" si="371"/>
        <v>1787.9999999999295</v>
      </c>
      <c r="G7266" s="28">
        <f t="shared" si="372"/>
        <v>1698.6261999999999</v>
      </c>
      <c r="H7266" s="28">
        <f t="shared" si="373"/>
        <v>1758.8326999999999</v>
      </c>
      <c r="I7266" s="28">
        <f t="shared" si="374"/>
        <v>1790.8638000000001</v>
      </c>
      <c r="J7266" s="28">
        <f t="shared" si="375"/>
        <v>1816.9588000000001</v>
      </c>
      <c r="K7266" s="28">
        <f t="shared" si="376"/>
        <v>1863.6896999999999</v>
      </c>
      <c r="L7266" s="4"/>
      <c r="M7266" s="241">
        <v>1790.8638000000001</v>
      </c>
    </row>
    <row r="7267" spans="3:13" hidden="1" outlineLevel="1" x14ac:dyDescent="0.2">
      <c r="C7267" s="139">
        <v>240.8999999999906</v>
      </c>
      <c r="D7267" s="28">
        <f t="shared" si="369"/>
        <v>1927.1999999999248</v>
      </c>
      <c r="E7267" s="28">
        <f t="shared" si="370"/>
        <v>1806.7499999999295</v>
      </c>
      <c r="F7267" s="28">
        <f t="shared" si="371"/>
        <v>1788.7499999999295</v>
      </c>
      <c r="G7267" s="28">
        <f t="shared" si="372"/>
        <v>1699.5767000000001</v>
      </c>
      <c r="H7267" s="28">
        <f t="shared" si="373"/>
        <v>1759.817</v>
      </c>
      <c r="I7267" s="28">
        <f t="shared" si="374"/>
        <v>1791.866</v>
      </c>
      <c r="J7267" s="28">
        <f t="shared" si="375"/>
        <v>1817.9755</v>
      </c>
      <c r="K7267" s="28">
        <f t="shared" si="376"/>
        <v>1864.7326</v>
      </c>
      <c r="L7267" s="4"/>
      <c r="M7267" s="241">
        <v>1791.866</v>
      </c>
    </row>
    <row r="7268" spans="3:13" hidden="1" outlineLevel="1" x14ac:dyDescent="0.2">
      <c r="C7268" s="139">
        <v>240.99999999999059</v>
      </c>
      <c r="D7268" s="28">
        <f t="shared" si="369"/>
        <v>1927.9999999999247</v>
      </c>
      <c r="E7268" s="28">
        <f t="shared" si="370"/>
        <v>1807.4999999999295</v>
      </c>
      <c r="F7268" s="28">
        <f t="shared" si="371"/>
        <v>1789.4999999999295</v>
      </c>
      <c r="G7268" s="28">
        <f t="shared" si="372"/>
        <v>1700.5818999999999</v>
      </c>
      <c r="H7268" s="28">
        <f t="shared" si="373"/>
        <v>1760.8012000000001</v>
      </c>
      <c r="I7268" s="28">
        <f t="shared" si="374"/>
        <v>1792.8680999999999</v>
      </c>
      <c r="J7268" s="28">
        <f t="shared" si="375"/>
        <v>1818.9922999999999</v>
      </c>
      <c r="K7268" s="28">
        <f t="shared" si="376"/>
        <v>1865.7755999999999</v>
      </c>
      <c r="L7268" s="4"/>
      <c r="M7268" s="241">
        <v>1792.8680999999999</v>
      </c>
    </row>
    <row r="7269" spans="3:13" hidden="1" outlineLevel="1" x14ac:dyDescent="0.2">
      <c r="C7269" s="139">
        <v>241.09999999999059</v>
      </c>
      <c r="D7269" s="28">
        <f t="shared" si="369"/>
        <v>1928.7999999999247</v>
      </c>
      <c r="E7269" s="28">
        <f t="shared" si="370"/>
        <v>1808.2499999999295</v>
      </c>
      <c r="F7269" s="28">
        <f t="shared" si="371"/>
        <v>1790.2499999999295</v>
      </c>
      <c r="G7269" s="28">
        <f t="shared" si="372"/>
        <v>1701.5324000000001</v>
      </c>
      <c r="H7269" s="28">
        <f t="shared" si="373"/>
        <v>1761.8400999999999</v>
      </c>
      <c r="I7269" s="28">
        <f t="shared" si="374"/>
        <v>1793.9304</v>
      </c>
      <c r="J7269" s="28">
        <f t="shared" si="375"/>
        <v>1820.0690999999999</v>
      </c>
      <c r="K7269" s="28">
        <f t="shared" si="376"/>
        <v>1866.8185000000001</v>
      </c>
      <c r="L7269" s="4"/>
      <c r="M7269" s="241">
        <v>1793.9304</v>
      </c>
    </row>
    <row r="7270" spans="3:13" hidden="1" outlineLevel="1" x14ac:dyDescent="0.2">
      <c r="C7270" s="139">
        <v>241.19999999999058</v>
      </c>
      <c r="D7270" s="28">
        <f t="shared" si="369"/>
        <v>1929.5999999999246</v>
      </c>
      <c r="E7270" s="28">
        <f t="shared" si="370"/>
        <v>1808.9999999999293</v>
      </c>
      <c r="F7270" s="28">
        <f t="shared" si="371"/>
        <v>1790.9999999999293</v>
      </c>
      <c r="G7270" s="28">
        <f t="shared" si="372"/>
        <v>1701.5324000000001</v>
      </c>
      <c r="H7270" s="28">
        <f t="shared" si="373"/>
        <v>1761.8400999999999</v>
      </c>
      <c r="I7270" s="28">
        <f t="shared" si="374"/>
        <v>1793.9304</v>
      </c>
      <c r="J7270" s="28">
        <f t="shared" si="375"/>
        <v>1820.0690999999999</v>
      </c>
      <c r="K7270" s="28">
        <f t="shared" si="376"/>
        <v>1866.8185000000001</v>
      </c>
      <c r="L7270" s="4"/>
      <c r="M7270" s="241">
        <v>1793.9304</v>
      </c>
    </row>
    <row r="7271" spans="3:13" hidden="1" outlineLevel="1" x14ac:dyDescent="0.2">
      <c r="C7271" s="139">
        <v>241.29999999999058</v>
      </c>
      <c r="D7271" s="28">
        <f t="shared" si="369"/>
        <v>1930.3999999999246</v>
      </c>
      <c r="E7271" s="28">
        <f t="shared" si="370"/>
        <v>1809.7499999999293</v>
      </c>
      <c r="F7271" s="28">
        <f t="shared" si="371"/>
        <v>1791.7499999999293</v>
      </c>
      <c r="G7271" s="28">
        <f t="shared" si="372"/>
        <v>1702.5377000000001</v>
      </c>
      <c r="H7271" s="28">
        <f t="shared" si="373"/>
        <v>1762.8243</v>
      </c>
      <c r="I7271" s="28">
        <f t="shared" si="374"/>
        <v>1794.9326000000001</v>
      </c>
      <c r="J7271" s="28">
        <f t="shared" si="375"/>
        <v>1821.0859</v>
      </c>
      <c r="K7271" s="28">
        <f t="shared" si="376"/>
        <v>1867.8614</v>
      </c>
      <c r="L7271" s="4"/>
      <c r="M7271" s="241">
        <v>1794.9326000000001</v>
      </c>
    </row>
    <row r="7272" spans="3:13" hidden="1" outlineLevel="1" x14ac:dyDescent="0.2">
      <c r="C7272" s="139">
        <v>241.39999999999057</v>
      </c>
      <c r="D7272" s="28">
        <f t="shared" si="369"/>
        <v>1931.1999999999246</v>
      </c>
      <c r="E7272" s="28">
        <f t="shared" si="370"/>
        <v>1810.4999999999293</v>
      </c>
      <c r="F7272" s="28">
        <f t="shared" si="371"/>
        <v>1792.4999999999293</v>
      </c>
      <c r="G7272" s="28">
        <f t="shared" si="372"/>
        <v>1703.4883</v>
      </c>
      <c r="H7272" s="28">
        <f t="shared" si="373"/>
        <v>1763.8086000000001</v>
      </c>
      <c r="I7272" s="28">
        <f t="shared" si="374"/>
        <v>1795.9348</v>
      </c>
      <c r="J7272" s="28">
        <f t="shared" si="375"/>
        <v>1822.1026999999999</v>
      </c>
      <c r="K7272" s="28">
        <f t="shared" si="376"/>
        <v>1868.9042999999999</v>
      </c>
      <c r="L7272" s="4"/>
      <c r="M7272" s="241">
        <v>1795.9348</v>
      </c>
    </row>
    <row r="7273" spans="3:13" hidden="1" outlineLevel="1" x14ac:dyDescent="0.2">
      <c r="C7273" s="139">
        <v>241.49999999999056</v>
      </c>
      <c r="D7273" s="28">
        <f t="shared" si="369"/>
        <v>1931.9999999999245</v>
      </c>
      <c r="E7273" s="28">
        <f t="shared" si="370"/>
        <v>1811.2499999999293</v>
      </c>
      <c r="F7273" s="28">
        <f t="shared" si="371"/>
        <v>1793.2499999999293</v>
      </c>
      <c r="G7273" s="28">
        <f t="shared" si="372"/>
        <v>1704.4936</v>
      </c>
      <c r="H7273" s="28">
        <f t="shared" si="373"/>
        <v>1764.8476000000001</v>
      </c>
      <c r="I7273" s="28">
        <f t="shared" si="374"/>
        <v>1796.9369999999999</v>
      </c>
      <c r="J7273" s="28">
        <f t="shared" si="375"/>
        <v>1823.1195</v>
      </c>
      <c r="K7273" s="28">
        <f t="shared" si="376"/>
        <v>1869.9472000000001</v>
      </c>
      <c r="L7273" s="4"/>
      <c r="M7273" s="241">
        <v>1796.9369999999999</v>
      </c>
    </row>
    <row r="7274" spans="3:13" hidden="1" outlineLevel="1" x14ac:dyDescent="0.2">
      <c r="C7274" s="139">
        <v>241.59999999999056</v>
      </c>
      <c r="D7274" s="28">
        <f t="shared" si="369"/>
        <v>1932.7999999999245</v>
      </c>
      <c r="E7274" s="28">
        <f t="shared" si="370"/>
        <v>1811.9999999999293</v>
      </c>
      <c r="F7274" s="28">
        <f t="shared" si="371"/>
        <v>1793.9999999999293</v>
      </c>
      <c r="G7274" s="28">
        <f t="shared" si="372"/>
        <v>1704.4936</v>
      </c>
      <c r="H7274" s="28">
        <f t="shared" si="373"/>
        <v>1764.8476000000001</v>
      </c>
      <c r="I7274" s="28">
        <f t="shared" si="374"/>
        <v>1796.9369999999999</v>
      </c>
      <c r="J7274" s="28">
        <f t="shared" si="375"/>
        <v>1823.1195</v>
      </c>
      <c r="K7274" s="28">
        <f t="shared" si="376"/>
        <v>1869.9472000000001</v>
      </c>
      <c r="L7274" s="4"/>
      <c r="M7274" s="241">
        <v>1796.9369999999999</v>
      </c>
    </row>
    <row r="7275" spans="3:13" hidden="1" outlineLevel="1" x14ac:dyDescent="0.2">
      <c r="C7275" s="139">
        <v>241.69999999999055</v>
      </c>
      <c r="D7275" s="28">
        <f t="shared" si="369"/>
        <v>1933.5999999999244</v>
      </c>
      <c r="E7275" s="28">
        <f t="shared" si="370"/>
        <v>1812.7499999999291</v>
      </c>
      <c r="F7275" s="28">
        <f t="shared" si="371"/>
        <v>1794.7499999999291</v>
      </c>
      <c r="G7275" s="28">
        <f t="shared" si="372"/>
        <v>1705.499</v>
      </c>
      <c r="H7275" s="28">
        <f t="shared" si="373"/>
        <v>1765.8318999999999</v>
      </c>
      <c r="I7275" s="28">
        <f t="shared" si="374"/>
        <v>1797.9993999999999</v>
      </c>
      <c r="J7275" s="28">
        <f t="shared" si="375"/>
        <v>1824.1362999999999</v>
      </c>
      <c r="K7275" s="28">
        <f t="shared" si="376"/>
        <v>1871.0504000000001</v>
      </c>
      <c r="L7275" s="4"/>
      <c r="M7275" s="241">
        <v>1797.9993999999999</v>
      </c>
    </row>
    <row r="7276" spans="3:13" hidden="1" outlineLevel="1" x14ac:dyDescent="0.2">
      <c r="C7276" s="139">
        <v>241.79999999999055</v>
      </c>
      <c r="D7276" s="28">
        <f t="shared" si="369"/>
        <v>1934.3999999999244</v>
      </c>
      <c r="E7276" s="28">
        <f t="shared" si="370"/>
        <v>1813.4999999999291</v>
      </c>
      <c r="F7276" s="28">
        <f t="shared" si="371"/>
        <v>1795.4999999999291</v>
      </c>
      <c r="G7276" s="28">
        <f t="shared" si="372"/>
        <v>1706.4496999999999</v>
      </c>
      <c r="H7276" s="28">
        <f t="shared" si="373"/>
        <v>1766.8162</v>
      </c>
      <c r="I7276" s="28">
        <f t="shared" si="374"/>
        <v>1799.0016000000001</v>
      </c>
      <c r="J7276" s="28">
        <f t="shared" si="375"/>
        <v>1825.2134000000001</v>
      </c>
      <c r="K7276" s="28">
        <f t="shared" si="376"/>
        <v>1872.0933</v>
      </c>
      <c r="L7276" s="4"/>
      <c r="M7276" s="241">
        <v>1799.0016000000001</v>
      </c>
    </row>
    <row r="7277" spans="3:13" hidden="1" outlineLevel="1" x14ac:dyDescent="0.2">
      <c r="C7277" s="139">
        <v>241.89999999999054</v>
      </c>
      <c r="D7277" s="28">
        <f t="shared" si="369"/>
        <v>1935.1999999999243</v>
      </c>
      <c r="E7277" s="28">
        <f t="shared" si="370"/>
        <v>1814.2499999999291</v>
      </c>
      <c r="F7277" s="28">
        <f t="shared" si="371"/>
        <v>1796.2499999999291</v>
      </c>
      <c r="G7277" s="28">
        <f t="shared" si="372"/>
        <v>1707.4550999999999</v>
      </c>
      <c r="H7277" s="28">
        <f t="shared" si="373"/>
        <v>1767.8552999999999</v>
      </c>
      <c r="I7277" s="28">
        <f t="shared" si="374"/>
        <v>1800.0038</v>
      </c>
      <c r="J7277" s="28">
        <f t="shared" si="375"/>
        <v>1826.2302</v>
      </c>
      <c r="K7277" s="28">
        <f t="shared" si="376"/>
        <v>1873.1361999999999</v>
      </c>
      <c r="L7277" s="4"/>
      <c r="M7277" s="241">
        <v>1800.0038</v>
      </c>
    </row>
    <row r="7278" spans="3:13" hidden="1" outlineLevel="1" x14ac:dyDescent="0.2">
      <c r="C7278" s="139">
        <v>241.99999999999054</v>
      </c>
      <c r="D7278" s="28">
        <f t="shared" si="369"/>
        <v>1935.9999999999243</v>
      </c>
      <c r="E7278" s="28">
        <f t="shared" si="370"/>
        <v>1814.9999999999291</v>
      </c>
      <c r="F7278" s="28">
        <f t="shared" si="371"/>
        <v>1796.9999999999291</v>
      </c>
      <c r="G7278" s="28">
        <f t="shared" si="372"/>
        <v>1707.4550999999999</v>
      </c>
      <c r="H7278" s="28">
        <f t="shared" si="373"/>
        <v>1767.8552999999999</v>
      </c>
      <c r="I7278" s="28">
        <f t="shared" si="374"/>
        <v>1800.0038</v>
      </c>
      <c r="J7278" s="28">
        <f t="shared" si="375"/>
        <v>1826.2302</v>
      </c>
      <c r="K7278" s="28">
        <f t="shared" si="376"/>
        <v>1873.1361999999999</v>
      </c>
      <c r="L7278" s="4"/>
      <c r="M7278" s="241">
        <v>1800.0038</v>
      </c>
    </row>
    <row r="7279" spans="3:13" hidden="1" outlineLevel="1" x14ac:dyDescent="0.2">
      <c r="C7279" s="139">
        <v>242.09999999999053</v>
      </c>
      <c r="D7279" s="28">
        <f t="shared" si="369"/>
        <v>1936.7999999999242</v>
      </c>
      <c r="E7279" s="28">
        <f t="shared" si="370"/>
        <v>1815.7499999999291</v>
      </c>
      <c r="F7279" s="28">
        <f t="shared" si="371"/>
        <v>1797.7499999999291</v>
      </c>
      <c r="G7279" s="28">
        <f t="shared" si="372"/>
        <v>1708.4058</v>
      </c>
      <c r="H7279" s="28">
        <f t="shared" si="373"/>
        <v>1768.8396</v>
      </c>
      <c r="I7279" s="28">
        <f t="shared" si="374"/>
        <v>1801.0061000000001</v>
      </c>
      <c r="J7279" s="28">
        <f t="shared" si="375"/>
        <v>1827.2471</v>
      </c>
      <c r="K7279" s="28">
        <f t="shared" si="376"/>
        <v>1874.1792</v>
      </c>
      <c r="L7279" s="4"/>
      <c r="M7279" s="241">
        <v>1801.0061000000001</v>
      </c>
    </row>
    <row r="7280" spans="3:13" hidden="1" outlineLevel="1" x14ac:dyDescent="0.2">
      <c r="C7280" s="139">
        <v>242.19999999999052</v>
      </c>
      <c r="D7280" s="28">
        <f t="shared" si="369"/>
        <v>1937.5999999999242</v>
      </c>
      <c r="E7280" s="28">
        <f t="shared" si="370"/>
        <v>1816.4999999999288</v>
      </c>
      <c r="F7280" s="28">
        <f t="shared" si="371"/>
        <v>1798.4999999999288</v>
      </c>
      <c r="G7280" s="28">
        <f t="shared" si="372"/>
        <v>1709.4114</v>
      </c>
      <c r="H7280" s="28">
        <f t="shared" si="373"/>
        <v>1769.8239000000001</v>
      </c>
      <c r="I7280" s="28">
        <f t="shared" si="374"/>
        <v>1802.0687</v>
      </c>
      <c r="J7280" s="28">
        <f t="shared" si="375"/>
        <v>1828.2638999999999</v>
      </c>
      <c r="K7280" s="28">
        <f t="shared" si="376"/>
        <v>1875.2221</v>
      </c>
      <c r="L7280" s="4"/>
      <c r="M7280" s="241">
        <v>1802.0687</v>
      </c>
    </row>
    <row r="7281" spans="3:13" hidden="1" outlineLevel="1" x14ac:dyDescent="0.2">
      <c r="C7281" s="139">
        <v>242.29999999999052</v>
      </c>
      <c r="D7281" s="28">
        <f t="shared" si="369"/>
        <v>1938.3999999999241</v>
      </c>
      <c r="E7281" s="28">
        <f t="shared" si="370"/>
        <v>1817.2499999999288</v>
      </c>
      <c r="F7281" s="28">
        <f t="shared" si="371"/>
        <v>1799.2499999999288</v>
      </c>
      <c r="G7281" s="28">
        <f t="shared" si="372"/>
        <v>1710.3621000000001</v>
      </c>
      <c r="H7281" s="28">
        <f t="shared" si="373"/>
        <v>1770.8632</v>
      </c>
      <c r="I7281" s="28">
        <f t="shared" si="374"/>
        <v>1803.0708999999999</v>
      </c>
      <c r="J7281" s="28">
        <f t="shared" si="375"/>
        <v>1829.2807</v>
      </c>
      <c r="K7281" s="28">
        <f t="shared" si="376"/>
        <v>1876.2651000000001</v>
      </c>
      <c r="L7281" s="4"/>
      <c r="M7281" s="241">
        <v>1803.0708999999999</v>
      </c>
    </row>
    <row r="7282" spans="3:13" hidden="1" outlineLevel="1" x14ac:dyDescent="0.2">
      <c r="C7282" s="139">
        <v>242.39999999999051</v>
      </c>
      <c r="D7282" s="28">
        <f t="shared" si="369"/>
        <v>1939.1999999999241</v>
      </c>
      <c r="E7282" s="28">
        <f t="shared" si="370"/>
        <v>1817.9999999999288</v>
      </c>
      <c r="F7282" s="28">
        <f t="shared" si="371"/>
        <v>1799.9999999999288</v>
      </c>
      <c r="G7282" s="28">
        <f t="shared" si="372"/>
        <v>1710.3621000000001</v>
      </c>
      <c r="H7282" s="28">
        <f t="shared" si="373"/>
        <v>1770.8632</v>
      </c>
      <c r="I7282" s="28">
        <f t="shared" si="374"/>
        <v>1803.0708999999999</v>
      </c>
      <c r="J7282" s="28">
        <f t="shared" si="375"/>
        <v>1829.2807</v>
      </c>
      <c r="K7282" s="28">
        <f t="shared" si="376"/>
        <v>1876.2651000000001</v>
      </c>
      <c r="L7282" s="4"/>
      <c r="M7282" s="241">
        <v>1803.0708999999999</v>
      </c>
    </row>
    <row r="7283" spans="3:13" hidden="1" outlineLevel="1" x14ac:dyDescent="0.2">
      <c r="C7283" s="139">
        <v>242.49999999999051</v>
      </c>
      <c r="D7283" s="28">
        <f t="shared" si="369"/>
        <v>1939.9999999999241</v>
      </c>
      <c r="E7283" s="28">
        <f t="shared" si="370"/>
        <v>1818.7499999999288</v>
      </c>
      <c r="F7283" s="28">
        <f t="shared" si="371"/>
        <v>1800.7499999999288</v>
      </c>
      <c r="G7283" s="28">
        <f t="shared" si="372"/>
        <v>1711.3678</v>
      </c>
      <c r="H7283" s="28">
        <f t="shared" si="373"/>
        <v>1771.8475000000001</v>
      </c>
      <c r="I7283" s="28">
        <f t="shared" si="374"/>
        <v>1804.0732</v>
      </c>
      <c r="J7283" s="28">
        <f t="shared" si="375"/>
        <v>1830.3579999999999</v>
      </c>
      <c r="K7283" s="28">
        <f t="shared" si="376"/>
        <v>1877.308</v>
      </c>
      <c r="L7283" s="4"/>
      <c r="M7283" s="241">
        <v>1804.0732</v>
      </c>
    </row>
    <row r="7284" spans="3:13" hidden="1" outlineLevel="1" x14ac:dyDescent="0.2">
      <c r="C7284" s="139">
        <v>242.5999999999905</v>
      </c>
      <c r="D7284" s="28">
        <f t="shared" si="369"/>
        <v>1940.799999999924</v>
      </c>
      <c r="E7284" s="28">
        <f t="shared" si="370"/>
        <v>1819.4999999999288</v>
      </c>
      <c r="F7284" s="28">
        <f t="shared" si="371"/>
        <v>1801.4999999999288</v>
      </c>
      <c r="G7284" s="28">
        <f t="shared" si="372"/>
        <v>1712.3186000000001</v>
      </c>
      <c r="H7284" s="28">
        <f t="shared" si="373"/>
        <v>1772.8318999999999</v>
      </c>
      <c r="I7284" s="28">
        <f t="shared" si="374"/>
        <v>1805.0753999999999</v>
      </c>
      <c r="J7284" s="28">
        <f t="shared" si="375"/>
        <v>1831.3748000000001</v>
      </c>
      <c r="K7284" s="28">
        <f t="shared" si="376"/>
        <v>1878.4114999999999</v>
      </c>
      <c r="L7284" s="4"/>
      <c r="M7284" s="241">
        <v>1805.0753999999999</v>
      </c>
    </row>
    <row r="7285" spans="3:13" hidden="1" outlineLevel="1" x14ac:dyDescent="0.2">
      <c r="C7285" s="139">
        <v>242.6999999999905</v>
      </c>
      <c r="D7285" s="28">
        <f t="shared" si="369"/>
        <v>1941.599999999924</v>
      </c>
      <c r="E7285" s="28">
        <f t="shared" si="370"/>
        <v>1820.2499999999286</v>
      </c>
      <c r="F7285" s="28">
        <f t="shared" si="371"/>
        <v>1802.2499999999286</v>
      </c>
      <c r="G7285" s="28">
        <f t="shared" si="372"/>
        <v>1713.3243</v>
      </c>
      <c r="H7285" s="28">
        <f t="shared" si="373"/>
        <v>1773.8712</v>
      </c>
      <c r="I7285" s="28">
        <f t="shared" si="374"/>
        <v>1806.1382000000001</v>
      </c>
      <c r="J7285" s="28">
        <f t="shared" si="375"/>
        <v>1832.3916999999999</v>
      </c>
      <c r="K7285" s="28">
        <f t="shared" si="376"/>
        <v>1879.4544000000001</v>
      </c>
      <c r="L7285" s="4"/>
      <c r="M7285" s="241">
        <v>1806.1382000000001</v>
      </c>
    </row>
    <row r="7286" spans="3:13" hidden="1" outlineLevel="1" x14ac:dyDescent="0.2">
      <c r="C7286" s="139">
        <v>242.79999999999049</v>
      </c>
      <c r="D7286" s="28">
        <f t="shared" si="369"/>
        <v>1942.3999999999239</v>
      </c>
      <c r="E7286" s="28">
        <f t="shared" si="370"/>
        <v>1820.9999999999286</v>
      </c>
      <c r="F7286" s="28">
        <f t="shared" si="371"/>
        <v>1802.9999999999286</v>
      </c>
      <c r="G7286" s="28">
        <f t="shared" si="372"/>
        <v>1713.3243</v>
      </c>
      <c r="H7286" s="28">
        <f t="shared" si="373"/>
        <v>1773.8712</v>
      </c>
      <c r="I7286" s="28">
        <f t="shared" si="374"/>
        <v>1806.1382000000001</v>
      </c>
      <c r="J7286" s="28">
        <f t="shared" si="375"/>
        <v>1832.3916999999999</v>
      </c>
      <c r="K7286" s="28">
        <f t="shared" si="376"/>
        <v>1879.4544000000001</v>
      </c>
      <c r="L7286" s="4"/>
      <c r="M7286" s="241">
        <v>1806.1382000000001</v>
      </c>
    </row>
    <row r="7287" spans="3:13" hidden="1" outlineLevel="1" x14ac:dyDescent="0.2">
      <c r="C7287" s="139">
        <v>242.89999999999048</v>
      </c>
      <c r="D7287" s="28">
        <f t="shared" si="369"/>
        <v>1943.1999999999239</v>
      </c>
      <c r="E7287" s="28">
        <f t="shared" si="370"/>
        <v>1821.7499999999286</v>
      </c>
      <c r="F7287" s="28">
        <f t="shared" si="371"/>
        <v>1803.7499999999286</v>
      </c>
      <c r="G7287" s="28">
        <f t="shared" si="372"/>
        <v>1714.2751000000001</v>
      </c>
      <c r="H7287" s="28">
        <f t="shared" si="373"/>
        <v>1774.8556000000001</v>
      </c>
      <c r="I7287" s="28">
        <f t="shared" si="374"/>
        <v>1807.1405</v>
      </c>
      <c r="J7287" s="28">
        <f t="shared" si="375"/>
        <v>1833.4086</v>
      </c>
      <c r="K7287" s="28">
        <f t="shared" si="376"/>
        <v>1880.4974</v>
      </c>
      <c r="L7287" s="4"/>
      <c r="M7287" s="241">
        <v>1807.1405</v>
      </c>
    </row>
    <row r="7288" spans="3:13" hidden="1" outlineLevel="1" x14ac:dyDescent="0.2">
      <c r="C7288" s="139">
        <v>242.99999999999048</v>
      </c>
      <c r="D7288" s="28">
        <f t="shared" si="369"/>
        <v>1943.9999999999238</v>
      </c>
      <c r="E7288" s="28">
        <f t="shared" si="370"/>
        <v>1822.4999999999286</v>
      </c>
      <c r="F7288" s="28">
        <f t="shared" si="371"/>
        <v>1804.4999999999286</v>
      </c>
      <c r="G7288" s="28">
        <f t="shared" si="372"/>
        <v>1715.2809</v>
      </c>
      <c r="H7288" s="28">
        <f t="shared" si="373"/>
        <v>1775.84</v>
      </c>
      <c r="I7288" s="28">
        <f t="shared" si="374"/>
        <v>1808.1428000000001</v>
      </c>
      <c r="J7288" s="28">
        <f t="shared" si="375"/>
        <v>1834.4254000000001</v>
      </c>
      <c r="K7288" s="28">
        <f t="shared" si="376"/>
        <v>1881.5404000000001</v>
      </c>
      <c r="L7288" s="4"/>
      <c r="M7288" s="241">
        <v>1808.1428000000001</v>
      </c>
    </row>
    <row r="7289" spans="3:13" hidden="1" outlineLevel="1" x14ac:dyDescent="0.2">
      <c r="C7289" s="139">
        <v>243.09999999999047</v>
      </c>
      <c r="D7289" s="28">
        <f t="shared" si="369"/>
        <v>1944.7999999999238</v>
      </c>
      <c r="E7289" s="28">
        <f t="shared" si="370"/>
        <v>1823.2499999999286</v>
      </c>
      <c r="F7289" s="28">
        <f t="shared" si="371"/>
        <v>1805.2499999999286</v>
      </c>
      <c r="G7289" s="28">
        <f t="shared" si="372"/>
        <v>1716.2318</v>
      </c>
      <c r="H7289" s="28">
        <f t="shared" si="373"/>
        <v>1776.8795</v>
      </c>
      <c r="I7289" s="28">
        <f t="shared" si="374"/>
        <v>1809.1451</v>
      </c>
      <c r="J7289" s="28">
        <f t="shared" si="375"/>
        <v>1835.5029</v>
      </c>
      <c r="K7289" s="28">
        <f t="shared" si="376"/>
        <v>1882.5834</v>
      </c>
      <c r="L7289" s="4"/>
      <c r="M7289" s="241">
        <v>1809.1451</v>
      </c>
    </row>
    <row r="7290" spans="3:13" hidden="1" outlineLevel="1" x14ac:dyDescent="0.2">
      <c r="C7290" s="139">
        <v>243.19999999999047</v>
      </c>
      <c r="D7290" s="28">
        <f t="shared" si="369"/>
        <v>1945.5999999999237</v>
      </c>
      <c r="E7290" s="28">
        <f t="shared" si="370"/>
        <v>1823.9999999999286</v>
      </c>
      <c r="F7290" s="28">
        <f t="shared" si="371"/>
        <v>1805.9999999999286</v>
      </c>
      <c r="G7290" s="28">
        <f t="shared" si="372"/>
        <v>1716.2318</v>
      </c>
      <c r="H7290" s="28">
        <f t="shared" si="373"/>
        <v>1776.8795</v>
      </c>
      <c r="I7290" s="28">
        <f t="shared" si="374"/>
        <v>1809.1451</v>
      </c>
      <c r="J7290" s="28">
        <f t="shared" si="375"/>
        <v>1835.5029</v>
      </c>
      <c r="K7290" s="28">
        <f t="shared" si="376"/>
        <v>1882.5834</v>
      </c>
      <c r="L7290" s="4"/>
      <c r="M7290" s="241">
        <v>1809.1451</v>
      </c>
    </row>
    <row r="7291" spans="3:13" hidden="1" outlineLevel="1" x14ac:dyDescent="0.2">
      <c r="C7291" s="139">
        <v>243.29999999999046</v>
      </c>
      <c r="D7291" s="28">
        <f t="shared" ref="D7291:D7354" si="377">C7291*Channels.per.TRX</f>
        <v>1946.3999999999237</v>
      </c>
      <c r="E7291" s="28">
        <f t="shared" ref="E7291:E7354" si="378">D7291-C7291*sig.channel.per.TRX</f>
        <v>1824.7499999999284</v>
      </c>
      <c r="F7291" s="28">
        <f t="shared" ref="F7291:F7354" si="379">MAX(0,E7291-GPRS.channel.per.sector)</f>
        <v>1806.7499999999284</v>
      </c>
      <c r="G7291" s="28">
        <f t="shared" ref="G7291:G7354" si="380">INDEX(D$10:D$4326,MATCH($F7291,$C$10:$C$4326,1))</f>
        <v>1717.2376999999999</v>
      </c>
      <c r="H7291" s="28">
        <f t="shared" ref="H7291:H7354" si="381">INDEX(E$10:E$4326,MATCH($F7291,$C$10:$C$4326,1))</f>
        <v>1777.8639000000001</v>
      </c>
      <c r="I7291" s="28">
        <f t="shared" ref="I7291:I7354" si="382">INDEX(F$10:F$4326,MATCH($F7291,$C$10:$C$4326,1))</f>
        <v>1810.2080000000001</v>
      </c>
      <c r="J7291" s="28">
        <f t="shared" ref="J7291:J7354" si="383">INDEX(G$10:G$4326,MATCH($F7291,$C$10:$C$4326,1))</f>
        <v>1836.5198</v>
      </c>
      <c r="K7291" s="28">
        <f t="shared" ref="K7291:K7354" si="384">INDEX(H$10:H$4326,MATCH($F7291,$C$10:$C$4326,1))</f>
        <v>1883.6264000000001</v>
      </c>
      <c r="L7291" s="4"/>
      <c r="M7291" s="241">
        <v>1810.2080000000001</v>
      </c>
    </row>
    <row r="7292" spans="3:13" hidden="1" outlineLevel="1" x14ac:dyDescent="0.2">
      <c r="C7292" s="139">
        <v>243.39999999999046</v>
      </c>
      <c r="D7292" s="28">
        <f t="shared" si="377"/>
        <v>1947.1999999999236</v>
      </c>
      <c r="E7292" s="28">
        <f t="shared" si="378"/>
        <v>1825.4999999999284</v>
      </c>
      <c r="F7292" s="28">
        <f t="shared" si="379"/>
        <v>1807.4999999999284</v>
      </c>
      <c r="G7292" s="28">
        <f t="shared" si="380"/>
        <v>1718.1886</v>
      </c>
      <c r="H7292" s="28">
        <f t="shared" si="381"/>
        <v>1778.8483000000001</v>
      </c>
      <c r="I7292" s="28">
        <f t="shared" si="382"/>
        <v>1811.2103</v>
      </c>
      <c r="J7292" s="28">
        <f t="shared" si="383"/>
        <v>1837.5367000000001</v>
      </c>
      <c r="K7292" s="28">
        <f t="shared" si="384"/>
        <v>1884.6693</v>
      </c>
      <c r="L7292" s="4"/>
      <c r="M7292" s="241">
        <v>1811.2103</v>
      </c>
    </row>
    <row r="7293" spans="3:13" hidden="1" outlineLevel="1" x14ac:dyDescent="0.2">
      <c r="C7293" s="139">
        <v>243.49999999999045</v>
      </c>
      <c r="D7293" s="28">
        <f t="shared" si="377"/>
        <v>1947.9999999999236</v>
      </c>
      <c r="E7293" s="28">
        <f t="shared" si="378"/>
        <v>1826.2499999999284</v>
      </c>
      <c r="F7293" s="28">
        <f t="shared" si="379"/>
        <v>1808.2499999999284</v>
      </c>
      <c r="G7293" s="28">
        <f t="shared" si="380"/>
        <v>1719.1946</v>
      </c>
      <c r="H7293" s="28">
        <f t="shared" si="381"/>
        <v>1779.8878999999999</v>
      </c>
      <c r="I7293" s="28">
        <f t="shared" si="382"/>
        <v>1812.2127</v>
      </c>
      <c r="J7293" s="28">
        <f t="shared" si="383"/>
        <v>1838.5536</v>
      </c>
      <c r="K7293" s="28">
        <f t="shared" si="384"/>
        <v>1885.7729999999999</v>
      </c>
      <c r="L7293" s="4"/>
      <c r="M7293" s="241">
        <v>1812.2127</v>
      </c>
    </row>
    <row r="7294" spans="3:13" hidden="1" outlineLevel="1" x14ac:dyDescent="0.2">
      <c r="C7294" s="139">
        <v>243.59999999999044</v>
      </c>
      <c r="D7294" s="28">
        <f t="shared" si="377"/>
        <v>1948.7999999999236</v>
      </c>
      <c r="E7294" s="28">
        <f t="shared" si="378"/>
        <v>1826.9999999999284</v>
      </c>
      <c r="F7294" s="28">
        <f t="shared" si="379"/>
        <v>1808.9999999999284</v>
      </c>
      <c r="G7294" s="28">
        <f t="shared" si="380"/>
        <v>1719.1946</v>
      </c>
      <c r="H7294" s="28">
        <f t="shared" si="381"/>
        <v>1779.8878999999999</v>
      </c>
      <c r="I7294" s="28">
        <f t="shared" si="382"/>
        <v>1812.2127</v>
      </c>
      <c r="J7294" s="28">
        <f t="shared" si="383"/>
        <v>1838.5536</v>
      </c>
      <c r="K7294" s="28">
        <f t="shared" si="384"/>
        <v>1885.7729999999999</v>
      </c>
      <c r="L7294" s="4"/>
      <c r="M7294" s="241">
        <v>1812.2127</v>
      </c>
    </row>
    <row r="7295" spans="3:13" hidden="1" outlineLevel="1" x14ac:dyDescent="0.2">
      <c r="C7295" s="139">
        <v>243.69999999999044</v>
      </c>
      <c r="D7295" s="28">
        <f t="shared" si="377"/>
        <v>1949.5999999999235</v>
      </c>
      <c r="E7295" s="28">
        <f t="shared" si="378"/>
        <v>1827.7499999999284</v>
      </c>
      <c r="F7295" s="28">
        <f t="shared" si="379"/>
        <v>1809.7499999999284</v>
      </c>
      <c r="G7295" s="28">
        <f t="shared" si="380"/>
        <v>1720.2007000000001</v>
      </c>
      <c r="H7295" s="28">
        <f t="shared" si="381"/>
        <v>1780.8724</v>
      </c>
      <c r="I7295" s="28">
        <f t="shared" si="382"/>
        <v>1813.2149999999999</v>
      </c>
      <c r="J7295" s="28">
        <f t="shared" si="383"/>
        <v>1839.5705</v>
      </c>
      <c r="K7295" s="28">
        <f t="shared" si="384"/>
        <v>1886.816</v>
      </c>
      <c r="L7295" s="4"/>
      <c r="M7295" s="241">
        <v>1813.2149999999999</v>
      </c>
    </row>
    <row r="7296" spans="3:13" hidden="1" outlineLevel="1" x14ac:dyDescent="0.2">
      <c r="C7296" s="139">
        <v>243.79999999999043</v>
      </c>
      <c r="D7296" s="28">
        <f t="shared" si="377"/>
        <v>1950.3999999999235</v>
      </c>
      <c r="E7296" s="28">
        <f t="shared" si="378"/>
        <v>1828.4999999999281</v>
      </c>
      <c r="F7296" s="28">
        <f t="shared" si="379"/>
        <v>1810.4999999999281</v>
      </c>
      <c r="G7296" s="28">
        <f t="shared" si="380"/>
        <v>1721.1515999999999</v>
      </c>
      <c r="H7296" s="28">
        <f t="shared" si="381"/>
        <v>1781.8568</v>
      </c>
      <c r="I7296" s="28">
        <f t="shared" si="382"/>
        <v>1814.2173</v>
      </c>
      <c r="J7296" s="28">
        <f t="shared" si="383"/>
        <v>1840.6481000000001</v>
      </c>
      <c r="K7296" s="28">
        <f t="shared" si="384"/>
        <v>1887.8590999999999</v>
      </c>
      <c r="L7296" s="4"/>
      <c r="M7296" s="241">
        <v>1814.2173</v>
      </c>
    </row>
    <row r="7297" spans="3:13" hidden="1" outlineLevel="1" x14ac:dyDescent="0.2">
      <c r="C7297" s="139">
        <v>243.89999999999043</v>
      </c>
      <c r="D7297" s="28">
        <f t="shared" si="377"/>
        <v>1951.1999999999234</v>
      </c>
      <c r="E7297" s="28">
        <f t="shared" si="378"/>
        <v>1829.2499999999281</v>
      </c>
      <c r="F7297" s="28">
        <f t="shared" si="379"/>
        <v>1811.2499999999281</v>
      </c>
      <c r="G7297" s="28">
        <f t="shared" si="380"/>
        <v>1722.1578</v>
      </c>
      <c r="H7297" s="28">
        <f t="shared" si="381"/>
        <v>1782.8966</v>
      </c>
      <c r="I7297" s="28">
        <f t="shared" si="382"/>
        <v>1815.2805000000001</v>
      </c>
      <c r="J7297" s="28">
        <f t="shared" si="383"/>
        <v>1841.6650999999999</v>
      </c>
      <c r="K7297" s="28">
        <f t="shared" si="384"/>
        <v>1888.9021</v>
      </c>
      <c r="L7297" s="4"/>
      <c r="M7297" s="241">
        <v>1815.2805000000001</v>
      </c>
    </row>
    <row r="7298" spans="3:13" hidden="1" outlineLevel="1" x14ac:dyDescent="0.2">
      <c r="C7298" s="139">
        <v>243.99999999999042</v>
      </c>
      <c r="D7298" s="28">
        <f t="shared" si="377"/>
        <v>1951.9999999999234</v>
      </c>
      <c r="E7298" s="28">
        <f t="shared" si="378"/>
        <v>1829.9999999999281</v>
      </c>
      <c r="F7298" s="28">
        <f t="shared" si="379"/>
        <v>1811.9999999999281</v>
      </c>
      <c r="G7298" s="28">
        <f t="shared" si="380"/>
        <v>1722.1578</v>
      </c>
      <c r="H7298" s="28">
        <f t="shared" si="381"/>
        <v>1782.8966</v>
      </c>
      <c r="I7298" s="28">
        <f t="shared" si="382"/>
        <v>1815.2805000000001</v>
      </c>
      <c r="J7298" s="28">
        <f t="shared" si="383"/>
        <v>1841.6650999999999</v>
      </c>
      <c r="K7298" s="28">
        <f t="shared" si="384"/>
        <v>1888.9021</v>
      </c>
      <c r="L7298" s="4"/>
      <c r="M7298" s="241">
        <v>1815.2805000000001</v>
      </c>
    </row>
    <row r="7299" spans="3:13" hidden="1" outlineLevel="1" x14ac:dyDescent="0.2">
      <c r="C7299" s="139">
        <v>244.09999999999042</v>
      </c>
      <c r="D7299" s="28">
        <f t="shared" si="377"/>
        <v>1952.7999999999233</v>
      </c>
      <c r="E7299" s="28">
        <f t="shared" si="378"/>
        <v>1830.7499999999281</v>
      </c>
      <c r="F7299" s="28">
        <f t="shared" si="379"/>
        <v>1812.7499999999281</v>
      </c>
      <c r="G7299" s="28">
        <f t="shared" si="380"/>
        <v>1723.1087</v>
      </c>
      <c r="H7299" s="28">
        <f t="shared" si="381"/>
        <v>1783.8810000000001</v>
      </c>
      <c r="I7299" s="28">
        <f t="shared" si="382"/>
        <v>1816.2828</v>
      </c>
      <c r="J7299" s="28">
        <f t="shared" si="383"/>
        <v>1842.682</v>
      </c>
      <c r="K7299" s="28">
        <f t="shared" si="384"/>
        <v>1889.9450999999999</v>
      </c>
      <c r="L7299" s="4"/>
      <c r="M7299" s="241">
        <v>1816.2828</v>
      </c>
    </row>
    <row r="7300" spans="3:13" hidden="1" outlineLevel="1" x14ac:dyDescent="0.2">
      <c r="C7300" s="139">
        <v>244.19999999999041</v>
      </c>
      <c r="D7300" s="28">
        <f t="shared" si="377"/>
        <v>1953.5999999999233</v>
      </c>
      <c r="E7300" s="28">
        <f t="shared" si="378"/>
        <v>1831.4999999999281</v>
      </c>
      <c r="F7300" s="28">
        <f t="shared" si="379"/>
        <v>1813.4999999999281</v>
      </c>
      <c r="G7300" s="28">
        <f t="shared" si="380"/>
        <v>1724.115</v>
      </c>
      <c r="H7300" s="28">
        <f t="shared" si="381"/>
        <v>1784.8655000000001</v>
      </c>
      <c r="I7300" s="28">
        <f t="shared" si="382"/>
        <v>1817.2852</v>
      </c>
      <c r="J7300" s="28">
        <f t="shared" si="383"/>
        <v>1843.6989000000001</v>
      </c>
      <c r="K7300" s="28">
        <f t="shared" si="384"/>
        <v>1890.9881</v>
      </c>
      <c r="L7300" s="4"/>
      <c r="M7300" s="241">
        <v>1817.2852</v>
      </c>
    </row>
    <row r="7301" spans="3:13" hidden="1" outlineLevel="1" x14ac:dyDescent="0.2">
      <c r="C7301" s="139">
        <v>244.2999999999904</v>
      </c>
      <c r="D7301" s="28">
        <f t="shared" si="377"/>
        <v>1954.3999999999232</v>
      </c>
      <c r="E7301" s="28">
        <f t="shared" si="378"/>
        <v>1832.2499999999281</v>
      </c>
      <c r="F7301" s="28">
        <f t="shared" si="379"/>
        <v>1814.2499999999281</v>
      </c>
      <c r="G7301" s="28">
        <f t="shared" si="380"/>
        <v>1725.0659000000001</v>
      </c>
      <c r="H7301" s="28">
        <f t="shared" si="381"/>
        <v>1785.9054000000001</v>
      </c>
      <c r="I7301" s="28">
        <f t="shared" si="382"/>
        <v>1818.2874999999999</v>
      </c>
      <c r="J7301" s="28">
        <f t="shared" si="383"/>
        <v>1844.7158999999999</v>
      </c>
      <c r="K7301" s="28">
        <f t="shared" si="384"/>
        <v>1892.0310999999999</v>
      </c>
      <c r="L7301" s="4"/>
      <c r="M7301" s="241">
        <v>1818.2874999999999</v>
      </c>
    </row>
    <row r="7302" spans="3:13" hidden="1" outlineLevel="1" x14ac:dyDescent="0.2">
      <c r="C7302" s="139">
        <v>244.3999999999904</v>
      </c>
      <c r="D7302" s="28">
        <f t="shared" si="377"/>
        <v>1955.1999999999232</v>
      </c>
      <c r="E7302" s="28">
        <f t="shared" si="378"/>
        <v>1832.9999999999279</v>
      </c>
      <c r="F7302" s="28">
        <f t="shared" si="379"/>
        <v>1814.9999999999279</v>
      </c>
      <c r="G7302" s="28">
        <f t="shared" si="380"/>
        <v>1725.0659000000001</v>
      </c>
      <c r="H7302" s="28">
        <f t="shared" si="381"/>
        <v>1785.9054000000001</v>
      </c>
      <c r="I7302" s="28">
        <f t="shared" si="382"/>
        <v>1818.2874999999999</v>
      </c>
      <c r="J7302" s="28">
        <f t="shared" si="383"/>
        <v>1844.7158999999999</v>
      </c>
      <c r="K7302" s="28">
        <f t="shared" si="384"/>
        <v>1892.0310999999999</v>
      </c>
      <c r="L7302" s="4"/>
      <c r="M7302" s="241">
        <v>1818.2874999999999</v>
      </c>
    </row>
    <row r="7303" spans="3:13" hidden="1" outlineLevel="1" x14ac:dyDescent="0.2">
      <c r="C7303" s="139">
        <v>244.49999999999039</v>
      </c>
      <c r="D7303" s="28">
        <f t="shared" si="377"/>
        <v>1955.9999999999231</v>
      </c>
      <c r="E7303" s="28">
        <f t="shared" si="378"/>
        <v>1833.7499999999279</v>
      </c>
      <c r="F7303" s="28">
        <f t="shared" si="379"/>
        <v>1815.7499999999279</v>
      </c>
      <c r="G7303" s="28">
        <f t="shared" si="380"/>
        <v>1726.0723</v>
      </c>
      <c r="H7303" s="28">
        <f t="shared" si="381"/>
        <v>1786.8898999999999</v>
      </c>
      <c r="I7303" s="28">
        <f t="shared" si="382"/>
        <v>1819.3507999999999</v>
      </c>
      <c r="J7303" s="28">
        <f t="shared" si="383"/>
        <v>1845.7936999999999</v>
      </c>
      <c r="K7303" s="28">
        <f t="shared" si="384"/>
        <v>1893.1351</v>
      </c>
      <c r="L7303" s="4"/>
      <c r="M7303" s="241">
        <v>1819.3507999999999</v>
      </c>
    </row>
    <row r="7304" spans="3:13" hidden="1" outlineLevel="1" x14ac:dyDescent="0.2">
      <c r="C7304" s="139">
        <v>244.59999999999039</v>
      </c>
      <c r="D7304" s="28">
        <f t="shared" si="377"/>
        <v>1956.7999999999231</v>
      </c>
      <c r="E7304" s="28">
        <f t="shared" si="378"/>
        <v>1834.4999999999279</v>
      </c>
      <c r="F7304" s="28">
        <f t="shared" si="379"/>
        <v>1816.4999999999279</v>
      </c>
      <c r="G7304" s="28">
        <f t="shared" si="380"/>
        <v>1727.0233000000001</v>
      </c>
      <c r="H7304" s="28">
        <f t="shared" si="381"/>
        <v>1787.8743999999999</v>
      </c>
      <c r="I7304" s="28">
        <f t="shared" si="382"/>
        <v>1820.3532</v>
      </c>
      <c r="J7304" s="28">
        <f t="shared" si="383"/>
        <v>1846.8107</v>
      </c>
      <c r="K7304" s="28">
        <f t="shared" si="384"/>
        <v>1894.1781000000001</v>
      </c>
      <c r="L7304" s="4"/>
      <c r="M7304" s="241">
        <v>1820.3532</v>
      </c>
    </row>
    <row r="7305" spans="3:13" hidden="1" outlineLevel="1" x14ac:dyDescent="0.2">
      <c r="C7305" s="139">
        <v>244.69999999999038</v>
      </c>
      <c r="D7305" s="28">
        <f t="shared" si="377"/>
        <v>1957.5999999999231</v>
      </c>
      <c r="E7305" s="28">
        <f t="shared" si="378"/>
        <v>1835.2499999999279</v>
      </c>
      <c r="F7305" s="28">
        <f t="shared" si="379"/>
        <v>1817.2499999999279</v>
      </c>
      <c r="G7305" s="28">
        <f t="shared" si="380"/>
        <v>1728.0298</v>
      </c>
      <c r="H7305" s="28">
        <f t="shared" si="381"/>
        <v>1788.9143999999999</v>
      </c>
      <c r="I7305" s="28">
        <f t="shared" si="382"/>
        <v>1821.3556000000001</v>
      </c>
      <c r="J7305" s="28">
        <f t="shared" si="383"/>
        <v>1847.8277</v>
      </c>
      <c r="K7305" s="28">
        <f t="shared" si="384"/>
        <v>1895.2212</v>
      </c>
      <c r="L7305" s="4"/>
      <c r="M7305" s="241">
        <v>1821.3556000000001</v>
      </c>
    </row>
    <row r="7306" spans="3:13" hidden="1" outlineLevel="1" x14ac:dyDescent="0.2">
      <c r="C7306" s="139">
        <v>244.79999999999038</v>
      </c>
      <c r="D7306" s="28">
        <f t="shared" si="377"/>
        <v>1958.399999999923</v>
      </c>
      <c r="E7306" s="28">
        <f t="shared" si="378"/>
        <v>1835.9999999999279</v>
      </c>
      <c r="F7306" s="28">
        <f t="shared" si="379"/>
        <v>1817.9999999999279</v>
      </c>
      <c r="G7306" s="28">
        <f t="shared" si="380"/>
        <v>1728.0298</v>
      </c>
      <c r="H7306" s="28">
        <f t="shared" si="381"/>
        <v>1788.9143999999999</v>
      </c>
      <c r="I7306" s="28">
        <f t="shared" si="382"/>
        <v>1821.3556000000001</v>
      </c>
      <c r="J7306" s="28">
        <f t="shared" si="383"/>
        <v>1847.8277</v>
      </c>
      <c r="K7306" s="28">
        <f t="shared" si="384"/>
        <v>1895.2212</v>
      </c>
      <c r="L7306" s="4"/>
      <c r="M7306" s="241">
        <v>1821.3556000000001</v>
      </c>
    </row>
    <row r="7307" spans="3:13" hidden="1" outlineLevel="1" x14ac:dyDescent="0.2">
      <c r="C7307" s="139">
        <v>244.89999999999037</v>
      </c>
      <c r="D7307" s="28">
        <f t="shared" si="377"/>
        <v>1959.199999999923</v>
      </c>
      <c r="E7307" s="28">
        <f t="shared" si="378"/>
        <v>1836.7499999999277</v>
      </c>
      <c r="F7307" s="28">
        <f t="shared" si="379"/>
        <v>1818.7499999999277</v>
      </c>
      <c r="G7307" s="28">
        <f t="shared" si="380"/>
        <v>1728.9808</v>
      </c>
      <c r="H7307" s="28">
        <f t="shared" si="381"/>
        <v>1789.8988999999999</v>
      </c>
      <c r="I7307" s="28">
        <f t="shared" si="382"/>
        <v>1822.3579999999999</v>
      </c>
      <c r="J7307" s="28">
        <f t="shared" si="383"/>
        <v>1848.8445999999999</v>
      </c>
      <c r="K7307" s="28">
        <f t="shared" si="384"/>
        <v>1896.2642000000001</v>
      </c>
      <c r="L7307" s="4"/>
      <c r="M7307" s="241">
        <v>1822.3579999999999</v>
      </c>
    </row>
    <row r="7308" spans="3:13" hidden="1" outlineLevel="1" x14ac:dyDescent="0.2">
      <c r="C7308" s="139">
        <v>244.99999999999037</v>
      </c>
      <c r="D7308" s="28">
        <f t="shared" si="377"/>
        <v>1959.9999999999229</v>
      </c>
      <c r="E7308" s="28">
        <f t="shared" si="378"/>
        <v>1837.4999999999277</v>
      </c>
      <c r="F7308" s="28">
        <f t="shared" si="379"/>
        <v>1819.4999999999277</v>
      </c>
      <c r="G7308" s="28">
        <f t="shared" si="380"/>
        <v>1729.9874</v>
      </c>
      <c r="H7308" s="28">
        <f t="shared" si="381"/>
        <v>1790.8833999999999</v>
      </c>
      <c r="I7308" s="28">
        <f t="shared" si="382"/>
        <v>1823.4214999999999</v>
      </c>
      <c r="J7308" s="28">
        <f t="shared" si="383"/>
        <v>1849.8616</v>
      </c>
      <c r="K7308" s="28">
        <f t="shared" si="384"/>
        <v>1897.3072999999999</v>
      </c>
      <c r="L7308" s="4"/>
      <c r="M7308" s="241">
        <v>1823.4214999999999</v>
      </c>
    </row>
    <row r="7309" spans="3:13" hidden="1" outlineLevel="1" x14ac:dyDescent="0.2">
      <c r="C7309" s="139">
        <v>245.09999999999036</v>
      </c>
      <c r="D7309" s="28">
        <f t="shared" si="377"/>
        <v>1960.7999999999229</v>
      </c>
      <c r="E7309" s="28">
        <f t="shared" si="378"/>
        <v>1838.2499999999277</v>
      </c>
      <c r="F7309" s="28">
        <f t="shared" si="379"/>
        <v>1820.2499999999277</v>
      </c>
      <c r="G7309" s="28">
        <f t="shared" si="380"/>
        <v>1730.9384</v>
      </c>
      <c r="H7309" s="28">
        <f t="shared" si="381"/>
        <v>1791.9235000000001</v>
      </c>
      <c r="I7309" s="28">
        <f t="shared" si="382"/>
        <v>1824.4239</v>
      </c>
      <c r="J7309" s="28">
        <f t="shared" si="383"/>
        <v>1850.8786</v>
      </c>
      <c r="K7309" s="28">
        <f t="shared" si="384"/>
        <v>1898.3503000000001</v>
      </c>
      <c r="L7309" s="4"/>
      <c r="M7309" s="241">
        <v>1824.4239</v>
      </c>
    </row>
    <row r="7310" spans="3:13" hidden="1" outlineLevel="1" x14ac:dyDescent="0.2">
      <c r="C7310" s="139">
        <v>245.19999999999035</v>
      </c>
      <c r="D7310" s="28">
        <f t="shared" si="377"/>
        <v>1961.5999999999228</v>
      </c>
      <c r="E7310" s="28">
        <f t="shared" si="378"/>
        <v>1838.9999999999277</v>
      </c>
      <c r="F7310" s="28">
        <f t="shared" si="379"/>
        <v>1820.9999999999277</v>
      </c>
      <c r="G7310" s="28">
        <f t="shared" si="380"/>
        <v>1730.9384</v>
      </c>
      <c r="H7310" s="28">
        <f t="shared" si="381"/>
        <v>1791.9235000000001</v>
      </c>
      <c r="I7310" s="28">
        <f t="shared" si="382"/>
        <v>1824.4239</v>
      </c>
      <c r="J7310" s="28">
        <f t="shared" si="383"/>
        <v>1850.8786</v>
      </c>
      <c r="K7310" s="28">
        <f t="shared" si="384"/>
        <v>1898.3503000000001</v>
      </c>
      <c r="L7310" s="4"/>
      <c r="M7310" s="241">
        <v>1824.4239</v>
      </c>
    </row>
    <row r="7311" spans="3:13" hidden="1" outlineLevel="1" x14ac:dyDescent="0.2">
      <c r="C7311" s="139">
        <v>245.29999999999035</v>
      </c>
      <c r="D7311" s="28">
        <f t="shared" si="377"/>
        <v>1962.3999999999228</v>
      </c>
      <c r="E7311" s="28">
        <f t="shared" si="378"/>
        <v>1839.7499999999277</v>
      </c>
      <c r="F7311" s="28">
        <f t="shared" si="379"/>
        <v>1821.7499999999277</v>
      </c>
      <c r="G7311" s="28">
        <f t="shared" si="380"/>
        <v>1731.9450999999999</v>
      </c>
      <c r="H7311" s="28">
        <f t="shared" si="381"/>
        <v>1792.9081000000001</v>
      </c>
      <c r="I7311" s="28">
        <f t="shared" si="382"/>
        <v>1825.4264000000001</v>
      </c>
      <c r="J7311" s="28">
        <f t="shared" si="383"/>
        <v>1851.9567</v>
      </c>
      <c r="K7311" s="28">
        <f t="shared" si="384"/>
        <v>1899.3933999999999</v>
      </c>
      <c r="L7311" s="4"/>
      <c r="M7311" s="241">
        <v>1825.4264000000001</v>
      </c>
    </row>
    <row r="7312" spans="3:13" hidden="1" outlineLevel="1" x14ac:dyDescent="0.2">
      <c r="C7312" s="139">
        <v>245.39999999999034</v>
      </c>
      <c r="D7312" s="28">
        <f t="shared" si="377"/>
        <v>1963.1999999999227</v>
      </c>
      <c r="E7312" s="28">
        <f t="shared" si="378"/>
        <v>1840.4999999999275</v>
      </c>
      <c r="F7312" s="28">
        <f t="shared" si="379"/>
        <v>1822.4999999999275</v>
      </c>
      <c r="G7312" s="28">
        <f t="shared" si="380"/>
        <v>1732.8960999999999</v>
      </c>
      <c r="H7312" s="28">
        <f t="shared" si="381"/>
        <v>1793.8927000000001</v>
      </c>
      <c r="I7312" s="28">
        <f t="shared" si="382"/>
        <v>1826.4287999999999</v>
      </c>
      <c r="J7312" s="28">
        <f t="shared" si="383"/>
        <v>1852.9737</v>
      </c>
      <c r="K7312" s="28">
        <f t="shared" si="384"/>
        <v>1900.4975999999999</v>
      </c>
      <c r="L7312" s="4"/>
      <c r="M7312" s="241">
        <v>1826.4287999999999</v>
      </c>
    </row>
    <row r="7313" spans="3:13" hidden="1" outlineLevel="1" x14ac:dyDescent="0.2">
      <c r="C7313" s="139">
        <v>245.49999999999034</v>
      </c>
      <c r="D7313" s="28">
        <f t="shared" si="377"/>
        <v>1963.9999999999227</v>
      </c>
      <c r="E7313" s="28">
        <f t="shared" si="378"/>
        <v>1841.2499999999275</v>
      </c>
      <c r="F7313" s="28">
        <f t="shared" si="379"/>
        <v>1823.2499999999275</v>
      </c>
      <c r="G7313" s="28">
        <f t="shared" si="380"/>
        <v>1733.9029</v>
      </c>
      <c r="H7313" s="28">
        <f t="shared" si="381"/>
        <v>1794.9329</v>
      </c>
      <c r="I7313" s="28">
        <f t="shared" si="382"/>
        <v>1827.4312</v>
      </c>
      <c r="J7313" s="28">
        <f t="shared" si="383"/>
        <v>1853.9907000000001</v>
      </c>
      <c r="K7313" s="28">
        <f t="shared" si="384"/>
        <v>1901.5407</v>
      </c>
      <c r="L7313" s="4"/>
      <c r="M7313" s="241">
        <v>1827.4312</v>
      </c>
    </row>
    <row r="7314" spans="3:13" hidden="1" outlineLevel="1" x14ac:dyDescent="0.2">
      <c r="C7314" s="139">
        <v>245.59999999999033</v>
      </c>
      <c r="D7314" s="28">
        <f t="shared" si="377"/>
        <v>1964.7999999999226</v>
      </c>
      <c r="E7314" s="28">
        <f t="shared" si="378"/>
        <v>1841.9999999999275</v>
      </c>
      <c r="F7314" s="28">
        <f t="shared" si="379"/>
        <v>1823.9999999999275</v>
      </c>
      <c r="G7314" s="28">
        <f t="shared" si="380"/>
        <v>1733.9029</v>
      </c>
      <c r="H7314" s="28">
        <f t="shared" si="381"/>
        <v>1794.9329</v>
      </c>
      <c r="I7314" s="28">
        <f t="shared" si="382"/>
        <v>1827.4312</v>
      </c>
      <c r="J7314" s="28">
        <f t="shared" si="383"/>
        <v>1853.9907000000001</v>
      </c>
      <c r="K7314" s="28">
        <f t="shared" si="384"/>
        <v>1901.5407</v>
      </c>
      <c r="L7314" s="4"/>
      <c r="M7314" s="241">
        <v>1827.4312</v>
      </c>
    </row>
    <row r="7315" spans="3:13" hidden="1" outlineLevel="1" x14ac:dyDescent="0.2">
      <c r="C7315" s="139">
        <v>245.69999999999033</v>
      </c>
      <c r="D7315" s="28">
        <f t="shared" si="377"/>
        <v>1965.5999999999226</v>
      </c>
      <c r="E7315" s="28">
        <f t="shared" si="378"/>
        <v>1842.7499999999275</v>
      </c>
      <c r="F7315" s="28">
        <f t="shared" si="379"/>
        <v>1824.7499999999275</v>
      </c>
      <c r="G7315" s="28">
        <f t="shared" si="380"/>
        <v>1734.854</v>
      </c>
      <c r="H7315" s="28">
        <f t="shared" si="381"/>
        <v>1795.9175</v>
      </c>
      <c r="I7315" s="28">
        <f t="shared" si="382"/>
        <v>1828.4948999999999</v>
      </c>
      <c r="J7315" s="28">
        <f t="shared" si="383"/>
        <v>1855.0077000000001</v>
      </c>
      <c r="K7315" s="28">
        <f t="shared" si="384"/>
        <v>1902.5836999999999</v>
      </c>
      <c r="L7315" s="4"/>
      <c r="M7315" s="241">
        <v>1828.4948999999999</v>
      </c>
    </row>
    <row r="7316" spans="3:13" hidden="1" outlineLevel="1" x14ac:dyDescent="0.2">
      <c r="C7316" s="139">
        <v>245.79999999999032</v>
      </c>
      <c r="D7316" s="28">
        <f t="shared" si="377"/>
        <v>1966.3999999999226</v>
      </c>
      <c r="E7316" s="28">
        <f t="shared" si="378"/>
        <v>1843.4999999999275</v>
      </c>
      <c r="F7316" s="28">
        <f t="shared" si="379"/>
        <v>1825.4999999999275</v>
      </c>
      <c r="G7316" s="28">
        <f t="shared" si="380"/>
        <v>1735.8607999999999</v>
      </c>
      <c r="H7316" s="28">
        <f t="shared" si="381"/>
        <v>1796.9021</v>
      </c>
      <c r="I7316" s="28">
        <f t="shared" si="382"/>
        <v>1829.4973</v>
      </c>
      <c r="J7316" s="28">
        <f t="shared" si="383"/>
        <v>1856.0246999999999</v>
      </c>
      <c r="K7316" s="28">
        <f t="shared" si="384"/>
        <v>1903.6268</v>
      </c>
      <c r="L7316" s="4"/>
      <c r="M7316" s="241">
        <v>1829.4973</v>
      </c>
    </row>
    <row r="7317" spans="3:13" hidden="1" outlineLevel="1" x14ac:dyDescent="0.2">
      <c r="C7317" s="139">
        <v>245.89999999999031</v>
      </c>
      <c r="D7317" s="28">
        <f t="shared" si="377"/>
        <v>1967.1999999999225</v>
      </c>
      <c r="E7317" s="28">
        <f t="shared" si="378"/>
        <v>1844.2499999999272</v>
      </c>
      <c r="F7317" s="28">
        <f t="shared" si="379"/>
        <v>1826.2499999999272</v>
      </c>
      <c r="G7317" s="28">
        <f t="shared" si="380"/>
        <v>1736.8677</v>
      </c>
      <c r="H7317" s="28">
        <f t="shared" si="381"/>
        <v>1797.9423999999999</v>
      </c>
      <c r="I7317" s="28">
        <f t="shared" si="382"/>
        <v>1830.4998000000001</v>
      </c>
      <c r="J7317" s="28">
        <f t="shared" si="383"/>
        <v>1857.1030000000001</v>
      </c>
      <c r="K7317" s="28">
        <f t="shared" si="384"/>
        <v>1904.6699000000001</v>
      </c>
      <c r="L7317" s="4"/>
      <c r="M7317" s="241">
        <v>1830.4998000000001</v>
      </c>
    </row>
    <row r="7318" spans="3:13" hidden="1" outlineLevel="1" x14ac:dyDescent="0.2">
      <c r="C7318" s="139">
        <v>245.99999999999031</v>
      </c>
      <c r="D7318" s="28">
        <f t="shared" si="377"/>
        <v>1967.9999999999225</v>
      </c>
      <c r="E7318" s="28">
        <f t="shared" si="378"/>
        <v>1844.9999999999272</v>
      </c>
      <c r="F7318" s="28">
        <f t="shared" si="379"/>
        <v>1826.9999999999272</v>
      </c>
      <c r="G7318" s="28">
        <f t="shared" si="380"/>
        <v>1736.8677</v>
      </c>
      <c r="H7318" s="28">
        <f t="shared" si="381"/>
        <v>1797.9423999999999</v>
      </c>
      <c r="I7318" s="28">
        <f t="shared" si="382"/>
        <v>1830.4998000000001</v>
      </c>
      <c r="J7318" s="28">
        <f t="shared" si="383"/>
        <v>1857.1030000000001</v>
      </c>
      <c r="K7318" s="28">
        <f t="shared" si="384"/>
        <v>1904.6699000000001</v>
      </c>
      <c r="L7318" s="4"/>
      <c r="M7318" s="241">
        <v>1830.4998000000001</v>
      </c>
    </row>
    <row r="7319" spans="3:13" hidden="1" outlineLevel="1" x14ac:dyDescent="0.2">
      <c r="C7319" s="139">
        <v>246.0999999999903</v>
      </c>
      <c r="D7319" s="28">
        <f t="shared" si="377"/>
        <v>1968.7999999999224</v>
      </c>
      <c r="E7319" s="28">
        <f t="shared" si="378"/>
        <v>1845.7499999999272</v>
      </c>
      <c r="F7319" s="28">
        <f t="shared" si="379"/>
        <v>1827.7499999999272</v>
      </c>
      <c r="G7319" s="28">
        <f t="shared" si="380"/>
        <v>1737.8189</v>
      </c>
      <c r="H7319" s="28">
        <f t="shared" si="381"/>
        <v>1798.9269999999999</v>
      </c>
      <c r="I7319" s="28">
        <f t="shared" si="382"/>
        <v>1831.5023000000001</v>
      </c>
      <c r="J7319" s="28">
        <f t="shared" si="383"/>
        <v>1858.12</v>
      </c>
      <c r="K7319" s="28">
        <f t="shared" si="384"/>
        <v>1905.713</v>
      </c>
      <c r="L7319" s="4"/>
      <c r="M7319" s="241">
        <v>1831.5023000000001</v>
      </c>
    </row>
    <row r="7320" spans="3:13" hidden="1" outlineLevel="1" x14ac:dyDescent="0.2">
      <c r="C7320" s="139">
        <v>246.1999999999903</v>
      </c>
      <c r="D7320" s="28">
        <f t="shared" si="377"/>
        <v>1969.5999999999224</v>
      </c>
      <c r="E7320" s="28">
        <f t="shared" si="378"/>
        <v>1846.4999999999272</v>
      </c>
      <c r="F7320" s="28">
        <f t="shared" si="379"/>
        <v>1828.4999999999272</v>
      </c>
      <c r="G7320" s="28">
        <f t="shared" si="380"/>
        <v>1738.8259</v>
      </c>
      <c r="H7320" s="28">
        <f t="shared" si="381"/>
        <v>1799.9117000000001</v>
      </c>
      <c r="I7320" s="28">
        <f t="shared" si="382"/>
        <v>1832.5661</v>
      </c>
      <c r="J7320" s="28">
        <f t="shared" si="383"/>
        <v>1859.1369999999999</v>
      </c>
      <c r="K7320" s="28">
        <f t="shared" si="384"/>
        <v>1906.7561000000001</v>
      </c>
      <c r="L7320" s="4"/>
      <c r="M7320" s="241">
        <v>1832.5661</v>
      </c>
    </row>
    <row r="7321" spans="3:13" hidden="1" outlineLevel="1" x14ac:dyDescent="0.2">
      <c r="C7321" s="139">
        <v>246.29999999999029</v>
      </c>
      <c r="D7321" s="28">
        <f t="shared" si="377"/>
        <v>1970.3999999999223</v>
      </c>
      <c r="E7321" s="28">
        <f t="shared" si="378"/>
        <v>1847.2499999999272</v>
      </c>
      <c r="F7321" s="28">
        <f t="shared" si="379"/>
        <v>1829.2499999999272</v>
      </c>
      <c r="G7321" s="28">
        <f t="shared" si="380"/>
        <v>1739.7771</v>
      </c>
      <c r="H7321" s="28">
        <f t="shared" si="381"/>
        <v>1800.9521</v>
      </c>
      <c r="I7321" s="28">
        <f t="shared" si="382"/>
        <v>1833.5686000000001</v>
      </c>
      <c r="J7321" s="28">
        <f t="shared" si="383"/>
        <v>1860.1541</v>
      </c>
      <c r="K7321" s="28">
        <f t="shared" si="384"/>
        <v>1907.8606</v>
      </c>
      <c r="L7321" s="4"/>
      <c r="M7321" s="241">
        <v>1833.5686000000001</v>
      </c>
    </row>
    <row r="7322" spans="3:13" hidden="1" outlineLevel="1" x14ac:dyDescent="0.2">
      <c r="C7322" s="139">
        <v>246.39999999999029</v>
      </c>
      <c r="D7322" s="28">
        <f t="shared" si="377"/>
        <v>1971.1999999999223</v>
      </c>
      <c r="E7322" s="28">
        <f t="shared" si="378"/>
        <v>1847.9999999999272</v>
      </c>
      <c r="F7322" s="28">
        <f t="shared" si="379"/>
        <v>1829.9999999999272</v>
      </c>
      <c r="G7322" s="28">
        <f t="shared" si="380"/>
        <v>1739.7771</v>
      </c>
      <c r="H7322" s="28">
        <f t="shared" si="381"/>
        <v>1800.9521</v>
      </c>
      <c r="I7322" s="28">
        <f t="shared" si="382"/>
        <v>1833.5686000000001</v>
      </c>
      <c r="J7322" s="28">
        <f t="shared" si="383"/>
        <v>1860.1541</v>
      </c>
      <c r="K7322" s="28">
        <f t="shared" si="384"/>
        <v>1907.8606</v>
      </c>
      <c r="L7322" s="4"/>
      <c r="M7322" s="241">
        <v>1833.5686000000001</v>
      </c>
    </row>
    <row r="7323" spans="3:13" hidden="1" outlineLevel="1" x14ac:dyDescent="0.2">
      <c r="C7323" s="139">
        <v>246.49999999999028</v>
      </c>
      <c r="D7323" s="28">
        <f t="shared" si="377"/>
        <v>1971.9999999999222</v>
      </c>
      <c r="E7323" s="28">
        <f t="shared" si="378"/>
        <v>1848.749999999927</v>
      </c>
      <c r="F7323" s="28">
        <f t="shared" si="379"/>
        <v>1830.749999999927</v>
      </c>
      <c r="G7323" s="28">
        <f t="shared" si="380"/>
        <v>1740.7841000000001</v>
      </c>
      <c r="H7323" s="28">
        <f t="shared" si="381"/>
        <v>1801.9367999999999</v>
      </c>
      <c r="I7323" s="28">
        <f t="shared" si="382"/>
        <v>1834.5710999999999</v>
      </c>
      <c r="J7323" s="28">
        <f t="shared" si="383"/>
        <v>1861.1711</v>
      </c>
      <c r="K7323" s="28">
        <f t="shared" si="384"/>
        <v>1908.9037000000001</v>
      </c>
      <c r="L7323" s="4"/>
      <c r="M7323" s="241">
        <v>1834.5710999999999</v>
      </c>
    </row>
    <row r="7324" spans="3:13" hidden="1" outlineLevel="1" x14ac:dyDescent="0.2">
      <c r="C7324" s="139">
        <v>246.59999999999027</v>
      </c>
      <c r="D7324" s="28">
        <f t="shared" si="377"/>
        <v>1972.7999999999222</v>
      </c>
      <c r="E7324" s="28">
        <f t="shared" si="378"/>
        <v>1849.499999999927</v>
      </c>
      <c r="F7324" s="28">
        <f t="shared" si="379"/>
        <v>1831.499999999927</v>
      </c>
      <c r="G7324" s="28">
        <f t="shared" si="380"/>
        <v>1741.7354</v>
      </c>
      <c r="H7324" s="28">
        <f t="shared" si="381"/>
        <v>1802.9214999999999</v>
      </c>
      <c r="I7324" s="28">
        <f t="shared" si="382"/>
        <v>1835.5735999999999</v>
      </c>
      <c r="J7324" s="28">
        <f t="shared" si="383"/>
        <v>1862.2496000000001</v>
      </c>
      <c r="K7324" s="28">
        <f t="shared" si="384"/>
        <v>1909.9467999999999</v>
      </c>
      <c r="L7324" s="4"/>
      <c r="M7324" s="241">
        <v>1835.5735999999999</v>
      </c>
    </row>
    <row r="7325" spans="3:13" hidden="1" outlineLevel="1" x14ac:dyDescent="0.2">
      <c r="C7325" s="139">
        <v>246.69999999999027</v>
      </c>
      <c r="D7325" s="28">
        <f t="shared" si="377"/>
        <v>1973.5999999999221</v>
      </c>
      <c r="E7325" s="28">
        <f t="shared" si="378"/>
        <v>1850.249999999927</v>
      </c>
      <c r="F7325" s="28">
        <f t="shared" si="379"/>
        <v>1832.249999999927</v>
      </c>
      <c r="G7325" s="28">
        <f t="shared" si="380"/>
        <v>1742.7426</v>
      </c>
      <c r="H7325" s="28">
        <f t="shared" si="381"/>
        <v>1803.962</v>
      </c>
      <c r="I7325" s="28">
        <f t="shared" si="382"/>
        <v>1836.6376</v>
      </c>
      <c r="J7325" s="28">
        <f t="shared" si="383"/>
        <v>1863.2666999999999</v>
      </c>
      <c r="K7325" s="28">
        <f t="shared" si="384"/>
        <v>1910.9899</v>
      </c>
      <c r="L7325" s="4"/>
      <c r="M7325" s="241">
        <v>1836.6376</v>
      </c>
    </row>
    <row r="7326" spans="3:13" hidden="1" outlineLevel="1" x14ac:dyDescent="0.2">
      <c r="C7326" s="139">
        <v>246.79999999999026</v>
      </c>
      <c r="D7326" s="28">
        <f t="shared" si="377"/>
        <v>1974.3999999999221</v>
      </c>
      <c r="E7326" s="28">
        <f t="shared" si="378"/>
        <v>1850.999999999927</v>
      </c>
      <c r="F7326" s="28">
        <f t="shared" si="379"/>
        <v>1832.999999999927</v>
      </c>
      <c r="G7326" s="28">
        <f t="shared" si="380"/>
        <v>1742.7426</v>
      </c>
      <c r="H7326" s="28">
        <f t="shared" si="381"/>
        <v>1803.962</v>
      </c>
      <c r="I7326" s="28">
        <f t="shared" si="382"/>
        <v>1836.6376</v>
      </c>
      <c r="J7326" s="28">
        <f t="shared" si="383"/>
        <v>1863.2666999999999</v>
      </c>
      <c r="K7326" s="28">
        <f t="shared" si="384"/>
        <v>1910.9899</v>
      </c>
      <c r="L7326" s="4"/>
      <c r="M7326" s="241">
        <v>1836.6376</v>
      </c>
    </row>
    <row r="7327" spans="3:13" hidden="1" outlineLevel="1" x14ac:dyDescent="0.2">
      <c r="C7327" s="139">
        <v>246.89999999999026</v>
      </c>
      <c r="D7327" s="28">
        <f t="shared" si="377"/>
        <v>1975.1999999999221</v>
      </c>
      <c r="E7327" s="28">
        <f t="shared" si="378"/>
        <v>1851.749999999927</v>
      </c>
      <c r="F7327" s="28">
        <f t="shared" si="379"/>
        <v>1833.749999999927</v>
      </c>
      <c r="G7327" s="28">
        <f t="shared" si="380"/>
        <v>1743.6938</v>
      </c>
      <c r="H7327" s="28">
        <f t="shared" si="381"/>
        <v>1804.9467</v>
      </c>
      <c r="I7327" s="28">
        <f t="shared" si="382"/>
        <v>1837.6401000000001</v>
      </c>
      <c r="J7327" s="28">
        <f t="shared" si="383"/>
        <v>1864.2837</v>
      </c>
      <c r="K7327" s="28">
        <f t="shared" si="384"/>
        <v>1912.0329999999999</v>
      </c>
      <c r="L7327" s="4"/>
      <c r="M7327" s="241">
        <v>1837.6401000000001</v>
      </c>
    </row>
    <row r="7328" spans="3:13" hidden="1" outlineLevel="1" x14ac:dyDescent="0.2">
      <c r="C7328" s="139">
        <v>246.99999999999025</v>
      </c>
      <c r="D7328" s="28">
        <f t="shared" si="377"/>
        <v>1975.999999999922</v>
      </c>
      <c r="E7328" s="28">
        <f t="shared" si="378"/>
        <v>1852.4999999999268</v>
      </c>
      <c r="F7328" s="28">
        <f t="shared" si="379"/>
        <v>1834.4999999999268</v>
      </c>
      <c r="G7328" s="28">
        <f t="shared" si="380"/>
        <v>1744.7011</v>
      </c>
      <c r="H7328" s="28">
        <f t="shared" si="381"/>
        <v>1805.9313999999999</v>
      </c>
      <c r="I7328" s="28">
        <f t="shared" si="382"/>
        <v>1838.6425999999999</v>
      </c>
      <c r="J7328" s="28">
        <f t="shared" si="383"/>
        <v>1865.3008</v>
      </c>
      <c r="K7328" s="28">
        <f t="shared" si="384"/>
        <v>1913.0761</v>
      </c>
      <c r="L7328" s="4"/>
      <c r="M7328" s="241">
        <v>1838.6425999999999</v>
      </c>
    </row>
    <row r="7329" spans="3:13" hidden="1" outlineLevel="1" x14ac:dyDescent="0.2">
      <c r="C7329" s="139">
        <v>247.09999999999025</v>
      </c>
      <c r="D7329" s="28">
        <f t="shared" si="377"/>
        <v>1976.799999999922</v>
      </c>
      <c r="E7329" s="28">
        <f t="shared" si="378"/>
        <v>1853.2499999999268</v>
      </c>
      <c r="F7329" s="28">
        <f t="shared" si="379"/>
        <v>1835.2499999999268</v>
      </c>
      <c r="G7329" s="28">
        <f t="shared" si="380"/>
        <v>1745.6523999999999</v>
      </c>
      <c r="H7329" s="28">
        <f t="shared" si="381"/>
        <v>1806.9160999999999</v>
      </c>
      <c r="I7329" s="28">
        <f t="shared" si="382"/>
        <v>1839.6451999999999</v>
      </c>
      <c r="J7329" s="28">
        <f t="shared" si="383"/>
        <v>1866.3179</v>
      </c>
      <c r="K7329" s="28">
        <f t="shared" si="384"/>
        <v>1914.1193000000001</v>
      </c>
      <c r="L7329" s="4"/>
      <c r="M7329" s="241">
        <v>1839.6451999999999</v>
      </c>
    </row>
    <row r="7330" spans="3:13" hidden="1" outlineLevel="1" x14ac:dyDescent="0.2">
      <c r="C7330" s="139">
        <v>247.19999999999024</v>
      </c>
      <c r="D7330" s="28">
        <f t="shared" si="377"/>
        <v>1977.5999999999219</v>
      </c>
      <c r="E7330" s="28">
        <f t="shared" si="378"/>
        <v>1853.9999999999268</v>
      </c>
      <c r="F7330" s="28">
        <f t="shared" si="379"/>
        <v>1835.9999999999268</v>
      </c>
      <c r="G7330" s="28">
        <f t="shared" si="380"/>
        <v>1745.6523999999999</v>
      </c>
      <c r="H7330" s="28">
        <f t="shared" si="381"/>
        <v>1806.9160999999999</v>
      </c>
      <c r="I7330" s="28">
        <f t="shared" si="382"/>
        <v>1839.6451999999999</v>
      </c>
      <c r="J7330" s="28">
        <f t="shared" si="383"/>
        <v>1866.3179</v>
      </c>
      <c r="K7330" s="28">
        <f t="shared" si="384"/>
        <v>1914.1193000000001</v>
      </c>
      <c r="L7330" s="4"/>
      <c r="M7330" s="241">
        <v>1839.6451999999999</v>
      </c>
    </row>
    <row r="7331" spans="3:13" hidden="1" outlineLevel="1" x14ac:dyDescent="0.2">
      <c r="C7331" s="139">
        <v>247.29999999999023</v>
      </c>
      <c r="D7331" s="28">
        <f t="shared" si="377"/>
        <v>1978.3999999999219</v>
      </c>
      <c r="E7331" s="28">
        <f t="shared" si="378"/>
        <v>1854.7499999999268</v>
      </c>
      <c r="F7331" s="28">
        <f t="shared" si="379"/>
        <v>1836.7499999999268</v>
      </c>
      <c r="G7331" s="28">
        <f t="shared" si="380"/>
        <v>1746.6596999999999</v>
      </c>
      <c r="H7331" s="28">
        <f t="shared" si="381"/>
        <v>1807.9567999999999</v>
      </c>
      <c r="I7331" s="28">
        <f t="shared" si="382"/>
        <v>1840.6477</v>
      </c>
      <c r="J7331" s="28">
        <f t="shared" si="383"/>
        <v>1867.3966</v>
      </c>
      <c r="K7331" s="28">
        <f t="shared" si="384"/>
        <v>1915.2239999999999</v>
      </c>
      <c r="L7331" s="4"/>
      <c r="M7331" s="241">
        <v>1840.6477</v>
      </c>
    </row>
    <row r="7332" spans="3:13" hidden="1" outlineLevel="1" x14ac:dyDescent="0.2">
      <c r="C7332" s="139">
        <v>247.39999999999023</v>
      </c>
      <c r="D7332" s="28">
        <f t="shared" si="377"/>
        <v>1979.1999999999218</v>
      </c>
      <c r="E7332" s="28">
        <f t="shared" si="378"/>
        <v>1855.4999999999268</v>
      </c>
      <c r="F7332" s="28">
        <f t="shared" si="379"/>
        <v>1837.4999999999268</v>
      </c>
      <c r="G7332" s="28">
        <f t="shared" si="380"/>
        <v>1747.6111000000001</v>
      </c>
      <c r="H7332" s="28">
        <f t="shared" si="381"/>
        <v>1808.9416000000001</v>
      </c>
      <c r="I7332" s="28">
        <f t="shared" si="382"/>
        <v>1841.7119</v>
      </c>
      <c r="J7332" s="28">
        <f t="shared" si="383"/>
        <v>1868.4137000000001</v>
      </c>
      <c r="K7332" s="28">
        <f t="shared" si="384"/>
        <v>1916.2672</v>
      </c>
      <c r="L7332" s="4"/>
      <c r="M7332" s="241">
        <v>1841.7119</v>
      </c>
    </row>
    <row r="7333" spans="3:13" hidden="1" outlineLevel="1" x14ac:dyDescent="0.2">
      <c r="C7333" s="139">
        <v>247.49999999999022</v>
      </c>
      <c r="D7333" s="28">
        <f t="shared" si="377"/>
        <v>1979.9999999999218</v>
      </c>
      <c r="E7333" s="28">
        <f t="shared" si="378"/>
        <v>1856.2499999999268</v>
      </c>
      <c r="F7333" s="28">
        <f t="shared" si="379"/>
        <v>1838.2499999999268</v>
      </c>
      <c r="G7333" s="28">
        <f t="shared" si="380"/>
        <v>1748.6185</v>
      </c>
      <c r="H7333" s="28">
        <f t="shared" si="381"/>
        <v>1809.9263000000001</v>
      </c>
      <c r="I7333" s="28">
        <f t="shared" si="382"/>
        <v>1842.7145</v>
      </c>
      <c r="J7333" s="28">
        <f t="shared" si="383"/>
        <v>1869.4308000000001</v>
      </c>
      <c r="K7333" s="28">
        <f t="shared" si="384"/>
        <v>1917.3103000000001</v>
      </c>
      <c r="L7333" s="4"/>
      <c r="M7333" s="241">
        <v>1842.7145</v>
      </c>
    </row>
    <row r="7334" spans="3:13" hidden="1" outlineLevel="1" x14ac:dyDescent="0.2">
      <c r="C7334" s="139">
        <v>247.59999999999022</v>
      </c>
      <c r="D7334" s="28">
        <f t="shared" si="377"/>
        <v>1980.7999999999217</v>
      </c>
      <c r="E7334" s="28">
        <f t="shared" si="378"/>
        <v>1856.9999999999266</v>
      </c>
      <c r="F7334" s="28">
        <f t="shared" si="379"/>
        <v>1838.9999999999266</v>
      </c>
      <c r="G7334" s="28">
        <f t="shared" si="380"/>
        <v>1748.6185</v>
      </c>
      <c r="H7334" s="28">
        <f t="shared" si="381"/>
        <v>1809.9263000000001</v>
      </c>
      <c r="I7334" s="28">
        <f t="shared" si="382"/>
        <v>1842.7145</v>
      </c>
      <c r="J7334" s="28">
        <f t="shared" si="383"/>
        <v>1869.4308000000001</v>
      </c>
      <c r="K7334" s="28">
        <f t="shared" si="384"/>
        <v>1917.3103000000001</v>
      </c>
      <c r="L7334" s="4"/>
      <c r="M7334" s="241">
        <v>1842.7145</v>
      </c>
    </row>
    <row r="7335" spans="3:13" hidden="1" outlineLevel="1" x14ac:dyDescent="0.2">
      <c r="C7335" s="139">
        <v>247.69999999999021</v>
      </c>
      <c r="D7335" s="28">
        <f t="shared" si="377"/>
        <v>1981.5999999999217</v>
      </c>
      <c r="E7335" s="28">
        <f t="shared" si="378"/>
        <v>1857.7499999999266</v>
      </c>
      <c r="F7335" s="28">
        <f t="shared" si="379"/>
        <v>1839.7499999999266</v>
      </c>
      <c r="G7335" s="28">
        <f t="shared" si="380"/>
        <v>1749.5699</v>
      </c>
      <c r="H7335" s="28">
        <f t="shared" si="381"/>
        <v>1810.9671000000001</v>
      </c>
      <c r="I7335" s="28">
        <f t="shared" si="382"/>
        <v>1843.7170000000001</v>
      </c>
      <c r="J7335" s="28">
        <f t="shared" si="383"/>
        <v>1870.4478999999999</v>
      </c>
      <c r="K7335" s="28">
        <f t="shared" si="384"/>
        <v>1918.3534999999999</v>
      </c>
      <c r="L7335" s="4"/>
      <c r="M7335" s="241">
        <v>1843.7170000000001</v>
      </c>
    </row>
    <row r="7336" spans="3:13" hidden="1" outlineLevel="1" x14ac:dyDescent="0.2">
      <c r="C7336" s="139">
        <v>247.79999999999021</v>
      </c>
      <c r="D7336" s="28">
        <f t="shared" si="377"/>
        <v>1982.3999999999216</v>
      </c>
      <c r="E7336" s="28">
        <f t="shared" si="378"/>
        <v>1858.4999999999266</v>
      </c>
      <c r="F7336" s="28">
        <f t="shared" si="379"/>
        <v>1840.4999999999266</v>
      </c>
      <c r="G7336" s="28">
        <f t="shared" si="380"/>
        <v>1750.5773999999999</v>
      </c>
      <c r="H7336" s="28">
        <f t="shared" si="381"/>
        <v>1811.9519</v>
      </c>
      <c r="I7336" s="28">
        <f t="shared" si="382"/>
        <v>1844.7195999999999</v>
      </c>
      <c r="J7336" s="28">
        <f t="shared" si="383"/>
        <v>1871.4649999999999</v>
      </c>
      <c r="K7336" s="28">
        <f t="shared" si="384"/>
        <v>1919.3966</v>
      </c>
      <c r="L7336" s="4"/>
      <c r="M7336" s="241">
        <v>1844.7195999999999</v>
      </c>
    </row>
    <row r="7337" spans="3:13" hidden="1" outlineLevel="1" x14ac:dyDescent="0.2">
      <c r="C7337" s="139">
        <v>247.8999999999902</v>
      </c>
      <c r="D7337" s="28">
        <f t="shared" si="377"/>
        <v>1983.1999999999216</v>
      </c>
      <c r="E7337" s="28">
        <f t="shared" si="378"/>
        <v>1859.2499999999266</v>
      </c>
      <c r="F7337" s="28">
        <f t="shared" si="379"/>
        <v>1841.2499999999266</v>
      </c>
      <c r="G7337" s="28">
        <f t="shared" si="380"/>
        <v>1751.5288</v>
      </c>
      <c r="H7337" s="28">
        <f t="shared" si="381"/>
        <v>1812.9367</v>
      </c>
      <c r="I7337" s="28">
        <f t="shared" si="382"/>
        <v>1845.7840000000001</v>
      </c>
      <c r="J7337" s="28">
        <f t="shared" si="383"/>
        <v>1872.4820999999999</v>
      </c>
      <c r="K7337" s="28">
        <f t="shared" si="384"/>
        <v>1920.4398000000001</v>
      </c>
      <c r="L7337" s="4"/>
      <c r="M7337" s="241">
        <v>1845.7840000000001</v>
      </c>
    </row>
    <row r="7338" spans="3:13" hidden="1" outlineLevel="1" x14ac:dyDescent="0.2">
      <c r="C7338" s="139">
        <v>247.99999999999019</v>
      </c>
      <c r="D7338" s="28">
        <f t="shared" si="377"/>
        <v>1983.9999999999216</v>
      </c>
      <c r="E7338" s="28">
        <f t="shared" si="378"/>
        <v>1859.9999999999266</v>
      </c>
      <c r="F7338" s="28">
        <f t="shared" si="379"/>
        <v>1841.9999999999266</v>
      </c>
      <c r="G7338" s="28">
        <f t="shared" si="380"/>
        <v>1751.5288</v>
      </c>
      <c r="H7338" s="28">
        <f t="shared" si="381"/>
        <v>1812.9367</v>
      </c>
      <c r="I7338" s="28">
        <f t="shared" si="382"/>
        <v>1845.7840000000001</v>
      </c>
      <c r="J7338" s="28">
        <f t="shared" si="383"/>
        <v>1872.4820999999999</v>
      </c>
      <c r="K7338" s="28">
        <f t="shared" si="384"/>
        <v>1920.4398000000001</v>
      </c>
      <c r="L7338" s="4"/>
      <c r="M7338" s="241">
        <v>1845.7840000000001</v>
      </c>
    </row>
    <row r="7339" spans="3:13" hidden="1" outlineLevel="1" x14ac:dyDescent="0.2">
      <c r="C7339" s="139">
        <v>248.09999999999019</v>
      </c>
      <c r="D7339" s="28">
        <f t="shared" si="377"/>
        <v>1984.7999999999215</v>
      </c>
      <c r="E7339" s="28">
        <f t="shared" si="378"/>
        <v>1860.7499999999263</v>
      </c>
      <c r="F7339" s="28">
        <f t="shared" si="379"/>
        <v>1842.7499999999263</v>
      </c>
      <c r="G7339" s="28">
        <f t="shared" si="380"/>
        <v>1752.5364</v>
      </c>
      <c r="H7339" s="28">
        <f t="shared" si="381"/>
        <v>1813.9775999999999</v>
      </c>
      <c r="I7339" s="28">
        <f t="shared" si="382"/>
        <v>1846.7865999999999</v>
      </c>
      <c r="J7339" s="28">
        <f t="shared" si="383"/>
        <v>1873.5609999999999</v>
      </c>
      <c r="K7339" s="28">
        <f t="shared" si="384"/>
        <v>1921.4829</v>
      </c>
      <c r="L7339" s="4"/>
      <c r="M7339" s="241">
        <v>1846.7865999999999</v>
      </c>
    </row>
    <row r="7340" spans="3:13" hidden="1" outlineLevel="1" x14ac:dyDescent="0.2">
      <c r="C7340" s="139">
        <v>248.19999999999018</v>
      </c>
      <c r="D7340" s="28">
        <f t="shared" si="377"/>
        <v>1985.5999999999215</v>
      </c>
      <c r="E7340" s="28">
        <f t="shared" si="378"/>
        <v>1861.4999999999263</v>
      </c>
      <c r="F7340" s="28">
        <f t="shared" si="379"/>
        <v>1843.4999999999263</v>
      </c>
      <c r="G7340" s="28">
        <f t="shared" si="380"/>
        <v>1753.4878000000001</v>
      </c>
      <c r="H7340" s="28">
        <f t="shared" si="381"/>
        <v>1814.9623999999999</v>
      </c>
      <c r="I7340" s="28">
        <f t="shared" si="382"/>
        <v>1847.7891999999999</v>
      </c>
      <c r="J7340" s="28">
        <f t="shared" si="383"/>
        <v>1874.5780999999999</v>
      </c>
      <c r="K7340" s="28">
        <f t="shared" si="384"/>
        <v>1922.5261</v>
      </c>
      <c r="L7340" s="4"/>
      <c r="M7340" s="241">
        <v>1847.7891999999999</v>
      </c>
    </row>
    <row r="7341" spans="3:13" hidden="1" outlineLevel="1" x14ac:dyDescent="0.2">
      <c r="C7341" s="139">
        <v>248.29999999999018</v>
      </c>
      <c r="D7341" s="28">
        <f t="shared" si="377"/>
        <v>1986.3999999999214</v>
      </c>
      <c r="E7341" s="28">
        <f t="shared" si="378"/>
        <v>1862.2499999999263</v>
      </c>
      <c r="F7341" s="28">
        <f t="shared" si="379"/>
        <v>1844.2499999999263</v>
      </c>
      <c r="G7341" s="28">
        <f t="shared" si="380"/>
        <v>1754.4955</v>
      </c>
      <c r="H7341" s="28">
        <f t="shared" si="381"/>
        <v>1815.9472000000001</v>
      </c>
      <c r="I7341" s="28">
        <f t="shared" si="382"/>
        <v>1848.7918</v>
      </c>
      <c r="J7341" s="28">
        <f t="shared" si="383"/>
        <v>1875.5953</v>
      </c>
      <c r="K7341" s="28">
        <f t="shared" si="384"/>
        <v>1923.6311000000001</v>
      </c>
      <c r="L7341" s="4"/>
      <c r="M7341" s="241">
        <v>1848.7918</v>
      </c>
    </row>
    <row r="7342" spans="3:13" hidden="1" outlineLevel="1" x14ac:dyDescent="0.2">
      <c r="C7342" s="139">
        <v>248.39999999999017</v>
      </c>
      <c r="D7342" s="28">
        <f t="shared" si="377"/>
        <v>1987.1999999999214</v>
      </c>
      <c r="E7342" s="28">
        <f t="shared" si="378"/>
        <v>1862.9999999999263</v>
      </c>
      <c r="F7342" s="28">
        <f t="shared" si="379"/>
        <v>1844.9999999999263</v>
      </c>
      <c r="G7342" s="28">
        <f t="shared" si="380"/>
        <v>1754.4955</v>
      </c>
      <c r="H7342" s="28">
        <f t="shared" si="381"/>
        <v>1815.9472000000001</v>
      </c>
      <c r="I7342" s="28">
        <f t="shared" si="382"/>
        <v>1848.7918</v>
      </c>
      <c r="J7342" s="28">
        <f t="shared" si="383"/>
        <v>1875.5953</v>
      </c>
      <c r="K7342" s="28">
        <f t="shared" si="384"/>
        <v>1923.6311000000001</v>
      </c>
      <c r="L7342" s="4"/>
      <c r="M7342" s="241">
        <v>1848.7918</v>
      </c>
    </row>
    <row r="7343" spans="3:13" hidden="1" outlineLevel="1" x14ac:dyDescent="0.2">
      <c r="C7343" s="139">
        <v>248.49999999999017</v>
      </c>
      <c r="D7343" s="28">
        <f t="shared" si="377"/>
        <v>1987.9999999999213</v>
      </c>
      <c r="E7343" s="28">
        <f t="shared" si="378"/>
        <v>1863.7499999999263</v>
      </c>
      <c r="F7343" s="28">
        <f t="shared" si="379"/>
        <v>1845.7499999999263</v>
      </c>
      <c r="G7343" s="28">
        <f t="shared" si="380"/>
        <v>1755.4469999999999</v>
      </c>
      <c r="H7343" s="28">
        <f t="shared" si="381"/>
        <v>1816.9883</v>
      </c>
      <c r="I7343" s="28">
        <f t="shared" si="382"/>
        <v>1849.8562999999999</v>
      </c>
      <c r="J7343" s="28">
        <f t="shared" si="383"/>
        <v>1876.6124</v>
      </c>
      <c r="K7343" s="28">
        <f t="shared" si="384"/>
        <v>1924.6742999999999</v>
      </c>
      <c r="L7343" s="4"/>
      <c r="M7343" s="241">
        <v>1849.8562999999999</v>
      </c>
    </row>
    <row r="7344" spans="3:13" hidden="1" outlineLevel="1" x14ac:dyDescent="0.2">
      <c r="C7344" s="139">
        <v>248.59999999999016</v>
      </c>
      <c r="D7344" s="28">
        <f t="shared" si="377"/>
        <v>1988.7999999999213</v>
      </c>
      <c r="E7344" s="28">
        <f t="shared" si="378"/>
        <v>1864.4999999999261</v>
      </c>
      <c r="F7344" s="28">
        <f t="shared" si="379"/>
        <v>1846.4999999999261</v>
      </c>
      <c r="G7344" s="28">
        <f t="shared" si="380"/>
        <v>1756.4548</v>
      </c>
      <c r="H7344" s="28">
        <f t="shared" si="381"/>
        <v>1817.9730999999999</v>
      </c>
      <c r="I7344" s="28">
        <f t="shared" si="382"/>
        <v>1850.8588999999999</v>
      </c>
      <c r="J7344" s="28">
        <f t="shared" si="383"/>
        <v>1877.6295</v>
      </c>
      <c r="K7344" s="28">
        <f t="shared" si="384"/>
        <v>1925.7175</v>
      </c>
      <c r="L7344" s="4"/>
      <c r="M7344" s="241">
        <v>1850.8588999999999</v>
      </c>
    </row>
    <row r="7345" spans="3:13" hidden="1" outlineLevel="1" x14ac:dyDescent="0.2">
      <c r="C7345" s="139">
        <v>248.69999999999015</v>
      </c>
      <c r="D7345" s="28">
        <f t="shared" si="377"/>
        <v>1989.5999999999212</v>
      </c>
      <c r="E7345" s="28">
        <f t="shared" si="378"/>
        <v>1865.2499999999261</v>
      </c>
      <c r="F7345" s="28">
        <f t="shared" si="379"/>
        <v>1847.2499999999261</v>
      </c>
      <c r="G7345" s="28">
        <f t="shared" si="380"/>
        <v>1757.4063000000001</v>
      </c>
      <c r="H7345" s="28">
        <f t="shared" si="381"/>
        <v>1818.9579000000001</v>
      </c>
      <c r="I7345" s="28">
        <f t="shared" si="382"/>
        <v>1851.8616</v>
      </c>
      <c r="J7345" s="28">
        <f t="shared" si="383"/>
        <v>1878.7086999999999</v>
      </c>
      <c r="K7345" s="28">
        <f t="shared" si="384"/>
        <v>1926.7607</v>
      </c>
      <c r="L7345" s="4"/>
      <c r="M7345" s="241">
        <v>1851.8616</v>
      </c>
    </row>
    <row r="7346" spans="3:13" hidden="1" outlineLevel="1" x14ac:dyDescent="0.2">
      <c r="C7346" s="139">
        <v>248.79999999999015</v>
      </c>
      <c r="D7346" s="28">
        <f t="shared" si="377"/>
        <v>1990.3999999999212</v>
      </c>
      <c r="E7346" s="28">
        <f t="shared" si="378"/>
        <v>1865.9999999999261</v>
      </c>
      <c r="F7346" s="28">
        <f t="shared" si="379"/>
        <v>1847.9999999999261</v>
      </c>
      <c r="G7346" s="28">
        <f t="shared" si="380"/>
        <v>1757.4063000000001</v>
      </c>
      <c r="H7346" s="28">
        <f t="shared" si="381"/>
        <v>1818.9579000000001</v>
      </c>
      <c r="I7346" s="28">
        <f t="shared" si="382"/>
        <v>1851.8616</v>
      </c>
      <c r="J7346" s="28">
        <f t="shared" si="383"/>
        <v>1878.7086999999999</v>
      </c>
      <c r="K7346" s="28">
        <f t="shared" si="384"/>
        <v>1926.7607</v>
      </c>
      <c r="L7346" s="4"/>
      <c r="M7346" s="241">
        <v>1851.8616</v>
      </c>
    </row>
    <row r="7347" spans="3:13" hidden="1" outlineLevel="1" x14ac:dyDescent="0.2">
      <c r="C7347" s="139">
        <v>248.89999999999014</v>
      </c>
      <c r="D7347" s="28">
        <f t="shared" si="377"/>
        <v>1991.1999999999211</v>
      </c>
      <c r="E7347" s="28">
        <f t="shared" si="378"/>
        <v>1866.7499999999261</v>
      </c>
      <c r="F7347" s="28">
        <f t="shared" si="379"/>
        <v>1848.7499999999261</v>
      </c>
      <c r="G7347" s="28">
        <f t="shared" si="380"/>
        <v>1758.4141999999999</v>
      </c>
      <c r="H7347" s="28">
        <f t="shared" si="381"/>
        <v>1819.9991</v>
      </c>
      <c r="I7347" s="28">
        <f t="shared" si="382"/>
        <v>1852.8642</v>
      </c>
      <c r="J7347" s="28">
        <f t="shared" si="383"/>
        <v>1879.7257999999999</v>
      </c>
      <c r="K7347" s="28">
        <f t="shared" si="384"/>
        <v>1927.8037999999999</v>
      </c>
      <c r="L7347" s="4"/>
      <c r="M7347" s="241">
        <v>1852.8642</v>
      </c>
    </row>
    <row r="7348" spans="3:13" hidden="1" outlineLevel="1" x14ac:dyDescent="0.2">
      <c r="C7348" s="139">
        <v>248.99999999999014</v>
      </c>
      <c r="D7348" s="28">
        <f t="shared" si="377"/>
        <v>1991.9999999999211</v>
      </c>
      <c r="E7348" s="28">
        <f t="shared" si="378"/>
        <v>1867.4999999999261</v>
      </c>
      <c r="F7348" s="28">
        <f t="shared" si="379"/>
        <v>1849.4999999999261</v>
      </c>
      <c r="G7348" s="28">
        <f t="shared" si="380"/>
        <v>1759.3657000000001</v>
      </c>
      <c r="H7348" s="28">
        <f t="shared" si="381"/>
        <v>1820.9839999999999</v>
      </c>
      <c r="I7348" s="28">
        <f t="shared" si="382"/>
        <v>1853.8668</v>
      </c>
      <c r="J7348" s="28">
        <f t="shared" si="383"/>
        <v>1880.7429999999999</v>
      </c>
      <c r="K7348" s="28">
        <f t="shared" si="384"/>
        <v>1928.847</v>
      </c>
      <c r="L7348" s="4"/>
      <c r="M7348" s="241">
        <v>1853.8668</v>
      </c>
    </row>
    <row r="7349" spans="3:13" hidden="1" outlineLevel="1" x14ac:dyDescent="0.2">
      <c r="C7349" s="139">
        <v>249.09999999999013</v>
      </c>
      <c r="D7349" s="28">
        <f t="shared" si="377"/>
        <v>1992.7999999999211</v>
      </c>
      <c r="E7349" s="28">
        <f t="shared" si="378"/>
        <v>1868.2499999999259</v>
      </c>
      <c r="F7349" s="28">
        <f t="shared" si="379"/>
        <v>1850.2499999999259</v>
      </c>
      <c r="G7349" s="28">
        <f t="shared" si="380"/>
        <v>1760.3737000000001</v>
      </c>
      <c r="H7349" s="28">
        <f t="shared" si="381"/>
        <v>1821.9688000000001</v>
      </c>
      <c r="I7349" s="28">
        <f t="shared" si="382"/>
        <v>1854.9315999999999</v>
      </c>
      <c r="J7349" s="28">
        <f t="shared" si="383"/>
        <v>1881.7601999999999</v>
      </c>
      <c r="K7349" s="28">
        <f t="shared" si="384"/>
        <v>1929.8902</v>
      </c>
      <c r="L7349" s="4"/>
      <c r="M7349" s="241">
        <v>1854.9315999999999</v>
      </c>
    </row>
    <row r="7350" spans="3:13" hidden="1" outlineLevel="1" x14ac:dyDescent="0.2">
      <c r="C7350" s="139">
        <v>249.19999999999013</v>
      </c>
      <c r="D7350" s="28">
        <f t="shared" si="377"/>
        <v>1993.599999999921</v>
      </c>
      <c r="E7350" s="28">
        <f t="shared" si="378"/>
        <v>1868.9999999999259</v>
      </c>
      <c r="F7350" s="28">
        <f t="shared" si="379"/>
        <v>1850.9999999999259</v>
      </c>
      <c r="G7350" s="28">
        <f t="shared" si="380"/>
        <v>1760.3737000000001</v>
      </c>
      <c r="H7350" s="28">
        <f t="shared" si="381"/>
        <v>1821.9688000000001</v>
      </c>
      <c r="I7350" s="28">
        <f t="shared" si="382"/>
        <v>1854.9315999999999</v>
      </c>
      <c r="J7350" s="28">
        <f t="shared" si="383"/>
        <v>1881.7601999999999</v>
      </c>
      <c r="K7350" s="28">
        <f t="shared" si="384"/>
        <v>1929.8902</v>
      </c>
      <c r="L7350" s="4"/>
      <c r="M7350" s="241">
        <v>1854.9315999999999</v>
      </c>
    </row>
    <row r="7351" spans="3:13" hidden="1" outlineLevel="1" x14ac:dyDescent="0.2">
      <c r="C7351" s="139">
        <v>249.29999999999012</v>
      </c>
      <c r="D7351" s="28">
        <f t="shared" si="377"/>
        <v>1994.399999999921</v>
      </c>
      <c r="E7351" s="28">
        <f t="shared" si="378"/>
        <v>1869.7499999999259</v>
      </c>
      <c r="F7351" s="28">
        <f t="shared" si="379"/>
        <v>1851.7499999999259</v>
      </c>
      <c r="G7351" s="28">
        <f t="shared" si="380"/>
        <v>1761.3816999999999</v>
      </c>
      <c r="H7351" s="28">
        <f t="shared" si="381"/>
        <v>1823.0101999999999</v>
      </c>
      <c r="I7351" s="28">
        <f t="shared" si="382"/>
        <v>1855.9341999999999</v>
      </c>
      <c r="J7351" s="28">
        <f t="shared" si="383"/>
        <v>1882.7773</v>
      </c>
      <c r="K7351" s="28">
        <f t="shared" si="384"/>
        <v>1930.9955</v>
      </c>
      <c r="L7351" s="4"/>
      <c r="M7351" s="241">
        <v>1855.9341999999999</v>
      </c>
    </row>
    <row r="7352" spans="3:13" hidden="1" outlineLevel="1" x14ac:dyDescent="0.2">
      <c r="C7352" s="139">
        <v>249.39999999999011</v>
      </c>
      <c r="D7352" s="28">
        <f t="shared" si="377"/>
        <v>1995.1999999999209</v>
      </c>
      <c r="E7352" s="28">
        <f t="shared" si="378"/>
        <v>1870.4999999999259</v>
      </c>
      <c r="F7352" s="28">
        <f t="shared" si="379"/>
        <v>1852.4999999999259</v>
      </c>
      <c r="G7352" s="28">
        <f t="shared" si="380"/>
        <v>1762.3333</v>
      </c>
      <c r="H7352" s="28">
        <f t="shared" si="381"/>
        <v>1823.9951000000001</v>
      </c>
      <c r="I7352" s="28">
        <f t="shared" si="382"/>
        <v>1856.9368999999999</v>
      </c>
      <c r="J7352" s="28">
        <f t="shared" si="383"/>
        <v>1883.7945</v>
      </c>
      <c r="K7352" s="28">
        <f t="shared" si="384"/>
        <v>1932.0388</v>
      </c>
      <c r="L7352" s="4"/>
      <c r="M7352" s="241">
        <v>1856.9368999999999</v>
      </c>
    </row>
    <row r="7353" spans="3:13" hidden="1" outlineLevel="1" x14ac:dyDescent="0.2">
      <c r="C7353" s="139">
        <v>249.49999999999011</v>
      </c>
      <c r="D7353" s="28">
        <f t="shared" si="377"/>
        <v>1995.9999999999209</v>
      </c>
      <c r="E7353" s="28">
        <f t="shared" si="378"/>
        <v>1871.2499999999259</v>
      </c>
      <c r="F7353" s="28">
        <f t="shared" si="379"/>
        <v>1853.2499999999259</v>
      </c>
      <c r="G7353" s="28">
        <f t="shared" si="380"/>
        <v>1763.3414</v>
      </c>
      <c r="H7353" s="28">
        <f t="shared" si="381"/>
        <v>1824.9799</v>
      </c>
      <c r="I7353" s="28">
        <f t="shared" si="382"/>
        <v>1857.9395999999999</v>
      </c>
      <c r="J7353" s="28">
        <f t="shared" si="383"/>
        <v>1884.8739</v>
      </c>
      <c r="K7353" s="28">
        <f t="shared" si="384"/>
        <v>1933.0820000000001</v>
      </c>
      <c r="L7353" s="4"/>
      <c r="M7353" s="241">
        <v>1857.9395999999999</v>
      </c>
    </row>
    <row r="7354" spans="3:13" hidden="1" outlineLevel="1" x14ac:dyDescent="0.2">
      <c r="C7354" s="139">
        <v>249.5999999999901</v>
      </c>
      <c r="D7354" s="28">
        <f t="shared" si="377"/>
        <v>1996.7999999999208</v>
      </c>
      <c r="E7354" s="28">
        <f t="shared" si="378"/>
        <v>1871.9999999999259</v>
      </c>
      <c r="F7354" s="28">
        <f t="shared" si="379"/>
        <v>1853.9999999999259</v>
      </c>
      <c r="G7354" s="28">
        <f t="shared" si="380"/>
        <v>1763.3414</v>
      </c>
      <c r="H7354" s="28">
        <f t="shared" si="381"/>
        <v>1824.9799</v>
      </c>
      <c r="I7354" s="28">
        <f t="shared" si="382"/>
        <v>1857.9395999999999</v>
      </c>
      <c r="J7354" s="28">
        <f t="shared" si="383"/>
        <v>1884.8739</v>
      </c>
      <c r="K7354" s="28">
        <f t="shared" si="384"/>
        <v>1933.0820000000001</v>
      </c>
      <c r="L7354" s="4"/>
      <c r="M7354" s="241">
        <v>1857.9395999999999</v>
      </c>
    </row>
    <row r="7355" spans="3:13" hidden="1" outlineLevel="1" x14ac:dyDescent="0.2">
      <c r="C7355" s="139">
        <v>249.6999999999901</v>
      </c>
      <c r="D7355" s="28">
        <f t="shared" ref="D7355:D7418" si="385">C7355*Channels.per.TRX</f>
        <v>1997.5999999999208</v>
      </c>
      <c r="E7355" s="28">
        <f t="shared" ref="E7355:E7418" si="386">D7355-C7355*sig.channel.per.TRX</f>
        <v>1872.7499999999256</v>
      </c>
      <c r="F7355" s="28">
        <f t="shared" ref="F7355:F7418" si="387">MAX(0,E7355-GPRS.channel.per.sector)</f>
        <v>1854.7499999999256</v>
      </c>
      <c r="G7355" s="28">
        <f t="shared" ref="G7355:G7418" si="388">INDEX(D$10:D$4326,MATCH($F7355,$C$10:$C$4326,1))</f>
        <v>1764.2931000000001</v>
      </c>
      <c r="H7355" s="28">
        <f t="shared" ref="H7355:H7418" si="389">INDEX(E$10:E$4326,MATCH($F7355,$C$10:$C$4326,1))</f>
        <v>1826.0214000000001</v>
      </c>
      <c r="I7355" s="28">
        <f t="shared" ref="I7355:I7418" si="390">INDEX(F$10:F$4326,MATCH($F7355,$C$10:$C$4326,1))</f>
        <v>1859.0045</v>
      </c>
      <c r="J7355" s="28">
        <f t="shared" ref="J7355:J7418" si="391">INDEX(G$10:G$4326,MATCH($F7355,$C$10:$C$4326,1))</f>
        <v>1885.8911000000001</v>
      </c>
      <c r="K7355" s="28">
        <f t="shared" ref="K7355:K7418" si="392">INDEX(H$10:H$4326,MATCH($F7355,$C$10:$C$4326,1))</f>
        <v>1934.1251999999999</v>
      </c>
      <c r="L7355" s="4"/>
      <c r="M7355" s="241">
        <v>1859.0045</v>
      </c>
    </row>
    <row r="7356" spans="3:13" hidden="1" outlineLevel="1" x14ac:dyDescent="0.2">
      <c r="C7356" s="139">
        <v>249.79999999999009</v>
      </c>
      <c r="D7356" s="28">
        <f t="shared" si="385"/>
        <v>1998.3999999999207</v>
      </c>
      <c r="E7356" s="28">
        <f t="shared" si="386"/>
        <v>1873.4999999999256</v>
      </c>
      <c r="F7356" s="28">
        <f t="shared" si="387"/>
        <v>1855.4999999999256</v>
      </c>
      <c r="G7356" s="28">
        <f t="shared" si="388"/>
        <v>1765.3013000000001</v>
      </c>
      <c r="H7356" s="28">
        <f t="shared" si="389"/>
        <v>1827.0063</v>
      </c>
      <c r="I7356" s="28">
        <f t="shared" si="390"/>
        <v>1860.0072</v>
      </c>
      <c r="J7356" s="28">
        <f t="shared" si="391"/>
        <v>1886.9083000000001</v>
      </c>
      <c r="K7356" s="28">
        <f t="shared" si="392"/>
        <v>1935.1684</v>
      </c>
      <c r="L7356" s="4"/>
      <c r="M7356" s="241">
        <v>1860.0072</v>
      </c>
    </row>
    <row r="7357" spans="3:13" hidden="1" outlineLevel="1" x14ac:dyDescent="0.2">
      <c r="C7357" s="139">
        <v>249.89999999999009</v>
      </c>
      <c r="D7357" s="28">
        <f t="shared" si="385"/>
        <v>1999.1999999999207</v>
      </c>
      <c r="E7357" s="28">
        <f t="shared" si="386"/>
        <v>1874.2499999999256</v>
      </c>
      <c r="F7357" s="28">
        <f t="shared" si="387"/>
        <v>1856.2499999999256</v>
      </c>
      <c r="G7357" s="28">
        <f t="shared" si="388"/>
        <v>1766.2529</v>
      </c>
      <c r="H7357" s="28">
        <f t="shared" si="389"/>
        <v>1827.9911999999999</v>
      </c>
      <c r="I7357" s="28">
        <f t="shared" si="390"/>
        <v>1861.0099</v>
      </c>
      <c r="J7357" s="28">
        <f t="shared" si="391"/>
        <v>1887.9255000000001</v>
      </c>
      <c r="K7357" s="28">
        <f t="shared" si="392"/>
        <v>1936.2116000000001</v>
      </c>
      <c r="L7357" s="4"/>
      <c r="M7357" s="241">
        <v>1861.0099</v>
      </c>
    </row>
    <row r="7358" spans="3:13" hidden="1" outlineLevel="1" x14ac:dyDescent="0.2">
      <c r="C7358" s="139">
        <v>249.99999999999008</v>
      </c>
      <c r="D7358" s="28">
        <f t="shared" si="385"/>
        <v>1999.9999999999206</v>
      </c>
      <c r="E7358" s="28">
        <f t="shared" si="386"/>
        <v>1874.9999999999256</v>
      </c>
      <c r="F7358" s="28">
        <f t="shared" si="387"/>
        <v>1856.9999999999256</v>
      </c>
      <c r="G7358" s="28">
        <f t="shared" si="388"/>
        <v>1766.2529</v>
      </c>
      <c r="H7358" s="28">
        <f t="shared" si="389"/>
        <v>1827.9911999999999</v>
      </c>
      <c r="I7358" s="28">
        <f t="shared" si="390"/>
        <v>1861.0099</v>
      </c>
      <c r="J7358" s="28">
        <f t="shared" si="391"/>
        <v>1887.9255000000001</v>
      </c>
      <c r="K7358" s="28">
        <f t="shared" si="392"/>
        <v>1936.2116000000001</v>
      </c>
      <c r="L7358" s="4"/>
      <c r="M7358" s="241">
        <v>1861.0099</v>
      </c>
    </row>
    <row r="7359" spans="3:13" hidden="1" outlineLevel="1" x14ac:dyDescent="0.2">
      <c r="C7359" s="139">
        <v>250.09999999999008</v>
      </c>
      <c r="D7359" s="28">
        <f t="shared" si="385"/>
        <v>2000.7999999999206</v>
      </c>
      <c r="E7359" s="28">
        <f t="shared" si="386"/>
        <v>1875.7499999999256</v>
      </c>
      <c r="F7359" s="28">
        <f t="shared" si="387"/>
        <v>1857.7499999999256</v>
      </c>
      <c r="G7359" s="28">
        <f t="shared" si="388"/>
        <v>1767.2611999999999</v>
      </c>
      <c r="H7359" s="28">
        <f t="shared" si="389"/>
        <v>1829.0328</v>
      </c>
      <c r="I7359" s="28">
        <f t="shared" si="390"/>
        <v>1862.0126</v>
      </c>
      <c r="J7359" s="28">
        <f t="shared" si="391"/>
        <v>1888.9427000000001</v>
      </c>
      <c r="K7359" s="28">
        <f t="shared" si="392"/>
        <v>1937.2547999999999</v>
      </c>
      <c r="L7359" s="4"/>
      <c r="M7359" s="241">
        <v>1862.0126</v>
      </c>
    </row>
    <row r="7360" spans="3:13" hidden="1" outlineLevel="1" x14ac:dyDescent="0.2">
      <c r="C7360" s="139">
        <v>250.19999999999007</v>
      </c>
      <c r="D7360" s="28">
        <f t="shared" si="385"/>
        <v>2001.5999999999206</v>
      </c>
      <c r="E7360" s="28">
        <f t="shared" si="386"/>
        <v>1876.4999999999254</v>
      </c>
      <c r="F7360" s="28">
        <f t="shared" si="387"/>
        <v>1858.4999999999254</v>
      </c>
      <c r="G7360" s="28">
        <f t="shared" si="388"/>
        <v>1768.2129</v>
      </c>
      <c r="H7360" s="28">
        <f t="shared" si="389"/>
        <v>1830.0177000000001</v>
      </c>
      <c r="I7360" s="28">
        <f t="shared" si="390"/>
        <v>1863.0153</v>
      </c>
      <c r="J7360" s="28">
        <f t="shared" si="391"/>
        <v>1890.0223000000001</v>
      </c>
      <c r="K7360" s="28">
        <f t="shared" si="392"/>
        <v>1938.3604</v>
      </c>
      <c r="L7360" s="4"/>
      <c r="M7360" s="241">
        <v>1863.0153</v>
      </c>
    </row>
    <row r="7361" spans="3:13" hidden="1" outlineLevel="1" x14ac:dyDescent="0.2">
      <c r="C7361" s="139">
        <v>250.29999999999006</v>
      </c>
      <c r="D7361" s="28">
        <f t="shared" si="385"/>
        <v>2002.3999999999205</v>
      </c>
      <c r="E7361" s="28">
        <f t="shared" si="386"/>
        <v>1877.2499999999254</v>
      </c>
      <c r="F7361" s="28">
        <f t="shared" si="387"/>
        <v>1859.2499999999254</v>
      </c>
      <c r="G7361" s="28">
        <f t="shared" si="388"/>
        <v>1769.2212999999999</v>
      </c>
      <c r="H7361" s="28">
        <f t="shared" si="389"/>
        <v>1831.0027</v>
      </c>
      <c r="I7361" s="28">
        <f t="shared" si="390"/>
        <v>1864.0804000000001</v>
      </c>
      <c r="J7361" s="28">
        <f t="shared" si="391"/>
        <v>1891.0395000000001</v>
      </c>
      <c r="K7361" s="28">
        <f t="shared" si="392"/>
        <v>1939.4037000000001</v>
      </c>
      <c r="L7361" s="4"/>
      <c r="M7361" s="241">
        <v>1864.0804000000001</v>
      </c>
    </row>
    <row r="7362" spans="3:13" hidden="1" outlineLevel="1" x14ac:dyDescent="0.2">
      <c r="C7362" s="139">
        <v>250.39999999999006</v>
      </c>
      <c r="D7362" s="28">
        <f t="shared" si="385"/>
        <v>2003.1999999999205</v>
      </c>
      <c r="E7362" s="28">
        <f t="shared" si="386"/>
        <v>1877.9999999999254</v>
      </c>
      <c r="F7362" s="28">
        <f t="shared" si="387"/>
        <v>1859.9999999999254</v>
      </c>
      <c r="G7362" s="28">
        <f t="shared" si="388"/>
        <v>1769.2212999999999</v>
      </c>
      <c r="H7362" s="28">
        <f t="shared" si="389"/>
        <v>1831.0027</v>
      </c>
      <c r="I7362" s="28">
        <f t="shared" si="390"/>
        <v>1864.0804000000001</v>
      </c>
      <c r="J7362" s="28">
        <f t="shared" si="391"/>
        <v>1891.0395000000001</v>
      </c>
      <c r="K7362" s="28">
        <f t="shared" si="392"/>
        <v>1939.4037000000001</v>
      </c>
      <c r="L7362" s="4"/>
      <c r="M7362" s="241">
        <v>1864.0804000000001</v>
      </c>
    </row>
    <row r="7363" spans="3:13" hidden="1" outlineLevel="1" x14ac:dyDescent="0.2">
      <c r="C7363" s="139">
        <v>250.49999999999005</v>
      </c>
      <c r="D7363" s="28">
        <f t="shared" si="385"/>
        <v>2003.9999999999204</v>
      </c>
      <c r="E7363" s="28">
        <f t="shared" si="386"/>
        <v>1878.7499999999254</v>
      </c>
      <c r="F7363" s="28">
        <f t="shared" si="387"/>
        <v>1860.7499999999254</v>
      </c>
      <c r="G7363" s="28">
        <f t="shared" si="388"/>
        <v>1770.173</v>
      </c>
      <c r="H7363" s="28">
        <f t="shared" si="389"/>
        <v>1832.0444</v>
      </c>
      <c r="I7363" s="28">
        <f t="shared" si="390"/>
        <v>1865.0831000000001</v>
      </c>
      <c r="J7363" s="28">
        <f t="shared" si="391"/>
        <v>1892.0567000000001</v>
      </c>
      <c r="K7363" s="28">
        <f t="shared" si="392"/>
        <v>1940.4468999999999</v>
      </c>
      <c r="L7363" s="4"/>
      <c r="M7363" s="241">
        <v>1865.0831000000001</v>
      </c>
    </row>
    <row r="7364" spans="3:13" hidden="1" outlineLevel="1" x14ac:dyDescent="0.2">
      <c r="C7364" s="139">
        <v>250.59999999999005</v>
      </c>
      <c r="D7364" s="28">
        <f t="shared" si="385"/>
        <v>2004.7999999999204</v>
      </c>
      <c r="E7364" s="28">
        <f t="shared" si="386"/>
        <v>1879.4999999999254</v>
      </c>
      <c r="F7364" s="28">
        <f t="shared" si="387"/>
        <v>1861.4999999999254</v>
      </c>
      <c r="G7364" s="28">
        <f t="shared" si="388"/>
        <v>1771.1814999999999</v>
      </c>
      <c r="H7364" s="28">
        <f t="shared" si="389"/>
        <v>1833.0292999999999</v>
      </c>
      <c r="I7364" s="28">
        <f t="shared" si="390"/>
        <v>1866.0858000000001</v>
      </c>
      <c r="J7364" s="28">
        <f t="shared" si="391"/>
        <v>1893.0740000000001</v>
      </c>
      <c r="K7364" s="28">
        <f t="shared" si="392"/>
        <v>1941.4902</v>
      </c>
      <c r="L7364" s="4"/>
      <c r="M7364" s="241">
        <v>1866.0858000000001</v>
      </c>
    </row>
    <row r="7365" spans="3:13" hidden="1" outlineLevel="1" x14ac:dyDescent="0.2">
      <c r="C7365" s="139">
        <v>250.69999999999004</v>
      </c>
      <c r="D7365" s="28">
        <f t="shared" si="385"/>
        <v>2005.5999999999203</v>
      </c>
      <c r="E7365" s="28">
        <f t="shared" si="386"/>
        <v>1880.2499999999254</v>
      </c>
      <c r="F7365" s="28">
        <f t="shared" si="387"/>
        <v>1862.2499999999254</v>
      </c>
      <c r="G7365" s="28">
        <f t="shared" si="388"/>
        <v>1772.1333</v>
      </c>
      <c r="H7365" s="28">
        <f t="shared" si="389"/>
        <v>1834.0143</v>
      </c>
      <c r="I7365" s="28">
        <f t="shared" si="390"/>
        <v>1867.0886</v>
      </c>
      <c r="J7365" s="28">
        <f t="shared" si="391"/>
        <v>1894.0912000000001</v>
      </c>
      <c r="K7365" s="28">
        <f t="shared" si="392"/>
        <v>1942.5334</v>
      </c>
      <c r="L7365" s="4"/>
      <c r="M7365" s="241">
        <v>1867.0886</v>
      </c>
    </row>
    <row r="7366" spans="3:13" hidden="1" outlineLevel="1" x14ac:dyDescent="0.2">
      <c r="C7366" s="139">
        <v>250.79999999999004</v>
      </c>
      <c r="D7366" s="28">
        <f t="shared" si="385"/>
        <v>2006.3999999999203</v>
      </c>
      <c r="E7366" s="28">
        <f t="shared" si="386"/>
        <v>1880.9999999999252</v>
      </c>
      <c r="F7366" s="28">
        <f t="shared" si="387"/>
        <v>1862.9999999999252</v>
      </c>
      <c r="G7366" s="28">
        <f t="shared" si="388"/>
        <v>1772.1333</v>
      </c>
      <c r="H7366" s="28">
        <f t="shared" si="389"/>
        <v>1834.0143</v>
      </c>
      <c r="I7366" s="28">
        <f t="shared" si="390"/>
        <v>1867.0886</v>
      </c>
      <c r="J7366" s="28">
        <f t="shared" si="391"/>
        <v>1894.0912000000001</v>
      </c>
      <c r="K7366" s="28">
        <f t="shared" si="392"/>
        <v>1942.5334</v>
      </c>
      <c r="L7366" s="4"/>
      <c r="M7366" s="241">
        <v>1867.0886</v>
      </c>
    </row>
    <row r="7367" spans="3:13" hidden="1" outlineLevel="1" x14ac:dyDescent="0.2">
      <c r="C7367" s="139">
        <v>250.89999999999003</v>
      </c>
      <c r="D7367" s="28">
        <f t="shared" si="385"/>
        <v>2007.1999999999202</v>
      </c>
      <c r="E7367" s="28">
        <f t="shared" si="386"/>
        <v>1881.7499999999252</v>
      </c>
      <c r="F7367" s="28">
        <f t="shared" si="387"/>
        <v>1863.7499999999252</v>
      </c>
      <c r="G7367" s="28">
        <f t="shared" si="388"/>
        <v>1773.1419000000001</v>
      </c>
      <c r="H7367" s="28">
        <f t="shared" si="389"/>
        <v>1834.9992999999999</v>
      </c>
      <c r="I7367" s="28">
        <f t="shared" si="390"/>
        <v>1868.1538</v>
      </c>
      <c r="J7367" s="28">
        <f t="shared" si="391"/>
        <v>1895.171</v>
      </c>
      <c r="K7367" s="28">
        <f t="shared" si="392"/>
        <v>1943.5767000000001</v>
      </c>
      <c r="L7367" s="4"/>
      <c r="M7367" s="241">
        <v>1868.1538</v>
      </c>
    </row>
    <row r="7368" spans="3:13" hidden="1" outlineLevel="1" x14ac:dyDescent="0.2">
      <c r="C7368" s="139">
        <v>250.99999999999002</v>
      </c>
      <c r="D7368" s="28">
        <f t="shared" si="385"/>
        <v>2007.9999999999202</v>
      </c>
      <c r="E7368" s="28">
        <f t="shared" si="386"/>
        <v>1882.4999999999252</v>
      </c>
      <c r="F7368" s="28">
        <f t="shared" si="387"/>
        <v>1864.4999999999252</v>
      </c>
      <c r="G7368" s="28">
        <f t="shared" si="388"/>
        <v>1774.0935999999999</v>
      </c>
      <c r="H7368" s="28">
        <f t="shared" si="389"/>
        <v>1836.0410999999999</v>
      </c>
      <c r="I7368" s="28">
        <f t="shared" si="390"/>
        <v>1869.1566</v>
      </c>
      <c r="J7368" s="28">
        <f t="shared" si="391"/>
        <v>1896.1882000000001</v>
      </c>
      <c r="K7368" s="28">
        <f t="shared" si="392"/>
        <v>1944.6198999999999</v>
      </c>
      <c r="L7368" s="4"/>
      <c r="M7368" s="241">
        <v>1869.1566</v>
      </c>
    </row>
    <row r="7369" spans="3:13" hidden="1" outlineLevel="1" x14ac:dyDescent="0.2">
      <c r="C7369" s="139">
        <v>251.09999999999002</v>
      </c>
      <c r="D7369" s="28">
        <f t="shared" si="385"/>
        <v>2008.7999999999201</v>
      </c>
      <c r="E7369" s="28">
        <f t="shared" si="386"/>
        <v>1883.2499999999252</v>
      </c>
      <c r="F7369" s="28">
        <f t="shared" si="387"/>
        <v>1865.2499999999252</v>
      </c>
      <c r="G7369" s="28">
        <f t="shared" si="388"/>
        <v>1775.1023</v>
      </c>
      <c r="H7369" s="28">
        <f t="shared" si="389"/>
        <v>1837.0261</v>
      </c>
      <c r="I7369" s="28">
        <f t="shared" si="390"/>
        <v>1870.1594</v>
      </c>
      <c r="J7369" s="28">
        <f t="shared" si="391"/>
        <v>1897.2055</v>
      </c>
      <c r="K7369" s="28">
        <f t="shared" si="392"/>
        <v>1945.6632</v>
      </c>
      <c r="L7369" s="4"/>
      <c r="M7369" s="241">
        <v>1870.1594</v>
      </c>
    </row>
    <row r="7370" spans="3:13" hidden="1" outlineLevel="1" x14ac:dyDescent="0.2">
      <c r="C7370" s="139">
        <v>251.19999999999001</v>
      </c>
      <c r="D7370" s="28">
        <f t="shared" si="385"/>
        <v>2009.5999999999201</v>
      </c>
      <c r="E7370" s="28">
        <f t="shared" si="386"/>
        <v>1883.9999999999252</v>
      </c>
      <c r="F7370" s="28">
        <f t="shared" si="387"/>
        <v>1865.9999999999252</v>
      </c>
      <c r="G7370" s="28">
        <f t="shared" si="388"/>
        <v>1775.1023</v>
      </c>
      <c r="H7370" s="28">
        <f t="shared" si="389"/>
        <v>1837.0261</v>
      </c>
      <c r="I7370" s="28">
        <f t="shared" si="390"/>
        <v>1870.1594</v>
      </c>
      <c r="J7370" s="28">
        <f t="shared" si="391"/>
        <v>1897.2055</v>
      </c>
      <c r="K7370" s="28">
        <f t="shared" si="392"/>
        <v>1945.6632</v>
      </c>
      <c r="L7370" s="4"/>
      <c r="M7370" s="241">
        <v>1870.1594</v>
      </c>
    </row>
    <row r="7371" spans="3:13" hidden="1" outlineLevel="1" x14ac:dyDescent="0.2">
      <c r="C7371" s="139">
        <v>251.29999999999001</v>
      </c>
      <c r="D7371" s="28">
        <f t="shared" si="385"/>
        <v>2010.3999999999201</v>
      </c>
      <c r="E7371" s="28">
        <f t="shared" si="386"/>
        <v>1884.749999999925</v>
      </c>
      <c r="F7371" s="28">
        <f t="shared" si="387"/>
        <v>1866.749999999925</v>
      </c>
      <c r="G7371" s="28">
        <f t="shared" si="388"/>
        <v>1776.0541000000001</v>
      </c>
      <c r="H7371" s="28">
        <f t="shared" si="389"/>
        <v>1838.0110999999999</v>
      </c>
      <c r="I7371" s="28">
        <f t="shared" si="390"/>
        <v>1871.1621</v>
      </c>
      <c r="J7371" s="28">
        <f t="shared" si="391"/>
        <v>1898.2228</v>
      </c>
      <c r="K7371" s="28">
        <f t="shared" si="392"/>
        <v>1946.7691</v>
      </c>
      <c r="L7371" s="4"/>
      <c r="M7371" s="241">
        <v>1871.1621</v>
      </c>
    </row>
    <row r="7372" spans="3:13" hidden="1" outlineLevel="1" x14ac:dyDescent="0.2">
      <c r="C7372" s="139">
        <v>251.39999999999</v>
      </c>
      <c r="D7372" s="28">
        <f t="shared" si="385"/>
        <v>2011.19999999992</v>
      </c>
      <c r="E7372" s="28">
        <f t="shared" si="386"/>
        <v>1885.499999999925</v>
      </c>
      <c r="F7372" s="28">
        <f t="shared" si="387"/>
        <v>1867.499999999925</v>
      </c>
      <c r="G7372" s="28">
        <f t="shared" si="388"/>
        <v>1777.0628999999999</v>
      </c>
      <c r="H7372" s="28">
        <f t="shared" si="389"/>
        <v>1839.0531000000001</v>
      </c>
      <c r="I7372" s="28">
        <f t="shared" si="390"/>
        <v>1872.1649</v>
      </c>
      <c r="J7372" s="28">
        <f t="shared" si="391"/>
        <v>1899.24</v>
      </c>
      <c r="K7372" s="28">
        <f t="shared" si="392"/>
        <v>1947.8124</v>
      </c>
      <c r="L7372" s="4"/>
      <c r="M7372" s="241">
        <v>1872.1649</v>
      </c>
    </row>
    <row r="7373" spans="3:13" hidden="1" outlineLevel="1" x14ac:dyDescent="0.2">
      <c r="C7373" s="139">
        <v>251.49999999999</v>
      </c>
      <c r="D7373" s="28">
        <f t="shared" si="385"/>
        <v>2011.99999999992</v>
      </c>
      <c r="E7373" s="28">
        <f t="shared" si="386"/>
        <v>1886.249999999925</v>
      </c>
      <c r="F7373" s="28">
        <f t="shared" si="387"/>
        <v>1868.249999999925</v>
      </c>
      <c r="G7373" s="28">
        <f t="shared" si="388"/>
        <v>1778.0146999999999</v>
      </c>
      <c r="H7373" s="28">
        <f t="shared" si="389"/>
        <v>1840.0381</v>
      </c>
      <c r="I7373" s="28">
        <f t="shared" si="390"/>
        <v>1873.2303999999999</v>
      </c>
      <c r="J7373" s="28">
        <f t="shared" si="391"/>
        <v>1900.2573</v>
      </c>
      <c r="K7373" s="28">
        <f t="shared" si="392"/>
        <v>1948.8556000000001</v>
      </c>
      <c r="L7373" s="4"/>
      <c r="M7373" s="241">
        <v>1873.2303999999999</v>
      </c>
    </row>
    <row r="7374" spans="3:13" hidden="1" outlineLevel="1" x14ac:dyDescent="0.2">
      <c r="C7374" s="139">
        <v>251.59999999998999</v>
      </c>
      <c r="D7374" s="28">
        <f t="shared" si="385"/>
        <v>2012.7999999999199</v>
      </c>
      <c r="E7374" s="28">
        <f t="shared" si="386"/>
        <v>1886.999999999925</v>
      </c>
      <c r="F7374" s="28">
        <f t="shared" si="387"/>
        <v>1868.999999999925</v>
      </c>
      <c r="G7374" s="28">
        <f t="shared" si="388"/>
        <v>1778.0146999999999</v>
      </c>
      <c r="H7374" s="28">
        <f t="shared" si="389"/>
        <v>1840.0381</v>
      </c>
      <c r="I7374" s="28">
        <f t="shared" si="390"/>
        <v>1873.2303999999999</v>
      </c>
      <c r="J7374" s="28">
        <f t="shared" si="391"/>
        <v>1900.2573</v>
      </c>
      <c r="K7374" s="28">
        <f t="shared" si="392"/>
        <v>1948.8556000000001</v>
      </c>
      <c r="L7374" s="4"/>
      <c r="M7374" s="241">
        <v>1873.2303999999999</v>
      </c>
    </row>
    <row r="7375" spans="3:13" hidden="1" outlineLevel="1" x14ac:dyDescent="0.2">
      <c r="C7375" s="139">
        <v>251.69999999998998</v>
      </c>
      <c r="D7375" s="28">
        <f t="shared" si="385"/>
        <v>2013.5999999999199</v>
      </c>
      <c r="E7375" s="28">
        <f t="shared" si="386"/>
        <v>1887.749999999925</v>
      </c>
      <c r="F7375" s="28">
        <f t="shared" si="387"/>
        <v>1869.749999999925</v>
      </c>
      <c r="G7375" s="28">
        <f t="shared" si="388"/>
        <v>1779.0236</v>
      </c>
      <c r="H7375" s="28">
        <f t="shared" si="389"/>
        <v>1841.0232000000001</v>
      </c>
      <c r="I7375" s="28">
        <f t="shared" si="390"/>
        <v>1874.2331999999999</v>
      </c>
      <c r="J7375" s="28">
        <f t="shared" si="391"/>
        <v>1901.3372999999999</v>
      </c>
      <c r="K7375" s="28">
        <f t="shared" si="392"/>
        <v>1949.8988999999999</v>
      </c>
      <c r="L7375" s="4"/>
      <c r="M7375" s="241">
        <v>1874.2331999999999</v>
      </c>
    </row>
    <row r="7376" spans="3:13" hidden="1" outlineLevel="1" x14ac:dyDescent="0.2">
      <c r="C7376" s="139">
        <v>251.79999999998998</v>
      </c>
      <c r="D7376" s="28">
        <f t="shared" si="385"/>
        <v>2014.3999999999198</v>
      </c>
      <c r="E7376" s="28">
        <f t="shared" si="386"/>
        <v>1888.4999999999247</v>
      </c>
      <c r="F7376" s="28">
        <f t="shared" si="387"/>
        <v>1870.4999999999247</v>
      </c>
      <c r="G7376" s="28">
        <f t="shared" si="388"/>
        <v>1779.9754</v>
      </c>
      <c r="H7376" s="28">
        <f t="shared" si="389"/>
        <v>1842.0653</v>
      </c>
      <c r="I7376" s="28">
        <f t="shared" si="390"/>
        <v>1875.2360000000001</v>
      </c>
      <c r="J7376" s="28">
        <f t="shared" si="391"/>
        <v>1902.3545999999999</v>
      </c>
      <c r="K7376" s="28">
        <f t="shared" si="392"/>
        <v>1950.9422</v>
      </c>
      <c r="L7376" s="4"/>
      <c r="M7376" s="241">
        <v>1875.2360000000001</v>
      </c>
    </row>
    <row r="7377" spans="3:13" hidden="1" outlineLevel="1" x14ac:dyDescent="0.2">
      <c r="C7377" s="139">
        <v>251.89999999998997</v>
      </c>
      <c r="D7377" s="28">
        <f t="shared" si="385"/>
        <v>2015.1999999999198</v>
      </c>
      <c r="E7377" s="28">
        <f t="shared" si="386"/>
        <v>1889.2499999999247</v>
      </c>
      <c r="F7377" s="28">
        <f t="shared" si="387"/>
        <v>1871.2499999999247</v>
      </c>
      <c r="G7377" s="28">
        <f t="shared" si="388"/>
        <v>1780.9844000000001</v>
      </c>
      <c r="H7377" s="28">
        <f t="shared" si="389"/>
        <v>1843.0503000000001</v>
      </c>
      <c r="I7377" s="28">
        <f t="shared" si="390"/>
        <v>1876.2388000000001</v>
      </c>
      <c r="J7377" s="28">
        <f t="shared" si="391"/>
        <v>1903.3719000000001</v>
      </c>
      <c r="K7377" s="28">
        <f t="shared" si="392"/>
        <v>1951.9855</v>
      </c>
      <c r="L7377" s="4"/>
      <c r="M7377" s="241">
        <v>1876.2388000000001</v>
      </c>
    </row>
    <row r="7378" spans="3:13" hidden="1" outlineLevel="1" x14ac:dyDescent="0.2">
      <c r="C7378" s="139">
        <v>251.99999999998997</v>
      </c>
      <c r="D7378" s="28">
        <f t="shared" si="385"/>
        <v>2015.9999999999197</v>
      </c>
      <c r="E7378" s="28">
        <f t="shared" si="386"/>
        <v>1889.9999999999247</v>
      </c>
      <c r="F7378" s="28">
        <f t="shared" si="387"/>
        <v>1871.9999999999247</v>
      </c>
      <c r="G7378" s="28">
        <f t="shared" si="388"/>
        <v>1780.9844000000001</v>
      </c>
      <c r="H7378" s="28">
        <f t="shared" si="389"/>
        <v>1843.0503000000001</v>
      </c>
      <c r="I7378" s="28">
        <f t="shared" si="390"/>
        <v>1876.2388000000001</v>
      </c>
      <c r="J7378" s="28">
        <f t="shared" si="391"/>
        <v>1903.3719000000001</v>
      </c>
      <c r="K7378" s="28">
        <f t="shared" si="392"/>
        <v>1951.9855</v>
      </c>
      <c r="L7378" s="4"/>
      <c r="M7378" s="241">
        <v>1876.2388000000001</v>
      </c>
    </row>
    <row r="7379" spans="3:13" hidden="1" outlineLevel="1" x14ac:dyDescent="0.2">
      <c r="C7379" s="139">
        <v>252.09999999998996</v>
      </c>
      <c r="D7379" s="28">
        <f t="shared" si="385"/>
        <v>2016.7999999999197</v>
      </c>
      <c r="E7379" s="28">
        <f t="shared" si="386"/>
        <v>1890.7499999999247</v>
      </c>
      <c r="F7379" s="28">
        <f t="shared" si="387"/>
        <v>1872.7499999999247</v>
      </c>
      <c r="G7379" s="28">
        <f t="shared" si="388"/>
        <v>1781.9363000000001</v>
      </c>
      <c r="H7379" s="28">
        <f t="shared" si="389"/>
        <v>1844.0354</v>
      </c>
      <c r="I7379" s="28">
        <f t="shared" si="390"/>
        <v>1877.3044</v>
      </c>
      <c r="J7379" s="28">
        <f t="shared" si="391"/>
        <v>1904.3892000000001</v>
      </c>
      <c r="K7379" s="28">
        <f t="shared" si="392"/>
        <v>1953.0288</v>
      </c>
      <c r="L7379" s="4"/>
      <c r="M7379" s="241">
        <v>1877.3044</v>
      </c>
    </row>
    <row r="7380" spans="3:13" hidden="1" outlineLevel="1" x14ac:dyDescent="0.2">
      <c r="C7380" s="139">
        <v>252.19999999998996</v>
      </c>
      <c r="D7380" s="28">
        <f t="shared" si="385"/>
        <v>2017.5999999999196</v>
      </c>
      <c r="E7380" s="28">
        <f t="shared" si="386"/>
        <v>1891.4999999999247</v>
      </c>
      <c r="F7380" s="28">
        <f t="shared" si="387"/>
        <v>1873.4999999999247</v>
      </c>
      <c r="G7380" s="28">
        <f t="shared" si="388"/>
        <v>1782.9453000000001</v>
      </c>
      <c r="H7380" s="28">
        <f t="shared" si="389"/>
        <v>1845.0776000000001</v>
      </c>
      <c r="I7380" s="28">
        <f t="shared" si="390"/>
        <v>1878.3072999999999</v>
      </c>
      <c r="J7380" s="28">
        <f t="shared" si="391"/>
        <v>1905.4065000000001</v>
      </c>
      <c r="K7380" s="28">
        <f t="shared" si="392"/>
        <v>1954.1349</v>
      </c>
      <c r="L7380" s="4"/>
      <c r="M7380" s="241">
        <v>1878.3072999999999</v>
      </c>
    </row>
    <row r="7381" spans="3:13" hidden="1" outlineLevel="1" x14ac:dyDescent="0.2">
      <c r="C7381" s="139">
        <v>252.29999999998995</v>
      </c>
      <c r="D7381" s="28">
        <f t="shared" si="385"/>
        <v>2018.3999999999196</v>
      </c>
      <c r="E7381" s="28">
        <f t="shared" si="386"/>
        <v>1892.2499999999245</v>
      </c>
      <c r="F7381" s="28">
        <f t="shared" si="387"/>
        <v>1874.2499999999245</v>
      </c>
      <c r="G7381" s="28">
        <f t="shared" si="388"/>
        <v>1783.8972000000001</v>
      </c>
      <c r="H7381" s="28">
        <f t="shared" si="389"/>
        <v>1846.0626999999999</v>
      </c>
      <c r="I7381" s="28">
        <f t="shared" si="390"/>
        <v>1879.3100999999999</v>
      </c>
      <c r="J7381" s="28">
        <f t="shared" si="391"/>
        <v>1906.4866999999999</v>
      </c>
      <c r="K7381" s="28">
        <f t="shared" si="392"/>
        <v>1955.1783</v>
      </c>
      <c r="L7381" s="4"/>
      <c r="M7381" s="241">
        <v>1879.3100999999999</v>
      </c>
    </row>
    <row r="7382" spans="3:13" hidden="1" outlineLevel="1" x14ac:dyDescent="0.2">
      <c r="C7382" s="139">
        <v>252.39999999998994</v>
      </c>
      <c r="D7382" s="28">
        <f t="shared" si="385"/>
        <v>2019.1999999999196</v>
      </c>
      <c r="E7382" s="28">
        <f t="shared" si="386"/>
        <v>1892.9999999999245</v>
      </c>
      <c r="F7382" s="28">
        <f t="shared" si="387"/>
        <v>1874.9999999999245</v>
      </c>
      <c r="G7382" s="28">
        <f t="shared" si="388"/>
        <v>1783.8972000000001</v>
      </c>
      <c r="H7382" s="28">
        <f t="shared" si="389"/>
        <v>1846.0626999999999</v>
      </c>
      <c r="I7382" s="28">
        <f t="shared" si="390"/>
        <v>1879.3100999999999</v>
      </c>
      <c r="J7382" s="28">
        <f t="shared" si="391"/>
        <v>1906.4866999999999</v>
      </c>
      <c r="K7382" s="28">
        <f t="shared" si="392"/>
        <v>1955.1783</v>
      </c>
      <c r="L7382" s="4"/>
      <c r="M7382" s="241">
        <v>1879.3100999999999</v>
      </c>
    </row>
    <row r="7383" spans="3:13" hidden="1" outlineLevel="1" x14ac:dyDescent="0.2">
      <c r="C7383" s="139">
        <v>252.49999999998994</v>
      </c>
      <c r="D7383" s="28">
        <f t="shared" si="385"/>
        <v>2019.9999999999195</v>
      </c>
      <c r="E7383" s="28">
        <f t="shared" si="386"/>
        <v>1893.7499999999245</v>
      </c>
      <c r="F7383" s="28">
        <f t="shared" si="387"/>
        <v>1875.7499999999245</v>
      </c>
      <c r="G7383" s="28">
        <f t="shared" si="388"/>
        <v>1784.9064000000001</v>
      </c>
      <c r="H7383" s="28">
        <f t="shared" si="389"/>
        <v>1847.0478000000001</v>
      </c>
      <c r="I7383" s="28">
        <f t="shared" si="390"/>
        <v>1880.3128999999999</v>
      </c>
      <c r="J7383" s="28">
        <f t="shared" si="391"/>
        <v>1907.5041000000001</v>
      </c>
      <c r="K7383" s="28">
        <f t="shared" si="392"/>
        <v>1956.2216000000001</v>
      </c>
      <c r="L7383" s="4"/>
      <c r="M7383" s="241">
        <v>1880.3128999999999</v>
      </c>
    </row>
    <row r="7384" spans="3:13" hidden="1" outlineLevel="1" x14ac:dyDescent="0.2">
      <c r="C7384" s="139">
        <v>252.59999999998993</v>
      </c>
      <c r="D7384" s="28">
        <f t="shared" si="385"/>
        <v>2020.7999999999195</v>
      </c>
      <c r="E7384" s="28">
        <f t="shared" si="386"/>
        <v>1894.4999999999245</v>
      </c>
      <c r="F7384" s="28">
        <f t="shared" si="387"/>
        <v>1876.4999999999245</v>
      </c>
      <c r="G7384" s="28">
        <f t="shared" si="388"/>
        <v>1785.8583000000001</v>
      </c>
      <c r="H7384" s="28">
        <f t="shared" si="389"/>
        <v>1848.0900999999999</v>
      </c>
      <c r="I7384" s="28">
        <f t="shared" si="390"/>
        <v>1881.3158000000001</v>
      </c>
      <c r="J7384" s="28">
        <f t="shared" si="391"/>
        <v>1908.5214000000001</v>
      </c>
      <c r="K7384" s="28">
        <f t="shared" si="392"/>
        <v>1957.2648999999999</v>
      </c>
      <c r="L7384" s="4"/>
      <c r="M7384" s="241">
        <v>1881.3158000000001</v>
      </c>
    </row>
    <row r="7385" spans="3:13" hidden="1" outlineLevel="1" x14ac:dyDescent="0.2">
      <c r="C7385" s="139">
        <v>252.69999999998993</v>
      </c>
      <c r="D7385" s="28">
        <f t="shared" si="385"/>
        <v>2021.5999999999194</v>
      </c>
      <c r="E7385" s="28">
        <f t="shared" si="386"/>
        <v>1895.2499999999245</v>
      </c>
      <c r="F7385" s="28">
        <f t="shared" si="387"/>
        <v>1877.2499999999245</v>
      </c>
      <c r="G7385" s="28">
        <f t="shared" si="388"/>
        <v>1786.8676</v>
      </c>
      <c r="H7385" s="28">
        <f t="shared" si="389"/>
        <v>1849.0753</v>
      </c>
      <c r="I7385" s="28">
        <f t="shared" si="390"/>
        <v>1882.3815999999999</v>
      </c>
      <c r="J7385" s="28">
        <f t="shared" si="391"/>
        <v>1909.5388</v>
      </c>
      <c r="K7385" s="28">
        <f t="shared" si="392"/>
        <v>1958.3081999999999</v>
      </c>
      <c r="L7385" s="4"/>
      <c r="M7385" s="241">
        <v>1882.3815999999999</v>
      </c>
    </row>
    <row r="7386" spans="3:13" hidden="1" outlineLevel="1" x14ac:dyDescent="0.2">
      <c r="C7386" s="139">
        <v>252.79999999998992</v>
      </c>
      <c r="D7386" s="28">
        <f t="shared" si="385"/>
        <v>2022.3999999999194</v>
      </c>
      <c r="E7386" s="28">
        <f t="shared" si="386"/>
        <v>1895.9999999999245</v>
      </c>
      <c r="F7386" s="28">
        <f t="shared" si="387"/>
        <v>1877.9999999999245</v>
      </c>
      <c r="G7386" s="28">
        <f t="shared" si="388"/>
        <v>1786.8676</v>
      </c>
      <c r="H7386" s="28">
        <f t="shared" si="389"/>
        <v>1849.0753</v>
      </c>
      <c r="I7386" s="28">
        <f t="shared" si="390"/>
        <v>1882.3815999999999</v>
      </c>
      <c r="J7386" s="28">
        <f t="shared" si="391"/>
        <v>1909.5388</v>
      </c>
      <c r="K7386" s="28">
        <f t="shared" si="392"/>
        <v>1958.3081999999999</v>
      </c>
      <c r="L7386" s="4"/>
      <c r="M7386" s="241">
        <v>1882.3815999999999</v>
      </c>
    </row>
    <row r="7387" spans="3:13" hidden="1" outlineLevel="1" x14ac:dyDescent="0.2">
      <c r="C7387" s="139">
        <v>252.89999999998992</v>
      </c>
      <c r="D7387" s="28">
        <f t="shared" si="385"/>
        <v>2023.1999999999193</v>
      </c>
      <c r="E7387" s="28">
        <f t="shared" si="386"/>
        <v>1896.7499999999243</v>
      </c>
      <c r="F7387" s="28">
        <f t="shared" si="387"/>
        <v>1878.7499999999243</v>
      </c>
      <c r="G7387" s="28">
        <f t="shared" si="388"/>
        <v>1787.8195000000001</v>
      </c>
      <c r="H7387" s="28">
        <f t="shared" si="389"/>
        <v>1850.0604000000001</v>
      </c>
      <c r="I7387" s="28">
        <f t="shared" si="390"/>
        <v>1883.3844999999999</v>
      </c>
      <c r="J7387" s="28">
        <f t="shared" si="391"/>
        <v>1910.5561</v>
      </c>
      <c r="K7387" s="28">
        <f t="shared" si="392"/>
        <v>1959.3515</v>
      </c>
      <c r="L7387" s="4"/>
      <c r="M7387" s="241">
        <v>1883.3844999999999</v>
      </c>
    </row>
    <row r="7388" spans="3:13" hidden="1" outlineLevel="1" x14ac:dyDescent="0.2">
      <c r="C7388" s="139">
        <v>252.99999999998991</v>
      </c>
      <c r="D7388" s="28">
        <f t="shared" si="385"/>
        <v>2023.9999999999193</v>
      </c>
      <c r="E7388" s="28">
        <f t="shared" si="386"/>
        <v>1897.4999999999243</v>
      </c>
      <c r="F7388" s="28">
        <f t="shared" si="387"/>
        <v>1879.4999999999243</v>
      </c>
      <c r="G7388" s="28">
        <f t="shared" si="388"/>
        <v>1788.8289</v>
      </c>
      <c r="H7388" s="28">
        <f t="shared" si="389"/>
        <v>1851.1029000000001</v>
      </c>
      <c r="I7388" s="28">
        <f t="shared" si="390"/>
        <v>1884.3873000000001</v>
      </c>
      <c r="J7388" s="28">
        <f t="shared" si="391"/>
        <v>1911.5734</v>
      </c>
      <c r="K7388" s="28">
        <f t="shared" si="392"/>
        <v>1960.3949</v>
      </c>
      <c r="L7388" s="4"/>
      <c r="M7388" s="241">
        <v>1884.3873000000001</v>
      </c>
    </row>
    <row r="7389" spans="3:13" hidden="1" outlineLevel="1" x14ac:dyDescent="0.2">
      <c r="C7389" s="139">
        <v>253.0999999999899</v>
      </c>
      <c r="D7389" s="28">
        <f t="shared" si="385"/>
        <v>2024.7999999999192</v>
      </c>
      <c r="E7389" s="28">
        <f t="shared" si="386"/>
        <v>1898.2499999999243</v>
      </c>
      <c r="F7389" s="28">
        <f t="shared" si="387"/>
        <v>1880.2499999999243</v>
      </c>
      <c r="G7389" s="28">
        <f t="shared" si="388"/>
        <v>1789.7809</v>
      </c>
      <c r="H7389" s="28">
        <f t="shared" si="389"/>
        <v>1852.088</v>
      </c>
      <c r="I7389" s="28">
        <f t="shared" si="390"/>
        <v>1885.3902</v>
      </c>
      <c r="J7389" s="28">
        <f t="shared" si="391"/>
        <v>1912.6539</v>
      </c>
      <c r="K7389" s="28">
        <f t="shared" si="392"/>
        <v>1961.4382000000001</v>
      </c>
      <c r="L7389" s="4"/>
      <c r="M7389" s="241">
        <v>1885.3902</v>
      </c>
    </row>
    <row r="7390" spans="3:13" hidden="1" outlineLevel="1" x14ac:dyDescent="0.2">
      <c r="C7390" s="139">
        <v>253.1999999999899</v>
      </c>
      <c r="D7390" s="28">
        <f t="shared" si="385"/>
        <v>2025.5999999999192</v>
      </c>
      <c r="E7390" s="28">
        <f t="shared" si="386"/>
        <v>1898.9999999999243</v>
      </c>
      <c r="F7390" s="28">
        <f t="shared" si="387"/>
        <v>1880.9999999999243</v>
      </c>
      <c r="G7390" s="28">
        <f t="shared" si="388"/>
        <v>1789.7809</v>
      </c>
      <c r="H7390" s="28">
        <f t="shared" si="389"/>
        <v>1852.088</v>
      </c>
      <c r="I7390" s="28">
        <f t="shared" si="390"/>
        <v>1885.3902</v>
      </c>
      <c r="J7390" s="28">
        <f t="shared" si="391"/>
        <v>1912.6539</v>
      </c>
      <c r="K7390" s="28">
        <f t="shared" si="392"/>
        <v>1961.4382000000001</v>
      </c>
      <c r="L7390" s="4"/>
      <c r="M7390" s="241">
        <v>1885.3902</v>
      </c>
    </row>
    <row r="7391" spans="3:13" hidden="1" outlineLevel="1" x14ac:dyDescent="0.2">
      <c r="C7391" s="139">
        <v>253.29999999998989</v>
      </c>
      <c r="D7391" s="28">
        <f t="shared" si="385"/>
        <v>2026.3999999999191</v>
      </c>
      <c r="E7391" s="28">
        <f t="shared" si="386"/>
        <v>1899.7499999999243</v>
      </c>
      <c r="F7391" s="28">
        <f t="shared" si="387"/>
        <v>1881.7499999999243</v>
      </c>
      <c r="G7391" s="28">
        <f t="shared" si="388"/>
        <v>1790.7902999999999</v>
      </c>
      <c r="H7391" s="28">
        <f t="shared" si="389"/>
        <v>1853.0732</v>
      </c>
      <c r="I7391" s="28">
        <f t="shared" si="390"/>
        <v>1886.4562000000001</v>
      </c>
      <c r="J7391" s="28">
        <f t="shared" si="391"/>
        <v>1913.6712</v>
      </c>
      <c r="K7391" s="28">
        <f t="shared" si="392"/>
        <v>1962.5445999999999</v>
      </c>
      <c r="L7391" s="4"/>
      <c r="M7391" s="241">
        <v>1886.4562000000001</v>
      </c>
    </row>
    <row r="7392" spans="3:13" hidden="1" outlineLevel="1" x14ac:dyDescent="0.2">
      <c r="C7392" s="139">
        <v>253.39999999998989</v>
      </c>
      <c r="D7392" s="28">
        <f t="shared" si="385"/>
        <v>2027.1999999999191</v>
      </c>
      <c r="E7392" s="28">
        <f t="shared" si="386"/>
        <v>1900.4999999999241</v>
      </c>
      <c r="F7392" s="28">
        <f t="shared" si="387"/>
        <v>1882.4999999999241</v>
      </c>
      <c r="G7392" s="28">
        <f t="shared" si="388"/>
        <v>1791.7422999999999</v>
      </c>
      <c r="H7392" s="28">
        <f t="shared" si="389"/>
        <v>1854.0582999999999</v>
      </c>
      <c r="I7392" s="28">
        <f t="shared" si="390"/>
        <v>1887.4591</v>
      </c>
      <c r="J7392" s="28">
        <f t="shared" si="391"/>
        <v>1914.6886</v>
      </c>
      <c r="K7392" s="28">
        <f t="shared" si="392"/>
        <v>1963.588</v>
      </c>
      <c r="L7392" s="4"/>
      <c r="M7392" s="241">
        <v>1887.4591</v>
      </c>
    </row>
    <row r="7393" spans="3:13" hidden="1" outlineLevel="1" x14ac:dyDescent="0.2">
      <c r="C7393" s="139">
        <v>253.49999999998988</v>
      </c>
      <c r="D7393" s="28">
        <f t="shared" si="385"/>
        <v>2027.9999999999191</v>
      </c>
      <c r="E7393" s="28">
        <f t="shared" si="386"/>
        <v>1901.2499999999241</v>
      </c>
      <c r="F7393" s="28">
        <f t="shared" si="387"/>
        <v>1883.2499999999241</v>
      </c>
      <c r="G7393" s="28">
        <f t="shared" si="388"/>
        <v>1792.7518</v>
      </c>
      <c r="H7393" s="28">
        <f t="shared" si="389"/>
        <v>1855.1008999999999</v>
      </c>
      <c r="I7393" s="28">
        <f t="shared" si="390"/>
        <v>1888.462</v>
      </c>
      <c r="J7393" s="28">
        <f t="shared" si="391"/>
        <v>1915.7059999999999</v>
      </c>
      <c r="K7393" s="28">
        <f t="shared" si="392"/>
        <v>1964.6313</v>
      </c>
      <c r="L7393" s="4"/>
      <c r="M7393" s="241">
        <v>1888.462</v>
      </c>
    </row>
    <row r="7394" spans="3:13" hidden="1" outlineLevel="1" x14ac:dyDescent="0.2">
      <c r="C7394" s="139">
        <v>253.59999999998988</v>
      </c>
      <c r="D7394" s="28">
        <f t="shared" si="385"/>
        <v>2028.799999999919</v>
      </c>
      <c r="E7394" s="28">
        <f t="shared" si="386"/>
        <v>1901.9999999999241</v>
      </c>
      <c r="F7394" s="28">
        <f t="shared" si="387"/>
        <v>1883.9999999999241</v>
      </c>
      <c r="G7394" s="28">
        <f t="shared" si="388"/>
        <v>1792.7518</v>
      </c>
      <c r="H7394" s="28">
        <f t="shared" si="389"/>
        <v>1855.1008999999999</v>
      </c>
      <c r="I7394" s="28">
        <f t="shared" si="390"/>
        <v>1888.462</v>
      </c>
      <c r="J7394" s="28">
        <f t="shared" si="391"/>
        <v>1915.7059999999999</v>
      </c>
      <c r="K7394" s="28">
        <f t="shared" si="392"/>
        <v>1964.6313</v>
      </c>
      <c r="L7394" s="4"/>
      <c r="M7394" s="241">
        <v>1888.462</v>
      </c>
    </row>
    <row r="7395" spans="3:13" hidden="1" outlineLevel="1" x14ac:dyDescent="0.2">
      <c r="C7395" s="139">
        <v>253.69999999998987</v>
      </c>
      <c r="D7395" s="28">
        <f t="shared" si="385"/>
        <v>2029.599999999919</v>
      </c>
      <c r="E7395" s="28">
        <f t="shared" si="386"/>
        <v>1902.7499999999241</v>
      </c>
      <c r="F7395" s="28">
        <f t="shared" si="387"/>
        <v>1884.7499999999241</v>
      </c>
      <c r="G7395" s="28">
        <f t="shared" si="388"/>
        <v>1793.7039</v>
      </c>
      <c r="H7395" s="28">
        <f t="shared" si="389"/>
        <v>1856.0861</v>
      </c>
      <c r="I7395" s="28">
        <f t="shared" si="390"/>
        <v>1889.4648999999999</v>
      </c>
      <c r="J7395" s="28">
        <f t="shared" si="391"/>
        <v>1916.7233000000001</v>
      </c>
      <c r="K7395" s="28">
        <f t="shared" si="392"/>
        <v>1965.6747</v>
      </c>
      <c r="L7395" s="4"/>
      <c r="M7395" s="241">
        <v>1889.4648999999999</v>
      </c>
    </row>
    <row r="7396" spans="3:13" hidden="1" outlineLevel="1" x14ac:dyDescent="0.2">
      <c r="C7396" s="139">
        <v>253.79999999998986</v>
      </c>
      <c r="D7396" s="28">
        <f t="shared" si="385"/>
        <v>2030.3999999999189</v>
      </c>
      <c r="E7396" s="28">
        <f t="shared" si="386"/>
        <v>1903.4999999999241</v>
      </c>
      <c r="F7396" s="28">
        <f t="shared" si="387"/>
        <v>1885.4999999999241</v>
      </c>
      <c r="G7396" s="28">
        <f t="shared" si="388"/>
        <v>1794.7135000000001</v>
      </c>
      <c r="H7396" s="28">
        <f t="shared" si="389"/>
        <v>1857.0713000000001</v>
      </c>
      <c r="I7396" s="28">
        <f t="shared" si="390"/>
        <v>1890.4677999999999</v>
      </c>
      <c r="J7396" s="28">
        <f t="shared" si="391"/>
        <v>1917.8040000000001</v>
      </c>
      <c r="K7396" s="28">
        <f t="shared" si="392"/>
        <v>1966.7180000000001</v>
      </c>
      <c r="L7396" s="4"/>
      <c r="M7396" s="241">
        <v>1890.4677999999999</v>
      </c>
    </row>
    <row r="7397" spans="3:13" hidden="1" outlineLevel="1" x14ac:dyDescent="0.2">
      <c r="C7397" s="139">
        <v>253.89999999998986</v>
      </c>
      <c r="D7397" s="28">
        <f t="shared" si="385"/>
        <v>2031.1999999999189</v>
      </c>
      <c r="E7397" s="28">
        <f t="shared" si="386"/>
        <v>1904.2499999999241</v>
      </c>
      <c r="F7397" s="28">
        <f t="shared" si="387"/>
        <v>1886.2499999999241</v>
      </c>
      <c r="G7397" s="28">
        <f t="shared" si="388"/>
        <v>1795.6656</v>
      </c>
      <c r="H7397" s="28">
        <f t="shared" si="389"/>
        <v>1858.114</v>
      </c>
      <c r="I7397" s="28">
        <f t="shared" si="390"/>
        <v>1891.5340000000001</v>
      </c>
      <c r="J7397" s="28">
        <f t="shared" si="391"/>
        <v>1918.8214</v>
      </c>
      <c r="K7397" s="28">
        <f t="shared" si="392"/>
        <v>1967.7614000000001</v>
      </c>
      <c r="L7397" s="4"/>
      <c r="M7397" s="241">
        <v>1891.5340000000001</v>
      </c>
    </row>
    <row r="7398" spans="3:13" hidden="1" outlineLevel="1" x14ac:dyDescent="0.2">
      <c r="C7398" s="139">
        <v>253.99999999998985</v>
      </c>
      <c r="D7398" s="28">
        <f t="shared" si="385"/>
        <v>2031.9999999999188</v>
      </c>
      <c r="E7398" s="28">
        <f t="shared" si="386"/>
        <v>1904.9999999999238</v>
      </c>
      <c r="F7398" s="28">
        <f t="shared" si="387"/>
        <v>1886.9999999999238</v>
      </c>
      <c r="G7398" s="28">
        <f t="shared" si="388"/>
        <v>1795.6656</v>
      </c>
      <c r="H7398" s="28">
        <f t="shared" si="389"/>
        <v>1858.114</v>
      </c>
      <c r="I7398" s="28">
        <f t="shared" si="390"/>
        <v>1891.5340000000001</v>
      </c>
      <c r="J7398" s="28">
        <f t="shared" si="391"/>
        <v>1918.8214</v>
      </c>
      <c r="K7398" s="28">
        <f t="shared" si="392"/>
        <v>1967.7614000000001</v>
      </c>
      <c r="L7398" s="4"/>
      <c r="M7398" s="241">
        <v>1891.5340000000001</v>
      </c>
    </row>
    <row r="7399" spans="3:13" hidden="1" outlineLevel="1" x14ac:dyDescent="0.2">
      <c r="C7399" s="139">
        <v>254.09999999998985</v>
      </c>
      <c r="D7399" s="28">
        <f t="shared" si="385"/>
        <v>2032.7999999999188</v>
      </c>
      <c r="E7399" s="28">
        <f t="shared" si="386"/>
        <v>1905.7499999999238</v>
      </c>
      <c r="F7399" s="28">
        <f t="shared" si="387"/>
        <v>1887.7499999999238</v>
      </c>
      <c r="G7399" s="28">
        <f t="shared" si="388"/>
        <v>1796.6753000000001</v>
      </c>
      <c r="H7399" s="28">
        <f t="shared" si="389"/>
        <v>1859.0993000000001</v>
      </c>
      <c r="I7399" s="28">
        <f t="shared" si="390"/>
        <v>1892.537</v>
      </c>
      <c r="J7399" s="28">
        <f t="shared" si="391"/>
        <v>1919.8388</v>
      </c>
      <c r="K7399" s="28">
        <f t="shared" si="392"/>
        <v>1968.8046999999999</v>
      </c>
      <c r="L7399" s="4"/>
      <c r="M7399" s="241">
        <v>1892.537</v>
      </c>
    </row>
    <row r="7400" spans="3:13" hidden="1" outlineLevel="1" x14ac:dyDescent="0.2">
      <c r="C7400" s="139">
        <v>254.19999999998984</v>
      </c>
      <c r="D7400" s="28">
        <f t="shared" si="385"/>
        <v>2033.5999999999187</v>
      </c>
      <c r="E7400" s="28">
        <f t="shared" si="386"/>
        <v>1906.4999999999238</v>
      </c>
      <c r="F7400" s="28">
        <f t="shared" si="387"/>
        <v>1888.4999999999238</v>
      </c>
      <c r="G7400" s="28">
        <f t="shared" si="388"/>
        <v>1797.6274000000001</v>
      </c>
      <c r="H7400" s="28">
        <f t="shared" si="389"/>
        <v>1860.0844999999999</v>
      </c>
      <c r="I7400" s="28">
        <f t="shared" si="390"/>
        <v>1893.5399</v>
      </c>
      <c r="J7400" s="28">
        <f t="shared" si="391"/>
        <v>1920.8561999999999</v>
      </c>
      <c r="K7400" s="28">
        <f t="shared" si="392"/>
        <v>1969.9114999999999</v>
      </c>
      <c r="L7400" s="4"/>
      <c r="M7400" s="241">
        <v>1893.5399</v>
      </c>
    </row>
    <row r="7401" spans="3:13" hidden="1" outlineLevel="1" x14ac:dyDescent="0.2">
      <c r="C7401" s="139">
        <v>254.29999999998984</v>
      </c>
      <c r="D7401" s="28">
        <f t="shared" si="385"/>
        <v>2034.3999999999187</v>
      </c>
      <c r="E7401" s="28">
        <f t="shared" si="386"/>
        <v>1907.2499999999238</v>
      </c>
      <c r="F7401" s="28">
        <f t="shared" si="387"/>
        <v>1889.2499999999238</v>
      </c>
      <c r="G7401" s="28">
        <f t="shared" si="388"/>
        <v>1798.6371999999999</v>
      </c>
      <c r="H7401" s="28">
        <f t="shared" si="389"/>
        <v>1861.1273000000001</v>
      </c>
      <c r="I7401" s="28">
        <f t="shared" si="390"/>
        <v>1894.5427999999999</v>
      </c>
      <c r="J7401" s="28">
        <f t="shared" si="391"/>
        <v>1921.8735999999999</v>
      </c>
      <c r="K7401" s="28">
        <f t="shared" si="392"/>
        <v>1970.9549</v>
      </c>
      <c r="L7401" s="4"/>
      <c r="M7401" s="241">
        <v>1894.5427999999999</v>
      </c>
    </row>
    <row r="7402" spans="3:13" hidden="1" outlineLevel="1" x14ac:dyDescent="0.2">
      <c r="C7402" s="139">
        <v>254.39999999998983</v>
      </c>
      <c r="D7402" s="28">
        <f t="shared" si="385"/>
        <v>2035.1999999999186</v>
      </c>
      <c r="E7402" s="28">
        <f t="shared" si="386"/>
        <v>1907.9999999999238</v>
      </c>
      <c r="F7402" s="28">
        <f t="shared" si="387"/>
        <v>1889.9999999999238</v>
      </c>
      <c r="G7402" s="28">
        <f t="shared" si="388"/>
        <v>1798.6371999999999</v>
      </c>
      <c r="H7402" s="28">
        <f t="shared" si="389"/>
        <v>1861.1273000000001</v>
      </c>
      <c r="I7402" s="28">
        <f t="shared" si="390"/>
        <v>1894.5427999999999</v>
      </c>
      <c r="J7402" s="28">
        <f t="shared" si="391"/>
        <v>1921.8735999999999</v>
      </c>
      <c r="K7402" s="28">
        <f t="shared" si="392"/>
        <v>1970.9549</v>
      </c>
      <c r="L7402" s="4"/>
      <c r="M7402" s="241">
        <v>1894.5427999999999</v>
      </c>
    </row>
    <row r="7403" spans="3:13" hidden="1" outlineLevel="1" x14ac:dyDescent="0.2">
      <c r="C7403" s="139">
        <v>254.49999999998983</v>
      </c>
      <c r="D7403" s="28">
        <f t="shared" si="385"/>
        <v>2035.9999999999186</v>
      </c>
      <c r="E7403" s="28">
        <f t="shared" si="386"/>
        <v>1908.7499999999236</v>
      </c>
      <c r="F7403" s="28">
        <f t="shared" si="387"/>
        <v>1890.7499999999236</v>
      </c>
      <c r="G7403" s="28">
        <f t="shared" si="388"/>
        <v>1799.5894000000001</v>
      </c>
      <c r="H7403" s="28">
        <f t="shared" si="389"/>
        <v>1862.1125999999999</v>
      </c>
      <c r="I7403" s="28">
        <f t="shared" si="390"/>
        <v>1895.6092000000001</v>
      </c>
      <c r="J7403" s="28">
        <f t="shared" si="391"/>
        <v>1922.8910000000001</v>
      </c>
      <c r="K7403" s="28">
        <f t="shared" si="392"/>
        <v>1971.9982</v>
      </c>
      <c r="L7403" s="4"/>
      <c r="M7403" s="241">
        <v>1895.6092000000001</v>
      </c>
    </row>
    <row r="7404" spans="3:13" hidden="1" outlineLevel="1" x14ac:dyDescent="0.2">
      <c r="C7404" s="139">
        <v>254.59999999998982</v>
      </c>
      <c r="D7404" s="28">
        <f t="shared" si="385"/>
        <v>2036.7999999999186</v>
      </c>
      <c r="E7404" s="28">
        <f t="shared" si="386"/>
        <v>1909.4999999999236</v>
      </c>
      <c r="F7404" s="28">
        <f t="shared" si="387"/>
        <v>1891.4999999999236</v>
      </c>
      <c r="G7404" s="28">
        <f t="shared" si="388"/>
        <v>1800.5993000000001</v>
      </c>
      <c r="H7404" s="28">
        <f t="shared" si="389"/>
        <v>1863.0978</v>
      </c>
      <c r="I7404" s="28">
        <f t="shared" si="390"/>
        <v>1896.6122</v>
      </c>
      <c r="J7404" s="28">
        <f t="shared" si="391"/>
        <v>1923.9719</v>
      </c>
      <c r="K7404" s="28">
        <f t="shared" si="392"/>
        <v>1973.0416</v>
      </c>
      <c r="L7404" s="4"/>
      <c r="M7404" s="241">
        <v>1896.6122</v>
      </c>
    </row>
    <row r="7405" spans="3:13" hidden="1" outlineLevel="1" x14ac:dyDescent="0.2">
      <c r="C7405" s="139">
        <v>254.69999999998981</v>
      </c>
      <c r="D7405" s="28">
        <f t="shared" si="385"/>
        <v>2037.5999999999185</v>
      </c>
      <c r="E7405" s="28">
        <f t="shared" si="386"/>
        <v>1910.2499999999236</v>
      </c>
      <c r="F7405" s="28">
        <f t="shared" si="387"/>
        <v>1892.2499999999236</v>
      </c>
      <c r="G7405" s="28">
        <f t="shared" si="388"/>
        <v>1801.5515</v>
      </c>
      <c r="H7405" s="28">
        <f t="shared" si="389"/>
        <v>1864.1407999999999</v>
      </c>
      <c r="I7405" s="28">
        <f t="shared" si="390"/>
        <v>1897.6151</v>
      </c>
      <c r="J7405" s="28">
        <f t="shared" si="391"/>
        <v>1924.9893</v>
      </c>
      <c r="K7405" s="28">
        <f t="shared" si="392"/>
        <v>1974.085</v>
      </c>
      <c r="L7405" s="4"/>
      <c r="M7405" s="241">
        <v>1897.6151</v>
      </c>
    </row>
    <row r="7406" spans="3:13" hidden="1" outlineLevel="1" x14ac:dyDescent="0.2">
      <c r="C7406" s="139">
        <v>254.79999999998981</v>
      </c>
      <c r="D7406" s="28">
        <f t="shared" si="385"/>
        <v>2038.3999999999185</v>
      </c>
      <c r="E7406" s="28">
        <f t="shared" si="386"/>
        <v>1910.9999999999236</v>
      </c>
      <c r="F7406" s="28">
        <f t="shared" si="387"/>
        <v>1892.9999999999236</v>
      </c>
      <c r="G7406" s="28">
        <f t="shared" si="388"/>
        <v>1801.5515</v>
      </c>
      <c r="H7406" s="28">
        <f t="shared" si="389"/>
        <v>1864.1407999999999</v>
      </c>
      <c r="I7406" s="28">
        <f t="shared" si="390"/>
        <v>1897.6151</v>
      </c>
      <c r="J7406" s="28">
        <f t="shared" si="391"/>
        <v>1924.9893</v>
      </c>
      <c r="K7406" s="28">
        <f t="shared" si="392"/>
        <v>1974.085</v>
      </c>
      <c r="L7406" s="4"/>
      <c r="M7406" s="241">
        <v>1897.6151</v>
      </c>
    </row>
    <row r="7407" spans="3:13" hidden="1" outlineLevel="1" x14ac:dyDescent="0.2">
      <c r="C7407" s="139">
        <v>254.8999999999898</v>
      </c>
      <c r="D7407" s="28">
        <f t="shared" si="385"/>
        <v>2039.1999999999184</v>
      </c>
      <c r="E7407" s="28">
        <f t="shared" si="386"/>
        <v>1911.7499999999236</v>
      </c>
      <c r="F7407" s="28">
        <f t="shared" si="387"/>
        <v>1893.7499999999236</v>
      </c>
      <c r="G7407" s="28">
        <f t="shared" si="388"/>
        <v>1802.5614</v>
      </c>
      <c r="H7407" s="28">
        <f t="shared" si="389"/>
        <v>1865.1261</v>
      </c>
      <c r="I7407" s="28">
        <f t="shared" si="390"/>
        <v>1898.6180999999999</v>
      </c>
      <c r="J7407" s="28">
        <f t="shared" si="391"/>
        <v>1926.0068000000001</v>
      </c>
      <c r="K7407" s="28">
        <f t="shared" si="392"/>
        <v>1975.1284000000001</v>
      </c>
      <c r="L7407" s="4"/>
      <c r="M7407" s="241">
        <v>1898.6180999999999</v>
      </c>
    </row>
    <row r="7408" spans="3:13" hidden="1" outlineLevel="1" x14ac:dyDescent="0.2">
      <c r="C7408" s="139">
        <v>254.9999999999898</v>
      </c>
      <c r="D7408" s="28">
        <f t="shared" si="385"/>
        <v>2039.9999999999184</v>
      </c>
      <c r="E7408" s="28">
        <f t="shared" si="386"/>
        <v>1912.4999999999234</v>
      </c>
      <c r="F7408" s="28">
        <f t="shared" si="387"/>
        <v>1894.4999999999234</v>
      </c>
      <c r="G7408" s="28">
        <f t="shared" si="388"/>
        <v>1803.5136</v>
      </c>
      <c r="H7408" s="28">
        <f t="shared" si="389"/>
        <v>1866.1114</v>
      </c>
      <c r="I7408" s="28">
        <f t="shared" si="390"/>
        <v>1899.6211000000001</v>
      </c>
      <c r="J7408" s="28">
        <f t="shared" si="391"/>
        <v>1927.0242000000001</v>
      </c>
      <c r="K7408" s="28">
        <f t="shared" si="392"/>
        <v>1976.1718000000001</v>
      </c>
      <c r="L7408" s="4"/>
      <c r="M7408" s="241">
        <v>1899.6211000000001</v>
      </c>
    </row>
    <row r="7409" spans="3:13" hidden="1" outlineLevel="1" x14ac:dyDescent="0.2">
      <c r="C7409" s="139">
        <v>255.09999999998979</v>
      </c>
      <c r="D7409" s="28">
        <f t="shared" si="385"/>
        <v>2040.7999999999183</v>
      </c>
      <c r="E7409" s="28">
        <f t="shared" si="386"/>
        <v>1913.2499999999234</v>
      </c>
      <c r="F7409" s="28">
        <f t="shared" si="387"/>
        <v>1895.2499999999234</v>
      </c>
      <c r="G7409" s="28">
        <f t="shared" si="388"/>
        <v>1804.5237</v>
      </c>
      <c r="H7409" s="28">
        <f t="shared" si="389"/>
        <v>1867.0966000000001</v>
      </c>
      <c r="I7409" s="28">
        <f t="shared" si="390"/>
        <v>1900.6876999999999</v>
      </c>
      <c r="J7409" s="28">
        <f t="shared" si="391"/>
        <v>1928.0416</v>
      </c>
      <c r="K7409" s="28">
        <f t="shared" si="392"/>
        <v>1977.2152000000001</v>
      </c>
      <c r="L7409" s="4"/>
      <c r="M7409" s="241">
        <v>1900.6876999999999</v>
      </c>
    </row>
    <row r="7410" spans="3:13" hidden="1" outlineLevel="1" x14ac:dyDescent="0.2">
      <c r="C7410" s="139">
        <v>255.19999999998979</v>
      </c>
      <c r="D7410" s="28">
        <f t="shared" si="385"/>
        <v>2041.5999999999183</v>
      </c>
      <c r="E7410" s="28">
        <f t="shared" si="386"/>
        <v>1913.9999999999234</v>
      </c>
      <c r="F7410" s="28">
        <f t="shared" si="387"/>
        <v>1895.9999999999234</v>
      </c>
      <c r="G7410" s="28">
        <f t="shared" si="388"/>
        <v>1804.5237</v>
      </c>
      <c r="H7410" s="28">
        <f t="shared" si="389"/>
        <v>1867.0966000000001</v>
      </c>
      <c r="I7410" s="28">
        <f t="shared" si="390"/>
        <v>1900.6876999999999</v>
      </c>
      <c r="J7410" s="28">
        <f t="shared" si="391"/>
        <v>1928.0416</v>
      </c>
      <c r="K7410" s="28">
        <f t="shared" si="392"/>
        <v>1977.2152000000001</v>
      </c>
      <c r="L7410" s="4"/>
      <c r="M7410" s="241">
        <v>1900.6876999999999</v>
      </c>
    </row>
    <row r="7411" spans="3:13" hidden="1" outlineLevel="1" x14ac:dyDescent="0.2">
      <c r="C7411" s="139">
        <v>255.29999999998978</v>
      </c>
      <c r="D7411" s="28">
        <f t="shared" si="385"/>
        <v>2042.3999999999182</v>
      </c>
      <c r="E7411" s="28">
        <f t="shared" si="386"/>
        <v>1914.7499999999234</v>
      </c>
      <c r="F7411" s="28">
        <f t="shared" si="387"/>
        <v>1896.7499999999234</v>
      </c>
      <c r="G7411" s="28">
        <f t="shared" si="388"/>
        <v>1805.4760000000001</v>
      </c>
      <c r="H7411" s="28">
        <f t="shared" si="389"/>
        <v>1868.1397999999999</v>
      </c>
      <c r="I7411" s="28">
        <f t="shared" si="390"/>
        <v>1901.6907000000001</v>
      </c>
      <c r="J7411" s="28">
        <f t="shared" si="391"/>
        <v>1929.0590999999999</v>
      </c>
      <c r="K7411" s="28">
        <f t="shared" si="392"/>
        <v>1978.3222000000001</v>
      </c>
      <c r="L7411" s="4"/>
      <c r="M7411" s="241">
        <v>1901.6907000000001</v>
      </c>
    </row>
    <row r="7412" spans="3:13" hidden="1" outlineLevel="1" x14ac:dyDescent="0.2">
      <c r="C7412" s="139">
        <v>255.39999999998977</v>
      </c>
      <c r="D7412" s="28">
        <f t="shared" si="385"/>
        <v>2043.1999999999182</v>
      </c>
      <c r="E7412" s="28">
        <f t="shared" si="386"/>
        <v>1915.4999999999234</v>
      </c>
      <c r="F7412" s="28">
        <f t="shared" si="387"/>
        <v>1897.4999999999234</v>
      </c>
      <c r="G7412" s="28">
        <f t="shared" si="388"/>
        <v>1806.4861000000001</v>
      </c>
      <c r="H7412" s="28">
        <f t="shared" si="389"/>
        <v>1869.1251</v>
      </c>
      <c r="I7412" s="28">
        <f t="shared" si="390"/>
        <v>1902.6937</v>
      </c>
      <c r="J7412" s="28">
        <f t="shared" si="391"/>
        <v>1930.1402</v>
      </c>
      <c r="K7412" s="28">
        <f t="shared" si="392"/>
        <v>1979.3656000000001</v>
      </c>
      <c r="L7412" s="4"/>
      <c r="M7412" s="241">
        <v>1902.6937</v>
      </c>
    </row>
    <row r="7413" spans="3:13" hidden="1" outlineLevel="1" x14ac:dyDescent="0.2">
      <c r="C7413" s="139">
        <v>255.49999999998977</v>
      </c>
      <c r="D7413" s="28">
        <f t="shared" si="385"/>
        <v>2043.9999999999181</v>
      </c>
      <c r="E7413" s="28">
        <f t="shared" si="386"/>
        <v>1916.2499999999231</v>
      </c>
      <c r="F7413" s="28">
        <f t="shared" si="387"/>
        <v>1898.2499999999231</v>
      </c>
      <c r="G7413" s="28">
        <f t="shared" si="388"/>
        <v>1807.4384</v>
      </c>
      <c r="H7413" s="28">
        <f t="shared" si="389"/>
        <v>1870.1104</v>
      </c>
      <c r="I7413" s="28">
        <f t="shared" si="390"/>
        <v>1903.6967</v>
      </c>
      <c r="J7413" s="28">
        <f t="shared" si="391"/>
        <v>1931.1577</v>
      </c>
      <c r="K7413" s="28">
        <f t="shared" si="392"/>
        <v>1980.4090000000001</v>
      </c>
      <c r="L7413" s="4"/>
      <c r="M7413" s="241">
        <v>1903.6967</v>
      </c>
    </row>
    <row r="7414" spans="3:13" hidden="1" outlineLevel="1" x14ac:dyDescent="0.2">
      <c r="C7414" s="139">
        <v>255.59999999998976</v>
      </c>
      <c r="D7414" s="28">
        <f t="shared" si="385"/>
        <v>2044.7999999999181</v>
      </c>
      <c r="E7414" s="28">
        <f t="shared" si="386"/>
        <v>1916.9999999999231</v>
      </c>
      <c r="F7414" s="28">
        <f t="shared" si="387"/>
        <v>1898.9999999999231</v>
      </c>
      <c r="G7414" s="28">
        <f t="shared" si="388"/>
        <v>1807.4384</v>
      </c>
      <c r="H7414" s="28">
        <f t="shared" si="389"/>
        <v>1870.1104</v>
      </c>
      <c r="I7414" s="28">
        <f t="shared" si="390"/>
        <v>1903.6967</v>
      </c>
      <c r="J7414" s="28">
        <f t="shared" si="391"/>
        <v>1931.1577</v>
      </c>
      <c r="K7414" s="28">
        <f t="shared" si="392"/>
        <v>1980.4090000000001</v>
      </c>
      <c r="L7414" s="4"/>
      <c r="M7414" s="241">
        <v>1903.6967</v>
      </c>
    </row>
    <row r="7415" spans="3:13" hidden="1" outlineLevel="1" x14ac:dyDescent="0.2">
      <c r="C7415" s="139">
        <v>255.69999999998976</v>
      </c>
      <c r="D7415" s="28">
        <f t="shared" si="385"/>
        <v>2045.5999999999181</v>
      </c>
      <c r="E7415" s="28">
        <f t="shared" si="386"/>
        <v>1917.7499999999231</v>
      </c>
      <c r="F7415" s="28">
        <f t="shared" si="387"/>
        <v>1899.7499999999231</v>
      </c>
      <c r="G7415" s="28">
        <f t="shared" si="388"/>
        <v>1808.4485999999999</v>
      </c>
      <c r="H7415" s="28">
        <f t="shared" si="389"/>
        <v>1871.1536000000001</v>
      </c>
      <c r="I7415" s="28">
        <f t="shared" si="390"/>
        <v>1904.7634</v>
      </c>
      <c r="J7415" s="28">
        <f t="shared" si="391"/>
        <v>1932.1750999999999</v>
      </c>
      <c r="K7415" s="28">
        <f t="shared" si="392"/>
        <v>1981.4525000000001</v>
      </c>
      <c r="L7415" s="4"/>
      <c r="M7415" s="241">
        <v>1904.7634</v>
      </c>
    </row>
    <row r="7416" spans="3:13" hidden="1" outlineLevel="1" x14ac:dyDescent="0.2">
      <c r="C7416" s="139">
        <v>255.79999999998975</v>
      </c>
      <c r="D7416" s="28">
        <f t="shared" si="385"/>
        <v>2046.399999999918</v>
      </c>
      <c r="E7416" s="28">
        <f t="shared" si="386"/>
        <v>1918.4999999999231</v>
      </c>
      <c r="F7416" s="28">
        <f t="shared" si="387"/>
        <v>1900.4999999999231</v>
      </c>
      <c r="G7416" s="28">
        <f t="shared" si="388"/>
        <v>1809.4009000000001</v>
      </c>
      <c r="H7416" s="28">
        <f t="shared" si="389"/>
        <v>1872.1389999999999</v>
      </c>
      <c r="I7416" s="28">
        <f t="shared" si="390"/>
        <v>1905.7664</v>
      </c>
      <c r="J7416" s="28">
        <f t="shared" si="391"/>
        <v>1933.1926000000001</v>
      </c>
      <c r="K7416" s="28">
        <f t="shared" si="392"/>
        <v>1982.4958999999999</v>
      </c>
      <c r="L7416" s="4"/>
      <c r="M7416" s="241">
        <v>1905.7664</v>
      </c>
    </row>
    <row r="7417" spans="3:13" hidden="1" outlineLevel="1" x14ac:dyDescent="0.2">
      <c r="C7417" s="139">
        <v>255.89999999998975</v>
      </c>
      <c r="D7417" s="28">
        <f t="shared" si="385"/>
        <v>2047.199999999918</v>
      </c>
      <c r="E7417" s="28">
        <f t="shared" si="386"/>
        <v>1919.2499999999231</v>
      </c>
      <c r="F7417" s="28">
        <f t="shared" si="387"/>
        <v>1901.2499999999231</v>
      </c>
      <c r="G7417" s="28">
        <f t="shared" si="388"/>
        <v>1810.4113</v>
      </c>
      <c r="H7417" s="28">
        <f t="shared" si="389"/>
        <v>1873.1242999999999</v>
      </c>
      <c r="I7417" s="28">
        <f t="shared" si="390"/>
        <v>1906.7695000000001</v>
      </c>
      <c r="J7417" s="28">
        <f t="shared" si="391"/>
        <v>1934.2101</v>
      </c>
      <c r="K7417" s="28">
        <f t="shared" si="392"/>
        <v>1983.5392999999999</v>
      </c>
      <c r="L7417" s="4"/>
      <c r="M7417" s="241">
        <v>1906.7695000000001</v>
      </c>
    </row>
    <row r="7418" spans="3:13" hidden="1" outlineLevel="1" x14ac:dyDescent="0.2">
      <c r="C7418" s="139">
        <v>255.99999999998974</v>
      </c>
      <c r="D7418" s="28">
        <f t="shared" si="385"/>
        <v>2047.9999999999179</v>
      </c>
      <c r="E7418" s="28">
        <f t="shared" si="386"/>
        <v>1919.9999999999231</v>
      </c>
      <c r="F7418" s="28">
        <f t="shared" si="387"/>
        <v>1901.9999999999231</v>
      </c>
      <c r="G7418" s="28">
        <f t="shared" si="388"/>
        <v>1810.4113</v>
      </c>
      <c r="H7418" s="28">
        <f t="shared" si="389"/>
        <v>1873.1242999999999</v>
      </c>
      <c r="I7418" s="28">
        <f t="shared" si="390"/>
        <v>1906.7695000000001</v>
      </c>
      <c r="J7418" s="28">
        <f t="shared" si="391"/>
        <v>1934.2101</v>
      </c>
      <c r="K7418" s="28">
        <f t="shared" si="392"/>
        <v>1983.5392999999999</v>
      </c>
      <c r="L7418" s="4"/>
      <c r="M7418" s="241">
        <v>1906.7695000000001</v>
      </c>
    </row>
    <row r="7419" spans="3:13" hidden="1" outlineLevel="1" x14ac:dyDescent="0.2">
      <c r="C7419" s="139">
        <v>256.09999999998973</v>
      </c>
      <c r="D7419" s="28">
        <f t="shared" ref="D7419:D7482" si="393">C7419*Channels.per.TRX</f>
        <v>2048.7999999999179</v>
      </c>
      <c r="E7419" s="28">
        <f t="shared" ref="E7419:E7482" si="394">D7419-C7419*sig.channel.per.TRX</f>
        <v>1920.7499999999229</v>
      </c>
      <c r="F7419" s="28">
        <f t="shared" ref="F7419:F7482" si="395">MAX(0,E7419-GPRS.channel.per.sector)</f>
        <v>1902.7499999999229</v>
      </c>
      <c r="G7419" s="28">
        <f t="shared" ref="G7419:G7482" si="396">INDEX(D$10:D$4326,MATCH($F7419,$C$10:$C$4326,1))</f>
        <v>1811.3635999999999</v>
      </c>
      <c r="H7419" s="28">
        <f t="shared" ref="H7419:H7482" si="397">INDEX(E$10:E$4326,MATCH($F7419,$C$10:$C$4326,1))</f>
        <v>1874.1677</v>
      </c>
      <c r="I7419" s="28">
        <f t="shared" ref="I7419:I7482" si="398">INDEX(F$10:F$4326,MATCH($F7419,$C$10:$C$4326,1))</f>
        <v>1907.7725</v>
      </c>
      <c r="J7419" s="28">
        <f t="shared" ref="J7419:J7482" si="399">INDEX(G$10:G$4326,MATCH($F7419,$C$10:$C$4326,1))</f>
        <v>1935.2914000000001</v>
      </c>
      <c r="K7419" s="28">
        <f t="shared" ref="K7419:K7482" si="400">INDEX(H$10:H$4326,MATCH($F7419,$C$10:$C$4326,1))</f>
        <v>1984.5826999999999</v>
      </c>
      <c r="L7419" s="4"/>
      <c r="M7419" s="241">
        <v>1907.7725</v>
      </c>
    </row>
    <row r="7420" spans="3:13" hidden="1" outlineLevel="1" x14ac:dyDescent="0.2">
      <c r="C7420" s="139">
        <v>256.19999999998976</v>
      </c>
      <c r="D7420" s="28">
        <f t="shared" si="393"/>
        <v>2049.5999999999181</v>
      </c>
      <c r="E7420" s="28">
        <f t="shared" si="394"/>
        <v>1921.4999999999231</v>
      </c>
      <c r="F7420" s="28">
        <f t="shared" si="395"/>
        <v>1903.4999999999231</v>
      </c>
      <c r="G7420" s="28">
        <f t="shared" si="396"/>
        <v>1812.374</v>
      </c>
      <c r="H7420" s="28">
        <f t="shared" si="397"/>
        <v>1875.1531</v>
      </c>
      <c r="I7420" s="28">
        <f t="shared" si="398"/>
        <v>1908.7755999999999</v>
      </c>
      <c r="J7420" s="28">
        <f t="shared" si="399"/>
        <v>1936.3089</v>
      </c>
      <c r="K7420" s="28">
        <f t="shared" si="400"/>
        <v>1985.69</v>
      </c>
      <c r="L7420" s="4"/>
      <c r="M7420" s="241">
        <v>1908.7755999999999</v>
      </c>
    </row>
    <row r="7421" spans="3:13" hidden="1" outlineLevel="1" x14ac:dyDescent="0.2">
      <c r="C7421" s="139">
        <v>256.29999999998978</v>
      </c>
      <c r="D7421" s="28">
        <f t="shared" si="393"/>
        <v>2050.3999999999182</v>
      </c>
      <c r="E7421" s="28">
        <f t="shared" si="394"/>
        <v>1922.2499999999234</v>
      </c>
      <c r="F7421" s="28">
        <f t="shared" si="395"/>
        <v>1904.2499999999234</v>
      </c>
      <c r="G7421" s="28">
        <f t="shared" si="396"/>
        <v>1813.3263999999999</v>
      </c>
      <c r="H7421" s="28">
        <f t="shared" si="397"/>
        <v>1876.1384</v>
      </c>
      <c r="I7421" s="28">
        <f t="shared" si="398"/>
        <v>1909.8425</v>
      </c>
      <c r="J7421" s="28">
        <f t="shared" si="399"/>
        <v>1937.3263999999999</v>
      </c>
      <c r="K7421" s="28">
        <f t="shared" si="400"/>
        <v>1986.7335</v>
      </c>
      <c r="L7421" s="4"/>
      <c r="M7421" s="241">
        <v>1909.8425</v>
      </c>
    </row>
    <row r="7422" spans="3:13" hidden="1" outlineLevel="1" x14ac:dyDescent="0.2">
      <c r="C7422" s="139">
        <v>256.3999999999898</v>
      </c>
      <c r="D7422" s="28">
        <f t="shared" si="393"/>
        <v>2051.1999999999184</v>
      </c>
      <c r="E7422" s="28">
        <f t="shared" si="394"/>
        <v>1922.9999999999236</v>
      </c>
      <c r="F7422" s="28">
        <f t="shared" si="395"/>
        <v>1904.9999999999236</v>
      </c>
      <c r="G7422" s="28">
        <f t="shared" si="396"/>
        <v>1813.3263999999999</v>
      </c>
      <c r="H7422" s="28">
        <f t="shared" si="397"/>
        <v>1876.1384</v>
      </c>
      <c r="I7422" s="28">
        <f t="shared" si="398"/>
        <v>1909.8425</v>
      </c>
      <c r="J7422" s="28">
        <f t="shared" si="399"/>
        <v>1937.3263999999999</v>
      </c>
      <c r="K7422" s="28">
        <f t="shared" si="400"/>
        <v>1986.7335</v>
      </c>
      <c r="L7422" s="4"/>
      <c r="M7422" s="241">
        <v>1909.8425</v>
      </c>
    </row>
    <row r="7423" spans="3:13" hidden="1" outlineLevel="1" x14ac:dyDescent="0.2">
      <c r="C7423" s="139">
        <v>256.49999999998983</v>
      </c>
      <c r="D7423" s="28">
        <f t="shared" si="393"/>
        <v>2051.9999999999186</v>
      </c>
      <c r="E7423" s="28">
        <f t="shared" si="394"/>
        <v>1923.7499999999236</v>
      </c>
      <c r="F7423" s="28">
        <f t="shared" si="395"/>
        <v>1905.7499999999236</v>
      </c>
      <c r="G7423" s="28">
        <f t="shared" si="396"/>
        <v>1814.3369</v>
      </c>
      <c r="H7423" s="28">
        <f t="shared" si="397"/>
        <v>1877.1819</v>
      </c>
      <c r="I7423" s="28">
        <f t="shared" si="398"/>
        <v>1910.8456000000001</v>
      </c>
      <c r="J7423" s="28">
        <f t="shared" si="399"/>
        <v>1938.3439000000001</v>
      </c>
      <c r="K7423" s="28">
        <f t="shared" si="400"/>
        <v>1987.7769000000001</v>
      </c>
      <c r="L7423" s="4"/>
      <c r="M7423" s="241">
        <v>1910.8456000000001</v>
      </c>
    </row>
    <row r="7424" spans="3:13" hidden="1" outlineLevel="1" x14ac:dyDescent="0.2">
      <c r="C7424" s="139">
        <v>256.59999999998985</v>
      </c>
      <c r="D7424" s="28">
        <f t="shared" si="393"/>
        <v>2052.7999999999188</v>
      </c>
      <c r="E7424" s="28">
        <f t="shared" si="394"/>
        <v>1924.4999999999238</v>
      </c>
      <c r="F7424" s="28">
        <f t="shared" si="395"/>
        <v>1906.4999999999238</v>
      </c>
      <c r="G7424" s="28">
        <f t="shared" si="396"/>
        <v>1815.2892999999999</v>
      </c>
      <c r="H7424" s="28">
        <f t="shared" si="397"/>
        <v>1878.1673000000001</v>
      </c>
      <c r="I7424" s="28">
        <f t="shared" si="398"/>
        <v>1911.8486</v>
      </c>
      <c r="J7424" s="28">
        <f t="shared" si="399"/>
        <v>1939.3614</v>
      </c>
      <c r="K7424" s="28">
        <f t="shared" si="400"/>
        <v>1988.8204000000001</v>
      </c>
      <c r="L7424" s="4"/>
      <c r="M7424" s="241">
        <v>1911.8486</v>
      </c>
    </row>
    <row r="7425" spans="3:13" hidden="1" outlineLevel="1" x14ac:dyDescent="0.2">
      <c r="C7425" s="139">
        <v>256.69999999998987</v>
      </c>
      <c r="D7425" s="28">
        <f t="shared" si="393"/>
        <v>2053.599999999919</v>
      </c>
      <c r="E7425" s="28">
        <f t="shared" si="394"/>
        <v>1925.2499999999241</v>
      </c>
      <c r="F7425" s="28">
        <f t="shared" si="395"/>
        <v>1907.2499999999241</v>
      </c>
      <c r="G7425" s="28">
        <f t="shared" si="396"/>
        <v>1816.2999</v>
      </c>
      <c r="H7425" s="28">
        <f t="shared" si="397"/>
        <v>1879.1527000000001</v>
      </c>
      <c r="I7425" s="28">
        <f t="shared" si="398"/>
        <v>1912.8516999999999</v>
      </c>
      <c r="J7425" s="28">
        <f t="shared" si="399"/>
        <v>1940.3788999999999</v>
      </c>
      <c r="K7425" s="28">
        <f t="shared" si="400"/>
        <v>1989.8638000000001</v>
      </c>
      <c r="L7425" s="4"/>
      <c r="M7425" s="241">
        <v>1912.8516999999999</v>
      </c>
    </row>
    <row r="7426" spans="3:13" hidden="1" outlineLevel="1" x14ac:dyDescent="0.2">
      <c r="C7426" s="139">
        <v>256.79999999998989</v>
      </c>
      <c r="D7426" s="28">
        <f t="shared" si="393"/>
        <v>2054.3999999999191</v>
      </c>
      <c r="E7426" s="28">
        <f t="shared" si="394"/>
        <v>1925.9999999999243</v>
      </c>
      <c r="F7426" s="28">
        <f t="shared" si="395"/>
        <v>1907.9999999999243</v>
      </c>
      <c r="G7426" s="28">
        <f t="shared" si="396"/>
        <v>1816.2999</v>
      </c>
      <c r="H7426" s="28">
        <f t="shared" si="397"/>
        <v>1879.1527000000001</v>
      </c>
      <c r="I7426" s="28">
        <f t="shared" si="398"/>
        <v>1912.8516999999999</v>
      </c>
      <c r="J7426" s="28">
        <f t="shared" si="399"/>
        <v>1940.3788999999999</v>
      </c>
      <c r="K7426" s="28">
        <f t="shared" si="400"/>
        <v>1989.8638000000001</v>
      </c>
      <c r="L7426" s="4"/>
      <c r="M7426" s="241">
        <v>1912.8516999999999</v>
      </c>
    </row>
    <row r="7427" spans="3:13" hidden="1" outlineLevel="1" x14ac:dyDescent="0.2">
      <c r="C7427" s="139">
        <v>256.89999999998992</v>
      </c>
      <c r="D7427" s="28">
        <f t="shared" si="393"/>
        <v>2055.1999999999193</v>
      </c>
      <c r="E7427" s="28">
        <f t="shared" si="394"/>
        <v>1926.7499999999243</v>
      </c>
      <c r="F7427" s="28">
        <f t="shared" si="395"/>
        <v>1908.7499999999243</v>
      </c>
      <c r="G7427" s="28">
        <f t="shared" si="396"/>
        <v>1817.2524000000001</v>
      </c>
      <c r="H7427" s="28">
        <f t="shared" si="397"/>
        <v>1880.1380999999999</v>
      </c>
      <c r="I7427" s="28">
        <f t="shared" si="398"/>
        <v>1913.8548000000001</v>
      </c>
      <c r="J7427" s="28">
        <f t="shared" si="399"/>
        <v>1941.4604999999999</v>
      </c>
      <c r="K7427" s="28">
        <f t="shared" si="400"/>
        <v>1990.9073000000001</v>
      </c>
      <c r="L7427" s="4"/>
      <c r="M7427" s="241">
        <v>1913.8548000000001</v>
      </c>
    </row>
    <row r="7428" spans="3:13" hidden="1" outlineLevel="1" x14ac:dyDescent="0.2">
      <c r="C7428" s="139">
        <v>256.99999999998994</v>
      </c>
      <c r="D7428" s="28">
        <f t="shared" si="393"/>
        <v>2055.9999999999195</v>
      </c>
      <c r="E7428" s="28">
        <f t="shared" si="394"/>
        <v>1927.4999999999245</v>
      </c>
      <c r="F7428" s="28">
        <f t="shared" si="395"/>
        <v>1909.4999999999245</v>
      </c>
      <c r="G7428" s="28">
        <f t="shared" si="396"/>
        <v>1818.2630999999999</v>
      </c>
      <c r="H7428" s="28">
        <f t="shared" si="397"/>
        <v>1881.1818000000001</v>
      </c>
      <c r="I7428" s="28">
        <f t="shared" si="398"/>
        <v>1914.9219000000001</v>
      </c>
      <c r="J7428" s="28">
        <f t="shared" si="399"/>
        <v>1942.4780000000001</v>
      </c>
      <c r="K7428" s="28">
        <f t="shared" si="400"/>
        <v>1991.9507000000001</v>
      </c>
      <c r="L7428" s="4"/>
      <c r="M7428" s="241">
        <v>1914.9219000000001</v>
      </c>
    </row>
    <row r="7429" spans="3:13" hidden="1" outlineLevel="1" x14ac:dyDescent="0.2">
      <c r="C7429" s="139">
        <v>257.09999999998996</v>
      </c>
      <c r="D7429" s="28">
        <f t="shared" si="393"/>
        <v>2056.7999999999197</v>
      </c>
      <c r="E7429" s="28">
        <f t="shared" si="394"/>
        <v>1928.2499999999247</v>
      </c>
      <c r="F7429" s="28">
        <f t="shared" si="395"/>
        <v>1910.2499999999247</v>
      </c>
      <c r="G7429" s="28">
        <f t="shared" si="396"/>
        <v>1819.2155</v>
      </c>
      <c r="H7429" s="28">
        <f t="shared" si="397"/>
        <v>1882.1672000000001</v>
      </c>
      <c r="I7429" s="28">
        <f t="shared" si="398"/>
        <v>1915.925</v>
      </c>
      <c r="J7429" s="28">
        <f t="shared" si="399"/>
        <v>1943.4955</v>
      </c>
      <c r="K7429" s="28">
        <f t="shared" si="400"/>
        <v>1992.9942000000001</v>
      </c>
      <c r="L7429" s="4"/>
      <c r="M7429" s="241">
        <v>1915.925</v>
      </c>
    </row>
    <row r="7430" spans="3:13" hidden="1" outlineLevel="1" x14ac:dyDescent="0.2">
      <c r="C7430" s="139">
        <v>257.19999999998998</v>
      </c>
      <c r="D7430" s="28">
        <f t="shared" si="393"/>
        <v>2057.5999999999199</v>
      </c>
      <c r="E7430" s="28">
        <f t="shared" si="394"/>
        <v>1928.999999999925</v>
      </c>
      <c r="F7430" s="28">
        <f t="shared" si="395"/>
        <v>1910.999999999925</v>
      </c>
      <c r="G7430" s="28">
        <f t="shared" si="396"/>
        <v>1819.2155</v>
      </c>
      <c r="H7430" s="28">
        <f t="shared" si="397"/>
        <v>1882.1672000000001</v>
      </c>
      <c r="I7430" s="28">
        <f t="shared" si="398"/>
        <v>1915.925</v>
      </c>
      <c r="J7430" s="28">
        <f t="shared" si="399"/>
        <v>1943.4955</v>
      </c>
      <c r="K7430" s="28">
        <f t="shared" si="400"/>
        <v>1992.9942000000001</v>
      </c>
      <c r="L7430" s="4"/>
      <c r="M7430" s="241">
        <v>1915.925</v>
      </c>
    </row>
    <row r="7431" spans="3:13" hidden="1" outlineLevel="1" x14ac:dyDescent="0.2">
      <c r="C7431" s="139">
        <v>257.29999999999001</v>
      </c>
      <c r="D7431" s="28">
        <f t="shared" si="393"/>
        <v>2058.3999999999201</v>
      </c>
      <c r="E7431" s="28">
        <f t="shared" si="394"/>
        <v>1929.749999999925</v>
      </c>
      <c r="F7431" s="28">
        <f t="shared" si="395"/>
        <v>1911.749999999925</v>
      </c>
      <c r="G7431" s="28">
        <f t="shared" si="396"/>
        <v>1820.2263</v>
      </c>
      <c r="H7431" s="28">
        <f t="shared" si="397"/>
        <v>1883.1525999999999</v>
      </c>
      <c r="I7431" s="28">
        <f t="shared" si="398"/>
        <v>1916.9281000000001</v>
      </c>
      <c r="J7431" s="28">
        <f t="shared" si="399"/>
        <v>1944.5130999999999</v>
      </c>
      <c r="K7431" s="28">
        <f t="shared" si="400"/>
        <v>1994.1017999999999</v>
      </c>
      <c r="L7431" s="4"/>
      <c r="M7431" s="241">
        <v>1916.9281000000001</v>
      </c>
    </row>
    <row r="7432" spans="3:13" hidden="1" outlineLevel="1" x14ac:dyDescent="0.2">
      <c r="C7432" s="139">
        <v>257.39999999999003</v>
      </c>
      <c r="D7432" s="28">
        <f t="shared" si="393"/>
        <v>2059.1999999999202</v>
      </c>
      <c r="E7432" s="28">
        <f t="shared" si="394"/>
        <v>1930.4999999999252</v>
      </c>
      <c r="F7432" s="28">
        <f t="shared" si="395"/>
        <v>1912.4999999999252</v>
      </c>
      <c r="G7432" s="28">
        <f t="shared" si="396"/>
        <v>1821.1787999999999</v>
      </c>
      <c r="H7432" s="28">
        <f t="shared" si="397"/>
        <v>1884.1964</v>
      </c>
      <c r="I7432" s="28">
        <f t="shared" si="398"/>
        <v>1917.9312</v>
      </c>
      <c r="J7432" s="28">
        <f t="shared" si="399"/>
        <v>1945.5306</v>
      </c>
      <c r="K7432" s="28">
        <f t="shared" si="400"/>
        <v>1995.1452999999999</v>
      </c>
      <c r="L7432" s="4"/>
      <c r="M7432" s="241">
        <v>1917.9312</v>
      </c>
    </row>
    <row r="7433" spans="3:13" hidden="1" outlineLevel="1" x14ac:dyDescent="0.2">
      <c r="C7433" s="139">
        <v>257.49999999999005</v>
      </c>
      <c r="D7433" s="28">
        <f t="shared" si="393"/>
        <v>2059.9999999999204</v>
      </c>
      <c r="E7433" s="28">
        <f t="shared" si="394"/>
        <v>1931.2499999999254</v>
      </c>
      <c r="F7433" s="28">
        <f t="shared" si="395"/>
        <v>1913.2499999999254</v>
      </c>
      <c r="G7433" s="28">
        <f t="shared" si="396"/>
        <v>1822.1896999999999</v>
      </c>
      <c r="H7433" s="28">
        <f t="shared" si="397"/>
        <v>1885.1819</v>
      </c>
      <c r="I7433" s="28">
        <f t="shared" si="398"/>
        <v>1918.9985999999999</v>
      </c>
      <c r="J7433" s="28">
        <f t="shared" si="399"/>
        <v>1946.6124</v>
      </c>
      <c r="K7433" s="28">
        <f t="shared" si="400"/>
        <v>1996.1887999999999</v>
      </c>
      <c r="L7433" s="4"/>
      <c r="M7433" s="241">
        <v>1918.9985999999999</v>
      </c>
    </row>
    <row r="7434" spans="3:13" hidden="1" outlineLevel="1" x14ac:dyDescent="0.2">
      <c r="C7434" s="139">
        <v>257.59999999999008</v>
      </c>
      <c r="D7434" s="28">
        <f t="shared" si="393"/>
        <v>2060.7999999999206</v>
      </c>
      <c r="E7434" s="28">
        <f t="shared" si="394"/>
        <v>1931.9999999999256</v>
      </c>
      <c r="F7434" s="28">
        <f t="shared" si="395"/>
        <v>1913.9999999999256</v>
      </c>
      <c r="G7434" s="28">
        <f t="shared" si="396"/>
        <v>1822.1896999999999</v>
      </c>
      <c r="H7434" s="28">
        <f t="shared" si="397"/>
        <v>1885.1819</v>
      </c>
      <c r="I7434" s="28">
        <f t="shared" si="398"/>
        <v>1918.9985999999999</v>
      </c>
      <c r="J7434" s="28">
        <f t="shared" si="399"/>
        <v>1946.6124</v>
      </c>
      <c r="K7434" s="28">
        <f t="shared" si="400"/>
        <v>1996.1887999999999</v>
      </c>
      <c r="L7434" s="4"/>
      <c r="M7434" s="241">
        <v>1918.9985999999999</v>
      </c>
    </row>
    <row r="7435" spans="3:13" hidden="1" outlineLevel="1" x14ac:dyDescent="0.2">
      <c r="C7435" s="139">
        <v>257.6999999999901</v>
      </c>
      <c r="D7435" s="28">
        <f t="shared" si="393"/>
        <v>2061.5999999999208</v>
      </c>
      <c r="E7435" s="28">
        <f t="shared" si="394"/>
        <v>1932.7499999999256</v>
      </c>
      <c r="F7435" s="28">
        <f t="shared" si="395"/>
        <v>1914.7499999999256</v>
      </c>
      <c r="G7435" s="28">
        <f t="shared" si="396"/>
        <v>1823.1422</v>
      </c>
      <c r="H7435" s="28">
        <f t="shared" si="397"/>
        <v>1886.1673000000001</v>
      </c>
      <c r="I7435" s="28">
        <f t="shared" si="398"/>
        <v>1920.0017</v>
      </c>
      <c r="J7435" s="28">
        <f t="shared" si="399"/>
        <v>1947.6298999999999</v>
      </c>
      <c r="K7435" s="28">
        <f t="shared" si="400"/>
        <v>1997.2321999999999</v>
      </c>
      <c r="L7435" s="4"/>
      <c r="M7435" s="241">
        <v>1920.0017</v>
      </c>
    </row>
    <row r="7436" spans="3:13" hidden="1" outlineLevel="1" x14ac:dyDescent="0.2">
      <c r="C7436" s="139">
        <v>257.79999999999012</v>
      </c>
      <c r="D7436" s="28">
        <f t="shared" si="393"/>
        <v>2062.399999999921</v>
      </c>
      <c r="E7436" s="28">
        <f t="shared" si="394"/>
        <v>1933.4999999999259</v>
      </c>
      <c r="F7436" s="28">
        <f t="shared" si="395"/>
        <v>1915.4999999999259</v>
      </c>
      <c r="G7436" s="28">
        <f t="shared" si="396"/>
        <v>1824.1532</v>
      </c>
      <c r="H7436" s="28">
        <f t="shared" si="397"/>
        <v>1887.2112</v>
      </c>
      <c r="I7436" s="28">
        <f t="shared" si="398"/>
        <v>1921.0047999999999</v>
      </c>
      <c r="J7436" s="28">
        <f t="shared" si="399"/>
        <v>1948.6475</v>
      </c>
      <c r="K7436" s="28">
        <f t="shared" si="400"/>
        <v>1998.2756999999999</v>
      </c>
      <c r="L7436" s="4"/>
      <c r="M7436" s="241">
        <v>1921.0047999999999</v>
      </c>
    </row>
    <row r="7437" spans="3:13" hidden="1" outlineLevel="1" x14ac:dyDescent="0.2">
      <c r="C7437" s="139">
        <v>257.89999999999014</v>
      </c>
      <c r="D7437" s="28">
        <f t="shared" si="393"/>
        <v>2063.1999999999211</v>
      </c>
      <c r="E7437" s="28">
        <f t="shared" si="394"/>
        <v>1934.2499999999261</v>
      </c>
      <c r="F7437" s="28">
        <f t="shared" si="395"/>
        <v>1916.2499999999261</v>
      </c>
      <c r="G7437" s="28">
        <f t="shared" si="396"/>
        <v>1825.1058</v>
      </c>
      <c r="H7437" s="28">
        <f t="shared" si="397"/>
        <v>1888.1967</v>
      </c>
      <c r="I7437" s="28">
        <f t="shared" si="398"/>
        <v>1922.008</v>
      </c>
      <c r="J7437" s="28">
        <f t="shared" si="399"/>
        <v>1949.6650999999999</v>
      </c>
      <c r="K7437" s="28">
        <f t="shared" si="400"/>
        <v>1999.3191999999999</v>
      </c>
      <c r="L7437" s="4"/>
      <c r="M7437" s="241">
        <v>1922.008</v>
      </c>
    </row>
    <row r="7438" spans="3:13" hidden="1" outlineLevel="1" x14ac:dyDescent="0.2">
      <c r="C7438" s="139">
        <v>257.99999999999017</v>
      </c>
      <c r="D7438" s="28">
        <f t="shared" si="393"/>
        <v>2063.9999999999213</v>
      </c>
      <c r="E7438" s="28">
        <f t="shared" si="394"/>
        <v>1934.9999999999263</v>
      </c>
      <c r="F7438" s="28">
        <f t="shared" si="395"/>
        <v>1916.9999999999263</v>
      </c>
      <c r="G7438" s="28">
        <f t="shared" si="396"/>
        <v>1825.1058</v>
      </c>
      <c r="H7438" s="28">
        <f t="shared" si="397"/>
        <v>1888.1967</v>
      </c>
      <c r="I7438" s="28">
        <f t="shared" si="398"/>
        <v>1922.008</v>
      </c>
      <c r="J7438" s="28">
        <f t="shared" si="399"/>
        <v>1949.6650999999999</v>
      </c>
      <c r="K7438" s="28">
        <f t="shared" si="400"/>
        <v>1999.3191999999999</v>
      </c>
      <c r="L7438" s="4"/>
      <c r="M7438" s="241">
        <v>1922.008</v>
      </c>
    </row>
    <row r="7439" spans="3:13" hidden="1" outlineLevel="1" x14ac:dyDescent="0.2">
      <c r="C7439" s="139">
        <v>258.09999999999019</v>
      </c>
      <c r="D7439" s="28">
        <f t="shared" si="393"/>
        <v>2064.7999999999215</v>
      </c>
      <c r="E7439" s="28">
        <f t="shared" si="394"/>
        <v>1935.7499999999263</v>
      </c>
      <c r="F7439" s="28">
        <f t="shared" si="395"/>
        <v>1917.7499999999263</v>
      </c>
      <c r="G7439" s="28">
        <f t="shared" si="396"/>
        <v>1826.0582999999999</v>
      </c>
      <c r="H7439" s="28">
        <f t="shared" si="397"/>
        <v>1889.1822</v>
      </c>
      <c r="I7439" s="28">
        <f t="shared" si="398"/>
        <v>1923.0110999999999</v>
      </c>
      <c r="J7439" s="28">
        <f t="shared" si="399"/>
        <v>1950.6826000000001</v>
      </c>
      <c r="K7439" s="28">
        <f t="shared" si="400"/>
        <v>2000.3626999999999</v>
      </c>
      <c r="L7439" s="4"/>
      <c r="M7439" s="241">
        <v>1923.0110999999999</v>
      </c>
    </row>
    <row r="7440" spans="3:13" hidden="1" outlineLevel="1" x14ac:dyDescent="0.2">
      <c r="C7440" s="139">
        <v>258.19999999999021</v>
      </c>
      <c r="D7440" s="28">
        <f t="shared" si="393"/>
        <v>2065.5999999999217</v>
      </c>
      <c r="E7440" s="28">
        <f t="shared" si="394"/>
        <v>1936.4999999999266</v>
      </c>
      <c r="F7440" s="28">
        <f t="shared" si="395"/>
        <v>1918.4999999999266</v>
      </c>
      <c r="G7440" s="28">
        <f t="shared" si="396"/>
        <v>1827.0694000000001</v>
      </c>
      <c r="H7440" s="28">
        <f t="shared" si="397"/>
        <v>1890.2262000000001</v>
      </c>
      <c r="I7440" s="28">
        <f t="shared" si="398"/>
        <v>1924.0786000000001</v>
      </c>
      <c r="J7440" s="28">
        <f t="shared" si="399"/>
        <v>1951.7002</v>
      </c>
      <c r="K7440" s="28">
        <f t="shared" si="400"/>
        <v>2001.4061999999999</v>
      </c>
      <c r="L7440" s="4"/>
      <c r="M7440" s="241">
        <v>1924.0786000000001</v>
      </c>
    </row>
    <row r="7441" spans="3:13" hidden="1" outlineLevel="1" x14ac:dyDescent="0.2">
      <c r="C7441" s="139">
        <v>258.29999999999023</v>
      </c>
      <c r="D7441" s="28">
        <f t="shared" si="393"/>
        <v>2066.3999999999219</v>
      </c>
      <c r="E7441" s="28">
        <f t="shared" si="394"/>
        <v>1937.2499999999268</v>
      </c>
      <c r="F7441" s="28">
        <f t="shared" si="395"/>
        <v>1919.2499999999268</v>
      </c>
      <c r="G7441" s="28">
        <f t="shared" si="396"/>
        <v>1828.0219999999999</v>
      </c>
      <c r="H7441" s="28">
        <f t="shared" si="397"/>
        <v>1891.2117000000001</v>
      </c>
      <c r="I7441" s="28">
        <f t="shared" si="398"/>
        <v>1925.0817999999999</v>
      </c>
      <c r="J7441" s="28">
        <f t="shared" si="399"/>
        <v>1952.7822000000001</v>
      </c>
      <c r="K7441" s="28">
        <f t="shared" si="400"/>
        <v>2002.5141000000001</v>
      </c>
      <c r="L7441" s="4"/>
      <c r="M7441" s="241">
        <v>1925.0817999999999</v>
      </c>
    </row>
    <row r="7442" spans="3:13" hidden="1" outlineLevel="1" x14ac:dyDescent="0.2">
      <c r="C7442" s="139">
        <v>258.39999999999026</v>
      </c>
      <c r="D7442" s="28">
        <f t="shared" si="393"/>
        <v>2067.1999999999221</v>
      </c>
      <c r="E7442" s="28">
        <f t="shared" si="394"/>
        <v>1937.999999999927</v>
      </c>
      <c r="F7442" s="28">
        <f t="shared" si="395"/>
        <v>1919.999999999927</v>
      </c>
      <c r="G7442" s="28">
        <f t="shared" si="396"/>
        <v>1828.0219999999999</v>
      </c>
      <c r="H7442" s="28">
        <f t="shared" si="397"/>
        <v>1891.2117000000001</v>
      </c>
      <c r="I7442" s="28">
        <f t="shared" si="398"/>
        <v>1925.0817999999999</v>
      </c>
      <c r="J7442" s="28">
        <f t="shared" si="399"/>
        <v>1952.7822000000001</v>
      </c>
      <c r="K7442" s="28">
        <f t="shared" si="400"/>
        <v>2002.5141000000001</v>
      </c>
      <c r="L7442" s="4"/>
      <c r="M7442" s="241">
        <v>1925.0817999999999</v>
      </c>
    </row>
    <row r="7443" spans="3:13" hidden="1" outlineLevel="1" x14ac:dyDescent="0.2">
      <c r="C7443" s="139">
        <v>258.49999999999028</v>
      </c>
      <c r="D7443" s="28">
        <f t="shared" si="393"/>
        <v>2067.9999999999222</v>
      </c>
      <c r="E7443" s="28">
        <f t="shared" si="394"/>
        <v>1938.749999999927</v>
      </c>
      <c r="F7443" s="28">
        <f t="shared" si="395"/>
        <v>1920.749999999927</v>
      </c>
      <c r="G7443" s="28">
        <f t="shared" si="396"/>
        <v>1829.0332000000001</v>
      </c>
      <c r="H7443" s="28">
        <f t="shared" si="397"/>
        <v>1892.1973</v>
      </c>
      <c r="I7443" s="28">
        <f t="shared" si="398"/>
        <v>1926.085</v>
      </c>
      <c r="J7443" s="28">
        <f t="shared" si="399"/>
        <v>1953.7998</v>
      </c>
      <c r="K7443" s="28">
        <f t="shared" si="400"/>
        <v>2003.5576000000001</v>
      </c>
      <c r="L7443" s="4"/>
      <c r="M7443" s="241">
        <v>1926.085</v>
      </c>
    </row>
    <row r="7444" spans="3:13" hidden="1" outlineLevel="1" x14ac:dyDescent="0.2">
      <c r="C7444" s="139">
        <v>258.5999999999903</v>
      </c>
      <c r="D7444" s="28">
        <f t="shared" si="393"/>
        <v>2068.7999999999224</v>
      </c>
      <c r="E7444" s="28">
        <f t="shared" si="394"/>
        <v>1939.4999999999272</v>
      </c>
      <c r="F7444" s="28">
        <f t="shared" si="395"/>
        <v>1921.4999999999272</v>
      </c>
      <c r="G7444" s="28">
        <f t="shared" si="396"/>
        <v>1829.9857999999999</v>
      </c>
      <c r="H7444" s="28">
        <f t="shared" si="397"/>
        <v>1893.1828</v>
      </c>
      <c r="I7444" s="28">
        <f t="shared" si="398"/>
        <v>1927.0880999999999</v>
      </c>
      <c r="J7444" s="28">
        <f t="shared" si="399"/>
        <v>1954.8173999999999</v>
      </c>
      <c r="K7444" s="28">
        <f t="shared" si="400"/>
        <v>2004.6011000000001</v>
      </c>
      <c r="L7444" s="4"/>
      <c r="M7444" s="241">
        <v>1927.0880999999999</v>
      </c>
    </row>
    <row r="7445" spans="3:13" hidden="1" outlineLevel="1" x14ac:dyDescent="0.2">
      <c r="C7445" s="139">
        <v>258.69999999999033</v>
      </c>
      <c r="D7445" s="28">
        <f t="shared" si="393"/>
        <v>2069.5999999999226</v>
      </c>
      <c r="E7445" s="28">
        <f t="shared" si="394"/>
        <v>1940.2499999999275</v>
      </c>
      <c r="F7445" s="28">
        <f t="shared" si="395"/>
        <v>1922.2499999999275</v>
      </c>
      <c r="G7445" s="28">
        <f t="shared" si="396"/>
        <v>1830.9971</v>
      </c>
      <c r="H7445" s="28">
        <f t="shared" si="397"/>
        <v>1894.2270000000001</v>
      </c>
      <c r="I7445" s="28">
        <f t="shared" si="398"/>
        <v>1928.0913</v>
      </c>
      <c r="J7445" s="28">
        <f t="shared" si="399"/>
        <v>1955.835</v>
      </c>
      <c r="K7445" s="28">
        <f t="shared" si="400"/>
        <v>2005.6447000000001</v>
      </c>
      <c r="L7445" s="4"/>
      <c r="M7445" s="241">
        <v>1928.0913</v>
      </c>
    </row>
    <row r="7446" spans="3:13" hidden="1" outlineLevel="1" x14ac:dyDescent="0.2">
      <c r="C7446" s="139">
        <v>258.79999999999035</v>
      </c>
      <c r="D7446" s="28">
        <f t="shared" si="393"/>
        <v>2070.3999999999228</v>
      </c>
      <c r="E7446" s="28">
        <f t="shared" si="394"/>
        <v>1940.9999999999277</v>
      </c>
      <c r="F7446" s="28">
        <f t="shared" si="395"/>
        <v>1922.9999999999277</v>
      </c>
      <c r="G7446" s="28">
        <f t="shared" si="396"/>
        <v>1830.9971</v>
      </c>
      <c r="H7446" s="28">
        <f t="shared" si="397"/>
        <v>1894.2270000000001</v>
      </c>
      <c r="I7446" s="28">
        <f t="shared" si="398"/>
        <v>1928.0913</v>
      </c>
      <c r="J7446" s="28">
        <f t="shared" si="399"/>
        <v>1955.835</v>
      </c>
      <c r="K7446" s="28">
        <f t="shared" si="400"/>
        <v>2005.6447000000001</v>
      </c>
      <c r="L7446" s="4"/>
      <c r="M7446" s="241">
        <v>1928.0913</v>
      </c>
    </row>
    <row r="7447" spans="3:13" hidden="1" outlineLevel="1" x14ac:dyDescent="0.2">
      <c r="C7447" s="139">
        <v>258.89999999999037</v>
      </c>
      <c r="D7447" s="28">
        <f t="shared" si="393"/>
        <v>2071.199999999923</v>
      </c>
      <c r="E7447" s="28">
        <f t="shared" si="394"/>
        <v>1941.7499999999277</v>
      </c>
      <c r="F7447" s="28">
        <f t="shared" si="395"/>
        <v>1923.7499999999277</v>
      </c>
      <c r="G7447" s="28">
        <f t="shared" si="396"/>
        <v>1831.9498000000001</v>
      </c>
      <c r="H7447" s="28">
        <f t="shared" si="397"/>
        <v>1895.2125000000001</v>
      </c>
      <c r="I7447" s="28">
        <f t="shared" si="398"/>
        <v>1929.1590000000001</v>
      </c>
      <c r="J7447" s="28">
        <f t="shared" si="399"/>
        <v>1956.8525999999999</v>
      </c>
      <c r="K7447" s="28">
        <f t="shared" si="400"/>
        <v>2006.6882000000001</v>
      </c>
      <c r="L7447" s="4"/>
      <c r="M7447" s="241">
        <v>1929.1590000000001</v>
      </c>
    </row>
    <row r="7448" spans="3:13" hidden="1" outlineLevel="1" x14ac:dyDescent="0.2">
      <c r="C7448" s="139">
        <v>258.99999999999039</v>
      </c>
      <c r="D7448" s="28">
        <f t="shared" si="393"/>
        <v>2071.9999999999231</v>
      </c>
      <c r="E7448" s="28">
        <f t="shared" si="394"/>
        <v>1942.4999999999279</v>
      </c>
      <c r="F7448" s="28">
        <f t="shared" si="395"/>
        <v>1924.4999999999279</v>
      </c>
      <c r="G7448" s="28">
        <f t="shared" si="396"/>
        <v>1832.9611</v>
      </c>
      <c r="H7448" s="28">
        <f t="shared" si="397"/>
        <v>1896.1981000000001</v>
      </c>
      <c r="I7448" s="28">
        <f t="shared" si="398"/>
        <v>1930.1622</v>
      </c>
      <c r="J7448" s="28">
        <f t="shared" si="399"/>
        <v>1957.8702000000001</v>
      </c>
      <c r="K7448" s="28">
        <f t="shared" si="400"/>
        <v>2007.7317</v>
      </c>
      <c r="L7448" s="4"/>
      <c r="M7448" s="241">
        <v>1930.1622</v>
      </c>
    </row>
    <row r="7449" spans="3:13" hidden="1" outlineLevel="1" x14ac:dyDescent="0.2">
      <c r="C7449" s="139">
        <v>259.09999999999042</v>
      </c>
      <c r="D7449" s="28">
        <f t="shared" si="393"/>
        <v>2072.7999999999233</v>
      </c>
      <c r="E7449" s="28">
        <f t="shared" si="394"/>
        <v>1943.2499999999281</v>
      </c>
      <c r="F7449" s="28">
        <f t="shared" si="395"/>
        <v>1925.2499999999281</v>
      </c>
      <c r="G7449" s="28">
        <f t="shared" si="396"/>
        <v>1833.9138</v>
      </c>
      <c r="H7449" s="28">
        <f t="shared" si="397"/>
        <v>1897.2424000000001</v>
      </c>
      <c r="I7449" s="28">
        <f t="shared" si="398"/>
        <v>1931.1654000000001</v>
      </c>
      <c r="J7449" s="28">
        <f t="shared" si="399"/>
        <v>1958.9523999999999</v>
      </c>
      <c r="K7449" s="28">
        <f t="shared" si="400"/>
        <v>2008.7752</v>
      </c>
      <c r="L7449" s="4"/>
      <c r="M7449" s="241">
        <v>1931.1654000000001</v>
      </c>
    </row>
    <row r="7450" spans="3:13" hidden="1" outlineLevel="1" x14ac:dyDescent="0.2">
      <c r="C7450" s="139">
        <v>259.19999999999044</v>
      </c>
      <c r="D7450" s="28">
        <f t="shared" si="393"/>
        <v>2073.5999999999235</v>
      </c>
      <c r="E7450" s="28">
        <f t="shared" si="394"/>
        <v>1943.9999999999284</v>
      </c>
      <c r="F7450" s="28">
        <f t="shared" si="395"/>
        <v>1925.9999999999284</v>
      </c>
      <c r="G7450" s="28">
        <f t="shared" si="396"/>
        <v>1833.9138</v>
      </c>
      <c r="H7450" s="28">
        <f t="shared" si="397"/>
        <v>1897.2424000000001</v>
      </c>
      <c r="I7450" s="28">
        <f t="shared" si="398"/>
        <v>1931.1654000000001</v>
      </c>
      <c r="J7450" s="28">
        <f t="shared" si="399"/>
        <v>1958.9523999999999</v>
      </c>
      <c r="K7450" s="28">
        <f t="shared" si="400"/>
        <v>2008.7752</v>
      </c>
      <c r="L7450" s="4"/>
      <c r="M7450" s="241">
        <v>1931.1654000000001</v>
      </c>
    </row>
    <row r="7451" spans="3:13" hidden="1" outlineLevel="1" x14ac:dyDescent="0.2">
      <c r="C7451" s="139">
        <v>259.29999999999046</v>
      </c>
      <c r="D7451" s="28">
        <f t="shared" si="393"/>
        <v>2074.3999999999237</v>
      </c>
      <c r="E7451" s="28">
        <f t="shared" si="394"/>
        <v>1944.7499999999284</v>
      </c>
      <c r="F7451" s="28">
        <f t="shared" si="395"/>
        <v>1926.7499999999284</v>
      </c>
      <c r="G7451" s="28">
        <f t="shared" si="396"/>
        <v>1834.9253000000001</v>
      </c>
      <c r="H7451" s="28">
        <f t="shared" si="397"/>
        <v>1898.2279000000001</v>
      </c>
      <c r="I7451" s="28">
        <f t="shared" si="398"/>
        <v>1932.1686</v>
      </c>
      <c r="J7451" s="28">
        <f t="shared" si="399"/>
        <v>1959.9701</v>
      </c>
      <c r="K7451" s="28">
        <f t="shared" si="400"/>
        <v>2009.8187</v>
      </c>
      <c r="L7451" s="4"/>
      <c r="M7451" s="241">
        <v>1932.1686</v>
      </c>
    </row>
    <row r="7452" spans="3:13" hidden="1" outlineLevel="1" x14ac:dyDescent="0.2">
      <c r="C7452" s="139">
        <v>259.39999999999048</v>
      </c>
      <c r="D7452" s="28">
        <f t="shared" si="393"/>
        <v>2075.1999999999239</v>
      </c>
      <c r="E7452" s="28">
        <f t="shared" si="394"/>
        <v>1945.4999999999286</v>
      </c>
      <c r="F7452" s="28">
        <f t="shared" si="395"/>
        <v>1927.4999999999286</v>
      </c>
      <c r="G7452" s="28">
        <f t="shared" si="396"/>
        <v>1835.8779999999999</v>
      </c>
      <c r="H7452" s="28">
        <f t="shared" si="397"/>
        <v>1899.2135000000001</v>
      </c>
      <c r="I7452" s="28">
        <f t="shared" si="398"/>
        <v>1933.1718000000001</v>
      </c>
      <c r="J7452" s="28">
        <f t="shared" si="399"/>
        <v>1960.9876999999999</v>
      </c>
      <c r="K7452" s="28">
        <f t="shared" si="400"/>
        <v>2010.9268999999999</v>
      </c>
      <c r="L7452" s="4"/>
      <c r="M7452" s="241">
        <v>1933.1718000000001</v>
      </c>
    </row>
    <row r="7453" spans="3:13" hidden="1" outlineLevel="1" x14ac:dyDescent="0.2">
      <c r="C7453" s="139">
        <v>259.49999999999051</v>
      </c>
      <c r="D7453" s="28">
        <f t="shared" si="393"/>
        <v>2075.9999999999241</v>
      </c>
      <c r="E7453" s="28">
        <f t="shared" si="394"/>
        <v>1946.2499999999288</v>
      </c>
      <c r="F7453" s="28">
        <f t="shared" si="395"/>
        <v>1928.2499999999288</v>
      </c>
      <c r="G7453" s="28">
        <f t="shared" si="396"/>
        <v>1836.8895</v>
      </c>
      <c r="H7453" s="28">
        <f t="shared" si="397"/>
        <v>1900.2579000000001</v>
      </c>
      <c r="I7453" s="28">
        <f t="shared" si="398"/>
        <v>1934.2398000000001</v>
      </c>
      <c r="J7453" s="28">
        <f t="shared" si="399"/>
        <v>1962.0054</v>
      </c>
      <c r="K7453" s="28">
        <f t="shared" si="400"/>
        <v>2011.9704999999999</v>
      </c>
      <c r="L7453" s="4"/>
      <c r="M7453" s="241">
        <v>1934.2398000000001</v>
      </c>
    </row>
    <row r="7454" spans="3:13" hidden="1" outlineLevel="1" x14ac:dyDescent="0.2">
      <c r="C7454" s="139">
        <v>259.59999999999053</v>
      </c>
      <c r="D7454" s="28">
        <f t="shared" si="393"/>
        <v>2076.7999999999242</v>
      </c>
      <c r="E7454" s="28">
        <f t="shared" si="394"/>
        <v>1946.9999999999291</v>
      </c>
      <c r="F7454" s="28">
        <f t="shared" si="395"/>
        <v>1928.9999999999291</v>
      </c>
      <c r="G7454" s="28">
        <f t="shared" si="396"/>
        <v>1836.8895</v>
      </c>
      <c r="H7454" s="28">
        <f t="shared" si="397"/>
        <v>1900.2579000000001</v>
      </c>
      <c r="I7454" s="28">
        <f t="shared" si="398"/>
        <v>1934.2398000000001</v>
      </c>
      <c r="J7454" s="28">
        <f t="shared" si="399"/>
        <v>1962.0054</v>
      </c>
      <c r="K7454" s="28">
        <f t="shared" si="400"/>
        <v>2011.9704999999999</v>
      </c>
      <c r="L7454" s="4"/>
      <c r="M7454" s="241">
        <v>1934.2398000000001</v>
      </c>
    </row>
    <row r="7455" spans="3:13" hidden="1" outlineLevel="1" x14ac:dyDescent="0.2">
      <c r="C7455" s="139">
        <v>259.69999999999055</v>
      </c>
      <c r="D7455" s="28">
        <f t="shared" si="393"/>
        <v>2077.5999999999244</v>
      </c>
      <c r="E7455" s="28">
        <f t="shared" si="394"/>
        <v>1947.7499999999291</v>
      </c>
      <c r="F7455" s="28">
        <f t="shared" si="395"/>
        <v>1929.7499999999291</v>
      </c>
      <c r="G7455" s="28">
        <f t="shared" si="396"/>
        <v>1837.8423</v>
      </c>
      <c r="H7455" s="28">
        <f t="shared" si="397"/>
        <v>1901.2435</v>
      </c>
      <c r="I7455" s="28">
        <f t="shared" si="398"/>
        <v>1935.2429999999999</v>
      </c>
      <c r="J7455" s="28">
        <f t="shared" si="399"/>
        <v>1963.0229999999999</v>
      </c>
      <c r="K7455" s="28">
        <f t="shared" si="400"/>
        <v>2013.0139999999999</v>
      </c>
      <c r="L7455" s="4"/>
      <c r="M7455" s="241">
        <v>1935.2429999999999</v>
      </c>
    </row>
    <row r="7456" spans="3:13" hidden="1" outlineLevel="1" x14ac:dyDescent="0.2">
      <c r="C7456" s="139">
        <v>259.79999999999058</v>
      </c>
      <c r="D7456" s="28">
        <f t="shared" si="393"/>
        <v>2078.3999999999246</v>
      </c>
      <c r="E7456" s="28">
        <f t="shared" si="394"/>
        <v>1948.4999999999293</v>
      </c>
      <c r="F7456" s="28">
        <f t="shared" si="395"/>
        <v>1930.4999999999293</v>
      </c>
      <c r="G7456" s="28">
        <f t="shared" si="396"/>
        <v>1838.8539000000001</v>
      </c>
      <c r="H7456" s="28">
        <f t="shared" si="397"/>
        <v>1902.2292</v>
      </c>
      <c r="I7456" s="28">
        <f t="shared" si="398"/>
        <v>1936.2462</v>
      </c>
      <c r="J7456" s="28">
        <f t="shared" si="399"/>
        <v>1964.0406</v>
      </c>
      <c r="K7456" s="28">
        <f t="shared" si="400"/>
        <v>2014.0576000000001</v>
      </c>
      <c r="L7456" s="4"/>
      <c r="M7456" s="241">
        <v>1936.2462</v>
      </c>
    </row>
    <row r="7457" spans="3:13" hidden="1" outlineLevel="1" x14ac:dyDescent="0.2">
      <c r="C7457" s="139">
        <v>259.8999999999906</v>
      </c>
      <c r="D7457" s="28">
        <f t="shared" si="393"/>
        <v>2079.1999999999248</v>
      </c>
      <c r="E7457" s="28">
        <f t="shared" si="394"/>
        <v>1949.2499999999295</v>
      </c>
      <c r="F7457" s="28">
        <f t="shared" si="395"/>
        <v>1931.2499999999295</v>
      </c>
      <c r="G7457" s="28">
        <f t="shared" si="396"/>
        <v>1839.8067000000001</v>
      </c>
      <c r="H7457" s="28">
        <f t="shared" si="397"/>
        <v>1903.2148</v>
      </c>
      <c r="I7457" s="28">
        <f t="shared" si="398"/>
        <v>1937.2494999999999</v>
      </c>
      <c r="J7457" s="28">
        <f t="shared" si="399"/>
        <v>1965.1231</v>
      </c>
      <c r="K7457" s="28">
        <f t="shared" si="400"/>
        <v>2015.1012000000001</v>
      </c>
      <c r="L7457" s="4"/>
      <c r="M7457" s="241">
        <v>1937.2494999999999</v>
      </c>
    </row>
    <row r="7458" spans="3:13" hidden="1" outlineLevel="1" x14ac:dyDescent="0.2">
      <c r="C7458" s="139">
        <v>259.99999999999062</v>
      </c>
      <c r="D7458" s="28">
        <f t="shared" si="393"/>
        <v>2079.999999999925</v>
      </c>
      <c r="E7458" s="28">
        <f t="shared" si="394"/>
        <v>1949.9999999999297</v>
      </c>
      <c r="F7458" s="28">
        <f t="shared" si="395"/>
        <v>1931.9999999999297</v>
      </c>
      <c r="G7458" s="28">
        <f t="shared" si="396"/>
        <v>1839.8067000000001</v>
      </c>
      <c r="H7458" s="28">
        <f t="shared" si="397"/>
        <v>1903.2148</v>
      </c>
      <c r="I7458" s="28">
        <f t="shared" si="398"/>
        <v>1937.2494999999999</v>
      </c>
      <c r="J7458" s="28">
        <f t="shared" si="399"/>
        <v>1965.1231</v>
      </c>
      <c r="K7458" s="28">
        <f t="shared" si="400"/>
        <v>2015.1012000000001</v>
      </c>
      <c r="L7458" s="4"/>
      <c r="M7458" s="241">
        <v>1937.2494999999999</v>
      </c>
    </row>
    <row r="7459" spans="3:13" hidden="1" outlineLevel="1" x14ac:dyDescent="0.2">
      <c r="C7459" s="139">
        <v>260.09999999999064</v>
      </c>
      <c r="D7459" s="28">
        <f t="shared" si="393"/>
        <v>2080.7999999999251</v>
      </c>
      <c r="E7459" s="28">
        <f t="shared" si="394"/>
        <v>1950.7499999999297</v>
      </c>
      <c r="F7459" s="28">
        <f t="shared" si="395"/>
        <v>1932.7499999999297</v>
      </c>
      <c r="G7459" s="28">
        <f t="shared" si="396"/>
        <v>1840.8184000000001</v>
      </c>
      <c r="H7459" s="28">
        <f t="shared" si="397"/>
        <v>1904.2592999999999</v>
      </c>
      <c r="I7459" s="28">
        <f t="shared" si="398"/>
        <v>1938.3176000000001</v>
      </c>
      <c r="J7459" s="28">
        <f t="shared" si="399"/>
        <v>1966.1407999999999</v>
      </c>
      <c r="K7459" s="28">
        <f t="shared" si="400"/>
        <v>2016.1447000000001</v>
      </c>
      <c r="L7459" s="4"/>
      <c r="M7459" s="241">
        <v>1938.3176000000001</v>
      </c>
    </row>
    <row r="7460" spans="3:13" hidden="1" outlineLevel="1" x14ac:dyDescent="0.2">
      <c r="C7460" s="139">
        <v>260.19999999999067</v>
      </c>
      <c r="D7460" s="28">
        <f t="shared" si="393"/>
        <v>2081.5999999999253</v>
      </c>
      <c r="E7460" s="28">
        <f t="shared" si="394"/>
        <v>1951.49999999993</v>
      </c>
      <c r="F7460" s="28">
        <f t="shared" si="395"/>
        <v>1933.49999999993</v>
      </c>
      <c r="G7460" s="28">
        <f t="shared" si="396"/>
        <v>1841.7711999999999</v>
      </c>
      <c r="H7460" s="28">
        <f t="shared" si="397"/>
        <v>1905.2449999999999</v>
      </c>
      <c r="I7460" s="28">
        <f t="shared" si="398"/>
        <v>1939.3208</v>
      </c>
      <c r="J7460" s="28">
        <f t="shared" si="399"/>
        <v>1967.1584</v>
      </c>
      <c r="K7460" s="28">
        <f t="shared" si="400"/>
        <v>2017.1883</v>
      </c>
      <c r="L7460" s="4"/>
      <c r="M7460" s="241">
        <v>1939.3208</v>
      </c>
    </row>
    <row r="7461" spans="3:13" hidden="1" outlineLevel="1" x14ac:dyDescent="0.2">
      <c r="C7461" s="139">
        <v>260.29999999999069</v>
      </c>
      <c r="D7461" s="28">
        <f t="shared" si="393"/>
        <v>2082.3999999999255</v>
      </c>
      <c r="E7461" s="28">
        <f t="shared" si="394"/>
        <v>1952.2499999999302</v>
      </c>
      <c r="F7461" s="28">
        <f t="shared" si="395"/>
        <v>1934.2499999999302</v>
      </c>
      <c r="G7461" s="28">
        <f t="shared" si="396"/>
        <v>1842.7831000000001</v>
      </c>
      <c r="H7461" s="28">
        <f t="shared" si="397"/>
        <v>1906.2306000000001</v>
      </c>
      <c r="I7461" s="28">
        <f t="shared" si="398"/>
        <v>1940.3241</v>
      </c>
      <c r="J7461" s="28">
        <f t="shared" si="399"/>
        <v>1968.1760999999999</v>
      </c>
      <c r="K7461" s="28">
        <f t="shared" si="400"/>
        <v>2018.2318</v>
      </c>
      <c r="L7461" s="4"/>
      <c r="M7461" s="241">
        <v>1940.3241</v>
      </c>
    </row>
    <row r="7462" spans="3:13" hidden="1" outlineLevel="1" x14ac:dyDescent="0.2">
      <c r="C7462" s="139">
        <v>260.39999999999071</v>
      </c>
      <c r="D7462" s="28">
        <f t="shared" si="393"/>
        <v>2083.1999999999257</v>
      </c>
      <c r="E7462" s="28">
        <f t="shared" si="394"/>
        <v>1952.9999999999304</v>
      </c>
      <c r="F7462" s="28">
        <f t="shared" si="395"/>
        <v>1934.9999999999304</v>
      </c>
      <c r="G7462" s="28">
        <f t="shared" si="396"/>
        <v>1842.7831000000001</v>
      </c>
      <c r="H7462" s="28">
        <f t="shared" si="397"/>
        <v>1906.2306000000001</v>
      </c>
      <c r="I7462" s="28">
        <f t="shared" si="398"/>
        <v>1940.3241</v>
      </c>
      <c r="J7462" s="28">
        <f t="shared" si="399"/>
        <v>1968.1760999999999</v>
      </c>
      <c r="K7462" s="28">
        <f t="shared" si="400"/>
        <v>2018.2318</v>
      </c>
      <c r="L7462" s="4"/>
      <c r="M7462" s="241">
        <v>1940.3241</v>
      </c>
    </row>
    <row r="7463" spans="3:13" hidden="1" outlineLevel="1" x14ac:dyDescent="0.2">
      <c r="C7463" s="139">
        <v>260.49999999999073</v>
      </c>
      <c r="D7463" s="28">
        <f t="shared" si="393"/>
        <v>2083.9999999999259</v>
      </c>
      <c r="E7463" s="28">
        <f t="shared" si="394"/>
        <v>1953.7499999999304</v>
      </c>
      <c r="F7463" s="28">
        <f t="shared" si="395"/>
        <v>1935.7499999999304</v>
      </c>
      <c r="G7463" s="28">
        <f t="shared" si="396"/>
        <v>1843.7358999999999</v>
      </c>
      <c r="H7463" s="28">
        <f t="shared" si="397"/>
        <v>1907.2753</v>
      </c>
      <c r="I7463" s="28">
        <f t="shared" si="398"/>
        <v>1941.3273999999999</v>
      </c>
      <c r="J7463" s="28">
        <f t="shared" si="399"/>
        <v>1969.1938</v>
      </c>
      <c r="K7463" s="28">
        <f t="shared" si="400"/>
        <v>2019.3403000000001</v>
      </c>
      <c r="L7463" s="4"/>
      <c r="M7463" s="241">
        <v>1941.3273999999999</v>
      </c>
    </row>
    <row r="7464" spans="3:13" hidden="1" outlineLevel="1" x14ac:dyDescent="0.2">
      <c r="C7464" s="139">
        <v>260.59999999999076</v>
      </c>
      <c r="D7464" s="28">
        <f t="shared" si="393"/>
        <v>2084.7999999999261</v>
      </c>
      <c r="E7464" s="28">
        <f t="shared" si="394"/>
        <v>1954.4999999999307</v>
      </c>
      <c r="F7464" s="28">
        <f t="shared" si="395"/>
        <v>1936.4999999999307</v>
      </c>
      <c r="G7464" s="28">
        <f t="shared" si="396"/>
        <v>1844.7478000000001</v>
      </c>
      <c r="H7464" s="28">
        <f t="shared" si="397"/>
        <v>1908.261</v>
      </c>
      <c r="I7464" s="28">
        <f t="shared" si="398"/>
        <v>1942.3306</v>
      </c>
      <c r="J7464" s="28">
        <f t="shared" si="399"/>
        <v>1970.2114999999999</v>
      </c>
      <c r="K7464" s="28">
        <f t="shared" si="400"/>
        <v>2020.3839</v>
      </c>
      <c r="L7464" s="4"/>
      <c r="M7464" s="241">
        <v>1942.3306</v>
      </c>
    </row>
    <row r="7465" spans="3:13" hidden="1" outlineLevel="1" x14ac:dyDescent="0.2">
      <c r="C7465" s="139">
        <v>260.69999999999078</v>
      </c>
      <c r="D7465" s="28">
        <f t="shared" si="393"/>
        <v>2085.5999999999262</v>
      </c>
      <c r="E7465" s="28">
        <f t="shared" si="394"/>
        <v>1955.2499999999309</v>
      </c>
      <c r="F7465" s="28">
        <f t="shared" si="395"/>
        <v>1937.2499999999309</v>
      </c>
      <c r="G7465" s="28">
        <f t="shared" si="396"/>
        <v>1845.7007000000001</v>
      </c>
      <c r="H7465" s="28">
        <f t="shared" si="397"/>
        <v>1909.2466999999999</v>
      </c>
      <c r="I7465" s="28">
        <f t="shared" si="398"/>
        <v>1943.3988999999999</v>
      </c>
      <c r="J7465" s="28">
        <f t="shared" si="399"/>
        <v>1971.2941000000001</v>
      </c>
      <c r="K7465" s="28">
        <f t="shared" si="400"/>
        <v>2021.4275</v>
      </c>
      <c r="L7465" s="4"/>
      <c r="M7465" s="241">
        <v>1943.3988999999999</v>
      </c>
    </row>
    <row r="7466" spans="3:13" hidden="1" outlineLevel="1" x14ac:dyDescent="0.2">
      <c r="C7466" s="139">
        <v>260.7999999999908</v>
      </c>
      <c r="D7466" s="28">
        <f t="shared" si="393"/>
        <v>2086.3999999999264</v>
      </c>
      <c r="E7466" s="28">
        <f t="shared" si="394"/>
        <v>1955.9999999999311</v>
      </c>
      <c r="F7466" s="28">
        <f t="shared" si="395"/>
        <v>1937.9999999999311</v>
      </c>
      <c r="G7466" s="28">
        <f t="shared" si="396"/>
        <v>1845.7007000000001</v>
      </c>
      <c r="H7466" s="28">
        <f t="shared" si="397"/>
        <v>1909.2466999999999</v>
      </c>
      <c r="I7466" s="28">
        <f t="shared" si="398"/>
        <v>1943.3988999999999</v>
      </c>
      <c r="J7466" s="28">
        <f t="shared" si="399"/>
        <v>1971.2941000000001</v>
      </c>
      <c r="K7466" s="28">
        <f t="shared" si="400"/>
        <v>2021.4275</v>
      </c>
      <c r="L7466" s="4"/>
      <c r="M7466" s="241">
        <v>1943.3988999999999</v>
      </c>
    </row>
    <row r="7467" spans="3:13" hidden="1" outlineLevel="1" x14ac:dyDescent="0.2">
      <c r="C7467" s="139">
        <v>260.89999999999083</v>
      </c>
      <c r="D7467" s="28">
        <f t="shared" si="393"/>
        <v>2087.1999999999266</v>
      </c>
      <c r="E7467" s="28">
        <f t="shared" si="394"/>
        <v>1956.7499999999311</v>
      </c>
      <c r="F7467" s="28">
        <f t="shared" si="395"/>
        <v>1938.7499999999311</v>
      </c>
      <c r="G7467" s="28">
        <f t="shared" si="396"/>
        <v>1846.7127</v>
      </c>
      <c r="H7467" s="28">
        <f t="shared" si="397"/>
        <v>1910.2322999999999</v>
      </c>
      <c r="I7467" s="28">
        <f t="shared" si="398"/>
        <v>1944.4022</v>
      </c>
      <c r="J7467" s="28">
        <f t="shared" si="399"/>
        <v>1972.3117999999999</v>
      </c>
      <c r="K7467" s="28">
        <f t="shared" si="400"/>
        <v>2022.4711</v>
      </c>
      <c r="L7467" s="4"/>
      <c r="M7467" s="241">
        <v>1944.4022</v>
      </c>
    </row>
    <row r="7468" spans="3:13" hidden="1" outlineLevel="1" x14ac:dyDescent="0.2">
      <c r="C7468" s="139">
        <v>260.99999999999085</v>
      </c>
      <c r="D7468" s="28">
        <f t="shared" si="393"/>
        <v>2087.9999999999268</v>
      </c>
      <c r="E7468" s="28">
        <f t="shared" si="394"/>
        <v>1957.4999999999313</v>
      </c>
      <c r="F7468" s="28">
        <f t="shared" si="395"/>
        <v>1939.4999999999313</v>
      </c>
      <c r="G7468" s="28">
        <f t="shared" si="396"/>
        <v>1847.6656</v>
      </c>
      <c r="H7468" s="28">
        <f t="shared" si="397"/>
        <v>1911.2772</v>
      </c>
      <c r="I7468" s="28">
        <f t="shared" si="398"/>
        <v>1945.4055000000001</v>
      </c>
      <c r="J7468" s="28">
        <f t="shared" si="399"/>
        <v>1973.3296</v>
      </c>
      <c r="K7468" s="28">
        <f t="shared" si="400"/>
        <v>2023.5146999999999</v>
      </c>
      <c r="L7468" s="4"/>
      <c r="M7468" s="241">
        <v>1945.4055000000001</v>
      </c>
    </row>
    <row r="7469" spans="3:13" hidden="1" outlineLevel="1" x14ac:dyDescent="0.2">
      <c r="C7469" s="139">
        <v>261.09999999999087</v>
      </c>
      <c r="D7469" s="28">
        <f t="shared" si="393"/>
        <v>2088.799999999927</v>
      </c>
      <c r="E7469" s="28">
        <f t="shared" si="394"/>
        <v>1958.2499999999316</v>
      </c>
      <c r="F7469" s="28">
        <f t="shared" si="395"/>
        <v>1940.2499999999316</v>
      </c>
      <c r="G7469" s="28">
        <f t="shared" si="396"/>
        <v>1848.6777</v>
      </c>
      <c r="H7469" s="28">
        <f t="shared" si="397"/>
        <v>1912.2628999999999</v>
      </c>
      <c r="I7469" s="28">
        <f t="shared" si="398"/>
        <v>1946.4087999999999</v>
      </c>
      <c r="J7469" s="28">
        <f t="shared" si="399"/>
        <v>1974.3472999999999</v>
      </c>
      <c r="K7469" s="28">
        <f t="shared" si="400"/>
        <v>2024.5582999999999</v>
      </c>
      <c r="L7469" s="4"/>
      <c r="M7469" s="241">
        <v>1946.4087999999999</v>
      </c>
    </row>
    <row r="7470" spans="3:13" hidden="1" outlineLevel="1" x14ac:dyDescent="0.2">
      <c r="C7470" s="139">
        <v>261.19999999999089</v>
      </c>
      <c r="D7470" s="28">
        <f t="shared" si="393"/>
        <v>2089.5999999999271</v>
      </c>
      <c r="E7470" s="28">
        <f t="shared" si="394"/>
        <v>1958.9999999999318</v>
      </c>
      <c r="F7470" s="28">
        <f t="shared" si="395"/>
        <v>1940.9999999999318</v>
      </c>
      <c r="G7470" s="28">
        <f t="shared" si="396"/>
        <v>1848.6777</v>
      </c>
      <c r="H7470" s="28">
        <f t="shared" si="397"/>
        <v>1912.2628999999999</v>
      </c>
      <c r="I7470" s="28">
        <f t="shared" si="398"/>
        <v>1946.4087999999999</v>
      </c>
      <c r="J7470" s="28">
        <f t="shared" si="399"/>
        <v>1974.3472999999999</v>
      </c>
      <c r="K7470" s="28">
        <f t="shared" si="400"/>
        <v>2024.5582999999999</v>
      </c>
      <c r="L7470" s="4"/>
      <c r="M7470" s="241">
        <v>1946.4087999999999</v>
      </c>
    </row>
    <row r="7471" spans="3:13" hidden="1" outlineLevel="1" x14ac:dyDescent="0.2">
      <c r="C7471" s="139">
        <v>261.29999999999092</v>
      </c>
      <c r="D7471" s="28">
        <f t="shared" si="393"/>
        <v>2090.3999999999273</v>
      </c>
      <c r="E7471" s="28">
        <f t="shared" si="394"/>
        <v>1959.7499999999318</v>
      </c>
      <c r="F7471" s="28">
        <f t="shared" si="395"/>
        <v>1941.7499999999318</v>
      </c>
      <c r="G7471" s="28">
        <f t="shared" si="396"/>
        <v>1849.6306</v>
      </c>
      <c r="H7471" s="28">
        <f t="shared" si="397"/>
        <v>1913.2485999999999</v>
      </c>
      <c r="I7471" s="28">
        <f t="shared" si="398"/>
        <v>1947.4121</v>
      </c>
      <c r="J7471" s="28">
        <f t="shared" si="399"/>
        <v>1975.365</v>
      </c>
      <c r="K7471" s="28">
        <f t="shared" si="400"/>
        <v>2025.6017999999999</v>
      </c>
      <c r="L7471" s="4"/>
      <c r="M7471" s="241">
        <v>1947.4121</v>
      </c>
    </row>
    <row r="7472" spans="3:13" hidden="1" outlineLevel="1" x14ac:dyDescent="0.2">
      <c r="C7472" s="139">
        <v>261.39999999999094</v>
      </c>
      <c r="D7472" s="28">
        <f t="shared" si="393"/>
        <v>2091.1999999999275</v>
      </c>
      <c r="E7472" s="28">
        <f t="shared" si="394"/>
        <v>1960.499999999932</v>
      </c>
      <c r="F7472" s="28">
        <f t="shared" si="395"/>
        <v>1942.499999999932</v>
      </c>
      <c r="G7472" s="28">
        <f t="shared" si="396"/>
        <v>1850.6428000000001</v>
      </c>
      <c r="H7472" s="28">
        <f t="shared" si="397"/>
        <v>1914.2935</v>
      </c>
      <c r="I7472" s="28">
        <f t="shared" si="398"/>
        <v>1948.4806000000001</v>
      </c>
      <c r="J7472" s="28">
        <f t="shared" si="399"/>
        <v>1976.4478999999999</v>
      </c>
      <c r="K7472" s="28">
        <f t="shared" si="400"/>
        <v>2026.6454000000001</v>
      </c>
      <c r="L7472" s="4"/>
      <c r="M7472" s="241">
        <v>1948.4806000000001</v>
      </c>
    </row>
    <row r="7473" spans="3:13" hidden="1" outlineLevel="1" x14ac:dyDescent="0.2">
      <c r="C7473" s="139">
        <v>261.49999999999096</v>
      </c>
      <c r="D7473" s="28">
        <f t="shared" si="393"/>
        <v>2091.9999999999277</v>
      </c>
      <c r="E7473" s="28">
        <f t="shared" si="394"/>
        <v>1961.2499999999322</v>
      </c>
      <c r="F7473" s="28">
        <f t="shared" si="395"/>
        <v>1943.2499999999322</v>
      </c>
      <c r="G7473" s="28">
        <f t="shared" si="396"/>
        <v>1851.5957000000001</v>
      </c>
      <c r="H7473" s="28">
        <f t="shared" si="397"/>
        <v>1915.2792999999999</v>
      </c>
      <c r="I7473" s="28">
        <f t="shared" si="398"/>
        <v>1949.4839999999999</v>
      </c>
      <c r="J7473" s="28">
        <f t="shared" si="399"/>
        <v>1977.4656</v>
      </c>
      <c r="K7473" s="28">
        <f t="shared" si="400"/>
        <v>2027.7542000000001</v>
      </c>
      <c r="L7473" s="4"/>
      <c r="M7473" s="241">
        <v>1949.4839999999999</v>
      </c>
    </row>
    <row r="7474" spans="3:13" hidden="1" outlineLevel="1" x14ac:dyDescent="0.2">
      <c r="C7474" s="139">
        <v>261.59999999999098</v>
      </c>
      <c r="D7474" s="28">
        <f t="shared" si="393"/>
        <v>2092.7999999999279</v>
      </c>
      <c r="E7474" s="28">
        <f t="shared" si="394"/>
        <v>1961.9999999999325</v>
      </c>
      <c r="F7474" s="28">
        <f t="shared" si="395"/>
        <v>1943.9999999999325</v>
      </c>
      <c r="G7474" s="28">
        <f t="shared" si="396"/>
        <v>1851.5957000000001</v>
      </c>
      <c r="H7474" s="28">
        <f t="shared" si="397"/>
        <v>1915.2792999999999</v>
      </c>
      <c r="I7474" s="28">
        <f t="shared" si="398"/>
        <v>1949.4839999999999</v>
      </c>
      <c r="J7474" s="28">
        <f t="shared" si="399"/>
        <v>1977.4656</v>
      </c>
      <c r="K7474" s="28">
        <f t="shared" si="400"/>
        <v>2027.7542000000001</v>
      </c>
      <c r="L7474" s="4"/>
      <c r="M7474" s="241">
        <v>1949.4839999999999</v>
      </c>
    </row>
    <row r="7475" spans="3:13" hidden="1" outlineLevel="1" x14ac:dyDescent="0.2">
      <c r="C7475" s="139">
        <v>261.69999999999101</v>
      </c>
      <c r="D7475" s="28">
        <f t="shared" si="393"/>
        <v>2093.5999999999281</v>
      </c>
      <c r="E7475" s="28">
        <f t="shared" si="394"/>
        <v>1962.7499999999325</v>
      </c>
      <c r="F7475" s="28">
        <f t="shared" si="395"/>
        <v>1944.7499999999325</v>
      </c>
      <c r="G7475" s="28">
        <f t="shared" si="396"/>
        <v>1852.5487000000001</v>
      </c>
      <c r="H7475" s="28">
        <f t="shared" si="397"/>
        <v>1916.2650000000001</v>
      </c>
      <c r="I7475" s="28">
        <f t="shared" si="398"/>
        <v>1950.4873</v>
      </c>
      <c r="J7475" s="28">
        <f t="shared" si="399"/>
        <v>1978.4833000000001</v>
      </c>
      <c r="K7475" s="28">
        <f t="shared" si="400"/>
        <v>2028.7979</v>
      </c>
      <c r="L7475" s="4"/>
      <c r="M7475" s="241">
        <v>1950.4873</v>
      </c>
    </row>
    <row r="7476" spans="3:13" hidden="1" outlineLevel="1" x14ac:dyDescent="0.2">
      <c r="C7476" s="139">
        <v>261.79999999999103</v>
      </c>
      <c r="D7476" s="28">
        <f t="shared" si="393"/>
        <v>2094.3999999999282</v>
      </c>
      <c r="E7476" s="28">
        <f t="shared" si="394"/>
        <v>1963.4999999999327</v>
      </c>
      <c r="F7476" s="28">
        <f t="shared" si="395"/>
        <v>1945.4999999999327</v>
      </c>
      <c r="G7476" s="28">
        <f t="shared" si="396"/>
        <v>1853.5609999999999</v>
      </c>
      <c r="H7476" s="28">
        <f t="shared" si="397"/>
        <v>1917.3100999999999</v>
      </c>
      <c r="I7476" s="28">
        <f t="shared" si="398"/>
        <v>1951.4907000000001</v>
      </c>
      <c r="J7476" s="28">
        <f t="shared" si="399"/>
        <v>1979.5011</v>
      </c>
      <c r="K7476" s="28">
        <f t="shared" si="400"/>
        <v>2029.8415</v>
      </c>
      <c r="L7476" s="4"/>
      <c r="M7476" s="241">
        <v>1951.4907000000001</v>
      </c>
    </row>
    <row r="7477" spans="3:13" hidden="1" outlineLevel="1" x14ac:dyDescent="0.2">
      <c r="C7477" s="139">
        <v>261.89999999999105</v>
      </c>
      <c r="D7477" s="28">
        <f t="shared" si="393"/>
        <v>2095.1999999999284</v>
      </c>
      <c r="E7477" s="28">
        <f t="shared" si="394"/>
        <v>1964.2499999999329</v>
      </c>
      <c r="F7477" s="28">
        <f t="shared" si="395"/>
        <v>1946.2499999999329</v>
      </c>
      <c r="G7477" s="28">
        <f t="shared" si="396"/>
        <v>1854.5139999999999</v>
      </c>
      <c r="H7477" s="28">
        <f t="shared" si="397"/>
        <v>1918.2959000000001</v>
      </c>
      <c r="I7477" s="28">
        <f t="shared" si="398"/>
        <v>1952.4939999999999</v>
      </c>
      <c r="J7477" s="28">
        <f t="shared" si="399"/>
        <v>1980.5188000000001</v>
      </c>
      <c r="K7477" s="28">
        <f t="shared" si="400"/>
        <v>2030.8851</v>
      </c>
      <c r="L7477" s="4"/>
      <c r="M7477" s="241">
        <v>1952.4939999999999</v>
      </c>
    </row>
    <row r="7478" spans="3:13" hidden="1" outlineLevel="1" x14ac:dyDescent="0.2">
      <c r="C7478" s="139">
        <v>261.99999999999108</v>
      </c>
      <c r="D7478" s="28">
        <f t="shared" si="393"/>
        <v>2095.9999999999286</v>
      </c>
      <c r="E7478" s="28">
        <f t="shared" si="394"/>
        <v>1964.9999999999332</v>
      </c>
      <c r="F7478" s="28">
        <f t="shared" si="395"/>
        <v>1946.9999999999332</v>
      </c>
      <c r="G7478" s="28">
        <f t="shared" si="396"/>
        <v>1854.5139999999999</v>
      </c>
      <c r="H7478" s="28">
        <f t="shared" si="397"/>
        <v>1918.2959000000001</v>
      </c>
      <c r="I7478" s="28">
        <f t="shared" si="398"/>
        <v>1952.4939999999999</v>
      </c>
      <c r="J7478" s="28">
        <f t="shared" si="399"/>
        <v>1980.5188000000001</v>
      </c>
      <c r="K7478" s="28">
        <f t="shared" si="400"/>
        <v>2030.8851</v>
      </c>
      <c r="L7478" s="4"/>
      <c r="M7478" s="241">
        <v>1952.4939999999999</v>
      </c>
    </row>
    <row r="7479" spans="3:13" hidden="1" outlineLevel="1" x14ac:dyDescent="0.2">
      <c r="C7479" s="139">
        <v>262.0999999999911</v>
      </c>
      <c r="D7479" s="28">
        <f t="shared" si="393"/>
        <v>2096.7999999999288</v>
      </c>
      <c r="E7479" s="28">
        <f t="shared" si="394"/>
        <v>1965.7499999999332</v>
      </c>
      <c r="F7479" s="28">
        <f t="shared" si="395"/>
        <v>1947.7499999999332</v>
      </c>
      <c r="G7479" s="28">
        <f t="shared" si="396"/>
        <v>1855.5264</v>
      </c>
      <c r="H7479" s="28">
        <f t="shared" si="397"/>
        <v>1919.2816</v>
      </c>
      <c r="I7479" s="28">
        <f t="shared" si="398"/>
        <v>1953.5626999999999</v>
      </c>
      <c r="J7479" s="28">
        <f t="shared" si="399"/>
        <v>1981.5365999999999</v>
      </c>
      <c r="K7479" s="28">
        <f t="shared" si="400"/>
        <v>2031.9286999999999</v>
      </c>
      <c r="L7479" s="4"/>
      <c r="M7479" s="241">
        <v>1953.5626999999999</v>
      </c>
    </row>
    <row r="7480" spans="3:13" hidden="1" outlineLevel="1" x14ac:dyDescent="0.2">
      <c r="C7480" s="139">
        <v>262.19999999999112</v>
      </c>
      <c r="D7480" s="28">
        <f t="shared" si="393"/>
        <v>2097.599999999929</v>
      </c>
      <c r="E7480" s="28">
        <f t="shared" si="394"/>
        <v>1966.4999999999334</v>
      </c>
      <c r="F7480" s="28">
        <f t="shared" si="395"/>
        <v>1948.4999999999334</v>
      </c>
      <c r="G7480" s="28">
        <f t="shared" si="396"/>
        <v>1856.4793999999999</v>
      </c>
      <c r="H7480" s="28">
        <f t="shared" si="397"/>
        <v>1920.2674</v>
      </c>
      <c r="I7480" s="28">
        <f t="shared" si="398"/>
        <v>1954.5661</v>
      </c>
      <c r="J7480" s="28">
        <f t="shared" si="399"/>
        <v>1982.6197</v>
      </c>
      <c r="K7480" s="28">
        <f t="shared" si="400"/>
        <v>2032.9722999999999</v>
      </c>
      <c r="L7480" s="4"/>
      <c r="M7480" s="241">
        <v>1954.5661</v>
      </c>
    </row>
    <row r="7481" spans="3:13" hidden="1" outlineLevel="1" x14ac:dyDescent="0.2">
      <c r="C7481" s="139">
        <v>262.29999999999114</v>
      </c>
      <c r="D7481" s="28">
        <f t="shared" si="393"/>
        <v>2098.3999999999292</v>
      </c>
      <c r="E7481" s="28">
        <f t="shared" si="394"/>
        <v>1967.2499999999336</v>
      </c>
      <c r="F7481" s="28">
        <f t="shared" si="395"/>
        <v>1949.2499999999336</v>
      </c>
      <c r="G7481" s="28">
        <f t="shared" si="396"/>
        <v>1857.4919</v>
      </c>
      <c r="H7481" s="28">
        <f t="shared" si="397"/>
        <v>1921.3126</v>
      </c>
      <c r="I7481" s="28">
        <f t="shared" si="398"/>
        <v>1955.5694000000001</v>
      </c>
      <c r="J7481" s="28">
        <f t="shared" si="399"/>
        <v>1983.6375</v>
      </c>
      <c r="K7481" s="28">
        <f t="shared" si="400"/>
        <v>2034.0160000000001</v>
      </c>
      <c r="L7481" s="4"/>
      <c r="M7481" s="241">
        <v>1955.5694000000001</v>
      </c>
    </row>
    <row r="7482" spans="3:13" hidden="1" outlineLevel="1" x14ac:dyDescent="0.2">
      <c r="C7482" s="139">
        <v>262.39999999999117</v>
      </c>
      <c r="D7482" s="28">
        <f t="shared" si="393"/>
        <v>2099.1999999999293</v>
      </c>
      <c r="E7482" s="28">
        <f t="shared" si="394"/>
        <v>1967.9999999999338</v>
      </c>
      <c r="F7482" s="28">
        <f t="shared" si="395"/>
        <v>1949.9999999999338</v>
      </c>
      <c r="G7482" s="28">
        <f t="shared" si="396"/>
        <v>1857.4919</v>
      </c>
      <c r="H7482" s="28">
        <f t="shared" si="397"/>
        <v>1921.3126</v>
      </c>
      <c r="I7482" s="28">
        <f t="shared" si="398"/>
        <v>1955.5694000000001</v>
      </c>
      <c r="J7482" s="28">
        <f t="shared" si="399"/>
        <v>1983.6375</v>
      </c>
      <c r="K7482" s="28">
        <f t="shared" si="400"/>
        <v>2034.0160000000001</v>
      </c>
      <c r="L7482" s="4"/>
      <c r="M7482" s="241">
        <v>1955.5694000000001</v>
      </c>
    </row>
    <row r="7483" spans="3:13" hidden="1" outlineLevel="1" x14ac:dyDescent="0.2">
      <c r="C7483" s="139">
        <v>262.49999999999119</v>
      </c>
      <c r="D7483" s="28">
        <f t="shared" ref="D7483:D7546" si="401">C7483*Channels.per.TRX</f>
        <v>2099.9999999999295</v>
      </c>
      <c r="E7483" s="28">
        <f t="shared" ref="E7483:E7546" si="402">D7483-C7483*sig.channel.per.TRX</f>
        <v>1968.7499999999338</v>
      </c>
      <c r="F7483" s="28">
        <f t="shared" ref="F7483:F7546" si="403">MAX(0,E7483-GPRS.channel.per.sector)</f>
        <v>1950.7499999999338</v>
      </c>
      <c r="G7483" s="28">
        <f t="shared" ref="G7483:G7546" si="404">INDEX(D$10:D$4326,MATCH($F7483,$C$10:$C$4326,1))</f>
        <v>1858.4449999999999</v>
      </c>
      <c r="H7483" s="28">
        <f t="shared" ref="H7483:H7546" si="405">INDEX(E$10:E$4326,MATCH($F7483,$C$10:$C$4326,1))</f>
        <v>1922.2983999999999</v>
      </c>
      <c r="I7483" s="28">
        <f t="shared" ref="I7483:I7546" si="406">INDEX(F$10:F$4326,MATCH($F7483,$C$10:$C$4326,1))</f>
        <v>1956.5727999999999</v>
      </c>
      <c r="J7483" s="28">
        <f t="shared" ref="J7483:J7546" si="407">INDEX(G$10:G$4326,MATCH($F7483,$C$10:$C$4326,1))</f>
        <v>1984.6551999999999</v>
      </c>
      <c r="K7483" s="28">
        <f t="shared" ref="K7483:K7546" si="408">INDEX(H$10:H$4326,MATCH($F7483,$C$10:$C$4326,1))</f>
        <v>2035.0596</v>
      </c>
      <c r="L7483" s="4"/>
      <c r="M7483" s="241">
        <v>1956.5727999999999</v>
      </c>
    </row>
    <row r="7484" spans="3:13" hidden="1" outlineLevel="1" x14ac:dyDescent="0.2">
      <c r="C7484" s="139">
        <v>262.59999999999121</v>
      </c>
      <c r="D7484" s="28">
        <f t="shared" si="401"/>
        <v>2100.7999999999297</v>
      </c>
      <c r="E7484" s="28">
        <f t="shared" si="402"/>
        <v>1969.4999999999341</v>
      </c>
      <c r="F7484" s="28">
        <f t="shared" si="403"/>
        <v>1951.4999999999341</v>
      </c>
      <c r="G7484" s="28">
        <f t="shared" si="404"/>
        <v>1859.4576</v>
      </c>
      <c r="H7484" s="28">
        <f t="shared" si="405"/>
        <v>1923.2842000000001</v>
      </c>
      <c r="I7484" s="28">
        <f t="shared" si="406"/>
        <v>1957.5762</v>
      </c>
      <c r="J7484" s="28">
        <f t="shared" si="407"/>
        <v>1985.673</v>
      </c>
      <c r="K7484" s="28">
        <f t="shared" si="408"/>
        <v>2036.1686999999999</v>
      </c>
      <c r="L7484" s="4"/>
      <c r="M7484" s="241">
        <v>1957.5762</v>
      </c>
    </row>
    <row r="7485" spans="3:13" hidden="1" outlineLevel="1" x14ac:dyDescent="0.2">
      <c r="C7485" s="139">
        <v>262.69999999999123</v>
      </c>
      <c r="D7485" s="28">
        <f t="shared" si="401"/>
        <v>2101.5999999999299</v>
      </c>
      <c r="E7485" s="28">
        <f t="shared" si="402"/>
        <v>1970.2499999999343</v>
      </c>
      <c r="F7485" s="28">
        <f t="shared" si="403"/>
        <v>1952.2499999999343</v>
      </c>
      <c r="G7485" s="28">
        <f t="shared" si="404"/>
        <v>1860.4105999999999</v>
      </c>
      <c r="H7485" s="28">
        <f t="shared" si="405"/>
        <v>1924.3296</v>
      </c>
      <c r="I7485" s="28">
        <f t="shared" si="406"/>
        <v>1958.6451</v>
      </c>
      <c r="J7485" s="28">
        <f t="shared" si="407"/>
        <v>1986.6908000000001</v>
      </c>
      <c r="K7485" s="28">
        <f t="shared" si="408"/>
        <v>2037.2123999999999</v>
      </c>
      <c r="L7485" s="4"/>
      <c r="M7485" s="241">
        <v>1958.6451</v>
      </c>
    </row>
    <row r="7486" spans="3:13" hidden="1" outlineLevel="1" x14ac:dyDescent="0.2">
      <c r="C7486" s="139">
        <v>262.79999999999126</v>
      </c>
      <c r="D7486" s="28">
        <f t="shared" si="401"/>
        <v>2102.3999999999301</v>
      </c>
      <c r="E7486" s="28">
        <f t="shared" si="402"/>
        <v>1970.9999999999345</v>
      </c>
      <c r="F7486" s="28">
        <f t="shared" si="403"/>
        <v>1952.9999999999345</v>
      </c>
      <c r="G7486" s="28">
        <f t="shared" si="404"/>
        <v>1860.4105999999999</v>
      </c>
      <c r="H7486" s="28">
        <f t="shared" si="405"/>
        <v>1924.3296</v>
      </c>
      <c r="I7486" s="28">
        <f t="shared" si="406"/>
        <v>1958.6451</v>
      </c>
      <c r="J7486" s="28">
        <f t="shared" si="407"/>
        <v>1986.6908000000001</v>
      </c>
      <c r="K7486" s="28">
        <f t="shared" si="408"/>
        <v>2037.2123999999999</v>
      </c>
      <c r="L7486" s="4"/>
      <c r="M7486" s="241">
        <v>1958.6451</v>
      </c>
    </row>
    <row r="7487" spans="3:13" hidden="1" outlineLevel="1" x14ac:dyDescent="0.2">
      <c r="C7487" s="139">
        <v>262.89999999999128</v>
      </c>
      <c r="D7487" s="28">
        <f t="shared" si="401"/>
        <v>2103.1999999999302</v>
      </c>
      <c r="E7487" s="28">
        <f t="shared" si="402"/>
        <v>1971.7499999999345</v>
      </c>
      <c r="F7487" s="28">
        <f t="shared" si="403"/>
        <v>1953.7499999999345</v>
      </c>
      <c r="G7487" s="28">
        <f t="shared" si="404"/>
        <v>1861.4232999999999</v>
      </c>
      <c r="H7487" s="28">
        <f t="shared" si="405"/>
        <v>1925.3154</v>
      </c>
      <c r="I7487" s="28">
        <f t="shared" si="406"/>
        <v>1959.6485</v>
      </c>
      <c r="J7487" s="28">
        <f t="shared" si="407"/>
        <v>1987.7085</v>
      </c>
      <c r="K7487" s="28">
        <f t="shared" si="408"/>
        <v>2038.2560000000001</v>
      </c>
      <c r="L7487" s="4"/>
      <c r="M7487" s="241">
        <v>1959.6485</v>
      </c>
    </row>
    <row r="7488" spans="3:13" hidden="1" outlineLevel="1" x14ac:dyDescent="0.2">
      <c r="C7488" s="139">
        <v>262.9999999999913</v>
      </c>
      <c r="D7488" s="28">
        <f t="shared" si="401"/>
        <v>2103.9999999999304</v>
      </c>
      <c r="E7488" s="28">
        <f t="shared" si="402"/>
        <v>1972.4999999999347</v>
      </c>
      <c r="F7488" s="28">
        <f t="shared" si="403"/>
        <v>1954.4999999999347</v>
      </c>
      <c r="G7488" s="28">
        <f t="shared" si="404"/>
        <v>1862.3764000000001</v>
      </c>
      <c r="H7488" s="28">
        <f t="shared" si="405"/>
        <v>1926.3012000000001</v>
      </c>
      <c r="I7488" s="28">
        <f t="shared" si="406"/>
        <v>1960.6519000000001</v>
      </c>
      <c r="J7488" s="28">
        <f t="shared" si="407"/>
        <v>1988.7918999999999</v>
      </c>
      <c r="K7488" s="28">
        <f t="shared" si="408"/>
        <v>2039.2997</v>
      </c>
      <c r="L7488" s="4"/>
      <c r="M7488" s="241">
        <v>1960.6519000000001</v>
      </c>
    </row>
    <row r="7489" spans="3:13" hidden="1" outlineLevel="1" x14ac:dyDescent="0.2">
      <c r="C7489" s="139">
        <v>263.09999999999133</v>
      </c>
      <c r="D7489" s="28">
        <f t="shared" si="401"/>
        <v>2104.7999999999306</v>
      </c>
      <c r="E7489" s="28">
        <f t="shared" si="402"/>
        <v>1973.249999999935</v>
      </c>
      <c r="F7489" s="28">
        <f t="shared" si="403"/>
        <v>1955.249999999935</v>
      </c>
      <c r="G7489" s="28">
        <f t="shared" si="404"/>
        <v>1863.3892000000001</v>
      </c>
      <c r="H7489" s="28">
        <f t="shared" si="405"/>
        <v>1927.3467000000001</v>
      </c>
      <c r="I7489" s="28">
        <f t="shared" si="406"/>
        <v>1961.6552999999999</v>
      </c>
      <c r="J7489" s="28">
        <f t="shared" si="407"/>
        <v>1989.8097</v>
      </c>
      <c r="K7489" s="28">
        <f t="shared" si="408"/>
        <v>2040.3433</v>
      </c>
      <c r="L7489" s="4"/>
      <c r="M7489" s="241">
        <v>1961.6552999999999</v>
      </c>
    </row>
    <row r="7490" spans="3:13" hidden="1" outlineLevel="1" x14ac:dyDescent="0.2">
      <c r="C7490" s="139">
        <v>263.19999999999135</v>
      </c>
      <c r="D7490" s="28">
        <f t="shared" si="401"/>
        <v>2105.5999999999308</v>
      </c>
      <c r="E7490" s="28">
        <f t="shared" si="402"/>
        <v>1973.9999999999352</v>
      </c>
      <c r="F7490" s="28">
        <f t="shared" si="403"/>
        <v>1955.9999999999352</v>
      </c>
      <c r="G7490" s="28">
        <f t="shared" si="404"/>
        <v>1863.3892000000001</v>
      </c>
      <c r="H7490" s="28">
        <f t="shared" si="405"/>
        <v>1927.3467000000001</v>
      </c>
      <c r="I7490" s="28">
        <f t="shared" si="406"/>
        <v>1961.6552999999999</v>
      </c>
      <c r="J7490" s="28">
        <f t="shared" si="407"/>
        <v>1989.8097</v>
      </c>
      <c r="K7490" s="28">
        <f t="shared" si="408"/>
        <v>2040.3433</v>
      </c>
      <c r="L7490" s="4"/>
      <c r="M7490" s="241">
        <v>1961.6552999999999</v>
      </c>
    </row>
    <row r="7491" spans="3:13" hidden="1" outlineLevel="1" x14ac:dyDescent="0.2">
      <c r="C7491" s="139">
        <v>263.29999999999137</v>
      </c>
      <c r="D7491" s="28">
        <f t="shared" si="401"/>
        <v>2106.399999999931</v>
      </c>
      <c r="E7491" s="28">
        <f t="shared" si="402"/>
        <v>1974.7499999999352</v>
      </c>
      <c r="F7491" s="28">
        <f t="shared" si="403"/>
        <v>1956.7499999999352</v>
      </c>
      <c r="G7491" s="28">
        <f t="shared" si="404"/>
        <v>1864.3423</v>
      </c>
      <c r="H7491" s="28">
        <f t="shared" si="405"/>
        <v>1928.3326</v>
      </c>
      <c r="I7491" s="28">
        <f t="shared" si="406"/>
        <v>1962.7243000000001</v>
      </c>
      <c r="J7491" s="28">
        <f t="shared" si="407"/>
        <v>1990.8275000000001</v>
      </c>
      <c r="K7491" s="28">
        <f t="shared" si="408"/>
        <v>2041.3869999999999</v>
      </c>
      <c r="L7491" s="4"/>
      <c r="M7491" s="241">
        <v>1962.7243000000001</v>
      </c>
    </row>
    <row r="7492" spans="3:13" hidden="1" outlineLevel="1" x14ac:dyDescent="0.2">
      <c r="C7492" s="139">
        <v>263.39999999999139</v>
      </c>
      <c r="D7492" s="28">
        <f t="shared" si="401"/>
        <v>2107.1999999999312</v>
      </c>
      <c r="E7492" s="28">
        <f t="shared" si="402"/>
        <v>1975.4999999999354</v>
      </c>
      <c r="F7492" s="28">
        <f t="shared" si="403"/>
        <v>1957.4999999999354</v>
      </c>
      <c r="G7492" s="28">
        <f t="shared" si="404"/>
        <v>1865.3552</v>
      </c>
      <c r="H7492" s="28">
        <f t="shared" si="405"/>
        <v>1929.3184000000001</v>
      </c>
      <c r="I7492" s="28">
        <f t="shared" si="406"/>
        <v>1963.7277999999999</v>
      </c>
      <c r="J7492" s="28">
        <f t="shared" si="407"/>
        <v>1991.8453</v>
      </c>
      <c r="K7492" s="28">
        <f t="shared" si="408"/>
        <v>2042.4305999999999</v>
      </c>
      <c r="L7492" s="4"/>
      <c r="M7492" s="241">
        <v>1963.7277999999999</v>
      </c>
    </row>
    <row r="7493" spans="3:13" hidden="1" outlineLevel="1" x14ac:dyDescent="0.2">
      <c r="C7493" s="139">
        <v>263.49999999999142</v>
      </c>
      <c r="D7493" s="28">
        <f t="shared" si="401"/>
        <v>2107.9999999999313</v>
      </c>
      <c r="E7493" s="28">
        <f t="shared" si="402"/>
        <v>1976.2499999999357</v>
      </c>
      <c r="F7493" s="28">
        <f t="shared" si="403"/>
        <v>1958.2499999999357</v>
      </c>
      <c r="G7493" s="28">
        <f t="shared" si="404"/>
        <v>1866.3083999999999</v>
      </c>
      <c r="H7493" s="28">
        <f t="shared" si="405"/>
        <v>1930.3043</v>
      </c>
      <c r="I7493" s="28">
        <f t="shared" si="406"/>
        <v>1964.7311999999999</v>
      </c>
      <c r="J7493" s="28">
        <f t="shared" si="407"/>
        <v>1992.8631</v>
      </c>
      <c r="K7493" s="28">
        <f t="shared" si="408"/>
        <v>2043.4743000000001</v>
      </c>
      <c r="L7493" s="4"/>
      <c r="M7493" s="241">
        <v>1964.7311999999999</v>
      </c>
    </row>
    <row r="7494" spans="3:13" hidden="1" outlineLevel="1" x14ac:dyDescent="0.2">
      <c r="C7494" s="139">
        <v>263.59999999999144</v>
      </c>
      <c r="D7494" s="28">
        <f t="shared" si="401"/>
        <v>2108.7999999999315</v>
      </c>
      <c r="E7494" s="28">
        <f t="shared" si="402"/>
        <v>1976.9999999999359</v>
      </c>
      <c r="F7494" s="28">
        <f t="shared" si="403"/>
        <v>1958.9999999999359</v>
      </c>
      <c r="G7494" s="28">
        <f t="shared" si="404"/>
        <v>1866.3083999999999</v>
      </c>
      <c r="H7494" s="28">
        <f t="shared" si="405"/>
        <v>1930.3043</v>
      </c>
      <c r="I7494" s="28">
        <f t="shared" si="406"/>
        <v>1964.7311999999999</v>
      </c>
      <c r="J7494" s="28">
        <f t="shared" si="407"/>
        <v>1992.8631</v>
      </c>
      <c r="K7494" s="28">
        <f t="shared" si="408"/>
        <v>2043.4743000000001</v>
      </c>
      <c r="L7494" s="4"/>
      <c r="M7494" s="241">
        <v>1964.7311999999999</v>
      </c>
    </row>
    <row r="7495" spans="3:13" hidden="1" outlineLevel="1" x14ac:dyDescent="0.2">
      <c r="C7495" s="139">
        <v>263.69999999999146</v>
      </c>
      <c r="D7495" s="28">
        <f t="shared" si="401"/>
        <v>2109.5999999999317</v>
      </c>
      <c r="E7495" s="28">
        <f t="shared" si="402"/>
        <v>1977.7499999999359</v>
      </c>
      <c r="F7495" s="28">
        <f t="shared" si="403"/>
        <v>1959.7499999999359</v>
      </c>
      <c r="G7495" s="28">
        <f t="shared" si="404"/>
        <v>1867.3213000000001</v>
      </c>
      <c r="H7495" s="28">
        <f t="shared" si="405"/>
        <v>1931.3498999999999</v>
      </c>
      <c r="I7495" s="28">
        <f t="shared" si="406"/>
        <v>1965.7347</v>
      </c>
      <c r="J7495" s="28">
        <f t="shared" si="407"/>
        <v>1993.8809000000001</v>
      </c>
      <c r="K7495" s="28">
        <f t="shared" si="408"/>
        <v>2044.5836999999999</v>
      </c>
      <c r="L7495" s="4"/>
      <c r="M7495" s="241">
        <v>1965.7347</v>
      </c>
    </row>
    <row r="7496" spans="3:13" hidden="1" outlineLevel="1" x14ac:dyDescent="0.2">
      <c r="C7496" s="139">
        <v>263.79999999999148</v>
      </c>
      <c r="D7496" s="28">
        <f t="shared" si="401"/>
        <v>2110.3999999999319</v>
      </c>
      <c r="E7496" s="28">
        <f t="shared" si="402"/>
        <v>1978.4999999999361</v>
      </c>
      <c r="F7496" s="28">
        <f t="shared" si="403"/>
        <v>1960.4999999999361</v>
      </c>
      <c r="G7496" s="28">
        <f t="shared" si="404"/>
        <v>1868.2745</v>
      </c>
      <c r="H7496" s="28">
        <f t="shared" si="405"/>
        <v>1932.3358000000001</v>
      </c>
      <c r="I7496" s="28">
        <f t="shared" si="406"/>
        <v>1966.7381</v>
      </c>
      <c r="J7496" s="28">
        <f t="shared" si="407"/>
        <v>1994.9645</v>
      </c>
      <c r="K7496" s="28">
        <f t="shared" si="408"/>
        <v>2045.6274000000001</v>
      </c>
      <c r="L7496" s="4"/>
      <c r="M7496" s="241">
        <v>1966.7381</v>
      </c>
    </row>
    <row r="7497" spans="3:13" hidden="1" outlineLevel="1" x14ac:dyDescent="0.2">
      <c r="C7497" s="139">
        <v>263.89999999999151</v>
      </c>
      <c r="D7497" s="28">
        <f t="shared" si="401"/>
        <v>2111.1999999999321</v>
      </c>
      <c r="E7497" s="28">
        <f t="shared" si="402"/>
        <v>1979.2499999999363</v>
      </c>
      <c r="F7497" s="28">
        <f t="shared" si="403"/>
        <v>1961.2499999999363</v>
      </c>
      <c r="G7497" s="28">
        <f t="shared" si="404"/>
        <v>1869.2876000000001</v>
      </c>
      <c r="H7497" s="28">
        <f t="shared" si="405"/>
        <v>1933.3217</v>
      </c>
      <c r="I7497" s="28">
        <f t="shared" si="406"/>
        <v>1967.8073999999999</v>
      </c>
      <c r="J7497" s="28">
        <f t="shared" si="407"/>
        <v>1995.9824000000001</v>
      </c>
      <c r="K7497" s="28">
        <f t="shared" si="408"/>
        <v>2046.6711</v>
      </c>
      <c r="L7497" s="4"/>
      <c r="M7497" s="241">
        <v>1967.8073999999999</v>
      </c>
    </row>
    <row r="7498" spans="3:13" hidden="1" outlineLevel="1" x14ac:dyDescent="0.2">
      <c r="C7498" s="139">
        <v>263.99999999999153</v>
      </c>
      <c r="D7498" s="28">
        <f t="shared" si="401"/>
        <v>2111.9999999999322</v>
      </c>
      <c r="E7498" s="28">
        <f t="shared" si="402"/>
        <v>1979.9999999999366</v>
      </c>
      <c r="F7498" s="28">
        <f t="shared" si="403"/>
        <v>1961.9999999999366</v>
      </c>
      <c r="G7498" s="28">
        <f t="shared" si="404"/>
        <v>1869.2876000000001</v>
      </c>
      <c r="H7498" s="28">
        <f t="shared" si="405"/>
        <v>1933.3217</v>
      </c>
      <c r="I7498" s="28">
        <f t="shared" si="406"/>
        <v>1967.8073999999999</v>
      </c>
      <c r="J7498" s="28">
        <f t="shared" si="407"/>
        <v>1995.9824000000001</v>
      </c>
      <c r="K7498" s="28">
        <f t="shared" si="408"/>
        <v>2046.6711</v>
      </c>
      <c r="L7498" s="4"/>
      <c r="M7498" s="241">
        <v>1967.8073999999999</v>
      </c>
    </row>
    <row r="7499" spans="3:13" hidden="1" outlineLevel="1" x14ac:dyDescent="0.2">
      <c r="C7499" s="139">
        <v>264.09999999999155</v>
      </c>
      <c r="D7499" s="28">
        <f t="shared" si="401"/>
        <v>2112.7999999999324</v>
      </c>
      <c r="E7499" s="28">
        <f t="shared" si="402"/>
        <v>1980.7499999999366</v>
      </c>
      <c r="F7499" s="28">
        <f t="shared" si="403"/>
        <v>1962.7499999999366</v>
      </c>
      <c r="G7499" s="28">
        <f t="shared" si="404"/>
        <v>1870.2408</v>
      </c>
      <c r="H7499" s="28">
        <f t="shared" si="405"/>
        <v>1934.3675000000001</v>
      </c>
      <c r="I7499" s="28">
        <f t="shared" si="406"/>
        <v>1968.8108</v>
      </c>
      <c r="J7499" s="28">
        <f t="shared" si="407"/>
        <v>1997.0001999999999</v>
      </c>
      <c r="K7499" s="28">
        <f t="shared" si="408"/>
        <v>2047.7148</v>
      </c>
      <c r="L7499" s="4"/>
      <c r="M7499" s="241">
        <v>1968.8108</v>
      </c>
    </row>
    <row r="7500" spans="3:13" hidden="1" outlineLevel="1" x14ac:dyDescent="0.2">
      <c r="C7500" s="139">
        <v>264.19999999999158</v>
      </c>
      <c r="D7500" s="28">
        <f t="shared" si="401"/>
        <v>2113.5999999999326</v>
      </c>
      <c r="E7500" s="28">
        <f t="shared" si="402"/>
        <v>1981.4999999999368</v>
      </c>
      <c r="F7500" s="28">
        <f t="shared" si="403"/>
        <v>1963.4999999999368</v>
      </c>
      <c r="G7500" s="28">
        <f t="shared" si="404"/>
        <v>1871.194</v>
      </c>
      <c r="H7500" s="28">
        <f t="shared" si="405"/>
        <v>1935.3534</v>
      </c>
      <c r="I7500" s="28">
        <f t="shared" si="406"/>
        <v>1969.8143</v>
      </c>
      <c r="J7500" s="28">
        <f t="shared" si="407"/>
        <v>1998.0181</v>
      </c>
      <c r="K7500" s="28">
        <f t="shared" si="408"/>
        <v>2048.7584000000002</v>
      </c>
      <c r="L7500" s="4"/>
      <c r="M7500" s="241">
        <v>1969.8143</v>
      </c>
    </row>
    <row r="7501" spans="3:13" hidden="1" outlineLevel="1" x14ac:dyDescent="0.2">
      <c r="C7501" s="139">
        <v>264.2999999999916</v>
      </c>
      <c r="D7501" s="28">
        <f t="shared" si="401"/>
        <v>2114.3999999999328</v>
      </c>
      <c r="E7501" s="28">
        <f t="shared" si="402"/>
        <v>1982.249999999937</v>
      </c>
      <c r="F7501" s="28">
        <f t="shared" si="403"/>
        <v>1964.249999999937</v>
      </c>
      <c r="G7501" s="28">
        <f t="shared" si="404"/>
        <v>1872.2072000000001</v>
      </c>
      <c r="H7501" s="28">
        <f t="shared" si="405"/>
        <v>1936.3393000000001</v>
      </c>
      <c r="I7501" s="28">
        <f t="shared" si="406"/>
        <v>1970.8178</v>
      </c>
      <c r="J7501" s="28">
        <f t="shared" si="407"/>
        <v>1999.0359000000001</v>
      </c>
      <c r="K7501" s="28">
        <f t="shared" si="408"/>
        <v>2049.8020999999999</v>
      </c>
      <c r="L7501" s="4"/>
      <c r="M7501" s="241">
        <v>1970.8178</v>
      </c>
    </row>
    <row r="7502" spans="3:13" hidden="1" outlineLevel="1" x14ac:dyDescent="0.2">
      <c r="C7502" s="139">
        <v>264.39999999999162</v>
      </c>
      <c r="D7502" s="28">
        <f t="shared" si="401"/>
        <v>2115.199999999933</v>
      </c>
      <c r="E7502" s="28">
        <f t="shared" si="402"/>
        <v>1982.9999999999372</v>
      </c>
      <c r="F7502" s="28">
        <f t="shared" si="403"/>
        <v>1964.9999999999372</v>
      </c>
      <c r="G7502" s="28">
        <f t="shared" si="404"/>
        <v>1872.2072000000001</v>
      </c>
      <c r="H7502" s="28">
        <f t="shared" si="405"/>
        <v>1936.3393000000001</v>
      </c>
      <c r="I7502" s="28">
        <f t="shared" si="406"/>
        <v>1970.8178</v>
      </c>
      <c r="J7502" s="28">
        <f t="shared" si="407"/>
        <v>1999.0359000000001</v>
      </c>
      <c r="K7502" s="28">
        <f t="shared" si="408"/>
        <v>2049.8020999999999</v>
      </c>
      <c r="L7502" s="4"/>
      <c r="M7502" s="241">
        <v>1970.8178</v>
      </c>
    </row>
    <row r="7503" spans="3:13" hidden="1" outlineLevel="1" x14ac:dyDescent="0.2">
      <c r="C7503" s="139">
        <v>264.49999999999164</v>
      </c>
      <c r="D7503" s="28">
        <f t="shared" si="401"/>
        <v>2115.9999999999332</v>
      </c>
      <c r="E7503" s="28">
        <f t="shared" si="402"/>
        <v>1983.7499999999372</v>
      </c>
      <c r="F7503" s="28">
        <f t="shared" si="403"/>
        <v>1965.7499999999372</v>
      </c>
      <c r="G7503" s="28">
        <f t="shared" si="404"/>
        <v>1873.1605</v>
      </c>
      <c r="H7503" s="28">
        <f t="shared" si="405"/>
        <v>1937.3252</v>
      </c>
      <c r="I7503" s="28">
        <f t="shared" si="406"/>
        <v>1971.8213000000001</v>
      </c>
      <c r="J7503" s="28">
        <f t="shared" si="407"/>
        <v>2000.0536999999999</v>
      </c>
      <c r="K7503" s="28">
        <f t="shared" si="408"/>
        <v>2050.8458000000001</v>
      </c>
      <c r="L7503" s="4"/>
      <c r="M7503" s="241">
        <v>1971.8213000000001</v>
      </c>
    </row>
    <row r="7504" spans="3:13" hidden="1" outlineLevel="1" x14ac:dyDescent="0.2">
      <c r="C7504" s="139">
        <v>264.59999999999167</v>
      </c>
      <c r="D7504" s="28">
        <f t="shared" si="401"/>
        <v>2116.7999999999333</v>
      </c>
      <c r="E7504" s="28">
        <f t="shared" si="402"/>
        <v>1984.4999999999375</v>
      </c>
      <c r="F7504" s="28">
        <f t="shared" si="403"/>
        <v>1966.4999999999375</v>
      </c>
      <c r="G7504" s="28">
        <f t="shared" si="404"/>
        <v>1874.1737000000001</v>
      </c>
      <c r="H7504" s="28">
        <f t="shared" si="405"/>
        <v>1938.3711000000001</v>
      </c>
      <c r="I7504" s="28">
        <f t="shared" si="406"/>
        <v>1972.8906999999999</v>
      </c>
      <c r="J7504" s="28">
        <f t="shared" si="407"/>
        <v>2001.1376</v>
      </c>
      <c r="K7504" s="28">
        <f t="shared" si="408"/>
        <v>2051.8895000000002</v>
      </c>
      <c r="L7504" s="4"/>
      <c r="M7504" s="241">
        <v>1972.8906999999999</v>
      </c>
    </row>
    <row r="7505" spans="3:13" hidden="1" outlineLevel="1" x14ac:dyDescent="0.2">
      <c r="C7505" s="139">
        <v>264.69999999999169</v>
      </c>
      <c r="D7505" s="28">
        <f t="shared" si="401"/>
        <v>2117.5999999999335</v>
      </c>
      <c r="E7505" s="28">
        <f t="shared" si="402"/>
        <v>1985.2499999999377</v>
      </c>
      <c r="F7505" s="28">
        <f t="shared" si="403"/>
        <v>1967.2499999999377</v>
      </c>
      <c r="G7505" s="28">
        <f t="shared" si="404"/>
        <v>1875.127</v>
      </c>
      <c r="H7505" s="28">
        <f t="shared" si="405"/>
        <v>1939.3570999999999</v>
      </c>
      <c r="I7505" s="28">
        <f t="shared" si="406"/>
        <v>1973.8942</v>
      </c>
      <c r="J7505" s="28">
        <f t="shared" si="407"/>
        <v>2002.1554000000001</v>
      </c>
      <c r="K7505" s="28">
        <f t="shared" si="408"/>
        <v>2052.9992000000002</v>
      </c>
      <c r="L7505" s="4"/>
      <c r="M7505" s="241">
        <v>1973.8942</v>
      </c>
    </row>
    <row r="7506" spans="3:13" hidden="1" outlineLevel="1" x14ac:dyDescent="0.2">
      <c r="C7506" s="139">
        <v>264.79999999999171</v>
      </c>
      <c r="D7506" s="28">
        <f t="shared" si="401"/>
        <v>2118.3999999999337</v>
      </c>
      <c r="E7506" s="28">
        <f t="shared" si="402"/>
        <v>1985.9999999999379</v>
      </c>
      <c r="F7506" s="28">
        <f t="shared" si="403"/>
        <v>1967.9999999999379</v>
      </c>
      <c r="G7506" s="28">
        <f t="shared" si="404"/>
        <v>1875.127</v>
      </c>
      <c r="H7506" s="28">
        <f t="shared" si="405"/>
        <v>1939.3570999999999</v>
      </c>
      <c r="I7506" s="28">
        <f t="shared" si="406"/>
        <v>1973.8942</v>
      </c>
      <c r="J7506" s="28">
        <f t="shared" si="407"/>
        <v>2002.1554000000001</v>
      </c>
      <c r="K7506" s="28">
        <f t="shared" si="408"/>
        <v>2052.9992000000002</v>
      </c>
      <c r="L7506" s="4"/>
      <c r="M7506" s="241">
        <v>1973.8942</v>
      </c>
    </row>
    <row r="7507" spans="3:13" hidden="1" outlineLevel="1" x14ac:dyDescent="0.2">
      <c r="C7507" s="139">
        <v>264.89999999999173</v>
      </c>
      <c r="D7507" s="28">
        <f t="shared" si="401"/>
        <v>2119.1999999999339</v>
      </c>
      <c r="E7507" s="28">
        <f t="shared" si="402"/>
        <v>1986.7499999999379</v>
      </c>
      <c r="F7507" s="28">
        <f t="shared" si="403"/>
        <v>1968.7499999999379</v>
      </c>
      <c r="G7507" s="28">
        <f t="shared" si="404"/>
        <v>1876.1404</v>
      </c>
      <c r="H7507" s="28">
        <f t="shared" si="405"/>
        <v>1940.3430000000001</v>
      </c>
      <c r="I7507" s="28">
        <f t="shared" si="406"/>
        <v>1974.8977</v>
      </c>
      <c r="J7507" s="28">
        <f t="shared" si="407"/>
        <v>2003.1732999999999</v>
      </c>
      <c r="K7507" s="28">
        <f t="shared" si="408"/>
        <v>2054.0428999999999</v>
      </c>
      <c r="L7507" s="4"/>
      <c r="M7507" s="241">
        <v>1974.8977</v>
      </c>
    </row>
    <row r="7508" spans="3:13" hidden="1" outlineLevel="1" x14ac:dyDescent="0.2">
      <c r="C7508" s="139">
        <v>264.99999999999176</v>
      </c>
      <c r="D7508" s="28">
        <f t="shared" si="401"/>
        <v>2119.9999999999341</v>
      </c>
      <c r="E7508" s="28">
        <f t="shared" si="402"/>
        <v>1987.4999999999382</v>
      </c>
      <c r="F7508" s="28">
        <f t="shared" si="403"/>
        <v>1969.4999999999382</v>
      </c>
      <c r="G7508" s="28">
        <f t="shared" si="404"/>
        <v>1877.0936999999999</v>
      </c>
      <c r="H7508" s="28">
        <f t="shared" si="405"/>
        <v>1941.3891000000001</v>
      </c>
      <c r="I7508" s="28">
        <f t="shared" si="406"/>
        <v>1975.9012</v>
      </c>
      <c r="J7508" s="28">
        <f t="shared" si="407"/>
        <v>2004.1912</v>
      </c>
      <c r="K7508" s="28">
        <f t="shared" si="408"/>
        <v>2055.0866999999998</v>
      </c>
      <c r="L7508" s="4"/>
      <c r="M7508" s="241">
        <v>1975.9012</v>
      </c>
    </row>
    <row r="7509" spans="3:13" hidden="1" outlineLevel="1" x14ac:dyDescent="0.2">
      <c r="C7509" s="139">
        <v>265.09999999999178</v>
      </c>
      <c r="D7509" s="28">
        <f t="shared" si="401"/>
        <v>2120.7999999999342</v>
      </c>
      <c r="E7509" s="28">
        <f t="shared" si="402"/>
        <v>1988.2499999999384</v>
      </c>
      <c r="F7509" s="28">
        <f t="shared" si="403"/>
        <v>1970.2499999999384</v>
      </c>
      <c r="G7509" s="28">
        <f t="shared" si="404"/>
        <v>1878.1070999999999</v>
      </c>
      <c r="H7509" s="28">
        <f t="shared" si="405"/>
        <v>1942.375</v>
      </c>
      <c r="I7509" s="28">
        <f t="shared" si="406"/>
        <v>1976.9047</v>
      </c>
      <c r="J7509" s="28">
        <f t="shared" si="407"/>
        <v>2005.2091</v>
      </c>
      <c r="K7509" s="28">
        <f t="shared" si="408"/>
        <v>2056.1304</v>
      </c>
      <c r="L7509" s="4"/>
      <c r="M7509" s="241">
        <v>1976.9047</v>
      </c>
    </row>
    <row r="7510" spans="3:13" hidden="1" outlineLevel="1" x14ac:dyDescent="0.2">
      <c r="C7510" s="139">
        <v>265.1999999999918</v>
      </c>
      <c r="D7510" s="28">
        <f t="shared" si="401"/>
        <v>2121.5999999999344</v>
      </c>
      <c r="E7510" s="28">
        <f t="shared" si="402"/>
        <v>1988.9999999999386</v>
      </c>
      <c r="F7510" s="28">
        <f t="shared" si="403"/>
        <v>1970.9999999999386</v>
      </c>
      <c r="G7510" s="28">
        <f t="shared" si="404"/>
        <v>1878.1070999999999</v>
      </c>
      <c r="H7510" s="28">
        <f t="shared" si="405"/>
        <v>1942.375</v>
      </c>
      <c r="I7510" s="28">
        <f t="shared" si="406"/>
        <v>1976.9047</v>
      </c>
      <c r="J7510" s="28">
        <f t="shared" si="407"/>
        <v>2005.2091</v>
      </c>
      <c r="K7510" s="28">
        <f t="shared" si="408"/>
        <v>2056.1304</v>
      </c>
      <c r="L7510" s="4"/>
      <c r="M7510" s="241">
        <v>1976.9047</v>
      </c>
    </row>
    <row r="7511" spans="3:13" hidden="1" outlineLevel="1" x14ac:dyDescent="0.2">
      <c r="C7511" s="139">
        <v>265.29999999999183</v>
      </c>
      <c r="D7511" s="28">
        <f t="shared" si="401"/>
        <v>2122.3999999999346</v>
      </c>
      <c r="E7511" s="28">
        <f t="shared" si="402"/>
        <v>1989.7499999999386</v>
      </c>
      <c r="F7511" s="28">
        <f t="shared" si="403"/>
        <v>1971.7499999999386</v>
      </c>
      <c r="G7511" s="28">
        <f t="shared" si="404"/>
        <v>1879.0605</v>
      </c>
      <c r="H7511" s="28">
        <f t="shared" si="405"/>
        <v>1943.3610000000001</v>
      </c>
      <c r="I7511" s="28">
        <f t="shared" si="406"/>
        <v>1977.9744000000001</v>
      </c>
      <c r="J7511" s="28">
        <f t="shared" si="407"/>
        <v>2006.2268999999999</v>
      </c>
      <c r="K7511" s="28">
        <f t="shared" si="408"/>
        <v>2057.1741000000002</v>
      </c>
      <c r="L7511" s="4"/>
      <c r="M7511" s="241">
        <v>1977.9744000000001</v>
      </c>
    </row>
    <row r="7512" spans="3:13" hidden="1" outlineLevel="1" x14ac:dyDescent="0.2">
      <c r="C7512" s="139">
        <v>265.39999999999185</v>
      </c>
      <c r="D7512" s="28">
        <f t="shared" si="401"/>
        <v>2123.1999999999348</v>
      </c>
      <c r="E7512" s="28">
        <f t="shared" si="402"/>
        <v>1990.4999999999388</v>
      </c>
      <c r="F7512" s="28">
        <f t="shared" si="403"/>
        <v>1972.4999999999388</v>
      </c>
      <c r="G7512" s="28">
        <f t="shared" si="404"/>
        <v>1880.0740000000001</v>
      </c>
      <c r="H7512" s="28">
        <f t="shared" si="405"/>
        <v>1944.347</v>
      </c>
      <c r="I7512" s="28">
        <f t="shared" si="406"/>
        <v>1978.9779000000001</v>
      </c>
      <c r="J7512" s="28">
        <f t="shared" si="407"/>
        <v>2007.3109999999999</v>
      </c>
      <c r="K7512" s="28">
        <f t="shared" si="408"/>
        <v>2058.2177999999999</v>
      </c>
      <c r="L7512" s="4"/>
      <c r="M7512" s="241">
        <v>1978.9779000000001</v>
      </c>
    </row>
    <row r="7513" spans="3:13" hidden="1" outlineLevel="1" x14ac:dyDescent="0.2">
      <c r="C7513" s="139">
        <v>265.49999999999187</v>
      </c>
      <c r="D7513" s="28">
        <f t="shared" si="401"/>
        <v>2123.999999999935</v>
      </c>
      <c r="E7513" s="28">
        <f t="shared" si="402"/>
        <v>1991.2499999999391</v>
      </c>
      <c r="F7513" s="28">
        <f t="shared" si="403"/>
        <v>1973.2499999999391</v>
      </c>
      <c r="G7513" s="28">
        <f t="shared" si="404"/>
        <v>1881.0273999999999</v>
      </c>
      <c r="H7513" s="28">
        <f t="shared" si="405"/>
        <v>1945.3932</v>
      </c>
      <c r="I7513" s="28">
        <f t="shared" si="406"/>
        <v>1979.9815000000001</v>
      </c>
      <c r="J7513" s="28">
        <f t="shared" si="407"/>
        <v>2008.3289</v>
      </c>
      <c r="K7513" s="28">
        <f t="shared" si="408"/>
        <v>2059.2615000000001</v>
      </c>
      <c r="L7513" s="4"/>
      <c r="M7513" s="241">
        <v>1979.9815000000001</v>
      </c>
    </row>
    <row r="7514" spans="3:13" hidden="1" outlineLevel="1" x14ac:dyDescent="0.2">
      <c r="C7514" s="139">
        <v>265.59999999999189</v>
      </c>
      <c r="D7514" s="28">
        <f t="shared" si="401"/>
        <v>2124.7999999999352</v>
      </c>
      <c r="E7514" s="28">
        <f t="shared" si="402"/>
        <v>1991.9999999999393</v>
      </c>
      <c r="F7514" s="28">
        <f t="shared" si="403"/>
        <v>1973.9999999999393</v>
      </c>
      <c r="G7514" s="28">
        <f t="shared" si="404"/>
        <v>1881.0273999999999</v>
      </c>
      <c r="H7514" s="28">
        <f t="shared" si="405"/>
        <v>1945.3932</v>
      </c>
      <c r="I7514" s="28">
        <f t="shared" si="406"/>
        <v>1979.9815000000001</v>
      </c>
      <c r="J7514" s="28">
        <f t="shared" si="407"/>
        <v>2008.3289</v>
      </c>
      <c r="K7514" s="28">
        <f t="shared" si="408"/>
        <v>2059.2615000000001</v>
      </c>
      <c r="L7514" s="4"/>
      <c r="M7514" s="241">
        <v>1979.9815000000001</v>
      </c>
    </row>
    <row r="7515" spans="3:13" hidden="1" outlineLevel="1" x14ac:dyDescent="0.2">
      <c r="C7515" s="139">
        <v>265.69999999999192</v>
      </c>
      <c r="D7515" s="28">
        <f t="shared" si="401"/>
        <v>2125.5999999999353</v>
      </c>
      <c r="E7515" s="28">
        <f t="shared" si="402"/>
        <v>1992.7499999999393</v>
      </c>
      <c r="F7515" s="28">
        <f t="shared" si="403"/>
        <v>1974.7499999999393</v>
      </c>
      <c r="G7515" s="28">
        <f t="shared" si="404"/>
        <v>1882.0409999999999</v>
      </c>
      <c r="H7515" s="28">
        <f t="shared" si="405"/>
        <v>1946.3792000000001</v>
      </c>
      <c r="I7515" s="28">
        <f t="shared" si="406"/>
        <v>1980.9849999999999</v>
      </c>
      <c r="J7515" s="28">
        <f t="shared" si="407"/>
        <v>2009.3468</v>
      </c>
      <c r="K7515" s="28">
        <f t="shared" si="408"/>
        <v>2060.3053</v>
      </c>
      <c r="L7515" s="4"/>
      <c r="M7515" s="241">
        <v>1980.9849999999999</v>
      </c>
    </row>
    <row r="7516" spans="3:13" hidden="1" outlineLevel="1" x14ac:dyDescent="0.2">
      <c r="C7516" s="139">
        <v>265.79999999999194</v>
      </c>
      <c r="D7516" s="28">
        <f t="shared" si="401"/>
        <v>2126.3999999999355</v>
      </c>
      <c r="E7516" s="28">
        <f t="shared" si="402"/>
        <v>1993.4999999999395</v>
      </c>
      <c r="F7516" s="28">
        <f t="shared" si="403"/>
        <v>1975.4999999999395</v>
      </c>
      <c r="G7516" s="28">
        <f t="shared" si="404"/>
        <v>1882.9945</v>
      </c>
      <c r="H7516" s="28">
        <f t="shared" si="405"/>
        <v>1947.3652</v>
      </c>
      <c r="I7516" s="28">
        <f t="shared" si="406"/>
        <v>1981.9885999999999</v>
      </c>
      <c r="J7516" s="28">
        <f t="shared" si="407"/>
        <v>2010.3647000000001</v>
      </c>
      <c r="K7516" s="28">
        <f t="shared" si="408"/>
        <v>2061.4153000000001</v>
      </c>
      <c r="L7516" s="4"/>
      <c r="M7516" s="241">
        <v>1981.9885999999999</v>
      </c>
    </row>
    <row r="7517" spans="3:13" hidden="1" outlineLevel="1" x14ac:dyDescent="0.2">
      <c r="C7517" s="139">
        <v>265.89999999999196</v>
      </c>
      <c r="D7517" s="28">
        <f t="shared" si="401"/>
        <v>2127.1999999999357</v>
      </c>
      <c r="E7517" s="28">
        <f t="shared" si="402"/>
        <v>1994.2499999999397</v>
      </c>
      <c r="F7517" s="28">
        <f t="shared" si="403"/>
        <v>1976.2499999999397</v>
      </c>
      <c r="G7517" s="28">
        <f t="shared" si="404"/>
        <v>1884.0082</v>
      </c>
      <c r="H7517" s="28">
        <f t="shared" si="405"/>
        <v>1948.4114999999999</v>
      </c>
      <c r="I7517" s="28">
        <f t="shared" si="406"/>
        <v>1983.0583999999999</v>
      </c>
      <c r="J7517" s="28">
        <f t="shared" si="407"/>
        <v>2011.3825999999999</v>
      </c>
      <c r="K7517" s="28">
        <f t="shared" si="408"/>
        <v>2062.4589999999998</v>
      </c>
      <c r="L7517" s="4"/>
      <c r="M7517" s="241">
        <v>1983.0583999999999</v>
      </c>
    </row>
    <row r="7518" spans="3:13" hidden="1" outlineLevel="1" x14ac:dyDescent="0.2">
      <c r="C7518" s="139">
        <v>265.99999999999199</v>
      </c>
      <c r="D7518" s="28">
        <f t="shared" si="401"/>
        <v>2127.9999999999359</v>
      </c>
      <c r="E7518" s="28">
        <f t="shared" si="402"/>
        <v>1994.99999999994</v>
      </c>
      <c r="F7518" s="28">
        <f t="shared" si="403"/>
        <v>1976.99999999994</v>
      </c>
      <c r="G7518" s="28">
        <f t="shared" si="404"/>
        <v>1884.0082</v>
      </c>
      <c r="H7518" s="28">
        <f t="shared" si="405"/>
        <v>1948.4114999999999</v>
      </c>
      <c r="I7518" s="28">
        <f t="shared" si="406"/>
        <v>1983.0583999999999</v>
      </c>
      <c r="J7518" s="28">
        <f t="shared" si="407"/>
        <v>2011.3825999999999</v>
      </c>
      <c r="K7518" s="28">
        <f t="shared" si="408"/>
        <v>2062.4589999999998</v>
      </c>
      <c r="L7518" s="4"/>
      <c r="M7518" s="241">
        <v>1983.0583999999999</v>
      </c>
    </row>
    <row r="7519" spans="3:13" hidden="1" outlineLevel="1" x14ac:dyDescent="0.2">
      <c r="C7519" s="139">
        <v>266.09999999999201</v>
      </c>
      <c r="D7519" s="28">
        <f t="shared" si="401"/>
        <v>2128.7999999999361</v>
      </c>
      <c r="E7519" s="28">
        <f t="shared" si="402"/>
        <v>1995.74999999994</v>
      </c>
      <c r="F7519" s="28">
        <f t="shared" si="403"/>
        <v>1977.74999999994</v>
      </c>
      <c r="G7519" s="28">
        <f t="shared" si="404"/>
        <v>1884.9616000000001</v>
      </c>
      <c r="H7519" s="28">
        <f t="shared" si="405"/>
        <v>1949.3975</v>
      </c>
      <c r="I7519" s="28">
        <f t="shared" si="406"/>
        <v>1984.0619999999999</v>
      </c>
      <c r="J7519" s="28">
        <f t="shared" si="407"/>
        <v>2012.4005</v>
      </c>
      <c r="K7519" s="28">
        <f t="shared" si="408"/>
        <v>2063.5028000000002</v>
      </c>
      <c r="L7519" s="4"/>
      <c r="M7519" s="241">
        <v>1984.0619999999999</v>
      </c>
    </row>
    <row r="7520" spans="3:13" hidden="1" outlineLevel="1" x14ac:dyDescent="0.2">
      <c r="C7520" s="139">
        <v>266.19999999999203</v>
      </c>
      <c r="D7520" s="28">
        <f t="shared" si="401"/>
        <v>2129.5999999999362</v>
      </c>
      <c r="E7520" s="28">
        <f t="shared" si="402"/>
        <v>1996.4999999999402</v>
      </c>
      <c r="F7520" s="28">
        <f t="shared" si="403"/>
        <v>1978.4999999999402</v>
      </c>
      <c r="G7520" s="28">
        <f t="shared" si="404"/>
        <v>1885.9150999999999</v>
      </c>
      <c r="H7520" s="28">
        <f t="shared" si="405"/>
        <v>1950.3835999999999</v>
      </c>
      <c r="I7520" s="28">
        <f t="shared" si="406"/>
        <v>1985.0655999999999</v>
      </c>
      <c r="J7520" s="28">
        <f t="shared" si="407"/>
        <v>2013.4848</v>
      </c>
      <c r="K7520" s="28">
        <f t="shared" si="408"/>
        <v>2064.5466000000001</v>
      </c>
      <c r="L7520" s="4"/>
      <c r="M7520" s="241">
        <v>1985.0655999999999</v>
      </c>
    </row>
    <row r="7521" spans="3:13" hidden="1" outlineLevel="1" x14ac:dyDescent="0.2">
      <c r="C7521" s="139">
        <v>266.29999999999205</v>
      </c>
      <c r="D7521" s="28">
        <f t="shared" si="401"/>
        <v>2130.3999999999364</v>
      </c>
      <c r="E7521" s="28">
        <f t="shared" si="402"/>
        <v>1997.2499999999404</v>
      </c>
      <c r="F7521" s="28">
        <f t="shared" si="403"/>
        <v>1979.2499999999404</v>
      </c>
      <c r="G7521" s="28">
        <f t="shared" si="404"/>
        <v>1886.9289000000001</v>
      </c>
      <c r="H7521" s="28">
        <f t="shared" si="405"/>
        <v>1951.3696</v>
      </c>
      <c r="I7521" s="28">
        <f t="shared" si="406"/>
        <v>1986.0691999999999</v>
      </c>
      <c r="J7521" s="28">
        <f t="shared" si="407"/>
        <v>2014.5028</v>
      </c>
      <c r="K7521" s="28">
        <f t="shared" si="408"/>
        <v>2065.5902999999998</v>
      </c>
      <c r="L7521" s="4"/>
      <c r="M7521" s="241">
        <v>1986.0691999999999</v>
      </c>
    </row>
    <row r="7522" spans="3:13" hidden="1" outlineLevel="1" x14ac:dyDescent="0.2">
      <c r="C7522" s="139">
        <v>266.39999999999208</v>
      </c>
      <c r="D7522" s="28">
        <f t="shared" si="401"/>
        <v>2131.1999999999366</v>
      </c>
      <c r="E7522" s="28">
        <f t="shared" si="402"/>
        <v>1997.9999999999407</v>
      </c>
      <c r="F7522" s="28">
        <f t="shared" si="403"/>
        <v>1979.9999999999407</v>
      </c>
      <c r="G7522" s="28">
        <f t="shared" si="404"/>
        <v>1886.9289000000001</v>
      </c>
      <c r="H7522" s="28">
        <f t="shared" si="405"/>
        <v>1951.3696</v>
      </c>
      <c r="I7522" s="28">
        <f t="shared" si="406"/>
        <v>1986.0691999999999</v>
      </c>
      <c r="J7522" s="28">
        <f t="shared" si="407"/>
        <v>2014.5028</v>
      </c>
      <c r="K7522" s="28">
        <f t="shared" si="408"/>
        <v>2065.5902999999998</v>
      </c>
      <c r="L7522" s="4"/>
      <c r="M7522" s="241">
        <v>1986.0691999999999</v>
      </c>
    </row>
    <row r="7523" spans="3:13" hidden="1" outlineLevel="1" x14ac:dyDescent="0.2">
      <c r="C7523" s="139">
        <v>266.4999999999921</v>
      </c>
      <c r="D7523" s="28">
        <f t="shared" si="401"/>
        <v>2131.9999999999368</v>
      </c>
      <c r="E7523" s="28">
        <f t="shared" si="402"/>
        <v>1998.7499999999407</v>
      </c>
      <c r="F7523" s="28">
        <f t="shared" si="403"/>
        <v>1980.7499999999407</v>
      </c>
      <c r="G7523" s="28">
        <f t="shared" si="404"/>
        <v>1887.8824</v>
      </c>
      <c r="H7523" s="28">
        <f t="shared" si="405"/>
        <v>1952.4160999999999</v>
      </c>
      <c r="I7523" s="28">
        <f t="shared" si="406"/>
        <v>1987.0726999999999</v>
      </c>
      <c r="J7523" s="28">
        <f t="shared" si="407"/>
        <v>2015.5207</v>
      </c>
      <c r="K7523" s="28">
        <f t="shared" si="408"/>
        <v>2066.6341000000002</v>
      </c>
      <c r="L7523" s="4"/>
      <c r="M7523" s="241">
        <v>1987.0726999999999</v>
      </c>
    </row>
    <row r="7524" spans="3:13" hidden="1" outlineLevel="1" x14ac:dyDescent="0.2">
      <c r="C7524" s="139">
        <v>266.59999999999212</v>
      </c>
      <c r="D7524" s="28">
        <f t="shared" si="401"/>
        <v>2132.799999999937</v>
      </c>
      <c r="E7524" s="28">
        <f t="shared" si="402"/>
        <v>1999.4999999999409</v>
      </c>
      <c r="F7524" s="28">
        <f t="shared" si="403"/>
        <v>1981.4999999999409</v>
      </c>
      <c r="G7524" s="28">
        <f t="shared" si="404"/>
        <v>1888.8963000000001</v>
      </c>
      <c r="H7524" s="28">
        <f t="shared" si="405"/>
        <v>1953.4021</v>
      </c>
      <c r="I7524" s="28">
        <f t="shared" si="406"/>
        <v>1988.1428000000001</v>
      </c>
      <c r="J7524" s="28">
        <f t="shared" si="407"/>
        <v>2016.5387000000001</v>
      </c>
      <c r="K7524" s="28">
        <f t="shared" si="408"/>
        <v>2067.6777999999999</v>
      </c>
      <c r="L7524" s="4"/>
      <c r="M7524" s="241">
        <v>1988.1428000000001</v>
      </c>
    </row>
    <row r="7525" spans="3:13" hidden="1" outlineLevel="1" x14ac:dyDescent="0.2">
      <c r="C7525" s="139">
        <v>266.69999999999214</v>
      </c>
      <c r="D7525" s="28">
        <f t="shared" si="401"/>
        <v>2133.5999999999372</v>
      </c>
      <c r="E7525" s="28">
        <f t="shared" si="402"/>
        <v>2000.2499999999411</v>
      </c>
      <c r="F7525" s="28">
        <f t="shared" si="403"/>
        <v>1982.2499999999411</v>
      </c>
      <c r="G7525" s="28">
        <f t="shared" si="404"/>
        <v>1889.8498</v>
      </c>
      <c r="H7525" s="28">
        <f t="shared" si="405"/>
        <v>1954.3882000000001</v>
      </c>
      <c r="I7525" s="28">
        <f t="shared" si="406"/>
        <v>1989.1464000000001</v>
      </c>
      <c r="J7525" s="28">
        <f t="shared" si="407"/>
        <v>2017.5565999999999</v>
      </c>
      <c r="K7525" s="28">
        <f t="shared" si="408"/>
        <v>2068.7215999999999</v>
      </c>
      <c r="L7525" s="4"/>
      <c r="M7525" s="241">
        <v>1989.1464000000001</v>
      </c>
    </row>
    <row r="7526" spans="3:13" hidden="1" outlineLevel="1" x14ac:dyDescent="0.2">
      <c r="C7526" s="139">
        <v>266.79999999999217</v>
      </c>
      <c r="D7526" s="28">
        <f t="shared" si="401"/>
        <v>2134.3999999999373</v>
      </c>
      <c r="E7526" s="28">
        <f t="shared" si="402"/>
        <v>2000.9999999999413</v>
      </c>
      <c r="F7526" s="28">
        <f t="shared" si="403"/>
        <v>1982.9999999999413</v>
      </c>
      <c r="G7526" s="28">
        <f t="shared" si="404"/>
        <v>1889.8498</v>
      </c>
      <c r="H7526" s="28">
        <f t="shared" si="405"/>
        <v>1954.3882000000001</v>
      </c>
      <c r="I7526" s="28">
        <f t="shared" si="406"/>
        <v>1989.1464000000001</v>
      </c>
      <c r="J7526" s="28">
        <f t="shared" si="407"/>
        <v>2017.5565999999999</v>
      </c>
      <c r="K7526" s="28">
        <f t="shared" si="408"/>
        <v>2068.7215999999999</v>
      </c>
      <c r="L7526" s="4"/>
      <c r="M7526" s="241">
        <v>1989.1464000000001</v>
      </c>
    </row>
    <row r="7527" spans="3:13" hidden="1" outlineLevel="1" x14ac:dyDescent="0.2">
      <c r="C7527" s="139">
        <v>266.89999999999219</v>
      </c>
      <c r="D7527" s="28">
        <f t="shared" si="401"/>
        <v>2135.1999999999375</v>
      </c>
      <c r="E7527" s="28">
        <f t="shared" si="402"/>
        <v>2001.7499999999413</v>
      </c>
      <c r="F7527" s="28">
        <f t="shared" si="403"/>
        <v>1983.7499999999413</v>
      </c>
      <c r="G7527" s="28">
        <f t="shared" si="404"/>
        <v>1890.8638000000001</v>
      </c>
      <c r="H7527" s="28">
        <f t="shared" si="405"/>
        <v>1955.4348</v>
      </c>
      <c r="I7527" s="28">
        <f t="shared" si="406"/>
        <v>1990.15</v>
      </c>
      <c r="J7527" s="28">
        <f t="shared" si="407"/>
        <v>2018.5744999999999</v>
      </c>
      <c r="K7527" s="28">
        <f t="shared" si="408"/>
        <v>2069.8319000000001</v>
      </c>
      <c r="L7527" s="4"/>
      <c r="M7527" s="241">
        <v>1990.15</v>
      </c>
    </row>
    <row r="7528" spans="3:13" hidden="1" outlineLevel="1" x14ac:dyDescent="0.2">
      <c r="C7528" s="139">
        <v>266.99999999999221</v>
      </c>
      <c r="D7528" s="28">
        <f t="shared" si="401"/>
        <v>2135.9999999999377</v>
      </c>
      <c r="E7528" s="28">
        <f t="shared" si="402"/>
        <v>2002.4999999999416</v>
      </c>
      <c r="F7528" s="28">
        <f t="shared" si="403"/>
        <v>1984.4999999999416</v>
      </c>
      <c r="G7528" s="28">
        <f t="shared" si="404"/>
        <v>1891.8173999999999</v>
      </c>
      <c r="H7528" s="28">
        <f t="shared" si="405"/>
        <v>1956.4209000000001</v>
      </c>
      <c r="I7528" s="28">
        <f t="shared" si="406"/>
        <v>1991.1536000000001</v>
      </c>
      <c r="J7528" s="28">
        <f t="shared" si="407"/>
        <v>2019.6591000000001</v>
      </c>
      <c r="K7528" s="28">
        <f t="shared" si="408"/>
        <v>2070.8757000000001</v>
      </c>
      <c r="L7528" s="4"/>
      <c r="M7528" s="241">
        <v>1991.1536000000001</v>
      </c>
    </row>
    <row r="7529" spans="3:13" hidden="1" outlineLevel="1" x14ac:dyDescent="0.2">
      <c r="C7529" s="139">
        <v>267.09999999999224</v>
      </c>
      <c r="D7529" s="28">
        <f t="shared" si="401"/>
        <v>2136.7999999999379</v>
      </c>
      <c r="E7529" s="28">
        <f t="shared" si="402"/>
        <v>2003.2499999999418</v>
      </c>
      <c r="F7529" s="28">
        <f t="shared" si="403"/>
        <v>1985.2499999999418</v>
      </c>
      <c r="G7529" s="28">
        <f t="shared" si="404"/>
        <v>1892.8315</v>
      </c>
      <c r="H7529" s="28">
        <f t="shared" si="405"/>
        <v>1957.4069999999999</v>
      </c>
      <c r="I7529" s="28">
        <f t="shared" si="406"/>
        <v>1992.1572000000001</v>
      </c>
      <c r="J7529" s="28">
        <f t="shared" si="407"/>
        <v>2020.6771000000001</v>
      </c>
      <c r="K7529" s="28">
        <f t="shared" si="408"/>
        <v>2071.9195</v>
      </c>
      <c r="L7529" s="4"/>
      <c r="M7529" s="241">
        <v>1992.1572000000001</v>
      </c>
    </row>
    <row r="7530" spans="3:13" hidden="1" outlineLevel="1" x14ac:dyDescent="0.2">
      <c r="C7530" s="139">
        <v>267.19999999999226</v>
      </c>
      <c r="D7530" s="28">
        <f t="shared" si="401"/>
        <v>2137.5999999999381</v>
      </c>
      <c r="E7530" s="28">
        <f t="shared" si="402"/>
        <v>2003.999999999942</v>
      </c>
      <c r="F7530" s="28">
        <f t="shared" si="403"/>
        <v>1985.999999999942</v>
      </c>
      <c r="G7530" s="28">
        <f t="shared" si="404"/>
        <v>1892.8315</v>
      </c>
      <c r="H7530" s="28">
        <f t="shared" si="405"/>
        <v>1957.4069999999999</v>
      </c>
      <c r="I7530" s="28">
        <f t="shared" si="406"/>
        <v>1992.1572000000001</v>
      </c>
      <c r="J7530" s="28">
        <f t="shared" si="407"/>
        <v>2020.6771000000001</v>
      </c>
      <c r="K7530" s="28">
        <f t="shared" si="408"/>
        <v>2071.9195</v>
      </c>
      <c r="L7530" s="4"/>
      <c r="M7530" s="241">
        <v>1992.1572000000001</v>
      </c>
    </row>
    <row r="7531" spans="3:13" hidden="1" outlineLevel="1" x14ac:dyDescent="0.2">
      <c r="C7531" s="139">
        <v>267.29999999999228</v>
      </c>
      <c r="D7531" s="28">
        <f t="shared" si="401"/>
        <v>2138.3999999999382</v>
      </c>
      <c r="E7531" s="28">
        <f t="shared" si="402"/>
        <v>2004.749999999942</v>
      </c>
      <c r="F7531" s="28">
        <f t="shared" si="403"/>
        <v>1986.749999999942</v>
      </c>
      <c r="G7531" s="28">
        <f t="shared" si="404"/>
        <v>1893.7851000000001</v>
      </c>
      <c r="H7531" s="28">
        <f t="shared" si="405"/>
        <v>1958.3931</v>
      </c>
      <c r="I7531" s="28">
        <f t="shared" si="406"/>
        <v>1993.2275</v>
      </c>
      <c r="J7531" s="28">
        <f t="shared" si="407"/>
        <v>2021.6949999999999</v>
      </c>
      <c r="K7531" s="28">
        <f t="shared" si="408"/>
        <v>2072.9632999999999</v>
      </c>
      <c r="L7531" s="4"/>
      <c r="M7531" s="241">
        <v>1993.2275</v>
      </c>
    </row>
    <row r="7532" spans="3:13" hidden="1" outlineLevel="1" x14ac:dyDescent="0.2">
      <c r="C7532" s="139">
        <v>267.3999999999923</v>
      </c>
      <c r="D7532" s="28">
        <f t="shared" si="401"/>
        <v>2139.1999999999384</v>
      </c>
      <c r="E7532" s="28">
        <f t="shared" si="402"/>
        <v>2005.4999999999422</v>
      </c>
      <c r="F7532" s="28">
        <f t="shared" si="403"/>
        <v>1987.4999999999422</v>
      </c>
      <c r="G7532" s="28">
        <f t="shared" si="404"/>
        <v>1894.7992999999999</v>
      </c>
      <c r="H7532" s="28">
        <f t="shared" si="405"/>
        <v>1959.4398000000001</v>
      </c>
      <c r="I7532" s="28">
        <f t="shared" si="406"/>
        <v>1994.2311</v>
      </c>
      <c r="J7532" s="28">
        <f t="shared" si="407"/>
        <v>2022.713</v>
      </c>
      <c r="K7532" s="28">
        <f t="shared" si="408"/>
        <v>2074.0070000000001</v>
      </c>
      <c r="L7532" s="4"/>
      <c r="M7532" s="241">
        <v>1994.2311</v>
      </c>
    </row>
    <row r="7533" spans="3:13" hidden="1" outlineLevel="1" x14ac:dyDescent="0.2">
      <c r="C7533" s="139">
        <v>267.49999999999233</v>
      </c>
      <c r="D7533" s="28">
        <f t="shared" si="401"/>
        <v>2139.9999999999386</v>
      </c>
      <c r="E7533" s="28">
        <f t="shared" si="402"/>
        <v>2006.2499999999425</v>
      </c>
      <c r="F7533" s="28">
        <f t="shared" si="403"/>
        <v>1988.2499999999425</v>
      </c>
      <c r="G7533" s="28">
        <f t="shared" si="404"/>
        <v>1895.7529</v>
      </c>
      <c r="H7533" s="28">
        <f t="shared" si="405"/>
        <v>1960.4259999999999</v>
      </c>
      <c r="I7533" s="28">
        <f t="shared" si="406"/>
        <v>1995.2348</v>
      </c>
      <c r="J7533" s="28">
        <f t="shared" si="407"/>
        <v>2023.731</v>
      </c>
      <c r="K7533" s="28">
        <f t="shared" si="408"/>
        <v>2075.0508</v>
      </c>
      <c r="L7533" s="4"/>
      <c r="M7533" s="241">
        <v>1995.2348</v>
      </c>
    </row>
    <row r="7534" spans="3:13" hidden="1" outlineLevel="1" x14ac:dyDescent="0.2">
      <c r="C7534" s="139">
        <v>267.59999999999235</v>
      </c>
      <c r="D7534" s="28">
        <f t="shared" si="401"/>
        <v>2140.7999999999388</v>
      </c>
      <c r="E7534" s="28">
        <f t="shared" si="402"/>
        <v>2006.9999999999427</v>
      </c>
      <c r="F7534" s="28">
        <f t="shared" si="403"/>
        <v>1988.9999999999427</v>
      </c>
      <c r="G7534" s="28">
        <f t="shared" si="404"/>
        <v>1895.7529</v>
      </c>
      <c r="H7534" s="28">
        <f t="shared" si="405"/>
        <v>1960.4259999999999</v>
      </c>
      <c r="I7534" s="28">
        <f t="shared" si="406"/>
        <v>1995.2348</v>
      </c>
      <c r="J7534" s="28">
        <f t="shared" si="407"/>
        <v>2023.731</v>
      </c>
      <c r="K7534" s="28">
        <f t="shared" si="408"/>
        <v>2075.0508</v>
      </c>
      <c r="L7534" s="4"/>
      <c r="M7534" s="241">
        <v>1995.2348</v>
      </c>
    </row>
    <row r="7535" spans="3:13" hidden="1" outlineLevel="1" x14ac:dyDescent="0.2">
      <c r="C7535" s="139">
        <v>267.69999999999237</v>
      </c>
      <c r="D7535" s="28">
        <f t="shared" si="401"/>
        <v>2141.599999999939</v>
      </c>
      <c r="E7535" s="28">
        <f t="shared" si="402"/>
        <v>2007.7499999999427</v>
      </c>
      <c r="F7535" s="28">
        <f t="shared" si="403"/>
        <v>1989.7499999999427</v>
      </c>
      <c r="G7535" s="28">
        <f t="shared" si="404"/>
        <v>1896.7672</v>
      </c>
      <c r="H7535" s="28">
        <f t="shared" si="405"/>
        <v>1961.4121</v>
      </c>
      <c r="I7535" s="28">
        <f t="shared" si="406"/>
        <v>1996.2384</v>
      </c>
      <c r="J7535" s="28">
        <f t="shared" si="407"/>
        <v>2024.7489</v>
      </c>
      <c r="K7535" s="28">
        <f t="shared" si="408"/>
        <v>2076.0945999999999</v>
      </c>
      <c r="L7535" s="4"/>
      <c r="M7535" s="241">
        <v>1996.2384</v>
      </c>
    </row>
    <row r="7536" spans="3:13" hidden="1" outlineLevel="1" x14ac:dyDescent="0.2">
      <c r="C7536" s="139">
        <v>267.79999999999239</v>
      </c>
      <c r="D7536" s="28">
        <f t="shared" si="401"/>
        <v>2142.3999999999392</v>
      </c>
      <c r="E7536" s="28">
        <f t="shared" si="402"/>
        <v>2008.4999999999429</v>
      </c>
      <c r="F7536" s="28">
        <f t="shared" si="403"/>
        <v>1990.4999999999429</v>
      </c>
      <c r="G7536" s="28">
        <f t="shared" si="404"/>
        <v>1897.7208000000001</v>
      </c>
      <c r="H7536" s="28">
        <f t="shared" si="405"/>
        <v>1962.4590000000001</v>
      </c>
      <c r="I7536" s="28">
        <f t="shared" si="406"/>
        <v>1997.2420999999999</v>
      </c>
      <c r="J7536" s="28">
        <f t="shared" si="407"/>
        <v>2025.8336999999999</v>
      </c>
      <c r="K7536" s="28">
        <f t="shared" si="408"/>
        <v>2077.1383999999998</v>
      </c>
      <c r="L7536" s="4"/>
      <c r="M7536" s="241">
        <v>1997.2420999999999</v>
      </c>
    </row>
    <row r="7537" spans="3:13" hidden="1" outlineLevel="1" x14ac:dyDescent="0.2">
      <c r="C7537" s="139">
        <v>267.89999999999242</v>
      </c>
      <c r="D7537" s="28">
        <f t="shared" si="401"/>
        <v>2143.1999999999393</v>
      </c>
      <c r="E7537" s="28">
        <f t="shared" si="402"/>
        <v>2009.2499999999432</v>
      </c>
      <c r="F7537" s="28">
        <f t="shared" si="403"/>
        <v>1991.2499999999432</v>
      </c>
      <c r="G7537" s="28">
        <f t="shared" si="404"/>
        <v>1898.6744000000001</v>
      </c>
      <c r="H7537" s="28">
        <f t="shared" si="405"/>
        <v>1963.4450999999999</v>
      </c>
      <c r="I7537" s="28">
        <f t="shared" si="406"/>
        <v>1998.3125</v>
      </c>
      <c r="J7537" s="28">
        <f t="shared" si="407"/>
        <v>2026.8516999999999</v>
      </c>
      <c r="K7537" s="28">
        <f t="shared" si="408"/>
        <v>2078.1822000000002</v>
      </c>
      <c r="L7537" s="4"/>
      <c r="M7537" s="241">
        <v>1998.3125</v>
      </c>
    </row>
    <row r="7538" spans="3:13" hidden="1" outlineLevel="1" x14ac:dyDescent="0.2">
      <c r="C7538" s="139">
        <v>267.99999999999244</v>
      </c>
      <c r="D7538" s="28">
        <f t="shared" si="401"/>
        <v>2143.9999999999395</v>
      </c>
      <c r="E7538" s="28">
        <f t="shared" si="402"/>
        <v>2009.9999999999434</v>
      </c>
      <c r="F7538" s="28">
        <f t="shared" si="403"/>
        <v>1991.9999999999434</v>
      </c>
      <c r="G7538" s="28">
        <f t="shared" si="404"/>
        <v>1898.6744000000001</v>
      </c>
      <c r="H7538" s="28">
        <f t="shared" si="405"/>
        <v>1963.4450999999999</v>
      </c>
      <c r="I7538" s="28">
        <f t="shared" si="406"/>
        <v>1998.3125</v>
      </c>
      <c r="J7538" s="28">
        <f t="shared" si="407"/>
        <v>2026.8516999999999</v>
      </c>
      <c r="K7538" s="28">
        <f t="shared" si="408"/>
        <v>2078.1822000000002</v>
      </c>
      <c r="L7538" s="4"/>
      <c r="M7538" s="241">
        <v>1998.3125</v>
      </c>
    </row>
    <row r="7539" spans="3:13" hidden="1" outlineLevel="1" x14ac:dyDescent="0.2">
      <c r="C7539" s="139">
        <v>268.09999999999246</v>
      </c>
      <c r="D7539" s="28">
        <f t="shared" si="401"/>
        <v>2144.7999999999397</v>
      </c>
      <c r="E7539" s="28">
        <f t="shared" si="402"/>
        <v>2010.7499999999434</v>
      </c>
      <c r="F7539" s="28">
        <f t="shared" si="403"/>
        <v>1992.7499999999434</v>
      </c>
      <c r="G7539" s="28">
        <f t="shared" si="404"/>
        <v>1899.6887999999999</v>
      </c>
      <c r="H7539" s="28">
        <f t="shared" si="405"/>
        <v>1964.4313</v>
      </c>
      <c r="I7539" s="28">
        <f t="shared" si="406"/>
        <v>1999.3162</v>
      </c>
      <c r="J7539" s="28">
        <f t="shared" si="407"/>
        <v>2027.8697</v>
      </c>
      <c r="K7539" s="28">
        <f t="shared" si="408"/>
        <v>2079.2928999999999</v>
      </c>
      <c r="L7539" s="4"/>
      <c r="M7539" s="241">
        <v>1999.3162</v>
      </c>
    </row>
    <row r="7540" spans="3:13" hidden="1" outlineLevel="1" x14ac:dyDescent="0.2">
      <c r="C7540" s="139">
        <v>268.19999999999249</v>
      </c>
      <c r="D7540" s="28">
        <f t="shared" si="401"/>
        <v>2145.5999999999399</v>
      </c>
      <c r="E7540" s="28">
        <f t="shared" si="402"/>
        <v>2011.4999999999436</v>
      </c>
      <c r="F7540" s="28">
        <f t="shared" si="403"/>
        <v>1993.4999999999436</v>
      </c>
      <c r="G7540" s="28">
        <f t="shared" si="404"/>
        <v>1900.6424999999999</v>
      </c>
      <c r="H7540" s="28">
        <f t="shared" si="405"/>
        <v>1965.4174</v>
      </c>
      <c r="I7540" s="28">
        <f t="shared" si="406"/>
        <v>2000.3199</v>
      </c>
      <c r="J7540" s="28">
        <f t="shared" si="407"/>
        <v>2028.8877</v>
      </c>
      <c r="K7540" s="28">
        <f t="shared" si="408"/>
        <v>2080.3366999999998</v>
      </c>
      <c r="L7540" s="4"/>
      <c r="M7540" s="241">
        <v>2000.3199</v>
      </c>
    </row>
    <row r="7541" spans="3:13" hidden="1" outlineLevel="1" x14ac:dyDescent="0.2">
      <c r="C7541" s="139">
        <v>268.29999999999251</v>
      </c>
      <c r="D7541" s="28">
        <f t="shared" si="401"/>
        <v>2146.3999999999401</v>
      </c>
      <c r="E7541" s="28">
        <f t="shared" si="402"/>
        <v>2012.2499999999438</v>
      </c>
      <c r="F7541" s="28">
        <f t="shared" si="403"/>
        <v>1994.2499999999438</v>
      </c>
      <c r="G7541" s="28">
        <f t="shared" si="404"/>
        <v>1901.6569999999999</v>
      </c>
      <c r="H7541" s="28">
        <f t="shared" si="405"/>
        <v>1966.4644000000001</v>
      </c>
      <c r="I7541" s="28">
        <f t="shared" si="406"/>
        <v>2001.3235</v>
      </c>
      <c r="J7541" s="28">
        <f t="shared" si="407"/>
        <v>2029.9058</v>
      </c>
      <c r="K7541" s="28">
        <f t="shared" si="408"/>
        <v>2081.3805000000002</v>
      </c>
      <c r="L7541" s="4"/>
      <c r="M7541" s="241">
        <v>2001.3235</v>
      </c>
    </row>
    <row r="7542" spans="3:13" hidden="1" outlineLevel="1" x14ac:dyDescent="0.2">
      <c r="C7542" s="139">
        <v>268.39999999999253</v>
      </c>
      <c r="D7542" s="28">
        <f t="shared" si="401"/>
        <v>2147.1999999999402</v>
      </c>
      <c r="E7542" s="28">
        <f t="shared" si="402"/>
        <v>2012.9999999999441</v>
      </c>
      <c r="F7542" s="28">
        <f t="shared" si="403"/>
        <v>1994.9999999999441</v>
      </c>
      <c r="G7542" s="28">
        <f t="shared" si="404"/>
        <v>1901.6569999999999</v>
      </c>
      <c r="H7542" s="28">
        <f t="shared" si="405"/>
        <v>1966.4644000000001</v>
      </c>
      <c r="I7542" s="28">
        <f t="shared" si="406"/>
        <v>2001.3235</v>
      </c>
      <c r="J7542" s="28">
        <f t="shared" si="407"/>
        <v>2029.9058</v>
      </c>
      <c r="K7542" s="28">
        <f t="shared" si="408"/>
        <v>2081.3805000000002</v>
      </c>
      <c r="L7542" s="4"/>
      <c r="M7542" s="241">
        <v>2001.3235</v>
      </c>
    </row>
    <row r="7543" spans="3:13" hidden="1" outlineLevel="1" x14ac:dyDescent="0.2">
      <c r="C7543" s="139">
        <v>268.49999999999255</v>
      </c>
      <c r="D7543" s="28">
        <f t="shared" si="401"/>
        <v>2147.9999999999404</v>
      </c>
      <c r="E7543" s="28">
        <f t="shared" si="402"/>
        <v>2013.7499999999441</v>
      </c>
      <c r="F7543" s="28">
        <f t="shared" si="403"/>
        <v>1995.7499999999441</v>
      </c>
      <c r="G7543" s="28">
        <f t="shared" si="404"/>
        <v>1902.6107</v>
      </c>
      <c r="H7543" s="28">
        <f t="shared" si="405"/>
        <v>1967.4505999999999</v>
      </c>
      <c r="I7543" s="28">
        <f t="shared" si="406"/>
        <v>2002.3271999999999</v>
      </c>
      <c r="J7543" s="28">
        <f t="shared" si="407"/>
        <v>2030.9238</v>
      </c>
      <c r="K7543" s="28">
        <f t="shared" si="408"/>
        <v>2082.4243000000001</v>
      </c>
      <c r="L7543" s="4"/>
      <c r="M7543" s="241">
        <v>2002.3271999999999</v>
      </c>
    </row>
    <row r="7544" spans="3:13" hidden="1" outlineLevel="1" x14ac:dyDescent="0.2">
      <c r="C7544" s="139">
        <v>268.59999999999258</v>
      </c>
      <c r="D7544" s="28">
        <f t="shared" si="401"/>
        <v>2148.7999999999406</v>
      </c>
      <c r="E7544" s="28">
        <f t="shared" si="402"/>
        <v>2014.4999999999443</v>
      </c>
      <c r="F7544" s="28">
        <f t="shared" si="403"/>
        <v>1996.4999999999443</v>
      </c>
      <c r="G7544" s="28">
        <f t="shared" si="404"/>
        <v>1903.6252999999999</v>
      </c>
      <c r="H7544" s="28">
        <f t="shared" si="405"/>
        <v>1968.4367999999999</v>
      </c>
      <c r="I7544" s="28">
        <f t="shared" si="406"/>
        <v>2003.3978999999999</v>
      </c>
      <c r="J7544" s="28">
        <f t="shared" si="407"/>
        <v>2032.0088000000001</v>
      </c>
      <c r="K7544" s="28">
        <f t="shared" si="408"/>
        <v>2083.4681</v>
      </c>
      <c r="L7544" s="4"/>
      <c r="M7544" s="241">
        <v>2003.3978999999999</v>
      </c>
    </row>
    <row r="7545" spans="3:13" hidden="1" outlineLevel="1" x14ac:dyDescent="0.2">
      <c r="C7545" s="139">
        <v>268.6999999999926</v>
      </c>
      <c r="D7545" s="28">
        <f t="shared" si="401"/>
        <v>2149.5999999999408</v>
      </c>
      <c r="E7545" s="28">
        <f t="shared" si="402"/>
        <v>2015.2499999999445</v>
      </c>
      <c r="F7545" s="28">
        <f t="shared" si="403"/>
        <v>1997.2499999999445</v>
      </c>
      <c r="G7545" s="28">
        <f t="shared" si="404"/>
        <v>1904.579</v>
      </c>
      <c r="H7545" s="28">
        <f t="shared" si="405"/>
        <v>1969.4839999999999</v>
      </c>
      <c r="I7545" s="28">
        <f t="shared" si="406"/>
        <v>2004.4015999999999</v>
      </c>
      <c r="J7545" s="28">
        <f t="shared" si="407"/>
        <v>2033.0268000000001</v>
      </c>
      <c r="K7545" s="28">
        <f t="shared" si="408"/>
        <v>2084.5120000000002</v>
      </c>
      <c r="L7545" s="4"/>
      <c r="M7545" s="241">
        <v>2004.4015999999999</v>
      </c>
    </row>
    <row r="7546" spans="3:13" hidden="1" outlineLevel="1" x14ac:dyDescent="0.2">
      <c r="C7546" s="139">
        <v>268.79999999999262</v>
      </c>
      <c r="D7546" s="28">
        <f t="shared" si="401"/>
        <v>2150.399999999941</v>
      </c>
      <c r="E7546" s="28">
        <f t="shared" si="402"/>
        <v>2015.9999999999447</v>
      </c>
      <c r="F7546" s="28">
        <f t="shared" si="403"/>
        <v>1997.9999999999447</v>
      </c>
      <c r="G7546" s="28">
        <f t="shared" si="404"/>
        <v>1904.579</v>
      </c>
      <c r="H7546" s="28">
        <f t="shared" si="405"/>
        <v>1969.4839999999999</v>
      </c>
      <c r="I7546" s="28">
        <f t="shared" si="406"/>
        <v>2004.4015999999999</v>
      </c>
      <c r="J7546" s="28">
        <f t="shared" si="407"/>
        <v>2033.0268000000001</v>
      </c>
      <c r="K7546" s="28">
        <f t="shared" si="408"/>
        <v>2084.5120000000002</v>
      </c>
      <c r="L7546" s="4"/>
      <c r="M7546" s="241">
        <v>2004.4015999999999</v>
      </c>
    </row>
    <row r="7547" spans="3:13" hidden="1" outlineLevel="1" x14ac:dyDescent="0.2">
      <c r="C7547" s="139">
        <v>268.89999999999264</v>
      </c>
      <c r="D7547" s="28">
        <f t="shared" ref="D7547:D7610" si="409">C7547*Channels.per.TRX</f>
        <v>2151.1999999999412</v>
      </c>
      <c r="E7547" s="28">
        <f t="shared" ref="E7547:E7610" si="410">D7547-C7547*sig.channel.per.TRX</f>
        <v>2016.7499999999447</v>
      </c>
      <c r="F7547" s="28">
        <f t="shared" ref="F7547:F7610" si="411">MAX(0,E7547-GPRS.channel.per.sector)</f>
        <v>1998.7499999999447</v>
      </c>
      <c r="G7547" s="28">
        <f t="shared" ref="G7547:G7610" si="412">INDEX(D$10:D$4326,MATCH($F7547,$C$10:$C$4326,1))</f>
        <v>1905.5936999999999</v>
      </c>
      <c r="H7547" s="28">
        <f t="shared" ref="H7547:H7610" si="413">INDEX(E$10:E$4326,MATCH($F7547,$C$10:$C$4326,1))</f>
        <v>1970.4702</v>
      </c>
      <c r="I7547" s="28">
        <f t="shared" ref="I7547:I7610" si="414">INDEX(F$10:F$4326,MATCH($F7547,$C$10:$C$4326,1))</f>
        <v>2005.4052999999999</v>
      </c>
      <c r="J7547" s="28">
        <f t="shared" ref="J7547:J7610" si="415">INDEX(G$10:G$4326,MATCH($F7547,$C$10:$C$4326,1))</f>
        <v>2034.0449000000001</v>
      </c>
      <c r="K7547" s="28">
        <f t="shared" ref="K7547:K7610" si="416">INDEX(H$10:H$4326,MATCH($F7547,$C$10:$C$4326,1))</f>
        <v>2085.5558000000001</v>
      </c>
      <c r="L7547" s="4"/>
      <c r="M7547" s="241">
        <v>2005.4052999999999</v>
      </c>
    </row>
    <row r="7548" spans="3:13" hidden="1" outlineLevel="1" x14ac:dyDescent="0.2">
      <c r="C7548" s="139">
        <v>268.99999999999267</v>
      </c>
      <c r="D7548" s="28">
        <f t="shared" si="409"/>
        <v>2151.9999999999413</v>
      </c>
      <c r="E7548" s="28">
        <f t="shared" si="410"/>
        <v>2017.499999999945</v>
      </c>
      <c r="F7548" s="28">
        <f t="shared" si="411"/>
        <v>1999.499999999945</v>
      </c>
      <c r="G7548" s="28">
        <f t="shared" si="412"/>
        <v>1906.6084000000001</v>
      </c>
      <c r="H7548" s="28">
        <f t="shared" si="413"/>
        <v>1971.4564</v>
      </c>
      <c r="I7548" s="28">
        <f t="shared" si="414"/>
        <v>2006.4090000000001</v>
      </c>
      <c r="J7548" s="28">
        <f t="shared" si="415"/>
        <v>2035.0630000000001</v>
      </c>
      <c r="K7548" s="28">
        <f t="shared" si="416"/>
        <v>2086.5996</v>
      </c>
      <c r="L7548" s="4"/>
      <c r="M7548" s="241">
        <v>2006.4090000000001</v>
      </c>
    </row>
    <row r="7549" spans="3:13" hidden="1" outlineLevel="1" x14ac:dyDescent="0.2">
      <c r="C7549" s="139">
        <v>269.09999999999269</v>
      </c>
      <c r="D7549" s="28">
        <f t="shared" si="409"/>
        <v>2152.7999999999415</v>
      </c>
      <c r="E7549" s="28">
        <f t="shared" si="410"/>
        <v>2018.2499999999452</v>
      </c>
      <c r="F7549" s="28">
        <f t="shared" si="411"/>
        <v>2000.2499999999452</v>
      </c>
      <c r="G7549" s="28">
        <f t="shared" si="412"/>
        <v>1907.6231</v>
      </c>
      <c r="H7549" s="28">
        <f t="shared" si="413"/>
        <v>1972.4426000000001</v>
      </c>
      <c r="I7549" s="28">
        <f t="shared" si="414"/>
        <v>2007.4127000000001</v>
      </c>
      <c r="J7549" s="28">
        <f t="shared" si="415"/>
        <v>2036.0811000000001</v>
      </c>
      <c r="K7549" s="28">
        <f t="shared" si="416"/>
        <v>2087.6433999999999</v>
      </c>
      <c r="L7549" s="4"/>
      <c r="M7549" s="241">
        <v>2007.4127000000001</v>
      </c>
    </row>
    <row r="7550" spans="3:13" hidden="1" outlineLevel="1" x14ac:dyDescent="0.2">
      <c r="C7550" s="139">
        <v>269.19999999999271</v>
      </c>
      <c r="D7550" s="28">
        <f t="shared" si="409"/>
        <v>2153.5999999999417</v>
      </c>
      <c r="E7550" s="28">
        <f t="shared" si="410"/>
        <v>2018.9999999999454</v>
      </c>
      <c r="F7550" s="28">
        <f t="shared" si="411"/>
        <v>2000.9999999999454</v>
      </c>
      <c r="G7550" s="28">
        <f t="shared" si="412"/>
        <v>1907.6231</v>
      </c>
      <c r="H7550" s="28">
        <f t="shared" si="413"/>
        <v>1972.4426000000001</v>
      </c>
      <c r="I7550" s="28">
        <f t="shared" si="414"/>
        <v>2007.4127000000001</v>
      </c>
      <c r="J7550" s="28">
        <f t="shared" si="415"/>
        <v>2036.0811000000001</v>
      </c>
      <c r="K7550" s="28">
        <f t="shared" si="416"/>
        <v>2087.6433999999999</v>
      </c>
      <c r="L7550" s="4"/>
      <c r="M7550" s="241">
        <v>2007.4127000000001</v>
      </c>
    </row>
    <row r="7551" spans="3:13" hidden="1" outlineLevel="1" x14ac:dyDescent="0.2">
      <c r="C7551" s="139">
        <v>269.29999999999274</v>
      </c>
      <c r="D7551" s="28">
        <f t="shared" si="409"/>
        <v>2154.3999999999419</v>
      </c>
      <c r="E7551" s="28">
        <f t="shared" si="410"/>
        <v>2019.7499999999454</v>
      </c>
      <c r="F7551" s="28">
        <f t="shared" si="411"/>
        <v>2001.7499999999454</v>
      </c>
      <c r="G7551" s="28">
        <f t="shared" si="412"/>
        <v>1908.6378</v>
      </c>
      <c r="H7551" s="28">
        <f t="shared" si="413"/>
        <v>1973.4287999999999</v>
      </c>
      <c r="I7551" s="28">
        <f t="shared" si="414"/>
        <v>2008.4164000000001</v>
      </c>
      <c r="J7551" s="28">
        <f t="shared" si="415"/>
        <v>2037.0992000000001</v>
      </c>
      <c r="K7551" s="28">
        <f t="shared" si="416"/>
        <v>2088.6871999999998</v>
      </c>
      <c r="L7551" s="4"/>
      <c r="M7551" s="241">
        <v>2008.4164000000001</v>
      </c>
    </row>
    <row r="7552" spans="3:13" hidden="1" outlineLevel="1" x14ac:dyDescent="0.2">
      <c r="C7552" s="139">
        <v>269.39999999999276</v>
      </c>
      <c r="D7552" s="28">
        <f t="shared" si="409"/>
        <v>2155.1999999999421</v>
      </c>
      <c r="E7552" s="28">
        <f t="shared" si="410"/>
        <v>2020.4999999999457</v>
      </c>
      <c r="F7552" s="28">
        <f t="shared" si="411"/>
        <v>2002.4999999999457</v>
      </c>
      <c r="G7552" s="28">
        <f t="shared" si="412"/>
        <v>1909.6524999999999</v>
      </c>
      <c r="H7552" s="28">
        <f t="shared" si="413"/>
        <v>1974.415</v>
      </c>
      <c r="I7552" s="28">
        <f t="shared" si="414"/>
        <v>2009.4201</v>
      </c>
      <c r="J7552" s="28">
        <f t="shared" si="415"/>
        <v>2038.1172999999999</v>
      </c>
      <c r="K7552" s="28">
        <f t="shared" si="416"/>
        <v>2089.7310000000002</v>
      </c>
      <c r="L7552" s="4"/>
      <c r="M7552" s="241">
        <v>2009.4201</v>
      </c>
    </row>
    <row r="7553" spans="3:13" hidden="1" outlineLevel="1" x14ac:dyDescent="0.2">
      <c r="C7553" s="139">
        <v>269.49999999999278</v>
      </c>
      <c r="D7553" s="28">
        <f t="shared" si="409"/>
        <v>2155.9999999999422</v>
      </c>
      <c r="E7553" s="28">
        <f t="shared" si="410"/>
        <v>2021.2499999999459</v>
      </c>
      <c r="F7553" s="28">
        <f t="shared" si="411"/>
        <v>2003.2499999999459</v>
      </c>
      <c r="G7553" s="28">
        <f t="shared" si="412"/>
        <v>1910.6672000000001</v>
      </c>
      <c r="H7553" s="28">
        <f t="shared" si="413"/>
        <v>1975.4012</v>
      </c>
      <c r="I7553" s="28">
        <f t="shared" si="414"/>
        <v>2010.4238</v>
      </c>
      <c r="J7553" s="28">
        <f t="shared" si="415"/>
        <v>2039.1353999999999</v>
      </c>
      <c r="K7553" s="28">
        <f t="shared" si="416"/>
        <v>2090.7748000000001</v>
      </c>
      <c r="L7553" s="4"/>
      <c r="M7553" s="241">
        <v>2010.4238</v>
      </c>
    </row>
    <row r="7554" spans="3:13" hidden="1" outlineLevel="1" x14ac:dyDescent="0.2">
      <c r="C7554" s="139">
        <v>269.5999999999928</v>
      </c>
      <c r="D7554" s="28">
        <f t="shared" si="409"/>
        <v>2156.7999999999424</v>
      </c>
      <c r="E7554" s="28">
        <f t="shared" si="410"/>
        <v>2021.9999999999461</v>
      </c>
      <c r="F7554" s="28">
        <f t="shared" si="411"/>
        <v>2003.9999999999461</v>
      </c>
      <c r="G7554" s="28">
        <f t="shared" si="412"/>
        <v>1910.6672000000001</v>
      </c>
      <c r="H7554" s="28">
        <f t="shared" si="413"/>
        <v>1975.4012</v>
      </c>
      <c r="I7554" s="28">
        <f t="shared" si="414"/>
        <v>2010.4238</v>
      </c>
      <c r="J7554" s="28">
        <f t="shared" si="415"/>
        <v>2039.1353999999999</v>
      </c>
      <c r="K7554" s="28">
        <f t="shared" si="416"/>
        <v>2090.7748000000001</v>
      </c>
      <c r="L7554" s="4"/>
      <c r="M7554" s="241">
        <v>2010.4238</v>
      </c>
    </row>
    <row r="7555" spans="3:13" hidden="1" outlineLevel="1" x14ac:dyDescent="0.2">
      <c r="C7555" s="139">
        <v>269.69999999999283</v>
      </c>
      <c r="D7555" s="28">
        <f t="shared" si="409"/>
        <v>2157.5999999999426</v>
      </c>
      <c r="E7555" s="28">
        <f t="shared" si="410"/>
        <v>2022.7499999999461</v>
      </c>
      <c r="F7555" s="28">
        <f t="shared" si="411"/>
        <v>2004.7499999999461</v>
      </c>
      <c r="G7555" s="28">
        <f t="shared" si="412"/>
        <v>1911.6819</v>
      </c>
      <c r="H7555" s="28">
        <f t="shared" si="413"/>
        <v>1976.3874000000001</v>
      </c>
      <c r="I7555" s="28">
        <f t="shared" si="414"/>
        <v>2011.4275</v>
      </c>
      <c r="J7555" s="28">
        <f t="shared" si="415"/>
        <v>2040.1534999999999</v>
      </c>
      <c r="K7555" s="28">
        <f t="shared" si="416"/>
        <v>2091.8186000000001</v>
      </c>
      <c r="L7555" s="4"/>
      <c r="M7555" s="241">
        <v>2011.4275</v>
      </c>
    </row>
    <row r="7556" spans="3:13" hidden="1" outlineLevel="1" x14ac:dyDescent="0.2">
      <c r="C7556" s="139">
        <v>269.79999999999285</v>
      </c>
      <c r="D7556" s="28">
        <f t="shared" si="409"/>
        <v>2158.3999999999428</v>
      </c>
      <c r="E7556" s="28">
        <f t="shared" si="410"/>
        <v>2023.4999999999463</v>
      </c>
      <c r="F7556" s="28">
        <f t="shared" si="411"/>
        <v>2005.4999999999463</v>
      </c>
      <c r="G7556" s="28">
        <f t="shared" si="412"/>
        <v>1912.6966</v>
      </c>
      <c r="H7556" s="28">
        <f t="shared" si="413"/>
        <v>1977.3735999999999</v>
      </c>
      <c r="I7556" s="28">
        <f t="shared" si="414"/>
        <v>2012.4312</v>
      </c>
      <c r="J7556" s="28">
        <f t="shared" si="415"/>
        <v>2041.1715999999999</v>
      </c>
      <c r="K7556" s="28">
        <f t="shared" si="416"/>
        <v>2092.8624</v>
      </c>
      <c r="L7556" s="4"/>
      <c r="M7556" s="241">
        <v>2012.4312</v>
      </c>
    </row>
    <row r="7557" spans="3:13" hidden="1" outlineLevel="1" x14ac:dyDescent="0.2">
      <c r="C7557" s="139">
        <v>269.89999999999287</v>
      </c>
      <c r="D7557" s="28">
        <f t="shared" si="409"/>
        <v>2159.199999999943</v>
      </c>
      <c r="E7557" s="28">
        <f t="shared" si="410"/>
        <v>2024.2499999999466</v>
      </c>
      <c r="F7557" s="28">
        <f t="shared" si="411"/>
        <v>2006.2499999999466</v>
      </c>
      <c r="G7557" s="28">
        <f t="shared" si="412"/>
        <v>1913.7112999999999</v>
      </c>
      <c r="H7557" s="28">
        <f t="shared" si="413"/>
        <v>1978.3598</v>
      </c>
      <c r="I7557" s="28">
        <f t="shared" si="414"/>
        <v>2013.4349</v>
      </c>
      <c r="J7557" s="28">
        <f t="shared" si="415"/>
        <v>2042.1896999999999</v>
      </c>
      <c r="K7557" s="28">
        <f t="shared" si="416"/>
        <v>2093.9061999999999</v>
      </c>
      <c r="L7557" s="4"/>
      <c r="M7557" s="241">
        <v>2013.4349</v>
      </c>
    </row>
    <row r="7558" spans="3:13" hidden="1" outlineLevel="1" x14ac:dyDescent="0.2">
      <c r="C7558" s="139">
        <v>269.99999999999289</v>
      </c>
      <c r="D7558" s="28">
        <f t="shared" si="409"/>
        <v>2159.9999999999432</v>
      </c>
      <c r="E7558" s="28">
        <f t="shared" si="410"/>
        <v>2024.9999999999468</v>
      </c>
      <c r="F7558" s="28">
        <f t="shared" si="411"/>
        <v>2006.9999999999468</v>
      </c>
      <c r="G7558" s="28">
        <f t="shared" si="412"/>
        <v>1913.7112999999999</v>
      </c>
      <c r="H7558" s="28">
        <f t="shared" si="413"/>
        <v>1978.3598</v>
      </c>
      <c r="I7558" s="28">
        <f t="shared" si="414"/>
        <v>2013.4349</v>
      </c>
      <c r="J7558" s="28">
        <f t="shared" si="415"/>
        <v>2042.1896999999999</v>
      </c>
      <c r="K7558" s="28">
        <f t="shared" si="416"/>
        <v>2093.9061999999999</v>
      </c>
      <c r="L7558" s="4"/>
      <c r="M7558" s="241">
        <v>2013.4349</v>
      </c>
    </row>
    <row r="7559" spans="3:13" hidden="1" outlineLevel="1" x14ac:dyDescent="0.2">
      <c r="C7559" s="139">
        <v>270.09999999999292</v>
      </c>
      <c r="D7559" s="28">
        <f t="shared" si="409"/>
        <v>2160.7999999999433</v>
      </c>
      <c r="E7559" s="28">
        <f t="shared" si="410"/>
        <v>2025.7499999999468</v>
      </c>
      <c r="F7559" s="28">
        <f t="shared" si="411"/>
        <v>2007.7499999999468</v>
      </c>
      <c r="G7559" s="28">
        <f t="shared" si="412"/>
        <v>1914.7260000000001</v>
      </c>
      <c r="H7559" s="28">
        <f t="shared" si="413"/>
        <v>1979.346</v>
      </c>
      <c r="I7559" s="28">
        <f t="shared" si="414"/>
        <v>2014.4386</v>
      </c>
      <c r="J7559" s="28">
        <f t="shared" si="415"/>
        <v>2043.2077999999999</v>
      </c>
      <c r="K7559" s="28">
        <f t="shared" si="416"/>
        <v>2094.9499999999998</v>
      </c>
      <c r="L7559" s="4"/>
      <c r="M7559" s="241">
        <v>2014.4386</v>
      </c>
    </row>
    <row r="7560" spans="3:13" hidden="1" outlineLevel="1" x14ac:dyDescent="0.2">
      <c r="C7560" s="139">
        <v>270.19999999999294</v>
      </c>
      <c r="D7560" s="28">
        <f t="shared" si="409"/>
        <v>2161.5999999999435</v>
      </c>
      <c r="E7560" s="28">
        <f t="shared" si="410"/>
        <v>2026.499999999947</v>
      </c>
      <c r="F7560" s="28">
        <f t="shared" si="411"/>
        <v>2008.499999999947</v>
      </c>
      <c r="G7560" s="28">
        <f t="shared" si="412"/>
        <v>1915.7407000000001</v>
      </c>
      <c r="H7560" s="28">
        <f t="shared" si="413"/>
        <v>1980.3322000000001</v>
      </c>
      <c r="I7560" s="28">
        <f t="shared" si="414"/>
        <v>2015.4422999999999</v>
      </c>
      <c r="J7560" s="28">
        <f t="shared" si="415"/>
        <v>2044.2258999999999</v>
      </c>
      <c r="K7560" s="28">
        <f t="shared" si="416"/>
        <v>2095.9938000000002</v>
      </c>
      <c r="L7560" s="4"/>
      <c r="M7560" s="241">
        <v>2015.4422999999999</v>
      </c>
    </row>
    <row r="7561" spans="3:13" hidden="1" outlineLevel="1" x14ac:dyDescent="0.2">
      <c r="C7561" s="139">
        <v>270.29999999999296</v>
      </c>
      <c r="D7561" s="28">
        <f t="shared" si="409"/>
        <v>2162.3999999999437</v>
      </c>
      <c r="E7561" s="28">
        <f t="shared" si="410"/>
        <v>2027.2499999999472</v>
      </c>
      <c r="F7561" s="28">
        <f t="shared" si="411"/>
        <v>2009.2499999999472</v>
      </c>
      <c r="G7561" s="28">
        <f t="shared" si="412"/>
        <v>1916.7554</v>
      </c>
      <c r="H7561" s="28">
        <f t="shared" si="413"/>
        <v>1981.3184000000001</v>
      </c>
      <c r="I7561" s="28">
        <f t="shared" si="414"/>
        <v>2016.4459999999999</v>
      </c>
      <c r="J7561" s="28">
        <f t="shared" si="415"/>
        <v>2045.2439999999999</v>
      </c>
      <c r="K7561" s="28">
        <f t="shared" si="416"/>
        <v>2097.0376000000001</v>
      </c>
      <c r="L7561" s="4"/>
      <c r="M7561" s="241">
        <v>2016.4459999999999</v>
      </c>
    </row>
    <row r="7562" spans="3:13" hidden="1" outlineLevel="1" x14ac:dyDescent="0.2">
      <c r="C7562" s="139">
        <v>270.39999999999299</v>
      </c>
      <c r="D7562" s="28">
        <f t="shared" si="409"/>
        <v>2163.1999999999439</v>
      </c>
      <c r="E7562" s="28">
        <f t="shared" si="410"/>
        <v>2027.9999999999475</v>
      </c>
      <c r="F7562" s="28">
        <f t="shared" si="411"/>
        <v>2009.9999999999475</v>
      </c>
      <c r="G7562" s="28">
        <f t="shared" si="412"/>
        <v>1916.7554</v>
      </c>
      <c r="H7562" s="28">
        <f t="shared" si="413"/>
        <v>1981.3184000000001</v>
      </c>
      <c r="I7562" s="28">
        <f t="shared" si="414"/>
        <v>2016.4459999999999</v>
      </c>
      <c r="J7562" s="28">
        <f t="shared" si="415"/>
        <v>2045.2439999999999</v>
      </c>
      <c r="K7562" s="28">
        <f t="shared" si="416"/>
        <v>2097.0376000000001</v>
      </c>
      <c r="L7562" s="4"/>
      <c r="M7562" s="241">
        <v>2016.4459999999999</v>
      </c>
    </row>
    <row r="7563" spans="3:13" hidden="1" outlineLevel="1" x14ac:dyDescent="0.2">
      <c r="C7563" s="139">
        <v>270.49999999999301</v>
      </c>
      <c r="D7563" s="28">
        <f t="shared" si="409"/>
        <v>2163.9999999999441</v>
      </c>
      <c r="E7563" s="28">
        <f t="shared" si="410"/>
        <v>2028.7499999999475</v>
      </c>
      <c r="F7563" s="28">
        <f t="shared" si="411"/>
        <v>2010.7499999999475</v>
      </c>
      <c r="G7563" s="28">
        <f t="shared" si="412"/>
        <v>1917.7701</v>
      </c>
      <c r="H7563" s="28">
        <f t="shared" si="413"/>
        <v>1982.3045999999999</v>
      </c>
      <c r="I7563" s="28">
        <f t="shared" si="414"/>
        <v>2017.4496999999999</v>
      </c>
      <c r="J7563" s="28">
        <f t="shared" si="415"/>
        <v>2046.2620999999999</v>
      </c>
      <c r="K7563" s="28">
        <f t="shared" si="416"/>
        <v>2098.0814</v>
      </c>
      <c r="L7563" s="4"/>
      <c r="M7563" s="241">
        <v>2017.4496999999999</v>
      </c>
    </row>
    <row r="7564" spans="3:13" hidden="1" outlineLevel="1" x14ac:dyDescent="0.2">
      <c r="C7564" s="139">
        <v>270.59999999999303</v>
      </c>
      <c r="D7564" s="28">
        <f t="shared" si="409"/>
        <v>2164.7999999999442</v>
      </c>
      <c r="E7564" s="28">
        <f t="shared" si="410"/>
        <v>2029.4999999999477</v>
      </c>
      <c r="F7564" s="28">
        <f t="shared" si="411"/>
        <v>2011.4999999999477</v>
      </c>
      <c r="G7564" s="28">
        <f t="shared" si="412"/>
        <v>1918.7847999999999</v>
      </c>
      <c r="H7564" s="28">
        <f t="shared" si="413"/>
        <v>1983.2908</v>
      </c>
      <c r="I7564" s="28">
        <f t="shared" si="414"/>
        <v>2018.4534000000001</v>
      </c>
      <c r="J7564" s="28">
        <f t="shared" si="415"/>
        <v>2047.2801999999999</v>
      </c>
      <c r="K7564" s="28">
        <f t="shared" si="416"/>
        <v>2099.1251999999999</v>
      </c>
      <c r="L7564" s="4"/>
      <c r="M7564" s="241">
        <v>2018.4534000000001</v>
      </c>
    </row>
    <row r="7565" spans="3:13" hidden="1" outlineLevel="1" x14ac:dyDescent="0.2">
      <c r="C7565" s="139">
        <v>270.69999999999305</v>
      </c>
      <c r="D7565" s="28">
        <f t="shared" si="409"/>
        <v>2165.5999999999444</v>
      </c>
      <c r="E7565" s="28">
        <f t="shared" si="410"/>
        <v>2030.2499999999479</v>
      </c>
      <c r="F7565" s="28">
        <f t="shared" si="411"/>
        <v>2012.2499999999479</v>
      </c>
      <c r="G7565" s="28">
        <f t="shared" si="412"/>
        <v>1919.7995000000001</v>
      </c>
      <c r="H7565" s="28">
        <f t="shared" si="413"/>
        <v>1984.277</v>
      </c>
      <c r="I7565" s="28">
        <f t="shared" si="414"/>
        <v>2019.4571000000001</v>
      </c>
      <c r="J7565" s="28">
        <f t="shared" si="415"/>
        <v>2048.2982999999999</v>
      </c>
      <c r="K7565" s="28">
        <f t="shared" si="416"/>
        <v>2100.1689999999999</v>
      </c>
      <c r="L7565" s="4"/>
      <c r="M7565" s="241">
        <v>2019.4571000000001</v>
      </c>
    </row>
    <row r="7566" spans="3:13" hidden="1" outlineLevel="1" x14ac:dyDescent="0.2">
      <c r="C7566" s="139">
        <v>270.79999999999308</v>
      </c>
      <c r="D7566" s="28">
        <f t="shared" si="409"/>
        <v>2166.3999999999446</v>
      </c>
      <c r="E7566" s="28">
        <f t="shared" si="410"/>
        <v>2030.9999999999482</v>
      </c>
      <c r="F7566" s="28">
        <f t="shared" si="411"/>
        <v>2012.9999999999482</v>
      </c>
      <c r="G7566" s="28">
        <f t="shared" si="412"/>
        <v>1919.7995000000001</v>
      </c>
      <c r="H7566" s="28">
        <f t="shared" si="413"/>
        <v>1984.277</v>
      </c>
      <c r="I7566" s="28">
        <f t="shared" si="414"/>
        <v>2019.4571000000001</v>
      </c>
      <c r="J7566" s="28">
        <f t="shared" si="415"/>
        <v>2048.2982999999999</v>
      </c>
      <c r="K7566" s="28">
        <f t="shared" si="416"/>
        <v>2100.1689999999999</v>
      </c>
      <c r="L7566" s="4"/>
      <c r="M7566" s="241">
        <v>2019.4571000000001</v>
      </c>
    </row>
    <row r="7567" spans="3:13" hidden="1" outlineLevel="1" x14ac:dyDescent="0.2">
      <c r="C7567" s="139">
        <v>270.8999999999931</v>
      </c>
      <c r="D7567" s="28">
        <f t="shared" si="409"/>
        <v>2167.1999999999448</v>
      </c>
      <c r="E7567" s="28">
        <f t="shared" si="410"/>
        <v>2031.7499999999482</v>
      </c>
      <c r="F7567" s="28">
        <f t="shared" si="411"/>
        <v>2013.7499999999482</v>
      </c>
      <c r="G7567" s="28">
        <f t="shared" si="412"/>
        <v>1920.8142</v>
      </c>
      <c r="H7567" s="28">
        <f t="shared" si="413"/>
        <v>1985.2632000000001</v>
      </c>
      <c r="I7567" s="28">
        <f t="shared" si="414"/>
        <v>2020.4608000000001</v>
      </c>
      <c r="J7567" s="28">
        <f t="shared" si="415"/>
        <v>2049.3164000000002</v>
      </c>
      <c r="K7567" s="28">
        <f t="shared" si="416"/>
        <v>2101.2127999999998</v>
      </c>
      <c r="L7567" s="4"/>
      <c r="M7567" s="241">
        <v>2020.4608000000001</v>
      </c>
    </row>
    <row r="7568" spans="3:13" hidden="1" outlineLevel="1" x14ac:dyDescent="0.2">
      <c r="C7568" s="139">
        <v>270.99999999999312</v>
      </c>
      <c r="D7568" s="28">
        <f t="shared" si="409"/>
        <v>2167.999999999945</v>
      </c>
      <c r="E7568" s="28">
        <f t="shared" si="410"/>
        <v>2032.4999999999484</v>
      </c>
      <c r="F7568" s="28">
        <f t="shared" si="411"/>
        <v>2014.4999999999484</v>
      </c>
      <c r="G7568" s="28">
        <f t="shared" si="412"/>
        <v>1921.8289</v>
      </c>
      <c r="H7568" s="28">
        <f t="shared" si="413"/>
        <v>1986.2493999999999</v>
      </c>
      <c r="I7568" s="28">
        <f t="shared" si="414"/>
        <v>2021.4645</v>
      </c>
      <c r="J7568" s="28">
        <f t="shared" si="415"/>
        <v>2050.3344999999999</v>
      </c>
      <c r="K7568" s="28">
        <f t="shared" si="416"/>
        <v>2102.2566000000002</v>
      </c>
      <c r="L7568" s="4"/>
      <c r="M7568" s="241">
        <v>2021.4645</v>
      </c>
    </row>
    <row r="7569" spans="3:13" hidden="1" outlineLevel="1" x14ac:dyDescent="0.2">
      <c r="C7569" s="139">
        <v>271.09999999999314</v>
      </c>
      <c r="D7569" s="28">
        <f t="shared" si="409"/>
        <v>2168.7999999999452</v>
      </c>
      <c r="E7569" s="28">
        <f t="shared" si="410"/>
        <v>2033.2499999999486</v>
      </c>
      <c r="F7569" s="28">
        <f t="shared" si="411"/>
        <v>2015.2499999999486</v>
      </c>
      <c r="G7569" s="28">
        <f t="shared" si="412"/>
        <v>1922.8435999999999</v>
      </c>
      <c r="H7569" s="28">
        <f t="shared" si="413"/>
        <v>1987.2356</v>
      </c>
      <c r="I7569" s="28">
        <f t="shared" si="414"/>
        <v>2022.4682</v>
      </c>
      <c r="J7569" s="28">
        <f t="shared" si="415"/>
        <v>2051.3526000000002</v>
      </c>
      <c r="K7569" s="28">
        <f t="shared" si="416"/>
        <v>2103.3004000000001</v>
      </c>
      <c r="L7569" s="4"/>
      <c r="M7569" s="241">
        <v>2022.4682</v>
      </c>
    </row>
    <row r="7570" spans="3:13" hidden="1" outlineLevel="1" x14ac:dyDescent="0.2">
      <c r="C7570" s="139">
        <v>271.19999999999317</v>
      </c>
      <c r="D7570" s="28">
        <f t="shared" si="409"/>
        <v>2169.5999999999453</v>
      </c>
      <c r="E7570" s="28">
        <f t="shared" si="410"/>
        <v>2033.9999999999488</v>
      </c>
      <c r="F7570" s="28">
        <f t="shared" si="411"/>
        <v>2015.9999999999488</v>
      </c>
      <c r="G7570" s="28">
        <f t="shared" si="412"/>
        <v>1922.8435999999999</v>
      </c>
      <c r="H7570" s="28">
        <f t="shared" si="413"/>
        <v>1987.2356</v>
      </c>
      <c r="I7570" s="28">
        <f t="shared" si="414"/>
        <v>2022.4682</v>
      </c>
      <c r="J7570" s="28">
        <f t="shared" si="415"/>
        <v>2051.3526000000002</v>
      </c>
      <c r="K7570" s="28">
        <f t="shared" si="416"/>
        <v>2103.3004000000001</v>
      </c>
      <c r="L7570" s="4"/>
      <c r="M7570" s="241">
        <v>2022.4682</v>
      </c>
    </row>
    <row r="7571" spans="3:13" hidden="1" outlineLevel="1" x14ac:dyDescent="0.2">
      <c r="C7571" s="139">
        <v>271.29999999999319</v>
      </c>
      <c r="D7571" s="28">
        <f t="shared" si="409"/>
        <v>2170.3999999999455</v>
      </c>
      <c r="E7571" s="28">
        <f t="shared" si="410"/>
        <v>2034.7499999999488</v>
      </c>
      <c r="F7571" s="28">
        <f t="shared" si="411"/>
        <v>2016.7499999999488</v>
      </c>
      <c r="G7571" s="28">
        <f t="shared" si="412"/>
        <v>1923.8583000000001</v>
      </c>
      <c r="H7571" s="28">
        <f t="shared" si="413"/>
        <v>1988.2218</v>
      </c>
      <c r="I7571" s="28">
        <f t="shared" si="414"/>
        <v>2023.4719</v>
      </c>
      <c r="J7571" s="28">
        <f t="shared" si="415"/>
        <v>2052.3706999999999</v>
      </c>
      <c r="K7571" s="28">
        <f t="shared" si="416"/>
        <v>2104.3442</v>
      </c>
      <c r="L7571" s="4"/>
      <c r="M7571" s="241">
        <v>2023.4719</v>
      </c>
    </row>
    <row r="7572" spans="3:13" hidden="1" outlineLevel="1" x14ac:dyDescent="0.2">
      <c r="C7572" s="139">
        <v>271.39999999999321</v>
      </c>
      <c r="D7572" s="28">
        <f t="shared" si="409"/>
        <v>2171.1999999999457</v>
      </c>
      <c r="E7572" s="28">
        <f t="shared" si="410"/>
        <v>2035.4999999999491</v>
      </c>
      <c r="F7572" s="28">
        <f t="shared" si="411"/>
        <v>2017.4999999999491</v>
      </c>
      <c r="G7572" s="28">
        <f t="shared" si="412"/>
        <v>1924.873</v>
      </c>
      <c r="H7572" s="28">
        <f t="shared" si="413"/>
        <v>1989.2080000000001</v>
      </c>
      <c r="I7572" s="28">
        <f t="shared" si="414"/>
        <v>2024.4756</v>
      </c>
      <c r="J7572" s="28">
        <f t="shared" si="415"/>
        <v>2053.3888000000002</v>
      </c>
      <c r="K7572" s="28">
        <f t="shared" si="416"/>
        <v>2105.3879999999999</v>
      </c>
      <c r="L7572" s="4"/>
      <c r="M7572" s="241">
        <v>2024.4756</v>
      </c>
    </row>
    <row r="7573" spans="3:13" hidden="1" outlineLevel="1" x14ac:dyDescent="0.2">
      <c r="C7573" s="139">
        <v>271.49999999999324</v>
      </c>
      <c r="D7573" s="28">
        <f t="shared" si="409"/>
        <v>2171.9999999999459</v>
      </c>
      <c r="E7573" s="28">
        <f t="shared" si="410"/>
        <v>2036.2499999999493</v>
      </c>
      <c r="F7573" s="28">
        <f t="shared" si="411"/>
        <v>2018.2499999999493</v>
      </c>
      <c r="G7573" s="28">
        <f t="shared" si="412"/>
        <v>1925.8877</v>
      </c>
      <c r="H7573" s="28">
        <f t="shared" si="413"/>
        <v>1990.1941999999999</v>
      </c>
      <c r="I7573" s="28">
        <f t="shared" si="414"/>
        <v>2025.4793</v>
      </c>
      <c r="J7573" s="28">
        <f t="shared" si="415"/>
        <v>2054.4069</v>
      </c>
      <c r="K7573" s="28">
        <f t="shared" si="416"/>
        <v>2106.4317999999998</v>
      </c>
      <c r="L7573" s="4"/>
      <c r="M7573" s="241">
        <v>2025.4793</v>
      </c>
    </row>
    <row r="7574" spans="3:13" hidden="1" outlineLevel="1" x14ac:dyDescent="0.2">
      <c r="C7574" s="139">
        <v>271.59999999999326</v>
      </c>
      <c r="D7574" s="28">
        <f t="shared" si="409"/>
        <v>2172.7999999999461</v>
      </c>
      <c r="E7574" s="28">
        <f t="shared" si="410"/>
        <v>2036.9999999999495</v>
      </c>
      <c r="F7574" s="28">
        <f t="shared" si="411"/>
        <v>2018.9999999999495</v>
      </c>
      <c r="G7574" s="28">
        <f t="shared" si="412"/>
        <v>1925.8877</v>
      </c>
      <c r="H7574" s="28">
        <f t="shared" si="413"/>
        <v>1990.1941999999999</v>
      </c>
      <c r="I7574" s="28">
        <f t="shared" si="414"/>
        <v>2025.4793</v>
      </c>
      <c r="J7574" s="28">
        <f t="shared" si="415"/>
        <v>2054.4069</v>
      </c>
      <c r="K7574" s="28">
        <f t="shared" si="416"/>
        <v>2106.4317999999998</v>
      </c>
      <c r="L7574" s="4"/>
      <c r="M7574" s="241">
        <v>2025.4793</v>
      </c>
    </row>
    <row r="7575" spans="3:13" hidden="1" outlineLevel="1" x14ac:dyDescent="0.2">
      <c r="C7575" s="139">
        <v>271.69999999999328</v>
      </c>
      <c r="D7575" s="28">
        <f t="shared" si="409"/>
        <v>2173.5999999999462</v>
      </c>
      <c r="E7575" s="28">
        <f t="shared" si="410"/>
        <v>2037.7499999999495</v>
      </c>
      <c r="F7575" s="28">
        <f t="shared" si="411"/>
        <v>2019.7499999999495</v>
      </c>
      <c r="G7575" s="28">
        <f t="shared" si="412"/>
        <v>1926.9023999999999</v>
      </c>
      <c r="H7575" s="28">
        <f t="shared" si="413"/>
        <v>1991.1804</v>
      </c>
      <c r="I7575" s="28">
        <f t="shared" si="414"/>
        <v>2026.4829999999999</v>
      </c>
      <c r="J7575" s="28">
        <f t="shared" si="415"/>
        <v>2055.4250000000002</v>
      </c>
      <c r="K7575" s="28">
        <f t="shared" si="416"/>
        <v>2107.4756000000002</v>
      </c>
      <c r="L7575" s="4"/>
      <c r="M7575" s="241">
        <v>2026.4829999999999</v>
      </c>
    </row>
    <row r="7576" spans="3:13" hidden="1" outlineLevel="1" x14ac:dyDescent="0.2">
      <c r="C7576" s="139">
        <v>271.7999999999933</v>
      </c>
      <c r="D7576" s="28">
        <f t="shared" si="409"/>
        <v>2174.3999999999464</v>
      </c>
      <c r="E7576" s="28">
        <f t="shared" si="410"/>
        <v>2038.4999999999498</v>
      </c>
      <c r="F7576" s="28">
        <f t="shared" si="411"/>
        <v>2020.4999999999498</v>
      </c>
      <c r="G7576" s="28">
        <f t="shared" si="412"/>
        <v>1927.9170999999999</v>
      </c>
      <c r="H7576" s="28">
        <f t="shared" si="413"/>
        <v>1992.1666</v>
      </c>
      <c r="I7576" s="28">
        <f t="shared" si="414"/>
        <v>2027.4866999999999</v>
      </c>
      <c r="J7576" s="28">
        <f t="shared" si="415"/>
        <v>2056.4431</v>
      </c>
      <c r="K7576" s="28">
        <f t="shared" si="416"/>
        <v>2108.5194000000001</v>
      </c>
      <c r="L7576" s="4"/>
      <c r="M7576" s="241">
        <v>2027.4866999999999</v>
      </c>
    </row>
    <row r="7577" spans="3:13" hidden="1" outlineLevel="1" x14ac:dyDescent="0.2">
      <c r="C7577" s="139">
        <v>271.89999999999333</v>
      </c>
      <c r="D7577" s="28">
        <f t="shared" si="409"/>
        <v>2175.1999999999466</v>
      </c>
      <c r="E7577" s="28">
        <f t="shared" si="410"/>
        <v>2039.24999999995</v>
      </c>
      <c r="F7577" s="28">
        <f t="shared" si="411"/>
        <v>2021.24999999995</v>
      </c>
      <c r="G7577" s="28">
        <f t="shared" si="412"/>
        <v>1928.9318000000001</v>
      </c>
      <c r="H7577" s="28">
        <f t="shared" si="413"/>
        <v>1993.1528000000001</v>
      </c>
      <c r="I7577" s="28">
        <f t="shared" si="414"/>
        <v>2028.4903999999999</v>
      </c>
      <c r="J7577" s="28">
        <f t="shared" si="415"/>
        <v>2057.4612000000002</v>
      </c>
      <c r="K7577" s="28">
        <f t="shared" si="416"/>
        <v>2109.5632000000001</v>
      </c>
      <c r="L7577" s="4"/>
      <c r="M7577" s="241">
        <v>2028.4903999999999</v>
      </c>
    </row>
    <row r="7578" spans="3:13" hidden="1" outlineLevel="1" x14ac:dyDescent="0.2">
      <c r="C7578" s="139">
        <v>271.99999999999335</v>
      </c>
      <c r="D7578" s="28">
        <f t="shared" si="409"/>
        <v>2175.9999999999468</v>
      </c>
      <c r="E7578" s="28">
        <f t="shared" si="410"/>
        <v>2039.9999999999502</v>
      </c>
      <c r="F7578" s="28">
        <f t="shared" si="411"/>
        <v>2021.9999999999502</v>
      </c>
      <c r="G7578" s="28">
        <f t="shared" si="412"/>
        <v>1928.9318000000001</v>
      </c>
      <c r="H7578" s="28">
        <f t="shared" si="413"/>
        <v>1993.1528000000001</v>
      </c>
      <c r="I7578" s="28">
        <f t="shared" si="414"/>
        <v>2028.4903999999999</v>
      </c>
      <c r="J7578" s="28">
        <f t="shared" si="415"/>
        <v>2057.4612000000002</v>
      </c>
      <c r="K7578" s="28">
        <f t="shared" si="416"/>
        <v>2109.5632000000001</v>
      </c>
      <c r="L7578" s="4"/>
      <c r="M7578" s="241">
        <v>2028.4903999999999</v>
      </c>
    </row>
    <row r="7579" spans="3:13" hidden="1" outlineLevel="1" x14ac:dyDescent="0.2">
      <c r="C7579" s="139">
        <v>272.09999999999337</v>
      </c>
      <c r="D7579" s="28">
        <f t="shared" si="409"/>
        <v>2176.799999999947</v>
      </c>
      <c r="E7579" s="28">
        <f t="shared" si="410"/>
        <v>2040.7499999999502</v>
      </c>
      <c r="F7579" s="28">
        <f t="shared" si="411"/>
        <v>2022.7499999999502</v>
      </c>
      <c r="G7579" s="28">
        <f t="shared" si="412"/>
        <v>1929.9465</v>
      </c>
      <c r="H7579" s="28">
        <f t="shared" si="413"/>
        <v>1994.1389999999999</v>
      </c>
      <c r="I7579" s="28">
        <f t="shared" si="414"/>
        <v>2029.4940999999999</v>
      </c>
      <c r="J7579" s="28">
        <f t="shared" si="415"/>
        <v>2058.4793</v>
      </c>
      <c r="K7579" s="28">
        <f t="shared" si="416"/>
        <v>2110.607</v>
      </c>
      <c r="L7579" s="4"/>
      <c r="M7579" s="241">
        <v>2029.4940999999999</v>
      </c>
    </row>
    <row r="7580" spans="3:13" hidden="1" outlineLevel="1" x14ac:dyDescent="0.2">
      <c r="C7580" s="139">
        <v>272.19999999999339</v>
      </c>
      <c r="D7580" s="28">
        <f t="shared" si="409"/>
        <v>2177.5999999999472</v>
      </c>
      <c r="E7580" s="28">
        <f t="shared" si="410"/>
        <v>2041.4999999999504</v>
      </c>
      <c r="F7580" s="28">
        <f t="shared" si="411"/>
        <v>2023.4999999999504</v>
      </c>
      <c r="G7580" s="28">
        <f t="shared" si="412"/>
        <v>1930.9612</v>
      </c>
      <c r="H7580" s="28">
        <f t="shared" si="413"/>
        <v>1995.1251999999999</v>
      </c>
      <c r="I7580" s="28">
        <f t="shared" si="414"/>
        <v>2030.4978000000001</v>
      </c>
      <c r="J7580" s="28">
        <f t="shared" si="415"/>
        <v>2059.4974000000002</v>
      </c>
      <c r="K7580" s="28">
        <f t="shared" si="416"/>
        <v>2111.6507999999999</v>
      </c>
      <c r="L7580" s="4"/>
      <c r="M7580" s="241">
        <v>2030.4978000000001</v>
      </c>
    </row>
    <row r="7581" spans="3:13" hidden="1" outlineLevel="1" x14ac:dyDescent="0.2">
      <c r="C7581" s="139">
        <v>272.29999999999342</v>
      </c>
      <c r="D7581" s="28">
        <f t="shared" si="409"/>
        <v>2178.3999999999473</v>
      </c>
      <c r="E7581" s="28">
        <f t="shared" si="410"/>
        <v>2042.2499999999507</v>
      </c>
      <c r="F7581" s="28">
        <f t="shared" si="411"/>
        <v>2024.2499999999507</v>
      </c>
      <c r="G7581" s="28">
        <f t="shared" si="412"/>
        <v>1931.9758999999999</v>
      </c>
      <c r="H7581" s="28">
        <f t="shared" si="413"/>
        <v>1996.1114</v>
      </c>
      <c r="I7581" s="28">
        <f t="shared" si="414"/>
        <v>2031.5015000000001</v>
      </c>
      <c r="J7581" s="28">
        <f t="shared" si="415"/>
        <v>2060.5155</v>
      </c>
      <c r="K7581" s="28">
        <f t="shared" si="416"/>
        <v>2112.6945999999998</v>
      </c>
      <c r="L7581" s="4"/>
      <c r="M7581" s="241">
        <v>2031.5015000000001</v>
      </c>
    </row>
    <row r="7582" spans="3:13" hidden="1" outlineLevel="1" x14ac:dyDescent="0.2">
      <c r="C7582" s="139">
        <v>272.39999999999344</v>
      </c>
      <c r="D7582" s="28">
        <f t="shared" si="409"/>
        <v>2179.1999999999475</v>
      </c>
      <c r="E7582" s="28">
        <f t="shared" si="410"/>
        <v>2042.9999999999509</v>
      </c>
      <c r="F7582" s="28">
        <f t="shared" si="411"/>
        <v>2024.9999999999509</v>
      </c>
      <c r="G7582" s="28">
        <f t="shared" si="412"/>
        <v>1931.9758999999999</v>
      </c>
      <c r="H7582" s="28">
        <f t="shared" si="413"/>
        <v>1996.1114</v>
      </c>
      <c r="I7582" s="28">
        <f t="shared" si="414"/>
        <v>2031.5015000000001</v>
      </c>
      <c r="J7582" s="28">
        <f t="shared" si="415"/>
        <v>2060.5155</v>
      </c>
      <c r="K7582" s="28">
        <f t="shared" si="416"/>
        <v>2112.6945999999998</v>
      </c>
      <c r="L7582" s="4"/>
      <c r="M7582" s="241">
        <v>2031.5015000000001</v>
      </c>
    </row>
    <row r="7583" spans="3:13" hidden="1" outlineLevel="1" x14ac:dyDescent="0.2">
      <c r="C7583" s="139">
        <v>272.49999999999346</v>
      </c>
      <c r="D7583" s="28">
        <f t="shared" si="409"/>
        <v>2179.9999999999477</v>
      </c>
      <c r="E7583" s="28">
        <f t="shared" si="410"/>
        <v>2043.7499999999509</v>
      </c>
      <c r="F7583" s="28">
        <f t="shared" si="411"/>
        <v>2025.7499999999509</v>
      </c>
      <c r="G7583" s="28">
        <f t="shared" si="412"/>
        <v>1932.9906000000001</v>
      </c>
      <c r="H7583" s="28">
        <f t="shared" si="413"/>
        <v>1997.0976000000001</v>
      </c>
      <c r="I7583" s="28">
        <f t="shared" si="414"/>
        <v>2032.5052000000001</v>
      </c>
      <c r="J7583" s="28">
        <f t="shared" si="415"/>
        <v>2061.5336000000002</v>
      </c>
      <c r="K7583" s="28">
        <f t="shared" si="416"/>
        <v>2113.7384000000002</v>
      </c>
      <c r="L7583" s="4"/>
      <c r="M7583" s="241">
        <v>2032.5052000000001</v>
      </c>
    </row>
    <row r="7584" spans="3:13" hidden="1" outlineLevel="1" x14ac:dyDescent="0.2">
      <c r="C7584" s="139">
        <v>272.59999999999349</v>
      </c>
      <c r="D7584" s="28">
        <f t="shared" si="409"/>
        <v>2180.7999999999479</v>
      </c>
      <c r="E7584" s="28">
        <f t="shared" si="410"/>
        <v>2044.4999999999511</v>
      </c>
      <c r="F7584" s="28">
        <f t="shared" si="411"/>
        <v>2026.4999999999511</v>
      </c>
      <c r="G7584" s="28">
        <f t="shared" si="412"/>
        <v>1934.0053</v>
      </c>
      <c r="H7584" s="28">
        <f t="shared" si="413"/>
        <v>1998.0838000000001</v>
      </c>
      <c r="I7584" s="28">
        <f t="shared" si="414"/>
        <v>2033.5089</v>
      </c>
      <c r="J7584" s="28">
        <f t="shared" si="415"/>
        <v>2062.5517</v>
      </c>
      <c r="K7584" s="28">
        <f t="shared" si="416"/>
        <v>2114.7822000000001</v>
      </c>
      <c r="L7584" s="4"/>
      <c r="M7584" s="241">
        <v>2033.5089</v>
      </c>
    </row>
    <row r="7585" spans="3:13" hidden="1" outlineLevel="1" x14ac:dyDescent="0.2">
      <c r="C7585" s="139">
        <v>272.69999999999351</v>
      </c>
      <c r="D7585" s="28">
        <f t="shared" si="409"/>
        <v>2181.5999999999481</v>
      </c>
      <c r="E7585" s="28">
        <f t="shared" si="410"/>
        <v>2045.2499999999513</v>
      </c>
      <c r="F7585" s="28">
        <f t="shared" si="411"/>
        <v>2027.2499999999513</v>
      </c>
      <c r="G7585" s="28">
        <f t="shared" si="412"/>
        <v>1935.02</v>
      </c>
      <c r="H7585" s="28">
        <f t="shared" si="413"/>
        <v>1999.07</v>
      </c>
      <c r="I7585" s="28">
        <f t="shared" si="414"/>
        <v>2034.5126</v>
      </c>
      <c r="J7585" s="28">
        <f t="shared" si="415"/>
        <v>2063.5698000000002</v>
      </c>
      <c r="K7585" s="28">
        <f t="shared" si="416"/>
        <v>2115.826</v>
      </c>
      <c r="L7585" s="4"/>
      <c r="M7585" s="241">
        <v>2034.5126</v>
      </c>
    </row>
    <row r="7586" spans="3:13" hidden="1" outlineLevel="1" x14ac:dyDescent="0.2">
      <c r="C7586" s="139">
        <v>272.79999999999353</v>
      </c>
      <c r="D7586" s="28">
        <f t="shared" si="409"/>
        <v>2182.3999999999482</v>
      </c>
      <c r="E7586" s="28">
        <f t="shared" si="410"/>
        <v>2045.9999999999516</v>
      </c>
      <c r="F7586" s="28">
        <f t="shared" si="411"/>
        <v>2027.9999999999516</v>
      </c>
      <c r="G7586" s="28">
        <f t="shared" si="412"/>
        <v>1935.02</v>
      </c>
      <c r="H7586" s="28">
        <f t="shared" si="413"/>
        <v>1999.07</v>
      </c>
      <c r="I7586" s="28">
        <f t="shared" si="414"/>
        <v>2034.5126</v>
      </c>
      <c r="J7586" s="28">
        <f t="shared" si="415"/>
        <v>2063.5698000000002</v>
      </c>
      <c r="K7586" s="28">
        <f t="shared" si="416"/>
        <v>2115.826</v>
      </c>
      <c r="L7586" s="4"/>
      <c r="M7586" s="241">
        <v>2034.5126</v>
      </c>
    </row>
    <row r="7587" spans="3:13" hidden="1" outlineLevel="1" x14ac:dyDescent="0.2">
      <c r="C7587" s="139">
        <v>272.89999999999355</v>
      </c>
      <c r="D7587" s="28">
        <f t="shared" si="409"/>
        <v>2183.1999999999484</v>
      </c>
      <c r="E7587" s="28">
        <f t="shared" si="410"/>
        <v>2046.7499999999516</v>
      </c>
      <c r="F7587" s="28">
        <f t="shared" si="411"/>
        <v>2028.7499999999516</v>
      </c>
      <c r="G7587" s="28">
        <f t="shared" si="412"/>
        <v>1936.0346999999999</v>
      </c>
      <c r="H7587" s="28">
        <f t="shared" si="413"/>
        <v>2000.0562</v>
      </c>
      <c r="I7587" s="28">
        <f t="shared" si="414"/>
        <v>2035.5163</v>
      </c>
      <c r="J7587" s="28">
        <f t="shared" si="415"/>
        <v>2064.5879</v>
      </c>
      <c r="K7587" s="28">
        <f t="shared" si="416"/>
        <v>2116.8697999999999</v>
      </c>
      <c r="L7587" s="4"/>
      <c r="M7587" s="241">
        <v>2035.5163</v>
      </c>
    </row>
    <row r="7588" spans="3:13" hidden="1" outlineLevel="1" x14ac:dyDescent="0.2">
      <c r="C7588" s="139">
        <v>272.99999999999358</v>
      </c>
      <c r="D7588" s="28">
        <f t="shared" si="409"/>
        <v>2183.9999999999486</v>
      </c>
      <c r="E7588" s="28">
        <f t="shared" si="410"/>
        <v>2047.4999999999518</v>
      </c>
      <c r="F7588" s="28">
        <f t="shared" si="411"/>
        <v>2029.4999999999518</v>
      </c>
      <c r="G7588" s="28">
        <f t="shared" si="412"/>
        <v>1937.0494000000001</v>
      </c>
      <c r="H7588" s="28">
        <f t="shared" si="413"/>
        <v>2001.0424</v>
      </c>
      <c r="I7588" s="28">
        <f t="shared" si="414"/>
        <v>2036.52</v>
      </c>
      <c r="J7588" s="28">
        <f t="shared" si="415"/>
        <v>2065.6060000000002</v>
      </c>
      <c r="K7588" s="28">
        <f t="shared" si="416"/>
        <v>2117.9135999999999</v>
      </c>
      <c r="L7588" s="4"/>
      <c r="M7588" s="241">
        <v>2036.52</v>
      </c>
    </row>
    <row r="7589" spans="3:13" hidden="1" outlineLevel="1" x14ac:dyDescent="0.2">
      <c r="C7589" s="139">
        <v>273.0999999999936</v>
      </c>
      <c r="D7589" s="28">
        <f t="shared" si="409"/>
        <v>2184.7999999999488</v>
      </c>
      <c r="E7589" s="28">
        <f t="shared" si="410"/>
        <v>2048.2499999999518</v>
      </c>
      <c r="F7589" s="28">
        <f t="shared" si="411"/>
        <v>2030.2499999999518</v>
      </c>
      <c r="G7589" s="28">
        <f t="shared" si="412"/>
        <v>1938.0641000000001</v>
      </c>
      <c r="H7589" s="28">
        <f t="shared" si="413"/>
        <v>2002.0286000000001</v>
      </c>
      <c r="I7589" s="28">
        <f t="shared" si="414"/>
        <v>2037.5237</v>
      </c>
      <c r="J7589" s="28">
        <f t="shared" si="415"/>
        <v>2066.6241</v>
      </c>
      <c r="K7589" s="28">
        <f t="shared" si="416"/>
        <v>2118.9573999999998</v>
      </c>
      <c r="L7589" s="4"/>
      <c r="M7589" s="241">
        <v>2037.5237</v>
      </c>
    </row>
    <row r="7590" spans="3:13" hidden="1" outlineLevel="1" x14ac:dyDescent="0.2">
      <c r="C7590" s="139">
        <v>273.19999999999362</v>
      </c>
      <c r="D7590" s="28">
        <f t="shared" si="409"/>
        <v>2185.599999999949</v>
      </c>
      <c r="E7590" s="28">
        <f t="shared" si="410"/>
        <v>2048.9999999999523</v>
      </c>
      <c r="F7590" s="28">
        <f t="shared" si="411"/>
        <v>2030.9999999999523</v>
      </c>
      <c r="G7590" s="28">
        <f t="shared" si="412"/>
        <v>1938.0641000000001</v>
      </c>
      <c r="H7590" s="28">
        <f t="shared" si="413"/>
        <v>2002.0286000000001</v>
      </c>
      <c r="I7590" s="28">
        <f t="shared" si="414"/>
        <v>2037.5237</v>
      </c>
      <c r="J7590" s="28">
        <f t="shared" si="415"/>
        <v>2066.6241</v>
      </c>
      <c r="K7590" s="28">
        <f t="shared" si="416"/>
        <v>2118.9573999999998</v>
      </c>
      <c r="L7590" s="4"/>
      <c r="M7590" s="241">
        <v>2037.5237</v>
      </c>
    </row>
    <row r="7591" spans="3:13" hidden="1" outlineLevel="1" x14ac:dyDescent="0.2">
      <c r="C7591" s="139">
        <v>273.29999999999364</v>
      </c>
      <c r="D7591" s="28">
        <f t="shared" si="409"/>
        <v>2186.3999999999492</v>
      </c>
      <c r="E7591" s="28">
        <f t="shared" si="410"/>
        <v>2049.7499999999523</v>
      </c>
      <c r="F7591" s="28">
        <f t="shared" si="411"/>
        <v>2031.7499999999523</v>
      </c>
      <c r="G7591" s="28">
        <f t="shared" si="412"/>
        <v>1939.0788</v>
      </c>
      <c r="H7591" s="28">
        <f t="shared" si="413"/>
        <v>2003.0147999999999</v>
      </c>
      <c r="I7591" s="28">
        <f t="shared" si="414"/>
        <v>2038.5273999999999</v>
      </c>
      <c r="J7591" s="28">
        <f t="shared" si="415"/>
        <v>2067.6421999999998</v>
      </c>
      <c r="K7591" s="28">
        <f t="shared" si="416"/>
        <v>2120.0012000000002</v>
      </c>
      <c r="L7591" s="4"/>
      <c r="M7591" s="241">
        <v>2038.5273999999999</v>
      </c>
    </row>
    <row r="7592" spans="3:13" hidden="1" outlineLevel="1" x14ac:dyDescent="0.2">
      <c r="C7592" s="139">
        <v>273.39999999999367</v>
      </c>
      <c r="D7592" s="28">
        <f t="shared" si="409"/>
        <v>2187.1999999999493</v>
      </c>
      <c r="E7592" s="28">
        <f t="shared" si="410"/>
        <v>2050.4999999999527</v>
      </c>
      <c r="F7592" s="28">
        <f t="shared" si="411"/>
        <v>2032.4999999999527</v>
      </c>
      <c r="G7592" s="28">
        <f t="shared" si="412"/>
        <v>1940.0934999999999</v>
      </c>
      <c r="H7592" s="28">
        <f t="shared" si="413"/>
        <v>2004.001</v>
      </c>
      <c r="I7592" s="28">
        <f t="shared" si="414"/>
        <v>2039.5310999999999</v>
      </c>
      <c r="J7592" s="28">
        <f t="shared" si="415"/>
        <v>2068.6603</v>
      </c>
      <c r="K7592" s="28">
        <f t="shared" si="416"/>
        <v>2121.0450000000001</v>
      </c>
      <c r="L7592" s="4"/>
      <c r="M7592" s="241">
        <v>2039.5310999999999</v>
      </c>
    </row>
    <row r="7593" spans="3:13" hidden="1" outlineLevel="1" x14ac:dyDescent="0.2">
      <c r="C7593" s="139">
        <v>273.49999999999369</v>
      </c>
      <c r="D7593" s="28">
        <f t="shared" si="409"/>
        <v>2187.9999999999495</v>
      </c>
      <c r="E7593" s="28">
        <f t="shared" si="410"/>
        <v>2051.2499999999527</v>
      </c>
      <c r="F7593" s="28">
        <f t="shared" si="411"/>
        <v>2033.2499999999527</v>
      </c>
      <c r="G7593" s="28">
        <f t="shared" si="412"/>
        <v>1941.1081999999999</v>
      </c>
      <c r="H7593" s="28">
        <f t="shared" si="413"/>
        <v>2004.9872</v>
      </c>
      <c r="I7593" s="28">
        <f t="shared" si="414"/>
        <v>2040.5347999999999</v>
      </c>
      <c r="J7593" s="28">
        <f t="shared" si="415"/>
        <v>2069.6783999999998</v>
      </c>
      <c r="K7593" s="28">
        <f t="shared" si="416"/>
        <v>2122.0888</v>
      </c>
      <c r="L7593" s="4"/>
      <c r="M7593" s="241">
        <v>2040.5347999999999</v>
      </c>
    </row>
    <row r="7594" spans="3:13" hidden="1" outlineLevel="1" x14ac:dyDescent="0.2">
      <c r="C7594" s="139">
        <v>273.59999999999371</v>
      </c>
      <c r="D7594" s="28">
        <f t="shared" si="409"/>
        <v>2188.7999999999497</v>
      </c>
      <c r="E7594" s="28">
        <f t="shared" si="410"/>
        <v>2051.9999999999527</v>
      </c>
      <c r="F7594" s="28">
        <f t="shared" si="411"/>
        <v>2033.9999999999527</v>
      </c>
      <c r="G7594" s="28">
        <f t="shared" si="412"/>
        <v>1941.1081999999999</v>
      </c>
      <c r="H7594" s="28">
        <f t="shared" si="413"/>
        <v>2004.9872</v>
      </c>
      <c r="I7594" s="28">
        <f t="shared" si="414"/>
        <v>2040.5347999999999</v>
      </c>
      <c r="J7594" s="28">
        <f t="shared" si="415"/>
        <v>2069.6783999999998</v>
      </c>
      <c r="K7594" s="28">
        <f t="shared" si="416"/>
        <v>2122.0888</v>
      </c>
      <c r="L7594" s="4"/>
      <c r="M7594" s="241">
        <v>2040.5347999999999</v>
      </c>
    </row>
    <row r="7595" spans="3:13" hidden="1" outlineLevel="1" x14ac:dyDescent="0.2">
      <c r="C7595" s="139">
        <v>273.69999999999374</v>
      </c>
      <c r="D7595" s="28">
        <f t="shared" si="409"/>
        <v>2189.5999999999499</v>
      </c>
      <c r="E7595" s="28">
        <f t="shared" si="410"/>
        <v>2052.7499999999532</v>
      </c>
      <c r="F7595" s="28">
        <f t="shared" si="411"/>
        <v>2034.7499999999532</v>
      </c>
      <c r="G7595" s="28">
        <f t="shared" si="412"/>
        <v>1942.1229000000001</v>
      </c>
      <c r="H7595" s="28">
        <f t="shared" si="413"/>
        <v>2005.9734000000001</v>
      </c>
      <c r="I7595" s="28">
        <f t="shared" si="414"/>
        <v>2041.5385000000001</v>
      </c>
      <c r="J7595" s="28">
        <f t="shared" si="415"/>
        <v>2070.6965</v>
      </c>
      <c r="K7595" s="28">
        <f t="shared" si="416"/>
        <v>2123.1325999999999</v>
      </c>
      <c r="L7595" s="4"/>
      <c r="M7595" s="241">
        <v>2041.5385000000001</v>
      </c>
    </row>
    <row r="7596" spans="3:13" hidden="1" outlineLevel="1" x14ac:dyDescent="0.2">
      <c r="C7596" s="139">
        <v>273.79999999999376</v>
      </c>
      <c r="D7596" s="28">
        <f t="shared" si="409"/>
        <v>2190.3999999999501</v>
      </c>
      <c r="E7596" s="28">
        <f t="shared" si="410"/>
        <v>2053.4999999999532</v>
      </c>
      <c r="F7596" s="28">
        <f t="shared" si="411"/>
        <v>2035.4999999999532</v>
      </c>
      <c r="G7596" s="28">
        <f t="shared" si="412"/>
        <v>1943.1376</v>
      </c>
      <c r="H7596" s="28">
        <f t="shared" si="413"/>
        <v>2006.9595999999999</v>
      </c>
      <c r="I7596" s="28">
        <f t="shared" si="414"/>
        <v>2042.5422000000001</v>
      </c>
      <c r="J7596" s="28">
        <f t="shared" si="415"/>
        <v>2071.7145999999998</v>
      </c>
      <c r="K7596" s="28">
        <f t="shared" si="416"/>
        <v>2124.1763999999998</v>
      </c>
      <c r="L7596" s="4"/>
      <c r="M7596" s="241">
        <v>2042.5422000000001</v>
      </c>
    </row>
    <row r="7597" spans="3:13" hidden="1" outlineLevel="1" x14ac:dyDescent="0.2">
      <c r="C7597" s="139">
        <v>273.89999999999378</v>
      </c>
      <c r="D7597" s="28">
        <f t="shared" si="409"/>
        <v>2191.1999999999503</v>
      </c>
      <c r="E7597" s="28">
        <f t="shared" si="410"/>
        <v>2054.2499999999532</v>
      </c>
      <c r="F7597" s="28">
        <f t="shared" si="411"/>
        <v>2036.2499999999532</v>
      </c>
      <c r="G7597" s="28">
        <f t="shared" si="412"/>
        <v>1944.1523</v>
      </c>
      <c r="H7597" s="28">
        <f t="shared" si="413"/>
        <v>2007.9458</v>
      </c>
      <c r="I7597" s="28">
        <f t="shared" si="414"/>
        <v>2043.5459000000001</v>
      </c>
      <c r="J7597" s="28">
        <f t="shared" si="415"/>
        <v>2072.7327</v>
      </c>
      <c r="K7597" s="28">
        <f t="shared" si="416"/>
        <v>2125.2202000000002</v>
      </c>
      <c r="L7597" s="4"/>
      <c r="M7597" s="241">
        <v>2043.5459000000001</v>
      </c>
    </row>
    <row r="7598" spans="3:13" hidden="1" outlineLevel="1" x14ac:dyDescent="0.2">
      <c r="C7598" s="139">
        <v>273.9999999999938</v>
      </c>
      <c r="D7598" s="28">
        <f t="shared" si="409"/>
        <v>2191.9999999999504</v>
      </c>
      <c r="E7598" s="28">
        <f t="shared" si="410"/>
        <v>2054.9999999999536</v>
      </c>
      <c r="F7598" s="28">
        <f t="shared" si="411"/>
        <v>2036.9999999999536</v>
      </c>
      <c r="G7598" s="28">
        <f t="shared" si="412"/>
        <v>1944.1523</v>
      </c>
      <c r="H7598" s="28">
        <f t="shared" si="413"/>
        <v>2007.9458</v>
      </c>
      <c r="I7598" s="28">
        <f t="shared" si="414"/>
        <v>2043.5459000000001</v>
      </c>
      <c r="J7598" s="28">
        <f t="shared" si="415"/>
        <v>2072.7327</v>
      </c>
      <c r="K7598" s="28">
        <f t="shared" si="416"/>
        <v>2125.2202000000002</v>
      </c>
      <c r="L7598" s="4"/>
      <c r="M7598" s="241">
        <v>2043.5459000000001</v>
      </c>
    </row>
    <row r="7599" spans="3:13" hidden="1" outlineLevel="1" x14ac:dyDescent="0.2">
      <c r="C7599" s="139">
        <v>274.09999999999383</v>
      </c>
      <c r="D7599" s="28">
        <f t="shared" si="409"/>
        <v>2192.7999999999506</v>
      </c>
      <c r="E7599" s="28">
        <f t="shared" si="410"/>
        <v>2055.7499999999536</v>
      </c>
      <c r="F7599" s="28">
        <f t="shared" si="411"/>
        <v>2037.7499999999536</v>
      </c>
      <c r="G7599" s="28">
        <f t="shared" si="412"/>
        <v>1945.1669999999999</v>
      </c>
      <c r="H7599" s="28">
        <f t="shared" si="413"/>
        <v>2008.932</v>
      </c>
      <c r="I7599" s="28">
        <f t="shared" si="414"/>
        <v>2044.5496000000001</v>
      </c>
      <c r="J7599" s="28">
        <f t="shared" si="415"/>
        <v>2073.7507999999998</v>
      </c>
      <c r="K7599" s="28">
        <f t="shared" si="416"/>
        <v>2126.2640000000001</v>
      </c>
      <c r="L7599" s="4"/>
      <c r="M7599" s="241">
        <v>2044.5496000000001</v>
      </c>
    </row>
    <row r="7600" spans="3:13" hidden="1" outlineLevel="1" x14ac:dyDescent="0.2">
      <c r="C7600" s="139">
        <v>274.19999999999385</v>
      </c>
      <c r="D7600" s="28">
        <f t="shared" si="409"/>
        <v>2193.5999999999508</v>
      </c>
      <c r="E7600" s="28">
        <f t="shared" si="410"/>
        <v>2056.4999999999541</v>
      </c>
      <c r="F7600" s="28">
        <f t="shared" si="411"/>
        <v>2038.4999999999541</v>
      </c>
      <c r="G7600" s="28">
        <f t="shared" si="412"/>
        <v>1946.1817000000001</v>
      </c>
      <c r="H7600" s="28">
        <f t="shared" si="413"/>
        <v>2009.9182000000001</v>
      </c>
      <c r="I7600" s="28">
        <f t="shared" si="414"/>
        <v>2045.5533</v>
      </c>
      <c r="J7600" s="28">
        <f t="shared" si="415"/>
        <v>2074.7689</v>
      </c>
      <c r="K7600" s="28">
        <f t="shared" si="416"/>
        <v>2127.3078</v>
      </c>
      <c r="L7600" s="4"/>
      <c r="M7600" s="241">
        <v>2045.5533</v>
      </c>
    </row>
    <row r="7601" spans="3:13" hidden="1" outlineLevel="1" x14ac:dyDescent="0.2">
      <c r="C7601" s="139">
        <v>274.29999999999387</v>
      </c>
      <c r="D7601" s="28">
        <f t="shared" si="409"/>
        <v>2194.399999999951</v>
      </c>
      <c r="E7601" s="28">
        <f t="shared" si="410"/>
        <v>2057.2499999999541</v>
      </c>
      <c r="F7601" s="28">
        <f t="shared" si="411"/>
        <v>2039.2499999999541</v>
      </c>
      <c r="G7601" s="28">
        <f t="shared" si="412"/>
        <v>1947.1964</v>
      </c>
      <c r="H7601" s="28">
        <f t="shared" si="413"/>
        <v>2010.9043999999999</v>
      </c>
      <c r="I7601" s="28">
        <f t="shared" si="414"/>
        <v>2046.557</v>
      </c>
      <c r="J7601" s="28">
        <f t="shared" si="415"/>
        <v>2075.7869999999998</v>
      </c>
      <c r="K7601" s="28">
        <f t="shared" si="416"/>
        <v>2128.3516</v>
      </c>
      <c r="L7601" s="4"/>
      <c r="M7601" s="241">
        <v>2046.557</v>
      </c>
    </row>
    <row r="7602" spans="3:13" hidden="1" outlineLevel="1" x14ac:dyDescent="0.2">
      <c r="C7602" s="139">
        <v>274.3999999999939</v>
      </c>
      <c r="D7602" s="28">
        <f t="shared" si="409"/>
        <v>2195.1999999999512</v>
      </c>
      <c r="E7602" s="28">
        <f t="shared" si="410"/>
        <v>2057.9999999999541</v>
      </c>
      <c r="F7602" s="28">
        <f t="shared" si="411"/>
        <v>2039.9999999999541</v>
      </c>
      <c r="G7602" s="28">
        <f t="shared" si="412"/>
        <v>1947.1964</v>
      </c>
      <c r="H7602" s="28">
        <f t="shared" si="413"/>
        <v>2010.9043999999999</v>
      </c>
      <c r="I7602" s="28">
        <f t="shared" si="414"/>
        <v>2046.557</v>
      </c>
      <c r="J7602" s="28">
        <f t="shared" si="415"/>
        <v>2075.7869999999998</v>
      </c>
      <c r="K7602" s="28">
        <f t="shared" si="416"/>
        <v>2128.3516</v>
      </c>
      <c r="L7602" s="4"/>
      <c r="M7602" s="241">
        <v>2046.557</v>
      </c>
    </row>
    <row r="7603" spans="3:13" hidden="1" outlineLevel="1" x14ac:dyDescent="0.2">
      <c r="C7603" s="139">
        <v>274.49999999999392</v>
      </c>
      <c r="D7603" s="28">
        <f t="shared" si="409"/>
        <v>2195.9999999999513</v>
      </c>
      <c r="E7603" s="28">
        <f t="shared" si="410"/>
        <v>2058.7499999999545</v>
      </c>
      <c r="F7603" s="28">
        <f t="shared" si="411"/>
        <v>2040.7499999999545</v>
      </c>
      <c r="G7603" s="28">
        <f t="shared" si="412"/>
        <v>1948.2111</v>
      </c>
      <c r="H7603" s="28">
        <f t="shared" si="413"/>
        <v>2011.8905999999999</v>
      </c>
      <c r="I7603" s="28">
        <f t="shared" si="414"/>
        <v>2047.5607</v>
      </c>
      <c r="J7603" s="28">
        <f t="shared" si="415"/>
        <v>2076.8051</v>
      </c>
      <c r="K7603" s="28">
        <f t="shared" si="416"/>
        <v>2129.3953999999999</v>
      </c>
      <c r="L7603" s="4"/>
      <c r="M7603" s="241">
        <v>2047.5607</v>
      </c>
    </row>
    <row r="7604" spans="3:13" hidden="1" outlineLevel="1" x14ac:dyDescent="0.2">
      <c r="C7604" s="139">
        <v>274.59999999999394</v>
      </c>
      <c r="D7604" s="28">
        <f t="shared" si="409"/>
        <v>2196.7999999999515</v>
      </c>
      <c r="E7604" s="28">
        <f t="shared" si="410"/>
        <v>2059.4999999999545</v>
      </c>
      <c r="F7604" s="28">
        <f t="shared" si="411"/>
        <v>2041.4999999999545</v>
      </c>
      <c r="G7604" s="28">
        <f t="shared" si="412"/>
        <v>1949.2257999999999</v>
      </c>
      <c r="H7604" s="28">
        <f t="shared" si="413"/>
        <v>2012.8768</v>
      </c>
      <c r="I7604" s="28">
        <f t="shared" si="414"/>
        <v>2048.5644000000002</v>
      </c>
      <c r="J7604" s="28">
        <f t="shared" si="415"/>
        <v>2077.8231999999998</v>
      </c>
      <c r="K7604" s="28">
        <f t="shared" si="416"/>
        <v>2130.4391999999998</v>
      </c>
      <c r="L7604" s="4"/>
      <c r="M7604" s="241">
        <v>2048.5644000000002</v>
      </c>
    </row>
    <row r="7605" spans="3:13" hidden="1" outlineLevel="1" x14ac:dyDescent="0.2">
      <c r="C7605" s="139">
        <v>274.69999999999396</v>
      </c>
      <c r="D7605" s="28">
        <f t="shared" si="409"/>
        <v>2197.5999999999517</v>
      </c>
      <c r="E7605" s="28">
        <f t="shared" si="410"/>
        <v>2060.2499999999545</v>
      </c>
      <c r="F7605" s="28">
        <f t="shared" si="411"/>
        <v>2042.2499999999545</v>
      </c>
      <c r="G7605" s="28">
        <f t="shared" si="412"/>
        <v>1950.2405000000001</v>
      </c>
      <c r="H7605" s="28">
        <f t="shared" si="413"/>
        <v>2013.8630000000001</v>
      </c>
      <c r="I7605" s="28">
        <f t="shared" si="414"/>
        <v>2049.5681</v>
      </c>
      <c r="J7605" s="28">
        <f t="shared" si="415"/>
        <v>2078.8413</v>
      </c>
      <c r="K7605" s="28">
        <f t="shared" si="416"/>
        <v>2131.4830000000002</v>
      </c>
      <c r="L7605" s="4"/>
      <c r="M7605" s="241">
        <v>2049.5681</v>
      </c>
    </row>
    <row r="7606" spans="3:13" hidden="1" outlineLevel="1" x14ac:dyDescent="0.2">
      <c r="C7606" s="139">
        <v>274.79999999999399</v>
      </c>
      <c r="D7606" s="28">
        <f t="shared" si="409"/>
        <v>2198.3999999999519</v>
      </c>
      <c r="E7606" s="28">
        <f t="shared" si="410"/>
        <v>2060.999999999955</v>
      </c>
      <c r="F7606" s="28">
        <f t="shared" si="411"/>
        <v>2042.999999999955</v>
      </c>
      <c r="G7606" s="28">
        <f t="shared" si="412"/>
        <v>1950.2405000000001</v>
      </c>
      <c r="H7606" s="28">
        <f t="shared" si="413"/>
        <v>2013.8630000000001</v>
      </c>
      <c r="I7606" s="28">
        <f t="shared" si="414"/>
        <v>2049.5681</v>
      </c>
      <c r="J7606" s="28">
        <f t="shared" si="415"/>
        <v>2078.8413</v>
      </c>
      <c r="K7606" s="28">
        <f t="shared" si="416"/>
        <v>2131.4830000000002</v>
      </c>
      <c r="L7606" s="4"/>
      <c r="M7606" s="241">
        <v>2049.5681</v>
      </c>
    </row>
    <row r="7607" spans="3:13" hidden="1" outlineLevel="1" x14ac:dyDescent="0.2">
      <c r="C7607" s="139">
        <v>274.89999999999401</v>
      </c>
      <c r="D7607" s="28">
        <f t="shared" si="409"/>
        <v>2199.1999999999521</v>
      </c>
      <c r="E7607" s="28">
        <f t="shared" si="410"/>
        <v>2061.749999999955</v>
      </c>
      <c r="F7607" s="28">
        <f t="shared" si="411"/>
        <v>2043.749999999955</v>
      </c>
      <c r="G7607" s="28">
        <f t="shared" si="412"/>
        <v>1951.2552000000001</v>
      </c>
      <c r="H7607" s="28">
        <f t="shared" si="413"/>
        <v>2014.8492000000001</v>
      </c>
      <c r="I7607" s="28">
        <f t="shared" si="414"/>
        <v>2050.5718000000002</v>
      </c>
      <c r="J7607" s="28">
        <f t="shared" si="415"/>
        <v>2079.8593999999998</v>
      </c>
      <c r="K7607" s="28">
        <f t="shared" si="416"/>
        <v>2132.5268000000001</v>
      </c>
      <c r="L7607" s="4"/>
      <c r="M7607" s="241">
        <v>2050.5718000000002</v>
      </c>
    </row>
    <row r="7608" spans="3:13" hidden="1" outlineLevel="1" x14ac:dyDescent="0.2">
      <c r="C7608" s="139">
        <v>274.99999999999403</v>
      </c>
      <c r="D7608" s="28">
        <f t="shared" si="409"/>
        <v>2199.9999999999523</v>
      </c>
      <c r="E7608" s="28">
        <f t="shared" si="410"/>
        <v>2062.4999999999554</v>
      </c>
      <c r="F7608" s="28">
        <f t="shared" si="411"/>
        <v>2044.4999999999554</v>
      </c>
      <c r="G7608" s="28">
        <f t="shared" si="412"/>
        <v>1952.2699</v>
      </c>
      <c r="H7608" s="28">
        <f t="shared" si="413"/>
        <v>2015.8353999999999</v>
      </c>
      <c r="I7608" s="28">
        <f t="shared" si="414"/>
        <v>2051.5754999999999</v>
      </c>
      <c r="J7608" s="28">
        <f t="shared" si="415"/>
        <v>2080.8775000000001</v>
      </c>
      <c r="K7608" s="28">
        <f t="shared" si="416"/>
        <v>2133.5706</v>
      </c>
      <c r="L7608" s="4"/>
      <c r="M7608" s="241">
        <v>2051.5754999999999</v>
      </c>
    </row>
    <row r="7609" spans="3:13" hidden="1" outlineLevel="1" x14ac:dyDescent="0.2">
      <c r="C7609" s="139">
        <v>275.09999999999405</v>
      </c>
      <c r="D7609" s="28">
        <f t="shared" si="409"/>
        <v>2200.7999999999524</v>
      </c>
      <c r="E7609" s="28">
        <f t="shared" si="410"/>
        <v>2063.2499999999554</v>
      </c>
      <c r="F7609" s="28">
        <f t="shared" si="411"/>
        <v>2045.2499999999554</v>
      </c>
      <c r="G7609" s="28">
        <f t="shared" si="412"/>
        <v>1953.2846</v>
      </c>
      <c r="H7609" s="28">
        <f t="shared" si="413"/>
        <v>2016.8216</v>
      </c>
      <c r="I7609" s="28">
        <f t="shared" si="414"/>
        <v>2052.5792000000001</v>
      </c>
      <c r="J7609" s="28">
        <f t="shared" si="415"/>
        <v>2081.8955999999998</v>
      </c>
      <c r="K7609" s="28">
        <f t="shared" si="416"/>
        <v>2134.6143999999999</v>
      </c>
      <c r="L7609" s="4"/>
      <c r="M7609" s="241">
        <v>2052.5792000000001</v>
      </c>
    </row>
    <row r="7610" spans="3:13" hidden="1" outlineLevel="1" x14ac:dyDescent="0.2">
      <c r="C7610" s="139">
        <v>275.19999999999408</v>
      </c>
      <c r="D7610" s="28">
        <f t="shared" si="409"/>
        <v>2201.5999999999526</v>
      </c>
      <c r="E7610" s="28">
        <f t="shared" si="410"/>
        <v>2063.9999999999554</v>
      </c>
      <c r="F7610" s="28">
        <f t="shared" si="411"/>
        <v>2045.9999999999554</v>
      </c>
      <c r="G7610" s="28">
        <f t="shared" si="412"/>
        <v>1953.2846</v>
      </c>
      <c r="H7610" s="28">
        <f t="shared" si="413"/>
        <v>2016.8216</v>
      </c>
      <c r="I7610" s="28">
        <f t="shared" si="414"/>
        <v>2052.5792000000001</v>
      </c>
      <c r="J7610" s="28">
        <f t="shared" si="415"/>
        <v>2081.8955999999998</v>
      </c>
      <c r="K7610" s="28">
        <f t="shared" si="416"/>
        <v>2134.6143999999999</v>
      </c>
      <c r="L7610" s="4"/>
      <c r="M7610" s="241">
        <v>2052.5792000000001</v>
      </c>
    </row>
    <row r="7611" spans="3:13" hidden="1" outlineLevel="1" x14ac:dyDescent="0.2">
      <c r="C7611" s="139">
        <v>275.2999999999941</v>
      </c>
      <c r="D7611" s="28">
        <f t="shared" ref="D7611:D7674" si="417">C7611*Channels.per.TRX</f>
        <v>2202.3999999999528</v>
      </c>
      <c r="E7611" s="28">
        <f t="shared" ref="E7611:E7674" si="418">D7611-C7611*sig.channel.per.TRX</f>
        <v>2064.7499999999559</v>
      </c>
      <c r="F7611" s="28">
        <f t="shared" ref="F7611:F7674" si="419">MAX(0,E7611-GPRS.channel.per.sector)</f>
        <v>2046.7499999999559</v>
      </c>
      <c r="G7611" s="28">
        <f t="shared" ref="G7611:G7674" si="420">INDEX(D$10:D$4326,MATCH($F7611,$C$10:$C$4326,1))</f>
        <v>1954.2992999999999</v>
      </c>
      <c r="H7611" s="28">
        <f t="shared" ref="H7611:H7674" si="421">INDEX(E$10:E$4326,MATCH($F7611,$C$10:$C$4326,1))</f>
        <v>2017.8078</v>
      </c>
      <c r="I7611" s="28">
        <f t="shared" ref="I7611:I7674" si="422">INDEX(F$10:F$4326,MATCH($F7611,$C$10:$C$4326,1))</f>
        <v>2053.5828999999999</v>
      </c>
      <c r="J7611" s="28">
        <f t="shared" ref="J7611:J7674" si="423">INDEX(G$10:G$4326,MATCH($F7611,$C$10:$C$4326,1))</f>
        <v>2082.9137000000001</v>
      </c>
      <c r="K7611" s="28">
        <f t="shared" ref="K7611:K7674" si="424">INDEX(H$10:H$4326,MATCH($F7611,$C$10:$C$4326,1))</f>
        <v>2135.6581999999999</v>
      </c>
      <c r="L7611" s="4"/>
      <c r="M7611" s="241">
        <v>2053.5828999999999</v>
      </c>
    </row>
    <row r="7612" spans="3:13" hidden="1" outlineLevel="1" x14ac:dyDescent="0.2">
      <c r="C7612" s="139">
        <v>275.39999999999412</v>
      </c>
      <c r="D7612" s="28">
        <f t="shared" si="417"/>
        <v>2203.199999999953</v>
      </c>
      <c r="E7612" s="28">
        <f t="shared" si="418"/>
        <v>2065.4999999999559</v>
      </c>
      <c r="F7612" s="28">
        <f t="shared" si="419"/>
        <v>2047.4999999999559</v>
      </c>
      <c r="G7612" s="28">
        <f t="shared" si="420"/>
        <v>1955.3140000000001</v>
      </c>
      <c r="H7612" s="28">
        <f t="shared" si="421"/>
        <v>2018.7940000000001</v>
      </c>
      <c r="I7612" s="28">
        <f t="shared" si="422"/>
        <v>2054.5866000000001</v>
      </c>
      <c r="J7612" s="28">
        <f t="shared" si="423"/>
        <v>2083.9317999999998</v>
      </c>
      <c r="K7612" s="28">
        <f t="shared" si="424"/>
        <v>2136.7020000000002</v>
      </c>
      <c r="L7612" s="4"/>
      <c r="M7612" s="241">
        <v>2054.5866000000001</v>
      </c>
    </row>
    <row r="7613" spans="3:13" hidden="1" outlineLevel="1" x14ac:dyDescent="0.2">
      <c r="C7613" s="139">
        <v>275.49999999999415</v>
      </c>
      <c r="D7613" s="28">
        <f t="shared" si="417"/>
        <v>2203.9999999999532</v>
      </c>
      <c r="E7613" s="28">
        <f t="shared" si="418"/>
        <v>2066.2499999999559</v>
      </c>
      <c r="F7613" s="28">
        <f t="shared" si="419"/>
        <v>2048.2499999999559</v>
      </c>
      <c r="G7613" s="28">
        <f t="shared" si="420"/>
        <v>1956.3287</v>
      </c>
      <c r="H7613" s="28">
        <f t="shared" si="421"/>
        <v>2019.7801999999999</v>
      </c>
      <c r="I7613" s="28">
        <f t="shared" si="422"/>
        <v>2055.5902999999998</v>
      </c>
      <c r="J7613" s="28">
        <f t="shared" si="423"/>
        <v>2084.9499000000001</v>
      </c>
      <c r="K7613" s="28">
        <f t="shared" si="424"/>
        <v>2137.7458000000001</v>
      </c>
      <c r="L7613" s="4"/>
      <c r="M7613" s="241">
        <v>2055.5902999999998</v>
      </c>
    </row>
    <row r="7614" spans="3:13" hidden="1" outlineLevel="1" x14ac:dyDescent="0.2">
      <c r="C7614" s="139">
        <v>275.59999999999417</v>
      </c>
      <c r="D7614" s="28">
        <f t="shared" si="417"/>
        <v>2204.7999999999533</v>
      </c>
      <c r="E7614" s="28">
        <f t="shared" si="418"/>
        <v>2066.9999999999563</v>
      </c>
      <c r="F7614" s="28">
        <f t="shared" si="419"/>
        <v>2048.9999999999563</v>
      </c>
      <c r="G7614" s="28">
        <f t="shared" si="420"/>
        <v>1956.3287</v>
      </c>
      <c r="H7614" s="28">
        <f t="shared" si="421"/>
        <v>2019.7801999999999</v>
      </c>
      <c r="I7614" s="28">
        <f t="shared" si="422"/>
        <v>2055.5902999999998</v>
      </c>
      <c r="J7614" s="28">
        <f t="shared" si="423"/>
        <v>2084.9499000000001</v>
      </c>
      <c r="K7614" s="28">
        <f t="shared" si="424"/>
        <v>2137.7458000000001</v>
      </c>
      <c r="L7614" s="4"/>
      <c r="M7614" s="241">
        <v>2055.5902999999998</v>
      </c>
    </row>
    <row r="7615" spans="3:13" hidden="1" outlineLevel="1" x14ac:dyDescent="0.2">
      <c r="C7615" s="139">
        <v>275.69999999999419</v>
      </c>
      <c r="D7615" s="28">
        <f t="shared" si="417"/>
        <v>2205.5999999999535</v>
      </c>
      <c r="E7615" s="28">
        <f t="shared" si="418"/>
        <v>2067.7499999999563</v>
      </c>
      <c r="F7615" s="28">
        <f t="shared" si="419"/>
        <v>2049.7499999999563</v>
      </c>
      <c r="G7615" s="28">
        <f t="shared" si="420"/>
        <v>1957.3434</v>
      </c>
      <c r="H7615" s="28">
        <f t="shared" si="421"/>
        <v>2020.7664</v>
      </c>
      <c r="I7615" s="28">
        <f t="shared" si="422"/>
        <v>2056.5940000000001</v>
      </c>
      <c r="J7615" s="28">
        <f t="shared" si="423"/>
        <v>2085.9679999999998</v>
      </c>
      <c r="K7615" s="28">
        <f t="shared" si="424"/>
        <v>2138.7896000000001</v>
      </c>
      <c r="L7615" s="4"/>
      <c r="M7615" s="241">
        <v>2056.5940000000001</v>
      </c>
    </row>
    <row r="7616" spans="3:13" hidden="1" outlineLevel="1" x14ac:dyDescent="0.2">
      <c r="C7616" s="139">
        <v>275.79999999999421</v>
      </c>
      <c r="D7616" s="28">
        <f t="shared" si="417"/>
        <v>2206.3999999999537</v>
      </c>
      <c r="E7616" s="28">
        <f t="shared" si="418"/>
        <v>2068.4999999999568</v>
      </c>
      <c r="F7616" s="28">
        <f t="shared" si="419"/>
        <v>2050.4999999999568</v>
      </c>
      <c r="G7616" s="28">
        <f t="shared" si="420"/>
        <v>1958.3580999999999</v>
      </c>
      <c r="H7616" s="28">
        <f t="shared" si="421"/>
        <v>2021.7526</v>
      </c>
      <c r="I7616" s="28">
        <f t="shared" si="422"/>
        <v>2057.5976999999998</v>
      </c>
      <c r="J7616" s="28">
        <f t="shared" si="423"/>
        <v>2086.9861000000001</v>
      </c>
      <c r="K7616" s="28">
        <f t="shared" si="424"/>
        <v>2139.8334</v>
      </c>
      <c r="L7616" s="4"/>
      <c r="M7616" s="241">
        <v>2057.5976999999998</v>
      </c>
    </row>
    <row r="7617" spans="3:13" hidden="1" outlineLevel="1" x14ac:dyDescent="0.2">
      <c r="C7617" s="139">
        <v>275.89999999999424</v>
      </c>
      <c r="D7617" s="28">
        <f t="shared" si="417"/>
        <v>2207.1999999999539</v>
      </c>
      <c r="E7617" s="28">
        <f t="shared" si="418"/>
        <v>2069.2499999999568</v>
      </c>
      <c r="F7617" s="28">
        <f t="shared" si="419"/>
        <v>2051.2499999999568</v>
      </c>
      <c r="G7617" s="28">
        <f t="shared" si="420"/>
        <v>1959.3728000000001</v>
      </c>
      <c r="H7617" s="28">
        <f t="shared" si="421"/>
        <v>2022.7388000000001</v>
      </c>
      <c r="I7617" s="28">
        <f t="shared" si="422"/>
        <v>2058.6014</v>
      </c>
      <c r="J7617" s="28">
        <f t="shared" si="423"/>
        <v>2088.0041999999999</v>
      </c>
      <c r="K7617" s="28">
        <f t="shared" si="424"/>
        <v>2140.8771999999999</v>
      </c>
      <c r="L7617" s="4"/>
      <c r="M7617" s="241">
        <v>2058.6014</v>
      </c>
    </row>
    <row r="7618" spans="3:13" hidden="1" outlineLevel="1" x14ac:dyDescent="0.2">
      <c r="C7618" s="139">
        <v>275.99999999999426</v>
      </c>
      <c r="D7618" s="28">
        <f t="shared" si="417"/>
        <v>2207.9999999999541</v>
      </c>
      <c r="E7618" s="28">
        <f t="shared" si="418"/>
        <v>2069.9999999999568</v>
      </c>
      <c r="F7618" s="28">
        <f t="shared" si="419"/>
        <v>2051.9999999999568</v>
      </c>
      <c r="G7618" s="28">
        <f t="shared" si="420"/>
        <v>1959.3728000000001</v>
      </c>
      <c r="H7618" s="28">
        <f t="shared" si="421"/>
        <v>2022.7388000000001</v>
      </c>
      <c r="I7618" s="28">
        <f t="shared" si="422"/>
        <v>2058.6014</v>
      </c>
      <c r="J7618" s="28">
        <f t="shared" si="423"/>
        <v>2088.0041999999999</v>
      </c>
      <c r="K7618" s="28">
        <f t="shared" si="424"/>
        <v>2140.8771999999999</v>
      </c>
      <c r="L7618" s="4"/>
      <c r="M7618" s="241">
        <v>2058.6014</v>
      </c>
    </row>
    <row r="7619" spans="3:13" hidden="1" outlineLevel="1" x14ac:dyDescent="0.2">
      <c r="C7619" s="139">
        <v>276.09999999999428</v>
      </c>
      <c r="D7619" s="28">
        <f t="shared" si="417"/>
        <v>2208.7999999999543</v>
      </c>
      <c r="E7619" s="28">
        <f t="shared" si="418"/>
        <v>2070.7499999999573</v>
      </c>
      <c r="F7619" s="28">
        <f t="shared" si="419"/>
        <v>2052.7499999999573</v>
      </c>
      <c r="G7619" s="28">
        <f t="shared" si="420"/>
        <v>1960.3875</v>
      </c>
      <c r="H7619" s="28">
        <f t="shared" si="421"/>
        <v>2023.7249999999999</v>
      </c>
      <c r="I7619" s="28">
        <f t="shared" si="422"/>
        <v>2059.6051000000002</v>
      </c>
      <c r="J7619" s="28">
        <f t="shared" si="423"/>
        <v>2089.0223000000001</v>
      </c>
      <c r="K7619" s="28">
        <f t="shared" si="424"/>
        <v>2141.9209999999998</v>
      </c>
      <c r="L7619" s="4"/>
      <c r="M7619" s="241">
        <v>2059.6051000000002</v>
      </c>
    </row>
    <row r="7620" spans="3:13" hidden="1" outlineLevel="1" x14ac:dyDescent="0.2">
      <c r="C7620" s="139">
        <v>276.1999999999943</v>
      </c>
      <c r="D7620" s="28">
        <f t="shared" si="417"/>
        <v>2209.5999999999544</v>
      </c>
      <c r="E7620" s="28">
        <f t="shared" si="418"/>
        <v>2071.4999999999573</v>
      </c>
      <c r="F7620" s="28">
        <f t="shared" si="419"/>
        <v>2053.4999999999573</v>
      </c>
      <c r="G7620" s="28">
        <f t="shared" si="420"/>
        <v>1961.4022</v>
      </c>
      <c r="H7620" s="28">
        <f t="shared" si="421"/>
        <v>2024.7112</v>
      </c>
      <c r="I7620" s="28">
        <f t="shared" si="422"/>
        <v>2060.6088</v>
      </c>
      <c r="J7620" s="28">
        <f t="shared" si="423"/>
        <v>2090.0403999999999</v>
      </c>
      <c r="K7620" s="28">
        <f t="shared" si="424"/>
        <v>2142.9648000000002</v>
      </c>
      <c r="L7620" s="4"/>
      <c r="M7620" s="241">
        <v>2060.6088</v>
      </c>
    </row>
    <row r="7621" spans="3:13" hidden="1" outlineLevel="1" x14ac:dyDescent="0.2">
      <c r="C7621" s="139">
        <v>276.29999999999433</v>
      </c>
      <c r="D7621" s="28">
        <f t="shared" si="417"/>
        <v>2210.3999999999546</v>
      </c>
      <c r="E7621" s="28">
        <f t="shared" si="418"/>
        <v>2072.2499999999573</v>
      </c>
      <c r="F7621" s="28">
        <f t="shared" si="419"/>
        <v>2054.2499999999573</v>
      </c>
      <c r="G7621" s="28">
        <f t="shared" si="420"/>
        <v>1962.4168999999999</v>
      </c>
      <c r="H7621" s="28">
        <f t="shared" si="421"/>
        <v>2025.6974</v>
      </c>
      <c r="I7621" s="28">
        <f t="shared" si="422"/>
        <v>2061.6125000000002</v>
      </c>
      <c r="J7621" s="28">
        <f t="shared" si="423"/>
        <v>2091.0585000000001</v>
      </c>
      <c r="K7621" s="28">
        <f t="shared" si="424"/>
        <v>2144.0086000000001</v>
      </c>
      <c r="L7621" s="4"/>
      <c r="M7621" s="241">
        <v>2061.6125000000002</v>
      </c>
    </row>
    <row r="7622" spans="3:13" hidden="1" outlineLevel="1" x14ac:dyDescent="0.2">
      <c r="C7622" s="139">
        <v>276.39999999999435</v>
      </c>
      <c r="D7622" s="28">
        <f t="shared" si="417"/>
        <v>2211.1999999999548</v>
      </c>
      <c r="E7622" s="28">
        <f t="shared" si="418"/>
        <v>2072.9999999999577</v>
      </c>
      <c r="F7622" s="28">
        <f t="shared" si="419"/>
        <v>2054.9999999999577</v>
      </c>
      <c r="G7622" s="28">
        <f t="shared" si="420"/>
        <v>1962.4168999999999</v>
      </c>
      <c r="H7622" s="28">
        <f t="shared" si="421"/>
        <v>2025.6974</v>
      </c>
      <c r="I7622" s="28">
        <f t="shared" si="422"/>
        <v>2061.6125000000002</v>
      </c>
      <c r="J7622" s="28">
        <f t="shared" si="423"/>
        <v>2091.0585000000001</v>
      </c>
      <c r="K7622" s="28">
        <f t="shared" si="424"/>
        <v>2144.0086000000001</v>
      </c>
      <c r="L7622" s="4"/>
      <c r="M7622" s="241">
        <v>2061.6125000000002</v>
      </c>
    </row>
    <row r="7623" spans="3:13" hidden="1" outlineLevel="1" x14ac:dyDescent="0.2">
      <c r="C7623" s="139">
        <v>276.49999999999437</v>
      </c>
      <c r="D7623" s="28">
        <f t="shared" si="417"/>
        <v>2211.999999999955</v>
      </c>
      <c r="E7623" s="28">
        <f t="shared" si="418"/>
        <v>2073.7499999999577</v>
      </c>
      <c r="F7623" s="28">
        <f t="shared" si="419"/>
        <v>2055.7499999999577</v>
      </c>
      <c r="G7623" s="28">
        <f t="shared" si="420"/>
        <v>1963.4315999999999</v>
      </c>
      <c r="H7623" s="28">
        <f t="shared" si="421"/>
        <v>2026.6836000000001</v>
      </c>
      <c r="I7623" s="28">
        <f t="shared" si="422"/>
        <v>2062.6161999999999</v>
      </c>
      <c r="J7623" s="28">
        <f t="shared" si="423"/>
        <v>2092.0765999999999</v>
      </c>
      <c r="K7623" s="28">
        <f t="shared" si="424"/>
        <v>2145.0524</v>
      </c>
      <c r="L7623" s="4"/>
      <c r="M7623" s="241">
        <v>2062.6161999999999</v>
      </c>
    </row>
    <row r="7624" spans="3:13" hidden="1" outlineLevel="1" x14ac:dyDescent="0.2">
      <c r="C7624" s="139">
        <v>276.5999999999944</v>
      </c>
      <c r="D7624" s="28">
        <f t="shared" si="417"/>
        <v>2212.7999999999552</v>
      </c>
      <c r="E7624" s="28">
        <f t="shared" si="418"/>
        <v>2074.4999999999582</v>
      </c>
      <c r="F7624" s="28">
        <f t="shared" si="419"/>
        <v>2056.4999999999582</v>
      </c>
      <c r="G7624" s="28">
        <f t="shared" si="420"/>
        <v>1964.4463000000001</v>
      </c>
      <c r="H7624" s="28">
        <f t="shared" si="421"/>
        <v>2027.6697999999999</v>
      </c>
      <c r="I7624" s="28">
        <f t="shared" si="422"/>
        <v>2063.6199000000001</v>
      </c>
      <c r="J7624" s="28">
        <f t="shared" si="423"/>
        <v>2093.0947000000001</v>
      </c>
      <c r="K7624" s="28">
        <f t="shared" si="424"/>
        <v>2146.0962</v>
      </c>
      <c r="L7624" s="4"/>
      <c r="M7624" s="241">
        <v>2063.6199000000001</v>
      </c>
    </row>
    <row r="7625" spans="3:13" hidden="1" outlineLevel="1" x14ac:dyDescent="0.2">
      <c r="C7625" s="139">
        <v>276.69999999999442</v>
      </c>
      <c r="D7625" s="28">
        <f t="shared" si="417"/>
        <v>2213.5999999999553</v>
      </c>
      <c r="E7625" s="28">
        <f t="shared" si="418"/>
        <v>2075.2499999999582</v>
      </c>
      <c r="F7625" s="28">
        <f t="shared" si="419"/>
        <v>2057.2499999999582</v>
      </c>
      <c r="G7625" s="28">
        <f t="shared" si="420"/>
        <v>1965.461</v>
      </c>
      <c r="H7625" s="28">
        <f t="shared" si="421"/>
        <v>2028.6559999999999</v>
      </c>
      <c r="I7625" s="28">
        <f t="shared" si="422"/>
        <v>2064.6235999999999</v>
      </c>
      <c r="J7625" s="28">
        <f t="shared" si="423"/>
        <v>2094.1127999999999</v>
      </c>
      <c r="K7625" s="28">
        <f t="shared" si="424"/>
        <v>2147.14</v>
      </c>
      <c r="L7625" s="4"/>
      <c r="M7625" s="241">
        <v>2064.6235999999999</v>
      </c>
    </row>
    <row r="7626" spans="3:13" hidden="1" outlineLevel="1" x14ac:dyDescent="0.2">
      <c r="C7626" s="139">
        <v>276.79999999999444</v>
      </c>
      <c r="D7626" s="28">
        <f t="shared" si="417"/>
        <v>2214.3999999999555</v>
      </c>
      <c r="E7626" s="28">
        <f t="shared" si="418"/>
        <v>2075.9999999999582</v>
      </c>
      <c r="F7626" s="28">
        <f t="shared" si="419"/>
        <v>2057.9999999999582</v>
      </c>
      <c r="G7626" s="28">
        <f t="shared" si="420"/>
        <v>1965.461</v>
      </c>
      <c r="H7626" s="28">
        <f t="shared" si="421"/>
        <v>2028.6559999999999</v>
      </c>
      <c r="I7626" s="28">
        <f t="shared" si="422"/>
        <v>2064.6235999999999</v>
      </c>
      <c r="J7626" s="28">
        <f t="shared" si="423"/>
        <v>2094.1127999999999</v>
      </c>
      <c r="K7626" s="28">
        <f t="shared" si="424"/>
        <v>2147.14</v>
      </c>
      <c r="L7626" s="4"/>
      <c r="M7626" s="241">
        <v>2064.6235999999999</v>
      </c>
    </row>
    <row r="7627" spans="3:13" hidden="1" outlineLevel="1" x14ac:dyDescent="0.2">
      <c r="C7627" s="139">
        <v>276.89999999999446</v>
      </c>
      <c r="D7627" s="28">
        <f t="shared" si="417"/>
        <v>2215.1999999999557</v>
      </c>
      <c r="E7627" s="28">
        <f t="shared" si="418"/>
        <v>2076.7499999999586</v>
      </c>
      <c r="F7627" s="28">
        <f t="shared" si="419"/>
        <v>2058.7499999999586</v>
      </c>
      <c r="G7627" s="28">
        <f t="shared" si="420"/>
        <v>1966.4757</v>
      </c>
      <c r="H7627" s="28">
        <f t="shared" si="421"/>
        <v>2029.6422</v>
      </c>
      <c r="I7627" s="28">
        <f t="shared" si="422"/>
        <v>2065.6273000000001</v>
      </c>
      <c r="J7627" s="28">
        <f t="shared" si="423"/>
        <v>2095.1309000000001</v>
      </c>
      <c r="K7627" s="28">
        <f t="shared" si="424"/>
        <v>2148.1837999999998</v>
      </c>
      <c r="L7627" s="4"/>
      <c r="M7627" s="241">
        <v>2065.6273000000001</v>
      </c>
    </row>
    <row r="7628" spans="3:13" hidden="1" outlineLevel="1" x14ac:dyDescent="0.2">
      <c r="C7628" s="139">
        <v>276.99999999999449</v>
      </c>
      <c r="D7628" s="28">
        <f t="shared" si="417"/>
        <v>2215.9999999999559</v>
      </c>
      <c r="E7628" s="28">
        <f t="shared" si="418"/>
        <v>2077.4999999999586</v>
      </c>
      <c r="F7628" s="28">
        <f t="shared" si="419"/>
        <v>2059.4999999999586</v>
      </c>
      <c r="G7628" s="28">
        <f t="shared" si="420"/>
        <v>1967.4903999999999</v>
      </c>
      <c r="H7628" s="28">
        <f t="shared" si="421"/>
        <v>2030.6284000000001</v>
      </c>
      <c r="I7628" s="28">
        <f t="shared" si="422"/>
        <v>2066.6309999999999</v>
      </c>
      <c r="J7628" s="28">
        <f t="shared" si="423"/>
        <v>2096.1489999999999</v>
      </c>
      <c r="K7628" s="28">
        <f t="shared" si="424"/>
        <v>2149.2276000000002</v>
      </c>
      <c r="L7628" s="4"/>
      <c r="M7628" s="241">
        <v>2066.6309999999999</v>
      </c>
    </row>
    <row r="7629" spans="3:13" hidden="1" outlineLevel="1" x14ac:dyDescent="0.2">
      <c r="C7629" s="139">
        <v>277.09999999999451</v>
      </c>
      <c r="D7629" s="28">
        <f t="shared" si="417"/>
        <v>2216.7999999999561</v>
      </c>
      <c r="E7629" s="28">
        <f t="shared" si="418"/>
        <v>2078.2499999999586</v>
      </c>
      <c r="F7629" s="28">
        <f t="shared" si="419"/>
        <v>2060.2499999999586</v>
      </c>
      <c r="G7629" s="28">
        <f t="shared" si="420"/>
        <v>1968.5051000000001</v>
      </c>
      <c r="H7629" s="28">
        <f t="shared" si="421"/>
        <v>2031.6146000000001</v>
      </c>
      <c r="I7629" s="28">
        <f t="shared" si="422"/>
        <v>2067.6347000000001</v>
      </c>
      <c r="J7629" s="28">
        <f t="shared" si="423"/>
        <v>2097.1671000000001</v>
      </c>
      <c r="K7629" s="28">
        <f t="shared" si="424"/>
        <v>2150.2714000000001</v>
      </c>
      <c r="L7629" s="4"/>
      <c r="M7629" s="241">
        <v>2067.6347000000001</v>
      </c>
    </row>
    <row r="7630" spans="3:13" hidden="1" outlineLevel="1" x14ac:dyDescent="0.2">
      <c r="C7630" s="139">
        <v>277.19999999999453</v>
      </c>
      <c r="D7630" s="28">
        <f t="shared" si="417"/>
        <v>2217.5999999999563</v>
      </c>
      <c r="E7630" s="28">
        <f t="shared" si="418"/>
        <v>2078.9999999999591</v>
      </c>
      <c r="F7630" s="28">
        <f t="shared" si="419"/>
        <v>2060.9999999999591</v>
      </c>
      <c r="G7630" s="28">
        <f t="shared" si="420"/>
        <v>1968.5051000000001</v>
      </c>
      <c r="H7630" s="28">
        <f t="shared" si="421"/>
        <v>2031.6146000000001</v>
      </c>
      <c r="I7630" s="28">
        <f t="shared" si="422"/>
        <v>2067.6347000000001</v>
      </c>
      <c r="J7630" s="28">
        <f t="shared" si="423"/>
        <v>2097.1671000000001</v>
      </c>
      <c r="K7630" s="28">
        <f t="shared" si="424"/>
        <v>2150.2714000000001</v>
      </c>
      <c r="L7630" s="4"/>
      <c r="M7630" s="241">
        <v>2067.6347000000001</v>
      </c>
    </row>
    <row r="7631" spans="3:13" hidden="1" outlineLevel="1" x14ac:dyDescent="0.2">
      <c r="C7631" s="139">
        <v>277.29999999999455</v>
      </c>
      <c r="D7631" s="28">
        <f t="shared" si="417"/>
        <v>2218.3999999999564</v>
      </c>
      <c r="E7631" s="28">
        <f t="shared" si="418"/>
        <v>2079.7499999999591</v>
      </c>
      <c r="F7631" s="28">
        <f t="shared" si="419"/>
        <v>2061.7499999999591</v>
      </c>
      <c r="G7631" s="28">
        <f t="shared" si="420"/>
        <v>1969.5198</v>
      </c>
      <c r="H7631" s="28">
        <f t="shared" si="421"/>
        <v>2032.6007999999999</v>
      </c>
      <c r="I7631" s="28">
        <f t="shared" si="422"/>
        <v>2068.6383999999998</v>
      </c>
      <c r="J7631" s="28">
        <f t="shared" si="423"/>
        <v>2098.1851999999999</v>
      </c>
      <c r="K7631" s="28">
        <f t="shared" si="424"/>
        <v>2151.3152</v>
      </c>
      <c r="L7631" s="4"/>
      <c r="M7631" s="241">
        <v>2068.6383999999998</v>
      </c>
    </row>
    <row r="7632" spans="3:13" hidden="1" outlineLevel="1" x14ac:dyDescent="0.2">
      <c r="C7632" s="139">
        <v>277.39999999999458</v>
      </c>
      <c r="D7632" s="28">
        <f t="shared" si="417"/>
        <v>2219.1999999999566</v>
      </c>
      <c r="E7632" s="28">
        <f t="shared" si="418"/>
        <v>2080.4999999999595</v>
      </c>
      <c r="F7632" s="28">
        <f t="shared" si="419"/>
        <v>2062.4999999999595</v>
      </c>
      <c r="G7632" s="28">
        <f t="shared" si="420"/>
        <v>1970.5345</v>
      </c>
      <c r="H7632" s="28">
        <f t="shared" si="421"/>
        <v>2033.587</v>
      </c>
      <c r="I7632" s="28">
        <f t="shared" si="422"/>
        <v>2069.6421</v>
      </c>
      <c r="J7632" s="28">
        <f t="shared" si="423"/>
        <v>2099.2033000000001</v>
      </c>
      <c r="K7632" s="28">
        <f t="shared" si="424"/>
        <v>2152.3589999999899</v>
      </c>
      <c r="L7632" s="4"/>
      <c r="M7632" s="241">
        <v>2069.6421</v>
      </c>
    </row>
    <row r="7633" spans="3:13" hidden="1" outlineLevel="1" x14ac:dyDescent="0.2">
      <c r="C7633" s="139">
        <v>277.4999999999946</v>
      </c>
      <c r="D7633" s="28">
        <f t="shared" si="417"/>
        <v>2219.9999999999568</v>
      </c>
      <c r="E7633" s="28">
        <f t="shared" si="418"/>
        <v>2081.2499999999595</v>
      </c>
      <c r="F7633" s="28">
        <f t="shared" si="419"/>
        <v>2063.2499999999595</v>
      </c>
      <c r="G7633" s="28">
        <f t="shared" si="420"/>
        <v>1971.5491999999999</v>
      </c>
      <c r="H7633" s="28">
        <f t="shared" si="421"/>
        <v>2034.5732</v>
      </c>
      <c r="I7633" s="28">
        <f t="shared" si="422"/>
        <v>2070.6457999999998</v>
      </c>
      <c r="J7633" s="28">
        <f t="shared" si="423"/>
        <v>2100.2213999999999</v>
      </c>
      <c r="K7633" s="28">
        <f t="shared" si="424"/>
        <v>2153.4027999999898</v>
      </c>
      <c r="L7633" s="4"/>
      <c r="M7633" s="241">
        <v>2070.6457999999998</v>
      </c>
    </row>
    <row r="7634" spans="3:13" hidden="1" outlineLevel="1" x14ac:dyDescent="0.2">
      <c r="C7634" s="139">
        <v>277.59999999999462</v>
      </c>
      <c r="D7634" s="28">
        <f t="shared" si="417"/>
        <v>2220.799999999957</v>
      </c>
      <c r="E7634" s="28">
        <f t="shared" si="418"/>
        <v>2081.9999999999595</v>
      </c>
      <c r="F7634" s="28">
        <f t="shared" si="419"/>
        <v>2063.9999999999595</v>
      </c>
      <c r="G7634" s="28">
        <f t="shared" si="420"/>
        <v>1971.5491999999999</v>
      </c>
      <c r="H7634" s="28">
        <f t="shared" si="421"/>
        <v>2034.5732</v>
      </c>
      <c r="I7634" s="28">
        <f t="shared" si="422"/>
        <v>2070.6457999999998</v>
      </c>
      <c r="J7634" s="28">
        <f t="shared" si="423"/>
        <v>2100.2213999999999</v>
      </c>
      <c r="K7634" s="28">
        <f t="shared" si="424"/>
        <v>2153.4027999999898</v>
      </c>
      <c r="L7634" s="4"/>
      <c r="M7634" s="241">
        <v>2070.6457999999998</v>
      </c>
    </row>
    <row r="7635" spans="3:13" hidden="1" outlineLevel="1" x14ac:dyDescent="0.2">
      <c r="C7635" s="139">
        <v>277.69999999999465</v>
      </c>
      <c r="D7635" s="28">
        <f t="shared" si="417"/>
        <v>2221.5999999999572</v>
      </c>
      <c r="E7635" s="28">
        <f t="shared" si="418"/>
        <v>2082.74999999996</v>
      </c>
      <c r="F7635" s="28">
        <f t="shared" si="419"/>
        <v>2064.74999999996</v>
      </c>
      <c r="G7635" s="28">
        <f t="shared" si="420"/>
        <v>1972.5639000000001</v>
      </c>
      <c r="H7635" s="28">
        <f t="shared" si="421"/>
        <v>2035.5594000000001</v>
      </c>
      <c r="I7635" s="28">
        <f t="shared" si="422"/>
        <v>2071.6495</v>
      </c>
      <c r="J7635" s="28">
        <f t="shared" si="423"/>
        <v>2101.2395000000001</v>
      </c>
      <c r="K7635" s="28">
        <f t="shared" si="424"/>
        <v>2154.4465999999902</v>
      </c>
      <c r="L7635" s="4"/>
      <c r="M7635" s="241">
        <v>2071.6495</v>
      </c>
    </row>
    <row r="7636" spans="3:13" hidden="1" outlineLevel="1" x14ac:dyDescent="0.2">
      <c r="C7636" s="139">
        <v>277.79999999999467</v>
      </c>
      <c r="D7636" s="28">
        <f t="shared" si="417"/>
        <v>2222.3999999999573</v>
      </c>
      <c r="E7636" s="28">
        <f t="shared" si="418"/>
        <v>2083.49999999996</v>
      </c>
      <c r="F7636" s="28">
        <f t="shared" si="419"/>
        <v>2065.49999999996</v>
      </c>
      <c r="G7636" s="28">
        <f t="shared" si="420"/>
        <v>1973.5786000000001</v>
      </c>
      <c r="H7636" s="28">
        <f t="shared" si="421"/>
        <v>2036.5455999999999</v>
      </c>
      <c r="I7636" s="28">
        <f t="shared" si="422"/>
        <v>2072.6532000000002</v>
      </c>
      <c r="J7636" s="28">
        <f t="shared" si="423"/>
        <v>2102.2575999999999</v>
      </c>
      <c r="K7636" s="28">
        <f t="shared" si="424"/>
        <v>2155.4903999999901</v>
      </c>
      <c r="L7636" s="4"/>
      <c r="M7636" s="241">
        <v>2072.6532000000002</v>
      </c>
    </row>
    <row r="7637" spans="3:13" hidden="1" outlineLevel="1" x14ac:dyDescent="0.2">
      <c r="C7637" s="139">
        <v>277.89999999999469</v>
      </c>
      <c r="D7637" s="28">
        <f t="shared" si="417"/>
        <v>2223.1999999999575</v>
      </c>
      <c r="E7637" s="28">
        <f t="shared" si="418"/>
        <v>2084.24999999996</v>
      </c>
      <c r="F7637" s="28">
        <f t="shared" si="419"/>
        <v>2066.24999999996</v>
      </c>
      <c r="G7637" s="28">
        <f t="shared" si="420"/>
        <v>1974.5933</v>
      </c>
      <c r="H7637" s="28">
        <f t="shared" si="421"/>
        <v>2037.5318</v>
      </c>
      <c r="I7637" s="28">
        <f t="shared" si="422"/>
        <v>2073.6569</v>
      </c>
      <c r="J7637" s="28">
        <f t="shared" si="423"/>
        <v>2103.2757000000001</v>
      </c>
      <c r="K7637" s="28">
        <f t="shared" si="424"/>
        <v>2156.5341999999901</v>
      </c>
      <c r="L7637" s="4"/>
      <c r="M7637" s="241">
        <v>2073.6569</v>
      </c>
    </row>
    <row r="7638" spans="3:13" hidden="1" outlineLevel="1" x14ac:dyDescent="0.2">
      <c r="C7638" s="139">
        <v>277.99999999999471</v>
      </c>
      <c r="D7638" s="28">
        <f t="shared" si="417"/>
        <v>2223.9999999999577</v>
      </c>
      <c r="E7638" s="28">
        <f t="shared" si="418"/>
        <v>2084.9999999999604</v>
      </c>
      <c r="F7638" s="28">
        <f t="shared" si="419"/>
        <v>2066.9999999999604</v>
      </c>
      <c r="G7638" s="28">
        <f t="shared" si="420"/>
        <v>1974.5933</v>
      </c>
      <c r="H7638" s="28">
        <f t="shared" si="421"/>
        <v>2037.5318</v>
      </c>
      <c r="I7638" s="28">
        <f t="shared" si="422"/>
        <v>2073.6569</v>
      </c>
      <c r="J7638" s="28">
        <f t="shared" si="423"/>
        <v>2103.2757000000001</v>
      </c>
      <c r="K7638" s="28">
        <f t="shared" si="424"/>
        <v>2156.5341999999901</v>
      </c>
      <c r="L7638" s="4"/>
      <c r="M7638" s="241">
        <v>2073.6569</v>
      </c>
    </row>
    <row r="7639" spans="3:13" hidden="1" outlineLevel="1" x14ac:dyDescent="0.2">
      <c r="C7639" s="139">
        <v>278.09999999999474</v>
      </c>
      <c r="D7639" s="28">
        <f t="shared" si="417"/>
        <v>2224.7999999999579</v>
      </c>
      <c r="E7639" s="28">
        <f t="shared" si="418"/>
        <v>2085.7499999999604</v>
      </c>
      <c r="F7639" s="28">
        <f t="shared" si="419"/>
        <v>2067.7499999999604</v>
      </c>
      <c r="G7639" s="28">
        <f t="shared" si="420"/>
        <v>1975.6079999999999</v>
      </c>
      <c r="H7639" s="28">
        <f t="shared" si="421"/>
        <v>2038.518</v>
      </c>
      <c r="I7639" s="28">
        <f t="shared" si="422"/>
        <v>2074.6606000000002</v>
      </c>
      <c r="J7639" s="28">
        <f t="shared" si="423"/>
        <v>2104.2937999999999</v>
      </c>
      <c r="K7639" s="28">
        <f t="shared" si="424"/>
        <v>2157.57799999999</v>
      </c>
      <c r="L7639" s="4"/>
      <c r="M7639" s="241">
        <v>2074.6606000000002</v>
      </c>
    </row>
    <row r="7640" spans="3:13" hidden="1" outlineLevel="1" x14ac:dyDescent="0.2">
      <c r="C7640" s="139">
        <v>278.19999999999476</v>
      </c>
      <c r="D7640" s="28">
        <f t="shared" si="417"/>
        <v>2225.5999999999581</v>
      </c>
      <c r="E7640" s="28">
        <f t="shared" si="418"/>
        <v>2086.4999999999609</v>
      </c>
      <c r="F7640" s="28">
        <f t="shared" si="419"/>
        <v>2068.4999999999609</v>
      </c>
      <c r="G7640" s="28">
        <f t="shared" si="420"/>
        <v>1976.6226999999999</v>
      </c>
      <c r="H7640" s="28">
        <f t="shared" si="421"/>
        <v>2039.5042000000001</v>
      </c>
      <c r="I7640" s="28">
        <f t="shared" si="422"/>
        <v>2075.6642999999999</v>
      </c>
      <c r="J7640" s="28">
        <f t="shared" si="423"/>
        <v>2105.3119000000002</v>
      </c>
      <c r="K7640" s="28">
        <f t="shared" si="424"/>
        <v>2158.6217999999899</v>
      </c>
      <c r="L7640" s="4"/>
      <c r="M7640" s="241">
        <v>2075.6642999999999</v>
      </c>
    </row>
    <row r="7641" spans="3:13" hidden="1" outlineLevel="1" x14ac:dyDescent="0.2">
      <c r="C7641" s="139">
        <v>278.29999999999478</v>
      </c>
      <c r="D7641" s="28">
        <f t="shared" si="417"/>
        <v>2226.3999999999583</v>
      </c>
      <c r="E7641" s="28">
        <f t="shared" si="418"/>
        <v>2087.2499999999609</v>
      </c>
      <c r="F7641" s="28">
        <f t="shared" si="419"/>
        <v>2069.2499999999609</v>
      </c>
      <c r="G7641" s="28">
        <f t="shared" si="420"/>
        <v>1977.6374000000001</v>
      </c>
      <c r="H7641" s="28">
        <f t="shared" si="421"/>
        <v>2040.4903999999999</v>
      </c>
      <c r="I7641" s="28">
        <f t="shared" si="422"/>
        <v>2076.6680000000001</v>
      </c>
      <c r="J7641" s="28">
        <f t="shared" si="423"/>
        <v>2106.33</v>
      </c>
      <c r="K7641" s="28">
        <f t="shared" si="424"/>
        <v>2159.6655999999898</v>
      </c>
      <c r="L7641" s="4"/>
      <c r="M7641" s="241">
        <v>2076.6680000000001</v>
      </c>
    </row>
    <row r="7642" spans="3:13" hidden="1" outlineLevel="1" x14ac:dyDescent="0.2">
      <c r="C7642" s="139">
        <v>278.3999999999948</v>
      </c>
      <c r="D7642" s="28">
        <f t="shared" si="417"/>
        <v>2227.1999999999584</v>
      </c>
      <c r="E7642" s="28">
        <f t="shared" si="418"/>
        <v>2087.9999999999609</v>
      </c>
      <c r="F7642" s="28">
        <f t="shared" si="419"/>
        <v>2069.9999999999609</v>
      </c>
      <c r="G7642" s="28">
        <f t="shared" si="420"/>
        <v>1977.6374000000001</v>
      </c>
      <c r="H7642" s="28">
        <f t="shared" si="421"/>
        <v>2040.4903999999999</v>
      </c>
      <c r="I7642" s="28">
        <f t="shared" si="422"/>
        <v>2076.6680000000001</v>
      </c>
      <c r="J7642" s="28">
        <f t="shared" si="423"/>
        <v>2106.33</v>
      </c>
      <c r="K7642" s="28">
        <f t="shared" si="424"/>
        <v>2159.6655999999898</v>
      </c>
      <c r="L7642" s="4"/>
      <c r="M7642" s="241">
        <v>2076.6680000000001</v>
      </c>
    </row>
    <row r="7643" spans="3:13" hidden="1" outlineLevel="1" x14ac:dyDescent="0.2">
      <c r="C7643" s="139">
        <v>278.49999999999483</v>
      </c>
      <c r="D7643" s="28">
        <f t="shared" si="417"/>
        <v>2227.9999999999586</v>
      </c>
      <c r="E7643" s="28">
        <f t="shared" si="418"/>
        <v>2088.7499999999613</v>
      </c>
      <c r="F7643" s="28">
        <f t="shared" si="419"/>
        <v>2070.7499999999613</v>
      </c>
      <c r="G7643" s="28">
        <f t="shared" si="420"/>
        <v>1978.6521</v>
      </c>
      <c r="H7643" s="28">
        <f t="shared" si="421"/>
        <v>2041.4766</v>
      </c>
      <c r="I7643" s="28">
        <f t="shared" si="422"/>
        <v>2077.6716999999999</v>
      </c>
      <c r="J7643" s="28">
        <f t="shared" si="423"/>
        <v>2107.3481000000002</v>
      </c>
      <c r="K7643" s="28">
        <f t="shared" si="424"/>
        <v>2160.7093999999902</v>
      </c>
      <c r="L7643" s="4"/>
      <c r="M7643" s="241">
        <v>2077.6716999999999</v>
      </c>
    </row>
    <row r="7644" spans="3:13" hidden="1" outlineLevel="1" x14ac:dyDescent="0.2">
      <c r="C7644" s="139">
        <v>278.59999999999485</v>
      </c>
      <c r="D7644" s="28">
        <f t="shared" si="417"/>
        <v>2228.7999999999588</v>
      </c>
      <c r="E7644" s="28">
        <f t="shared" si="418"/>
        <v>2089.4999999999613</v>
      </c>
      <c r="F7644" s="28">
        <f t="shared" si="419"/>
        <v>2071.4999999999613</v>
      </c>
      <c r="G7644" s="28">
        <f t="shared" si="420"/>
        <v>1979.6668</v>
      </c>
      <c r="H7644" s="28">
        <f t="shared" si="421"/>
        <v>2042.4628</v>
      </c>
      <c r="I7644" s="28">
        <f t="shared" si="422"/>
        <v>2078.6754000000001</v>
      </c>
      <c r="J7644" s="28">
        <f t="shared" si="423"/>
        <v>2108.3661999999999</v>
      </c>
      <c r="K7644" s="28">
        <f t="shared" si="424"/>
        <v>2161.7531999999901</v>
      </c>
      <c r="L7644" s="4"/>
      <c r="M7644" s="241">
        <v>2078.6754000000001</v>
      </c>
    </row>
    <row r="7645" spans="3:13" hidden="1" outlineLevel="1" x14ac:dyDescent="0.2">
      <c r="C7645" s="139">
        <v>278.69999999999487</v>
      </c>
      <c r="D7645" s="28">
        <f t="shared" si="417"/>
        <v>2229.599999999959</v>
      </c>
      <c r="E7645" s="28">
        <f t="shared" si="418"/>
        <v>2090.2499999999613</v>
      </c>
      <c r="F7645" s="28">
        <f t="shared" si="419"/>
        <v>2072.2499999999613</v>
      </c>
      <c r="G7645" s="28">
        <f t="shared" si="420"/>
        <v>1980.6814999999999</v>
      </c>
      <c r="H7645" s="28">
        <f t="shared" si="421"/>
        <v>2043.4490000000001</v>
      </c>
      <c r="I7645" s="28">
        <f t="shared" si="422"/>
        <v>2079.6790999999998</v>
      </c>
      <c r="J7645" s="28">
        <f t="shared" si="423"/>
        <v>2109.3843000000002</v>
      </c>
      <c r="K7645" s="28">
        <f t="shared" si="424"/>
        <v>2162.79699999999</v>
      </c>
      <c r="L7645" s="4"/>
      <c r="M7645" s="241">
        <v>2079.6790999999998</v>
      </c>
    </row>
    <row r="7646" spans="3:13" hidden="1" outlineLevel="1" x14ac:dyDescent="0.2">
      <c r="C7646" s="139">
        <v>278.7999999999949</v>
      </c>
      <c r="D7646" s="28">
        <f t="shared" si="417"/>
        <v>2230.3999999999592</v>
      </c>
      <c r="E7646" s="28">
        <f t="shared" si="418"/>
        <v>2090.9999999999618</v>
      </c>
      <c r="F7646" s="28">
        <f t="shared" si="419"/>
        <v>2072.9999999999618</v>
      </c>
      <c r="G7646" s="28">
        <f t="shared" si="420"/>
        <v>1980.6814999999999</v>
      </c>
      <c r="H7646" s="28">
        <f t="shared" si="421"/>
        <v>2043.4490000000001</v>
      </c>
      <c r="I7646" s="28">
        <f t="shared" si="422"/>
        <v>2079.6790999999998</v>
      </c>
      <c r="J7646" s="28">
        <f t="shared" si="423"/>
        <v>2109.3843000000002</v>
      </c>
      <c r="K7646" s="28">
        <f t="shared" si="424"/>
        <v>2162.79699999999</v>
      </c>
      <c r="L7646" s="4"/>
      <c r="M7646" s="241">
        <v>2079.6790999999998</v>
      </c>
    </row>
    <row r="7647" spans="3:13" hidden="1" outlineLevel="1" x14ac:dyDescent="0.2">
      <c r="C7647" s="139">
        <v>278.89999999999492</v>
      </c>
      <c r="D7647" s="28">
        <f t="shared" si="417"/>
        <v>2231.1999999999593</v>
      </c>
      <c r="E7647" s="28">
        <f t="shared" si="418"/>
        <v>2091.7499999999618</v>
      </c>
      <c r="F7647" s="28">
        <f t="shared" si="419"/>
        <v>2073.7499999999618</v>
      </c>
      <c r="G7647" s="28">
        <f t="shared" si="420"/>
        <v>1981.6962000000001</v>
      </c>
      <c r="H7647" s="28">
        <f t="shared" si="421"/>
        <v>2044.4351999999999</v>
      </c>
      <c r="I7647" s="28">
        <f t="shared" si="422"/>
        <v>2080.6828</v>
      </c>
      <c r="J7647" s="28">
        <f t="shared" si="423"/>
        <v>2110.4023999999999</v>
      </c>
      <c r="K7647" s="28">
        <f t="shared" si="424"/>
        <v>2163.8407999999899</v>
      </c>
      <c r="L7647" s="4"/>
      <c r="M7647" s="241">
        <v>2080.6828</v>
      </c>
    </row>
    <row r="7648" spans="3:13" hidden="1" outlineLevel="1" x14ac:dyDescent="0.2">
      <c r="C7648" s="139">
        <v>278.99999999999494</v>
      </c>
      <c r="D7648" s="28">
        <f t="shared" si="417"/>
        <v>2231.9999999999595</v>
      </c>
      <c r="E7648" s="28">
        <f t="shared" si="418"/>
        <v>2092.4999999999623</v>
      </c>
      <c r="F7648" s="28">
        <f t="shared" si="419"/>
        <v>2074.4999999999623</v>
      </c>
      <c r="G7648" s="28">
        <f t="shared" si="420"/>
        <v>1982.7109</v>
      </c>
      <c r="H7648" s="28">
        <f t="shared" si="421"/>
        <v>2045.4213999999999</v>
      </c>
      <c r="I7648" s="28">
        <f t="shared" si="422"/>
        <v>2081.6864999999998</v>
      </c>
      <c r="J7648" s="28">
        <f t="shared" si="423"/>
        <v>2111.4205000000002</v>
      </c>
      <c r="K7648" s="28">
        <f t="shared" si="424"/>
        <v>2164.8845999999899</v>
      </c>
      <c r="L7648" s="4"/>
      <c r="M7648" s="241">
        <v>2081.6864999999998</v>
      </c>
    </row>
    <row r="7649" spans="3:13" hidden="1" outlineLevel="1" x14ac:dyDescent="0.2">
      <c r="C7649" s="139">
        <v>279.09999999999496</v>
      </c>
      <c r="D7649" s="28">
        <f t="shared" si="417"/>
        <v>2232.7999999999597</v>
      </c>
      <c r="E7649" s="28">
        <f t="shared" si="418"/>
        <v>2093.2499999999623</v>
      </c>
      <c r="F7649" s="28">
        <f t="shared" si="419"/>
        <v>2075.2499999999623</v>
      </c>
      <c r="G7649" s="28">
        <f t="shared" si="420"/>
        <v>1983.7256</v>
      </c>
      <c r="H7649" s="28">
        <f t="shared" si="421"/>
        <v>2046.4076</v>
      </c>
      <c r="I7649" s="28">
        <f t="shared" si="422"/>
        <v>2082.6902</v>
      </c>
      <c r="J7649" s="28">
        <f t="shared" si="423"/>
        <v>2112.4386</v>
      </c>
      <c r="K7649" s="28">
        <f t="shared" si="424"/>
        <v>2165.9283999999898</v>
      </c>
      <c r="L7649" s="4"/>
      <c r="M7649" s="241">
        <v>2082.6902</v>
      </c>
    </row>
    <row r="7650" spans="3:13" hidden="1" outlineLevel="1" x14ac:dyDescent="0.2">
      <c r="C7650" s="139">
        <v>279.19999999999499</v>
      </c>
      <c r="D7650" s="28">
        <f t="shared" si="417"/>
        <v>2233.5999999999599</v>
      </c>
      <c r="E7650" s="28">
        <f t="shared" si="418"/>
        <v>2093.9999999999623</v>
      </c>
      <c r="F7650" s="28">
        <f t="shared" si="419"/>
        <v>2075.9999999999623</v>
      </c>
      <c r="G7650" s="28">
        <f t="shared" si="420"/>
        <v>1983.7256</v>
      </c>
      <c r="H7650" s="28">
        <f t="shared" si="421"/>
        <v>2046.4076</v>
      </c>
      <c r="I7650" s="28">
        <f t="shared" si="422"/>
        <v>2082.6902</v>
      </c>
      <c r="J7650" s="28">
        <f t="shared" si="423"/>
        <v>2112.4386</v>
      </c>
      <c r="K7650" s="28">
        <f t="shared" si="424"/>
        <v>2165.9283999999898</v>
      </c>
      <c r="L7650" s="4"/>
      <c r="M7650" s="241">
        <v>2082.6902</v>
      </c>
    </row>
    <row r="7651" spans="3:13" hidden="1" outlineLevel="1" x14ac:dyDescent="0.2">
      <c r="C7651" s="139">
        <v>279.29999999999501</v>
      </c>
      <c r="D7651" s="28">
        <f t="shared" si="417"/>
        <v>2234.3999999999601</v>
      </c>
      <c r="E7651" s="28">
        <f t="shared" si="418"/>
        <v>2094.7499999999627</v>
      </c>
      <c r="F7651" s="28">
        <f t="shared" si="419"/>
        <v>2076.7499999999627</v>
      </c>
      <c r="G7651" s="28">
        <f t="shared" si="420"/>
        <v>1984.7402999999999</v>
      </c>
      <c r="H7651" s="28">
        <f t="shared" si="421"/>
        <v>2047.3938000000001</v>
      </c>
      <c r="I7651" s="28">
        <f t="shared" si="422"/>
        <v>2083.6939000000002</v>
      </c>
      <c r="J7651" s="28">
        <f t="shared" si="423"/>
        <v>2113.4567000000002</v>
      </c>
      <c r="K7651" s="28">
        <f t="shared" si="424"/>
        <v>2166.9721999999902</v>
      </c>
      <c r="L7651" s="4"/>
      <c r="M7651" s="241">
        <v>2083.6939000000002</v>
      </c>
    </row>
    <row r="7652" spans="3:13" hidden="1" outlineLevel="1" x14ac:dyDescent="0.2">
      <c r="C7652" s="139">
        <v>279.39999999999503</v>
      </c>
      <c r="D7652" s="28">
        <f t="shared" si="417"/>
        <v>2235.1999999999603</v>
      </c>
      <c r="E7652" s="28">
        <f t="shared" si="418"/>
        <v>2095.4999999999627</v>
      </c>
      <c r="F7652" s="28">
        <f t="shared" si="419"/>
        <v>2077.4999999999627</v>
      </c>
      <c r="G7652" s="28">
        <f t="shared" si="420"/>
        <v>1985.7550000000001</v>
      </c>
      <c r="H7652" s="28">
        <f t="shared" si="421"/>
        <v>2048.38</v>
      </c>
      <c r="I7652" s="28">
        <f t="shared" si="422"/>
        <v>2084.6976</v>
      </c>
      <c r="J7652" s="28">
        <f t="shared" si="423"/>
        <v>2114.4748</v>
      </c>
      <c r="K7652" s="28">
        <f t="shared" si="424"/>
        <v>2168.0159999999901</v>
      </c>
      <c r="L7652" s="4"/>
      <c r="M7652" s="241">
        <v>2084.6976</v>
      </c>
    </row>
    <row r="7653" spans="3:13" hidden="1" outlineLevel="1" x14ac:dyDescent="0.2">
      <c r="C7653" s="139">
        <v>279.49999999999505</v>
      </c>
      <c r="D7653" s="28">
        <f t="shared" si="417"/>
        <v>2235.9999999999604</v>
      </c>
      <c r="E7653" s="28">
        <f t="shared" si="418"/>
        <v>2096.2499999999627</v>
      </c>
      <c r="F7653" s="28">
        <f t="shared" si="419"/>
        <v>2078.2499999999627</v>
      </c>
      <c r="G7653" s="28">
        <f t="shared" si="420"/>
        <v>1986.7697000000001</v>
      </c>
      <c r="H7653" s="28">
        <f t="shared" si="421"/>
        <v>2049.3661999999999</v>
      </c>
      <c r="I7653" s="28">
        <f t="shared" si="422"/>
        <v>2085.7013000000002</v>
      </c>
      <c r="J7653" s="28">
        <f t="shared" si="423"/>
        <v>2115.4929000000002</v>
      </c>
      <c r="K7653" s="28">
        <f t="shared" si="424"/>
        <v>2169.05979999999</v>
      </c>
      <c r="L7653" s="4"/>
      <c r="M7653" s="241">
        <v>2085.7013000000002</v>
      </c>
    </row>
    <row r="7654" spans="3:13" hidden="1" outlineLevel="1" x14ac:dyDescent="0.2">
      <c r="C7654" s="139">
        <v>279.59999999999508</v>
      </c>
      <c r="D7654" s="28">
        <f t="shared" si="417"/>
        <v>2236.7999999999606</v>
      </c>
      <c r="E7654" s="28">
        <f t="shared" si="418"/>
        <v>2096.9999999999632</v>
      </c>
      <c r="F7654" s="28">
        <f t="shared" si="419"/>
        <v>2078.9999999999632</v>
      </c>
      <c r="G7654" s="28">
        <f t="shared" si="420"/>
        <v>1986.7697000000001</v>
      </c>
      <c r="H7654" s="28">
        <f t="shared" si="421"/>
        <v>2049.3661999999999</v>
      </c>
      <c r="I7654" s="28">
        <f t="shared" si="422"/>
        <v>2085.7013000000002</v>
      </c>
      <c r="J7654" s="28">
        <f t="shared" si="423"/>
        <v>2115.4929000000002</v>
      </c>
      <c r="K7654" s="28">
        <f t="shared" si="424"/>
        <v>2169.05979999999</v>
      </c>
      <c r="L7654" s="4"/>
      <c r="M7654" s="241">
        <v>2085.7013000000002</v>
      </c>
    </row>
    <row r="7655" spans="3:13" hidden="1" outlineLevel="1" x14ac:dyDescent="0.2">
      <c r="C7655" s="139">
        <v>279.6999999999951</v>
      </c>
      <c r="D7655" s="28">
        <f t="shared" si="417"/>
        <v>2237.5999999999608</v>
      </c>
      <c r="E7655" s="28">
        <f t="shared" si="418"/>
        <v>2097.7499999999632</v>
      </c>
      <c r="F7655" s="28">
        <f t="shared" si="419"/>
        <v>2079.7499999999632</v>
      </c>
      <c r="G7655" s="28">
        <f t="shared" si="420"/>
        <v>1987.7844</v>
      </c>
      <c r="H7655" s="28">
        <f t="shared" si="421"/>
        <v>2050.3524000000002</v>
      </c>
      <c r="I7655" s="28">
        <f t="shared" si="422"/>
        <v>2086.7049999999999</v>
      </c>
      <c r="J7655" s="28">
        <f t="shared" si="423"/>
        <v>2116.511</v>
      </c>
      <c r="K7655" s="28">
        <f t="shared" si="424"/>
        <v>2170.1035999999899</v>
      </c>
      <c r="L7655" s="4"/>
      <c r="M7655" s="241">
        <v>2086.7049999999999</v>
      </c>
    </row>
    <row r="7656" spans="3:13" hidden="1" outlineLevel="1" x14ac:dyDescent="0.2">
      <c r="C7656" s="139">
        <v>279.79999999999512</v>
      </c>
      <c r="D7656" s="28">
        <f t="shared" si="417"/>
        <v>2238.399999999961</v>
      </c>
      <c r="E7656" s="28">
        <f t="shared" si="418"/>
        <v>2098.4999999999636</v>
      </c>
      <c r="F7656" s="28">
        <f t="shared" si="419"/>
        <v>2080.4999999999636</v>
      </c>
      <c r="G7656" s="28">
        <f t="shared" si="420"/>
        <v>1988.7991</v>
      </c>
      <c r="H7656" s="28">
        <f t="shared" si="421"/>
        <v>2051.3386</v>
      </c>
      <c r="I7656" s="28">
        <f t="shared" si="422"/>
        <v>2087.7087000000001</v>
      </c>
      <c r="J7656" s="28">
        <f t="shared" si="423"/>
        <v>2117.5291000000002</v>
      </c>
      <c r="K7656" s="28">
        <f t="shared" si="424"/>
        <v>2171.1473999999898</v>
      </c>
      <c r="L7656" s="4"/>
      <c r="M7656" s="241">
        <v>2087.7087000000001</v>
      </c>
    </row>
    <row r="7657" spans="3:13" hidden="1" outlineLevel="1" x14ac:dyDescent="0.2">
      <c r="C7657" s="139">
        <v>279.89999999999515</v>
      </c>
      <c r="D7657" s="28">
        <f t="shared" si="417"/>
        <v>2239.1999999999612</v>
      </c>
      <c r="E7657" s="28">
        <f t="shared" si="418"/>
        <v>2099.2499999999636</v>
      </c>
      <c r="F7657" s="28">
        <f t="shared" si="419"/>
        <v>2081.2499999999636</v>
      </c>
      <c r="G7657" s="28">
        <f t="shared" si="420"/>
        <v>1989.8137999999999</v>
      </c>
      <c r="H7657" s="28">
        <f t="shared" si="421"/>
        <v>2052.3247999999999</v>
      </c>
      <c r="I7657" s="28">
        <f t="shared" si="422"/>
        <v>2088.7123999999999</v>
      </c>
      <c r="J7657" s="28">
        <f t="shared" si="423"/>
        <v>2118.5472</v>
      </c>
      <c r="K7657" s="28">
        <f t="shared" si="424"/>
        <v>2172.1911999999902</v>
      </c>
      <c r="L7657" s="4"/>
      <c r="M7657" s="241">
        <v>2088.7123999999999</v>
      </c>
    </row>
    <row r="7658" spans="3:13" hidden="1" outlineLevel="1" x14ac:dyDescent="0.2">
      <c r="C7658" s="139">
        <v>279.99999999999517</v>
      </c>
      <c r="D7658" s="28">
        <f t="shared" si="417"/>
        <v>2239.9999999999613</v>
      </c>
      <c r="E7658" s="28">
        <f t="shared" si="418"/>
        <v>2099.9999999999636</v>
      </c>
      <c r="F7658" s="28">
        <f t="shared" si="419"/>
        <v>2081.9999999999636</v>
      </c>
      <c r="G7658" s="28">
        <f t="shared" si="420"/>
        <v>1989.8137999999999</v>
      </c>
      <c r="H7658" s="28">
        <f t="shared" si="421"/>
        <v>2052.3247999999999</v>
      </c>
      <c r="I7658" s="28">
        <f t="shared" si="422"/>
        <v>2088.7123999999999</v>
      </c>
      <c r="J7658" s="28">
        <f t="shared" si="423"/>
        <v>2118.5472</v>
      </c>
      <c r="K7658" s="28">
        <f t="shared" si="424"/>
        <v>2172.1911999999902</v>
      </c>
      <c r="L7658" s="4"/>
      <c r="M7658" s="241">
        <v>2088.7123999999999</v>
      </c>
    </row>
    <row r="7659" spans="3:13" hidden="1" outlineLevel="1" x14ac:dyDescent="0.2">
      <c r="C7659" s="139">
        <v>280.09999999999519</v>
      </c>
      <c r="D7659" s="28">
        <f t="shared" si="417"/>
        <v>2240.7999999999615</v>
      </c>
      <c r="E7659" s="28">
        <f t="shared" si="418"/>
        <v>2100.7499999999641</v>
      </c>
      <c r="F7659" s="28">
        <f t="shared" si="419"/>
        <v>2082.7499999999641</v>
      </c>
      <c r="G7659" s="28">
        <f t="shared" si="420"/>
        <v>1990.8285000000001</v>
      </c>
      <c r="H7659" s="28">
        <f t="shared" si="421"/>
        <v>2053.3110000000001</v>
      </c>
      <c r="I7659" s="28">
        <f t="shared" si="422"/>
        <v>2089.7161000000001</v>
      </c>
      <c r="J7659" s="28">
        <f t="shared" si="423"/>
        <v>2119.5653000000002</v>
      </c>
      <c r="K7659" s="28">
        <f t="shared" si="424"/>
        <v>2173.2349999999901</v>
      </c>
      <c r="L7659" s="4"/>
      <c r="M7659" s="241">
        <v>2089.7161000000001</v>
      </c>
    </row>
    <row r="7660" spans="3:13" hidden="1" outlineLevel="1" x14ac:dyDescent="0.2">
      <c r="C7660" s="139">
        <v>280.19999999999521</v>
      </c>
      <c r="D7660" s="28">
        <f t="shared" si="417"/>
        <v>2241.5999999999617</v>
      </c>
      <c r="E7660" s="28">
        <f t="shared" si="418"/>
        <v>2101.4999999999641</v>
      </c>
      <c r="F7660" s="28">
        <f t="shared" si="419"/>
        <v>2083.4999999999641</v>
      </c>
      <c r="G7660" s="28">
        <f t="shared" si="420"/>
        <v>1991.8432</v>
      </c>
      <c r="H7660" s="28">
        <f t="shared" si="421"/>
        <v>2054.2972</v>
      </c>
      <c r="I7660" s="28">
        <f t="shared" si="422"/>
        <v>2090.7197999999999</v>
      </c>
      <c r="J7660" s="28">
        <f t="shared" si="423"/>
        <v>2120.5834</v>
      </c>
      <c r="K7660" s="28">
        <f t="shared" si="424"/>
        <v>2174.27879999999</v>
      </c>
      <c r="L7660" s="4"/>
      <c r="M7660" s="241">
        <v>2090.7197999999999</v>
      </c>
    </row>
    <row r="7661" spans="3:13" hidden="1" outlineLevel="1" x14ac:dyDescent="0.2">
      <c r="C7661" s="139">
        <v>280.29999999999524</v>
      </c>
      <c r="D7661" s="28">
        <f t="shared" si="417"/>
        <v>2242.3999999999619</v>
      </c>
      <c r="E7661" s="28">
        <f t="shared" si="418"/>
        <v>2102.2499999999641</v>
      </c>
      <c r="F7661" s="28">
        <f t="shared" si="419"/>
        <v>2084.2499999999641</v>
      </c>
      <c r="G7661" s="28">
        <f t="shared" si="420"/>
        <v>1992.8579</v>
      </c>
      <c r="H7661" s="28">
        <f t="shared" si="421"/>
        <v>2055.2833999999998</v>
      </c>
      <c r="I7661" s="28">
        <f t="shared" si="422"/>
        <v>2091.7235000000001</v>
      </c>
      <c r="J7661" s="28">
        <f t="shared" si="423"/>
        <v>2121.6015000000002</v>
      </c>
      <c r="K7661" s="28">
        <f t="shared" si="424"/>
        <v>2175.32259999999</v>
      </c>
      <c r="L7661" s="4"/>
      <c r="M7661" s="241">
        <v>2091.7235000000001</v>
      </c>
    </row>
    <row r="7662" spans="3:13" hidden="1" outlineLevel="1" x14ac:dyDescent="0.2">
      <c r="C7662" s="139">
        <v>280.39999999999526</v>
      </c>
      <c r="D7662" s="28">
        <f t="shared" si="417"/>
        <v>2243.1999999999621</v>
      </c>
      <c r="E7662" s="28">
        <f t="shared" si="418"/>
        <v>2102.9999999999645</v>
      </c>
      <c r="F7662" s="28">
        <f t="shared" si="419"/>
        <v>2084.9999999999645</v>
      </c>
      <c r="G7662" s="28">
        <f t="shared" si="420"/>
        <v>1992.8579</v>
      </c>
      <c r="H7662" s="28">
        <f t="shared" si="421"/>
        <v>2055.2833999999998</v>
      </c>
      <c r="I7662" s="28">
        <f t="shared" si="422"/>
        <v>2091.7235000000001</v>
      </c>
      <c r="J7662" s="28">
        <f t="shared" si="423"/>
        <v>2121.6015000000002</v>
      </c>
      <c r="K7662" s="28">
        <f t="shared" si="424"/>
        <v>2175.32259999999</v>
      </c>
      <c r="L7662" s="4"/>
      <c r="M7662" s="241">
        <v>2091.7235000000001</v>
      </c>
    </row>
    <row r="7663" spans="3:13" hidden="1" outlineLevel="1" x14ac:dyDescent="0.2">
      <c r="C7663" s="139">
        <v>280.49999999999528</v>
      </c>
      <c r="D7663" s="28">
        <f t="shared" si="417"/>
        <v>2243.9999999999623</v>
      </c>
      <c r="E7663" s="28">
        <f t="shared" si="418"/>
        <v>2103.7499999999645</v>
      </c>
      <c r="F7663" s="28">
        <f t="shared" si="419"/>
        <v>2085.7499999999645</v>
      </c>
      <c r="G7663" s="28">
        <f t="shared" si="420"/>
        <v>1993.8725999999999</v>
      </c>
      <c r="H7663" s="28">
        <f t="shared" si="421"/>
        <v>2056.2696000000001</v>
      </c>
      <c r="I7663" s="28">
        <f t="shared" si="422"/>
        <v>2092.7271999999998</v>
      </c>
      <c r="J7663" s="28">
        <f t="shared" si="423"/>
        <v>2122.6196</v>
      </c>
      <c r="K7663" s="28">
        <f t="shared" si="424"/>
        <v>2176.3663999999899</v>
      </c>
      <c r="L7663" s="4"/>
      <c r="M7663" s="241">
        <v>2092.7271999999998</v>
      </c>
    </row>
    <row r="7664" spans="3:13" hidden="1" outlineLevel="1" x14ac:dyDescent="0.2">
      <c r="C7664" s="139">
        <v>280.5999999999953</v>
      </c>
      <c r="D7664" s="28">
        <f t="shared" si="417"/>
        <v>2244.7999999999624</v>
      </c>
      <c r="E7664" s="28">
        <f t="shared" si="418"/>
        <v>2104.499999999965</v>
      </c>
      <c r="F7664" s="28">
        <f t="shared" si="419"/>
        <v>2086.499999999965</v>
      </c>
      <c r="G7664" s="28">
        <f t="shared" si="420"/>
        <v>1994.8873000000001</v>
      </c>
      <c r="H7664" s="28">
        <f t="shared" si="421"/>
        <v>2057.2557999999999</v>
      </c>
      <c r="I7664" s="28">
        <f t="shared" si="422"/>
        <v>2093.7309</v>
      </c>
      <c r="J7664" s="28">
        <f t="shared" si="423"/>
        <v>2123.6377000000002</v>
      </c>
      <c r="K7664" s="28">
        <f t="shared" si="424"/>
        <v>2177.4101999999898</v>
      </c>
      <c r="L7664" s="4"/>
      <c r="M7664" s="241">
        <v>2093.7309</v>
      </c>
    </row>
    <row r="7665" spans="3:13" hidden="1" outlineLevel="1" x14ac:dyDescent="0.2">
      <c r="C7665" s="139">
        <v>280.69999999999533</v>
      </c>
      <c r="D7665" s="28">
        <f t="shared" si="417"/>
        <v>2245.5999999999626</v>
      </c>
      <c r="E7665" s="28">
        <f t="shared" si="418"/>
        <v>2105.249999999965</v>
      </c>
      <c r="F7665" s="28">
        <f t="shared" si="419"/>
        <v>2087.249999999965</v>
      </c>
      <c r="G7665" s="28">
        <f t="shared" si="420"/>
        <v>1995.902</v>
      </c>
      <c r="H7665" s="28">
        <f t="shared" si="421"/>
        <v>2058.2420000000002</v>
      </c>
      <c r="I7665" s="28">
        <f t="shared" si="422"/>
        <v>2094.7345999999998</v>
      </c>
      <c r="J7665" s="28">
        <f t="shared" si="423"/>
        <v>2124.6558</v>
      </c>
      <c r="K7665" s="28">
        <f t="shared" si="424"/>
        <v>2178.4539999999902</v>
      </c>
      <c r="L7665" s="4"/>
      <c r="M7665" s="241">
        <v>2094.7345999999998</v>
      </c>
    </row>
    <row r="7666" spans="3:13" hidden="1" outlineLevel="1" x14ac:dyDescent="0.2">
      <c r="C7666" s="139">
        <v>280.79999999999535</v>
      </c>
      <c r="D7666" s="28">
        <f t="shared" si="417"/>
        <v>2246.3999999999628</v>
      </c>
      <c r="E7666" s="28">
        <f t="shared" si="418"/>
        <v>2105.999999999965</v>
      </c>
      <c r="F7666" s="28">
        <f t="shared" si="419"/>
        <v>2087.999999999965</v>
      </c>
      <c r="G7666" s="28">
        <f t="shared" si="420"/>
        <v>1995.902</v>
      </c>
      <c r="H7666" s="28">
        <f t="shared" si="421"/>
        <v>2058.2420000000002</v>
      </c>
      <c r="I7666" s="28">
        <f t="shared" si="422"/>
        <v>2094.7345999999998</v>
      </c>
      <c r="J7666" s="28">
        <f t="shared" si="423"/>
        <v>2124.6558</v>
      </c>
      <c r="K7666" s="28">
        <f t="shared" si="424"/>
        <v>2178.4539999999902</v>
      </c>
      <c r="L7666" s="4"/>
      <c r="M7666" s="241">
        <v>2094.7345999999998</v>
      </c>
    </row>
    <row r="7667" spans="3:13" hidden="1" outlineLevel="1" x14ac:dyDescent="0.2">
      <c r="C7667" s="139">
        <v>280.89999999999537</v>
      </c>
      <c r="D7667" s="28">
        <f t="shared" si="417"/>
        <v>2247.199999999963</v>
      </c>
      <c r="E7667" s="28">
        <f t="shared" si="418"/>
        <v>2106.7499999999654</v>
      </c>
      <c r="F7667" s="28">
        <f t="shared" si="419"/>
        <v>2088.7499999999654</v>
      </c>
      <c r="G7667" s="28">
        <f t="shared" si="420"/>
        <v>1996.9167</v>
      </c>
      <c r="H7667" s="28">
        <f t="shared" si="421"/>
        <v>2059.22820000001</v>
      </c>
      <c r="I7667" s="28">
        <f t="shared" si="422"/>
        <v>2095.7383</v>
      </c>
      <c r="J7667" s="28">
        <f t="shared" si="423"/>
        <v>2125.6738999999998</v>
      </c>
      <c r="K7667" s="28">
        <f t="shared" si="424"/>
        <v>2179.4977999999901</v>
      </c>
      <c r="L7667" s="4"/>
      <c r="M7667" s="241">
        <v>2095.7383</v>
      </c>
    </row>
    <row r="7668" spans="3:13" hidden="1" outlineLevel="1" x14ac:dyDescent="0.2">
      <c r="C7668" s="139">
        <v>280.9999999999954</v>
      </c>
      <c r="D7668" s="28">
        <f t="shared" si="417"/>
        <v>2247.9999999999632</v>
      </c>
      <c r="E7668" s="28">
        <f t="shared" si="418"/>
        <v>2107.4999999999654</v>
      </c>
      <c r="F7668" s="28">
        <f t="shared" si="419"/>
        <v>2089.4999999999654</v>
      </c>
      <c r="G7668" s="28">
        <f t="shared" si="420"/>
        <v>1997.9313999999999</v>
      </c>
      <c r="H7668" s="28">
        <f t="shared" si="421"/>
        <v>2060.2143999999998</v>
      </c>
      <c r="I7668" s="28">
        <f t="shared" si="422"/>
        <v>2096.7420000000002</v>
      </c>
      <c r="J7668" s="28">
        <f t="shared" si="423"/>
        <v>2126.692</v>
      </c>
      <c r="K7668" s="28">
        <f t="shared" si="424"/>
        <v>2180.54159999999</v>
      </c>
      <c r="L7668" s="4"/>
      <c r="M7668" s="241">
        <v>2096.7420000000002</v>
      </c>
    </row>
    <row r="7669" spans="3:13" hidden="1" outlineLevel="1" x14ac:dyDescent="0.2">
      <c r="C7669" s="139">
        <v>281.09999999999542</v>
      </c>
      <c r="D7669" s="28">
        <f t="shared" si="417"/>
        <v>2248.7999999999633</v>
      </c>
      <c r="E7669" s="28">
        <f t="shared" si="418"/>
        <v>2108.2499999999654</v>
      </c>
      <c r="F7669" s="28">
        <f t="shared" si="419"/>
        <v>2090.2499999999654</v>
      </c>
      <c r="G7669" s="28">
        <f t="shared" si="420"/>
        <v>1998.9460999999999</v>
      </c>
      <c r="H7669" s="28">
        <f t="shared" si="421"/>
        <v>2061.2006000000101</v>
      </c>
      <c r="I7669" s="28">
        <f t="shared" si="422"/>
        <v>2097.7456999999999</v>
      </c>
      <c r="J7669" s="28">
        <f t="shared" si="423"/>
        <v>2127.7100999999998</v>
      </c>
      <c r="K7669" s="28">
        <f t="shared" si="424"/>
        <v>2181.5853999999899</v>
      </c>
      <c r="L7669" s="4"/>
      <c r="M7669" s="241">
        <v>2097.7456999999999</v>
      </c>
    </row>
    <row r="7670" spans="3:13" hidden="1" outlineLevel="1" x14ac:dyDescent="0.2">
      <c r="C7670" s="139">
        <v>281.19999999999544</v>
      </c>
      <c r="D7670" s="28">
        <f t="shared" si="417"/>
        <v>2249.5999999999635</v>
      </c>
      <c r="E7670" s="28">
        <f t="shared" si="418"/>
        <v>2108.9999999999659</v>
      </c>
      <c r="F7670" s="28">
        <f t="shared" si="419"/>
        <v>2090.9999999999659</v>
      </c>
      <c r="G7670" s="28">
        <f t="shared" si="420"/>
        <v>1998.9460999999999</v>
      </c>
      <c r="H7670" s="28">
        <f t="shared" si="421"/>
        <v>2061.2006000000101</v>
      </c>
      <c r="I7670" s="28">
        <f t="shared" si="422"/>
        <v>2097.7456999999999</v>
      </c>
      <c r="J7670" s="28">
        <f t="shared" si="423"/>
        <v>2127.7100999999998</v>
      </c>
      <c r="K7670" s="28">
        <f t="shared" si="424"/>
        <v>2181.5853999999899</v>
      </c>
      <c r="L7670" s="4"/>
      <c r="M7670" s="241">
        <v>2097.7456999999999</v>
      </c>
    </row>
    <row r="7671" spans="3:13" hidden="1" outlineLevel="1" x14ac:dyDescent="0.2">
      <c r="C7671" s="139">
        <v>281.29999999999546</v>
      </c>
      <c r="D7671" s="28">
        <f t="shared" si="417"/>
        <v>2250.3999999999637</v>
      </c>
      <c r="E7671" s="28">
        <f t="shared" si="418"/>
        <v>2109.7499999999659</v>
      </c>
      <c r="F7671" s="28">
        <f t="shared" si="419"/>
        <v>2091.7499999999659</v>
      </c>
      <c r="G7671" s="28">
        <f t="shared" si="420"/>
        <v>1999.9608000000001</v>
      </c>
      <c r="H7671" s="28">
        <f t="shared" si="421"/>
        <v>2062.1867999999999</v>
      </c>
      <c r="I7671" s="28">
        <f t="shared" si="422"/>
        <v>2098.7494000000002</v>
      </c>
      <c r="J7671" s="28">
        <f t="shared" si="423"/>
        <v>2128.7282</v>
      </c>
      <c r="K7671" s="28">
        <f t="shared" si="424"/>
        <v>2182.6291999999899</v>
      </c>
      <c r="L7671" s="4"/>
      <c r="M7671" s="241">
        <v>2098.7494000000002</v>
      </c>
    </row>
    <row r="7672" spans="3:13" hidden="1" outlineLevel="1" x14ac:dyDescent="0.2">
      <c r="C7672" s="139">
        <v>281.39999999999549</v>
      </c>
      <c r="D7672" s="28">
        <f t="shared" si="417"/>
        <v>2251.1999999999639</v>
      </c>
      <c r="E7672" s="28">
        <f t="shared" si="418"/>
        <v>2110.4999999999663</v>
      </c>
      <c r="F7672" s="28">
        <f t="shared" si="419"/>
        <v>2092.4999999999663</v>
      </c>
      <c r="G7672" s="28">
        <f t="shared" si="420"/>
        <v>2000.9755</v>
      </c>
      <c r="H7672" s="28">
        <f t="shared" si="421"/>
        <v>2063.1730000000098</v>
      </c>
      <c r="I7672" s="28">
        <f t="shared" si="422"/>
        <v>2099.7530999999999</v>
      </c>
      <c r="J7672" s="28">
        <f t="shared" si="423"/>
        <v>2129.7462999999998</v>
      </c>
      <c r="K7672" s="28">
        <f t="shared" si="424"/>
        <v>2183.6729999999902</v>
      </c>
      <c r="L7672" s="4"/>
      <c r="M7672" s="241">
        <v>2099.7530999999999</v>
      </c>
    </row>
    <row r="7673" spans="3:13" hidden="1" outlineLevel="1" x14ac:dyDescent="0.2">
      <c r="C7673" s="139">
        <v>281.49999999999551</v>
      </c>
      <c r="D7673" s="28">
        <f t="shared" si="417"/>
        <v>2251.9999999999641</v>
      </c>
      <c r="E7673" s="28">
        <f t="shared" si="418"/>
        <v>2111.2499999999663</v>
      </c>
      <c r="F7673" s="28">
        <f t="shared" si="419"/>
        <v>2093.2499999999663</v>
      </c>
      <c r="G7673" s="28">
        <f t="shared" si="420"/>
        <v>2001.99019999999</v>
      </c>
      <c r="H7673" s="28">
        <f t="shared" si="421"/>
        <v>2064.1592000000101</v>
      </c>
      <c r="I7673" s="28">
        <f t="shared" si="422"/>
        <v>2100.7568000000001</v>
      </c>
      <c r="J7673" s="28">
        <f t="shared" si="423"/>
        <v>2130.7644</v>
      </c>
      <c r="K7673" s="28">
        <f t="shared" si="424"/>
        <v>2184.7167999999901</v>
      </c>
      <c r="L7673" s="4"/>
      <c r="M7673" s="241">
        <v>2100.7568000000001</v>
      </c>
    </row>
    <row r="7674" spans="3:13" hidden="1" outlineLevel="1" x14ac:dyDescent="0.2">
      <c r="C7674" s="139">
        <v>281.59999999999553</v>
      </c>
      <c r="D7674" s="28">
        <f t="shared" si="417"/>
        <v>2252.7999999999643</v>
      </c>
      <c r="E7674" s="28">
        <f t="shared" si="418"/>
        <v>2111.9999999999663</v>
      </c>
      <c r="F7674" s="28">
        <f t="shared" si="419"/>
        <v>2093.9999999999663</v>
      </c>
      <c r="G7674" s="28">
        <f t="shared" si="420"/>
        <v>2001.99019999999</v>
      </c>
      <c r="H7674" s="28">
        <f t="shared" si="421"/>
        <v>2064.1592000000101</v>
      </c>
      <c r="I7674" s="28">
        <f t="shared" si="422"/>
        <v>2100.7568000000001</v>
      </c>
      <c r="J7674" s="28">
        <f t="shared" si="423"/>
        <v>2130.7644</v>
      </c>
      <c r="K7674" s="28">
        <f t="shared" si="424"/>
        <v>2184.7167999999901</v>
      </c>
      <c r="L7674" s="4"/>
      <c r="M7674" s="241">
        <v>2100.7568000000001</v>
      </c>
    </row>
    <row r="7675" spans="3:13" hidden="1" outlineLevel="1" x14ac:dyDescent="0.2">
      <c r="C7675" s="139">
        <v>281.69999999999555</v>
      </c>
      <c r="D7675" s="28">
        <f t="shared" ref="D7675:D7717" si="425">C7675*Channels.per.TRX</f>
        <v>2253.5999999999644</v>
      </c>
      <c r="E7675" s="28">
        <f t="shared" ref="E7675:E7717" si="426">D7675-C7675*sig.channel.per.TRX</f>
        <v>2112.7499999999668</v>
      </c>
      <c r="F7675" s="28">
        <f t="shared" ref="F7675:F7717" si="427">MAX(0,E7675-GPRS.channel.per.sector)</f>
        <v>2094.7499999999668</v>
      </c>
      <c r="G7675" s="28">
        <f t="shared" ref="G7675:G7717" si="428">INDEX(D$10:D$4326,MATCH($F7675,$C$10:$C$4326,1))</f>
        <v>2003.0048999999899</v>
      </c>
      <c r="H7675" s="28">
        <f t="shared" ref="H7675:H7717" si="429">INDEX(E$10:E$4326,MATCH($F7675,$C$10:$C$4326,1))</f>
        <v>2065.1454000000099</v>
      </c>
      <c r="I7675" s="28">
        <f t="shared" ref="I7675:I7717" si="430">INDEX(F$10:F$4326,MATCH($F7675,$C$10:$C$4326,1))</f>
        <v>2101.7604999999999</v>
      </c>
      <c r="J7675" s="28">
        <f t="shared" ref="J7675:J7717" si="431">INDEX(G$10:G$4326,MATCH($F7675,$C$10:$C$4326,1))</f>
        <v>2131.7824999999998</v>
      </c>
      <c r="K7675" s="28">
        <f t="shared" ref="K7675:K7717" si="432">INDEX(H$10:H$4326,MATCH($F7675,$C$10:$C$4326,1))</f>
        <v>2185.7605999999901</v>
      </c>
      <c r="L7675" s="4"/>
      <c r="M7675" s="241">
        <v>2101.7604999999999</v>
      </c>
    </row>
    <row r="7676" spans="3:13" hidden="1" outlineLevel="1" x14ac:dyDescent="0.2">
      <c r="C7676" s="139">
        <v>281.79999999999558</v>
      </c>
      <c r="D7676" s="28">
        <f t="shared" si="425"/>
        <v>2254.3999999999646</v>
      </c>
      <c r="E7676" s="28">
        <f t="shared" si="426"/>
        <v>2113.4999999999668</v>
      </c>
      <c r="F7676" s="28">
        <f t="shared" si="427"/>
        <v>2095.4999999999668</v>
      </c>
      <c r="G7676" s="28">
        <f t="shared" si="428"/>
        <v>2004.0195999999901</v>
      </c>
      <c r="H7676" s="28">
        <f t="shared" si="429"/>
        <v>2066.1316000000102</v>
      </c>
      <c r="I7676" s="28">
        <f t="shared" si="430"/>
        <v>2102.7642000000001</v>
      </c>
      <c r="J7676" s="28">
        <f t="shared" si="431"/>
        <v>2132.8006</v>
      </c>
      <c r="K7676" s="28">
        <f t="shared" si="432"/>
        <v>2186.80439999999</v>
      </c>
      <c r="L7676" s="4"/>
      <c r="M7676" s="241">
        <v>2102.7642000000001</v>
      </c>
    </row>
    <row r="7677" spans="3:13" hidden="1" outlineLevel="1" x14ac:dyDescent="0.2">
      <c r="C7677" s="139">
        <v>281.8999999999956</v>
      </c>
      <c r="D7677" s="28">
        <f t="shared" si="425"/>
        <v>2255.1999999999648</v>
      </c>
      <c r="E7677" s="28">
        <f t="shared" si="426"/>
        <v>2114.2499999999668</v>
      </c>
      <c r="F7677" s="28">
        <f t="shared" si="427"/>
        <v>2096.2499999999668</v>
      </c>
      <c r="G7677" s="28">
        <f t="shared" si="428"/>
        <v>2005.0343</v>
      </c>
      <c r="H7677" s="28">
        <f t="shared" si="429"/>
        <v>2067.11780000001</v>
      </c>
      <c r="I7677" s="28">
        <f t="shared" si="430"/>
        <v>2103.7678999999998</v>
      </c>
      <c r="J7677" s="28">
        <f t="shared" si="431"/>
        <v>2133.8186999999998</v>
      </c>
      <c r="K7677" s="28">
        <f t="shared" si="432"/>
        <v>2187.8481999999899</v>
      </c>
      <c r="L7677" s="4"/>
      <c r="M7677" s="241">
        <v>2103.7678999999998</v>
      </c>
    </row>
    <row r="7678" spans="3:13" hidden="1" outlineLevel="1" x14ac:dyDescent="0.2">
      <c r="C7678" s="139">
        <v>281.99999999999562</v>
      </c>
      <c r="D7678" s="28">
        <f t="shared" si="425"/>
        <v>2255.999999999965</v>
      </c>
      <c r="E7678" s="28">
        <f t="shared" si="426"/>
        <v>2114.9999999999673</v>
      </c>
      <c r="F7678" s="28">
        <f t="shared" si="427"/>
        <v>2096.9999999999673</v>
      </c>
      <c r="G7678" s="28">
        <f t="shared" si="428"/>
        <v>2005.0343</v>
      </c>
      <c r="H7678" s="28">
        <f t="shared" si="429"/>
        <v>2067.11780000001</v>
      </c>
      <c r="I7678" s="28">
        <f t="shared" si="430"/>
        <v>2103.7678999999998</v>
      </c>
      <c r="J7678" s="28">
        <f t="shared" si="431"/>
        <v>2133.8186999999998</v>
      </c>
      <c r="K7678" s="28">
        <f t="shared" si="432"/>
        <v>2187.8481999999899</v>
      </c>
      <c r="L7678" s="4"/>
      <c r="M7678" s="241">
        <v>2103.7678999999998</v>
      </c>
    </row>
    <row r="7679" spans="3:13" hidden="1" outlineLevel="1" x14ac:dyDescent="0.2">
      <c r="C7679" s="139">
        <v>282.09999999999565</v>
      </c>
      <c r="D7679" s="28">
        <f t="shared" si="425"/>
        <v>2256.7999999999652</v>
      </c>
      <c r="E7679" s="28">
        <f t="shared" si="426"/>
        <v>2115.7499999999673</v>
      </c>
      <c r="F7679" s="28">
        <f t="shared" si="427"/>
        <v>2097.7499999999673</v>
      </c>
      <c r="G7679" s="28">
        <f t="shared" si="428"/>
        <v>2006.04899999999</v>
      </c>
      <c r="H7679" s="28">
        <f t="shared" si="429"/>
        <v>2068.1040000000098</v>
      </c>
      <c r="I7679" s="28">
        <f t="shared" si="430"/>
        <v>2104.7716</v>
      </c>
      <c r="J7679" s="28">
        <f t="shared" si="431"/>
        <v>2134.8368</v>
      </c>
      <c r="K7679" s="28">
        <f t="shared" si="432"/>
        <v>2188.8919999999898</v>
      </c>
      <c r="L7679" s="4"/>
      <c r="M7679" s="241">
        <v>2104.7716</v>
      </c>
    </row>
    <row r="7680" spans="3:13" hidden="1" outlineLevel="1" x14ac:dyDescent="0.2">
      <c r="C7680" s="139">
        <v>282.19999999999567</v>
      </c>
      <c r="D7680" s="28">
        <f t="shared" si="425"/>
        <v>2257.5999999999653</v>
      </c>
      <c r="E7680" s="28">
        <f t="shared" si="426"/>
        <v>2116.4999999999677</v>
      </c>
      <c r="F7680" s="28">
        <f t="shared" si="427"/>
        <v>2098.4999999999677</v>
      </c>
      <c r="G7680" s="28">
        <f t="shared" si="428"/>
        <v>2007.0636999999899</v>
      </c>
      <c r="H7680" s="28">
        <f t="shared" si="429"/>
        <v>2069.0902000000101</v>
      </c>
      <c r="I7680" s="28">
        <f t="shared" si="430"/>
        <v>2105.7752999999998</v>
      </c>
      <c r="J7680" s="28">
        <f t="shared" si="431"/>
        <v>2135.8548999999998</v>
      </c>
      <c r="K7680" s="28">
        <f t="shared" si="432"/>
        <v>2189.9357999999902</v>
      </c>
      <c r="L7680" s="4"/>
      <c r="M7680" s="241">
        <v>2105.7752999999998</v>
      </c>
    </row>
    <row r="7681" spans="3:13" hidden="1" outlineLevel="1" x14ac:dyDescent="0.2">
      <c r="C7681" s="139">
        <v>282.29999999999569</v>
      </c>
      <c r="D7681" s="28">
        <f t="shared" si="425"/>
        <v>2258.3999999999655</v>
      </c>
      <c r="E7681" s="28">
        <f t="shared" si="426"/>
        <v>2117.2499999999677</v>
      </c>
      <c r="F7681" s="28">
        <f t="shared" si="427"/>
        <v>2099.2499999999677</v>
      </c>
      <c r="G7681" s="28">
        <f t="shared" si="428"/>
        <v>2008.0783999999901</v>
      </c>
      <c r="H7681" s="28">
        <f t="shared" si="429"/>
        <v>2070.0763999999999</v>
      </c>
      <c r="I7681" s="28">
        <f t="shared" si="430"/>
        <v>2106.779</v>
      </c>
      <c r="J7681" s="28">
        <f t="shared" si="431"/>
        <v>2136.873</v>
      </c>
      <c r="K7681" s="28">
        <f t="shared" si="432"/>
        <v>2190.9795999999901</v>
      </c>
      <c r="L7681" s="4"/>
      <c r="M7681" s="241">
        <v>2106.779</v>
      </c>
    </row>
    <row r="7682" spans="3:13" hidden="1" outlineLevel="1" x14ac:dyDescent="0.2">
      <c r="C7682" s="139">
        <v>282.39999999999571</v>
      </c>
      <c r="D7682" s="28">
        <f t="shared" si="425"/>
        <v>2259.1999999999657</v>
      </c>
      <c r="E7682" s="28">
        <f t="shared" si="426"/>
        <v>2117.9999999999677</v>
      </c>
      <c r="F7682" s="28">
        <f t="shared" si="427"/>
        <v>2099.9999999999677</v>
      </c>
      <c r="G7682" s="28">
        <f t="shared" si="428"/>
        <v>2008.0783999999901</v>
      </c>
      <c r="H7682" s="28">
        <f t="shared" si="429"/>
        <v>2070.0763999999999</v>
      </c>
      <c r="I7682" s="28">
        <f t="shared" si="430"/>
        <v>2106.779</v>
      </c>
      <c r="J7682" s="28">
        <f t="shared" si="431"/>
        <v>2136.873</v>
      </c>
      <c r="K7682" s="28">
        <f t="shared" si="432"/>
        <v>2190.9795999999901</v>
      </c>
      <c r="L7682" s="4"/>
      <c r="M7682" s="241">
        <v>2106.779</v>
      </c>
    </row>
    <row r="7683" spans="3:13" hidden="1" outlineLevel="1" x14ac:dyDescent="0.2">
      <c r="C7683" s="139">
        <v>282.49999999999574</v>
      </c>
      <c r="D7683" s="28">
        <f t="shared" si="425"/>
        <v>2259.9999999999659</v>
      </c>
      <c r="E7683" s="28">
        <f t="shared" si="426"/>
        <v>2118.7499999999682</v>
      </c>
      <c r="F7683" s="28">
        <f t="shared" si="427"/>
        <v>2100.7499999999682</v>
      </c>
      <c r="G7683" s="28">
        <f t="shared" si="428"/>
        <v>2009.0931</v>
      </c>
      <c r="H7683" s="28">
        <f t="shared" si="429"/>
        <v>2071.0626000000102</v>
      </c>
      <c r="I7683" s="28">
        <f t="shared" si="430"/>
        <v>2107.7827000000002</v>
      </c>
      <c r="J7683" s="28">
        <f t="shared" si="431"/>
        <v>2137.8910999999998</v>
      </c>
      <c r="K7683" s="28">
        <f t="shared" si="432"/>
        <v>2192.02339999999</v>
      </c>
      <c r="L7683" s="4"/>
      <c r="M7683" s="241">
        <v>2107.7827000000002</v>
      </c>
    </row>
    <row r="7684" spans="3:13" hidden="1" outlineLevel="1" x14ac:dyDescent="0.2">
      <c r="C7684" s="139">
        <v>282.59999999999576</v>
      </c>
      <c r="D7684" s="28">
        <f t="shared" si="425"/>
        <v>2260.7999999999661</v>
      </c>
      <c r="E7684" s="28">
        <f t="shared" si="426"/>
        <v>2119.4999999999682</v>
      </c>
      <c r="F7684" s="28">
        <f t="shared" si="427"/>
        <v>2101.4999999999682</v>
      </c>
      <c r="G7684" s="28">
        <f t="shared" si="428"/>
        <v>2010.10779999999</v>
      </c>
      <c r="H7684" s="28">
        <f t="shared" si="429"/>
        <v>2072.04880000001</v>
      </c>
      <c r="I7684" s="28">
        <f t="shared" si="430"/>
        <v>2108.7864</v>
      </c>
      <c r="J7684" s="28">
        <f t="shared" si="431"/>
        <v>2138.9092000000001</v>
      </c>
      <c r="K7684" s="28">
        <f t="shared" si="432"/>
        <v>2193.06719999999</v>
      </c>
      <c r="L7684" s="4"/>
      <c r="M7684" s="241">
        <v>2108.7864</v>
      </c>
    </row>
    <row r="7685" spans="3:13" hidden="1" outlineLevel="1" x14ac:dyDescent="0.2">
      <c r="C7685" s="139">
        <v>282.69999999999578</v>
      </c>
      <c r="D7685" s="28">
        <f t="shared" si="425"/>
        <v>2261.5999999999663</v>
      </c>
      <c r="E7685" s="28">
        <f t="shared" si="426"/>
        <v>2120.2499999999682</v>
      </c>
      <c r="F7685" s="28">
        <f t="shared" si="427"/>
        <v>2102.2499999999682</v>
      </c>
      <c r="G7685" s="28">
        <f t="shared" si="428"/>
        <v>2011.1224999999899</v>
      </c>
      <c r="H7685" s="28">
        <f t="shared" si="429"/>
        <v>2073.0350000000099</v>
      </c>
      <c r="I7685" s="28">
        <f t="shared" si="430"/>
        <v>2109.7901000000002</v>
      </c>
      <c r="J7685" s="28">
        <f t="shared" si="431"/>
        <v>2139.9272999999998</v>
      </c>
      <c r="K7685" s="28">
        <f t="shared" si="432"/>
        <v>2194.1109999999899</v>
      </c>
      <c r="L7685" s="4"/>
      <c r="M7685" s="241">
        <v>2109.7901000000002</v>
      </c>
    </row>
    <row r="7686" spans="3:13" hidden="1" outlineLevel="1" x14ac:dyDescent="0.2">
      <c r="C7686" s="139">
        <v>282.7999999999958</v>
      </c>
      <c r="D7686" s="28">
        <f t="shared" si="425"/>
        <v>2262.3999999999664</v>
      </c>
      <c r="E7686" s="28">
        <f t="shared" si="426"/>
        <v>2120.9999999999686</v>
      </c>
      <c r="F7686" s="28">
        <f t="shared" si="427"/>
        <v>2102.9999999999686</v>
      </c>
      <c r="G7686" s="28">
        <f t="shared" si="428"/>
        <v>2011.1224999999899</v>
      </c>
      <c r="H7686" s="28">
        <f t="shared" si="429"/>
        <v>2073.0350000000099</v>
      </c>
      <c r="I7686" s="28">
        <f t="shared" si="430"/>
        <v>2109.7901000000002</v>
      </c>
      <c r="J7686" s="28">
        <f t="shared" si="431"/>
        <v>2139.9272999999998</v>
      </c>
      <c r="K7686" s="28">
        <f t="shared" si="432"/>
        <v>2194.1109999999899</v>
      </c>
      <c r="L7686" s="4"/>
      <c r="M7686" s="241">
        <v>2109.7901000000002</v>
      </c>
    </row>
    <row r="7687" spans="3:13" hidden="1" outlineLevel="1" x14ac:dyDescent="0.2">
      <c r="C7687" s="139">
        <v>282.89999999999583</v>
      </c>
      <c r="D7687" s="28">
        <f t="shared" si="425"/>
        <v>2263.1999999999666</v>
      </c>
      <c r="E7687" s="28">
        <f t="shared" si="426"/>
        <v>2121.7499999999686</v>
      </c>
      <c r="F7687" s="28">
        <f t="shared" si="427"/>
        <v>2103.7499999999686</v>
      </c>
      <c r="G7687" s="28">
        <f t="shared" si="428"/>
        <v>2012.1371999999899</v>
      </c>
      <c r="H7687" s="28">
        <f t="shared" si="429"/>
        <v>2074.0212000000101</v>
      </c>
      <c r="I7687" s="28">
        <f t="shared" si="430"/>
        <v>2110.7937999999999</v>
      </c>
      <c r="J7687" s="28">
        <f t="shared" si="431"/>
        <v>2140.9454000000001</v>
      </c>
      <c r="K7687" s="28">
        <f t="shared" si="432"/>
        <v>2195.1547999999898</v>
      </c>
      <c r="L7687" s="4"/>
      <c r="M7687" s="241">
        <v>2110.7937999999999</v>
      </c>
    </row>
    <row r="7688" spans="3:13" hidden="1" outlineLevel="1" x14ac:dyDescent="0.2">
      <c r="C7688" s="139">
        <v>282.99999999999585</v>
      </c>
      <c r="D7688" s="28">
        <f t="shared" si="425"/>
        <v>2263.9999999999668</v>
      </c>
      <c r="E7688" s="28">
        <f t="shared" si="426"/>
        <v>2122.4999999999691</v>
      </c>
      <c r="F7688" s="28">
        <f t="shared" si="427"/>
        <v>2104.4999999999691</v>
      </c>
      <c r="G7688" s="28">
        <f t="shared" si="428"/>
        <v>2013.1518999999901</v>
      </c>
      <c r="H7688" s="28">
        <f t="shared" si="429"/>
        <v>2075.00740000001</v>
      </c>
      <c r="I7688" s="28">
        <f t="shared" si="430"/>
        <v>2111.7975000000001</v>
      </c>
      <c r="J7688" s="28">
        <f t="shared" si="431"/>
        <v>2141.9634999999998</v>
      </c>
      <c r="K7688" s="28">
        <f t="shared" si="432"/>
        <v>2196.1985999999902</v>
      </c>
      <c r="L7688" s="4"/>
      <c r="M7688" s="241">
        <v>2111.7975000000001</v>
      </c>
    </row>
    <row r="7689" spans="3:13" hidden="1" outlineLevel="1" x14ac:dyDescent="0.2">
      <c r="C7689" s="139">
        <v>283.09999999999587</v>
      </c>
      <c r="D7689" s="28">
        <f t="shared" si="425"/>
        <v>2264.799999999967</v>
      </c>
      <c r="E7689" s="28">
        <f t="shared" si="426"/>
        <v>2123.2499999999691</v>
      </c>
      <c r="F7689" s="28">
        <f t="shared" si="427"/>
        <v>2105.2499999999691</v>
      </c>
      <c r="G7689" s="28">
        <f t="shared" si="428"/>
        <v>2014.16659999999</v>
      </c>
      <c r="H7689" s="28">
        <f t="shared" si="429"/>
        <v>2075.9936000000098</v>
      </c>
      <c r="I7689" s="28">
        <f t="shared" si="430"/>
        <v>2112.8011999999999</v>
      </c>
      <c r="J7689" s="28">
        <f t="shared" si="431"/>
        <v>2142.9816000000001</v>
      </c>
      <c r="K7689" s="28">
        <f t="shared" si="432"/>
        <v>2197.2423999999901</v>
      </c>
      <c r="L7689" s="4"/>
      <c r="M7689" s="241">
        <v>2112.8011999999999</v>
      </c>
    </row>
    <row r="7690" spans="3:13" hidden="1" outlineLevel="1" x14ac:dyDescent="0.2">
      <c r="C7690" s="139">
        <v>283.1999999999959</v>
      </c>
      <c r="D7690" s="28">
        <f t="shared" si="425"/>
        <v>2265.5999999999672</v>
      </c>
      <c r="E7690" s="28">
        <f t="shared" si="426"/>
        <v>2123.9999999999691</v>
      </c>
      <c r="F7690" s="28">
        <f t="shared" si="427"/>
        <v>2105.9999999999691</v>
      </c>
      <c r="G7690" s="28">
        <f t="shared" si="428"/>
        <v>2014.16659999999</v>
      </c>
      <c r="H7690" s="28">
        <f t="shared" si="429"/>
        <v>2075.9936000000098</v>
      </c>
      <c r="I7690" s="28">
        <f t="shared" si="430"/>
        <v>2112.8011999999999</v>
      </c>
      <c r="J7690" s="28">
        <f t="shared" si="431"/>
        <v>2142.9816000000001</v>
      </c>
      <c r="K7690" s="28">
        <f t="shared" si="432"/>
        <v>2197.2423999999901</v>
      </c>
      <c r="L7690" s="4"/>
      <c r="M7690" s="241">
        <v>2112.8011999999999</v>
      </c>
    </row>
    <row r="7691" spans="3:13" hidden="1" outlineLevel="1" x14ac:dyDescent="0.2">
      <c r="C7691" s="139">
        <v>283.29999999999592</v>
      </c>
      <c r="D7691" s="28">
        <f t="shared" si="425"/>
        <v>2266.3999999999673</v>
      </c>
      <c r="E7691" s="28">
        <f t="shared" si="426"/>
        <v>2124.7499999999695</v>
      </c>
      <c r="F7691" s="28">
        <f t="shared" si="427"/>
        <v>2106.7499999999695</v>
      </c>
      <c r="G7691" s="28">
        <f t="shared" si="428"/>
        <v>2015.18129999999</v>
      </c>
      <c r="H7691" s="28">
        <f t="shared" si="429"/>
        <v>2076.9798000000101</v>
      </c>
      <c r="I7691" s="28">
        <f t="shared" si="430"/>
        <v>2113.8049000000001</v>
      </c>
      <c r="J7691" s="28">
        <f t="shared" si="431"/>
        <v>2143.9996999999998</v>
      </c>
      <c r="K7691" s="28">
        <f t="shared" si="432"/>
        <v>2198.28619999999</v>
      </c>
      <c r="L7691" s="4"/>
      <c r="M7691" s="241">
        <v>2113.8049000000001</v>
      </c>
    </row>
    <row r="7692" spans="3:13" hidden="1" outlineLevel="1" x14ac:dyDescent="0.2">
      <c r="C7692" s="139">
        <v>283.39999999999594</v>
      </c>
      <c r="D7692" s="28">
        <f t="shared" si="425"/>
        <v>2267.1999999999675</v>
      </c>
      <c r="E7692" s="28">
        <f t="shared" si="426"/>
        <v>2125.4999999999695</v>
      </c>
      <c r="F7692" s="28">
        <f t="shared" si="427"/>
        <v>2107.4999999999695</v>
      </c>
      <c r="G7692" s="28">
        <f t="shared" si="428"/>
        <v>2016.1959999999899</v>
      </c>
      <c r="H7692" s="28">
        <f t="shared" si="429"/>
        <v>2077.9660000000099</v>
      </c>
      <c r="I7692" s="28">
        <f t="shared" si="430"/>
        <v>2114.8085999999998</v>
      </c>
      <c r="J7692" s="28">
        <f t="shared" si="431"/>
        <v>2145.0178000000001</v>
      </c>
      <c r="K7692" s="28">
        <f t="shared" si="432"/>
        <v>2199.3299999999899</v>
      </c>
      <c r="L7692" s="4"/>
      <c r="M7692" s="241">
        <v>2114.8085999999998</v>
      </c>
    </row>
    <row r="7693" spans="3:13" hidden="1" outlineLevel="1" x14ac:dyDescent="0.2">
      <c r="C7693" s="139">
        <v>283.49999999999596</v>
      </c>
      <c r="D7693" s="28">
        <f t="shared" si="425"/>
        <v>2267.9999999999677</v>
      </c>
      <c r="E7693" s="28">
        <f t="shared" si="426"/>
        <v>2126.2499999999695</v>
      </c>
      <c r="F7693" s="28">
        <f t="shared" si="427"/>
        <v>2108.2499999999695</v>
      </c>
      <c r="G7693" s="28">
        <f t="shared" si="428"/>
        <v>2017.2106999999901</v>
      </c>
      <c r="H7693" s="28">
        <f t="shared" si="429"/>
        <v>2078.9522000000102</v>
      </c>
      <c r="I7693" s="28">
        <f t="shared" si="430"/>
        <v>2115.8123000000001</v>
      </c>
      <c r="J7693" s="28">
        <f t="shared" si="431"/>
        <v>2146.0358999999999</v>
      </c>
      <c r="K7693" s="28">
        <f t="shared" si="432"/>
        <v>2200.3737999999898</v>
      </c>
      <c r="L7693" s="4"/>
      <c r="M7693" s="241">
        <v>2115.8123000000001</v>
      </c>
    </row>
    <row r="7694" spans="3:13" hidden="1" outlineLevel="1" x14ac:dyDescent="0.2">
      <c r="C7694" s="139">
        <v>283.59999999999599</v>
      </c>
      <c r="D7694" s="28">
        <f t="shared" si="425"/>
        <v>2268.7999999999679</v>
      </c>
      <c r="E7694" s="28">
        <f t="shared" si="426"/>
        <v>2126.99999999997</v>
      </c>
      <c r="F7694" s="28">
        <f t="shared" si="427"/>
        <v>2108.99999999997</v>
      </c>
      <c r="G7694" s="28">
        <f t="shared" si="428"/>
        <v>2017.2106999999901</v>
      </c>
      <c r="H7694" s="28">
        <f t="shared" si="429"/>
        <v>2078.9522000000102</v>
      </c>
      <c r="I7694" s="28">
        <f t="shared" si="430"/>
        <v>2115.8123000000001</v>
      </c>
      <c r="J7694" s="28">
        <f t="shared" si="431"/>
        <v>2146.0358999999999</v>
      </c>
      <c r="K7694" s="28">
        <f t="shared" si="432"/>
        <v>2200.3737999999898</v>
      </c>
      <c r="L7694" s="4"/>
      <c r="M7694" s="241">
        <v>2115.8123000000001</v>
      </c>
    </row>
    <row r="7695" spans="3:13" hidden="1" outlineLevel="1" x14ac:dyDescent="0.2">
      <c r="C7695" s="139">
        <v>283.69999999999601</v>
      </c>
      <c r="D7695" s="28">
        <f t="shared" si="425"/>
        <v>2269.5999999999681</v>
      </c>
      <c r="E7695" s="28">
        <f t="shared" si="426"/>
        <v>2127.74999999997</v>
      </c>
      <c r="F7695" s="28">
        <f t="shared" si="427"/>
        <v>2109.74999999997</v>
      </c>
      <c r="G7695" s="28">
        <f t="shared" si="428"/>
        <v>2018.22539999999</v>
      </c>
      <c r="H7695" s="28">
        <f t="shared" si="429"/>
        <v>2079.93840000001</v>
      </c>
      <c r="I7695" s="28">
        <f t="shared" si="430"/>
        <v>2116.8159999999998</v>
      </c>
      <c r="J7695" s="28">
        <f t="shared" si="431"/>
        <v>2147.0540000000001</v>
      </c>
      <c r="K7695" s="28">
        <f t="shared" si="432"/>
        <v>2201.4175999999902</v>
      </c>
      <c r="L7695" s="4"/>
      <c r="M7695" s="241">
        <v>2116.8159999999998</v>
      </c>
    </row>
    <row r="7696" spans="3:13" hidden="1" outlineLevel="1" x14ac:dyDescent="0.2">
      <c r="C7696" s="139">
        <v>283.79999999999603</v>
      </c>
      <c r="D7696" s="28">
        <f t="shared" si="425"/>
        <v>2270.3999999999683</v>
      </c>
      <c r="E7696" s="28">
        <f t="shared" si="426"/>
        <v>2128.4999999999704</v>
      </c>
      <c r="F7696" s="28">
        <f t="shared" si="427"/>
        <v>2110.4999999999704</v>
      </c>
      <c r="G7696" s="28">
        <f t="shared" si="428"/>
        <v>2019.24009999999</v>
      </c>
      <c r="H7696" s="28">
        <f t="shared" si="429"/>
        <v>2080.9246000000098</v>
      </c>
      <c r="I7696" s="28">
        <f t="shared" si="430"/>
        <v>2117.8197</v>
      </c>
      <c r="J7696" s="28">
        <f t="shared" si="431"/>
        <v>2148.0720999999999</v>
      </c>
      <c r="K7696" s="28">
        <f t="shared" si="432"/>
        <v>2202.4613999999901</v>
      </c>
      <c r="L7696" s="4"/>
      <c r="M7696" s="241">
        <v>2117.8197</v>
      </c>
    </row>
    <row r="7697" spans="3:13" hidden="1" outlineLevel="1" x14ac:dyDescent="0.2">
      <c r="C7697" s="139">
        <v>283.89999999999606</v>
      </c>
      <c r="D7697" s="28">
        <f t="shared" si="425"/>
        <v>2271.1999999999684</v>
      </c>
      <c r="E7697" s="28">
        <f t="shared" si="426"/>
        <v>2129.2499999999704</v>
      </c>
      <c r="F7697" s="28">
        <f t="shared" si="427"/>
        <v>2111.2499999999704</v>
      </c>
      <c r="G7697" s="28">
        <f t="shared" si="428"/>
        <v>2020.2547999999899</v>
      </c>
      <c r="H7697" s="28">
        <f t="shared" si="429"/>
        <v>2081.9108000000101</v>
      </c>
      <c r="I7697" s="28">
        <f t="shared" si="430"/>
        <v>2118.8234000000002</v>
      </c>
      <c r="J7697" s="28">
        <f t="shared" si="431"/>
        <v>2149.0902000000001</v>
      </c>
      <c r="K7697" s="28">
        <f t="shared" si="432"/>
        <v>2203.5051999999901</v>
      </c>
      <c r="L7697" s="4"/>
      <c r="M7697" s="241">
        <v>2118.8234000000002</v>
      </c>
    </row>
    <row r="7698" spans="3:13" hidden="1" outlineLevel="1" x14ac:dyDescent="0.2">
      <c r="C7698" s="139">
        <v>283.99999999999608</v>
      </c>
      <c r="D7698" s="28">
        <f t="shared" si="425"/>
        <v>2271.9999999999686</v>
      </c>
      <c r="E7698" s="28">
        <f t="shared" si="426"/>
        <v>2129.9999999999704</v>
      </c>
      <c r="F7698" s="28">
        <f t="shared" si="427"/>
        <v>2111.9999999999704</v>
      </c>
      <c r="G7698" s="28">
        <f t="shared" si="428"/>
        <v>2020.2547999999899</v>
      </c>
      <c r="H7698" s="28">
        <f t="shared" si="429"/>
        <v>2081.9108000000101</v>
      </c>
      <c r="I7698" s="28">
        <f t="shared" si="430"/>
        <v>2118.8234000000002</v>
      </c>
      <c r="J7698" s="28">
        <f t="shared" si="431"/>
        <v>2149.0902000000001</v>
      </c>
      <c r="K7698" s="28">
        <f t="shared" si="432"/>
        <v>2203.5051999999901</v>
      </c>
      <c r="L7698" s="4"/>
      <c r="M7698" s="241">
        <v>2118.8234000000002</v>
      </c>
    </row>
    <row r="7699" spans="3:13" hidden="1" outlineLevel="1" x14ac:dyDescent="0.2">
      <c r="C7699" s="139">
        <v>284.0999999999961</v>
      </c>
      <c r="D7699" s="28">
        <f t="shared" si="425"/>
        <v>2272.7999999999688</v>
      </c>
      <c r="E7699" s="28">
        <f t="shared" si="426"/>
        <v>2130.7499999999709</v>
      </c>
      <c r="F7699" s="28">
        <f t="shared" si="427"/>
        <v>2112.7499999999709</v>
      </c>
      <c r="G7699" s="28">
        <f t="shared" si="428"/>
        <v>2021.2694999999901</v>
      </c>
      <c r="H7699" s="28">
        <f t="shared" si="429"/>
        <v>2082.8970000000099</v>
      </c>
      <c r="I7699" s="28">
        <f t="shared" si="430"/>
        <v>2119.8271</v>
      </c>
      <c r="J7699" s="28">
        <f t="shared" si="431"/>
        <v>2150.1082999999999</v>
      </c>
      <c r="K7699" s="28">
        <f t="shared" si="432"/>
        <v>2204.54899999999</v>
      </c>
      <c r="L7699" s="4"/>
      <c r="M7699" s="241">
        <v>2119.8271</v>
      </c>
    </row>
    <row r="7700" spans="3:13" hidden="1" outlineLevel="1" x14ac:dyDescent="0.2">
      <c r="C7700" s="139">
        <v>284.19999999999612</v>
      </c>
      <c r="D7700" s="28">
        <f t="shared" si="425"/>
        <v>2273.599999999969</v>
      </c>
      <c r="E7700" s="28">
        <f t="shared" si="426"/>
        <v>2131.4999999999709</v>
      </c>
      <c r="F7700" s="28">
        <f t="shared" si="427"/>
        <v>2113.4999999999709</v>
      </c>
      <c r="G7700" s="28">
        <f t="shared" si="428"/>
        <v>2022.2841999999901</v>
      </c>
      <c r="H7700" s="28">
        <f t="shared" si="429"/>
        <v>2083.8832000000102</v>
      </c>
      <c r="I7700" s="28">
        <f t="shared" si="430"/>
        <v>2120.8308000000002</v>
      </c>
      <c r="J7700" s="28">
        <f t="shared" si="431"/>
        <v>2151.1264000000001</v>
      </c>
      <c r="K7700" s="28">
        <f t="shared" si="432"/>
        <v>2205.5927999999899</v>
      </c>
      <c r="L7700" s="4"/>
      <c r="M7700" s="241">
        <v>2120.8308000000002</v>
      </c>
    </row>
    <row r="7701" spans="3:13" hidden="1" outlineLevel="1" x14ac:dyDescent="0.2">
      <c r="C7701" s="139">
        <v>284.29999999999615</v>
      </c>
      <c r="D7701" s="28">
        <f t="shared" si="425"/>
        <v>2274.3999999999692</v>
      </c>
      <c r="E7701" s="28">
        <f t="shared" si="426"/>
        <v>2132.2499999999709</v>
      </c>
      <c r="F7701" s="28">
        <f t="shared" si="427"/>
        <v>2114.2499999999709</v>
      </c>
      <c r="G7701" s="28">
        <f t="shared" si="428"/>
        <v>2023.29889999999</v>
      </c>
      <c r="H7701" s="28">
        <f t="shared" si="429"/>
        <v>2084.86940000001</v>
      </c>
      <c r="I7701" s="28">
        <f t="shared" si="430"/>
        <v>2121.8344999999999</v>
      </c>
      <c r="J7701" s="28">
        <f t="shared" si="431"/>
        <v>2152.1444999999999</v>
      </c>
      <c r="K7701" s="28">
        <f t="shared" si="432"/>
        <v>2206.6365999999898</v>
      </c>
      <c r="L7701" s="4"/>
      <c r="M7701" s="241">
        <v>2121.8344999999999</v>
      </c>
    </row>
    <row r="7702" spans="3:13" hidden="1" outlineLevel="1" x14ac:dyDescent="0.2">
      <c r="C7702" s="139">
        <v>284.39999999999617</v>
      </c>
      <c r="D7702" s="28">
        <f t="shared" si="425"/>
        <v>2275.1999999999694</v>
      </c>
      <c r="E7702" s="28">
        <f t="shared" si="426"/>
        <v>2132.9999999999714</v>
      </c>
      <c r="F7702" s="28">
        <f t="shared" si="427"/>
        <v>2114.9999999999714</v>
      </c>
      <c r="G7702" s="28">
        <f t="shared" si="428"/>
        <v>2023.29889999999</v>
      </c>
      <c r="H7702" s="28">
        <f t="shared" si="429"/>
        <v>2084.86940000001</v>
      </c>
      <c r="I7702" s="28">
        <f t="shared" si="430"/>
        <v>2121.8344999999999</v>
      </c>
      <c r="J7702" s="28">
        <f t="shared" si="431"/>
        <v>2152.1444999999999</v>
      </c>
      <c r="K7702" s="28">
        <f t="shared" si="432"/>
        <v>2206.6365999999898</v>
      </c>
      <c r="L7702" s="4"/>
      <c r="M7702" s="241">
        <v>2121.8344999999999</v>
      </c>
    </row>
    <row r="7703" spans="3:13" hidden="1" outlineLevel="1" x14ac:dyDescent="0.2">
      <c r="C7703" s="139">
        <v>284.49999999999619</v>
      </c>
      <c r="D7703" s="28">
        <f t="shared" si="425"/>
        <v>2275.9999999999695</v>
      </c>
      <c r="E7703" s="28">
        <f t="shared" si="426"/>
        <v>2133.7499999999714</v>
      </c>
      <c r="F7703" s="28">
        <f t="shared" si="427"/>
        <v>2115.7499999999714</v>
      </c>
      <c r="G7703" s="28">
        <f t="shared" si="428"/>
        <v>2024.3135999999899</v>
      </c>
      <c r="H7703" s="28">
        <f t="shared" si="429"/>
        <v>2085.8556000000099</v>
      </c>
      <c r="I7703" s="28">
        <f t="shared" si="430"/>
        <v>2122.8382000000001</v>
      </c>
      <c r="J7703" s="28">
        <f t="shared" si="431"/>
        <v>2153.1626000000001</v>
      </c>
      <c r="K7703" s="28">
        <f t="shared" si="432"/>
        <v>2207.6803999999902</v>
      </c>
      <c r="L7703" s="4"/>
      <c r="M7703" s="241">
        <v>2122.8382000000001</v>
      </c>
    </row>
    <row r="7704" spans="3:13" hidden="1" outlineLevel="1" x14ac:dyDescent="0.2">
      <c r="C7704" s="139">
        <v>284.59999999999621</v>
      </c>
      <c r="D7704" s="28">
        <f t="shared" si="425"/>
        <v>2276.7999999999697</v>
      </c>
      <c r="E7704" s="28">
        <f t="shared" si="426"/>
        <v>2134.4999999999718</v>
      </c>
      <c r="F7704" s="28">
        <f t="shared" si="427"/>
        <v>2116.4999999999718</v>
      </c>
      <c r="G7704" s="28">
        <f t="shared" si="428"/>
        <v>2025.3282999999899</v>
      </c>
      <c r="H7704" s="28">
        <f t="shared" si="429"/>
        <v>2086.8418000000102</v>
      </c>
      <c r="I7704" s="28">
        <f t="shared" si="430"/>
        <v>2123.8418999999999</v>
      </c>
      <c r="J7704" s="28">
        <f t="shared" si="431"/>
        <v>2154.1806999999999</v>
      </c>
      <c r="K7704" s="28">
        <f t="shared" si="432"/>
        <v>2208.7241999999901</v>
      </c>
      <c r="L7704" s="4"/>
      <c r="M7704" s="241">
        <v>2123.8418999999999</v>
      </c>
    </row>
    <row r="7705" spans="3:13" hidden="1" outlineLevel="1" x14ac:dyDescent="0.2">
      <c r="C7705" s="139">
        <v>284.69999999999624</v>
      </c>
      <c r="D7705" s="28">
        <f t="shared" si="425"/>
        <v>2277.5999999999699</v>
      </c>
      <c r="E7705" s="28">
        <f t="shared" si="426"/>
        <v>2135.2499999999718</v>
      </c>
      <c r="F7705" s="28">
        <f t="shared" si="427"/>
        <v>2117.2499999999718</v>
      </c>
      <c r="G7705" s="28">
        <f t="shared" si="428"/>
        <v>2026.3429999999901</v>
      </c>
      <c r="H7705" s="28">
        <f t="shared" si="429"/>
        <v>2087.82800000001</v>
      </c>
      <c r="I7705" s="28">
        <f t="shared" si="430"/>
        <v>2124.8456000000001</v>
      </c>
      <c r="J7705" s="28">
        <f t="shared" si="431"/>
        <v>2155.1988000000001</v>
      </c>
      <c r="K7705" s="28">
        <f t="shared" si="432"/>
        <v>2209.76799999999</v>
      </c>
      <c r="L7705" s="4"/>
      <c r="M7705" s="241">
        <v>2124.8456000000001</v>
      </c>
    </row>
    <row r="7706" spans="3:13" hidden="1" outlineLevel="1" x14ac:dyDescent="0.2">
      <c r="C7706" s="139">
        <v>284.79999999999626</v>
      </c>
      <c r="D7706" s="28">
        <f t="shared" si="425"/>
        <v>2278.3999999999701</v>
      </c>
      <c r="E7706" s="28">
        <f t="shared" si="426"/>
        <v>2135.9999999999718</v>
      </c>
      <c r="F7706" s="28">
        <f t="shared" si="427"/>
        <v>2117.9999999999718</v>
      </c>
      <c r="G7706" s="28">
        <f t="shared" si="428"/>
        <v>2026.3429999999901</v>
      </c>
      <c r="H7706" s="28">
        <f t="shared" si="429"/>
        <v>2087.82800000001</v>
      </c>
      <c r="I7706" s="28">
        <f t="shared" si="430"/>
        <v>2124.8456000000001</v>
      </c>
      <c r="J7706" s="28">
        <f t="shared" si="431"/>
        <v>2155.1988000000001</v>
      </c>
      <c r="K7706" s="28">
        <f t="shared" si="432"/>
        <v>2209.76799999999</v>
      </c>
      <c r="L7706" s="4"/>
      <c r="M7706" s="241">
        <v>2124.8456000000001</v>
      </c>
    </row>
    <row r="7707" spans="3:13" hidden="1" outlineLevel="1" x14ac:dyDescent="0.2">
      <c r="C7707" s="139">
        <v>284.89999999999628</v>
      </c>
      <c r="D7707" s="28">
        <f t="shared" si="425"/>
        <v>2279.1999999999703</v>
      </c>
      <c r="E7707" s="28">
        <f t="shared" si="426"/>
        <v>2136.7499999999723</v>
      </c>
      <c r="F7707" s="28">
        <f t="shared" si="427"/>
        <v>2118.7499999999723</v>
      </c>
      <c r="G7707" s="28">
        <f t="shared" si="428"/>
        <v>2027.35769999999</v>
      </c>
      <c r="H7707" s="28">
        <f t="shared" si="429"/>
        <v>2088.8142000000098</v>
      </c>
      <c r="I7707" s="28">
        <f t="shared" si="430"/>
        <v>2125.8492999999999</v>
      </c>
      <c r="J7707" s="28">
        <f t="shared" si="431"/>
        <v>2156.2168999999999</v>
      </c>
      <c r="K7707" s="28">
        <f t="shared" si="432"/>
        <v>2210.8117999999899</v>
      </c>
      <c r="L7707" s="4"/>
      <c r="M7707" s="241">
        <v>2125.8492999999999</v>
      </c>
    </row>
    <row r="7708" spans="3:13" hidden="1" outlineLevel="1" x14ac:dyDescent="0.2">
      <c r="C7708" s="139">
        <v>284.99999999999631</v>
      </c>
      <c r="D7708" s="28">
        <f t="shared" si="425"/>
        <v>2279.9999999999704</v>
      </c>
      <c r="E7708" s="28">
        <f t="shared" si="426"/>
        <v>2137.4999999999723</v>
      </c>
      <c r="F7708" s="28">
        <f t="shared" si="427"/>
        <v>2119.4999999999723</v>
      </c>
      <c r="G7708" s="28">
        <f t="shared" si="428"/>
        <v>2028.37239999999</v>
      </c>
      <c r="H7708" s="28">
        <f t="shared" si="429"/>
        <v>2089.8004000000101</v>
      </c>
      <c r="I7708" s="28">
        <f t="shared" si="430"/>
        <v>2126.8530000000001</v>
      </c>
      <c r="J7708" s="28">
        <f t="shared" si="431"/>
        <v>2157.2350000000001</v>
      </c>
      <c r="K7708" s="28">
        <f t="shared" si="432"/>
        <v>2211.8555999999899</v>
      </c>
      <c r="L7708" s="4"/>
      <c r="M7708" s="241">
        <v>2126.8530000000001</v>
      </c>
    </row>
    <row r="7709" spans="3:13" hidden="1" outlineLevel="1" x14ac:dyDescent="0.2">
      <c r="C7709" s="139">
        <v>285.09999999999633</v>
      </c>
      <c r="D7709" s="28">
        <f t="shared" si="425"/>
        <v>2280.7999999999706</v>
      </c>
      <c r="E7709" s="28">
        <f t="shared" si="426"/>
        <v>2138.2499999999723</v>
      </c>
      <c r="F7709" s="28">
        <f t="shared" si="427"/>
        <v>2120.2499999999723</v>
      </c>
      <c r="G7709" s="28">
        <f t="shared" si="428"/>
        <v>2029.3870999999899</v>
      </c>
      <c r="H7709" s="28">
        <f t="shared" si="429"/>
        <v>2090.7866000000099</v>
      </c>
      <c r="I7709" s="28">
        <f t="shared" si="430"/>
        <v>2127.8566999999998</v>
      </c>
      <c r="J7709" s="28">
        <f t="shared" si="431"/>
        <v>2158.2530999999999</v>
      </c>
      <c r="K7709" s="28">
        <f t="shared" si="432"/>
        <v>2212.8993999999898</v>
      </c>
      <c r="L7709" s="4"/>
      <c r="M7709" s="241">
        <v>2127.8566999999998</v>
      </c>
    </row>
    <row r="7710" spans="3:13" hidden="1" outlineLevel="1" x14ac:dyDescent="0.2">
      <c r="C7710" s="139">
        <v>285.19999999999635</v>
      </c>
      <c r="D7710" s="28">
        <f t="shared" si="425"/>
        <v>2281.5999999999708</v>
      </c>
      <c r="E7710" s="28">
        <f t="shared" si="426"/>
        <v>2138.9999999999727</v>
      </c>
      <c r="F7710" s="28">
        <f t="shared" si="427"/>
        <v>2120.9999999999727</v>
      </c>
      <c r="G7710" s="28">
        <f t="shared" si="428"/>
        <v>2029.3870999999899</v>
      </c>
      <c r="H7710" s="28">
        <f t="shared" si="429"/>
        <v>2090.7866000000099</v>
      </c>
      <c r="I7710" s="28">
        <f t="shared" si="430"/>
        <v>2127.8566999999998</v>
      </c>
      <c r="J7710" s="28">
        <f t="shared" si="431"/>
        <v>2158.2530999999999</v>
      </c>
      <c r="K7710" s="28">
        <f t="shared" si="432"/>
        <v>2212.8993999999898</v>
      </c>
      <c r="L7710" s="4"/>
      <c r="M7710" s="241">
        <v>2127.8566999999998</v>
      </c>
    </row>
    <row r="7711" spans="3:13" hidden="1" outlineLevel="1" x14ac:dyDescent="0.2">
      <c r="C7711" s="139">
        <v>285.29999999999637</v>
      </c>
      <c r="D7711" s="28">
        <f t="shared" si="425"/>
        <v>2282.399999999971</v>
      </c>
      <c r="E7711" s="28">
        <f t="shared" si="426"/>
        <v>2139.7499999999727</v>
      </c>
      <c r="F7711" s="28">
        <f t="shared" si="427"/>
        <v>2121.7499999999727</v>
      </c>
      <c r="G7711" s="28">
        <f t="shared" si="428"/>
        <v>2030.4017999999901</v>
      </c>
      <c r="H7711" s="28">
        <f t="shared" si="429"/>
        <v>2091.7728000000102</v>
      </c>
      <c r="I7711" s="28">
        <f t="shared" si="430"/>
        <v>2128.8604</v>
      </c>
      <c r="J7711" s="28">
        <f t="shared" si="431"/>
        <v>2159.2712000000001</v>
      </c>
      <c r="K7711" s="28">
        <f t="shared" si="432"/>
        <v>2213.9431999999902</v>
      </c>
      <c r="L7711" s="4"/>
      <c r="M7711" s="241">
        <v>2128.8604</v>
      </c>
    </row>
    <row r="7712" spans="3:13" hidden="1" outlineLevel="1" x14ac:dyDescent="0.2">
      <c r="C7712" s="139">
        <v>285.3999999999964</v>
      </c>
      <c r="D7712" s="28">
        <f t="shared" si="425"/>
        <v>2283.1999999999712</v>
      </c>
      <c r="E7712" s="28">
        <f t="shared" si="426"/>
        <v>2140.4999999999732</v>
      </c>
      <c r="F7712" s="28">
        <f t="shared" si="427"/>
        <v>2122.4999999999732</v>
      </c>
      <c r="G7712" s="28">
        <f t="shared" si="428"/>
        <v>2031.41649999999</v>
      </c>
      <c r="H7712" s="28">
        <f t="shared" si="429"/>
        <v>2092.75900000001</v>
      </c>
      <c r="I7712" s="28">
        <f t="shared" si="430"/>
        <v>2129.8640999999998</v>
      </c>
      <c r="J7712" s="28">
        <f t="shared" si="431"/>
        <v>2160.2892999999999</v>
      </c>
      <c r="K7712" s="28">
        <f t="shared" si="432"/>
        <v>2214.9869999999901</v>
      </c>
      <c r="L7712" s="4"/>
      <c r="M7712" s="241">
        <v>2129.8640999999998</v>
      </c>
    </row>
    <row r="7713" spans="3:13" hidden="1" outlineLevel="1" x14ac:dyDescent="0.2">
      <c r="C7713" s="139">
        <v>285.49999999999642</v>
      </c>
      <c r="D7713" s="28">
        <f t="shared" si="425"/>
        <v>2283.9999999999714</v>
      </c>
      <c r="E7713" s="28">
        <f t="shared" si="426"/>
        <v>2141.2499999999732</v>
      </c>
      <c r="F7713" s="28">
        <f t="shared" si="427"/>
        <v>2123.2499999999732</v>
      </c>
      <c r="G7713" s="28">
        <f t="shared" si="428"/>
        <v>2032.43119999999</v>
      </c>
      <c r="H7713" s="28">
        <f t="shared" si="429"/>
        <v>2093.7452000000098</v>
      </c>
      <c r="I7713" s="28">
        <f t="shared" si="430"/>
        <v>2130.8678</v>
      </c>
      <c r="J7713" s="28">
        <f t="shared" si="431"/>
        <v>2161.3074000000001</v>
      </c>
      <c r="K7713" s="28">
        <f t="shared" si="432"/>
        <v>2216.03079999999</v>
      </c>
      <c r="L7713" s="4"/>
      <c r="M7713" s="241">
        <v>2130.8678</v>
      </c>
    </row>
    <row r="7714" spans="3:13" hidden="1" outlineLevel="1" x14ac:dyDescent="0.2">
      <c r="C7714" s="139">
        <v>285.59999999999644</v>
      </c>
      <c r="D7714" s="28">
        <f t="shared" si="425"/>
        <v>2284.7999999999715</v>
      </c>
      <c r="E7714" s="28">
        <f t="shared" si="426"/>
        <v>2141.9999999999732</v>
      </c>
      <c r="F7714" s="28">
        <f t="shared" si="427"/>
        <v>2123.9999999999732</v>
      </c>
      <c r="G7714" s="28">
        <f t="shared" si="428"/>
        <v>2032.43119999999</v>
      </c>
      <c r="H7714" s="28">
        <f t="shared" si="429"/>
        <v>2093.7452000000098</v>
      </c>
      <c r="I7714" s="28">
        <f t="shared" si="430"/>
        <v>2130.8678</v>
      </c>
      <c r="J7714" s="28">
        <f t="shared" si="431"/>
        <v>2161.3074000000001</v>
      </c>
      <c r="K7714" s="28">
        <f t="shared" si="432"/>
        <v>2216.03079999999</v>
      </c>
      <c r="L7714" s="4"/>
      <c r="M7714" s="241">
        <v>2130.8678</v>
      </c>
    </row>
    <row r="7715" spans="3:13" hidden="1" outlineLevel="1" x14ac:dyDescent="0.2">
      <c r="C7715" s="139">
        <v>285.69999999999646</v>
      </c>
      <c r="D7715" s="28">
        <f t="shared" si="425"/>
        <v>2285.5999999999717</v>
      </c>
      <c r="E7715" s="28">
        <f t="shared" si="426"/>
        <v>2142.7499999999736</v>
      </c>
      <c r="F7715" s="28">
        <f t="shared" si="427"/>
        <v>2124.7499999999736</v>
      </c>
      <c r="G7715" s="28">
        <f t="shared" si="428"/>
        <v>2033.4458999999899</v>
      </c>
      <c r="H7715" s="28">
        <f t="shared" si="429"/>
        <v>2094.7314000000101</v>
      </c>
      <c r="I7715" s="28">
        <f t="shared" si="430"/>
        <v>2131.8715000000002</v>
      </c>
      <c r="J7715" s="28">
        <f t="shared" si="431"/>
        <v>2162.3254999999999</v>
      </c>
      <c r="K7715" s="28">
        <f t="shared" si="432"/>
        <v>2217.0745999999899</v>
      </c>
      <c r="L7715" s="4"/>
      <c r="M7715" s="241">
        <v>2131.8715000000002</v>
      </c>
    </row>
    <row r="7716" spans="3:13" hidden="1" outlineLevel="1" x14ac:dyDescent="0.2">
      <c r="C7716" s="139">
        <v>285.79999999999649</v>
      </c>
      <c r="D7716" s="28">
        <f t="shared" si="425"/>
        <v>2286.3999999999719</v>
      </c>
      <c r="E7716" s="28">
        <f t="shared" si="426"/>
        <v>2143.4999999999736</v>
      </c>
      <c r="F7716" s="28">
        <f t="shared" si="427"/>
        <v>2125.4999999999736</v>
      </c>
      <c r="G7716" s="28">
        <f t="shared" si="428"/>
        <v>2034.4605999999901</v>
      </c>
      <c r="H7716" s="28">
        <f t="shared" si="429"/>
        <v>2095.71760000001</v>
      </c>
      <c r="I7716" s="28">
        <f t="shared" si="430"/>
        <v>2132.8751999999999</v>
      </c>
      <c r="J7716" s="28">
        <f t="shared" si="431"/>
        <v>2163.3436000000002</v>
      </c>
      <c r="K7716" s="28">
        <f t="shared" si="432"/>
        <v>2218.1183999999898</v>
      </c>
      <c r="L7716" s="4"/>
      <c r="M7716" s="241">
        <v>2132.8751999999999</v>
      </c>
    </row>
    <row r="7717" spans="3:13" collapsed="1" x14ac:dyDescent="0.2">
      <c r="C7717" s="139">
        <v>285.89999999999651</v>
      </c>
      <c r="D7717" s="28">
        <f t="shared" si="425"/>
        <v>2287.1999999999721</v>
      </c>
      <c r="E7717" s="28">
        <f t="shared" si="426"/>
        <v>2144.2499999999736</v>
      </c>
      <c r="F7717" s="28">
        <f t="shared" si="427"/>
        <v>2126.2499999999736</v>
      </c>
      <c r="G7717" s="28">
        <f t="shared" si="428"/>
        <v>2035.4752999999901</v>
      </c>
      <c r="H7717" s="28">
        <f t="shared" si="429"/>
        <v>2096.7038000000098</v>
      </c>
      <c r="I7717" s="28">
        <f t="shared" si="430"/>
        <v>2133.8789000000002</v>
      </c>
      <c r="J7717" s="28">
        <f t="shared" si="431"/>
        <v>2164.3616999999999</v>
      </c>
      <c r="K7717" s="28">
        <f t="shared" si="432"/>
        <v>2219.1621999999902</v>
      </c>
      <c r="L7717" s="4"/>
      <c r="M7717" s="241">
        <v>2133.8789000000002</v>
      </c>
    </row>
    <row r="7718" spans="3:13" x14ac:dyDescent="0.2">
      <c r="C7718" s="138" t="s">
        <v>394</v>
      </c>
      <c r="D7718" s="138"/>
      <c r="E7718" s="138"/>
      <c r="F7718" s="138"/>
      <c r="G7718"/>
      <c r="H7718"/>
      <c r="I7718"/>
      <c r="J7718"/>
      <c r="K7718"/>
      <c r="L7718" s="88" t="s">
        <v>393</v>
      </c>
      <c r="M7718" s="88" t="s">
        <v>1257</v>
      </c>
    </row>
  </sheetData>
  <mergeCells count="1">
    <mergeCell ref="D7:H7"/>
  </mergeCells>
  <pageMargins left="0.70866141732283472" right="0.70866141732283472" top="0.51181102362204722" bottom="0.51181102362204722" header="0.51181102362204722" footer="0.35433070866141736"/>
  <pageSetup paperSize="9" orientation="landscape" horizontalDpi="4294967292" verticalDpi="4294967292" r:id="rId1"/>
  <headerFooter alignWithMargins="0">
    <oddFooter xml:space="preserve">&amp;L&amp;F : &amp;A&amp;CPrinted at &amp;T on &amp;D&amp;RCommercial in confidence © Analysys Mason </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pageSetUpPr autoPageBreaks="0"/>
  </sheetPr>
  <dimension ref="A1:J1"/>
  <sheetViews>
    <sheetView zoomScale="120" zoomScaleNormal="120" workbookViewId="0"/>
  </sheetViews>
  <sheetFormatPr baseColWidth="10" defaultColWidth="0" defaultRowHeight="12" zeroHeight="1" x14ac:dyDescent="0.2"/>
  <cols>
    <col min="1" max="1" width="6.7109375" style="81" customWidth="1"/>
    <col min="2" max="2" width="12.7109375" style="81" customWidth="1"/>
    <col min="3" max="3" width="19.5703125" style="81" customWidth="1"/>
    <col min="4" max="10" width="12.7109375" style="81" customWidth="1"/>
    <col min="11" max="16384" width="12.7109375" style="81" hidden="1"/>
  </cols>
  <sheetData>
    <row r="1" spans="4:4" s="145" customFormat="1" ht="45" customHeight="1" x14ac:dyDescent="0.2">
      <c r="D1" s="146" t="s">
        <v>1908</v>
      </c>
    </row>
  </sheetData>
  <pageMargins left="0.70866141732283472" right="0.70866141732283472" top="0.51181102362204722" bottom="0.51181102362204722" header="0.51181102362204722" footer="0.35433070866141736"/>
  <pageSetup paperSize="9" orientation="landscape" horizontalDpi="4294967292" verticalDpi="4294967292" r:id="rId1"/>
  <headerFooter alignWithMargins="0">
    <oddFooter xml:space="preserve">&amp;L&amp;F : &amp;A&amp;CPrinted at &amp;T on &amp;D&amp;RCommercial in confidence © Analysys Mason </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autoPageBreaks="0"/>
  </sheetPr>
  <dimension ref="A1:BD322"/>
  <sheetViews>
    <sheetView showGridLines="0" defaultGridColor="0" colorId="22" zoomScale="120" zoomScaleNormal="120" workbookViewId="0">
      <pane xSplit="5" ySplit="3" topLeftCell="F4" activePane="bottomRight" state="frozen"/>
      <selection pane="topRight"/>
      <selection pane="bottomLeft"/>
      <selection pane="bottomRight" activeCell="F4" sqref="F4"/>
    </sheetView>
  </sheetViews>
  <sheetFormatPr baseColWidth="10" defaultColWidth="12.7109375" defaultRowHeight="12" outlineLevelRow="1" x14ac:dyDescent="0.2"/>
  <cols>
    <col min="1" max="2" width="6.7109375" style="1" customWidth="1"/>
    <col min="3" max="3" width="32.7109375" style="1" customWidth="1"/>
    <col min="4" max="4" width="31.42578125" style="1" customWidth="1"/>
    <col min="5" max="16384" width="12.7109375" style="1"/>
  </cols>
  <sheetData>
    <row r="1" spans="1:55" s="2" customFormat="1" ht="45" customHeight="1" x14ac:dyDescent="0.2">
      <c r="D1" s="3" t="s">
        <v>923</v>
      </c>
    </row>
    <row r="2" spans="1:55" x14ac:dyDescent="0.2">
      <c r="A2"/>
      <c r="B2"/>
      <c r="C2"/>
      <c r="D2"/>
      <c r="E2" s="5" t="s">
        <v>3</v>
      </c>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row>
    <row r="3" spans="1:55" x14ac:dyDescent="0.2">
      <c r="A3"/>
      <c r="B3"/>
      <c r="C3"/>
      <c r="D3"/>
      <c r="E3" t="str">
        <f>IF(SUM(E4:E321)&lt;&gt;0,"ERROR","Correcto")</f>
        <v>Correcto</v>
      </c>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row>
    <row r="4" spans="1:55" ht="15.75" x14ac:dyDescent="0.2">
      <c r="A4" s="171" t="s">
        <v>924</v>
      </c>
      <c r="B4" s="171"/>
      <c r="C4" s="171"/>
      <c r="D4" s="171"/>
      <c r="E4" s="171"/>
      <c r="F4" s="171"/>
      <c r="G4" s="171"/>
      <c r="H4" s="171"/>
      <c r="I4" s="171"/>
      <c r="J4" s="171"/>
      <c r="K4" s="171"/>
      <c r="L4" s="171"/>
      <c r="M4" s="171"/>
      <c r="N4" s="171"/>
      <c r="O4" s="171"/>
      <c r="P4" s="171"/>
      <c r="Q4" s="171"/>
      <c r="R4" s="171"/>
      <c r="S4" s="171"/>
      <c r="T4" s="171"/>
      <c r="U4" s="171"/>
      <c r="V4" s="171"/>
      <c r="W4" s="171"/>
      <c r="X4" s="171"/>
      <c r="Y4" s="171"/>
      <c r="Z4" s="171"/>
      <c r="AA4" s="171"/>
      <c r="AB4" s="171"/>
      <c r="AC4" s="171"/>
      <c r="AD4" s="171"/>
      <c r="AE4" s="171"/>
      <c r="AF4" s="171"/>
      <c r="AG4" s="171"/>
      <c r="AH4" s="171"/>
      <c r="AI4" s="171"/>
      <c r="AJ4" s="171"/>
      <c r="AK4" s="171"/>
      <c r="AL4" s="171"/>
      <c r="AM4" s="171"/>
      <c r="AN4" s="171"/>
      <c r="AO4" s="171"/>
      <c r="AP4" s="171"/>
      <c r="AQ4" s="171"/>
      <c r="AR4" s="171"/>
      <c r="AS4" s="171"/>
      <c r="AT4" s="171"/>
      <c r="AU4" s="171"/>
      <c r="AV4" s="171"/>
      <c r="AW4" s="171"/>
      <c r="AX4" s="171"/>
      <c r="AY4" s="171"/>
      <c r="AZ4" s="171"/>
      <c r="BA4" s="171"/>
      <c r="BB4" s="171"/>
      <c r="BC4" s="171"/>
    </row>
    <row r="5" spans="1:55" customFormat="1" x14ac:dyDescent="0.2"/>
    <row r="6" spans="1:55" ht="15.75" x14ac:dyDescent="0.2">
      <c r="A6"/>
      <c r="B6" s="52" t="s">
        <v>925</v>
      </c>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row>
    <row r="7" spans="1:55" x14ac:dyDescent="0.2">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row>
    <row r="8" spans="1:55" x14ac:dyDescent="0.2">
      <c r="A8"/>
      <c r="B8"/>
      <c r="C8" s="10" t="s">
        <v>926</v>
      </c>
      <c r="D8" s="4"/>
      <c r="E8" s="11"/>
      <c r="F8" s="207" t="s">
        <v>118</v>
      </c>
      <c r="G8" s="207" t="s">
        <v>117</v>
      </c>
      <c r="H8" s="207" t="s">
        <v>421</v>
      </c>
      <c r="I8"/>
      <c r="J8"/>
      <c r="K8"/>
      <c r="L8"/>
      <c r="M8"/>
      <c r="N8"/>
      <c r="O8"/>
      <c r="P8"/>
      <c r="Q8"/>
      <c r="R8"/>
      <c r="S8"/>
      <c r="T8"/>
      <c r="U8"/>
      <c r="V8"/>
      <c r="W8"/>
      <c r="X8"/>
      <c r="Y8"/>
      <c r="Z8"/>
      <c r="AA8"/>
      <c r="AB8"/>
      <c r="AC8"/>
      <c r="AD8"/>
      <c r="AE8"/>
      <c r="AF8"/>
      <c r="AG8"/>
      <c r="AH8"/>
      <c r="AI8"/>
      <c r="AJ8"/>
      <c r="AK8"/>
      <c r="AL8"/>
      <c r="AM8"/>
      <c r="AN8"/>
      <c r="AO8"/>
      <c r="AP8"/>
      <c r="AQ8"/>
      <c r="AR8"/>
      <c r="AS8"/>
      <c r="AT8"/>
      <c r="AU8"/>
      <c r="AV8"/>
      <c r="AW8"/>
      <c r="AX8"/>
    </row>
    <row r="9" spans="1:55" x14ac:dyDescent="0.2">
      <c r="A9"/>
      <c r="B9"/>
      <c r="C9" s="12" t="s">
        <v>927</v>
      </c>
      <c r="D9"/>
      <c r="E9"/>
      <c r="F9" s="13">
        <v>60</v>
      </c>
      <c r="G9" s="209">
        <f>$F9</f>
        <v>60</v>
      </c>
      <c r="H9" s="209">
        <f>$F9</f>
        <v>60</v>
      </c>
      <c r="I9"/>
      <c r="J9"/>
      <c r="K9"/>
      <c r="L9"/>
      <c r="M9"/>
      <c r="N9"/>
      <c r="O9"/>
      <c r="P9"/>
      <c r="Q9"/>
      <c r="R9"/>
      <c r="S9"/>
      <c r="T9"/>
      <c r="U9"/>
      <c r="V9"/>
      <c r="W9"/>
      <c r="X9"/>
      <c r="Y9"/>
      <c r="Z9"/>
      <c r="AA9"/>
      <c r="AB9"/>
      <c r="AC9"/>
      <c r="AD9"/>
      <c r="AE9"/>
      <c r="AF9"/>
      <c r="AG9"/>
      <c r="AH9"/>
      <c r="AI9"/>
      <c r="AJ9"/>
      <c r="AK9"/>
      <c r="AL9"/>
      <c r="AM9"/>
      <c r="AN9"/>
      <c r="AO9"/>
      <c r="AP9"/>
      <c r="AQ9"/>
      <c r="AR9"/>
      <c r="AS9"/>
      <c r="AT9"/>
      <c r="AU9"/>
      <c r="AV9"/>
      <c r="AW9"/>
      <c r="AX9"/>
    </row>
    <row r="10" spans="1:55" x14ac:dyDescent="0.2">
      <c r="A10"/>
      <c r="B10"/>
      <c r="C10" s="12" t="s">
        <v>928</v>
      </c>
      <c r="D10"/>
      <c r="E10"/>
      <c r="F10" s="54">
        <f>767*Bits.per.byte</f>
        <v>6136</v>
      </c>
      <c r="G10" s="43">
        <v>16000</v>
      </c>
      <c r="H10" s="81"/>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row>
    <row r="11" spans="1:55" x14ac:dyDescent="0.2">
      <c r="A11"/>
      <c r="B11"/>
      <c r="C11" s="12" t="s">
        <v>929</v>
      </c>
      <c r="D11"/>
      <c r="E11"/>
      <c r="F11" s="13">
        <v>60</v>
      </c>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row>
    <row r="12" spans="1:55" x14ac:dyDescent="0.2">
      <c r="A12"/>
      <c r="B12"/>
      <c r="C12" s="12" t="s">
        <v>18</v>
      </c>
      <c r="D12"/>
      <c r="E12"/>
      <c r="F12" s="13">
        <v>8</v>
      </c>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row>
    <row r="13" spans="1:55" x14ac:dyDescent="0.2">
      <c r="A13"/>
      <c r="B13"/>
      <c r="C13" s="12" t="s">
        <v>930</v>
      </c>
      <c r="D13"/>
      <c r="E13"/>
      <c r="F13" s="208">
        <f>F10*seconds.per.minute/Bits.per.byte/F9</f>
        <v>767</v>
      </c>
      <c r="G13" s="210">
        <f>G10*seconds.per.minute/Bits.per.byte/G9</f>
        <v>2000</v>
      </c>
      <c r="H13" s="211">
        <f>$M$23*1000^2/H9</f>
        <v>70626.39508928571</v>
      </c>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row>
    <row r="14" spans="1:55" x14ac:dyDescent="0.2">
      <c r="A14"/>
      <c r="B14"/>
      <c r="C14" s="12" t="s">
        <v>19</v>
      </c>
      <c r="D14"/>
      <c r="E14"/>
      <c r="F14" s="53">
        <f>1/F13</f>
        <v>1.3037809647979139E-3</v>
      </c>
      <c r="G14" s="53">
        <f>1/G13</f>
        <v>5.0000000000000001E-4</v>
      </c>
      <c r="H14" s="53">
        <f>IF(H13=0,0,1/H13)</f>
        <v>1.4159012345679013E-5</v>
      </c>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row>
    <row r="15" spans="1:55" x14ac:dyDescent="0.2">
      <c r="A15"/>
      <c r="B15"/>
      <c r="C15"/>
      <c r="D15"/>
      <c r="E15"/>
      <c r="F15" s="8" t="s">
        <v>59</v>
      </c>
      <c r="G15" s="88" t="s">
        <v>60</v>
      </c>
      <c r="H15" s="88" t="s">
        <v>450</v>
      </c>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row>
    <row r="16" spans="1:55"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row>
    <row r="17" spans="1:50" x14ac:dyDescent="0.2">
      <c r="A17" s="14"/>
      <c r="B17"/>
      <c r="C17" s="10" t="s">
        <v>931</v>
      </c>
      <c r="D17" s="4"/>
      <c r="E17" s="4"/>
      <c r="F17" s="5" t="s">
        <v>6</v>
      </c>
      <c r="G17" s="15"/>
      <c r="H17" s="5" t="s">
        <v>54</v>
      </c>
      <c r="I17" s="4"/>
      <c r="J17" s="5" t="s">
        <v>8</v>
      </c>
      <c r="M17" s="204" t="s">
        <v>421</v>
      </c>
      <c r="N17"/>
      <c r="O17"/>
      <c r="P17"/>
      <c r="Q17"/>
      <c r="Y17"/>
      <c r="Z17"/>
      <c r="AA17"/>
      <c r="AB17" s="4"/>
      <c r="AC17" s="4"/>
      <c r="AD17" s="4"/>
      <c r="AE17" s="4"/>
      <c r="AF17" s="4"/>
      <c r="AG17" s="4"/>
      <c r="AH17" s="4"/>
      <c r="AI17" s="4"/>
      <c r="AJ17" s="4"/>
      <c r="AK17" s="4"/>
      <c r="AL17" s="4"/>
      <c r="AM17" s="4"/>
      <c r="AN17" s="4"/>
      <c r="AO17" s="4"/>
      <c r="AP17" s="4"/>
      <c r="AQ17" s="4"/>
      <c r="AR17" s="4"/>
      <c r="AS17" s="4"/>
      <c r="AT17" s="4"/>
      <c r="AU17" s="4"/>
      <c r="AV17" s="4"/>
      <c r="AW17" s="4"/>
      <c r="AX17" s="4"/>
    </row>
    <row r="18" spans="1:50" ht="12.75" x14ac:dyDescent="0.2">
      <c r="A18" s="14"/>
      <c r="B18"/>
      <c r="C18" s="12" t="s">
        <v>932</v>
      </c>
      <c r="D18"/>
      <c r="E18" s="16"/>
      <c r="F18" s="18">
        <f>NetworkDemand!$G$258</f>
        <v>0.7</v>
      </c>
      <c r="G18" s="19"/>
      <c r="H18" s="18">
        <f>NetworkDemand!$G$259</f>
        <v>0.75</v>
      </c>
      <c r="I18" s="4"/>
      <c r="J18" s="18">
        <f>NetworkDemand!$G$260</f>
        <v>1</v>
      </c>
      <c r="M18" s="18">
        <f>NetworkDemand!$G$262</f>
        <v>0.8</v>
      </c>
      <c r="N18"/>
      <c r="O18"/>
      <c r="P18"/>
      <c r="Q18"/>
      <c r="Y18"/>
      <c r="Z18"/>
      <c r="AA18"/>
      <c r="AB18" s="4"/>
      <c r="AC18" s="4"/>
      <c r="AD18" s="4"/>
      <c r="AE18" s="4"/>
      <c r="AF18" s="4"/>
      <c r="AG18" s="4"/>
      <c r="AH18" s="4"/>
      <c r="AI18" s="4"/>
      <c r="AJ18" s="4"/>
      <c r="AK18" s="4"/>
      <c r="AL18" s="4"/>
      <c r="AM18" s="4"/>
      <c r="AN18" s="4"/>
      <c r="AO18" s="4"/>
      <c r="AP18" s="4"/>
      <c r="AQ18" s="4"/>
      <c r="AR18" s="4"/>
      <c r="AS18" s="4"/>
      <c r="AT18" s="4"/>
      <c r="AU18" s="4"/>
      <c r="AV18" s="4"/>
      <c r="AW18" s="4"/>
      <c r="AX18" s="4"/>
    </row>
    <row r="19" spans="1:50" ht="12.75" x14ac:dyDescent="0.2">
      <c r="A19" s="14"/>
      <c r="B19"/>
      <c r="C19" s="12" t="s">
        <v>933</v>
      </c>
      <c r="D19"/>
      <c r="E19" s="16"/>
      <c r="F19" s="20">
        <v>0.12</v>
      </c>
      <c r="G19" s="19"/>
      <c r="H19" s="20">
        <v>0.12</v>
      </c>
      <c r="I19" s="4"/>
      <c r="J19" s="20">
        <v>0.12</v>
      </c>
      <c r="M19" s="20">
        <v>0.12</v>
      </c>
      <c r="N19"/>
      <c r="O19"/>
      <c r="P19"/>
      <c r="Q19"/>
      <c r="Y19"/>
      <c r="Z19"/>
      <c r="AA19"/>
      <c r="AB19" s="4"/>
      <c r="AC19" s="4"/>
      <c r="AD19" s="4"/>
      <c r="AE19" s="4"/>
      <c r="AF19" s="4"/>
      <c r="AG19" s="4"/>
      <c r="AH19" s="4"/>
      <c r="AI19" s="4"/>
      <c r="AJ19" s="4"/>
      <c r="AK19" s="4"/>
      <c r="AL19" s="4"/>
      <c r="AM19" s="4"/>
      <c r="AN19" s="4"/>
      <c r="AO19" s="4"/>
      <c r="AP19" s="4"/>
      <c r="AQ19" s="4"/>
      <c r="AR19" s="4"/>
      <c r="AS19" s="4"/>
      <c r="AT19" s="4"/>
      <c r="AU19" s="4"/>
      <c r="AV19" s="4"/>
      <c r="AW19" s="4"/>
      <c r="AX19" s="4"/>
    </row>
    <row r="20" spans="1:50" ht="12.75" x14ac:dyDescent="0.2">
      <c r="A20" s="14"/>
      <c r="B20"/>
      <c r="C20" s="12" t="s">
        <v>934</v>
      </c>
      <c r="D20"/>
      <c r="E20" s="16"/>
      <c r="F20" s="21">
        <f>GPRS.channel.rate/Kbits.per.Mbits</f>
        <v>2.34375E-2</v>
      </c>
      <c r="G20" s="22" t="s">
        <v>4</v>
      </c>
      <c r="H20" s="23">
        <f>UMTS.channel.rate</f>
        <v>1.6E-2</v>
      </c>
      <c r="I20" s="4"/>
      <c r="J20" s="23">
        <f>$K$27</f>
        <v>0.32968750000000002</v>
      </c>
      <c r="M20" s="23">
        <f>$N$27</f>
        <v>0.50624999999999998</v>
      </c>
      <c r="N20"/>
      <c r="O20"/>
      <c r="P20"/>
      <c r="Q20"/>
      <c r="Y20"/>
      <c r="Z20"/>
      <c r="AA20"/>
      <c r="AB20" s="4"/>
      <c r="AC20" s="4"/>
      <c r="AD20" s="4"/>
      <c r="AE20" s="4"/>
      <c r="AF20" s="4"/>
      <c r="AG20" s="4"/>
      <c r="AH20" s="4"/>
      <c r="AI20" s="4"/>
      <c r="AJ20" s="4"/>
      <c r="AK20" s="4"/>
      <c r="AL20" s="4"/>
      <c r="AM20" s="4"/>
      <c r="AN20" s="4"/>
      <c r="AO20" s="4"/>
      <c r="AP20" s="4"/>
      <c r="AQ20" s="4"/>
      <c r="AR20" s="4"/>
      <c r="AS20" s="4"/>
      <c r="AT20" s="4"/>
      <c r="AU20" s="4"/>
      <c r="AV20" s="4"/>
      <c r="AW20" s="4"/>
      <c r="AX20" s="4"/>
    </row>
    <row r="21" spans="1:50" ht="12.75" x14ac:dyDescent="0.2">
      <c r="A21" s="14"/>
      <c r="B21"/>
      <c r="C21" s="12" t="s">
        <v>935</v>
      </c>
      <c r="D21"/>
      <c r="E21" s="16"/>
      <c r="F21" s="213">
        <f>1*(1+F19)*F18*Bits.per.byte</f>
        <v>6.2720000000000002</v>
      </c>
      <c r="G21" s="19"/>
      <c r="H21" s="213">
        <f>1*(1+H19)*H18*Bits.per.byte</f>
        <v>6.7200000000000006</v>
      </c>
      <c r="I21" s="4"/>
      <c r="J21" s="213">
        <f>1*(1+J19)*J18*Bits.per.byte</f>
        <v>8.9600000000000009</v>
      </c>
      <c r="M21" s="213">
        <f>1*(1+M19)*M18*Bits.per.byte</f>
        <v>7.168000000000001</v>
      </c>
      <c r="N21"/>
      <c r="O21"/>
      <c r="P21"/>
      <c r="Q21"/>
      <c r="Y21"/>
      <c r="Z21"/>
      <c r="AA21"/>
      <c r="AB21" s="4"/>
      <c r="AC21" s="4"/>
      <c r="AD21" s="4"/>
      <c r="AE21" s="4"/>
      <c r="AF21" s="4"/>
      <c r="AG21" s="4"/>
      <c r="AH21" s="4"/>
      <c r="AI21" s="4"/>
      <c r="AJ21" s="4"/>
      <c r="AK21" s="4"/>
      <c r="AL21" s="4"/>
      <c r="AM21" s="4"/>
      <c r="AN21" s="4"/>
      <c r="AO21" s="4"/>
      <c r="AP21" s="4"/>
      <c r="AQ21" s="4"/>
      <c r="AR21" s="4"/>
      <c r="AS21" s="4"/>
      <c r="AT21" s="4"/>
      <c r="AU21" s="4"/>
      <c r="AV21" s="4"/>
      <c r="AW21" s="4"/>
      <c r="AX21" s="4"/>
    </row>
    <row r="22" spans="1:50" ht="12.75" x14ac:dyDescent="0.2">
      <c r="A22" s="14"/>
      <c r="B22"/>
      <c r="C22" s="12" t="s">
        <v>936</v>
      </c>
      <c r="D22"/>
      <c r="E22" s="16"/>
      <c r="F22" s="213">
        <f>1*F20*seconds.per.minute</f>
        <v>1.40625</v>
      </c>
      <c r="G22" s="19"/>
      <c r="H22" s="213">
        <f>1*H20*seconds.per.minute</f>
        <v>0.96</v>
      </c>
      <c r="I22" s="4"/>
      <c r="J22" s="213">
        <f>1*J20*seconds.per.minute</f>
        <v>19.78125</v>
      </c>
      <c r="M22" s="213">
        <f>1*M20*seconds.per.minute</f>
        <v>30.375</v>
      </c>
      <c r="N22"/>
      <c r="O22"/>
      <c r="P22"/>
      <c r="Q22"/>
      <c r="Y22"/>
      <c r="Z22"/>
      <c r="AA22"/>
      <c r="AB22" s="4"/>
      <c r="AC22" s="4"/>
      <c r="AD22" s="4"/>
      <c r="AE22" s="4"/>
      <c r="AF22" s="4"/>
      <c r="AG22" s="4"/>
      <c r="AH22" s="4"/>
      <c r="AI22" s="4"/>
      <c r="AJ22" s="4"/>
      <c r="AK22" s="4"/>
      <c r="AL22" s="4"/>
      <c r="AM22" s="4"/>
      <c r="AN22" s="4"/>
      <c r="AO22" s="4"/>
      <c r="AP22" s="4"/>
      <c r="AQ22" s="4"/>
      <c r="AR22" s="4"/>
      <c r="AS22" s="4"/>
      <c r="AT22" s="4"/>
      <c r="AU22" s="4"/>
      <c r="AV22" s="4"/>
      <c r="AW22" s="4"/>
      <c r="AX22" s="4"/>
    </row>
    <row r="23" spans="1:50" x14ac:dyDescent="0.2">
      <c r="A23" s="14"/>
      <c r="B23"/>
      <c r="C23" s="12" t="s">
        <v>937</v>
      </c>
      <c r="D23"/>
      <c r="E23" s="17"/>
      <c r="F23" s="24">
        <f>F22/F21</f>
        <v>0.22421077806122447</v>
      </c>
      <c r="G23" s="19"/>
      <c r="H23" s="24">
        <f>H22/H21</f>
        <v>0.14285714285714285</v>
      </c>
      <c r="I23" s="4"/>
      <c r="J23" s="24">
        <f>J22/J21</f>
        <v>2.2077287946428568</v>
      </c>
      <c r="M23" s="24">
        <f>M22/M21</f>
        <v>4.2375837053571423</v>
      </c>
      <c r="N23"/>
      <c r="O23"/>
      <c r="P23"/>
      <c r="Q23"/>
      <c r="Y23"/>
      <c r="Z23"/>
      <c r="AA23"/>
      <c r="AB23" s="4"/>
      <c r="AC23" s="4"/>
      <c r="AD23" s="4"/>
      <c r="AE23" s="4"/>
      <c r="AF23" s="4"/>
      <c r="AG23" s="4"/>
      <c r="AH23" s="4"/>
      <c r="AI23" s="4"/>
      <c r="AJ23" s="4"/>
      <c r="AK23" s="4"/>
      <c r="AL23" s="4"/>
      <c r="AM23" s="4"/>
      <c r="AN23" s="4"/>
      <c r="AO23" s="4"/>
      <c r="AP23" s="4"/>
      <c r="AQ23" s="4"/>
      <c r="AR23" s="4"/>
      <c r="AS23" s="4"/>
      <c r="AT23" s="4"/>
      <c r="AU23" s="4"/>
      <c r="AV23" s="4"/>
      <c r="AW23" s="4"/>
      <c r="AX23" s="4"/>
    </row>
    <row r="24" spans="1:50" x14ac:dyDescent="0.2">
      <c r="A24"/>
      <c r="B24"/>
      <c r="C24"/>
      <c r="D24"/>
      <c r="E24"/>
      <c r="F24" s="8" t="s">
        <v>56</v>
      </c>
      <c r="G24"/>
      <c r="H24" s="8" t="s">
        <v>57</v>
      </c>
      <c r="I24"/>
      <c r="J24" s="8" t="s">
        <v>58</v>
      </c>
      <c r="K24"/>
      <c r="L24"/>
      <c r="M24" s="88" t="s">
        <v>451</v>
      </c>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row>
    <row r="25" spans="1:50" customFormat="1" x14ac:dyDescent="0.2"/>
    <row r="26" spans="1:50" ht="36" x14ac:dyDescent="0.2">
      <c r="A26"/>
      <c r="B26"/>
      <c r="C26"/>
      <c r="D26"/>
      <c r="E26"/>
      <c r="F26"/>
      <c r="G26"/>
      <c r="H26"/>
      <c r="I26"/>
      <c r="J26" s="5" t="s">
        <v>938</v>
      </c>
      <c r="K26" s="5" t="s">
        <v>939</v>
      </c>
      <c r="M26" s="204" t="s">
        <v>1452</v>
      </c>
      <c r="N26" s="204" t="s">
        <v>940</v>
      </c>
      <c r="O26"/>
      <c r="P26"/>
      <c r="Q26"/>
      <c r="R26"/>
      <c r="S26"/>
      <c r="T26"/>
      <c r="U26"/>
      <c r="V26"/>
      <c r="W26"/>
      <c r="X26"/>
      <c r="Y26"/>
      <c r="Z26"/>
      <c r="AA26"/>
      <c r="AB26"/>
      <c r="AC26"/>
      <c r="AD26"/>
      <c r="AE26"/>
      <c r="AF26"/>
      <c r="AG26"/>
      <c r="AH26"/>
      <c r="AI26"/>
      <c r="AJ26"/>
      <c r="AK26"/>
      <c r="AL26"/>
      <c r="AM26"/>
      <c r="AN26"/>
      <c r="AO26"/>
      <c r="AP26"/>
      <c r="AQ26"/>
      <c r="AR26"/>
      <c r="AS26"/>
      <c r="AT26"/>
      <c r="AU26"/>
      <c r="AV26"/>
      <c r="AW26"/>
      <c r="AX26"/>
    </row>
    <row r="27" spans="1:50" x14ac:dyDescent="0.2">
      <c r="A27"/>
      <c r="B27"/>
      <c r="C27"/>
      <c r="D27"/>
      <c r="E27"/>
      <c r="F27"/>
      <c r="G27"/>
      <c r="H27"/>
      <c r="I27"/>
      <c r="J27" s="25">
        <f t="array" ref="J27">MAX(IF(Required.assets.HSDPA.all.steps=0,0,HSDPA.Ladder))</f>
        <v>21.1</v>
      </c>
      <c r="K27" s="26">
        <f>INDEX(K30:K36,MATCH(J27,J30:J36))</f>
        <v>0.32968750000000002</v>
      </c>
      <c r="M27" s="25">
        <f t="array" ref="M27">MAX(IF(Required.assets.LTE.all.steps=0,0,LTE.Ladder))</f>
        <v>32.4</v>
      </c>
      <c r="N27" s="26">
        <f>INDEX(N30:N36,MATCH(M27,M30:M36))</f>
        <v>0.50624999999999998</v>
      </c>
      <c r="O27"/>
      <c r="P27"/>
      <c r="Q27"/>
      <c r="R27"/>
      <c r="S27"/>
      <c r="T27"/>
      <c r="U27"/>
      <c r="V27"/>
      <c r="W27"/>
      <c r="X27"/>
      <c r="Y27"/>
      <c r="Z27"/>
      <c r="AA27"/>
      <c r="AB27"/>
      <c r="AC27"/>
      <c r="AD27"/>
      <c r="AE27"/>
      <c r="AF27"/>
      <c r="AG27"/>
      <c r="AH27"/>
      <c r="AI27"/>
      <c r="AJ27"/>
      <c r="AK27"/>
      <c r="AL27"/>
      <c r="AM27"/>
      <c r="AN27"/>
      <c r="AO27"/>
      <c r="AP27"/>
      <c r="AQ27"/>
      <c r="AR27"/>
      <c r="AS27"/>
      <c r="AT27"/>
      <c r="AU27"/>
      <c r="AV27"/>
      <c r="AW27"/>
      <c r="AX27"/>
    </row>
    <row r="28" spans="1:50" x14ac:dyDescent="0.2">
      <c r="A28"/>
      <c r="B28"/>
      <c r="C28"/>
      <c r="D28"/>
      <c r="E28"/>
      <c r="F28"/>
      <c r="G28"/>
      <c r="H28"/>
      <c r="I28"/>
      <c r="J28"/>
      <c r="K28"/>
      <c r="M28" s="81"/>
      <c r="N28" s="81"/>
      <c r="O28"/>
      <c r="P28"/>
      <c r="Q28"/>
      <c r="R28"/>
      <c r="S28"/>
      <c r="T28"/>
      <c r="U28"/>
      <c r="V28"/>
      <c r="W28"/>
      <c r="X28"/>
      <c r="Y28"/>
      <c r="Z28"/>
      <c r="AA28"/>
      <c r="AB28"/>
      <c r="AC28"/>
      <c r="AD28"/>
      <c r="AE28"/>
      <c r="AF28"/>
      <c r="AG28"/>
      <c r="AH28"/>
      <c r="AI28"/>
      <c r="AJ28"/>
      <c r="AK28"/>
      <c r="AL28"/>
      <c r="AM28"/>
      <c r="AN28"/>
      <c r="AO28"/>
      <c r="AP28"/>
      <c r="AQ28"/>
      <c r="AR28"/>
      <c r="AS28"/>
      <c r="AT28"/>
      <c r="AU28"/>
      <c r="AV28"/>
      <c r="AW28"/>
      <c r="AX28"/>
    </row>
    <row r="29" spans="1:50" ht="24" x14ac:dyDescent="0.2">
      <c r="A29"/>
      <c r="B29"/>
      <c r="C29"/>
      <c r="D29"/>
      <c r="E29"/>
      <c r="F29"/>
      <c r="G29"/>
      <c r="H29"/>
      <c r="I29"/>
      <c r="J29"/>
      <c r="K29" s="5" t="s">
        <v>963</v>
      </c>
      <c r="M29" s="81"/>
      <c r="N29" s="204" t="s">
        <v>963</v>
      </c>
      <c r="O29"/>
      <c r="P29"/>
      <c r="Q29"/>
      <c r="R29"/>
      <c r="S29"/>
      <c r="T29"/>
      <c r="U29"/>
      <c r="V29"/>
      <c r="W29"/>
      <c r="X29"/>
      <c r="Y29"/>
      <c r="Z29"/>
      <c r="AA29"/>
      <c r="AB29"/>
      <c r="AC29"/>
      <c r="AD29"/>
      <c r="AE29"/>
      <c r="AF29"/>
      <c r="AG29"/>
      <c r="AH29"/>
      <c r="AI29"/>
      <c r="AJ29"/>
      <c r="AK29"/>
      <c r="AL29"/>
      <c r="AM29"/>
      <c r="AN29"/>
      <c r="AO29"/>
      <c r="AP29"/>
      <c r="AQ29"/>
      <c r="AR29"/>
      <c r="AS29"/>
      <c r="AT29"/>
      <c r="AU29"/>
      <c r="AV29"/>
      <c r="AW29"/>
      <c r="AX29"/>
    </row>
    <row r="30" spans="1:50" x14ac:dyDescent="0.2">
      <c r="A30"/>
      <c r="B30"/>
      <c r="C30"/>
      <c r="D30"/>
      <c r="E30"/>
      <c r="F30"/>
      <c r="G30"/>
      <c r="H30"/>
      <c r="I30"/>
      <c r="J30" s="27">
        <v>0</v>
      </c>
      <c r="K30" s="27">
        <v>0</v>
      </c>
      <c r="M30" s="27">
        <v>0</v>
      </c>
      <c r="N30" s="27">
        <v>0</v>
      </c>
      <c r="O30"/>
      <c r="P30"/>
      <c r="Q30"/>
      <c r="R30"/>
      <c r="S30"/>
      <c r="T30"/>
      <c r="U30"/>
      <c r="V30"/>
      <c r="W30"/>
      <c r="X30"/>
      <c r="Y30"/>
      <c r="Z30"/>
      <c r="AA30"/>
      <c r="AB30"/>
      <c r="AC30"/>
      <c r="AD30"/>
      <c r="AE30"/>
      <c r="AF30"/>
      <c r="AG30"/>
      <c r="AH30"/>
      <c r="AI30"/>
      <c r="AJ30"/>
      <c r="AK30"/>
      <c r="AL30"/>
      <c r="AM30"/>
      <c r="AN30"/>
      <c r="AO30"/>
      <c r="AP30"/>
      <c r="AQ30"/>
      <c r="AR30"/>
      <c r="AS30"/>
      <c r="AT30"/>
      <c r="AU30"/>
      <c r="AV30"/>
      <c r="AW30"/>
      <c r="AX30"/>
    </row>
    <row r="31" spans="1:50" x14ac:dyDescent="0.2">
      <c r="A31"/>
      <c r="B31"/>
      <c r="C31"/>
      <c r="D31"/>
      <c r="E31"/>
      <c r="F31"/>
      <c r="G31"/>
      <c r="H31"/>
      <c r="I31"/>
      <c r="J31" s="26">
        <f t="array" ref="J31:J36">HSDPA.Ladder</f>
        <v>1.8</v>
      </c>
      <c r="K31" s="28">
        <f>1.8/32</f>
        <v>5.6250000000000001E-2</v>
      </c>
      <c r="M31" s="26">
        <f t="array" ref="M31:M36">LTE.Ladder</f>
        <v>10.8</v>
      </c>
      <c r="N31" s="214">
        <f>10.8/64</f>
        <v>0.16875000000000001</v>
      </c>
      <c r="O31"/>
      <c r="P31"/>
      <c r="Q31"/>
      <c r="R31"/>
      <c r="S31"/>
      <c r="T31"/>
      <c r="U31"/>
      <c r="V31"/>
      <c r="W31"/>
      <c r="X31"/>
      <c r="Y31"/>
      <c r="Z31"/>
      <c r="AA31"/>
      <c r="AB31"/>
      <c r="AC31"/>
      <c r="AD31"/>
      <c r="AE31"/>
      <c r="AF31"/>
      <c r="AG31"/>
      <c r="AH31"/>
      <c r="AI31"/>
      <c r="AJ31"/>
      <c r="AK31"/>
      <c r="AL31"/>
      <c r="AM31"/>
      <c r="AN31"/>
      <c r="AO31"/>
      <c r="AP31"/>
      <c r="AQ31"/>
      <c r="AR31"/>
      <c r="AS31"/>
      <c r="AT31"/>
      <c r="AU31"/>
      <c r="AV31"/>
      <c r="AW31"/>
      <c r="AX31"/>
    </row>
    <row r="32" spans="1:50" x14ac:dyDescent="0.2">
      <c r="A32"/>
      <c r="B32"/>
      <c r="C32"/>
      <c r="D32"/>
      <c r="E32"/>
      <c r="F32"/>
      <c r="G32"/>
      <c r="H32"/>
      <c r="I32"/>
      <c r="J32" s="26">
        <v>3.6</v>
      </c>
      <c r="K32" s="28">
        <f>3.6/32</f>
        <v>0.1125</v>
      </c>
      <c r="M32" s="26">
        <v>16.2</v>
      </c>
      <c r="N32" s="214">
        <f>16.2/64</f>
        <v>0.25312499999999999</v>
      </c>
      <c r="O32"/>
      <c r="P32"/>
      <c r="Q32"/>
      <c r="R32"/>
      <c r="S32"/>
      <c r="T32"/>
      <c r="U32"/>
      <c r="V32"/>
      <c r="W32"/>
      <c r="X32"/>
      <c r="Y32"/>
      <c r="Z32"/>
      <c r="AA32"/>
      <c r="AB32"/>
      <c r="AC32"/>
      <c r="AD32"/>
      <c r="AE32"/>
      <c r="AF32"/>
      <c r="AG32"/>
      <c r="AH32"/>
      <c r="AI32"/>
      <c r="AJ32"/>
      <c r="AK32"/>
      <c r="AL32"/>
      <c r="AM32"/>
      <c r="AN32"/>
      <c r="AO32"/>
      <c r="AP32"/>
      <c r="AQ32"/>
      <c r="AR32"/>
      <c r="AS32"/>
      <c r="AT32"/>
      <c r="AU32"/>
      <c r="AV32"/>
      <c r="AW32"/>
      <c r="AX32"/>
    </row>
    <row r="33" spans="1:55" x14ac:dyDescent="0.2">
      <c r="A33"/>
      <c r="B33"/>
      <c r="C33"/>
      <c r="D33"/>
      <c r="E33"/>
      <c r="F33"/>
      <c r="G33"/>
      <c r="H33"/>
      <c r="I33"/>
      <c r="J33" s="26">
        <v>7.2</v>
      </c>
      <c r="K33" s="28">
        <f>7.2/64</f>
        <v>0.1125</v>
      </c>
      <c r="M33" s="26">
        <v>21.6</v>
      </c>
      <c r="N33" s="214">
        <f>21.6/64</f>
        <v>0.33750000000000002</v>
      </c>
      <c r="O33"/>
      <c r="P33"/>
      <c r="Q33"/>
      <c r="R33"/>
      <c r="S33"/>
      <c r="T33"/>
      <c r="U33"/>
      <c r="V33"/>
      <c r="W33"/>
      <c r="X33"/>
      <c r="Y33"/>
      <c r="Z33"/>
      <c r="AA33"/>
      <c r="AB33"/>
      <c r="AC33"/>
      <c r="AD33"/>
      <c r="AE33"/>
      <c r="AF33"/>
      <c r="AG33"/>
      <c r="AH33"/>
      <c r="AI33"/>
      <c r="AJ33"/>
      <c r="AK33"/>
      <c r="AL33"/>
      <c r="AM33"/>
      <c r="AN33"/>
      <c r="AO33"/>
      <c r="AP33"/>
      <c r="AQ33"/>
      <c r="AR33"/>
      <c r="AS33"/>
      <c r="AT33"/>
      <c r="AU33"/>
      <c r="AV33"/>
      <c r="AW33"/>
      <c r="AX33"/>
    </row>
    <row r="34" spans="1:55" x14ac:dyDescent="0.2">
      <c r="A34"/>
      <c r="B34"/>
      <c r="C34"/>
      <c r="D34"/>
      <c r="E34"/>
      <c r="F34"/>
      <c r="G34"/>
      <c r="H34"/>
      <c r="I34"/>
      <c r="J34" s="26">
        <v>10.1</v>
      </c>
      <c r="K34" s="28">
        <f>10.1/64</f>
        <v>0.15781249999999999</v>
      </c>
      <c r="M34" s="26">
        <v>32.4</v>
      </c>
      <c r="N34" s="214">
        <f>32.4/64</f>
        <v>0.50624999999999998</v>
      </c>
      <c r="O34"/>
      <c r="P34"/>
      <c r="Q34"/>
      <c r="R34"/>
      <c r="S34"/>
      <c r="T34"/>
      <c r="U34"/>
      <c r="V34"/>
      <c r="W34"/>
      <c r="X34"/>
      <c r="Y34"/>
      <c r="Z34"/>
      <c r="AA34"/>
      <c r="AB34"/>
      <c r="AC34"/>
      <c r="AD34"/>
      <c r="AE34"/>
      <c r="AF34"/>
      <c r="AG34"/>
      <c r="AH34"/>
      <c r="AI34"/>
      <c r="AJ34"/>
      <c r="AK34"/>
      <c r="AL34"/>
      <c r="AM34"/>
      <c r="AN34"/>
      <c r="AO34"/>
      <c r="AP34"/>
      <c r="AQ34"/>
      <c r="AR34"/>
      <c r="AS34"/>
      <c r="AT34"/>
      <c r="AU34"/>
      <c r="AV34"/>
      <c r="AW34"/>
      <c r="AX34"/>
    </row>
    <row r="35" spans="1:55" x14ac:dyDescent="0.2">
      <c r="A35"/>
      <c r="B35"/>
      <c r="C35"/>
      <c r="D35"/>
      <c r="E35"/>
      <c r="F35"/>
      <c r="G35"/>
      <c r="H35"/>
      <c r="I35"/>
      <c r="J35" s="26">
        <v>14.4</v>
      </c>
      <c r="K35" s="28">
        <f>14.4/64</f>
        <v>0.22500000000000001</v>
      </c>
      <c r="M35" s="26">
        <v>43.2</v>
      </c>
      <c r="N35" s="214">
        <f>43.2/64</f>
        <v>0.67500000000000004</v>
      </c>
      <c r="O35"/>
      <c r="P35"/>
      <c r="Q35"/>
      <c r="R35"/>
      <c r="S35"/>
      <c r="T35"/>
      <c r="U35"/>
      <c r="V35"/>
      <c r="W35"/>
      <c r="X35"/>
      <c r="Y35"/>
      <c r="Z35"/>
      <c r="AA35"/>
      <c r="AB35"/>
      <c r="AC35"/>
      <c r="AD35"/>
      <c r="AE35"/>
      <c r="AF35"/>
      <c r="AG35"/>
      <c r="AH35"/>
      <c r="AI35"/>
      <c r="AJ35"/>
      <c r="AK35"/>
      <c r="AL35"/>
      <c r="AM35"/>
      <c r="AN35"/>
      <c r="AO35"/>
      <c r="AP35"/>
      <c r="AQ35"/>
      <c r="AR35"/>
      <c r="AS35"/>
      <c r="AT35"/>
      <c r="AU35"/>
      <c r="AV35"/>
      <c r="AW35"/>
      <c r="AX35"/>
    </row>
    <row r="36" spans="1:55" x14ac:dyDescent="0.2">
      <c r="A36"/>
      <c r="B36"/>
      <c r="C36"/>
      <c r="D36"/>
      <c r="E36"/>
      <c r="F36"/>
      <c r="G36"/>
      <c r="H36"/>
      <c r="I36"/>
      <c r="J36" s="26">
        <v>21.1</v>
      </c>
      <c r="K36" s="28">
        <f>21.1/64</f>
        <v>0.32968750000000002</v>
      </c>
      <c r="M36" s="26">
        <v>86.4</v>
      </c>
      <c r="N36" s="214">
        <f>86.4/32</f>
        <v>2.7</v>
      </c>
      <c r="O36"/>
      <c r="P36"/>
      <c r="Q36"/>
      <c r="R36"/>
      <c r="S36"/>
      <c r="T36"/>
      <c r="U36"/>
      <c r="V36"/>
      <c r="W36"/>
      <c r="X36"/>
      <c r="Y36"/>
      <c r="Z36"/>
      <c r="AA36"/>
      <c r="AB36"/>
      <c r="AC36"/>
      <c r="AD36"/>
      <c r="AE36"/>
      <c r="AF36"/>
      <c r="AG36"/>
      <c r="AH36"/>
      <c r="AI36"/>
      <c r="AJ36"/>
      <c r="AK36"/>
      <c r="AL36"/>
      <c r="AM36"/>
      <c r="AN36"/>
      <c r="AO36"/>
      <c r="AP36"/>
      <c r="AQ36"/>
      <c r="AR36"/>
      <c r="AS36"/>
      <c r="AT36"/>
      <c r="AU36"/>
      <c r="AV36"/>
      <c r="AW36"/>
      <c r="AX36"/>
    </row>
    <row r="37" spans="1:55" x14ac:dyDescent="0.2">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row>
    <row r="38" spans="1:55" ht="48" x14ac:dyDescent="0.2">
      <c r="A38"/>
      <c r="B38"/>
      <c r="C38"/>
      <c r="D38" s="29"/>
      <c r="E38"/>
      <c r="F38" s="204" t="str">
        <f t="array" ref="F38:BC38">TRANSPOSE(Network.services.list)</f>
        <v>2G - Tráfico de voz on-net</v>
      </c>
      <c r="G38" s="204" t="str">
        <v>2G - Tráfico de voz saliente a fijo</v>
      </c>
      <c r="H38" s="204" t="str">
        <v>2G - Tráfico de voz saliente a móvil</v>
      </c>
      <c r="I38" s="204" t="str">
        <v>2G - Tráfico de voz saliente a internacional</v>
      </c>
      <c r="J38" s="204" t="str">
        <v>2G - Tráfico de voz entrante desde fijo</v>
      </c>
      <c r="K38" s="204" t="str">
        <v>2G - Tráfico de voz entrante desde móvil</v>
      </c>
      <c r="L38" s="204" t="str">
        <v>2G - Tráfico de voz entrante desde internacional</v>
      </c>
      <c r="M38" s="204" t="str">
        <v>3G - Tráfico de voz on-net</v>
      </c>
      <c r="N38" s="204" t="str">
        <v>3G - Tráfico de voz saliente a fijo</v>
      </c>
      <c r="O38" s="204" t="str">
        <v>3G - Tráfico de voz saliente a móvil</v>
      </c>
      <c r="P38" s="204" t="str">
        <v>3G - Tráfico de voz saliente a internacional</v>
      </c>
      <c r="Q38" s="204" t="str">
        <v>3G - Tráfico de voz entrante desde fijo</v>
      </c>
      <c r="R38" s="204" t="str">
        <v>3G - Tráfico de voz entrante desde móvil</v>
      </c>
      <c r="S38" s="204" t="str">
        <v>3G - Tráfico de voz entrante desde internacional</v>
      </c>
      <c r="T38" s="204" t="str">
        <v>4G - Tráfico de voz on-net</v>
      </c>
      <c r="U38" s="204" t="str">
        <v>4G - Tráfico de voz saliente a fijo</v>
      </c>
      <c r="V38" s="204" t="str">
        <v>4G - Tráfico de voz saliente a móvil</v>
      </c>
      <c r="W38" s="204" t="str">
        <v>4G - Tráfico de voz saliente a internacional</v>
      </c>
      <c r="X38" s="204" t="str">
        <v>4G - Tráfico de voz entrante desde fijo</v>
      </c>
      <c r="Y38" s="204" t="str">
        <v>4G - Tráfico de voz entrante desde móvil</v>
      </c>
      <c r="Z38" s="204" t="str">
        <v>4G - Tráfico de voz entrante desde internacional</v>
      </c>
      <c r="AA38" s="204" t="str">
        <v>2G - SMSs on-net</v>
      </c>
      <c r="AB38" s="204" t="str">
        <v>2G - SMS salientes</v>
      </c>
      <c r="AC38" s="204" t="str">
        <v>2G - SMS entrantes</v>
      </c>
      <c r="AD38" s="204" t="str">
        <v>3G - SMSs on-net</v>
      </c>
      <c r="AE38" s="204" t="str">
        <v>3G - SMS salientes</v>
      </c>
      <c r="AF38" s="204" t="str">
        <v>3G - SMS entrantes</v>
      </c>
      <c r="AG38" s="204" t="str">
        <v>4G - SMSs on-net</v>
      </c>
      <c r="AH38" s="204" t="str">
        <v>4G - SMS salientes</v>
      </c>
      <c r="AI38" s="204" t="str">
        <v>4G - SMS entrantes</v>
      </c>
      <c r="AJ38" s="204" t="str">
        <v>GPRS data Mbytes</v>
      </c>
      <c r="AK38" s="204" t="str">
        <v>R99 data Mbytes</v>
      </c>
      <c r="AL38" s="204" t="str">
        <v>HSDPA data Mbytes</v>
      </c>
      <c r="AM38" s="204" t="str">
        <v>HSUPA data Mbytes</v>
      </c>
      <c r="AN38" s="204" t="str">
        <v>LTE data Mbytes</v>
      </c>
      <c r="AO38" s="204" t="str">
        <v>spare</v>
      </c>
      <c r="AP38" s="204" t="str">
        <v>Suscriptores de solo voz (media del año)</v>
      </c>
      <c r="AQ38" s="204" t="str">
        <v>Suscriptores de voz y datos (media del año)</v>
      </c>
      <c r="AR38" s="204" t="str">
        <v>spare</v>
      </c>
      <c r="AS38" s="204" t="str">
        <v>spare</v>
      </c>
      <c r="AT38" s="204" t="str">
        <v>spare</v>
      </c>
      <c r="AU38" s="204" t="str">
        <v>spare</v>
      </c>
      <c r="AV38" s="204" t="str">
        <v>spare</v>
      </c>
      <c r="AW38" s="204" t="str">
        <v>spare</v>
      </c>
      <c r="AX38" s="204" t="str">
        <v>spare</v>
      </c>
      <c r="AY38" s="204" t="str">
        <v>spare</v>
      </c>
      <c r="AZ38" s="204" t="str">
        <v>spare</v>
      </c>
      <c r="BA38" s="204" t="str">
        <v>spare</v>
      </c>
      <c r="BB38" s="204" t="str">
        <v>spare</v>
      </c>
      <c r="BC38" s="204" t="str">
        <v>spare</v>
      </c>
    </row>
    <row r="39" spans="1:55" x14ac:dyDescent="0.2">
      <c r="A39"/>
      <c r="B39"/>
      <c r="C39" s="29" t="s">
        <v>942</v>
      </c>
      <c r="D39"/>
      <c r="E39"/>
      <c r="F39" s="163">
        <f t="array" ref="F39:L39">TRANSPOSE(Radio.Erlangs.per.Erlang)</f>
        <v>2</v>
      </c>
      <c r="G39" s="163">
        <v>1</v>
      </c>
      <c r="H39" s="163">
        <v>1</v>
      </c>
      <c r="I39" s="163">
        <v>1</v>
      </c>
      <c r="J39" s="163">
        <v>1</v>
      </c>
      <c r="K39" s="163">
        <v>1</v>
      </c>
      <c r="L39" s="163">
        <v>1</v>
      </c>
      <c r="M39" s="89">
        <f t="array" ref="M39:S39">TRANSPOSE(Radio.Erlangs.per.Erlang)</f>
        <v>2</v>
      </c>
      <c r="N39" s="89">
        <v>1</v>
      </c>
      <c r="O39" s="89">
        <v>1</v>
      </c>
      <c r="P39" s="89">
        <v>1</v>
      </c>
      <c r="Q39" s="89">
        <v>1</v>
      </c>
      <c r="R39" s="89">
        <v>1</v>
      </c>
      <c r="S39" s="89">
        <v>1</v>
      </c>
      <c r="T39" s="163">
        <f t="array" ref="T39:Z39">TRANSPOSE(Radio.Erlangs.per.Erlang)</f>
        <v>2</v>
      </c>
      <c r="U39" s="163">
        <v>1</v>
      </c>
      <c r="V39" s="163">
        <v>1</v>
      </c>
      <c r="W39" s="163">
        <v>1</v>
      </c>
      <c r="X39" s="163">
        <v>1</v>
      </c>
      <c r="Y39" s="163">
        <v>1</v>
      </c>
      <c r="Z39" s="163">
        <v>1</v>
      </c>
      <c r="AA39" s="46">
        <f>$F39</f>
        <v>2</v>
      </c>
      <c r="AB39" s="46">
        <f>$H39</f>
        <v>1</v>
      </c>
      <c r="AC39" s="46">
        <f>$K39</f>
        <v>1</v>
      </c>
      <c r="AD39" s="46">
        <f>$M39</f>
        <v>2</v>
      </c>
      <c r="AE39" s="46">
        <f>$O39</f>
        <v>1</v>
      </c>
      <c r="AF39" s="46">
        <f>$R39</f>
        <v>1</v>
      </c>
      <c r="AG39" s="46">
        <f>$T39</f>
        <v>2</v>
      </c>
      <c r="AH39" s="46">
        <f>$V39</f>
        <v>1</v>
      </c>
      <c r="AI39" s="46">
        <f>$Y39</f>
        <v>1</v>
      </c>
      <c r="AJ39" s="47"/>
      <c r="AK39" s="47"/>
      <c r="AL39" s="47"/>
      <c r="AM39" s="47"/>
      <c r="AN39"/>
      <c r="AO39"/>
      <c r="AP39"/>
      <c r="AQ39"/>
      <c r="AR39"/>
      <c r="AS39"/>
      <c r="AT39"/>
      <c r="AU39"/>
      <c r="AV39"/>
      <c r="AW39"/>
      <c r="AX39"/>
    </row>
    <row r="40" spans="1:55" x14ac:dyDescent="0.2">
      <c r="A40"/>
      <c r="B40"/>
      <c r="C40" s="29" t="s">
        <v>943</v>
      </c>
      <c r="D40"/>
      <c r="E40"/>
      <c r="F40" s="205">
        <f t="array" ref="F40:L40">TRANSPOSE(Ring.Time.Per.Minute)</f>
        <v>8.9215686274509806E-2</v>
      </c>
      <c r="G40" s="205">
        <v>9.4791666666666663E-2</v>
      </c>
      <c r="H40" s="205">
        <v>0.11666666666666667</v>
      </c>
      <c r="I40" s="161">
        <v>7.2222222222222229E-2</v>
      </c>
      <c r="J40" s="161">
        <v>9.4791666666666663E-2</v>
      </c>
      <c r="K40" s="161">
        <v>0.11666666666666667</v>
      </c>
      <c r="L40" s="161">
        <v>7.2222222222222229E-2</v>
      </c>
      <c r="M40" s="206">
        <f t="array" ref="M40:S40">TRANSPOSE(Ring.Time.Per.Minute)</f>
        <v>8.9215686274509806E-2</v>
      </c>
      <c r="N40" s="206">
        <v>9.4791666666666663E-2</v>
      </c>
      <c r="O40" s="206">
        <v>0.11666666666666667</v>
      </c>
      <c r="P40" s="99">
        <v>7.2222222222222229E-2</v>
      </c>
      <c r="Q40" s="99">
        <v>9.4791666666666663E-2</v>
      </c>
      <c r="R40" s="99">
        <v>0.11666666666666667</v>
      </c>
      <c r="S40" s="99">
        <v>7.2222222222222229E-2</v>
      </c>
      <c r="T40"/>
      <c r="U40"/>
      <c r="V40"/>
      <c r="W40"/>
      <c r="X40"/>
      <c r="Y40"/>
      <c r="Z40"/>
      <c r="AA40"/>
      <c r="AB40"/>
      <c r="AC40"/>
      <c r="AD40"/>
      <c r="AE40"/>
      <c r="AF40"/>
      <c r="AG40"/>
      <c r="AH40"/>
      <c r="AI40"/>
      <c r="AJ40"/>
      <c r="AK40"/>
      <c r="AL40"/>
      <c r="AM40"/>
      <c r="AN40"/>
      <c r="AO40" s="47"/>
      <c r="AP40" s="47"/>
      <c r="AQ40"/>
      <c r="AR40"/>
      <c r="AS40"/>
      <c r="AT40"/>
      <c r="AU40"/>
      <c r="AV40"/>
      <c r="AW40"/>
      <c r="AX40"/>
    </row>
    <row r="41" spans="1:55" x14ac:dyDescent="0.2">
      <c r="A41"/>
      <c r="B41"/>
      <c r="C41" s="29" t="s">
        <v>944</v>
      </c>
      <c r="D41"/>
      <c r="E41"/>
      <c r="F41"/>
      <c r="G41"/>
      <c r="H41"/>
      <c r="I41"/>
      <c r="J41"/>
      <c r="K41"/>
      <c r="L41"/>
      <c r="M41" s="55">
        <f t="shared" ref="M41:S41" si="0">Release99.soft.handover</f>
        <v>0.2</v>
      </c>
      <c r="N41" s="55">
        <f t="shared" si="0"/>
        <v>0.2</v>
      </c>
      <c r="O41" s="55">
        <f t="shared" si="0"/>
        <v>0.2</v>
      </c>
      <c r="P41" s="55">
        <f t="shared" si="0"/>
        <v>0.2</v>
      </c>
      <c r="Q41" s="55">
        <f t="shared" si="0"/>
        <v>0.2</v>
      </c>
      <c r="R41" s="55">
        <f t="shared" si="0"/>
        <v>0.2</v>
      </c>
      <c r="S41" s="55">
        <f t="shared" si="0"/>
        <v>0.2</v>
      </c>
      <c r="T41"/>
      <c r="U41"/>
      <c r="V41"/>
      <c r="W41"/>
      <c r="X41"/>
      <c r="Y41"/>
      <c r="Z41"/>
      <c r="AA41"/>
      <c r="AB41"/>
      <c r="AC41"/>
      <c r="AD41"/>
      <c r="AE41"/>
      <c r="AF41"/>
      <c r="AG41"/>
      <c r="AH41"/>
      <c r="AI41"/>
      <c r="AJ41"/>
      <c r="AK41" s="55">
        <f>Release99.soft.handover</f>
        <v>0.2</v>
      </c>
      <c r="AL41"/>
      <c r="AM41"/>
      <c r="AN41"/>
      <c r="AO41"/>
      <c r="AP41"/>
      <c r="AQ41"/>
      <c r="AR41"/>
      <c r="AS41"/>
      <c r="AT41"/>
      <c r="AU41"/>
      <c r="AV41"/>
      <c r="AW41"/>
      <c r="AX41"/>
    </row>
    <row r="42" spans="1:55" x14ac:dyDescent="0.2">
      <c r="A42"/>
      <c r="B42"/>
      <c r="C42" s="29" t="s">
        <v>945</v>
      </c>
      <c r="D42"/>
      <c r="E42"/>
      <c r="F42"/>
      <c r="G42"/>
      <c r="H42"/>
      <c r="I42"/>
      <c r="J42"/>
      <c r="K42"/>
      <c r="L42"/>
      <c r="M42" s="55">
        <f t="shared" ref="M42:S42" si="1">Release99.softer.handover</f>
        <v>0.1</v>
      </c>
      <c r="N42" s="55">
        <f t="shared" si="1"/>
        <v>0.1</v>
      </c>
      <c r="O42" s="55">
        <f t="shared" si="1"/>
        <v>0.1</v>
      </c>
      <c r="P42" s="55">
        <f t="shared" si="1"/>
        <v>0.1</v>
      </c>
      <c r="Q42" s="55">
        <f t="shared" si="1"/>
        <v>0.1</v>
      </c>
      <c r="R42" s="55">
        <f t="shared" si="1"/>
        <v>0.1</v>
      </c>
      <c r="S42" s="55">
        <f t="shared" si="1"/>
        <v>0.1</v>
      </c>
      <c r="T42"/>
      <c r="U42"/>
      <c r="V42"/>
      <c r="W42"/>
      <c r="X42"/>
      <c r="Y42"/>
      <c r="Z42"/>
      <c r="AA42"/>
      <c r="AB42"/>
      <c r="AC42"/>
      <c r="AD42"/>
      <c r="AE42"/>
      <c r="AF42"/>
      <c r="AG42"/>
      <c r="AH42"/>
      <c r="AI42"/>
      <c r="AJ42"/>
      <c r="AK42" s="55">
        <f>Release99.softer.handover</f>
        <v>0.1</v>
      </c>
      <c r="AL42"/>
      <c r="AM42"/>
      <c r="AN42"/>
      <c r="AO42"/>
      <c r="AP42"/>
      <c r="AQ42"/>
      <c r="AR42"/>
      <c r="AS42"/>
      <c r="AT42"/>
      <c r="AU42"/>
      <c r="AV42"/>
      <c r="AW42"/>
      <c r="AX42"/>
    </row>
    <row r="43" spans="1:55" x14ac:dyDescent="0.2">
      <c r="A43"/>
      <c r="B43"/>
      <c r="C43" s="29"/>
      <c r="D43" s="29"/>
      <c r="E43"/>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c r="AG43" s="47"/>
      <c r="AH43" s="47"/>
      <c r="AI43" s="47"/>
      <c r="AJ43"/>
      <c r="AK43"/>
      <c r="AL43"/>
      <c r="AM43"/>
      <c r="AN43" s="47"/>
      <c r="AO43" s="47"/>
      <c r="AP43" s="47"/>
      <c r="AQ43" s="47"/>
      <c r="AR43" s="47"/>
      <c r="AS43" s="47"/>
      <c r="AT43" s="47"/>
      <c r="AU43" s="47"/>
      <c r="AV43" s="47"/>
      <c r="AW43" s="47"/>
      <c r="AX43"/>
    </row>
    <row r="44" spans="1:55" ht="12" customHeight="1" x14ac:dyDescent="0.2">
      <c r="A44"/>
      <c r="B44"/>
      <c r="C44" s="30" t="s">
        <v>941</v>
      </c>
      <c r="D44" s="29"/>
      <c r="E44"/>
      <c r="F44" s="47"/>
      <c r="G44" s="47"/>
      <c r="H44" s="47"/>
      <c r="I44" s="47"/>
      <c r="J44" s="47"/>
      <c r="K44" s="47"/>
      <c r="L44" s="47"/>
      <c r="M44" s="47"/>
      <c r="N44" s="47"/>
      <c r="O44" s="47"/>
      <c r="P44" s="47"/>
      <c r="Q44" s="47"/>
      <c r="R44" s="47"/>
      <c r="S44" s="47"/>
      <c r="T44" s="47"/>
      <c r="U44" s="47"/>
      <c r="V44" s="47"/>
      <c r="W44" s="47"/>
      <c r="X44" s="47"/>
      <c r="Y44" s="47"/>
      <c r="Z44" s="47"/>
      <c r="AA44" s="47"/>
      <c r="AB44" s="47"/>
      <c r="AC44" s="47"/>
      <c r="AD44" s="47"/>
      <c r="AE44" s="47"/>
      <c r="AF44" s="47"/>
      <c r="AG44" s="47"/>
      <c r="AH44" s="47"/>
      <c r="AI44" s="47"/>
      <c r="AJ44"/>
      <c r="AK44"/>
      <c r="AL44"/>
      <c r="AM44"/>
      <c r="AN44" s="47"/>
      <c r="AO44" s="47"/>
      <c r="AP44" s="47"/>
      <c r="AQ44" s="47"/>
      <c r="AR44" s="47"/>
      <c r="AS44" s="47"/>
      <c r="AT44" s="47"/>
      <c r="AU44" s="47"/>
      <c r="AV44" s="47"/>
      <c r="AW44" s="47"/>
      <c r="AX44"/>
    </row>
    <row r="45" spans="1:55" ht="12" customHeight="1" x14ac:dyDescent="0.2">
      <c r="A45"/>
      <c r="B45"/>
      <c r="C45" s="31" t="s">
        <v>5</v>
      </c>
      <c r="D45"/>
      <c r="E45"/>
      <c r="F45" s="47"/>
      <c r="G45" s="47"/>
      <c r="H45" s="47"/>
      <c r="I45"/>
      <c r="J45"/>
      <c r="K45"/>
      <c r="L45"/>
      <c r="M45"/>
      <c r="N45"/>
      <c r="O45"/>
      <c r="P45"/>
      <c r="Q45"/>
      <c r="R45"/>
      <c r="S45"/>
      <c r="T45"/>
      <c r="U45"/>
      <c r="V45"/>
      <c r="W45"/>
      <c r="X45"/>
      <c r="Y45"/>
      <c r="Z45"/>
      <c r="AA45" s="56">
        <f>Minute.per.SMS.2G</f>
        <v>1.3037809647979139E-3</v>
      </c>
      <c r="AB45" s="56">
        <f>Minute.per.SMS.2G</f>
        <v>1.3037809647979139E-3</v>
      </c>
      <c r="AC45" s="56">
        <f>Minute.per.SMS.2G</f>
        <v>1.3037809647979139E-3</v>
      </c>
      <c r="AD45" s="212">
        <f>Minute.per.SMS.3G</f>
        <v>5.0000000000000001E-4</v>
      </c>
      <c r="AE45" s="212">
        <f>Minute.per.SMS.3G</f>
        <v>5.0000000000000001E-4</v>
      </c>
      <c r="AF45" s="212">
        <f>Minute.per.SMS.3G</f>
        <v>5.0000000000000001E-4</v>
      </c>
      <c r="AG45" s="56">
        <f>Minute.per.SMS.LTE</f>
        <v>1.4159012345679013E-5</v>
      </c>
      <c r="AH45" s="56">
        <f>Minute.per.SMS.LTE</f>
        <v>1.4159012345679013E-5</v>
      </c>
      <c r="AI45" s="56">
        <f>Minute.per.SMS.LTE</f>
        <v>1.4159012345679013E-5</v>
      </c>
      <c r="AJ45"/>
      <c r="AK45"/>
      <c r="AL45"/>
      <c r="AM45"/>
      <c r="AN45"/>
      <c r="AO45"/>
      <c r="AP45"/>
      <c r="AQ45"/>
      <c r="AR45"/>
      <c r="AS45"/>
      <c r="AT45"/>
      <c r="AU45"/>
      <c r="AV45"/>
      <c r="AW45"/>
      <c r="AX45"/>
    </row>
    <row r="46" spans="1:55" ht="12" customHeight="1" x14ac:dyDescent="0.2">
      <c r="A46"/>
      <c r="B46"/>
      <c r="C46" s="31" t="s">
        <v>6</v>
      </c>
      <c r="D46"/>
      <c r="E46"/>
      <c r="F46" s="47"/>
      <c r="G46" s="47"/>
      <c r="H46" s="47"/>
      <c r="I46" s="47"/>
      <c r="J46" s="47"/>
      <c r="K46" s="47"/>
      <c r="L46" s="47"/>
      <c r="M46" s="47"/>
      <c r="N46" s="47"/>
      <c r="O46" s="47"/>
      <c r="P46" s="47"/>
      <c r="Q46" s="47"/>
      <c r="R46" s="47"/>
      <c r="S46" s="47"/>
      <c r="T46" s="47"/>
      <c r="U46" s="47"/>
      <c r="V46" s="47"/>
      <c r="W46" s="47"/>
      <c r="X46"/>
      <c r="Y46" s="47"/>
      <c r="Z46" s="47"/>
      <c r="AA46" s="47"/>
      <c r="AB46" s="47"/>
      <c r="AC46" s="47"/>
      <c r="AD46"/>
      <c r="AE46"/>
      <c r="AF46"/>
      <c r="AG46"/>
      <c r="AH46" s="47"/>
      <c r="AI46" s="47"/>
      <c r="AJ46" s="57">
        <f>1/$F$23</f>
        <v>4.4600888888888894</v>
      </c>
      <c r="AK46" s="47"/>
      <c r="AL46" s="47"/>
      <c r="AM46" s="47"/>
      <c r="AN46" s="47"/>
      <c r="AO46" s="47"/>
      <c r="AP46" s="47"/>
      <c r="AQ46" s="47"/>
      <c r="AR46" s="47"/>
      <c r="AS46" s="47"/>
      <c r="AT46" s="47"/>
      <c r="AU46" s="47"/>
      <c r="AV46" s="47"/>
      <c r="AW46" s="47"/>
      <c r="AX46"/>
    </row>
    <row r="47" spans="1:55" ht="12" customHeight="1" x14ac:dyDescent="0.2">
      <c r="A47"/>
      <c r="B47"/>
      <c r="C47" s="31" t="s">
        <v>7</v>
      </c>
      <c r="D47"/>
      <c r="E47"/>
      <c r="F47" s="47"/>
      <c r="G47" s="47"/>
      <c r="H47" s="47"/>
      <c r="I47" s="47"/>
      <c r="J47" s="47"/>
      <c r="K47" s="47"/>
      <c r="L47" s="47"/>
      <c r="M47" s="47"/>
      <c r="N47" s="47"/>
      <c r="O47" s="47"/>
      <c r="P47" s="47"/>
      <c r="Q47" s="47"/>
      <c r="R47" s="47"/>
      <c r="S47" s="47"/>
      <c r="T47" s="47"/>
      <c r="U47" s="47"/>
      <c r="V47" s="47"/>
      <c r="W47" s="47"/>
      <c r="X47" s="47"/>
      <c r="Y47" s="47"/>
      <c r="Z47"/>
      <c r="AA47"/>
      <c r="AB47"/>
      <c r="AC47"/>
      <c r="AD47"/>
      <c r="AE47"/>
      <c r="AF47"/>
      <c r="AG47"/>
      <c r="AH47" s="47"/>
      <c r="AI47" s="47"/>
      <c r="AJ47" s="47"/>
      <c r="AK47" s="57">
        <f>1/$H$23</f>
        <v>7</v>
      </c>
      <c r="AL47" s="81"/>
      <c r="AM47" s="47"/>
      <c r="AN47" s="47"/>
      <c r="AO47" s="47"/>
      <c r="AP47" s="47"/>
      <c r="AQ47" s="47"/>
      <c r="AR47" s="47"/>
      <c r="AS47" s="47"/>
      <c r="AT47" s="47"/>
      <c r="AU47" s="47"/>
      <c r="AV47" s="47"/>
      <c r="AW47" s="47"/>
      <c r="AX47"/>
    </row>
    <row r="48" spans="1:55" ht="12" customHeight="1" x14ac:dyDescent="0.2">
      <c r="A48"/>
      <c r="B48"/>
      <c r="C48" s="32" t="s">
        <v>8</v>
      </c>
      <c r="D48"/>
      <c r="E48"/>
      <c r="F48" s="47"/>
      <c r="G48" s="47"/>
      <c r="H48" s="47"/>
      <c r="I48" s="47"/>
      <c r="J48" s="47"/>
      <c r="K48" s="47"/>
      <c r="L48" s="47"/>
      <c r="M48" s="47"/>
      <c r="N48" s="47"/>
      <c r="O48" s="47"/>
      <c r="P48" s="47"/>
      <c r="Q48" s="47"/>
      <c r="R48" s="47"/>
      <c r="S48" s="47"/>
      <c r="T48" s="47"/>
      <c r="U48" s="47"/>
      <c r="V48" s="47"/>
      <c r="W48" s="47"/>
      <c r="X48" s="47"/>
      <c r="Y48" s="47"/>
      <c r="Z48"/>
      <c r="AA48"/>
      <c r="AB48"/>
      <c r="AC48"/>
      <c r="AD48"/>
      <c r="AE48"/>
      <c r="AF48"/>
      <c r="AG48"/>
      <c r="AH48"/>
      <c r="AI48" s="47"/>
      <c r="AJ48" s="47"/>
      <c r="AK48" s="47"/>
      <c r="AL48" s="72">
        <f>IF($J$23=0,0,1/$J$23)</f>
        <v>0.45295418641390212</v>
      </c>
      <c r="AM48" s="81"/>
      <c r="AN48" s="47"/>
      <c r="AO48" s="47"/>
      <c r="AP48" s="47"/>
      <c r="AQ48" s="47"/>
      <c r="AR48" s="47"/>
      <c r="AS48" s="47"/>
      <c r="AT48" s="47"/>
      <c r="AU48" s="47"/>
      <c r="AV48" s="47"/>
      <c r="AW48" s="47"/>
      <c r="AX48"/>
    </row>
    <row r="49" spans="1:55" ht="12" customHeight="1" x14ac:dyDescent="0.2">
      <c r="A49"/>
      <c r="B49"/>
      <c r="C49" s="32" t="s">
        <v>9</v>
      </c>
      <c r="D49"/>
      <c r="E49"/>
      <c r="F49" s="47"/>
      <c r="G49" s="47"/>
      <c r="H49" s="47"/>
      <c r="I49" s="47"/>
      <c r="J49" s="47"/>
      <c r="K49" s="47"/>
      <c r="L49" s="47"/>
      <c r="M49" s="47"/>
      <c r="N49" s="47"/>
      <c r="O49" s="47"/>
      <c r="P49" s="47"/>
      <c r="Q49" s="47"/>
      <c r="R49" s="47"/>
      <c r="S49" s="47"/>
      <c r="T49" s="47"/>
      <c r="U49" s="47"/>
      <c r="V49" s="47"/>
      <c r="W49" s="47"/>
      <c r="X49" s="47"/>
      <c r="Y49" s="47"/>
      <c r="Z49"/>
      <c r="AA49"/>
      <c r="AB49"/>
      <c r="AC49"/>
      <c r="AD49"/>
      <c r="AE49"/>
      <c r="AF49"/>
      <c r="AG49"/>
      <c r="AI49" s="47"/>
      <c r="AJ49" s="47"/>
      <c r="AK49" s="47"/>
      <c r="AL49" s="47"/>
      <c r="AM49" s="48">
        <v>0</v>
      </c>
      <c r="AN49" s="47"/>
      <c r="AO49" s="47"/>
      <c r="AP49" s="47"/>
      <c r="AQ49" s="47"/>
      <c r="AR49" s="47"/>
      <c r="AS49" s="47"/>
      <c r="AT49" s="47"/>
      <c r="AU49" s="47"/>
      <c r="AV49" s="47"/>
      <c r="AW49" s="47"/>
      <c r="AX49"/>
    </row>
    <row r="50" spans="1:55" x14ac:dyDescent="0.2">
      <c r="A50"/>
      <c r="B50"/>
      <c r="C50" s="32" t="s">
        <v>421</v>
      </c>
      <c r="D50"/>
      <c r="E50"/>
      <c r="F50"/>
      <c r="G50"/>
      <c r="H50"/>
      <c r="I50"/>
      <c r="J50"/>
      <c r="K50"/>
      <c r="L50"/>
      <c r="M50"/>
      <c r="N50"/>
      <c r="O50"/>
      <c r="P50"/>
      <c r="Q50"/>
      <c r="R50"/>
      <c r="S50"/>
      <c r="T50"/>
      <c r="U50"/>
      <c r="V50"/>
      <c r="W50"/>
      <c r="X50"/>
      <c r="Y50"/>
      <c r="Z50"/>
      <c r="AA50"/>
      <c r="AB50"/>
      <c r="AC50"/>
      <c r="AD50"/>
      <c r="AE50"/>
      <c r="AF50"/>
      <c r="AG50"/>
      <c r="AH50"/>
      <c r="AI50"/>
      <c r="AJ50"/>
      <c r="AK50"/>
      <c r="AL50"/>
      <c r="AM50"/>
      <c r="AN50" s="72">
        <f>IF($M$23=0,0,1/$M$23)</f>
        <v>0.23598353909465022</v>
      </c>
      <c r="AO50"/>
      <c r="AP50"/>
      <c r="AQ50"/>
      <c r="AR50"/>
      <c r="AS50"/>
      <c r="AT50"/>
      <c r="AU50"/>
      <c r="AV50"/>
      <c r="AW50"/>
      <c r="AX50"/>
    </row>
    <row r="51" spans="1:55" x14ac:dyDescent="0.2">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row>
    <row r="52" spans="1:55" ht="15.75" x14ac:dyDescent="0.2">
      <c r="A52"/>
      <c r="B52" s="52" t="s">
        <v>948</v>
      </c>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row>
    <row r="53" spans="1:55" customFormat="1" ht="24" x14ac:dyDescent="0.2">
      <c r="F53" s="5" t="s">
        <v>946</v>
      </c>
      <c r="H53" s="22" t="s">
        <v>1693</v>
      </c>
      <c r="J53" s="5" t="s">
        <v>947</v>
      </c>
    </row>
    <row r="54" spans="1:55" customFormat="1" x14ac:dyDescent="0.2">
      <c r="C54" t="s">
        <v>949</v>
      </c>
      <c r="E54" s="215" t="s">
        <v>442</v>
      </c>
      <c r="F54" s="33">
        <v>38.799999999999997</v>
      </c>
      <c r="G54" t="s">
        <v>10</v>
      </c>
      <c r="J54" s="58">
        <f>F54/Kbits.per.Mbits*minutes.per.hour/Bits.per.byte</f>
        <v>0.2841796875</v>
      </c>
      <c r="T54" s="81"/>
    </row>
    <row r="55" spans="1:55" customFormat="1" x14ac:dyDescent="0.2">
      <c r="C55" t="s">
        <v>950</v>
      </c>
      <c r="E55" s="215" t="s">
        <v>444</v>
      </c>
      <c r="F55" s="33">
        <v>38.799999999999997</v>
      </c>
      <c r="G55" t="s">
        <v>10</v>
      </c>
      <c r="H55" s="1"/>
      <c r="J55" s="58">
        <f>F55/Kbits.per.Mbits*minutes.per.hour/Bits.per.byte</f>
        <v>0.2841796875</v>
      </c>
    </row>
    <row r="56" spans="1:55" customFormat="1" x14ac:dyDescent="0.2">
      <c r="C56" s="81" t="s">
        <v>951</v>
      </c>
      <c r="E56" s="215" t="s">
        <v>443</v>
      </c>
      <c r="F56" s="33">
        <v>38.799999999999997</v>
      </c>
      <c r="G56" t="s">
        <v>10</v>
      </c>
      <c r="H56" s="22"/>
      <c r="J56" s="58">
        <f>F56/Kbits.per.Mbits*minutes.per.hour/Bits.per.byte</f>
        <v>0.2841796875</v>
      </c>
    </row>
    <row r="57" spans="1:55" customFormat="1" x14ac:dyDescent="0.2">
      <c r="C57" s="81" t="s">
        <v>952</v>
      </c>
      <c r="E57" s="215" t="s">
        <v>445</v>
      </c>
      <c r="F57" s="33">
        <v>38.799999999999997</v>
      </c>
      <c r="G57" t="s">
        <v>10</v>
      </c>
      <c r="H57" s="22"/>
      <c r="J57" s="58">
        <f>F57/Kbits.per.Mbits*minutes.per.hour/Bits.per.byte</f>
        <v>0.2841796875</v>
      </c>
    </row>
    <row r="58" spans="1:55"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row>
    <row r="59" spans="1:55" x14ac:dyDescent="0.2">
      <c r="A59"/>
      <c r="B59"/>
      <c r="C59" t="s">
        <v>953</v>
      </c>
      <c r="D59"/>
      <c r="E59"/>
      <c r="F59" s="217">
        <f t="array" ref="F59:Z59">TRANSPOSE(Proportion.Core.to.Core.Voice)</f>
        <v>0.25</v>
      </c>
      <c r="G59" s="217">
        <v>0.15</v>
      </c>
      <c r="H59" s="217">
        <v>0.15</v>
      </c>
      <c r="I59" s="217">
        <v>0.15</v>
      </c>
      <c r="J59" s="217">
        <v>0.15</v>
      </c>
      <c r="K59" s="217">
        <v>0.15</v>
      </c>
      <c r="L59" s="217">
        <v>0.15</v>
      </c>
      <c r="M59" s="217">
        <v>0.25</v>
      </c>
      <c r="N59" s="217">
        <v>0.15</v>
      </c>
      <c r="O59" s="217">
        <v>0.15</v>
      </c>
      <c r="P59" s="217">
        <v>0.15</v>
      </c>
      <c r="Q59" s="217">
        <v>0.15</v>
      </c>
      <c r="R59" s="217">
        <v>0.15</v>
      </c>
      <c r="S59" s="217">
        <v>0.15</v>
      </c>
      <c r="T59" s="217">
        <v>0.25</v>
      </c>
      <c r="U59" s="217">
        <v>0.15</v>
      </c>
      <c r="V59" s="217">
        <v>0.15</v>
      </c>
      <c r="W59" s="217">
        <v>0.15</v>
      </c>
      <c r="X59" s="217">
        <v>0.15</v>
      </c>
      <c r="Y59" s="217">
        <v>0.15</v>
      </c>
      <c r="Z59" s="217">
        <v>0.15</v>
      </c>
      <c r="AA59" s="34">
        <f>$F59</f>
        <v>0.25</v>
      </c>
      <c r="AB59" s="34">
        <f>$H59</f>
        <v>0.15</v>
      </c>
      <c r="AC59" s="34">
        <f>$K59</f>
        <v>0.15</v>
      </c>
      <c r="AD59" s="34">
        <f>$M59</f>
        <v>0.25</v>
      </c>
      <c r="AE59" s="34">
        <f>$O59</f>
        <v>0.15</v>
      </c>
      <c r="AF59" s="34">
        <f>$R59</f>
        <v>0.15</v>
      </c>
      <c r="AG59" s="34">
        <f>$T59</f>
        <v>0.25</v>
      </c>
      <c r="AH59" s="34">
        <f>$V59</f>
        <v>0.15</v>
      </c>
      <c r="AI59" s="34">
        <f>$Y59</f>
        <v>0.15</v>
      </c>
      <c r="AJ59" s="217">
        <f t="array" ref="AJ59:AN59">Proportion.Core.to.Core.Data</f>
        <v>0.15</v>
      </c>
      <c r="AK59" s="217">
        <v>0.15</v>
      </c>
      <c r="AL59" s="217">
        <v>0.15</v>
      </c>
      <c r="AM59" s="217">
        <v>0.15</v>
      </c>
      <c r="AN59" s="217">
        <v>0.15</v>
      </c>
      <c r="AO59"/>
      <c r="AP59"/>
      <c r="AQ59"/>
      <c r="AR59"/>
      <c r="AS59"/>
      <c r="AT59"/>
      <c r="AU59"/>
      <c r="AV59"/>
      <c r="AW59"/>
      <c r="AX59"/>
    </row>
    <row r="60" spans="1:55" x14ac:dyDescent="0.2">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row>
    <row r="61" spans="1:55" x14ac:dyDescent="0.2">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row>
    <row r="62" spans="1:55" ht="48" x14ac:dyDescent="0.2">
      <c r="A62"/>
      <c r="B62"/>
      <c r="C62"/>
      <c r="D62"/>
      <c r="E62"/>
      <c r="F62" s="204" t="str">
        <f t="array" ref="F62:BC62">TRANSPOSE(Network.services.list)</f>
        <v>2G - Tráfico de voz on-net</v>
      </c>
      <c r="G62" s="204" t="str">
        <v>2G - Tráfico de voz saliente a fijo</v>
      </c>
      <c r="H62" s="204" t="str">
        <v>2G - Tráfico de voz saliente a móvil</v>
      </c>
      <c r="I62" s="204" t="str">
        <v>2G - Tráfico de voz saliente a internacional</v>
      </c>
      <c r="J62" s="204" t="str">
        <v>2G - Tráfico de voz entrante desde fijo</v>
      </c>
      <c r="K62" s="204" t="str">
        <v>2G - Tráfico de voz entrante desde móvil</v>
      </c>
      <c r="L62" s="204" t="str">
        <v>2G - Tráfico de voz entrante desde internacional</v>
      </c>
      <c r="M62" s="204" t="str">
        <v>3G - Tráfico de voz on-net</v>
      </c>
      <c r="N62" s="204" t="str">
        <v>3G - Tráfico de voz saliente a fijo</v>
      </c>
      <c r="O62" s="204" t="str">
        <v>3G - Tráfico de voz saliente a móvil</v>
      </c>
      <c r="P62" s="204" t="str">
        <v>3G - Tráfico de voz saliente a internacional</v>
      </c>
      <c r="Q62" s="204" t="str">
        <v>3G - Tráfico de voz entrante desde fijo</v>
      </c>
      <c r="R62" s="204" t="str">
        <v>3G - Tráfico de voz entrante desde móvil</v>
      </c>
      <c r="S62" s="204" t="str">
        <v>3G - Tráfico de voz entrante desde internacional</v>
      </c>
      <c r="T62" s="204" t="str">
        <v>4G - Tráfico de voz on-net</v>
      </c>
      <c r="U62" s="204" t="str">
        <v>4G - Tráfico de voz saliente a fijo</v>
      </c>
      <c r="V62" s="204" t="str">
        <v>4G - Tráfico de voz saliente a móvil</v>
      </c>
      <c r="W62" s="204" t="str">
        <v>4G - Tráfico de voz saliente a internacional</v>
      </c>
      <c r="X62" s="204" t="str">
        <v>4G - Tráfico de voz entrante desde fijo</v>
      </c>
      <c r="Y62" s="204" t="str">
        <v>4G - Tráfico de voz entrante desde móvil</v>
      </c>
      <c r="Z62" s="204" t="str">
        <v>4G - Tráfico de voz entrante desde internacional</v>
      </c>
      <c r="AA62" s="204" t="str">
        <v>2G - SMSs on-net</v>
      </c>
      <c r="AB62" s="204" t="str">
        <v>2G - SMS salientes</v>
      </c>
      <c r="AC62" s="204" t="str">
        <v>2G - SMS entrantes</v>
      </c>
      <c r="AD62" s="204" t="str">
        <v>3G - SMSs on-net</v>
      </c>
      <c r="AE62" s="204" t="str">
        <v>3G - SMS salientes</v>
      </c>
      <c r="AF62" s="204" t="str">
        <v>3G - SMS entrantes</v>
      </c>
      <c r="AG62" s="204" t="str">
        <v>4G - SMSs on-net</v>
      </c>
      <c r="AH62" s="204" t="str">
        <v>4G - SMS salientes</v>
      </c>
      <c r="AI62" s="204" t="str">
        <v>4G - SMS entrantes</v>
      </c>
      <c r="AJ62" s="204" t="str">
        <v>GPRS data Mbytes</v>
      </c>
      <c r="AK62" s="204" t="str">
        <v>R99 data Mbytes</v>
      </c>
      <c r="AL62" s="204" t="str">
        <v>HSDPA data Mbytes</v>
      </c>
      <c r="AM62" s="204" t="str">
        <v>HSUPA data Mbytes</v>
      </c>
      <c r="AN62" s="204" t="str">
        <v>LTE data Mbytes</v>
      </c>
      <c r="AO62" s="204" t="str">
        <v>spare</v>
      </c>
      <c r="AP62" s="204" t="str">
        <v>Suscriptores de solo voz (media del año)</v>
      </c>
      <c r="AQ62" s="204" t="str">
        <v>Suscriptores de voz y datos (media del año)</v>
      </c>
      <c r="AR62" s="204" t="str">
        <v>spare</v>
      </c>
      <c r="AS62" s="204" t="str">
        <v>spare</v>
      </c>
      <c r="AT62" s="204" t="str">
        <v>spare</v>
      </c>
      <c r="AU62" s="204" t="str">
        <v>spare</v>
      </c>
      <c r="AV62" s="204" t="str">
        <v>spare</v>
      </c>
      <c r="AW62" s="204" t="str">
        <v>spare</v>
      </c>
      <c r="AX62" s="204" t="str">
        <v>spare</v>
      </c>
      <c r="AY62" s="204" t="str">
        <v>spare</v>
      </c>
      <c r="AZ62" s="204" t="str">
        <v>spare</v>
      </c>
      <c r="BA62" s="204" t="str">
        <v>spare</v>
      </c>
      <c r="BB62" s="204" t="str">
        <v>spare</v>
      </c>
      <c r="BC62" s="204" t="str">
        <v>spare</v>
      </c>
    </row>
    <row r="63" spans="1:55" x14ac:dyDescent="0.2">
      <c r="A63"/>
      <c r="B63"/>
      <c r="C63" t="s">
        <v>12</v>
      </c>
      <c r="D63"/>
      <c r="E63"/>
      <c r="F63" s="59">
        <f>F$39*(1+F$40)*$J54</f>
        <v>0.61906594669117643</v>
      </c>
      <c r="G63" s="59">
        <f t="shared" ref="G63:L63" si="2">G$39*(1+G$40)*$J54</f>
        <v>0.31111755371093747</v>
      </c>
      <c r="H63" s="59">
        <f t="shared" si="2"/>
        <v>0.31733398437499999</v>
      </c>
      <c r="I63" s="59">
        <f t="shared" si="2"/>
        <v>0.30470377604166665</v>
      </c>
      <c r="J63" s="59">
        <f t="shared" si="2"/>
        <v>0.31111755371093747</v>
      </c>
      <c r="K63" s="59">
        <f t="shared" si="2"/>
        <v>0.31733398437499999</v>
      </c>
      <c r="L63" s="59">
        <f t="shared" si="2"/>
        <v>0.30470377604166665</v>
      </c>
      <c r="M63" s="218">
        <f>M$39*(1+M$40)*(1+M$41)*$J54</f>
        <v>0.74287913602941169</v>
      </c>
      <c r="N63" s="218">
        <f t="shared" ref="N63:S63" si="3">N$39*(1+N$40)*(1+N$41)*$J54</f>
        <v>0.37334106445312498</v>
      </c>
      <c r="O63" s="218">
        <f t="shared" si="3"/>
        <v>0.38080078125</v>
      </c>
      <c r="P63" s="218">
        <f t="shared" si="3"/>
        <v>0.36564453125000002</v>
      </c>
      <c r="Q63" s="218">
        <f t="shared" si="3"/>
        <v>0.37334106445312498</v>
      </c>
      <c r="R63" s="218">
        <f t="shared" si="3"/>
        <v>0.38080078125</v>
      </c>
      <c r="S63" s="218">
        <f t="shared" si="3"/>
        <v>0.36564453125000002</v>
      </c>
      <c r="T63" s="59">
        <f>T$39*$J54</f>
        <v>0.568359375</v>
      </c>
      <c r="U63" s="59">
        <f t="shared" ref="U63:Z63" si="4">U$39*$J54</f>
        <v>0.2841796875</v>
      </c>
      <c r="V63" s="59">
        <f t="shared" si="4"/>
        <v>0.2841796875</v>
      </c>
      <c r="W63" s="59">
        <f t="shared" si="4"/>
        <v>0.2841796875</v>
      </c>
      <c r="X63" s="59">
        <f t="shared" si="4"/>
        <v>0.2841796875</v>
      </c>
      <c r="Y63" s="59">
        <f t="shared" si="4"/>
        <v>0.2841796875</v>
      </c>
      <c r="Z63" s="59">
        <f t="shared" si="4"/>
        <v>0.2841796875</v>
      </c>
      <c r="AA63" s="218">
        <f>AA$39*AA$45*$J54</f>
        <v>7.4101613428943932E-4</v>
      </c>
      <c r="AB63" s="218">
        <f t="shared" ref="AB63:AI63" si="5">AB$39*AB$45*$J54</f>
        <v>3.7050806714471966E-4</v>
      </c>
      <c r="AC63" s="218">
        <f t="shared" si="5"/>
        <v>3.7050806714471966E-4</v>
      </c>
      <c r="AD63" s="218">
        <f t="shared" si="5"/>
        <v>2.8417968749999998E-4</v>
      </c>
      <c r="AE63" s="218">
        <f t="shared" si="5"/>
        <v>1.4208984374999999E-4</v>
      </c>
      <c r="AF63" s="218">
        <f t="shared" si="5"/>
        <v>1.4208984374999999E-4</v>
      </c>
      <c r="AG63" s="218">
        <f t="shared" si="5"/>
        <v>8.0474074074074073E-6</v>
      </c>
      <c r="AH63" s="218">
        <f t="shared" si="5"/>
        <v>4.0237037037037036E-6</v>
      </c>
      <c r="AI63" s="218">
        <f t="shared" si="5"/>
        <v>4.0237037037037036E-6</v>
      </c>
      <c r="AJ63" s="34">
        <f>$F$18</f>
        <v>0.7</v>
      </c>
      <c r="AK63" s="34">
        <f>$H$18</f>
        <v>0.75</v>
      </c>
      <c r="AL63" s="34">
        <f>$J$18</f>
        <v>1</v>
      </c>
      <c r="AM63" s="60">
        <v>0</v>
      </c>
      <c r="AN63" s="34">
        <f>$M$18</f>
        <v>0.8</v>
      </c>
      <c r="AO63"/>
      <c r="AP63"/>
      <c r="AQ63"/>
      <c r="AR63"/>
      <c r="AS63"/>
      <c r="AT63"/>
      <c r="AU63"/>
      <c r="AV63"/>
      <c r="AW63"/>
      <c r="AX63"/>
    </row>
    <row r="64" spans="1:55" x14ac:dyDescent="0.2">
      <c r="A64"/>
      <c r="B64"/>
      <c r="C64" t="s">
        <v>13</v>
      </c>
      <c r="D64"/>
      <c r="E64"/>
      <c r="F64" s="59">
        <f t="shared" ref="F64:L66" si="6">F$39*(1+F$40)*$J55</f>
        <v>0.61906594669117643</v>
      </c>
      <c r="G64" s="59">
        <f t="shared" si="6"/>
        <v>0.31111755371093747</v>
      </c>
      <c r="H64" s="59">
        <f t="shared" si="6"/>
        <v>0.31733398437499999</v>
      </c>
      <c r="I64" s="59">
        <f t="shared" si="6"/>
        <v>0.30470377604166665</v>
      </c>
      <c r="J64" s="59">
        <f t="shared" si="6"/>
        <v>0.31111755371093747</v>
      </c>
      <c r="K64" s="59">
        <f t="shared" si="6"/>
        <v>0.31733398437499999</v>
      </c>
      <c r="L64" s="59">
        <f t="shared" si="6"/>
        <v>0.30470377604166665</v>
      </c>
      <c r="M64" s="218">
        <f t="shared" ref="M64:S64" si="7">M$39*(1+M$40)*(1+M$41)*$J55</f>
        <v>0.74287913602941169</v>
      </c>
      <c r="N64" s="218">
        <f t="shared" si="7"/>
        <v>0.37334106445312498</v>
      </c>
      <c r="O64" s="218">
        <f t="shared" si="7"/>
        <v>0.38080078125</v>
      </c>
      <c r="P64" s="218">
        <f t="shared" si="7"/>
        <v>0.36564453125000002</v>
      </c>
      <c r="Q64" s="218">
        <f t="shared" si="7"/>
        <v>0.37334106445312498</v>
      </c>
      <c r="R64" s="218">
        <f t="shared" si="7"/>
        <v>0.38080078125</v>
      </c>
      <c r="S64" s="218">
        <f t="shared" si="7"/>
        <v>0.36564453125000002</v>
      </c>
      <c r="T64" s="59">
        <f t="shared" ref="T64:Z64" si="8">T$39*$J55</f>
        <v>0.568359375</v>
      </c>
      <c r="U64" s="59">
        <f t="shared" si="8"/>
        <v>0.2841796875</v>
      </c>
      <c r="V64" s="59">
        <f t="shared" si="8"/>
        <v>0.2841796875</v>
      </c>
      <c r="W64" s="59">
        <f t="shared" si="8"/>
        <v>0.2841796875</v>
      </c>
      <c r="X64" s="59">
        <f t="shared" si="8"/>
        <v>0.2841796875</v>
      </c>
      <c r="Y64" s="59">
        <f t="shared" si="8"/>
        <v>0.2841796875</v>
      </c>
      <c r="Z64" s="59">
        <f t="shared" si="8"/>
        <v>0.2841796875</v>
      </c>
      <c r="AA64" s="218">
        <f t="shared" ref="AA64:AI64" si="9">AA$39*AA$45*$J55</f>
        <v>7.4101613428943932E-4</v>
      </c>
      <c r="AB64" s="218">
        <f t="shared" si="9"/>
        <v>3.7050806714471966E-4</v>
      </c>
      <c r="AC64" s="218">
        <f t="shared" si="9"/>
        <v>3.7050806714471966E-4</v>
      </c>
      <c r="AD64" s="218">
        <f t="shared" si="9"/>
        <v>2.8417968749999998E-4</v>
      </c>
      <c r="AE64" s="218">
        <f t="shared" si="9"/>
        <v>1.4208984374999999E-4</v>
      </c>
      <c r="AF64" s="218">
        <f t="shared" si="9"/>
        <v>1.4208984374999999E-4</v>
      </c>
      <c r="AG64" s="218">
        <f t="shared" si="9"/>
        <v>8.0474074074074073E-6</v>
      </c>
      <c r="AH64" s="218">
        <f t="shared" si="9"/>
        <v>4.0237037037037036E-6</v>
      </c>
      <c r="AI64" s="218">
        <f t="shared" si="9"/>
        <v>4.0237037037037036E-6</v>
      </c>
      <c r="AJ64" s="34">
        <f t="shared" ref="AJ64:AJ66" si="10">$F$18</f>
        <v>0.7</v>
      </c>
      <c r="AK64" s="34">
        <f t="shared" ref="AK64:AK66" si="11">$H$18</f>
        <v>0.75</v>
      </c>
      <c r="AL64" s="34">
        <f t="shared" ref="AL64:AL66" si="12">$J$18</f>
        <v>1</v>
      </c>
      <c r="AM64" s="60">
        <v>0</v>
      </c>
      <c r="AN64" s="34">
        <f t="shared" ref="AN64:AN66" si="13">$M$18</f>
        <v>0.8</v>
      </c>
      <c r="AO64"/>
      <c r="AP64"/>
      <c r="AQ64"/>
      <c r="AR64"/>
      <c r="AS64"/>
      <c r="AT64"/>
      <c r="AU64"/>
      <c r="AV64"/>
      <c r="AW64"/>
      <c r="AX64"/>
    </row>
    <row r="65" spans="1:55" x14ac:dyDescent="0.2">
      <c r="A65"/>
      <c r="B65"/>
      <c r="C65" t="s">
        <v>14</v>
      </c>
      <c r="D65"/>
      <c r="E65"/>
      <c r="F65" s="59">
        <f t="shared" si="6"/>
        <v>0.61906594669117643</v>
      </c>
      <c r="G65" s="59">
        <f t="shared" si="6"/>
        <v>0.31111755371093747</v>
      </c>
      <c r="H65" s="59">
        <f t="shared" si="6"/>
        <v>0.31733398437499999</v>
      </c>
      <c r="I65" s="59">
        <f t="shared" si="6"/>
        <v>0.30470377604166665</v>
      </c>
      <c r="J65" s="59">
        <f t="shared" si="6"/>
        <v>0.31111755371093747</v>
      </c>
      <c r="K65" s="59">
        <f t="shared" si="6"/>
        <v>0.31733398437499999</v>
      </c>
      <c r="L65" s="59">
        <f t="shared" si="6"/>
        <v>0.30470377604166665</v>
      </c>
      <c r="M65" s="218">
        <f t="shared" ref="M65:S65" si="14">M$39*(1+M$40)*(1+M$41)*$J56</f>
        <v>0.74287913602941169</v>
      </c>
      <c r="N65" s="218">
        <f t="shared" si="14"/>
        <v>0.37334106445312498</v>
      </c>
      <c r="O65" s="218">
        <f t="shared" si="14"/>
        <v>0.38080078125</v>
      </c>
      <c r="P65" s="218">
        <f t="shared" si="14"/>
        <v>0.36564453125000002</v>
      </c>
      <c r="Q65" s="218">
        <f t="shared" si="14"/>
        <v>0.37334106445312498</v>
      </c>
      <c r="R65" s="218">
        <f t="shared" si="14"/>
        <v>0.38080078125</v>
      </c>
      <c r="S65" s="218">
        <f t="shared" si="14"/>
        <v>0.36564453125000002</v>
      </c>
      <c r="T65" s="59">
        <f t="shared" ref="T65:Z65" si="15">T$39*$J56</f>
        <v>0.568359375</v>
      </c>
      <c r="U65" s="59">
        <f t="shared" si="15"/>
        <v>0.2841796875</v>
      </c>
      <c r="V65" s="59">
        <f t="shared" si="15"/>
        <v>0.2841796875</v>
      </c>
      <c r="W65" s="59">
        <f t="shared" si="15"/>
        <v>0.2841796875</v>
      </c>
      <c r="X65" s="59">
        <f t="shared" si="15"/>
        <v>0.2841796875</v>
      </c>
      <c r="Y65" s="59">
        <f t="shared" si="15"/>
        <v>0.2841796875</v>
      </c>
      <c r="Z65" s="59">
        <f t="shared" si="15"/>
        <v>0.2841796875</v>
      </c>
      <c r="AA65" s="218">
        <f t="shared" ref="AA65:AI65" si="16">AA$39*AA$45*$J56</f>
        <v>7.4101613428943932E-4</v>
      </c>
      <c r="AB65" s="218">
        <f t="shared" si="16"/>
        <v>3.7050806714471966E-4</v>
      </c>
      <c r="AC65" s="218">
        <f t="shared" si="16"/>
        <v>3.7050806714471966E-4</v>
      </c>
      <c r="AD65" s="218">
        <f t="shared" si="16"/>
        <v>2.8417968749999998E-4</v>
      </c>
      <c r="AE65" s="218">
        <f t="shared" si="16"/>
        <v>1.4208984374999999E-4</v>
      </c>
      <c r="AF65" s="218">
        <f t="shared" si="16"/>
        <v>1.4208984374999999E-4</v>
      </c>
      <c r="AG65" s="218">
        <f t="shared" si="16"/>
        <v>8.0474074074074073E-6</v>
      </c>
      <c r="AH65" s="218">
        <f t="shared" si="16"/>
        <v>4.0237037037037036E-6</v>
      </c>
      <c r="AI65" s="218">
        <f t="shared" si="16"/>
        <v>4.0237037037037036E-6</v>
      </c>
      <c r="AJ65" s="34">
        <f t="shared" si="10"/>
        <v>0.7</v>
      </c>
      <c r="AK65" s="34">
        <f t="shared" si="11"/>
        <v>0.75</v>
      </c>
      <c r="AL65" s="34">
        <f t="shared" si="12"/>
        <v>1</v>
      </c>
      <c r="AM65" s="60">
        <v>0</v>
      </c>
      <c r="AN65" s="34">
        <f t="shared" si="13"/>
        <v>0.8</v>
      </c>
      <c r="AO65"/>
      <c r="AP65"/>
      <c r="AQ65"/>
      <c r="AR65"/>
      <c r="AS65"/>
      <c r="AT65"/>
      <c r="AU65"/>
      <c r="AV65"/>
      <c r="AW65"/>
      <c r="AX65"/>
    </row>
    <row r="66" spans="1:55" x14ac:dyDescent="0.2">
      <c r="A66"/>
      <c r="B66"/>
      <c r="C66" t="s">
        <v>15</v>
      </c>
      <c r="D66"/>
      <c r="E66"/>
      <c r="F66" s="59">
        <f t="shared" si="6"/>
        <v>0.61906594669117643</v>
      </c>
      <c r="G66" s="59">
        <f t="shared" si="6"/>
        <v>0.31111755371093747</v>
      </c>
      <c r="H66" s="59">
        <f t="shared" si="6"/>
        <v>0.31733398437499999</v>
      </c>
      <c r="I66" s="59">
        <f t="shared" si="6"/>
        <v>0.30470377604166665</v>
      </c>
      <c r="J66" s="59">
        <f t="shared" si="6"/>
        <v>0.31111755371093747</v>
      </c>
      <c r="K66" s="59">
        <f t="shared" si="6"/>
        <v>0.31733398437499999</v>
      </c>
      <c r="L66" s="59">
        <f t="shared" si="6"/>
        <v>0.30470377604166665</v>
      </c>
      <c r="M66" s="218">
        <f t="shared" ref="M66:S66" si="17">M$39*(1+M$40)*(1+M$41)*$J57</f>
        <v>0.74287913602941169</v>
      </c>
      <c r="N66" s="218">
        <f t="shared" si="17"/>
        <v>0.37334106445312498</v>
      </c>
      <c r="O66" s="218">
        <f t="shared" si="17"/>
        <v>0.38080078125</v>
      </c>
      <c r="P66" s="218">
        <f t="shared" si="17"/>
        <v>0.36564453125000002</v>
      </c>
      <c r="Q66" s="218">
        <f t="shared" si="17"/>
        <v>0.37334106445312498</v>
      </c>
      <c r="R66" s="218">
        <f t="shared" si="17"/>
        <v>0.38080078125</v>
      </c>
      <c r="S66" s="218">
        <f t="shared" si="17"/>
        <v>0.36564453125000002</v>
      </c>
      <c r="T66" s="59">
        <f t="shared" ref="T66:Z66" si="18">T$39*$J57</f>
        <v>0.568359375</v>
      </c>
      <c r="U66" s="59">
        <f t="shared" si="18"/>
        <v>0.2841796875</v>
      </c>
      <c r="V66" s="59">
        <f t="shared" si="18"/>
        <v>0.2841796875</v>
      </c>
      <c r="W66" s="59">
        <f t="shared" si="18"/>
        <v>0.2841796875</v>
      </c>
      <c r="X66" s="59">
        <f t="shared" si="18"/>
        <v>0.2841796875</v>
      </c>
      <c r="Y66" s="59">
        <f t="shared" si="18"/>
        <v>0.2841796875</v>
      </c>
      <c r="Z66" s="59">
        <f t="shared" si="18"/>
        <v>0.2841796875</v>
      </c>
      <c r="AA66" s="218">
        <f t="shared" ref="AA66:AI66" si="19">AA$39*AA$45*$J57</f>
        <v>7.4101613428943932E-4</v>
      </c>
      <c r="AB66" s="218">
        <f t="shared" si="19"/>
        <v>3.7050806714471966E-4</v>
      </c>
      <c r="AC66" s="218">
        <f t="shared" si="19"/>
        <v>3.7050806714471966E-4</v>
      </c>
      <c r="AD66" s="218">
        <f t="shared" si="19"/>
        <v>2.8417968749999998E-4</v>
      </c>
      <c r="AE66" s="218">
        <f t="shared" si="19"/>
        <v>1.4208984374999999E-4</v>
      </c>
      <c r="AF66" s="218">
        <f t="shared" si="19"/>
        <v>1.4208984374999999E-4</v>
      </c>
      <c r="AG66" s="218">
        <f t="shared" si="19"/>
        <v>8.0474074074074073E-6</v>
      </c>
      <c r="AH66" s="218">
        <f t="shared" si="19"/>
        <v>4.0237037037037036E-6</v>
      </c>
      <c r="AI66" s="218">
        <f t="shared" si="19"/>
        <v>4.0237037037037036E-6</v>
      </c>
      <c r="AJ66" s="34">
        <f t="shared" si="10"/>
        <v>0.7</v>
      </c>
      <c r="AK66" s="34">
        <f t="shared" si="11"/>
        <v>0.75</v>
      </c>
      <c r="AL66" s="34">
        <f t="shared" si="12"/>
        <v>1</v>
      </c>
      <c r="AM66" s="60">
        <v>0</v>
      </c>
      <c r="AN66" s="34">
        <f t="shared" si="13"/>
        <v>0.8</v>
      </c>
      <c r="AO66"/>
      <c r="AP66"/>
      <c r="AQ66"/>
      <c r="AR66"/>
      <c r="AS66"/>
      <c r="AT66"/>
      <c r="AU66"/>
      <c r="AV66"/>
      <c r="AW66"/>
      <c r="AX66"/>
    </row>
    <row r="67" spans="1:55" x14ac:dyDescent="0.2">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row>
    <row r="68" spans="1:55" x14ac:dyDescent="0.2">
      <c r="A68"/>
      <c r="B68"/>
      <c r="C68" t="s">
        <v>955</v>
      </c>
      <c r="D68"/>
      <c r="E68"/>
      <c r="F68" s="219">
        <f t="array" ref="F68:AI68">F59:AI59</f>
        <v>0.25</v>
      </c>
      <c r="G68" s="219">
        <v>0.15</v>
      </c>
      <c r="H68" s="219">
        <v>0.15</v>
      </c>
      <c r="I68" s="219">
        <v>0.15</v>
      </c>
      <c r="J68" s="219">
        <v>0.15</v>
      </c>
      <c r="K68" s="219">
        <v>0.15</v>
      </c>
      <c r="L68" s="219">
        <v>0.15</v>
      </c>
      <c r="M68" s="219">
        <v>0.25</v>
      </c>
      <c r="N68" s="219">
        <v>0.15</v>
      </c>
      <c r="O68" s="219">
        <v>0.15</v>
      </c>
      <c r="P68" s="219">
        <v>0.15</v>
      </c>
      <c r="Q68" s="219">
        <v>0.15</v>
      </c>
      <c r="R68" s="219">
        <v>0.15</v>
      </c>
      <c r="S68" s="219">
        <v>0.15</v>
      </c>
      <c r="T68" s="219">
        <v>0.25</v>
      </c>
      <c r="U68" s="219">
        <v>0.15</v>
      </c>
      <c r="V68" s="219">
        <v>0.15</v>
      </c>
      <c r="W68" s="219">
        <v>0.15</v>
      </c>
      <c r="X68" s="219">
        <v>0.15</v>
      </c>
      <c r="Y68" s="219">
        <v>0.15</v>
      </c>
      <c r="Z68" s="219">
        <v>0.15</v>
      </c>
      <c r="AA68" s="219">
        <v>0.25</v>
      </c>
      <c r="AB68" s="219">
        <v>0.15</v>
      </c>
      <c r="AC68" s="219">
        <v>0.15</v>
      </c>
      <c r="AD68" s="219">
        <v>0.25</v>
      </c>
      <c r="AE68" s="219">
        <v>0.15</v>
      </c>
      <c r="AF68" s="219">
        <v>0.15</v>
      </c>
      <c r="AG68" s="219">
        <v>0.25</v>
      </c>
      <c r="AH68" s="219">
        <v>0.15</v>
      </c>
      <c r="AI68" s="219">
        <v>0.15</v>
      </c>
      <c r="AJ68"/>
      <c r="AK68"/>
      <c r="AL68"/>
      <c r="AM68"/>
      <c r="AN68"/>
      <c r="AO68"/>
      <c r="AP68"/>
      <c r="AQ68"/>
      <c r="AR68"/>
      <c r="AS68"/>
      <c r="AT68"/>
      <c r="AU68"/>
      <c r="AV68"/>
      <c r="AW68"/>
      <c r="AX68"/>
    </row>
    <row r="69" spans="1:55" x14ac:dyDescent="0.2">
      <c r="A69"/>
      <c r="B69"/>
      <c r="C69" t="s">
        <v>954</v>
      </c>
      <c r="D69"/>
      <c r="E69"/>
      <c r="F69"/>
      <c r="G69"/>
      <c r="H69"/>
      <c r="I69"/>
      <c r="J69"/>
      <c r="K69"/>
      <c r="L69"/>
      <c r="M69"/>
      <c r="N69"/>
      <c r="O69"/>
      <c r="P69"/>
      <c r="Q69"/>
      <c r="R69"/>
      <c r="S69"/>
      <c r="T69"/>
      <c r="U69"/>
      <c r="V69"/>
      <c r="W69"/>
      <c r="X69"/>
      <c r="Y69"/>
      <c r="Z69"/>
      <c r="AA69"/>
      <c r="AB69"/>
      <c r="AC69"/>
      <c r="AD69"/>
      <c r="AE69"/>
      <c r="AF69"/>
      <c r="AG69"/>
      <c r="AH69"/>
      <c r="AI69"/>
      <c r="AJ69" s="34">
        <f t="array" ref="AJ69:AN69">AJ59:AN59</f>
        <v>0.15</v>
      </c>
      <c r="AK69" s="34">
        <v>0.15</v>
      </c>
      <c r="AL69" s="34">
        <v>0.15</v>
      </c>
      <c r="AM69" s="34">
        <v>0.15</v>
      </c>
      <c r="AN69" s="34">
        <v>0.15</v>
      </c>
      <c r="AO69"/>
      <c r="AP69"/>
      <c r="AQ69"/>
      <c r="AR69"/>
      <c r="AS69"/>
      <c r="AT69"/>
      <c r="AU69"/>
      <c r="AV69"/>
      <c r="AW69"/>
      <c r="AX69"/>
    </row>
    <row r="70" spans="1:55" x14ac:dyDescent="0.2">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row>
    <row r="71" spans="1:55" x14ac:dyDescent="0.2">
      <c r="A71"/>
      <c r="B71"/>
      <c r="C71" t="s">
        <v>956</v>
      </c>
      <c r="D71"/>
      <c r="E71"/>
      <c r="F71" s="61">
        <f t="array" ref="F71:AI72">F65:AI66*F68:AI68</f>
        <v>0.15476648667279411</v>
      </c>
      <c r="G71" s="61">
        <v>4.6667633056640616E-2</v>
      </c>
      <c r="H71" s="61">
        <v>4.760009765625E-2</v>
      </c>
      <c r="I71" s="61">
        <v>4.5705566406249995E-2</v>
      </c>
      <c r="J71" s="61">
        <v>4.6667633056640616E-2</v>
      </c>
      <c r="K71" s="61">
        <v>4.760009765625E-2</v>
      </c>
      <c r="L71" s="61">
        <v>4.5705566406249995E-2</v>
      </c>
      <c r="M71" s="61">
        <v>0.18571978400735292</v>
      </c>
      <c r="N71" s="61">
        <v>5.6001159667968745E-2</v>
      </c>
      <c r="O71" s="61">
        <v>5.71201171875E-2</v>
      </c>
      <c r="P71" s="61">
        <v>5.4846679687500004E-2</v>
      </c>
      <c r="Q71" s="61">
        <v>5.6001159667968745E-2</v>
      </c>
      <c r="R71" s="61">
        <v>5.71201171875E-2</v>
      </c>
      <c r="S71" s="61">
        <v>5.4846679687500004E-2</v>
      </c>
      <c r="T71" s="61">
        <v>0.14208984375</v>
      </c>
      <c r="U71" s="61">
        <v>4.2626953124999999E-2</v>
      </c>
      <c r="V71" s="61">
        <v>4.2626953124999999E-2</v>
      </c>
      <c r="W71" s="61">
        <v>4.2626953124999999E-2</v>
      </c>
      <c r="X71" s="61">
        <v>4.2626953124999999E-2</v>
      </c>
      <c r="Y71" s="61">
        <v>4.2626953124999999E-2</v>
      </c>
      <c r="Z71" s="61">
        <v>4.2626953124999999E-2</v>
      </c>
      <c r="AA71" s="61">
        <v>1.8525403357235983E-4</v>
      </c>
      <c r="AB71">
        <v>5.5576210071707945E-5</v>
      </c>
      <c r="AC71">
        <v>5.5576210071707945E-5</v>
      </c>
      <c r="AD71" s="72">
        <v>7.1044921874999995E-5</v>
      </c>
      <c r="AE71" s="72">
        <v>2.1313476562499997E-5</v>
      </c>
      <c r="AF71" s="72">
        <v>2.1313476562499997E-5</v>
      </c>
      <c r="AG71" s="72">
        <v>2.0118518518518518E-6</v>
      </c>
      <c r="AH71" s="72">
        <v>6.0355555555555552E-7</v>
      </c>
      <c r="AI71" s="72">
        <v>6.0355555555555552E-7</v>
      </c>
      <c r="AJ71" s="220">
        <f t="array" ref="AJ71:AN72">AJ65:AN66*AJ69:AN69</f>
        <v>0.105</v>
      </c>
      <c r="AK71" s="220">
        <v>0.11249999999999999</v>
      </c>
      <c r="AL71" s="220">
        <v>0.15</v>
      </c>
      <c r="AM71" s="220">
        <v>0</v>
      </c>
      <c r="AN71" s="220">
        <v>0.12</v>
      </c>
      <c r="AO71"/>
      <c r="AP71"/>
      <c r="AQ71"/>
      <c r="AR71"/>
      <c r="AS71"/>
      <c r="AT71"/>
      <c r="AU71"/>
      <c r="AV71"/>
      <c r="AW71"/>
      <c r="AX71"/>
    </row>
    <row r="72" spans="1:55" x14ac:dyDescent="0.2">
      <c r="A72"/>
      <c r="B72"/>
      <c r="C72" t="s">
        <v>957</v>
      </c>
      <c r="D72"/>
      <c r="E72"/>
      <c r="F72" s="61">
        <v>0.15476648667279411</v>
      </c>
      <c r="G72" s="61">
        <v>4.6667633056640616E-2</v>
      </c>
      <c r="H72" s="61">
        <v>4.760009765625E-2</v>
      </c>
      <c r="I72" s="61">
        <v>4.5705566406249995E-2</v>
      </c>
      <c r="J72" s="61">
        <v>4.6667633056640616E-2</v>
      </c>
      <c r="K72" s="61">
        <v>4.760009765625E-2</v>
      </c>
      <c r="L72" s="61">
        <v>4.5705566406249995E-2</v>
      </c>
      <c r="M72" s="61">
        <v>0.18571978400735292</v>
      </c>
      <c r="N72" s="61">
        <v>5.6001159667968745E-2</v>
      </c>
      <c r="O72" s="61">
        <v>5.71201171875E-2</v>
      </c>
      <c r="P72" s="61">
        <v>5.4846679687500004E-2</v>
      </c>
      <c r="Q72" s="61">
        <v>5.6001159667968745E-2</v>
      </c>
      <c r="R72" s="61">
        <v>5.71201171875E-2</v>
      </c>
      <c r="S72" s="61">
        <v>5.4846679687500004E-2</v>
      </c>
      <c r="T72" s="61">
        <v>0.14208984375</v>
      </c>
      <c r="U72" s="61">
        <v>4.2626953124999999E-2</v>
      </c>
      <c r="V72" s="61">
        <v>4.2626953124999999E-2</v>
      </c>
      <c r="W72" s="61">
        <v>4.2626953124999999E-2</v>
      </c>
      <c r="X72" s="61">
        <v>4.2626953124999999E-2</v>
      </c>
      <c r="Y72" s="61">
        <v>4.2626953124999999E-2</v>
      </c>
      <c r="Z72" s="61">
        <v>4.2626953124999999E-2</v>
      </c>
      <c r="AA72" s="61">
        <v>1.8525403357235983E-4</v>
      </c>
      <c r="AB72">
        <v>5.5576210071707945E-5</v>
      </c>
      <c r="AC72">
        <v>5.5576210071707945E-5</v>
      </c>
      <c r="AD72" s="72">
        <v>7.1044921874999995E-5</v>
      </c>
      <c r="AE72" s="72">
        <v>2.1313476562499997E-5</v>
      </c>
      <c r="AF72" s="72">
        <v>2.1313476562499997E-5</v>
      </c>
      <c r="AG72" s="72">
        <v>2.0118518518518518E-6</v>
      </c>
      <c r="AH72" s="72">
        <v>6.0355555555555552E-7</v>
      </c>
      <c r="AI72" s="72">
        <v>6.0355555555555552E-7</v>
      </c>
      <c r="AJ72" s="220">
        <v>0.105</v>
      </c>
      <c r="AK72" s="220">
        <v>0.11249999999999999</v>
      </c>
      <c r="AL72" s="220">
        <v>0.15</v>
      </c>
      <c r="AM72" s="220">
        <v>0</v>
      </c>
      <c r="AN72" s="220">
        <v>0.12</v>
      </c>
      <c r="AO72"/>
      <c r="AP72"/>
      <c r="AQ72"/>
      <c r="AR72"/>
      <c r="AS72"/>
      <c r="AT72"/>
      <c r="AU72"/>
      <c r="AV72"/>
      <c r="AW72"/>
      <c r="AX72"/>
    </row>
    <row r="73" spans="1:55" x14ac:dyDescent="0.2">
      <c r="A73"/>
      <c r="B73" s="9"/>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row>
    <row r="74" spans="1:55" x14ac:dyDescent="0.2">
      <c r="A74"/>
      <c r="B74" s="9"/>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row>
    <row r="75" spans="1:55" x14ac:dyDescent="0.2">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row>
    <row r="76" spans="1:55" s="86" customFormat="1" ht="15.75" x14ac:dyDescent="0.2">
      <c r="A76" s="171" t="s">
        <v>958</v>
      </c>
      <c r="B76" s="171"/>
      <c r="C76" s="171"/>
      <c r="D76" s="171"/>
      <c r="E76" s="171"/>
      <c r="F76" s="171"/>
      <c r="G76" s="171"/>
      <c r="H76" s="171"/>
      <c r="I76" s="171"/>
      <c r="J76" s="171"/>
      <c r="K76" s="171"/>
      <c r="L76" s="171"/>
      <c r="M76" s="171"/>
      <c r="N76" s="171"/>
      <c r="O76" s="171"/>
      <c r="P76" s="171"/>
      <c r="Q76" s="171"/>
      <c r="R76" s="171"/>
      <c r="S76" s="171"/>
      <c r="T76" s="171"/>
      <c r="U76" s="171"/>
      <c r="V76" s="171"/>
      <c r="W76" s="171"/>
      <c r="X76" s="171"/>
      <c r="Y76" s="171"/>
      <c r="Z76" s="171"/>
      <c r="AA76" s="171"/>
      <c r="AB76" s="171"/>
      <c r="AC76" s="171"/>
      <c r="AD76" s="171"/>
      <c r="AE76" s="171"/>
      <c r="AF76" s="171"/>
      <c r="AG76" s="171"/>
      <c r="AH76" s="171"/>
      <c r="AI76" s="171"/>
      <c r="AJ76" s="171"/>
      <c r="AK76" s="171"/>
      <c r="AL76" s="171"/>
      <c r="AM76" s="171"/>
      <c r="AN76" s="171"/>
      <c r="AO76" s="171"/>
      <c r="AP76" s="171"/>
      <c r="AQ76" s="171"/>
      <c r="AR76" s="171"/>
      <c r="AS76" s="171"/>
      <c r="AT76" s="171"/>
      <c r="AU76" s="171"/>
      <c r="AV76" s="171"/>
      <c r="AW76" s="171"/>
      <c r="AX76" s="171"/>
      <c r="AY76" s="171"/>
      <c r="AZ76" s="171"/>
      <c r="BA76" s="171"/>
      <c r="BB76" s="171"/>
      <c r="BC76" s="171"/>
    </row>
    <row r="77" spans="1:55" customFormat="1" x14ac:dyDescent="0.2"/>
    <row r="78" spans="1:55" x14ac:dyDescent="0.2">
      <c r="A78"/>
      <c r="B78"/>
      <c r="C78" s="81"/>
      <c r="D78" s="81"/>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row>
    <row r="79" spans="1:55" x14ac:dyDescent="0.2">
      <c r="A79"/>
      <c r="B79"/>
      <c r="C79" s="81"/>
      <c r="D79" s="81"/>
      <c r="E79"/>
      <c r="F79" s="36">
        <v>1</v>
      </c>
      <c r="G79" s="36">
        <f>F79+1</f>
        <v>2</v>
      </c>
      <c r="H79" s="36">
        <f t="shared" ref="H79:AW79" si="20">G79+1</f>
        <v>3</v>
      </c>
      <c r="I79" s="36">
        <f t="shared" si="20"/>
        <v>4</v>
      </c>
      <c r="J79" s="36">
        <f t="shared" si="20"/>
        <v>5</v>
      </c>
      <c r="K79" s="36">
        <f t="shared" si="20"/>
        <v>6</v>
      </c>
      <c r="L79" s="36">
        <f t="shared" si="20"/>
        <v>7</v>
      </c>
      <c r="M79" s="36">
        <f t="shared" si="20"/>
        <v>8</v>
      </c>
      <c r="N79" s="36">
        <f t="shared" si="20"/>
        <v>9</v>
      </c>
      <c r="O79" s="36">
        <f t="shared" si="20"/>
        <v>10</v>
      </c>
      <c r="P79" s="36">
        <f t="shared" si="20"/>
        <v>11</v>
      </c>
      <c r="Q79" s="36">
        <f t="shared" si="20"/>
        <v>12</v>
      </c>
      <c r="R79" s="36">
        <f t="shared" si="20"/>
        <v>13</v>
      </c>
      <c r="S79" s="36">
        <f t="shared" si="20"/>
        <v>14</v>
      </c>
      <c r="T79" s="36">
        <f t="shared" si="20"/>
        <v>15</v>
      </c>
      <c r="U79" s="36">
        <f t="shared" si="20"/>
        <v>16</v>
      </c>
      <c r="V79" s="36">
        <f t="shared" si="20"/>
        <v>17</v>
      </c>
      <c r="W79" s="36">
        <f t="shared" si="20"/>
        <v>18</v>
      </c>
      <c r="X79" s="36">
        <f t="shared" si="20"/>
        <v>19</v>
      </c>
      <c r="Y79" s="36">
        <f t="shared" si="20"/>
        <v>20</v>
      </c>
      <c r="Z79" s="36">
        <f t="shared" si="20"/>
        <v>21</v>
      </c>
      <c r="AA79" s="36">
        <f t="shared" si="20"/>
        <v>22</v>
      </c>
      <c r="AB79" s="36">
        <f t="shared" si="20"/>
        <v>23</v>
      </c>
      <c r="AC79" s="36">
        <f t="shared" si="20"/>
        <v>24</v>
      </c>
      <c r="AD79" s="36">
        <f t="shared" si="20"/>
        <v>25</v>
      </c>
      <c r="AE79" s="36">
        <f t="shared" si="20"/>
        <v>26</v>
      </c>
      <c r="AF79" s="36">
        <f t="shared" si="20"/>
        <v>27</v>
      </c>
      <c r="AG79" s="36">
        <f t="shared" si="20"/>
        <v>28</v>
      </c>
      <c r="AH79" s="36">
        <f t="shared" si="20"/>
        <v>29</v>
      </c>
      <c r="AI79" s="36">
        <f t="shared" si="20"/>
        <v>30</v>
      </c>
      <c r="AJ79" s="36">
        <f t="shared" si="20"/>
        <v>31</v>
      </c>
      <c r="AK79" s="36">
        <f t="shared" si="20"/>
        <v>32</v>
      </c>
      <c r="AL79" s="36">
        <f t="shared" si="20"/>
        <v>33</v>
      </c>
      <c r="AM79" s="36">
        <f t="shared" si="20"/>
        <v>34</v>
      </c>
      <c r="AN79" s="36">
        <f t="shared" si="20"/>
        <v>35</v>
      </c>
      <c r="AO79" s="36">
        <f t="shared" si="20"/>
        <v>36</v>
      </c>
      <c r="AP79" s="36">
        <f t="shared" si="20"/>
        <v>37</v>
      </c>
      <c r="AQ79" s="36">
        <f t="shared" si="20"/>
        <v>38</v>
      </c>
      <c r="AR79" s="36">
        <f t="shared" si="20"/>
        <v>39</v>
      </c>
      <c r="AS79" s="36">
        <f t="shared" si="20"/>
        <v>40</v>
      </c>
      <c r="AT79" s="36">
        <f t="shared" si="20"/>
        <v>41</v>
      </c>
      <c r="AU79" s="36">
        <f t="shared" si="20"/>
        <v>42</v>
      </c>
      <c r="AV79" s="36">
        <f t="shared" si="20"/>
        <v>43</v>
      </c>
      <c r="AW79" s="36">
        <f t="shared" si="20"/>
        <v>44</v>
      </c>
      <c r="AX79" s="36">
        <f t="shared" ref="AX79" si="21">AW79+1</f>
        <v>45</v>
      </c>
      <c r="AY79" s="36">
        <f t="shared" ref="AY79" si="22">AX79+1</f>
        <v>46</v>
      </c>
      <c r="AZ79" s="36">
        <f t="shared" ref="AZ79" si="23">AY79+1</f>
        <v>47</v>
      </c>
      <c r="BA79" s="36">
        <f t="shared" ref="BA79" si="24">AZ79+1</f>
        <v>48</v>
      </c>
      <c r="BB79" s="36">
        <f t="shared" ref="BB79" si="25">BA79+1</f>
        <v>49</v>
      </c>
      <c r="BC79" s="36">
        <f t="shared" ref="BC79" si="26">BB79+1</f>
        <v>50</v>
      </c>
    </row>
    <row r="80" spans="1:55" ht="48" x14ac:dyDescent="0.2">
      <c r="A80"/>
      <c r="B80" s="37"/>
      <c r="C80" s="38" t="s">
        <v>962</v>
      </c>
      <c r="D80"/>
      <c r="E80"/>
      <c r="F80" s="227" t="str">
        <f t="array" ref="F80:BC80">TRANSPOSE(Network.services.list)</f>
        <v>2G - Tráfico de voz on-net</v>
      </c>
      <c r="G80" s="227" t="str">
        <v>2G - Tráfico de voz saliente a fijo</v>
      </c>
      <c r="H80" s="227" t="str">
        <v>2G - Tráfico de voz saliente a móvil</v>
      </c>
      <c r="I80" s="227" t="str">
        <v>2G - Tráfico de voz saliente a internacional</v>
      </c>
      <c r="J80" s="227" t="str">
        <v>2G - Tráfico de voz entrante desde fijo</v>
      </c>
      <c r="K80" s="227" t="str">
        <v>2G - Tráfico de voz entrante desde móvil</v>
      </c>
      <c r="L80" s="227" t="str">
        <v>2G - Tráfico de voz entrante desde internacional</v>
      </c>
      <c r="M80" s="227" t="str">
        <v>3G - Tráfico de voz on-net</v>
      </c>
      <c r="N80" s="227" t="str">
        <v>3G - Tráfico de voz saliente a fijo</v>
      </c>
      <c r="O80" s="227" t="str">
        <v>3G - Tráfico de voz saliente a móvil</v>
      </c>
      <c r="P80" s="227" t="str">
        <v>3G - Tráfico de voz saliente a internacional</v>
      </c>
      <c r="Q80" s="227" t="str">
        <v>3G - Tráfico de voz entrante desde fijo</v>
      </c>
      <c r="R80" s="227" t="str">
        <v>3G - Tráfico de voz entrante desde móvil</v>
      </c>
      <c r="S80" s="227" t="str">
        <v>3G - Tráfico de voz entrante desde internacional</v>
      </c>
      <c r="T80" s="227" t="str">
        <v>4G - Tráfico de voz on-net</v>
      </c>
      <c r="U80" s="227" t="str">
        <v>4G - Tráfico de voz saliente a fijo</v>
      </c>
      <c r="V80" s="227" t="str">
        <v>4G - Tráfico de voz saliente a móvil</v>
      </c>
      <c r="W80" s="227" t="str">
        <v>4G - Tráfico de voz saliente a internacional</v>
      </c>
      <c r="X80" s="227" t="str">
        <v>4G - Tráfico de voz entrante desde fijo</v>
      </c>
      <c r="Y80" s="227" t="str">
        <v>4G - Tráfico de voz entrante desde móvil</v>
      </c>
      <c r="Z80" s="227" t="str">
        <v>4G - Tráfico de voz entrante desde internacional</v>
      </c>
      <c r="AA80" s="227" t="str">
        <v>2G - SMSs on-net</v>
      </c>
      <c r="AB80" s="227" t="str">
        <v>2G - SMS salientes</v>
      </c>
      <c r="AC80" s="227" t="str">
        <v>2G - SMS entrantes</v>
      </c>
      <c r="AD80" s="227" t="str">
        <v>3G - SMSs on-net</v>
      </c>
      <c r="AE80" s="227" t="str">
        <v>3G - SMS salientes</v>
      </c>
      <c r="AF80" s="227" t="str">
        <v>3G - SMS entrantes</v>
      </c>
      <c r="AG80" s="227" t="str">
        <v>4G - SMSs on-net</v>
      </c>
      <c r="AH80" s="227" t="str">
        <v>4G - SMS salientes</v>
      </c>
      <c r="AI80" s="227" t="str">
        <v>4G - SMS entrantes</v>
      </c>
      <c r="AJ80" s="227" t="str">
        <v>GPRS data Mbytes</v>
      </c>
      <c r="AK80" s="227" t="str">
        <v>R99 data Mbytes</v>
      </c>
      <c r="AL80" s="227" t="str">
        <v>HSDPA data Mbytes</v>
      </c>
      <c r="AM80" s="227" t="str">
        <v>HSUPA data Mbytes</v>
      </c>
      <c r="AN80" s="227" t="str">
        <v>LTE data Mbytes</v>
      </c>
      <c r="AO80" s="227" t="str">
        <v>spare</v>
      </c>
      <c r="AP80" s="227" t="str">
        <v>Suscriptores de solo voz (media del año)</v>
      </c>
      <c r="AQ80" s="227" t="str">
        <v>Suscriptores de voz y datos (media del año)</v>
      </c>
      <c r="AR80" s="227" t="str">
        <v>spare</v>
      </c>
      <c r="AS80" s="227" t="str">
        <v>spare</v>
      </c>
      <c r="AT80" s="227" t="str">
        <v>spare</v>
      </c>
      <c r="AU80" s="227" t="str">
        <v>spare</v>
      </c>
      <c r="AV80" s="227" t="str">
        <v>spare</v>
      </c>
      <c r="AW80" s="227" t="str">
        <v>spare</v>
      </c>
      <c r="AX80" s="227" t="str">
        <v>spare</v>
      </c>
      <c r="AY80" s="227" t="str">
        <v>spare</v>
      </c>
      <c r="AZ80" s="227" t="str">
        <v>spare</v>
      </c>
      <c r="BA80" s="227" t="str">
        <v>spare</v>
      </c>
      <c r="BB80" s="227" t="str">
        <v>spare</v>
      </c>
      <c r="BC80" s="227" t="str">
        <v>spare</v>
      </c>
    </row>
    <row r="81" spans="1:55" x14ac:dyDescent="0.2">
      <c r="A81"/>
      <c r="B81"/>
      <c r="C81" s="6" t="s">
        <v>1506</v>
      </c>
      <c r="D81"/>
      <c r="E81"/>
      <c r="F81" s="221">
        <f t="shared" ref="F81:L81" si="27">F39*(1+F40)</f>
        <v>2.1784313725490194</v>
      </c>
      <c r="G81" s="221">
        <f t="shared" si="27"/>
        <v>1.0947916666666666</v>
      </c>
      <c r="H81" s="221">
        <f t="shared" si="27"/>
        <v>1.1166666666666667</v>
      </c>
      <c r="I81" s="221">
        <f t="shared" si="27"/>
        <v>1.0722222222222222</v>
      </c>
      <c r="J81" s="221">
        <f t="shared" si="27"/>
        <v>1.0947916666666666</v>
      </c>
      <c r="K81" s="221">
        <f t="shared" si="27"/>
        <v>1.1166666666666667</v>
      </c>
      <c r="L81" s="221">
        <f t="shared" si="27"/>
        <v>1.0722222222222222</v>
      </c>
      <c r="M81" s="221">
        <f t="shared" ref="M81:S81" si="28">M39*(1+M40)*(1+M41+M42)</f>
        <v>2.8319607843137256</v>
      </c>
      <c r="N81" s="221">
        <f t="shared" si="28"/>
        <v>1.4232291666666665</v>
      </c>
      <c r="O81" s="221">
        <f t="shared" si="28"/>
        <v>1.4516666666666667</v>
      </c>
      <c r="P81" s="221">
        <f t="shared" si="28"/>
        <v>1.393888888888889</v>
      </c>
      <c r="Q81" s="221">
        <f t="shared" si="28"/>
        <v>1.4232291666666665</v>
      </c>
      <c r="R81" s="221">
        <f t="shared" si="28"/>
        <v>1.4516666666666667</v>
      </c>
      <c r="S81" s="221">
        <f t="shared" si="28"/>
        <v>1.393888888888889</v>
      </c>
      <c r="T81" s="221">
        <f>T39</f>
        <v>2</v>
      </c>
      <c r="U81" s="221">
        <f t="shared" ref="U81:Z81" si="29">U39</f>
        <v>1</v>
      </c>
      <c r="V81" s="221">
        <f t="shared" si="29"/>
        <v>1</v>
      </c>
      <c r="W81" s="221">
        <f t="shared" si="29"/>
        <v>1</v>
      </c>
      <c r="X81" s="221">
        <f t="shared" si="29"/>
        <v>1</v>
      </c>
      <c r="Y81" s="221">
        <f t="shared" si="29"/>
        <v>1</v>
      </c>
      <c r="Z81" s="221">
        <f t="shared" si="29"/>
        <v>1</v>
      </c>
      <c r="AA81" s="221">
        <f>AA39*AA45</f>
        <v>2.6075619295958278E-3</v>
      </c>
      <c r="AB81" s="221">
        <f t="shared" ref="AB81:AI81" si="30">AB39*AB45</f>
        <v>1.3037809647979139E-3</v>
      </c>
      <c r="AC81" s="221">
        <f t="shared" si="30"/>
        <v>1.3037809647979139E-3</v>
      </c>
      <c r="AD81" s="221">
        <f t="shared" si="30"/>
        <v>1E-3</v>
      </c>
      <c r="AE81" s="221">
        <f t="shared" si="30"/>
        <v>5.0000000000000001E-4</v>
      </c>
      <c r="AF81" s="221">
        <f t="shared" si="30"/>
        <v>5.0000000000000001E-4</v>
      </c>
      <c r="AG81" s="221">
        <f t="shared" si="30"/>
        <v>2.8318024691358027E-5</v>
      </c>
      <c r="AH81" s="221">
        <f t="shared" si="30"/>
        <v>1.4159012345679013E-5</v>
      </c>
      <c r="AI81" s="221">
        <f t="shared" si="30"/>
        <v>1.4159012345679013E-5</v>
      </c>
      <c r="AJ81" s="221">
        <f>AJ46</f>
        <v>4.4600888888888894</v>
      </c>
      <c r="AK81" s="221">
        <f>AK47*(1+AK42+AK41)</f>
        <v>9.1</v>
      </c>
      <c r="AL81" s="221">
        <f>AL48</f>
        <v>0.45295418641390212</v>
      </c>
      <c r="AM81" s="221">
        <f>AM49</f>
        <v>0</v>
      </c>
      <c r="AN81" s="221">
        <f>AN50</f>
        <v>0.23598353909465022</v>
      </c>
      <c r="AO81" s="221"/>
      <c r="AP81" s="221"/>
      <c r="AQ81" s="221"/>
      <c r="AR81" s="221"/>
      <c r="AS81" s="221"/>
      <c r="AT81" s="221"/>
      <c r="AU81" s="221"/>
      <c r="AV81" s="221"/>
      <c r="AW81" s="221"/>
      <c r="AX81" s="221"/>
      <c r="AY81" s="221"/>
      <c r="AZ81" s="221"/>
      <c r="BA81" s="221"/>
      <c r="BB81" s="221"/>
      <c r="BC81" s="221"/>
    </row>
    <row r="82" spans="1:55" hidden="1" outlineLevel="1" x14ac:dyDescent="0.2">
      <c r="A82"/>
      <c r="B82"/>
      <c r="C82" s="6" t="s">
        <v>1507</v>
      </c>
      <c r="D82"/>
      <c r="E82"/>
      <c r="F82" s="221">
        <f t="shared" ref="F82:L82" si="31">F$81</f>
        <v>2.1784313725490194</v>
      </c>
      <c r="G82" s="221">
        <f t="shared" si="31"/>
        <v>1.0947916666666666</v>
      </c>
      <c r="H82" s="221">
        <f t="shared" si="31"/>
        <v>1.1166666666666667</v>
      </c>
      <c r="I82" s="221">
        <f t="shared" si="31"/>
        <v>1.0722222222222222</v>
      </c>
      <c r="J82" s="221">
        <f t="shared" si="31"/>
        <v>1.0947916666666666</v>
      </c>
      <c r="K82" s="221">
        <f t="shared" si="31"/>
        <v>1.1166666666666667</v>
      </c>
      <c r="L82" s="221">
        <f t="shared" si="31"/>
        <v>1.0722222222222222</v>
      </c>
      <c r="M82" s="221"/>
      <c r="N82" s="221"/>
      <c r="O82" s="221"/>
      <c r="P82" s="221"/>
      <c r="Q82" s="221"/>
      <c r="R82" s="221"/>
      <c r="S82" s="221"/>
      <c r="T82" s="221"/>
      <c r="U82" s="221"/>
      <c r="V82" s="221"/>
      <c r="W82" s="221"/>
      <c r="X82" s="221"/>
      <c r="Y82" s="221"/>
      <c r="Z82" s="221"/>
      <c r="AA82" s="221"/>
      <c r="AB82" s="221"/>
      <c r="AC82" s="221"/>
      <c r="AD82" s="221"/>
      <c r="AE82" s="221"/>
      <c r="AF82" s="221"/>
      <c r="AG82" s="221"/>
      <c r="AH82" s="221"/>
      <c r="AI82" s="221"/>
      <c r="AJ82" s="221">
        <f>AJ$81</f>
        <v>4.4600888888888894</v>
      </c>
      <c r="AK82" s="221"/>
      <c r="AL82" s="221"/>
      <c r="AM82" s="221"/>
      <c r="AN82" s="221"/>
      <c r="AO82" s="221"/>
      <c r="AP82" s="221"/>
      <c r="AQ82" s="221"/>
      <c r="AR82" s="221"/>
      <c r="AS82" s="221"/>
      <c r="AT82" s="221"/>
      <c r="AU82" s="221"/>
      <c r="AV82" s="221"/>
      <c r="AW82" s="221"/>
      <c r="AX82" s="221"/>
      <c r="AY82" s="221"/>
      <c r="AZ82" s="221"/>
      <c r="BA82" s="221"/>
      <c r="BB82" s="221"/>
      <c r="BC82" s="221"/>
    </row>
    <row r="83" spans="1:55" hidden="1" outlineLevel="1" x14ac:dyDescent="0.2">
      <c r="A83"/>
      <c r="B83"/>
      <c r="C83" s="6" t="s">
        <v>1508</v>
      </c>
      <c r="D83"/>
      <c r="E83"/>
      <c r="F83" s="221"/>
      <c r="G83" s="221"/>
      <c r="H83" s="221"/>
      <c r="I83" s="221"/>
      <c r="J83" s="221"/>
      <c r="K83" s="221"/>
      <c r="L83" s="221"/>
      <c r="M83" s="221">
        <f t="shared" ref="M83:S84" si="32">M$81</f>
        <v>2.8319607843137256</v>
      </c>
      <c r="N83" s="221">
        <f t="shared" si="32"/>
        <v>1.4232291666666665</v>
      </c>
      <c r="O83" s="221">
        <f t="shared" si="32"/>
        <v>1.4516666666666667</v>
      </c>
      <c r="P83" s="221">
        <f t="shared" si="32"/>
        <v>1.393888888888889</v>
      </c>
      <c r="Q83" s="221">
        <f t="shared" si="32"/>
        <v>1.4232291666666665</v>
      </c>
      <c r="R83" s="221">
        <f t="shared" si="32"/>
        <v>1.4516666666666667</v>
      </c>
      <c r="S83" s="221">
        <f t="shared" si="32"/>
        <v>1.393888888888889</v>
      </c>
      <c r="T83" s="221"/>
      <c r="U83" s="221"/>
      <c r="V83" s="221"/>
      <c r="W83" s="221"/>
      <c r="X83" s="221"/>
      <c r="Y83" s="221"/>
      <c r="Z83" s="221"/>
      <c r="AA83" s="221"/>
      <c r="AB83" s="221"/>
      <c r="AC83" s="221"/>
      <c r="AD83" s="221">
        <f t="shared" ref="AD83:AF84" si="33">AD$81</f>
        <v>1E-3</v>
      </c>
      <c r="AE83" s="221">
        <f t="shared" si="33"/>
        <v>5.0000000000000001E-4</v>
      </c>
      <c r="AF83" s="221">
        <f t="shared" si="33"/>
        <v>5.0000000000000001E-4</v>
      </c>
      <c r="AG83" s="221"/>
      <c r="AH83" s="221"/>
      <c r="AI83" s="221"/>
      <c r="AJ83" s="221"/>
      <c r="AK83" s="221">
        <f>AK$81</f>
        <v>9.1</v>
      </c>
      <c r="AL83" s="221">
        <f>AL$81</f>
        <v>0.45295418641390212</v>
      </c>
      <c r="AM83" s="221">
        <f>AM$81</f>
        <v>0</v>
      </c>
      <c r="AN83" s="221"/>
      <c r="AO83" s="221"/>
      <c r="AP83" s="221"/>
      <c r="AQ83" s="221"/>
      <c r="AR83" s="221"/>
      <c r="AS83" s="221"/>
      <c r="AT83" s="221"/>
      <c r="AU83" s="221"/>
      <c r="AV83" s="221"/>
      <c r="AW83" s="221"/>
      <c r="AX83" s="221"/>
      <c r="AY83" s="221"/>
      <c r="AZ83" s="221"/>
      <c r="BA83" s="221"/>
      <c r="BB83" s="221"/>
      <c r="BC83" s="221"/>
    </row>
    <row r="84" spans="1:55" hidden="1" outlineLevel="1" x14ac:dyDescent="0.2">
      <c r="A84"/>
      <c r="B84"/>
      <c r="C84" s="6" t="s">
        <v>1509</v>
      </c>
      <c r="D84"/>
      <c r="E84"/>
      <c r="F84" s="221"/>
      <c r="G84" s="221"/>
      <c r="H84" s="221"/>
      <c r="I84" s="221"/>
      <c r="J84" s="221"/>
      <c r="K84" s="221"/>
      <c r="L84" s="221"/>
      <c r="M84" s="221">
        <f t="shared" si="32"/>
        <v>2.8319607843137256</v>
      </c>
      <c r="N84" s="221">
        <f t="shared" si="32"/>
        <v>1.4232291666666665</v>
      </c>
      <c r="O84" s="221">
        <f t="shared" si="32"/>
        <v>1.4516666666666667</v>
      </c>
      <c r="P84" s="221">
        <f t="shared" si="32"/>
        <v>1.393888888888889</v>
      </c>
      <c r="Q84" s="221">
        <f t="shared" si="32"/>
        <v>1.4232291666666665</v>
      </c>
      <c r="R84" s="221">
        <f t="shared" si="32"/>
        <v>1.4516666666666667</v>
      </c>
      <c r="S84" s="221">
        <f t="shared" si="32"/>
        <v>1.393888888888889</v>
      </c>
      <c r="T84" s="221"/>
      <c r="U84" s="221"/>
      <c r="V84" s="221"/>
      <c r="W84" s="221"/>
      <c r="X84" s="221"/>
      <c r="Y84" s="221"/>
      <c r="Z84" s="221"/>
      <c r="AA84" s="221"/>
      <c r="AB84" s="221"/>
      <c r="AC84" s="221"/>
      <c r="AD84" s="221">
        <f t="shared" si="33"/>
        <v>1E-3</v>
      </c>
      <c r="AE84" s="221">
        <f t="shared" si="33"/>
        <v>5.0000000000000001E-4</v>
      </c>
      <c r="AF84" s="221">
        <f t="shared" si="33"/>
        <v>5.0000000000000001E-4</v>
      </c>
      <c r="AG84" s="221"/>
      <c r="AH84" s="221"/>
      <c r="AI84" s="221"/>
      <c r="AJ84" s="221"/>
      <c r="AK84" s="221">
        <f>AK$81</f>
        <v>9.1</v>
      </c>
      <c r="AL84" s="221"/>
      <c r="AM84" s="221"/>
      <c r="AN84" s="221"/>
      <c r="AO84" s="221"/>
      <c r="AP84" s="221"/>
      <c r="AQ84" s="221"/>
      <c r="AR84" s="221"/>
      <c r="AS84" s="221"/>
      <c r="AT84" s="221"/>
      <c r="AU84" s="221"/>
      <c r="AV84" s="221"/>
      <c r="AW84" s="221"/>
      <c r="AX84" s="221"/>
      <c r="AY84" s="221"/>
      <c r="AZ84" s="221"/>
      <c r="BA84" s="221"/>
      <c r="BB84" s="221"/>
      <c r="BC84" s="221"/>
    </row>
    <row r="85" spans="1:55" hidden="1" outlineLevel="1" x14ac:dyDescent="0.2">
      <c r="A85"/>
      <c r="B85"/>
      <c r="C85" s="6" t="s">
        <v>1510</v>
      </c>
      <c r="D85"/>
      <c r="E85"/>
      <c r="F85" s="221"/>
      <c r="G85" s="221"/>
      <c r="H85" s="221"/>
      <c r="I85" s="221"/>
      <c r="J85" s="221"/>
      <c r="K85" s="221"/>
      <c r="L85" s="221"/>
      <c r="M85" s="221"/>
      <c r="N85" s="221"/>
      <c r="O85" s="221"/>
      <c r="P85" s="221"/>
      <c r="Q85" s="221"/>
      <c r="R85" s="221"/>
      <c r="S85" s="221"/>
      <c r="T85" s="221"/>
      <c r="U85" s="221"/>
      <c r="V85" s="221"/>
      <c r="W85" s="221"/>
      <c r="X85" s="221"/>
      <c r="Y85" s="221"/>
      <c r="Z85" s="221"/>
      <c r="AA85" s="221"/>
      <c r="AB85" s="221"/>
      <c r="AC85" s="221"/>
      <c r="AD85" s="221"/>
      <c r="AE85" s="221"/>
      <c r="AF85" s="223">
        <v>1</v>
      </c>
      <c r="AG85" s="221"/>
      <c r="AH85" s="221"/>
      <c r="AI85" s="221"/>
      <c r="AJ85" s="221"/>
      <c r="AK85" s="221"/>
      <c r="AL85" s="223">
        <v>1</v>
      </c>
      <c r="AM85" s="221"/>
      <c r="AN85" s="221"/>
      <c r="AO85" s="221"/>
      <c r="AP85" s="221"/>
      <c r="AQ85" s="221"/>
      <c r="AR85" s="221"/>
      <c r="AS85" s="221"/>
      <c r="AT85" s="221"/>
      <c r="AU85" s="221"/>
      <c r="AV85" s="221"/>
      <c r="AW85" s="221"/>
      <c r="AX85" s="221"/>
      <c r="AY85" s="221"/>
      <c r="AZ85" s="221"/>
      <c r="BA85" s="221"/>
      <c r="BB85" s="221"/>
      <c r="BC85" s="221"/>
    </row>
    <row r="86" spans="1:55" hidden="1" outlineLevel="1" x14ac:dyDescent="0.2">
      <c r="A86"/>
      <c r="B86"/>
      <c r="C86" s="6" t="s">
        <v>1511</v>
      </c>
      <c r="D86"/>
      <c r="E86"/>
      <c r="F86" s="221"/>
      <c r="G86" s="221"/>
      <c r="H86" s="221"/>
      <c r="I86" s="221"/>
      <c r="J86" s="221"/>
      <c r="K86" s="221"/>
      <c r="L86" s="221"/>
      <c r="M86" s="221"/>
      <c r="N86" s="221"/>
      <c r="O86" s="221"/>
      <c r="P86" s="221"/>
      <c r="Q86" s="221"/>
      <c r="R86" s="221"/>
      <c r="S86" s="221"/>
      <c r="T86" s="221"/>
      <c r="U86" s="221"/>
      <c r="V86" s="221"/>
      <c r="W86" s="221"/>
      <c r="X86" s="221"/>
      <c r="Y86" s="221"/>
      <c r="Z86" s="221"/>
      <c r="AA86" s="221"/>
      <c r="AB86" s="221"/>
      <c r="AC86" s="221"/>
      <c r="AD86" s="221"/>
      <c r="AE86" s="221"/>
      <c r="AF86" s="221"/>
      <c r="AG86" s="223">
        <v>1</v>
      </c>
      <c r="AH86" s="221"/>
      <c r="AI86" s="221"/>
      <c r="AJ86" s="221"/>
      <c r="AK86" s="221"/>
      <c r="AL86" s="221"/>
      <c r="AM86" s="223">
        <v>1</v>
      </c>
      <c r="AN86" s="221"/>
      <c r="AO86" s="221"/>
      <c r="AP86" s="221"/>
      <c r="AQ86" s="221"/>
      <c r="AR86" s="221"/>
      <c r="AS86" s="221"/>
      <c r="AT86" s="221"/>
      <c r="AU86" s="221"/>
      <c r="AV86" s="221"/>
      <c r="AW86" s="221"/>
      <c r="AX86" s="221"/>
      <c r="AY86" s="221"/>
      <c r="AZ86" s="221"/>
      <c r="BA86" s="221"/>
      <c r="BB86" s="221"/>
      <c r="BC86" s="221"/>
    </row>
    <row r="87" spans="1:55" hidden="1" outlineLevel="1" x14ac:dyDescent="0.2">
      <c r="A87"/>
      <c r="B87"/>
      <c r="C87" s="6" t="s">
        <v>1512</v>
      </c>
      <c r="D87"/>
      <c r="E87"/>
      <c r="F87" s="221"/>
      <c r="G87" s="221"/>
      <c r="H87" s="221"/>
      <c r="I87" s="221"/>
      <c r="J87" s="221"/>
      <c r="K87" s="221"/>
      <c r="L87" s="221"/>
      <c r="M87" s="221"/>
      <c r="N87" s="221"/>
      <c r="O87" s="221"/>
      <c r="P87" s="221"/>
      <c r="Q87" s="221"/>
      <c r="R87" s="221"/>
      <c r="S87" s="221"/>
      <c r="T87" s="221"/>
      <c r="U87" s="221"/>
      <c r="V87" s="221"/>
      <c r="W87" s="221"/>
      <c r="X87" s="221"/>
      <c r="Y87" s="221"/>
      <c r="Z87" s="221"/>
      <c r="AA87" s="221"/>
      <c r="AB87" s="221"/>
      <c r="AC87" s="221"/>
      <c r="AD87" s="223">
        <v>1</v>
      </c>
      <c r="AE87" s="223">
        <v>1</v>
      </c>
      <c r="AF87" s="223">
        <v>1</v>
      </c>
      <c r="AG87" s="223">
        <v>1</v>
      </c>
      <c r="AH87" s="221"/>
      <c r="AI87" s="221"/>
      <c r="AJ87" s="223">
        <v>1</v>
      </c>
      <c r="AK87" s="223">
        <v>1</v>
      </c>
      <c r="AL87" s="223">
        <v>1</v>
      </c>
      <c r="AM87" s="223">
        <v>1</v>
      </c>
      <c r="AN87" s="221"/>
      <c r="AO87" s="221"/>
      <c r="AP87" s="221"/>
      <c r="AQ87" s="221"/>
      <c r="AR87" s="221"/>
      <c r="AS87" s="221"/>
      <c r="AT87" s="221"/>
      <c r="AU87" s="221"/>
      <c r="AV87" s="221"/>
      <c r="AW87" s="221"/>
      <c r="AX87" s="221"/>
      <c r="AY87" s="221"/>
      <c r="AZ87" s="221"/>
      <c r="BA87" s="221"/>
      <c r="BB87" s="221"/>
      <c r="BC87" s="221"/>
    </row>
    <row r="88" spans="1:55" hidden="1" outlineLevel="1" x14ac:dyDescent="0.2">
      <c r="A88"/>
      <c r="B88"/>
      <c r="C88" s="87" t="s">
        <v>1513</v>
      </c>
      <c r="F88" s="221"/>
      <c r="G88" s="221"/>
      <c r="H88" s="221"/>
      <c r="I88" s="221"/>
      <c r="J88" s="221"/>
      <c r="K88" s="221"/>
      <c r="L88" s="221"/>
      <c r="M88" s="221"/>
      <c r="N88" s="221"/>
      <c r="O88" s="221"/>
      <c r="P88" s="221"/>
      <c r="Q88" s="221"/>
      <c r="R88" s="221"/>
      <c r="S88" s="221"/>
      <c r="T88" s="221">
        <f t="shared" ref="T88:Z88" si="34">T$81</f>
        <v>2</v>
      </c>
      <c r="U88" s="221">
        <f t="shared" si="34"/>
        <v>1</v>
      </c>
      <c r="V88" s="221">
        <f t="shared" si="34"/>
        <v>1</v>
      </c>
      <c r="W88" s="221">
        <f t="shared" si="34"/>
        <v>1</v>
      </c>
      <c r="X88" s="221">
        <f t="shared" si="34"/>
        <v>1</v>
      </c>
      <c r="Y88" s="221">
        <f t="shared" si="34"/>
        <v>1</v>
      </c>
      <c r="Z88" s="221">
        <f t="shared" si="34"/>
        <v>1</v>
      </c>
      <c r="AA88" s="221"/>
      <c r="AB88" s="221"/>
      <c r="AC88" s="221"/>
      <c r="AD88" s="221"/>
      <c r="AE88" s="221"/>
      <c r="AF88" s="221"/>
      <c r="AG88" s="221">
        <f t="shared" ref="AG88:AI89" si="35">AG$81</f>
        <v>2.8318024691358027E-5</v>
      </c>
      <c r="AH88" s="221">
        <f t="shared" si="35"/>
        <v>1.4159012345679013E-5</v>
      </c>
      <c r="AI88" s="221">
        <f t="shared" si="35"/>
        <v>1.4159012345679013E-5</v>
      </c>
      <c r="AJ88" s="221"/>
      <c r="AK88" s="221"/>
      <c r="AL88" s="221"/>
      <c r="AM88" s="221"/>
      <c r="AN88" s="221">
        <f t="shared" ref="AN88:AN89" si="36">AN$81</f>
        <v>0.23598353909465022</v>
      </c>
      <c r="AO88" s="221"/>
      <c r="AP88" s="221"/>
      <c r="AQ88" s="221"/>
      <c r="AR88" s="221"/>
      <c r="AS88" s="221"/>
      <c r="AT88" s="221"/>
      <c r="AU88" s="221"/>
      <c r="AV88" s="221"/>
      <c r="AW88" s="221"/>
      <c r="AX88" s="221"/>
      <c r="AY88" s="221"/>
      <c r="AZ88" s="221"/>
      <c r="BA88" s="221"/>
      <c r="BB88" s="221"/>
      <c r="BC88" s="221"/>
    </row>
    <row r="89" spans="1:55" hidden="1" outlineLevel="1" x14ac:dyDescent="0.2">
      <c r="A89"/>
      <c r="B89"/>
      <c r="C89" s="87" t="s">
        <v>1514</v>
      </c>
      <c r="D89"/>
      <c r="E89"/>
      <c r="F89" s="221"/>
      <c r="G89" s="221"/>
      <c r="H89" s="221"/>
      <c r="I89" s="221"/>
      <c r="J89" s="221"/>
      <c r="K89" s="221"/>
      <c r="L89" s="221"/>
      <c r="M89" s="221"/>
      <c r="N89" s="221"/>
      <c r="O89" s="221"/>
      <c r="P89" s="221"/>
      <c r="Q89" s="221"/>
      <c r="R89" s="221"/>
      <c r="S89" s="221"/>
      <c r="T89" s="221"/>
      <c r="U89" s="221"/>
      <c r="V89" s="221"/>
      <c r="W89" s="221"/>
      <c r="X89" s="221"/>
      <c r="Y89" s="221"/>
      <c r="Z89" s="221"/>
      <c r="AA89" s="221"/>
      <c r="AB89" s="221"/>
      <c r="AC89" s="221"/>
      <c r="AD89" s="221"/>
      <c r="AE89" s="221"/>
      <c r="AF89" s="221"/>
      <c r="AG89" s="221">
        <f t="shared" si="35"/>
        <v>2.8318024691358027E-5</v>
      </c>
      <c r="AH89" s="221">
        <f t="shared" si="35"/>
        <v>1.4159012345679013E-5</v>
      </c>
      <c r="AI89" s="221">
        <f t="shared" si="35"/>
        <v>1.4159012345679013E-5</v>
      </c>
      <c r="AJ89" s="221"/>
      <c r="AK89" s="221"/>
      <c r="AL89" s="221"/>
      <c r="AM89" s="221"/>
      <c r="AN89" s="221">
        <f t="shared" si="36"/>
        <v>0.23598353909465022</v>
      </c>
      <c r="AO89" s="221"/>
      <c r="AP89" s="221"/>
      <c r="AQ89" s="221"/>
      <c r="AR89" s="221"/>
      <c r="AS89" s="221"/>
      <c r="AT89" s="221"/>
      <c r="AU89" s="221"/>
      <c r="AV89" s="221"/>
      <c r="AW89" s="221"/>
      <c r="AX89" s="221"/>
      <c r="AY89" s="221"/>
      <c r="AZ89" s="221"/>
      <c r="BA89" s="221"/>
      <c r="BB89" s="221"/>
      <c r="BC89" s="221"/>
    </row>
    <row r="90" spans="1:55" hidden="1" outlineLevel="1" x14ac:dyDescent="0.2">
      <c r="A90"/>
      <c r="B90"/>
      <c r="C90" s="87" t="s">
        <v>1515</v>
      </c>
      <c r="D90" s="81"/>
      <c r="E90" s="81"/>
      <c r="F90" s="221"/>
      <c r="G90" s="221"/>
      <c r="H90" s="221"/>
      <c r="I90" s="221"/>
      <c r="J90" s="221"/>
      <c r="K90" s="221"/>
      <c r="L90" s="221"/>
      <c r="M90" s="221"/>
      <c r="N90" s="221"/>
      <c r="O90" s="221"/>
      <c r="P90" s="221"/>
      <c r="Q90" s="221"/>
      <c r="R90" s="221"/>
      <c r="S90" s="221"/>
      <c r="T90" s="221">
        <f t="shared" ref="T90:Z90" si="37">T$81</f>
        <v>2</v>
      </c>
      <c r="U90" s="221">
        <f t="shared" si="37"/>
        <v>1</v>
      </c>
      <c r="V90" s="221">
        <f t="shared" si="37"/>
        <v>1</v>
      </c>
      <c r="W90" s="221">
        <f t="shared" si="37"/>
        <v>1</v>
      </c>
      <c r="X90" s="221">
        <f t="shared" si="37"/>
        <v>1</v>
      </c>
      <c r="Y90" s="221">
        <f t="shared" si="37"/>
        <v>1</v>
      </c>
      <c r="Z90" s="221">
        <f t="shared" si="37"/>
        <v>1</v>
      </c>
      <c r="AA90" s="221"/>
      <c r="AB90" s="221"/>
      <c r="AC90" s="221"/>
      <c r="AD90" s="221"/>
      <c r="AE90" s="221"/>
      <c r="AF90" s="221"/>
      <c r="AG90" s="221"/>
      <c r="AH90" s="221"/>
      <c r="AI90" s="221"/>
      <c r="AJ90" s="221"/>
      <c r="AK90" s="221"/>
      <c r="AL90" s="221"/>
      <c r="AM90" s="221"/>
      <c r="AN90" s="221"/>
      <c r="AO90" s="221"/>
      <c r="AP90" s="221"/>
      <c r="AQ90" s="221"/>
      <c r="AR90" s="221"/>
      <c r="AS90" s="221"/>
      <c r="AT90" s="221"/>
      <c r="AU90" s="221"/>
      <c r="AV90" s="221"/>
      <c r="AW90" s="221"/>
      <c r="AX90" s="221"/>
      <c r="AY90" s="221"/>
      <c r="AZ90" s="221"/>
      <c r="BA90" s="221"/>
      <c r="BB90" s="221"/>
      <c r="BC90" s="221"/>
    </row>
    <row r="91" spans="1:55" hidden="1" outlineLevel="1" x14ac:dyDescent="0.2">
      <c r="A91"/>
      <c r="B91"/>
      <c r="C91" s="87" t="s">
        <v>1536</v>
      </c>
      <c r="D91" s="81"/>
      <c r="E91" s="81"/>
      <c r="F91" s="221">
        <f t="shared" ref="F91:L91" si="38">F$81</f>
        <v>2.1784313725490194</v>
      </c>
      <c r="G91" s="221">
        <f t="shared" si="38"/>
        <v>1.0947916666666666</v>
      </c>
      <c r="H91" s="221">
        <f t="shared" si="38"/>
        <v>1.1166666666666667</v>
      </c>
      <c r="I91" s="221">
        <f t="shared" si="38"/>
        <v>1.0722222222222222</v>
      </c>
      <c r="J91" s="221">
        <f t="shared" si="38"/>
        <v>1.0947916666666666</v>
      </c>
      <c r="K91" s="221">
        <f t="shared" si="38"/>
        <v>1.1166666666666667</v>
      </c>
      <c r="L91" s="221">
        <f t="shared" si="38"/>
        <v>1.0722222222222222</v>
      </c>
      <c r="M91" s="221"/>
      <c r="N91" s="221"/>
      <c r="O91" s="221"/>
      <c r="P91" s="221"/>
      <c r="Q91" s="221"/>
      <c r="R91" s="221"/>
      <c r="S91" s="221"/>
      <c r="T91" s="221"/>
      <c r="U91" s="221"/>
      <c r="V91" s="221"/>
      <c r="W91" s="221"/>
      <c r="X91" s="221"/>
      <c r="Y91" s="221"/>
      <c r="Z91" s="221"/>
      <c r="AA91" s="221">
        <f t="shared" ref="AA91:AC91" si="39">AA$81</f>
        <v>2.6075619295958278E-3</v>
      </c>
      <c r="AB91" s="221">
        <f t="shared" si="39"/>
        <v>1.3037809647979139E-3</v>
      </c>
      <c r="AC91" s="221">
        <f t="shared" si="39"/>
        <v>1.3037809647979139E-3</v>
      </c>
      <c r="AD91" s="221"/>
      <c r="AE91" s="221"/>
      <c r="AF91" s="221"/>
      <c r="AG91" s="221"/>
      <c r="AH91" s="221"/>
      <c r="AI91" s="221"/>
      <c r="AJ91" s="221"/>
      <c r="AK91" s="221"/>
      <c r="AL91" s="221"/>
      <c r="AM91" s="221"/>
      <c r="AN91" s="221"/>
      <c r="AO91" s="221"/>
      <c r="AP91" s="221"/>
      <c r="AQ91" s="221"/>
      <c r="AR91" s="221"/>
      <c r="AS91" s="221"/>
      <c r="AT91" s="221"/>
      <c r="AU91" s="221"/>
      <c r="AV91" s="221"/>
      <c r="AW91" s="221"/>
      <c r="AX91" s="221"/>
      <c r="AY91" s="221"/>
      <c r="AZ91" s="221"/>
      <c r="BA91" s="221"/>
      <c r="BB91" s="221"/>
      <c r="BC91" s="221"/>
    </row>
    <row r="92" spans="1:55" hidden="1" outlineLevel="1" x14ac:dyDescent="0.2">
      <c r="A92"/>
      <c r="B92"/>
      <c r="C92" s="87" t="s">
        <v>1537</v>
      </c>
      <c r="D92" s="81"/>
      <c r="E92" s="81"/>
      <c r="F92" s="221"/>
      <c r="G92" s="221"/>
      <c r="H92" s="221"/>
      <c r="I92" s="221"/>
      <c r="J92" s="221"/>
      <c r="K92" s="221"/>
      <c r="L92" s="221"/>
      <c r="M92" s="221">
        <f t="shared" ref="M92:S92" si="40">M$81</f>
        <v>2.8319607843137256</v>
      </c>
      <c r="N92" s="221">
        <f t="shared" si="40"/>
        <v>1.4232291666666665</v>
      </c>
      <c r="O92" s="221">
        <f t="shared" si="40"/>
        <v>1.4516666666666667</v>
      </c>
      <c r="P92" s="221">
        <f t="shared" si="40"/>
        <v>1.393888888888889</v>
      </c>
      <c r="Q92" s="221">
        <f t="shared" si="40"/>
        <v>1.4232291666666665</v>
      </c>
      <c r="R92" s="221">
        <f t="shared" si="40"/>
        <v>1.4516666666666667</v>
      </c>
      <c r="S92" s="221">
        <f t="shared" si="40"/>
        <v>1.393888888888889</v>
      </c>
      <c r="T92" s="221"/>
      <c r="U92" s="221"/>
      <c r="V92" s="221"/>
      <c r="W92" s="221"/>
      <c r="X92" s="221"/>
      <c r="Y92" s="221"/>
      <c r="Z92" s="221"/>
      <c r="AA92" s="221"/>
      <c r="AB92" s="221"/>
      <c r="AC92" s="221"/>
      <c r="AD92" s="221">
        <f t="shared" ref="AD92:AF92" si="41">AD$81</f>
        <v>1E-3</v>
      </c>
      <c r="AE92" s="221">
        <f t="shared" si="41"/>
        <v>5.0000000000000001E-4</v>
      </c>
      <c r="AF92" s="221">
        <f t="shared" si="41"/>
        <v>5.0000000000000001E-4</v>
      </c>
      <c r="AG92" s="221"/>
      <c r="AH92" s="221"/>
      <c r="AI92" s="221"/>
      <c r="AJ92" s="221"/>
      <c r="AK92" s="221"/>
      <c r="AL92" s="221"/>
      <c r="AM92" s="221"/>
      <c r="AN92" s="221"/>
      <c r="AO92" s="221"/>
      <c r="AP92" s="221"/>
      <c r="AQ92" s="221"/>
      <c r="AR92" s="221"/>
      <c r="AS92" s="221"/>
      <c r="AT92" s="221"/>
      <c r="AU92" s="221"/>
      <c r="AV92" s="221"/>
      <c r="AW92" s="221"/>
      <c r="AX92" s="221"/>
      <c r="AY92" s="221"/>
      <c r="AZ92" s="221"/>
      <c r="BA92" s="221"/>
      <c r="BB92" s="221"/>
      <c r="BC92" s="221"/>
    </row>
    <row r="93" spans="1:55" hidden="1" outlineLevel="1" x14ac:dyDescent="0.2">
      <c r="A93"/>
      <c r="B93"/>
      <c r="C93" s="87" t="s">
        <v>1535</v>
      </c>
      <c r="D93" s="81"/>
      <c r="E93" s="81"/>
      <c r="F93" s="221"/>
      <c r="G93" s="221"/>
      <c r="H93" s="221"/>
      <c r="I93" s="221"/>
      <c r="J93" s="221"/>
      <c r="K93" s="221"/>
      <c r="L93" s="221"/>
      <c r="M93" s="221"/>
      <c r="N93" s="221"/>
      <c r="O93" s="221"/>
      <c r="P93" s="221"/>
      <c r="Q93" s="221"/>
      <c r="R93" s="221"/>
      <c r="S93" s="221"/>
      <c r="T93" s="221"/>
      <c r="U93" s="221"/>
      <c r="V93" s="221"/>
      <c r="W93" s="221"/>
      <c r="X93" s="221"/>
      <c r="Y93" s="221"/>
      <c r="Z93" s="221"/>
      <c r="AA93" s="221"/>
      <c r="AB93" s="221"/>
      <c r="AC93" s="221"/>
      <c r="AD93" s="221"/>
      <c r="AE93" s="221"/>
      <c r="AF93" s="221"/>
      <c r="AG93" s="221"/>
      <c r="AH93" s="221"/>
      <c r="AI93" s="221"/>
      <c r="AJ93" s="223">
        <v>1</v>
      </c>
      <c r="AK93" s="221"/>
      <c r="AL93" s="221"/>
      <c r="AM93" s="221"/>
      <c r="AN93" s="221"/>
      <c r="AO93" s="221"/>
      <c r="AP93" s="221"/>
      <c r="AQ93" s="221"/>
      <c r="AR93" s="221"/>
      <c r="AS93" s="221"/>
      <c r="AT93" s="221"/>
      <c r="AU93" s="221"/>
      <c r="AV93" s="221"/>
      <c r="AW93" s="221"/>
      <c r="AX93" s="221"/>
      <c r="AY93" s="221"/>
      <c r="AZ93" s="221"/>
      <c r="BA93" s="221"/>
      <c r="BB93" s="221"/>
      <c r="BC93" s="221"/>
    </row>
    <row r="94" spans="1:55" hidden="1" outlineLevel="1" x14ac:dyDescent="0.2">
      <c r="A94"/>
      <c r="B94"/>
      <c r="C94" s="87" t="s">
        <v>1534</v>
      </c>
      <c r="D94" s="81"/>
      <c r="E94" s="81"/>
      <c r="F94" s="221"/>
      <c r="G94" s="221"/>
      <c r="H94" s="221"/>
      <c r="I94" s="221"/>
      <c r="J94" s="221"/>
      <c r="K94" s="221"/>
      <c r="L94" s="221"/>
      <c r="M94" s="221"/>
      <c r="N94" s="221"/>
      <c r="O94" s="221"/>
      <c r="P94" s="221"/>
      <c r="Q94" s="221"/>
      <c r="R94" s="221"/>
      <c r="S94" s="221"/>
      <c r="T94" s="221"/>
      <c r="U94" s="221"/>
      <c r="V94" s="221"/>
      <c r="W94" s="221"/>
      <c r="X94" s="221"/>
      <c r="Y94" s="221"/>
      <c r="Z94" s="221"/>
      <c r="AA94" s="221"/>
      <c r="AB94" s="221"/>
      <c r="AC94" s="221"/>
      <c r="AD94" s="221"/>
      <c r="AE94" s="221"/>
      <c r="AF94" s="221"/>
      <c r="AG94" s="221"/>
      <c r="AH94" s="221"/>
      <c r="AI94" s="221"/>
      <c r="AJ94" s="221"/>
      <c r="AK94" s="223">
        <v>1</v>
      </c>
      <c r="AL94" s="223">
        <v>1</v>
      </c>
      <c r="AM94" s="223">
        <v>1</v>
      </c>
      <c r="AN94" s="221"/>
      <c r="AO94" s="221"/>
      <c r="AP94" s="221"/>
      <c r="AQ94" s="221"/>
      <c r="AR94" s="221"/>
      <c r="AS94" s="221"/>
      <c r="AT94" s="221"/>
      <c r="AU94" s="221"/>
      <c r="AV94" s="221"/>
      <c r="AW94" s="221"/>
      <c r="AX94" s="221"/>
      <c r="AY94" s="221"/>
      <c r="AZ94" s="221"/>
      <c r="BA94" s="221"/>
      <c r="BB94" s="221"/>
      <c r="BC94" s="221"/>
    </row>
    <row r="95" spans="1:55" hidden="1" outlineLevel="1" x14ac:dyDescent="0.2">
      <c r="A95"/>
      <c r="B95"/>
      <c r="C95" s="87" t="s">
        <v>1533</v>
      </c>
      <c r="D95" s="81"/>
      <c r="E95" s="81"/>
      <c r="F95" s="221">
        <f t="shared" ref="F95:S95" si="42">F$81</f>
        <v>2.1784313725490194</v>
      </c>
      <c r="G95" s="221">
        <f t="shared" si="42"/>
        <v>1.0947916666666666</v>
      </c>
      <c r="H95" s="221">
        <f t="shared" si="42"/>
        <v>1.1166666666666667</v>
      </c>
      <c r="I95" s="221">
        <f t="shared" si="42"/>
        <v>1.0722222222222222</v>
      </c>
      <c r="J95" s="221">
        <f t="shared" si="42"/>
        <v>1.0947916666666666</v>
      </c>
      <c r="K95" s="221">
        <f t="shared" si="42"/>
        <v>1.1166666666666667</v>
      </c>
      <c r="L95" s="221">
        <f t="shared" si="42"/>
        <v>1.0722222222222222</v>
      </c>
      <c r="M95" s="221">
        <f t="shared" si="42"/>
        <v>2.8319607843137256</v>
      </c>
      <c r="N95" s="221">
        <f t="shared" si="42"/>
        <v>1.4232291666666665</v>
      </c>
      <c r="O95" s="221">
        <f t="shared" si="42"/>
        <v>1.4516666666666667</v>
      </c>
      <c r="P95" s="221">
        <f t="shared" si="42"/>
        <v>1.393888888888889</v>
      </c>
      <c r="Q95" s="221">
        <f t="shared" si="42"/>
        <v>1.4232291666666665</v>
      </c>
      <c r="R95" s="221">
        <f t="shared" si="42"/>
        <v>1.4516666666666667</v>
      </c>
      <c r="S95" s="221">
        <f t="shared" si="42"/>
        <v>1.393888888888889</v>
      </c>
      <c r="T95" s="221"/>
      <c r="U95" s="221"/>
      <c r="V95" s="221"/>
      <c r="W95" s="221"/>
      <c r="X95" s="221"/>
      <c r="Y95" s="221"/>
      <c r="Z95" s="221"/>
      <c r="AA95" s="221"/>
      <c r="AB95" s="221"/>
      <c r="AC95" s="221"/>
      <c r="AD95" s="221"/>
      <c r="AE95" s="221"/>
      <c r="AF95" s="221"/>
      <c r="AG95" s="221"/>
      <c r="AH95" s="221"/>
      <c r="AI95" s="221"/>
      <c r="AJ95" s="221"/>
      <c r="AK95" s="221"/>
      <c r="AL95" s="221"/>
      <c r="AM95" s="221"/>
      <c r="AN95" s="221"/>
      <c r="AO95" s="221"/>
      <c r="AP95" s="221"/>
      <c r="AQ95" s="221"/>
      <c r="AR95" s="221"/>
      <c r="AS95" s="221"/>
      <c r="AT95" s="221"/>
      <c r="AU95" s="221"/>
      <c r="AV95" s="221"/>
      <c r="AW95" s="221"/>
      <c r="AX95" s="221"/>
      <c r="AY95" s="221"/>
      <c r="AZ95" s="221"/>
      <c r="BA95" s="221"/>
      <c r="BB95" s="221"/>
      <c r="BC95" s="221"/>
    </row>
    <row r="96" spans="1:55" hidden="1" outlineLevel="1" x14ac:dyDescent="0.2">
      <c r="A96"/>
      <c r="B96"/>
      <c r="C96" s="87" t="s">
        <v>1532</v>
      </c>
      <c r="D96" s="81"/>
      <c r="E96" s="81"/>
      <c r="F96" s="221">
        <f>F63</f>
        <v>0.61906594669117643</v>
      </c>
      <c r="G96" s="221">
        <f t="shared" ref="G96:AN96" si="43">G63</f>
        <v>0.31111755371093747</v>
      </c>
      <c r="H96" s="221">
        <f t="shared" si="43"/>
        <v>0.31733398437499999</v>
      </c>
      <c r="I96" s="221">
        <f t="shared" si="43"/>
        <v>0.30470377604166665</v>
      </c>
      <c r="J96" s="221">
        <f t="shared" si="43"/>
        <v>0.31111755371093747</v>
      </c>
      <c r="K96" s="221">
        <f t="shared" si="43"/>
        <v>0.31733398437499999</v>
      </c>
      <c r="L96" s="221">
        <f t="shared" si="43"/>
        <v>0.30470377604166665</v>
      </c>
      <c r="M96" s="221">
        <f t="shared" si="43"/>
        <v>0.74287913602941169</v>
      </c>
      <c r="N96" s="221">
        <f t="shared" si="43"/>
        <v>0.37334106445312498</v>
      </c>
      <c r="O96" s="221">
        <f t="shared" si="43"/>
        <v>0.38080078125</v>
      </c>
      <c r="P96" s="221">
        <f t="shared" si="43"/>
        <v>0.36564453125000002</v>
      </c>
      <c r="Q96" s="221">
        <f t="shared" si="43"/>
        <v>0.37334106445312498</v>
      </c>
      <c r="R96" s="221">
        <f t="shared" si="43"/>
        <v>0.38080078125</v>
      </c>
      <c r="S96" s="221">
        <f t="shared" si="43"/>
        <v>0.36564453125000002</v>
      </c>
      <c r="T96" s="221">
        <f t="shared" si="43"/>
        <v>0.568359375</v>
      </c>
      <c r="U96" s="221">
        <f t="shared" si="43"/>
        <v>0.2841796875</v>
      </c>
      <c r="V96" s="221">
        <f t="shared" si="43"/>
        <v>0.2841796875</v>
      </c>
      <c r="W96" s="221">
        <f t="shared" si="43"/>
        <v>0.2841796875</v>
      </c>
      <c r="X96" s="221">
        <f t="shared" si="43"/>
        <v>0.2841796875</v>
      </c>
      <c r="Y96" s="221">
        <f t="shared" si="43"/>
        <v>0.2841796875</v>
      </c>
      <c r="Z96" s="221">
        <f t="shared" si="43"/>
        <v>0.2841796875</v>
      </c>
      <c r="AA96" s="221">
        <f t="shared" si="43"/>
        <v>7.4101613428943932E-4</v>
      </c>
      <c r="AB96" s="221">
        <f t="shared" si="43"/>
        <v>3.7050806714471966E-4</v>
      </c>
      <c r="AC96" s="221">
        <f t="shared" si="43"/>
        <v>3.7050806714471966E-4</v>
      </c>
      <c r="AD96" s="221">
        <f t="shared" si="43"/>
        <v>2.8417968749999998E-4</v>
      </c>
      <c r="AE96" s="221">
        <f t="shared" si="43"/>
        <v>1.4208984374999999E-4</v>
      </c>
      <c r="AF96" s="221">
        <f t="shared" si="43"/>
        <v>1.4208984374999999E-4</v>
      </c>
      <c r="AG96" s="221">
        <f t="shared" si="43"/>
        <v>8.0474074074074073E-6</v>
      </c>
      <c r="AH96" s="221">
        <f t="shared" si="43"/>
        <v>4.0237037037037036E-6</v>
      </c>
      <c r="AI96" s="221">
        <f t="shared" si="43"/>
        <v>4.0237037037037036E-6</v>
      </c>
      <c r="AJ96" s="221">
        <f t="shared" si="43"/>
        <v>0.7</v>
      </c>
      <c r="AK96" s="221">
        <f t="shared" si="43"/>
        <v>0.75</v>
      </c>
      <c r="AL96" s="221">
        <f t="shared" si="43"/>
        <v>1</v>
      </c>
      <c r="AM96" s="221">
        <f t="shared" si="43"/>
        <v>0</v>
      </c>
      <c r="AN96" s="221">
        <f t="shared" si="43"/>
        <v>0.8</v>
      </c>
      <c r="AO96" s="221"/>
      <c r="AP96" s="221"/>
      <c r="AQ96" s="221"/>
      <c r="AR96" s="221"/>
      <c r="AS96" s="221"/>
      <c r="AT96" s="221"/>
      <c r="AU96" s="221"/>
      <c r="AV96" s="221"/>
      <c r="AW96" s="221"/>
      <c r="AX96" s="221"/>
      <c r="AY96" s="221"/>
      <c r="AZ96" s="221"/>
      <c r="BA96" s="221"/>
      <c r="BB96" s="221"/>
      <c r="BC96" s="221"/>
    </row>
    <row r="97" spans="1:55" hidden="1" outlineLevel="1" x14ac:dyDescent="0.2">
      <c r="A97"/>
      <c r="B97"/>
      <c r="C97" s="87" t="s">
        <v>1531</v>
      </c>
      <c r="D97" s="81"/>
      <c r="E97" s="81"/>
      <c r="F97" s="221">
        <f t="shared" ref="F97:AN97" si="44">F64</f>
        <v>0.61906594669117643</v>
      </c>
      <c r="G97" s="221">
        <f t="shared" si="44"/>
        <v>0.31111755371093747</v>
      </c>
      <c r="H97" s="221">
        <f t="shared" si="44"/>
        <v>0.31733398437499999</v>
      </c>
      <c r="I97" s="221">
        <f t="shared" si="44"/>
        <v>0.30470377604166665</v>
      </c>
      <c r="J97" s="221">
        <f t="shared" si="44"/>
        <v>0.31111755371093747</v>
      </c>
      <c r="K97" s="221">
        <f t="shared" si="44"/>
        <v>0.31733398437499999</v>
      </c>
      <c r="L97" s="221">
        <f t="shared" si="44"/>
        <v>0.30470377604166665</v>
      </c>
      <c r="M97" s="221">
        <f t="shared" si="44"/>
        <v>0.74287913602941169</v>
      </c>
      <c r="N97" s="221">
        <f t="shared" si="44"/>
        <v>0.37334106445312498</v>
      </c>
      <c r="O97" s="221">
        <f t="shared" si="44"/>
        <v>0.38080078125</v>
      </c>
      <c r="P97" s="221">
        <f t="shared" si="44"/>
        <v>0.36564453125000002</v>
      </c>
      <c r="Q97" s="221">
        <f t="shared" si="44"/>
        <v>0.37334106445312498</v>
      </c>
      <c r="R97" s="221">
        <f t="shared" si="44"/>
        <v>0.38080078125</v>
      </c>
      <c r="S97" s="221">
        <f t="shared" si="44"/>
        <v>0.36564453125000002</v>
      </c>
      <c r="T97" s="221">
        <f t="shared" si="44"/>
        <v>0.568359375</v>
      </c>
      <c r="U97" s="221">
        <f t="shared" si="44"/>
        <v>0.2841796875</v>
      </c>
      <c r="V97" s="221">
        <f t="shared" si="44"/>
        <v>0.2841796875</v>
      </c>
      <c r="W97" s="221">
        <f t="shared" si="44"/>
        <v>0.2841796875</v>
      </c>
      <c r="X97" s="221">
        <f t="shared" si="44"/>
        <v>0.2841796875</v>
      </c>
      <c r="Y97" s="221">
        <f t="shared" si="44"/>
        <v>0.2841796875</v>
      </c>
      <c r="Z97" s="221">
        <f t="shared" si="44"/>
        <v>0.2841796875</v>
      </c>
      <c r="AA97" s="221">
        <f t="shared" si="44"/>
        <v>7.4101613428943932E-4</v>
      </c>
      <c r="AB97" s="221">
        <f t="shared" si="44"/>
        <v>3.7050806714471966E-4</v>
      </c>
      <c r="AC97" s="221">
        <f t="shared" si="44"/>
        <v>3.7050806714471966E-4</v>
      </c>
      <c r="AD97" s="221">
        <f t="shared" si="44"/>
        <v>2.8417968749999998E-4</v>
      </c>
      <c r="AE97" s="221">
        <f t="shared" si="44"/>
        <v>1.4208984374999999E-4</v>
      </c>
      <c r="AF97" s="221">
        <f t="shared" si="44"/>
        <v>1.4208984374999999E-4</v>
      </c>
      <c r="AG97" s="221">
        <f t="shared" si="44"/>
        <v>8.0474074074074073E-6</v>
      </c>
      <c r="AH97" s="221">
        <f t="shared" si="44"/>
        <v>4.0237037037037036E-6</v>
      </c>
      <c r="AI97" s="221">
        <f t="shared" si="44"/>
        <v>4.0237037037037036E-6</v>
      </c>
      <c r="AJ97" s="221">
        <f t="shared" si="44"/>
        <v>0.7</v>
      </c>
      <c r="AK97" s="221">
        <f t="shared" si="44"/>
        <v>0.75</v>
      </c>
      <c r="AL97" s="221">
        <f t="shared" si="44"/>
        <v>1</v>
      </c>
      <c r="AM97" s="221">
        <f t="shared" si="44"/>
        <v>0</v>
      </c>
      <c r="AN97" s="221">
        <f t="shared" si="44"/>
        <v>0.8</v>
      </c>
      <c r="AO97" s="221"/>
      <c r="AP97" s="221"/>
      <c r="AQ97" s="221"/>
      <c r="AR97" s="221"/>
      <c r="AS97" s="221"/>
      <c r="AT97" s="221"/>
      <c r="AU97" s="221"/>
      <c r="AV97" s="221"/>
      <c r="AW97" s="221"/>
      <c r="AX97" s="221"/>
      <c r="AY97" s="221"/>
      <c r="AZ97" s="221"/>
      <c r="BA97" s="221"/>
      <c r="BB97" s="221"/>
      <c r="BC97" s="221"/>
    </row>
    <row r="98" spans="1:55" hidden="1" outlineLevel="1" x14ac:dyDescent="0.2">
      <c r="A98"/>
      <c r="B98"/>
      <c r="C98" s="87" t="s">
        <v>1530</v>
      </c>
      <c r="D98" s="81"/>
      <c r="E98" s="81"/>
      <c r="F98" s="221">
        <f>F71</f>
        <v>0.15476648667279411</v>
      </c>
      <c r="G98" s="221">
        <f t="shared" ref="G98:AN98" si="45">G71</f>
        <v>4.6667633056640616E-2</v>
      </c>
      <c r="H98" s="221">
        <f t="shared" si="45"/>
        <v>4.760009765625E-2</v>
      </c>
      <c r="I98" s="221">
        <f t="shared" si="45"/>
        <v>4.5705566406249995E-2</v>
      </c>
      <c r="J98" s="221">
        <f t="shared" si="45"/>
        <v>4.6667633056640616E-2</v>
      </c>
      <c r="K98" s="221">
        <f t="shared" si="45"/>
        <v>4.760009765625E-2</v>
      </c>
      <c r="L98" s="221">
        <f t="shared" si="45"/>
        <v>4.5705566406249995E-2</v>
      </c>
      <c r="M98" s="221">
        <f t="shared" si="45"/>
        <v>0.18571978400735292</v>
      </c>
      <c r="N98" s="221">
        <f t="shared" si="45"/>
        <v>5.6001159667968745E-2</v>
      </c>
      <c r="O98" s="221">
        <f t="shared" si="45"/>
        <v>5.71201171875E-2</v>
      </c>
      <c r="P98" s="221">
        <f t="shared" si="45"/>
        <v>5.4846679687500004E-2</v>
      </c>
      <c r="Q98" s="221">
        <f t="shared" si="45"/>
        <v>5.6001159667968745E-2</v>
      </c>
      <c r="R98" s="221">
        <f t="shared" si="45"/>
        <v>5.71201171875E-2</v>
      </c>
      <c r="S98" s="221">
        <f t="shared" si="45"/>
        <v>5.4846679687500004E-2</v>
      </c>
      <c r="T98" s="221">
        <f t="shared" si="45"/>
        <v>0.14208984375</v>
      </c>
      <c r="U98" s="221">
        <f t="shared" si="45"/>
        <v>4.2626953124999999E-2</v>
      </c>
      <c r="V98" s="221">
        <f t="shared" si="45"/>
        <v>4.2626953124999999E-2</v>
      </c>
      <c r="W98" s="221">
        <f t="shared" si="45"/>
        <v>4.2626953124999999E-2</v>
      </c>
      <c r="X98" s="221">
        <f t="shared" si="45"/>
        <v>4.2626953124999999E-2</v>
      </c>
      <c r="Y98" s="221">
        <f t="shared" si="45"/>
        <v>4.2626953124999999E-2</v>
      </c>
      <c r="Z98" s="221">
        <f t="shared" si="45"/>
        <v>4.2626953124999999E-2</v>
      </c>
      <c r="AA98" s="221">
        <f t="shared" si="45"/>
        <v>1.8525403357235983E-4</v>
      </c>
      <c r="AB98" s="221">
        <f t="shared" si="45"/>
        <v>5.5576210071707945E-5</v>
      </c>
      <c r="AC98" s="221">
        <f t="shared" si="45"/>
        <v>5.5576210071707945E-5</v>
      </c>
      <c r="AD98" s="221">
        <f t="shared" si="45"/>
        <v>7.1044921874999995E-5</v>
      </c>
      <c r="AE98" s="221">
        <f t="shared" si="45"/>
        <v>2.1313476562499997E-5</v>
      </c>
      <c r="AF98" s="221">
        <f t="shared" si="45"/>
        <v>2.1313476562499997E-5</v>
      </c>
      <c r="AG98" s="221">
        <f t="shared" si="45"/>
        <v>2.0118518518518518E-6</v>
      </c>
      <c r="AH98" s="221">
        <f t="shared" si="45"/>
        <v>6.0355555555555552E-7</v>
      </c>
      <c r="AI98" s="221">
        <f t="shared" si="45"/>
        <v>6.0355555555555552E-7</v>
      </c>
      <c r="AJ98" s="221">
        <f t="shared" si="45"/>
        <v>0.105</v>
      </c>
      <c r="AK98" s="221">
        <f t="shared" si="45"/>
        <v>0.11249999999999999</v>
      </c>
      <c r="AL98" s="221">
        <f t="shared" si="45"/>
        <v>0.15</v>
      </c>
      <c r="AM98" s="221">
        <f t="shared" si="45"/>
        <v>0</v>
      </c>
      <c r="AN98" s="221">
        <f t="shared" si="45"/>
        <v>0.12</v>
      </c>
      <c r="AO98" s="221"/>
      <c r="AP98" s="221"/>
      <c r="AQ98" s="221"/>
      <c r="AR98" s="221"/>
      <c r="AS98" s="221"/>
      <c r="AT98" s="221"/>
      <c r="AU98" s="221"/>
      <c r="AV98" s="221"/>
      <c r="AW98" s="221"/>
      <c r="AX98" s="221"/>
      <c r="AY98" s="221"/>
      <c r="AZ98" s="221"/>
      <c r="BA98" s="221"/>
      <c r="BB98" s="221"/>
      <c r="BC98" s="221"/>
    </row>
    <row r="99" spans="1:55" hidden="1" outlineLevel="1" x14ac:dyDescent="0.2">
      <c r="A99"/>
      <c r="B99"/>
      <c r="C99" s="87" t="s">
        <v>1529</v>
      </c>
      <c r="D99" s="81"/>
      <c r="E99" s="81"/>
      <c r="F99" s="221">
        <f t="shared" ref="F99:AN99" si="46">F72</f>
        <v>0.15476648667279411</v>
      </c>
      <c r="G99" s="221">
        <f t="shared" si="46"/>
        <v>4.6667633056640616E-2</v>
      </c>
      <c r="H99" s="221">
        <f t="shared" si="46"/>
        <v>4.760009765625E-2</v>
      </c>
      <c r="I99" s="221">
        <f t="shared" si="46"/>
        <v>4.5705566406249995E-2</v>
      </c>
      <c r="J99" s="221">
        <f t="shared" si="46"/>
        <v>4.6667633056640616E-2</v>
      </c>
      <c r="K99" s="221">
        <f t="shared" si="46"/>
        <v>4.760009765625E-2</v>
      </c>
      <c r="L99" s="221">
        <f t="shared" si="46"/>
        <v>4.5705566406249995E-2</v>
      </c>
      <c r="M99" s="221">
        <f t="shared" si="46"/>
        <v>0.18571978400735292</v>
      </c>
      <c r="N99" s="221">
        <f t="shared" si="46"/>
        <v>5.6001159667968745E-2</v>
      </c>
      <c r="O99" s="221">
        <f t="shared" si="46"/>
        <v>5.71201171875E-2</v>
      </c>
      <c r="P99" s="221">
        <f t="shared" si="46"/>
        <v>5.4846679687500004E-2</v>
      </c>
      <c r="Q99" s="221">
        <f t="shared" si="46"/>
        <v>5.6001159667968745E-2</v>
      </c>
      <c r="R99" s="221">
        <f t="shared" si="46"/>
        <v>5.71201171875E-2</v>
      </c>
      <c r="S99" s="221">
        <f t="shared" si="46"/>
        <v>5.4846679687500004E-2</v>
      </c>
      <c r="T99" s="221">
        <f t="shared" si="46"/>
        <v>0.14208984375</v>
      </c>
      <c r="U99" s="221">
        <f t="shared" si="46"/>
        <v>4.2626953124999999E-2</v>
      </c>
      <c r="V99" s="221">
        <f t="shared" si="46"/>
        <v>4.2626953124999999E-2</v>
      </c>
      <c r="W99" s="221">
        <f t="shared" si="46"/>
        <v>4.2626953124999999E-2</v>
      </c>
      <c r="X99" s="221">
        <f t="shared" si="46"/>
        <v>4.2626953124999999E-2</v>
      </c>
      <c r="Y99" s="221">
        <f t="shared" si="46"/>
        <v>4.2626953124999999E-2</v>
      </c>
      <c r="Z99" s="221">
        <f t="shared" si="46"/>
        <v>4.2626953124999999E-2</v>
      </c>
      <c r="AA99" s="221">
        <f t="shared" si="46"/>
        <v>1.8525403357235983E-4</v>
      </c>
      <c r="AB99" s="221">
        <f t="shared" si="46"/>
        <v>5.5576210071707945E-5</v>
      </c>
      <c r="AC99" s="221">
        <f t="shared" si="46"/>
        <v>5.5576210071707945E-5</v>
      </c>
      <c r="AD99" s="221">
        <f t="shared" si="46"/>
        <v>7.1044921874999995E-5</v>
      </c>
      <c r="AE99" s="221">
        <f t="shared" si="46"/>
        <v>2.1313476562499997E-5</v>
      </c>
      <c r="AF99" s="221">
        <f t="shared" si="46"/>
        <v>2.1313476562499997E-5</v>
      </c>
      <c r="AG99" s="221">
        <f t="shared" si="46"/>
        <v>2.0118518518518518E-6</v>
      </c>
      <c r="AH99" s="221">
        <f t="shared" si="46"/>
        <v>6.0355555555555552E-7</v>
      </c>
      <c r="AI99" s="221">
        <f t="shared" si="46"/>
        <v>6.0355555555555552E-7</v>
      </c>
      <c r="AJ99" s="221">
        <f t="shared" si="46"/>
        <v>0.105</v>
      </c>
      <c r="AK99" s="221">
        <f t="shared" si="46"/>
        <v>0.11249999999999999</v>
      </c>
      <c r="AL99" s="221">
        <f t="shared" si="46"/>
        <v>0.15</v>
      </c>
      <c r="AM99" s="221">
        <f t="shared" si="46"/>
        <v>0</v>
      </c>
      <c r="AN99" s="221">
        <f t="shared" si="46"/>
        <v>0.12</v>
      </c>
      <c r="AO99" s="221"/>
      <c r="AP99" s="221"/>
      <c r="AQ99" s="221"/>
      <c r="AR99" s="221"/>
      <c r="AS99" s="221"/>
      <c r="AT99" s="221"/>
      <c r="AU99" s="221"/>
      <c r="AV99" s="221"/>
      <c r="AW99" s="221"/>
      <c r="AX99" s="221"/>
      <c r="AY99" s="221"/>
      <c r="AZ99" s="221"/>
      <c r="BA99" s="221"/>
      <c r="BB99" s="221"/>
      <c r="BC99" s="221"/>
    </row>
    <row r="100" spans="1:55" hidden="1" outlineLevel="1" x14ac:dyDescent="0.2">
      <c r="A100"/>
      <c r="B100"/>
      <c r="C100" s="87" t="s">
        <v>1528</v>
      </c>
      <c r="D100" s="81"/>
      <c r="E100" s="81"/>
      <c r="F100" s="221">
        <f>AVERAGE(F98:F99)</f>
        <v>0.15476648667279411</v>
      </c>
      <c r="G100" s="221">
        <f t="shared" ref="G100:AL100" si="47">AVERAGE(G98:G99)</f>
        <v>4.6667633056640616E-2</v>
      </c>
      <c r="H100" s="221">
        <f t="shared" si="47"/>
        <v>4.760009765625E-2</v>
      </c>
      <c r="I100" s="221">
        <f t="shared" si="47"/>
        <v>4.5705566406249995E-2</v>
      </c>
      <c r="J100" s="221">
        <f t="shared" si="47"/>
        <v>4.6667633056640616E-2</v>
      </c>
      <c r="K100" s="221">
        <f t="shared" si="47"/>
        <v>4.760009765625E-2</v>
      </c>
      <c r="L100" s="221">
        <f t="shared" si="47"/>
        <v>4.5705566406249995E-2</v>
      </c>
      <c r="M100" s="221">
        <f t="shared" si="47"/>
        <v>0.18571978400735292</v>
      </c>
      <c r="N100" s="221">
        <f t="shared" si="47"/>
        <v>5.6001159667968745E-2</v>
      </c>
      <c r="O100" s="221">
        <f t="shared" si="47"/>
        <v>5.71201171875E-2</v>
      </c>
      <c r="P100" s="221">
        <f t="shared" si="47"/>
        <v>5.4846679687500004E-2</v>
      </c>
      <c r="Q100" s="221">
        <f t="shared" si="47"/>
        <v>5.6001159667968745E-2</v>
      </c>
      <c r="R100" s="221">
        <f t="shared" si="47"/>
        <v>5.71201171875E-2</v>
      </c>
      <c r="S100" s="221">
        <f t="shared" si="47"/>
        <v>5.4846679687500004E-2</v>
      </c>
      <c r="T100" s="221">
        <f t="shared" si="47"/>
        <v>0.14208984375</v>
      </c>
      <c r="U100" s="221">
        <f t="shared" si="47"/>
        <v>4.2626953124999999E-2</v>
      </c>
      <c r="V100" s="221">
        <f t="shared" si="47"/>
        <v>4.2626953124999999E-2</v>
      </c>
      <c r="W100" s="221">
        <f t="shared" si="47"/>
        <v>4.2626953124999999E-2</v>
      </c>
      <c r="X100" s="221">
        <f t="shared" si="47"/>
        <v>4.2626953124999999E-2</v>
      </c>
      <c r="Y100" s="221">
        <f t="shared" si="47"/>
        <v>4.2626953124999999E-2</v>
      </c>
      <c r="Z100" s="221">
        <f t="shared" si="47"/>
        <v>4.2626953124999999E-2</v>
      </c>
      <c r="AA100" s="221">
        <f t="shared" si="47"/>
        <v>1.8525403357235983E-4</v>
      </c>
      <c r="AB100" s="221">
        <f t="shared" si="47"/>
        <v>5.5576210071707945E-5</v>
      </c>
      <c r="AC100" s="221">
        <f t="shared" si="47"/>
        <v>5.5576210071707945E-5</v>
      </c>
      <c r="AD100" s="221">
        <f t="shared" si="47"/>
        <v>7.1044921874999995E-5</v>
      </c>
      <c r="AE100" s="221">
        <f t="shared" si="47"/>
        <v>2.1313476562499997E-5</v>
      </c>
      <c r="AF100" s="221">
        <f t="shared" si="47"/>
        <v>2.1313476562499997E-5</v>
      </c>
      <c r="AG100" s="221">
        <f t="shared" si="47"/>
        <v>2.0118518518518518E-6</v>
      </c>
      <c r="AH100" s="221">
        <f t="shared" si="47"/>
        <v>6.0355555555555552E-7</v>
      </c>
      <c r="AI100" s="221">
        <f t="shared" si="47"/>
        <v>6.0355555555555552E-7</v>
      </c>
      <c r="AJ100" s="221">
        <f t="shared" si="47"/>
        <v>0.105</v>
      </c>
      <c r="AK100" s="221">
        <f t="shared" si="47"/>
        <v>0.11249999999999999</v>
      </c>
      <c r="AL100" s="221">
        <f t="shared" si="47"/>
        <v>0.15</v>
      </c>
      <c r="AM100" s="221">
        <f>AVERAGE(AM98:AM99)</f>
        <v>0</v>
      </c>
      <c r="AN100" s="221">
        <f t="shared" ref="AN100" si="48">AVERAGE(AN98:AN99)</f>
        <v>0.12</v>
      </c>
      <c r="AO100" s="221"/>
      <c r="AP100" s="221"/>
      <c r="AQ100" s="221"/>
      <c r="AR100" s="221"/>
      <c r="AS100" s="221"/>
      <c r="AT100" s="221"/>
      <c r="AU100" s="221"/>
      <c r="AV100" s="221"/>
      <c r="AW100" s="221"/>
      <c r="AX100" s="221"/>
      <c r="AY100" s="221"/>
      <c r="AZ100" s="221"/>
      <c r="BA100" s="221"/>
      <c r="BB100" s="221"/>
      <c r="BC100" s="221"/>
    </row>
    <row r="101" spans="1:55" hidden="1" outlineLevel="1" x14ac:dyDescent="0.2">
      <c r="A101"/>
      <c r="B101"/>
      <c r="C101" s="87" t="s">
        <v>1527</v>
      </c>
      <c r="D101" s="81"/>
      <c r="E101" s="81"/>
      <c r="F101" s="221">
        <f>F68</f>
        <v>0.25</v>
      </c>
      <c r="G101" s="221">
        <f t="shared" ref="G101:AN101" si="49">G68</f>
        <v>0.15</v>
      </c>
      <c r="H101" s="221">
        <f t="shared" si="49"/>
        <v>0.15</v>
      </c>
      <c r="I101" s="221">
        <f t="shared" si="49"/>
        <v>0.15</v>
      </c>
      <c r="J101" s="221">
        <f t="shared" si="49"/>
        <v>0.15</v>
      </c>
      <c r="K101" s="221">
        <f t="shared" si="49"/>
        <v>0.15</v>
      </c>
      <c r="L101" s="221">
        <f t="shared" si="49"/>
        <v>0.15</v>
      </c>
      <c r="M101" s="221">
        <f t="shared" si="49"/>
        <v>0.25</v>
      </c>
      <c r="N101" s="221">
        <f t="shared" si="49"/>
        <v>0.15</v>
      </c>
      <c r="O101" s="221">
        <f t="shared" si="49"/>
        <v>0.15</v>
      </c>
      <c r="P101" s="221">
        <f t="shared" si="49"/>
        <v>0.15</v>
      </c>
      <c r="Q101" s="221">
        <f t="shared" si="49"/>
        <v>0.15</v>
      </c>
      <c r="R101" s="221">
        <f t="shared" si="49"/>
        <v>0.15</v>
      </c>
      <c r="S101" s="221">
        <f t="shared" si="49"/>
        <v>0.15</v>
      </c>
      <c r="T101" s="221">
        <f t="shared" si="49"/>
        <v>0.25</v>
      </c>
      <c r="U101" s="221">
        <f t="shared" si="49"/>
        <v>0.15</v>
      </c>
      <c r="V101" s="221">
        <f t="shared" si="49"/>
        <v>0.15</v>
      </c>
      <c r="W101" s="221">
        <f t="shared" si="49"/>
        <v>0.15</v>
      </c>
      <c r="X101" s="221">
        <f t="shared" si="49"/>
        <v>0.15</v>
      </c>
      <c r="Y101" s="221">
        <f t="shared" si="49"/>
        <v>0.15</v>
      </c>
      <c r="Z101" s="221">
        <f t="shared" si="49"/>
        <v>0.15</v>
      </c>
      <c r="AA101" s="221">
        <f t="shared" si="49"/>
        <v>0.25</v>
      </c>
      <c r="AB101" s="221">
        <f t="shared" si="49"/>
        <v>0.15</v>
      </c>
      <c r="AC101" s="221">
        <f t="shared" si="49"/>
        <v>0.15</v>
      </c>
      <c r="AD101" s="221">
        <f t="shared" si="49"/>
        <v>0.25</v>
      </c>
      <c r="AE101" s="221">
        <f t="shared" si="49"/>
        <v>0.15</v>
      </c>
      <c r="AF101" s="221">
        <f t="shared" si="49"/>
        <v>0.15</v>
      </c>
      <c r="AG101" s="221">
        <f t="shared" si="49"/>
        <v>0.25</v>
      </c>
      <c r="AH101" s="221">
        <f t="shared" si="49"/>
        <v>0.15</v>
      </c>
      <c r="AI101" s="221">
        <f t="shared" si="49"/>
        <v>0.15</v>
      </c>
      <c r="AJ101" s="221">
        <f t="shared" si="49"/>
        <v>0</v>
      </c>
      <c r="AK101" s="221">
        <f t="shared" si="49"/>
        <v>0</v>
      </c>
      <c r="AL101" s="221">
        <f t="shared" si="49"/>
        <v>0</v>
      </c>
      <c r="AM101" s="221">
        <f t="shared" si="49"/>
        <v>0</v>
      </c>
      <c r="AN101" s="221">
        <f t="shared" si="49"/>
        <v>0</v>
      </c>
      <c r="AO101" s="221"/>
      <c r="AP101" s="221"/>
      <c r="AQ101" s="221"/>
      <c r="AR101" s="221"/>
      <c r="AS101" s="221"/>
      <c r="AT101" s="221"/>
      <c r="AU101" s="221"/>
      <c r="AV101" s="221"/>
      <c r="AW101" s="221"/>
      <c r="AX101" s="221"/>
      <c r="AY101" s="221"/>
      <c r="AZ101" s="221"/>
      <c r="BA101" s="221"/>
      <c r="BB101" s="221"/>
      <c r="BC101" s="221"/>
    </row>
    <row r="102" spans="1:55" hidden="1" outlineLevel="1" x14ac:dyDescent="0.2">
      <c r="A102"/>
      <c r="B102"/>
      <c r="C102" s="87" t="s">
        <v>1526</v>
      </c>
      <c r="D102" s="81"/>
      <c r="E102" s="81"/>
      <c r="F102" s="221">
        <f t="shared" ref="F102:AN102" si="50">F69</f>
        <v>0</v>
      </c>
      <c r="G102" s="221">
        <f t="shared" si="50"/>
        <v>0</v>
      </c>
      <c r="H102" s="221">
        <f t="shared" si="50"/>
        <v>0</v>
      </c>
      <c r="I102" s="221">
        <f t="shared" si="50"/>
        <v>0</v>
      </c>
      <c r="J102" s="221">
        <f t="shared" si="50"/>
        <v>0</v>
      </c>
      <c r="K102" s="221">
        <f t="shared" si="50"/>
        <v>0</v>
      </c>
      <c r="L102" s="221">
        <f t="shared" si="50"/>
        <v>0</v>
      </c>
      <c r="M102" s="221">
        <f t="shared" si="50"/>
        <v>0</v>
      </c>
      <c r="N102" s="221">
        <f t="shared" si="50"/>
        <v>0</v>
      </c>
      <c r="O102" s="221">
        <f t="shared" si="50"/>
        <v>0</v>
      </c>
      <c r="P102" s="221">
        <f t="shared" si="50"/>
        <v>0</v>
      </c>
      <c r="Q102" s="221">
        <f t="shared" si="50"/>
        <v>0</v>
      </c>
      <c r="R102" s="221">
        <f t="shared" si="50"/>
        <v>0</v>
      </c>
      <c r="S102" s="221">
        <f t="shared" si="50"/>
        <v>0</v>
      </c>
      <c r="T102" s="221">
        <f t="shared" si="50"/>
        <v>0</v>
      </c>
      <c r="U102" s="221">
        <f t="shared" si="50"/>
        <v>0</v>
      </c>
      <c r="V102" s="221">
        <f t="shared" si="50"/>
        <v>0</v>
      </c>
      <c r="W102" s="221">
        <f t="shared" si="50"/>
        <v>0</v>
      </c>
      <c r="X102" s="221">
        <f t="shared" si="50"/>
        <v>0</v>
      </c>
      <c r="Y102" s="221">
        <f t="shared" si="50"/>
        <v>0</v>
      </c>
      <c r="Z102" s="221">
        <f t="shared" si="50"/>
        <v>0</v>
      </c>
      <c r="AA102" s="221">
        <f t="shared" si="50"/>
        <v>0</v>
      </c>
      <c r="AB102" s="221">
        <f t="shared" si="50"/>
        <v>0</v>
      </c>
      <c r="AC102" s="221">
        <f t="shared" si="50"/>
        <v>0</v>
      </c>
      <c r="AD102" s="221">
        <f t="shared" si="50"/>
        <v>0</v>
      </c>
      <c r="AE102" s="221">
        <f t="shared" si="50"/>
        <v>0</v>
      </c>
      <c r="AF102" s="221">
        <f t="shared" si="50"/>
        <v>0</v>
      </c>
      <c r="AG102" s="221">
        <f t="shared" si="50"/>
        <v>0</v>
      </c>
      <c r="AH102" s="221">
        <f t="shared" si="50"/>
        <v>0</v>
      </c>
      <c r="AI102" s="221">
        <f t="shared" si="50"/>
        <v>0</v>
      </c>
      <c r="AJ102" s="221">
        <f t="shared" si="50"/>
        <v>0.15</v>
      </c>
      <c r="AK102" s="221">
        <f t="shared" si="50"/>
        <v>0.15</v>
      </c>
      <c r="AL102" s="221">
        <f t="shared" si="50"/>
        <v>0.15</v>
      </c>
      <c r="AM102" s="221">
        <f t="shared" si="50"/>
        <v>0.15</v>
      </c>
      <c r="AN102" s="221">
        <f t="shared" si="50"/>
        <v>0.15</v>
      </c>
      <c r="AO102" s="221"/>
      <c r="AP102" s="221"/>
      <c r="AQ102" s="221"/>
      <c r="AR102" s="221"/>
      <c r="AS102" s="221"/>
      <c r="AT102" s="221"/>
      <c r="AU102" s="221"/>
      <c r="AV102" s="221"/>
      <c r="AW102" s="221"/>
      <c r="AX102" s="221"/>
      <c r="AY102" s="221"/>
      <c r="AZ102" s="221"/>
      <c r="BA102" s="221"/>
      <c r="BB102" s="221"/>
      <c r="BC102" s="221"/>
    </row>
    <row r="103" spans="1:55" hidden="1" outlineLevel="1" x14ac:dyDescent="0.2">
      <c r="A103"/>
      <c r="B103"/>
      <c r="C103" s="87" t="s">
        <v>1525</v>
      </c>
      <c r="D103" s="81"/>
      <c r="E103" s="81"/>
      <c r="F103" s="223"/>
      <c r="G103" s="223">
        <v>1</v>
      </c>
      <c r="H103" s="223">
        <v>1</v>
      </c>
      <c r="I103" s="223">
        <v>1</v>
      </c>
      <c r="J103" s="223">
        <v>1</v>
      </c>
      <c r="K103" s="223">
        <v>1</v>
      </c>
      <c r="L103" s="223">
        <v>1</v>
      </c>
      <c r="M103" s="223"/>
      <c r="N103" s="223">
        <v>1</v>
      </c>
      <c r="O103" s="223">
        <v>1</v>
      </c>
      <c r="P103" s="223">
        <v>1</v>
      </c>
      <c r="Q103" s="223">
        <v>1</v>
      </c>
      <c r="R103" s="223">
        <v>1</v>
      </c>
      <c r="S103" s="223">
        <v>1</v>
      </c>
      <c r="T103" s="223"/>
      <c r="U103" s="223">
        <v>1</v>
      </c>
      <c r="V103" s="223">
        <v>1</v>
      </c>
      <c r="W103" s="223">
        <v>1</v>
      </c>
      <c r="X103" s="223">
        <v>1</v>
      </c>
      <c r="Y103" s="223">
        <v>1</v>
      </c>
      <c r="Z103" s="223">
        <v>1</v>
      </c>
      <c r="AA103" s="223"/>
      <c r="AB103" s="223"/>
      <c r="AC103" s="223"/>
      <c r="AD103" s="223"/>
      <c r="AE103" s="223"/>
      <c r="AF103" s="223"/>
      <c r="AG103" s="223"/>
      <c r="AH103" s="223"/>
      <c r="AI103" s="223"/>
      <c r="AJ103" s="223"/>
      <c r="AK103" s="223"/>
      <c r="AL103" s="223"/>
      <c r="AM103" s="223"/>
      <c r="AN103" s="223"/>
      <c r="AO103" s="223"/>
      <c r="AP103" s="223"/>
      <c r="AQ103" s="223"/>
      <c r="AR103" s="223"/>
      <c r="AS103" s="223"/>
      <c r="AT103" s="223"/>
      <c r="AU103" s="223"/>
      <c r="AV103" s="223"/>
      <c r="AW103" s="223"/>
      <c r="AX103" s="223"/>
      <c r="AY103" s="223"/>
      <c r="AZ103" s="223"/>
      <c r="BA103" s="223"/>
      <c r="BB103" s="223"/>
      <c r="BC103" s="223"/>
    </row>
    <row r="104" spans="1:55" hidden="1" outlineLevel="1" x14ac:dyDescent="0.2">
      <c r="A104"/>
      <c r="B104"/>
      <c r="C104" s="87" t="s">
        <v>1524</v>
      </c>
      <c r="D104" s="40" t="s">
        <v>992</v>
      </c>
      <c r="E104" s="81"/>
      <c r="F104" s="221"/>
      <c r="G104" s="221"/>
      <c r="H104" s="221"/>
      <c r="I104" s="221"/>
      <c r="J104" s="221"/>
      <c r="K104" s="221"/>
      <c r="L104" s="221"/>
      <c r="M104" s="221"/>
      <c r="N104" s="221"/>
      <c r="O104" s="221"/>
      <c r="P104" s="221"/>
      <c r="Q104" s="221"/>
      <c r="R104" s="221"/>
      <c r="S104" s="221"/>
      <c r="T104" s="221"/>
      <c r="U104" s="221"/>
      <c r="V104" s="221"/>
      <c r="W104" s="221"/>
      <c r="X104" s="221"/>
      <c r="Y104" s="221"/>
      <c r="Z104" s="221"/>
      <c r="AA104" s="221"/>
      <c r="AB104" s="221"/>
      <c r="AC104" s="221"/>
      <c r="AD104" s="221"/>
      <c r="AE104" s="221"/>
      <c r="AF104" s="221"/>
      <c r="AG104" s="221"/>
      <c r="AH104" s="221"/>
      <c r="AI104" s="221"/>
      <c r="AJ104" s="221"/>
      <c r="AK104" s="221"/>
      <c r="AL104" s="221"/>
      <c r="AM104" s="221"/>
      <c r="AN104" s="221"/>
      <c r="AO104" s="221"/>
      <c r="AP104" s="223">
        <v>1</v>
      </c>
      <c r="AQ104" s="223">
        <v>1</v>
      </c>
      <c r="AR104" s="223"/>
      <c r="AS104" s="223"/>
      <c r="AT104" s="223"/>
      <c r="AU104" s="221"/>
      <c r="AV104" s="221"/>
      <c r="AW104" s="221"/>
      <c r="AX104" s="221"/>
      <c r="AY104" s="221"/>
      <c r="AZ104" s="221"/>
      <c r="BA104" s="221"/>
      <c r="BB104" s="221"/>
      <c r="BC104" s="221"/>
    </row>
    <row r="105" spans="1:55" hidden="1" outlineLevel="1" x14ac:dyDescent="0.2">
      <c r="A105"/>
      <c r="B105"/>
      <c r="C105" s="51" t="s">
        <v>1523</v>
      </c>
      <c r="D105" s="81"/>
      <c r="E105" s="81"/>
      <c r="F105" s="223">
        <f>F39</f>
        <v>2</v>
      </c>
      <c r="G105" s="223">
        <f t="shared" ref="G105:Z105" si="51">G39</f>
        <v>1</v>
      </c>
      <c r="H105" s="223">
        <f t="shared" si="51"/>
        <v>1</v>
      </c>
      <c r="I105" s="223">
        <f t="shared" si="51"/>
        <v>1</v>
      </c>
      <c r="J105" s="223">
        <f t="shared" si="51"/>
        <v>1</v>
      </c>
      <c r="K105" s="223">
        <f t="shared" si="51"/>
        <v>1</v>
      </c>
      <c r="L105" s="223">
        <f t="shared" si="51"/>
        <v>1</v>
      </c>
      <c r="M105" s="223">
        <f t="shared" si="51"/>
        <v>2</v>
      </c>
      <c r="N105" s="223">
        <f t="shared" si="51"/>
        <v>1</v>
      </c>
      <c r="O105" s="223">
        <f t="shared" si="51"/>
        <v>1</v>
      </c>
      <c r="P105" s="223">
        <f t="shared" si="51"/>
        <v>1</v>
      </c>
      <c r="Q105" s="223">
        <f t="shared" si="51"/>
        <v>1</v>
      </c>
      <c r="R105" s="223">
        <f t="shared" si="51"/>
        <v>1</v>
      </c>
      <c r="S105" s="223">
        <f t="shared" si="51"/>
        <v>1</v>
      </c>
      <c r="T105" s="223">
        <f t="shared" si="51"/>
        <v>2</v>
      </c>
      <c r="U105" s="223">
        <f t="shared" si="51"/>
        <v>1</v>
      </c>
      <c r="V105" s="223">
        <f t="shared" si="51"/>
        <v>1</v>
      </c>
      <c r="W105" s="223">
        <f t="shared" si="51"/>
        <v>1</v>
      </c>
      <c r="X105" s="223">
        <f t="shared" si="51"/>
        <v>1</v>
      </c>
      <c r="Y105" s="223">
        <f t="shared" si="51"/>
        <v>1</v>
      </c>
      <c r="Z105" s="223">
        <f t="shared" si="51"/>
        <v>1</v>
      </c>
      <c r="AA105" s="221"/>
      <c r="AB105" s="221"/>
      <c r="AC105" s="221"/>
      <c r="AD105" s="221"/>
      <c r="AE105" s="221"/>
      <c r="AF105" s="221"/>
      <c r="AG105" s="221"/>
      <c r="AH105" s="221"/>
      <c r="AI105" s="221"/>
      <c r="AJ105" s="221"/>
      <c r="AK105" s="221"/>
      <c r="AL105" s="221"/>
      <c r="AM105" s="221"/>
      <c r="AN105" s="221"/>
      <c r="AO105" s="221"/>
      <c r="AP105" s="221"/>
      <c r="AQ105" s="221"/>
      <c r="AR105" s="221"/>
      <c r="AS105" s="221"/>
      <c r="AT105" s="221"/>
      <c r="AU105" s="221"/>
      <c r="AV105" s="221"/>
      <c r="AW105" s="221"/>
      <c r="AX105" s="221"/>
      <c r="AY105" s="221"/>
      <c r="AZ105" s="221"/>
      <c r="BA105" s="221"/>
      <c r="BB105" s="221"/>
      <c r="BC105" s="221"/>
    </row>
    <row r="106" spans="1:55" hidden="1" outlineLevel="1" x14ac:dyDescent="0.2">
      <c r="A106"/>
      <c r="B106"/>
      <c r="C106" s="87" t="s">
        <v>1522</v>
      </c>
      <c r="D106" s="81"/>
      <c r="E106" s="81"/>
      <c r="F106" s="223">
        <v>1</v>
      </c>
      <c r="G106" s="223">
        <v>1</v>
      </c>
      <c r="H106" s="223">
        <v>1</v>
      </c>
      <c r="I106" s="223">
        <v>1</v>
      </c>
      <c r="J106" s="221"/>
      <c r="K106" s="221"/>
      <c r="L106" s="221"/>
      <c r="M106" s="223">
        <v>1</v>
      </c>
      <c r="N106" s="223">
        <v>1</v>
      </c>
      <c r="O106" s="223">
        <v>1</v>
      </c>
      <c r="P106" s="223">
        <v>1</v>
      </c>
      <c r="Q106" s="221"/>
      <c r="R106" s="221"/>
      <c r="S106" s="221"/>
      <c r="T106" s="223">
        <v>1</v>
      </c>
      <c r="U106" s="223">
        <v>1</v>
      </c>
      <c r="V106" s="223">
        <v>1</v>
      </c>
      <c r="W106" s="223">
        <v>1</v>
      </c>
      <c r="X106" s="221"/>
      <c r="Y106" s="221"/>
      <c r="Z106" s="221"/>
      <c r="AA106" s="223">
        <v>1</v>
      </c>
      <c r="AB106" s="223">
        <v>1</v>
      </c>
      <c r="AC106" s="223"/>
      <c r="AD106" s="223">
        <v>1</v>
      </c>
      <c r="AE106" s="223">
        <v>1</v>
      </c>
      <c r="AF106" s="223"/>
      <c r="AG106" s="223">
        <v>1</v>
      </c>
      <c r="AH106" s="223">
        <v>1</v>
      </c>
      <c r="AI106" s="223"/>
      <c r="AJ106" s="221"/>
      <c r="AK106" s="221"/>
      <c r="AL106" s="221"/>
      <c r="AM106" s="221"/>
      <c r="AN106" s="221"/>
      <c r="AO106" s="221"/>
      <c r="AP106" s="221"/>
      <c r="AQ106" s="221"/>
      <c r="AR106" s="221"/>
      <c r="AS106" s="221"/>
      <c r="AT106" s="221"/>
      <c r="AU106" s="221"/>
      <c r="AV106" s="221"/>
      <c r="AW106" s="221"/>
      <c r="AX106" s="221"/>
      <c r="AY106" s="221"/>
      <c r="AZ106" s="221"/>
      <c r="BA106" s="221"/>
      <c r="BB106" s="221"/>
      <c r="BC106" s="221"/>
    </row>
    <row r="107" spans="1:55" hidden="1" outlineLevel="1" x14ac:dyDescent="0.2">
      <c r="A107"/>
      <c r="B107"/>
      <c r="C107" s="87" t="s">
        <v>1521</v>
      </c>
      <c r="D107" s="81"/>
      <c r="E107" s="81"/>
      <c r="F107" s="223"/>
      <c r="G107" s="223"/>
      <c r="H107" s="223"/>
      <c r="I107" s="223"/>
      <c r="J107" s="221"/>
      <c r="K107" s="221"/>
      <c r="L107" s="221"/>
      <c r="M107" s="223"/>
      <c r="N107" s="223"/>
      <c r="O107" s="223"/>
      <c r="P107" s="223"/>
      <c r="Q107" s="221"/>
      <c r="R107" s="221"/>
      <c r="S107" s="221"/>
      <c r="T107" s="223"/>
      <c r="U107" s="223"/>
      <c r="V107" s="223"/>
      <c r="W107" s="223"/>
      <c r="X107" s="221"/>
      <c r="Y107" s="221"/>
      <c r="Z107" s="221"/>
      <c r="AA107" s="223">
        <v>1</v>
      </c>
      <c r="AB107" s="223">
        <v>1</v>
      </c>
      <c r="AC107" s="223"/>
      <c r="AD107" s="223">
        <v>1</v>
      </c>
      <c r="AE107" s="223">
        <v>1</v>
      </c>
      <c r="AF107" s="223"/>
      <c r="AG107" s="223">
        <v>1</v>
      </c>
      <c r="AH107" s="223">
        <v>1</v>
      </c>
      <c r="AI107" s="221"/>
      <c r="AJ107" s="221"/>
      <c r="AK107" s="221"/>
      <c r="AL107" s="221"/>
      <c r="AM107" s="221"/>
      <c r="AN107" s="221"/>
      <c r="AO107" s="221"/>
      <c r="AP107" s="221"/>
      <c r="AQ107" s="221"/>
      <c r="AR107" s="221"/>
      <c r="AS107" s="221"/>
      <c r="AT107" s="221"/>
      <c r="AU107" s="221"/>
      <c r="AV107" s="221"/>
      <c r="AW107" s="221"/>
      <c r="AX107" s="221"/>
      <c r="AY107" s="221"/>
      <c r="AZ107" s="221"/>
      <c r="BA107" s="221"/>
      <c r="BB107" s="221"/>
      <c r="BC107" s="221"/>
    </row>
    <row r="108" spans="1:55" hidden="1" outlineLevel="1" x14ac:dyDescent="0.2">
      <c r="A108"/>
      <c r="B108"/>
      <c r="C108" s="87" t="s">
        <v>1520</v>
      </c>
      <c r="D108" s="81"/>
      <c r="E108" s="81"/>
      <c r="F108" s="223"/>
      <c r="G108" s="223">
        <v>1</v>
      </c>
      <c r="H108" s="223">
        <v>1</v>
      </c>
      <c r="I108" s="223">
        <v>1</v>
      </c>
      <c r="J108" s="223">
        <v>1</v>
      </c>
      <c r="K108" s="223">
        <v>1</v>
      </c>
      <c r="L108" s="223">
        <v>1</v>
      </c>
      <c r="M108" s="223"/>
      <c r="N108" s="223">
        <v>1</v>
      </c>
      <c r="O108" s="223">
        <v>1</v>
      </c>
      <c r="P108" s="223">
        <v>1</v>
      </c>
      <c r="Q108" s="223">
        <v>1</v>
      </c>
      <c r="R108" s="223">
        <v>1</v>
      </c>
      <c r="S108" s="223">
        <v>1</v>
      </c>
      <c r="T108" s="223"/>
      <c r="U108" s="223">
        <v>1</v>
      </c>
      <c r="V108" s="223">
        <v>1</v>
      </c>
      <c r="W108" s="223">
        <v>1</v>
      </c>
      <c r="X108" s="223">
        <v>1</v>
      </c>
      <c r="Y108" s="223">
        <v>1</v>
      </c>
      <c r="Z108" s="223">
        <v>1</v>
      </c>
      <c r="AA108" s="223"/>
      <c r="AB108" s="223"/>
      <c r="AC108" s="223"/>
      <c r="AD108" s="223"/>
      <c r="AE108" s="223"/>
      <c r="AF108" s="223"/>
      <c r="AG108" s="223"/>
      <c r="AH108" s="223"/>
      <c r="AI108" s="223"/>
      <c r="AJ108" s="223"/>
      <c r="AK108" s="223"/>
      <c r="AL108" s="223"/>
      <c r="AM108" s="223"/>
      <c r="AN108" s="223"/>
      <c r="AO108" s="223"/>
      <c r="AP108" s="223"/>
      <c r="AQ108" s="223"/>
      <c r="AR108" s="223"/>
      <c r="AS108" s="223"/>
      <c r="AT108" s="223"/>
      <c r="AU108" s="223"/>
      <c r="AV108" s="223"/>
      <c r="AW108" s="223"/>
      <c r="AX108" s="223"/>
      <c r="AY108" s="223"/>
      <c r="AZ108" s="223"/>
      <c r="BA108" s="223"/>
      <c r="BB108" s="223"/>
      <c r="BC108" s="223"/>
    </row>
    <row r="109" spans="1:55" hidden="1" outlineLevel="1" x14ac:dyDescent="0.2">
      <c r="A109"/>
      <c r="B109"/>
      <c r="C109" s="6" t="s">
        <v>1519</v>
      </c>
      <c r="D109"/>
      <c r="E109"/>
      <c r="F109" s="223">
        <v>7</v>
      </c>
      <c r="G109" s="223">
        <v>2</v>
      </c>
      <c r="H109" s="223">
        <v>2</v>
      </c>
      <c r="I109" s="223">
        <v>2</v>
      </c>
      <c r="J109" s="223">
        <v>5</v>
      </c>
      <c r="K109" s="223">
        <v>5</v>
      </c>
      <c r="L109" s="223">
        <v>5</v>
      </c>
      <c r="M109" s="223"/>
      <c r="N109" s="223"/>
      <c r="O109" s="223"/>
      <c r="P109" s="223"/>
      <c r="Q109" s="223"/>
      <c r="R109" s="223"/>
      <c r="S109" s="223"/>
      <c r="T109" s="223"/>
      <c r="U109" s="223"/>
      <c r="V109" s="223"/>
      <c r="W109" s="223"/>
      <c r="X109" s="223"/>
      <c r="Y109" s="223"/>
      <c r="Z109" s="223"/>
      <c r="AA109" s="223">
        <v>1</v>
      </c>
      <c r="AB109" s="223">
        <v>1</v>
      </c>
      <c r="AC109" s="223">
        <v>1</v>
      </c>
      <c r="AD109" s="223"/>
      <c r="AE109" s="223"/>
      <c r="AF109" s="223"/>
      <c r="AG109" s="223"/>
      <c r="AH109" s="223"/>
      <c r="AI109" s="223"/>
      <c r="AJ109" s="223"/>
      <c r="AK109" s="223"/>
      <c r="AL109" s="223"/>
      <c r="AM109" s="223"/>
      <c r="AN109" s="223"/>
      <c r="AO109" s="223"/>
      <c r="AP109" s="223"/>
      <c r="AQ109" s="223"/>
      <c r="AR109" s="223"/>
      <c r="AS109" s="223"/>
      <c r="AT109" s="223"/>
      <c r="AU109" s="223"/>
      <c r="AV109" s="223"/>
      <c r="AW109" s="223"/>
      <c r="AX109" s="223"/>
      <c r="AY109" s="223"/>
      <c r="AZ109" s="223"/>
      <c r="BA109" s="223"/>
      <c r="BB109" s="223"/>
      <c r="BC109" s="223"/>
    </row>
    <row r="110" spans="1:55" hidden="1" outlineLevel="1" x14ac:dyDescent="0.2">
      <c r="A110"/>
      <c r="B110"/>
      <c r="C110" s="6" t="s">
        <v>1518</v>
      </c>
      <c r="D110"/>
      <c r="E110"/>
      <c r="F110" s="223">
        <v>7</v>
      </c>
      <c r="G110" s="223">
        <v>2</v>
      </c>
      <c r="H110" s="223">
        <v>2</v>
      </c>
      <c r="I110" s="223">
        <v>2</v>
      </c>
      <c r="J110" s="223">
        <v>5</v>
      </c>
      <c r="K110" s="223">
        <v>5</v>
      </c>
      <c r="L110" s="223">
        <v>5</v>
      </c>
      <c r="M110" s="223">
        <v>7</v>
      </c>
      <c r="N110" s="223">
        <v>2</v>
      </c>
      <c r="O110" s="223">
        <v>2</v>
      </c>
      <c r="P110" s="223">
        <v>2</v>
      </c>
      <c r="Q110" s="223">
        <v>5</v>
      </c>
      <c r="R110" s="223">
        <v>5</v>
      </c>
      <c r="S110" s="223">
        <v>5</v>
      </c>
      <c r="T110" s="223"/>
      <c r="U110" s="223"/>
      <c r="V110" s="223"/>
      <c r="W110" s="223"/>
      <c r="X110" s="223"/>
      <c r="Y110" s="223"/>
      <c r="Z110" s="223"/>
      <c r="AA110" s="223">
        <v>1</v>
      </c>
      <c r="AB110" s="223">
        <v>1</v>
      </c>
      <c r="AC110" s="223">
        <v>1</v>
      </c>
      <c r="AD110" s="223">
        <v>1</v>
      </c>
      <c r="AE110" s="223">
        <v>1</v>
      </c>
      <c r="AF110" s="223">
        <v>1</v>
      </c>
      <c r="AG110" s="223"/>
      <c r="AH110" s="223"/>
      <c r="AI110" s="223"/>
      <c r="AJ110" s="223"/>
      <c r="AK110" s="223"/>
      <c r="AL110" s="223"/>
      <c r="AM110" s="223"/>
      <c r="AN110" s="223"/>
      <c r="AO110" s="223"/>
      <c r="AP110" s="223"/>
      <c r="AQ110" s="223"/>
      <c r="AR110" s="223"/>
      <c r="AS110" s="223"/>
      <c r="AT110" s="223"/>
      <c r="AU110" s="223"/>
      <c r="AV110" s="223"/>
      <c r="AW110" s="223"/>
      <c r="AX110" s="223"/>
      <c r="AY110" s="223"/>
      <c r="AZ110" s="223"/>
      <c r="BA110" s="223"/>
      <c r="BB110" s="223"/>
      <c r="BC110" s="223"/>
    </row>
    <row r="111" spans="1:55" hidden="1" outlineLevel="1" x14ac:dyDescent="0.2">
      <c r="A111"/>
      <c r="B111"/>
      <c r="C111" s="87" t="s">
        <v>92</v>
      </c>
      <c r="D111"/>
      <c r="E111"/>
      <c r="F111" s="223"/>
      <c r="G111" s="223"/>
      <c r="H111" s="223"/>
      <c r="I111" s="223"/>
      <c r="J111" s="223"/>
      <c r="K111" s="223"/>
      <c r="L111" s="223"/>
      <c r="M111" s="223"/>
      <c r="N111" s="223"/>
      <c r="O111" s="223"/>
      <c r="P111" s="223"/>
      <c r="Q111" s="223"/>
      <c r="R111" s="223"/>
      <c r="S111" s="223"/>
      <c r="T111" s="223"/>
      <c r="U111" s="223"/>
      <c r="V111" s="223"/>
      <c r="W111" s="223"/>
      <c r="X111" s="223"/>
      <c r="Y111" s="223"/>
      <c r="Z111" s="223"/>
      <c r="AA111" s="223"/>
      <c r="AB111" s="223"/>
      <c r="AC111" s="223"/>
      <c r="AD111" s="223"/>
      <c r="AE111" s="223"/>
      <c r="AF111" s="223"/>
      <c r="AG111" s="223"/>
      <c r="AH111" s="223"/>
      <c r="AI111" s="223"/>
      <c r="AJ111" s="223"/>
      <c r="AK111" s="223"/>
      <c r="AL111" s="223"/>
      <c r="AM111" s="223"/>
      <c r="AN111" s="223"/>
      <c r="AO111" s="223"/>
      <c r="AP111" s="223"/>
      <c r="AQ111" s="223"/>
      <c r="AR111" s="223"/>
      <c r="AS111" s="223"/>
      <c r="AT111" s="223"/>
      <c r="AU111" s="223"/>
      <c r="AV111" s="223"/>
      <c r="AW111" s="223"/>
      <c r="AX111" s="223"/>
      <c r="AY111" s="223"/>
      <c r="AZ111" s="223"/>
      <c r="BA111" s="223"/>
      <c r="BB111" s="223"/>
      <c r="BC111" s="223"/>
    </row>
    <row r="112" spans="1:55" hidden="1" outlineLevel="1" x14ac:dyDescent="0.2">
      <c r="A112"/>
      <c r="B112"/>
      <c r="C112" s="6" t="s">
        <v>1517</v>
      </c>
      <c r="D112"/>
      <c r="E112"/>
      <c r="F112" s="223">
        <v>1</v>
      </c>
      <c r="G112" s="223">
        <v>1</v>
      </c>
      <c r="H112" s="223">
        <v>1</v>
      </c>
      <c r="I112" s="223">
        <v>1</v>
      </c>
      <c r="J112" s="223">
        <v>1</v>
      </c>
      <c r="K112" s="223">
        <v>1</v>
      </c>
      <c r="L112" s="223">
        <v>1</v>
      </c>
      <c r="M112" s="223">
        <v>1</v>
      </c>
      <c r="N112" s="223">
        <v>1</v>
      </c>
      <c r="O112" s="223">
        <v>1</v>
      </c>
      <c r="P112" s="223">
        <v>1</v>
      </c>
      <c r="Q112" s="223">
        <v>1</v>
      </c>
      <c r="R112" s="223">
        <v>1</v>
      </c>
      <c r="S112" s="223">
        <v>1</v>
      </c>
      <c r="T112" s="223">
        <v>1</v>
      </c>
      <c r="U112" s="223">
        <v>1</v>
      </c>
      <c r="V112" s="223">
        <v>1</v>
      </c>
      <c r="W112" s="223">
        <v>1</v>
      </c>
      <c r="X112" s="223">
        <v>1</v>
      </c>
      <c r="Y112" s="223">
        <v>1</v>
      </c>
      <c r="Z112" s="223">
        <v>1</v>
      </c>
      <c r="AA112" s="223"/>
      <c r="AB112" s="223"/>
      <c r="AC112" s="223"/>
      <c r="AD112" s="223"/>
      <c r="AE112" s="223"/>
      <c r="AF112" s="223"/>
      <c r="AG112" s="223"/>
      <c r="AH112" s="223"/>
      <c r="AI112" s="223"/>
      <c r="AJ112" s="223"/>
      <c r="AK112" s="223"/>
      <c r="AL112" s="223"/>
      <c r="AM112" s="223"/>
      <c r="AN112" s="223"/>
      <c r="AO112" s="223"/>
      <c r="AP112" s="223"/>
      <c r="AQ112" s="223"/>
      <c r="AR112" s="223"/>
      <c r="AS112" s="223"/>
      <c r="AT112" s="223"/>
      <c r="AU112" s="223"/>
      <c r="AV112" s="223"/>
      <c r="AW112" s="223"/>
      <c r="AX112" s="223"/>
      <c r="AY112" s="223"/>
      <c r="AZ112" s="223"/>
      <c r="BA112" s="223"/>
      <c r="BB112" s="223"/>
      <c r="BC112" s="223"/>
    </row>
    <row r="113" spans="1:56" hidden="1" outlineLevel="1" x14ac:dyDescent="0.2">
      <c r="A113"/>
      <c r="B113"/>
      <c r="C113" s="87" t="s">
        <v>92</v>
      </c>
      <c r="D113"/>
      <c r="E113"/>
      <c r="F113" s="223"/>
      <c r="G113" s="223"/>
      <c r="H113" s="223"/>
      <c r="I113" s="223"/>
      <c r="J113" s="223"/>
      <c r="K113" s="223"/>
      <c r="L113" s="223"/>
      <c r="M113" s="223"/>
      <c r="N113" s="223"/>
      <c r="O113" s="223"/>
      <c r="P113" s="223"/>
      <c r="Q113" s="223"/>
      <c r="R113" s="223"/>
      <c r="S113" s="223"/>
      <c r="T113" s="223"/>
      <c r="U113" s="223"/>
      <c r="V113" s="223"/>
      <c r="W113" s="223"/>
      <c r="X113" s="223"/>
      <c r="Y113" s="223"/>
      <c r="Z113" s="223"/>
      <c r="AA113" s="223"/>
      <c r="AB113" s="223"/>
      <c r="AC113" s="223"/>
      <c r="AD113" s="223"/>
      <c r="AE113" s="223"/>
      <c r="AF113" s="223"/>
      <c r="AG113" s="223"/>
      <c r="AH113" s="223"/>
      <c r="AI113" s="223"/>
      <c r="AJ113" s="223"/>
      <c r="AK113" s="223"/>
      <c r="AL113" s="223"/>
      <c r="AM113" s="223"/>
      <c r="AN113" s="223"/>
      <c r="AO113" s="223"/>
      <c r="AP113" s="223"/>
      <c r="AQ113" s="223"/>
      <c r="AR113" s="223"/>
      <c r="AS113" s="223"/>
      <c r="AT113" s="223"/>
      <c r="AU113" s="223"/>
      <c r="AV113" s="223"/>
      <c r="AW113" s="223"/>
      <c r="AX113" s="223"/>
      <c r="AY113" s="223"/>
      <c r="AZ113" s="223"/>
      <c r="BA113" s="223"/>
      <c r="BB113" s="223"/>
      <c r="BC113" s="223"/>
    </row>
    <row r="114" spans="1:56" hidden="1" outlineLevel="1" x14ac:dyDescent="0.2">
      <c r="A114"/>
      <c r="B114"/>
      <c r="C114" s="87" t="s">
        <v>92</v>
      </c>
      <c r="D114"/>
      <c r="E114"/>
      <c r="F114" s="223"/>
      <c r="G114" s="223"/>
      <c r="H114" s="223"/>
      <c r="I114" s="223"/>
      <c r="J114" s="223"/>
      <c r="K114" s="223"/>
      <c r="L114" s="223"/>
      <c r="M114" s="223"/>
      <c r="N114" s="223"/>
      <c r="O114" s="223"/>
      <c r="P114" s="223"/>
      <c r="Q114" s="223"/>
      <c r="R114" s="223"/>
      <c r="S114" s="223"/>
      <c r="T114" s="223"/>
      <c r="U114" s="223"/>
      <c r="V114" s="223"/>
      <c r="W114" s="223"/>
      <c r="X114" s="223"/>
      <c r="Y114" s="223"/>
      <c r="Z114" s="223"/>
      <c r="AA114" s="223"/>
      <c r="AB114" s="223"/>
      <c r="AC114" s="223"/>
      <c r="AD114" s="223"/>
      <c r="AE114" s="223"/>
      <c r="AF114" s="223"/>
      <c r="AG114" s="223"/>
      <c r="AH114" s="223"/>
      <c r="AI114" s="223"/>
      <c r="AJ114" s="223"/>
      <c r="AK114" s="223"/>
      <c r="AL114" s="223"/>
      <c r="AM114" s="223"/>
      <c r="AN114" s="223"/>
      <c r="AO114" s="223"/>
      <c r="AP114" s="223"/>
      <c r="AQ114" s="223"/>
      <c r="AR114" s="223"/>
      <c r="AS114" s="223"/>
      <c r="AT114" s="223"/>
      <c r="AU114" s="223"/>
      <c r="AV114" s="223"/>
      <c r="AW114" s="223"/>
      <c r="AX114" s="223"/>
      <c r="AY114" s="223"/>
      <c r="AZ114" s="223"/>
      <c r="BA114" s="223"/>
      <c r="BB114" s="223"/>
      <c r="BC114" s="223"/>
    </row>
    <row r="115" spans="1:56" collapsed="1" x14ac:dyDescent="0.2">
      <c r="A115"/>
      <c r="B115"/>
      <c r="C115" s="6" t="s">
        <v>1516</v>
      </c>
      <c r="D115"/>
      <c r="E115"/>
      <c r="F115" s="222">
        <v>0</v>
      </c>
      <c r="G115" s="222">
        <v>0</v>
      </c>
      <c r="H115" s="222">
        <v>0</v>
      </c>
      <c r="I115" s="222">
        <v>0</v>
      </c>
      <c r="J115" s="222">
        <v>0</v>
      </c>
      <c r="K115" s="222">
        <v>0</v>
      </c>
      <c r="L115" s="222">
        <v>0</v>
      </c>
      <c r="M115" s="222">
        <v>0</v>
      </c>
      <c r="N115" s="222">
        <v>0</v>
      </c>
      <c r="O115" s="222">
        <v>0</v>
      </c>
      <c r="P115" s="222">
        <v>0</v>
      </c>
      <c r="Q115" s="222">
        <v>0</v>
      </c>
      <c r="R115" s="222">
        <v>0</v>
      </c>
      <c r="S115" s="222">
        <v>0</v>
      </c>
      <c r="T115" s="222">
        <v>0</v>
      </c>
      <c r="U115" s="222">
        <v>0</v>
      </c>
      <c r="V115" s="222">
        <v>0</v>
      </c>
      <c r="W115" s="222">
        <v>0</v>
      </c>
      <c r="X115" s="222">
        <v>0</v>
      </c>
      <c r="Y115" s="222">
        <v>0</v>
      </c>
      <c r="Z115" s="222">
        <v>0</v>
      </c>
      <c r="AA115" s="222">
        <v>0</v>
      </c>
      <c r="AB115" s="222">
        <v>0</v>
      </c>
      <c r="AC115" s="222">
        <v>0</v>
      </c>
      <c r="AD115" s="222">
        <v>0</v>
      </c>
      <c r="AE115" s="222">
        <v>0</v>
      </c>
      <c r="AF115" s="222">
        <v>0</v>
      </c>
      <c r="AG115" s="222">
        <v>0</v>
      </c>
      <c r="AH115" s="222">
        <v>0</v>
      </c>
      <c r="AI115" s="222">
        <v>0</v>
      </c>
      <c r="AJ115" s="222">
        <v>0</v>
      </c>
      <c r="AK115" s="222">
        <v>0</v>
      </c>
      <c r="AL115" s="222">
        <v>0</v>
      </c>
      <c r="AM115" s="222">
        <v>0</v>
      </c>
      <c r="AN115" s="222">
        <v>0</v>
      </c>
      <c r="AO115" s="222">
        <v>0</v>
      </c>
      <c r="AP115" s="222">
        <v>0</v>
      </c>
      <c r="AQ115" s="222">
        <v>0</v>
      </c>
      <c r="AR115" s="222">
        <v>0</v>
      </c>
      <c r="AS115" s="222">
        <v>0</v>
      </c>
      <c r="AT115" s="222">
        <v>0</v>
      </c>
      <c r="AU115" s="222">
        <v>0</v>
      </c>
      <c r="AV115" s="222">
        <v>0</v>
      </c>
      <c r="AW115" s="222">
        <v>0</v>
      </c>
      <c r="AX115" s="222">
        <v>0</v>
      </c>
      <c r="AY115" s="222">
        <v>0</v>
      </c>
      <c r="AZ115" s="222">
        <v>0</v>
      </c>
      <c r="BA115" s="222">
        <v>0</v>
      </c>
      <c r="BB115" s="222">
        <v>0</v>
      </c>
      <c r="BC115" s="222">
        <v>0</v>
      </c>
    </row>
    <row r="116" spans="1:56" x14ac:dyDescent="0.2">
      <c r="A116"/>
      <c r="B116"/>
      <c r="C116" s="40" t="s">
        <v>16</v>
      </c>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BD116" s="8" t="s">
        <v>17</v>
      </c>
    </row>
    <row r="117" spans="1:56" x14ac:dyDescent="0.2">
      <c r="A117"/>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row>
    <row r="118" spans="1:56" x14ac:dyDescent="0.2">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row>
    <row r="119" spans="1:56" s="86" customFormat="1" ht="15.75" x14ac:dyDescent="0.2">
      <c r="A119" s="171" t="s">
        <v>959</v>
      </c>
      <c r="B119" s="171"/>
      <c r="C119" s="171"/>
      <c r="D119" s="171"/>
      <c r="E119" s="171"/>
      <c r="F119" s="171"/>
      <c r="G119" s="171"/>
      <c r="H119" s="171"/>
      <c r="I119" s="171"/>
      <c r="J119" s="171"/>
      <c r="K119" s="171"/>
      <c r="L119" s="171"/>
      <c r="M119" s="171"/>
      <c r="N119" s="171"/>
      <c r="O119" s="171"/>
      <c r="P119" s="171"/>
      <c r="Q119" s="171"/>
      <c r="R119" s="171"/>
      <c r="S119" s="171"/>
      <c r="T119" s="171"/>
      <c r="U119" s="171"/>
      <c r="V119" s="171"/>
      <c r="W119" s="171"/>
      <c r="X119" s="171"/>
      <c r="Y119" s="171"/>
      <c r="Z119" s="171"/>
      <c r="AA119" s="171"/>
      <c r="AB119" s="171"/>
      <c r="AC119" s="171"/>
      <c r="AD119" s="171"/>
      <c r="AE119" s="171"/>
      <c r="AF119" s="171"/>
      <c r="AG119" s="171"/>
      <c r="AH119" s="171"/>
      <c r="AI119" s="171"/>
      <c r="AJ119" s="171"/>
      <c r="AK119" s="171"/>
      <c r="AL119" s="171"/>
      <c r="AM119" s="171"/>
      <c r="AN119" s="171"/>
      <c r="AO119" s="171"/>
      <c r="AP119" s="171"/>
      <c r="AQ119" s="171"/>
      <c r="AR119" s="171"/>
      <c r="AS119" s="171"/>
      <c r="AT119" s="171"/>
      <c r="AU119" s="171"/>
      <c r="AV119" s="171"/>
      <c r="AW119" s="171"/>
      <c r="AX119" s="171"/>
      <c r="AY119" s="171"/>
      <c r="AZ119" s="171"/>
      <c r="BA119" s="171"/>
      <c r="BB119" s="171"/>
      <c r="BC119" s="171"/>
    </row>
    <row r="120" spans="1:56" customFormat="1" x14ac:dyDescent="0.2"/>
    <row r="121" spans="1:56" ht="48" x14ac:dyDescent="0.2">
      <c r="C121" s="5" t="s">
        <v>960</v>
      </c>
      <c r="D121" s="5" t="s">
        <v>961</v>
      </c>
      <c r="F121" s="227" t="str">
        <f t="array" ref="F121:BC121">TRANSPOSE(Network.services.list)</f>
        <v>2G - Tráfico de voz on-net</v>
      </c>
      <c r="G121" s="227" t="str">
        <v>2G - Tráfico de voz saliente a fijo</v>
      </c>
      <c r="H121" s="227" t="str">
        <v>2G - Tráfico de voz saliente a móvil</v>
      </c>
      <c r="I121" s="227" t="str">
        <v>2G - Tráfico de voz saliente a internacional</v>
      </c>
      <c r="J121" s="227" t="str">
        <v>2G - Tráfico de voz entrante desde fijo</v>
      </c>
      <c r="K121" s="227" t="str">
        <v>2G - Tráfico de voz entrante desde móvil</v>
      </c>
      <c r="L121" s="227" t="str">
        <v>2G - Tráfico de voz entrante desde internacional</v>
      </c>
      <c r="M121" s="227" t="str">
        <v>3G - Tráfico de voz on-net</v>
      </c>
      <c r="N121" s="227" t="str">
        <v>3G - Tráfico de voz saliente a fijo</v>
      </c>
      <c r="O121" s="227" t="str">
        <v>3G - Tráfico de voz saliente a móvil</v>
      </c>
      <c r="P121" s="227" t="str">
        <v>3G - Tráfico de voz saliente a internacional</v>
      </c>
      <c r="Q121" s="227" t="str">
        <v>3G - Tráfico de voz entrante desde fijo</v>
      </c>
      <c r="R121" s="227" t="str">
        <v>3G - Tráfico de voz entrante desde móvil</v>
      </c>
      <c r="S121" s="227" t="str">
        <v>3G - Tráfico de voz entrante desde internacional</v>
      </c>
      <c r="T121" s="227" t="str">
        <v>4G - Tráfico de voz on-net</v>
      </c>
      <c r="U121" s="227" t="str">
        <v>4G - Tráfico de voz saliente a fijo</v>
      </c>
      <c r="V121" s="227" t="str">
        <v>4G - Tráfico de voz saliente a móvil</v>
      </c>
      <c r="W121" s="227" t="str">
        <v>4G - Tráfico de voz saliente a internacional</v>
      </c>
      <c r="X121" s="227" t="str">
        <v>4G - Tráfico de voz entrante desde fijo</v>
      </c>
      <c r="Y121" s="227" t="str">
        <v>4G - Tráfico de voz entrante desde móvil</v>
      </c>
      <c r="Z121" s="227" t="str">
        <v>4G - Tráfico de voz entrante desde internacional</v>
      </c>
      <c r="AA121" s="227" t="str">
        <v>2G - SMSs on-net</v>
      </c>
      <c r="AB121" s="227" t="str">
        <v>2G - SMS salientes</v>
      </c>
      <c r="AC121" s="227" t="str">
        <v>2G - SMS entrantes</v>
      </c>
      <c r="AD121" s="227" t="str">
        <v>3G - SMSs on-net</v>
      </c>
      <c r="AE121" s="227" t="str">
        <v>3G - SMS salientes</v>
      </c>
      <c r="AF121" s="227" t="str">
        <v>3G - SMS entrantes</v>
      </c>
      <c r="AG121" s="227" t="str">
        <v>4G - SMSs on-net</v>
      </c>
      <c r="AH121" s="227" t="str">
        <v>4G - SMS salientes</v>
      </c>
      <c r="AI121" s="227" t="str">
        <v>4G - SMS entrantes</v>
      </c>
      <c r="AJ121" s="227" t="str">
        <v>GPRS data Mbytes</v>
      </c>
      <c r="AK121" s="227" t="str">
        <v>R99 data Mbytes</v>
      </c>
      <c r="AL121" s="227" t="str">
        <v>HSDPA data Mbytes</v>
      </c>
      <c r="AM121" s="227" t="str">
        <v>HSUPA data Mbytes</v>
      </c>
      <c r="AN121" s="227" t="str">
        <v>LTE data Mbytes</v>
      </c>
      <c r="AO121" s="227" t="str">
        <v>spare</v>
      </c>
      <c r="AP121" s="227" t="str">
        <v>Suscriptores de solo voz (media del año)</v>
      </c>
      <c r="AQ121" s="227" t="str">
        <v>Suscriptores de voz y datos (media del año)</v>
      </c>
      <c r="AR121" s="227" t="str">
        <v>spare</v>
      </c>
      <c r="AS121" s="227" t="str">
        <v>spare</v>
      </c>
      <c r="AT121" s="227" t="str">
        <v>spare</v>
      </c>
      <c r="AU121" s="227" t="str">
        <v>spare</v>
      </c>
      <c r="AV121" s="227" t="str">
        <v>spare</v>
      </c>
      <c r="AW121" s="227" t="str">
        <v>spare</v>
      </c>
      <c r="AX121" s="227" t="str">
        <v>spare</v>
      </c>
      <c r="AY121" s="227" t="str">
        <v>spare</v>
      </c>
      <c r="AZ121" s="227" t="str">
        <v>spare</v>
      </c>
      <c r="BA121" s="227" t="str">
        <v>spare</v>
      </c>
      <c r="BB121" s="227" t="str">
        <v>spare</v>
      </c>
      <c r="BC121" s="227" t="str">
        <v>spare</v>
      </c>
    </row>
    <row r="122" spans="1:56" x14ac:dyDescent="0.2">
      <c r="C122" s="162" t="str">
        <f t="array" ref="C122:C321">Assets.list</f>
        <v>Asset 1</v>
      </c>
      <c r="D122" s="162" t="str">
        <f t="array" ref="D122:D321">Assets.routeing.factor</f>
        <v>Sin enrutamiento</v>
      </c>
      <c r="E122" s="62">
        <f>IF(OR(AND(SUM(F122:BC122)=0,LEFT(C122,5)&lt;&gt;"Asset"),AND(SUM(F122:BC122)&gt;0,LEFT(C122,5)="Asset")),1,0)</f>
        <v>0</v>
      </c>
      <c r="F122" s="39">
        <f t="array" ref="F122:BC122">INDEX(RF.Option.Table,MATCH($D122,RF.Option.List,0),)</f>
        <v>0</v>
      </c>
      <c r="G122" s="39">
        <v>0</v>
      </c>
      <c r="H122" s="39">
        <v>0</v>
      </c>
      <c r="I122" s="39">
        <v>0</v>
      </c>
      <c r="J122" s="39">
        <v>0</v>
      </c>
      <c r="K122" s="39">
        <v>0</v>
      </c>
      <c r="L122" s="39">
        <v>0</v>
      </c>
      <c r="M122" s="39">
        <v>0</v>
      </c>
      <c r="N122" s="39">
        <v>0</v>
      </c>
      <c r="O122" s="39">
        <v>0</v>
      </c>
      <c r="P122" s="39">
        <v>0</v>
      </c>
      <c r="Q122" s="39">
        <v>0</v>
      </c>
      <c r="R122" s="39">
        <v>0</v>
      </c>
      <c r="S122" s="39">
        <v>0</v>
      </c>
      <c r="T122" s="39">
        <v>0</v>
      </c>
      <c r="U122" s="39">
        <v>0</v>
      </c>
      <c r="V122" s="39">
        <v>0</v>
      </c>
      <c r="W122" s="39">
        <v>0</v>
      </c>
      <c r="X122" s="39">
        <v>0</v>
      </c>
      <c r="Y122" s="39">
        <v>0</v>
      </c>
      <c r="Z122" s="39">
        <v>0</v>
      </c>
      <c r="AA122" s="39">
        <v>0</v>
      </c>
      <c r="AB122" s="39">
        <v>0</v>
      </c>
      <c r="AC122" s="39">
        <v>0</v>
      </c>
      <c r="AD122" s="39">
        <v>0</v>
      </c>
      <c r="AE122" s="39">
        <v>0</v>
      </c>
      <c r="AF122" s="39">
        <v>0</v>
      </c>
      <c r="AG122" s="39">
        <v>0</v>
      </c>
      <c r="AH122" s="39">
        <v>0</v>
      </c>
      <c r="AI122" s="39">
        <v>0</v>
      </c>
      <c r="AJ122" s="39">
        <v>0</v>
      </c>
      <c r="AK122" s="39">
        <v>0</v>
      </c>
      <c r="AL122" s="39">
        <v>0</v>
      </c>
      <c r="AM122" s="39">
        <v>0</v>
      </c>
      <c r="AN122" s="39">
        <v>0</v>
      </c>
      <c r="AO122" s="39">
        <v>0</v>
      </c>
      <c r="AP122" s="39">
        <v>0</v>
      </c>
      <c r="AQ122" s="39">
        <v>0</v>
      </c>
      <c r="AR122" s="39">
        <v>0</v>
      </c>
      <c r="AS122" s="39">
        <v>0</v>
      </c>
      <c r="AT122" s="39">
        <v>0</v>
      </c>
      <c r="AU122" s="39">
        <v>0</v>
      </c>
      <c r="AV122" s="39">
        <v>0</v>
      </c>
      <c r="AW122" s="39">
        <v>0</v>
      </c>
      <c r="AX122" s="39">
        <v>0</v>
      </c>
      <c r="AY122" s="39">
        <v>0</v>
      </c>
      <c r="AZ122" s="39">
        <v>0</v>
      </c>
      <c r="BA122" s="39">
        <v>0</v>
      </c>
      <c r="BB122" s="39">
        <v>0</v>
      </c>
      <c r="BC122" s="39">
        <v>0</v>
      </c>
    </row>
    <row r="123" spans="1:56" hidden="1" outlineLevel="1" x14ac:dyDescent="0.2">
      <c r="C123" s="162" t="str">
        <v>Asset 2</v>
      </c>
      <c r="D123" s="162" t="str">
        <v>Sin enrutamiento</v>
      </c>
      <c r="E123" s="62">
        <f t="shared" ref="E123:E186" si="52">IF(OR(AND(SUM(F123:BC123)=0,LEFT(C123,5)&lt;&gt;"Asset"),AND(SUM(F123:BC123)&gt;0,LEFT(C123,5)="Asset")),1,0)</f>
        <v>0</v>
      </c>
      <c r="F123" s="39">
        <f t="array" ref="F123:BC123">INDEX(RF.Option.Table,MATCH($D123,RF.Option.List,0),)</f>
        <v>0</v>
      </c>
      <c r="G123" s="39">
        <v>0</v>
      </c>
      <c r="H123" s="39">
        <v>0</v>
      </c>
      <c r="I123" s="39">
        <v>0</v>
      </c>
      <c r="J123" s="39">
        <v>0</v>
      </c>
      <c r="K123" s="39">
        <v>0</v>
      </c>
      <c r="L123" s="39">
        <v>0</v>
      </c>
      <c r="M123" s="39">
        <v>0</v>
      </c>
      <c r="N123" s="39">
        <v>0</v>
      </c>
      <c r="O123" s="39">
        <v>0</v>
      </c>
      <c r="P123" s="39">
        <v>0</v>
      </c>
      <c r="Q123" s="39">
        <v>0</v>
      </c>
      <c r="R123" s="39">
        <v>0</v>
      </c>
      <c r="S123" s="39">
        <v>0</v>
      </c>
      <c r="T123" s="39">
        <v>0</v>
      </c>
      <c r="U123" s="39">
        <v>0</v>
      </c>
      <c r="V123" s="39">
        <v>0</v>
      </c>
      <c r="W123" s="39">
        <v>0</v>
      </c>
      <c r="X123" s="39">
        <v>0</v>
      </c>
      <c r="Y123" s="39">
        <v>0</v>
      </c>
      <c r="Z123" s="39">
        <v>0</v>
      </c>
      <c r="AA123" s="39">
        <v>0</v>
      </c>
      <c r="AB123" s="39">
        <v>0</v>
      </c>
      <c r="AC123" s="39">
        <v>0</v>
      </c>
      <c r="AD123" s="39">
        <v>0</v>
      </c>
      <c r="AE123" s="39">
        <v>0</v>
      </c>
      <c r="AF123" s="39">
        <v>0</v>
      </c>
      <c r="AG123" s="39">
        <v>0</v>
      </c>
      <c r="AH123" s="39">
        <v>0</v>
      </c>
      <c r="AI123" s="39">
        <v>0</v>
      </c>
      <c r="AJ123" s="39">
        <v>0</v>
      </c>
      <c r="AK123" s="39">
        <v>0</v>
      </c>
      <c r="AL123" s="39">
        <v>0</v>
      </c>
      <c r="AM123" s="39">
        <v>0</v>
      </c>
      <c r="AN123" s="39">
        <v>0</v>
      </c>
      <c r="AO123" s="39">
        <v>0</v>
      </c>
      <c r="AP123" s="39">
        <v>0</v>
      </c>
      <c r="AQ123" s="39">
        <v>0</v>
      </c>
      <c r="AR123" s="39">
        <v>0</v>
      </c>
      <c r="AS123" s="39">
        <v>0</v>
      </c>
      <c r="AT123" s="39">
        <v>0</v>
      </c>
      <c r="AU123" s="39">
        <v>0</v>
      </c>
      <c r="AV123" s="39">
        <v>0</v>
      </c>
      <c r="AW123" s="39">
        <v>0</v>
      </c>
      <c r="AX123" s="39">
        <v>0</v>
      </c>
      <c r="AY123" s="39">
        <v>0</v>
      </c>
      <c r="AZ123" s="39">
        <v>0</v>
      </c>
      <c r="BA123" s="39">
        <v>0</v>
      </c>
      <c r="BB123" s="39">
        <v>0</v>
      </c>
      <c r="BC123" s="39">
        <v>0</v>
      </c>
    </row>
    <row r="124" spans="1:56" hidden="1" outlineLevel="1" x14ac:dyDescent="0.2">
      <c r="C124" s="162" t="str">
        <v>Asset 3</v>
      </c>
      <c r="D124" s="162" t="str">
        <v>Sin enrutamiento</v>
      </c>
      <c r="E124" s="62">
        <f t="shared" si="52"/>
        <v>0</v>
      </c>
      <c r="F124" s="39">
        <f t="array" ref="F124:BC124">INDEX(RF.Option.Table,MATCH($D124,RF.Option.List,0),)</f>
        <v>0</v>
      </c>
      <c r="G124" s="39">
        <v>0</v>
      </c>
      <c r="H124" s="39">
        <v>0</v>
      </c>
      <c r="I124" s="39">
        <v>0</v>
      </c>
      <c r="J124" s="39">
        <v>0</v>
      </c>
      <c r="K124" s="39">
        <v>0</v>
      </c>
      <c r="L124" s="39">
        <v>0</v>
      </c>
      <c r="M124" s="39">
        <v>0</v>
      </c>
      <c r="N124" s="39">
        <v>0</v>
      </c>
      <c r="O124" s="39">
        <v>0</v>
      </c>
      <c r="P124" s="39">
        <v>0</v>
      </c>
      <c r="Q124" s="39">
        <v>0</v>
      </c>
      <c r="R124" s="39">
        <v>0</v>
      </c>
      <c r="S124" s="39">
        <v>0</v>
      </c>
      <c r="T124" s="39">
        <v>0</v>
      </c>
      <c r="U124" s="39">
        <v>0</v>
      </c>
      <c r="V124" s="39">
        <v>0</v>
      </c>
      <c r="W124" s="39">
        <v>0</v>
      </c>
      <c r="X124" s="39">
        <v>0</v>
      </c>
      <c r="Y124" s="39">
        <v>0</v>
      </c>
      <c r="Z124" s="39">
        <v>0</v>
      </c>
      <c r="AA124" s="39">
        <v>0</v>
      </c>
      <c r="AB124" s="39">
        <v>0</v>
      </c>
      <c r="AC124" s="39">
        <v>0</v>
      </c>
      <c r="AD124" s="39">
        <v>0</v>
      </c>
      <c r="AE124" s="39">
        <v>0</v>
      </c>
      <c r="AF124" s="39">
        <v>0</v>
      </c>
      <c r="AG124" s="39">
        <v>0</v>
      </c>
      <c r="AH124" s="39">
        <v>0</v>
      </c>
      <c r="AI124" s="39">
        <v>0</v>
      </c>
      <c r="AJ124" s="39">
        <v>0</v>
      </c>
      <c r="AK124" s="39">
        <v>0</v>
      </c>
      <c r="AL124" s="39">
        <v>0</v>
      </c>
      <c r="AM124" s="39">
        <v>0</v>
      </c>
      <c r="AN124" s="39">
        <v>0</v>
      </c>
      <c r="AO124" s="39">
        <v>0</v>
      </c>
      <c r="AP124" s="39">
        <v>0</v>
      </c>
      <c r="AQ124" s="39">
        <v>0</v>
      </c>
      <c r="AR124" s="39">
        <v>0</v>
      </c>
      <c r="AS124" s="39">
        <v>0</v>
      </c>
      <c r="AT124" s="39">
        <v>0</v>
      </c>
      <c r="AU124" s="39">
        <v>0</v>
      </c>
      <c r="AV124" s="39">
        <v>0</v>
      </c>
      <c r="AW124" s="39">
        <v>0</v>
      </c>
      <c r="AX124" s="39">
        <v>0</v>
      </c>
      <c r="AY124" s="39">
        <v>0</v>
      </c>
      <c r="AZ124" s="39">
        <v>0</v>
      </c>
      <c r="BA124" s="39">
        <v>0</v>
      </c>
      <c r="BB124" s="39">
        <v>0</v>
      </c>
      <c r="BC124" s="39">
        <v>0</v>
      </c>
    </row>
    <row r="125" spans="1:56" hidden="1" outlineLevel="1" x14ac:dyDescent="0.2">
      <c r="C125" s="162" t="str">
        <v>TRX</v>
      </c>
      <c r="D125" s="162" t="str">
        <v>Minutos radio equivalentes GSM</v>
      </c>
      <c r="E125" s="62">
        <f t="shared" si="52"/>
        <v>0</v>
      </c>
      <c r="F125" s="39">
        <f t="array" ref="F125:BC125">INDEX(RF.Option.Table,MATCH($D125,RF.Option.List,0),)</f>
        <v>2.1784313725490194</v>
      </c>
      <c r="G125" s="39">
        <v>1.0947916666666666</v>
      </c>
      <c r="H125" s="39">
        <v>1.1166666666666667</v>
      </c>
      <c r="I125" s="39">
        <v>1.0722222222222222</v>
      </c>
      <c r="J125" s="39">
        <v>1.0947916666666666</v>
      </c>
      <c r="K125" s="39">
        <v>1.1166666666666667</v>
      </c>
      <c r="L125" s="39">
        <v>1.0722222222222222</v>
      </c>
      <c r="M125" s="39">
        <v>0</v>
      </c>
      <c r="N125" s="39">
        <v>0</v>
      </c>
      <c r="O125" s="39">
        <v>0</v>
      </c>
      <c r="P125" s="39">
        <v>0</v>
      </c>
      <c r="Q125" s="39">
        <v>0</v>
      </c>
      <c r="R125" s="39">
        <v>0</v>
      </c>
      <c r="S125" s="39">
        <v>0</v>
      </c>
      <c r="T125" s="39">
        <v>0</v>
      </c>
      <c r="U125" s="39">
        <v>0</v>
      </c>
      <c r="V125" s="39">
        <v>0</v>
      </c>
      <c r="W125" s="39">
        <v>0</v>
      </c>
      <c r="X125" s="39">
        <v>0</v>
      </c>
      <c r="Y125" s="39">
        <v>0</v>
      </c>
      <c r="Z125" s="39">
        <v>0</v>
      </c>
      <c r="AA125" s="39">
        <v>0</v>
      </c>
      <c r="AB125" s="39">
        <v>0</v>
      </c>
      <c r="AC125" s="39">
        <v>0</v>
      </c>
      <c r="AD125" s="39">
        <v>0</v>
      </c>
      <c r="AE125" s="39">
        <v>0</v>
      </c>
      <c r="AF125" s="39">
        <v>0</v>
      </c>
      <c r="AG125" s="39">
        <v>0</v>
      </c>
      <c r="AH125" s="39">
        <v>0</v>
      </c>
      <c r="AI125" s="39">
        <v>0</v>
      </c>
      <c r="AJ125" s="39">
        <v>4.4600888888888894</v>
      </c>
      <c r="AK125" s="39">
        <v>0</v>
      </c>
      <c r="AL125" s="39">
        <v>0</v>
      </c>
      <c r="AM125" s="39">
        <v>0</v>
      </c>
      <c r="AN125" s="39">
        <v>0</v>
      </c>
      <c r="AO125" s="39">
        <v>0</v>
      </c>
      <c r="AP125" s="39">
        <v>0</v>
      </c>
      <c r="AQ125" s="39">
        <v>0</v>
      </c>
      <c r="AR125" s="39">
        <v>0</v>
      </c>
      <c r="AS125" s="39">
        <v>0</v>
      </c>
      <c r="AT125" s="39">
        <v>0</v>
      </c>
      <c r="AU125" s="39">
        <v>0</v>
      </c>
      <c r="AV125" s="39">
        <v>0</v>
      </c>
      <c r="AW125" s="39">
        <v>0</v>
      </c>
      <c r="AX125" s="39">
        <v>0</v>
      </c>
      <c r="AY125" s="39">
        <v>0</v>
      </c>
      <c r="AZ125" s="39">
        <v>0</v>
      </c>
      <c r="BA125" s="39">
        <v>0</v>
      </c>
      <c r="BB125" s="39">
        <v>0</v>
      </c>
      <c r="BC125" s="39">
        <v>0</v>
      </c>
    </row>
    <row r="126" spans="1:56" hidden="1" outlineLevel="1" x14ac:dyDescent="0.2">
      <c r="C126" s="162" t="str">
        <v>Asset 4</v>
      </c>
      <c r="D126" s="162" t="str">
        <v>Sin enrutamiento</v>
      </c>
      <c r="E126" s="62">
        <f t="shared" si="52"/>
        <v>0</v>
      </c>
      <c r="F126" s="39">
        <f t="array" ref="F126:BC126">INDEX(RF.Option.Table,MATCH($D126,RF.Option.List,0),)</f>
        <v>0</v>
      </c>
      <c r="G126" s="39">
        <v>0</v>
      </c>
      <c r="H126" s="39">
        <v>0</v>
      </c>
      <c r="I126" s="39">
        <v>0</v>
      </c>
      <c r="J126" s="39">
        <v>0</v>
      </c>
      <c r="K126" s="39">
        <v>0</v>
      </c>
      <c r="L126" s="39">
        <v>0</v>
      </c>
      <c r="M126" s="39">
        <v>0</v>
      </c>
      <c r="N126" s="39">
        <v>0</v>
      </c>
      <c r="O126" s="39">
        <v>0</v>
      </c>
      <c r="P126" s="39">
        <v>0</v>
      </c>
      <c r="Q126" s="39">
        <v>0</v>
      </c>
      <c r="R126" s="39">
        <v>0</v>
      </c>
      <c r="S126" s="39">
        <v>0</v>
      </c>
      <c r="T126" s="39">
        <v>0</v>
      </c>
      <c r="U126" s="39">
        <v>0</v>
      </c>
      <c r="V126" s="39">
        <v>0</v>
      </c>
      <c r="W126" s="39">
        <v>0</v>
      </c>
      <c r="X126" s="39">
        <v>0</v>
      </c>
      <c r="Y126" s="39">
        <v>0</v>
      </c>
      <c r="Z126" s="39">
        <v>0</v>
      </c>
      <c r="AA126" s="39">
        <v>0</v>
      </c>
      <c r="AB126" s="39">
        <v>0</v>
      </c>
      <c r="AC126" s="39">
        <v>0</v>
      </c>
      <c r="AD126" s="39">
        <v>0</v>
      </c>
      <c r="AE126" s="39">
        <v>0</v>
      </c>
      <c r="AF126" s="39">
        <v>0</v>
      </c>
      <c r="AG126" s="39">
        <v>0</v>
      </c>
      <c r="AH126" s="39">
        <v>0</v>
      </c>
      <c r="AI126" s="39">
        <v>0</v>
      </c>
      <c r="AJ126" s="39">
        <v>0</v>
      </c>
      <c r="AK126" s="39">
        <v>0</v>
      </c>
      <c r="AL126" s="39">
        <v>0</v>
      </c>
      <c r="AM126" s="39">
        <v>0</v>
      </c>
      <c r="AN126" s="39">
        <v>0</v>
      </c>
      <c r="AO126" s="39">
        <v>0</v>
      </c>
      <c r="AP126" s="39">
        <v>0</v>
      </c>
      <c r="AQ126" s="39">
        <v>0</v>
      </c>
      <c r="AR126" s="39">
        <v>0</v>
      </c>
      <c r="AS126" s="39">
        <v>0</v>
      </c>
      <c r="AT126" s="39">
        <v>0</v>
      </c>
      <c r="AU126" s="39">
        <v>0</v>
      </c>
      <c r="AV126" s="39">
        <v>0</v>
      </c>
      <c r="AW126" s="39">
        <v>0</v>
      </c>
      <c r="AX126" s="39">
        <v>0</v>
      </c>
      <c r="AY126" s="39">
        <v>0</v>
      </c>
      <c r="AZ126" s="39">
        <v>0</v>
      </c>
      <c r="BA126" s="39">
        <v>0</v>
      </c>
      <c r="BB126" s="39">
        <v>0</v>
      </c>
      <c r="BC126" s="39">
        <v>0</v>
      </c>
    </row>
    <row r="127" spans="1:56" hidden="1" outlineLevel="1" x14ac:dyDescent="0.2">
      <c r="C127" s="162" t="str">
        <v>Asset 5</v>
      </c>
      <c r="D127" s="162" t="str">
        <v>Sin enrutamiento</v>
      </c>
      <c r="E127" s="62">
        <f t="shared" si="52"/>
        <v>0</v>
      </c>
      <c r="F127" s="39">
        <f t="array" ref="F127:BC127">INDEX(RF.Option.Table,MATCH($D127,RF.Option.List,0),)</f>
        <v>0</v>
      </c>
      <c r="G127" s="39">
        <v>0</v>
      </c>
      <c r="H127" s="39">
        <v>0</v>
      </c>
      <c r="I127" s="39">
        <v>0</v>
      </c>
      <c r="J127" s="39">
        <v>0</v>
      </c>
      <c r="K127" s="39">
        <v>0</v>
      </c>
      <c r="L127" s="39">
        <v>0</v>
      </c>
      <c r="M127" s="39">
        <v>0</v>
      </c>
      <c r="N127" s="39">
        <v>0</v>
      </c>
      <c r="O127" s="39">
        <v>0</v>
      </c>
      <c r="P127" s="39">
        <v>0</v>
      </c>
      <c r="Q127" s="39">
        <v>0</v>
      </c>
      <c r="R127" s="39">
        <v>0</v>
      </c>
      <c r="S127" s="39">
        <v>0</v>
      </c>
      <c r="T127" s="39">
        <v>0</v>
      </c>
      <c r="U127" s="39">
        <v>0</v>
      </c>
      <c r="V127" s="39">
        <v>0</v>
      </c>
      <c r="W127" s="39">
        <v>0</v>
      </c>
      <c r="X127" s="39">
        <v>0</v>
      </c>
      <c r="Y127" s="39">
        <v>0</v>
      </c>
      <c r="Z127" s="39">
        <v>0</v>
      </c>
      <c r="AA127" s="39">
        <v>0</v>
      </c>
      <c r="AB127" s="39">
        <v>0</v>
      </c>
      <c r="AC127" s="39">
        <v>0</v>
      </c>
      <c r="AD127" s="39">
        <v>0</v>
      </c>
      <c r="AE127" s="39">
        <v>0</v>
      </c>
      <c r="AF127" s="39">
        <v>0</v>
      </c>
      <c r="AG127" s="39">
        <v>0</v>
      </c>
      <c r="AH127" s="39">
        <v>0</v>
      </c>
      <c r="AI127" s="39">
        <v>0</v>
      </c>
      <c r="AJ127" s="39">
        <v>0</v>
      </c>
      <c r="AK127" s="39">
        <v>0</v>
      </c>
      <c r="AL127" s="39">
        <v>0</v>
      </c>
      <c r="AM127" s="39">
        <v>0</v>
      </c>
      <c r="AN127" s="39">
        <v>0</v>
      </c>
      <c r="AO127" s="39">
        <v>0</v>
      </c>
      <c r="AP127" s="39">
        <v>0</v>
      </c>
      <c r="AQ127" s="39">
        <v>0</v>
      </c>
      <c r="AR127" s="39">
        <v>0</v>
      </c>
      <c r="AS127" s="39">
        <v>0</v>
      </c>
      <c r="AT127" s="39">
        <v>0</v>
      </c>
      <c r="AU127" s="39">
        <v>0</v>
      </c>
      <c r="AV127" s="39">
        <v>0</v>
      </c>
      <c r="AW127" s="39">
        <v>0</v>
      </c>
      <c r="AX127" s="39">
        <v>0</v>
      </c>
      <c r="AY127" s="39">
        <v>0</v>
      </c>
      <c r="AZ127" s="39">
        <v>0</v>
      </c>
      <c r="BA127" s="39">
        <v>0</v>
      </c>
      <c r="BB127" s="39">
        <v>0</v>
      </c>
      <c r="BC127" s="39">
        <v>0</v>
      </c>
    </row>
    <row r="128" spans="1:56" hidden="1" outlineLevel="1" x14ac:dyDescent="0.2">
      <c r="C128" s="162" t="str">
        <v>Portadora 3G</v>
      </c>
      <c r="D128" s="162" t="str">
        <v>Minutos radio equivalentes UMTS R99</v>
      </c>
      <c r="E128" s="62">
        <f t="shared" si="52"/>
        <v>0</v>
      </c>
      <c r="F128" s="39">
        <f t="array" ref="F128:BC128">INDEX(RF.Option.Table,MATCH($D128,RF.Option.List,0),)</f>
        <v>0</v>
      </c>
      <c r="G128" s="39">
        <v>0</v>
      </c>
      <c r="H128" s="39">
        <v>0</v>
      </c>
      <c r="I128" s="39">
        <v>0</v>
      </c>
      <c r="J128" s="39">
        <v>0</v>
      </c>
      <c r="K128" s="39">
        <v>0</v>
      </c>
      <c r="L128" s="39">
        <v>0</v>
      </c>
      <c r="M128" s="39">
        <v>2.8319607843137256</v>
      </c>
      <c r="N128" s="39">
        <v>1.4232291666666665</v>
      </c>
      <c r="O128" s="39">
        <v>1.4516666666666667</v>
      </c>
      <c r="P128" s="39">
        <v>1.393888888888889</v>
      </c>
      <c r="Q128" s="39">
        <v>1.4232291666666665</v>
      </c>
      <c r="R128" s="39">
        <v>1.4516666666666667</v>
      </c>
      <c r="S128" s="39">
        <v>1.393888888888889</v>
      </c>
      <c r="T128" s="39">
        <v>0</v>
      </c>
      <c r="U128" s="39">
        <v>0</v>
      </c>
      <c r="V128" s="39">
        <v>0</v>
      </c>
      <c r="W128" s="39">
        <v>0</v>
      </c>
      <c r="X128" s="39">
        <v>0</v>
      </c>
      <c r="Y128" s="39">
        <v>0</v>
      </c>
      <c r="Z128" s="39">
        <v>0</v>
      </c>
      <c r="AA128" s="39">
        <v>0</v>
      </c>
      <c r="AB128" s="39">
        <v>0</v>
      </c>
      <c r="AC128" s="39">
        <v>0</v>
      </c>
      <c r="AD128" s="39">
        <v>1E-3</v>
      </c>
      <c r="AE128" s="39">
        <v>5.0000000000000001E-4</v>
      </c>
      <c r="AF128" s="39">
        <v>5.0000000000000001E-4</v>
      </c>
      <c r="AG128" s="39">
        <v>0</v>
      </c>
      <c r="AH128" s="39">
        <v>0</v>
      </c>
      <c r="AI128" s="39">
        <v>0</v>
      </c>
      <c r="AJ128" s="39">
        <v>0</v>
      </c>
      <c r="AK128" s="39">
        <v>9.1</v>
      </c>
      <c r="AL128" s="39">
        <v>0</v>
      </c>
      <c r="AM128" s="39">
        <v>0</v>
      </c>
      <c r="AN128" s="39">
        <v>0</v>
      </c>
      <c r="AO128" s="39">
        <v>0</v>
      </c>
      <c r="AP128" s="39">
        <v>0</v>
      </c>
      <c r="AQ128" s="39">
        <v>0</v>
      </c>
      <c r="AR128" s="39">
        <v>0</v>
      </c>
      <c r="AS128" s="39">
        <v>0</v>
      </c>
      <c r="AT128" s="39">
        <v>0</v>
      </c>
      <c r="AU128" s="39">
        <v>0</v>
      </c>
      <c r="AV128" s="39">
        <v>0</v>
      </c>
      <c r="AW128" s="39">
        <v>0</v>
      </c>
      <c r="AX128" s="39">
        <v>0</v>
      </c>
      <c r="AY128" s="39">
        <v>0</v>
      </c>
      <c r="AZ128" s="39">
        <v>0</v>
      </c>
      <c r="BA128" s="39">
        <v>0</v>
      </c>
      <c r="BB128" s="39">
        <v>0</v>
      </c>
      <c r="BC128" s="39">
        <v>0</v>
      </c>
    </row>
    <row r="129" spans="3:55" hidden="1" outlineLevel="1" x14ac:dyDescent="0.2">
      <c r="C129" s="162" t="str">
        <v>Channel kit</v>
      </c>
      <c r="D129" s="162" t="str">
        <v>Minutos radio equivalentes UMTS R99</v>
      </c>
      <c r="E129" s="62">
        <f t="shared" si="52"/>
        <v>0</v>
      </c>
      <c r="F129" s="39">
        <f t="array" ref="F129:BC129">INDEX(RF.Option.Table,MATCH($D129,RF.Option.List,0),)</f>
        <v>0</v>
      </c>
      <c r="G129" s="39">
        <v>0</v>
      </c>
      <c r="H129" s="39">
        <v>0</v>
      </c>
      <c r="I129" s="39">
        <v>0</v>
      </c>
      <c r="J129" s="39">
        <v>0</v>
      </c>
      <c r="K129" s="39">
        <v>0</v>
      </c>
      <c r="L129" s="39">
        <v>0</v>
      </c>
      <c r="M129" s="39">
        <v>2.8319607843137256</v>
      </c>
      <c r="N129" s="39">
        <v>1.4232291666666665</v>
      </c>
      <c r="O129" s="39">
        <v>1.4516666666666667</v>
      </c>
      <c r="P129" s="39">
        <v>1.393888888888889</v>
      </c>
      <c r="Q129" s="39">
        <v>1.4232291666666665</v>
      </c>
      <c r="R129" s="39">
        <v>1.4516666666666667</v>
      </c>
      <c r="S129" s="39">
        <v>1.393888888888889</v>
      </c>
      <c r="T129" s="39">
        <v>0</v>
      </c>
      <c r="U129" s="39">
        <v>0</v>
      </c>
      <c r="V129" s="39">
        <v>0</v>
      </c>
      <c r="W129" s="39">
        <v>0</v>
      </c>
      <c r="X129" s="39">
        <v>0</v>
      </c>
      <c r="Y129" s="39">
        <v>0</v>
      </c>
      <c r="Z129" s="39">
        <v>0</v>
      </c>
      <c r="AA129" s="39">
        <v>0</v>
      </c>
      <c r="AB129" s="39">
        <v>0</v>
      </c>
      <c r="AC129" s="39">
        <v>0</v>
      </c>
      <c r="AD129" s="39">
        <v>1E-3</v>
      </c>
      <c r="AE129" s="39">
        <v>5.0000000000000001E-4</v>
      </c>
      <c r="AF129" s="39">
        <v>5.0000000000000001E-4</v>
      </c>
      <c r="AG129" s="39">
        <v>0</v>
      </c>
      <c r="AH129" s="39">
        <v>0</v>
      </c>
      <c r="AI129" s="39">
        <v>0</v>
      </c>
      <c r="AJ129" s="39">
        <v>0</v>
      </c>
      <c r="AK129" s="39">
        <v>9.1</v>
      </c>
      <c r="AL129" s="39">
        <v>0</v>
      </c>
      <c r="AM129" s="39">
        <v>0</v>
      </c>
      <c r="AN129" s="39">
        <v>0</v>
      </c>
      <c r="AO129" s="39">
        <v>0</v>
      </c>
      <c r="AP129" s="39">
        <v>0</v>
      </c>
      <c r="AQ129" s="39">
        <v>0</v>
      </c>
      <c r="AR129" s="39">
        <v>0</v>
      </c>
      <c r="AS129" s="39">
        <v>0</v>
      </c>
      <c r="AT129" s="39">
        <v>0</v>
      </c>
      <c r="AU129" s="39">
        <v>0</v>
      </c>
      <c r="AV129" s="39">
        <v>0</v>
      </c>
      <c r="AW129" s="39">
        <v>0</v>
      </c>
      <c r="AX129" s="39">
        <v>0</v>
      </c>
      <c r="AY129" s="39">
        <v>0</v>
      </c>
      <c r="AZ129" s="39">
        <v>0</v>
      </c>
      <c r="BA129" s="39">
        <v>0</v>
      </c>
      <c r="BB129" s="39">
        <v>0</v>
      </c>
      <c r="BC129" s="39">
        <v>0</v>
      </c>
    </row>
    <row r="130" spans="3:55" hidden="1" outlineLevel="1" x14ac:dyDescent="0.2">
      <c r="C130" s="162" t="str">
        <v>HSDPA salto a: 1.8</v>
      </c>
      <c r="D130" s="162" t="str">
        <v>Tráfico radio HSDPA</v>
      </c>
      <c r="E130" s="62">
        <f t="shared" si="52"/>
        <v>0</v>
      </c>
      <c r="F130" s="39">
        <f t="array" ref="F130:BC130">INDEX(RF.Option.Table,MATCH($D130,RF.Option.List,0),)</f>
        <v>0</v>
      </c>
      <c r="G130" s="39">
        <v>0</v>
      </c>
      <c r="H130" s="39">
        <v>0</v>
      </c>
      <c r="I130" s="39">
        <v>0</v>
      </c>
      <c r="J130" s="39">
        <v>0</v>
      </c>
      <c r="K130" s="39">
        <v>0</v>
      </c>
      <c r="L130" s="39">
        <v>0</v>
      </c>
      <c r="M130" s="39">
        <v>0</v>
      </c>
      <c r="N130" s="39">
        <v>0</v>
      </c>
      <c r="O130" s="39">
        <v>0</v>
      </c>
      <c r="P130" s="39">
        <v>0</v>
      </c>
      <c r="Q130" s="39">
        <v>0</v>
      </c>
      <c r="R130" s="39">
        <v>0</v>
      </c>
      <c r="S130" s="39">
        <v>0</v>
      </c>
      <c r="T130" s="39">
        <v>0</v>
      </c>
      <c r="U130" s="39">
        <v>0</v>
      </c>
      <c r="V130" s="39">
        <v>0</v>
      </c>
      <c r="W130" s="39">
        <v>0</v>
      </c>
      <c r="X130" s="39">
        <v>0</v>
      </c>
      <c r="Y130" s="39">
        <v>0</v>
      </c>
      <c r="Z130" s="39">
        <v>0</v>
      </c>
      <c r="AA130" s="39">
        <v>0</v>
      </c>
      <c r="AB130" s="39">
        <v>0</v>
      </c>
      <c r="AC130" s="39">
        <v>0</v>
      </c>
      <c r="AD130" s="39">
        <v>0</v>
      </c>
      <c r="AE130" s="39">
        <v>0</v>
      </c>
      <c r="AF130" s="39">
        <v>1</v>
      </c>
      <c r="AG130" s="39">
        <v>0</v>
      </c>
      <c r="AH130" s="39">
        <v>0</v>
      </c>
      <c r="AI130" s="39">
        <v>0</v>
      </c>
      <c r="AJ130" s="39">
        <v>0</v>
      </c>
      <c r="AK130" s="39">
        <v>0</v>
      </c>
      <c r="AL130" s="39">
        <v>1</v>
      </c>
      <c r="AM130" s="39">
        <v>0</v>
      </c>
      <c r="AN130" s="39">
        <v>0</v>
      </c>
      <c r="AO130" s="39">
        <v>0</v>
      </c>
      <c r="AP130" s="39">
        <v>0</v>
      </c>
      <c r="AQ130" s="39">
        <v>0</v>
      </c>
      <c r="AR130" s="39">
        <v>0</v>
      </c>
      <c r="AS130" s="39">
        <v>0</v>
      </c>
      <c r="AT130" s="39">
        <v>0</v>
      </c>
      <c r="AU130" s="39">
        <v>0</v>
      </c>
      <c r="AV130" s="39">
        <v>0</v>
      </c>
      <c r="AW130" s="39">
        <v>0</v>
      </c>
      <c r="AX130" s="39">
        <v>0</v>
      </c>
      <c r="AY130" s="39">
        <v>0</v>
      </c>
      <c r="AZ130" s="39">
        <v>0</v>
      </c>
      <c r="BA130" s="39">
        <v>0</v>
      </c>
      <c r="BB130" s="39">
        <v>0</v>
      </c>
      <c r="BC130" s="39">
        <v>0</v>
      </c>
    </row>
    <row r="131" spans="3:55" hidden="1" outlineLevel="1" x14ac:dyDescent="0.2">
      <c r="C131" s="162" t="str">
        <v>HSDPA salto a: 3.6</v>
      </c>
      <c r="D131" s="162" t="str">
        <v>Tráfico radio HSDPA</v>
      </c>
      <c r="E131" s="62">
        <f t="shared" si="52"/>
        <v>0</v>
      </c>
      <c r="F131" s="39">
        <f t="array" ref="F131:BC131">INDEX(RF.Option.Table,MATCH($D131,RF.Option.List,0),)</f>
        <v>0</v>
      </c>
      <c r="G131" s="39">
        <v>0</v>
      </c>
      <c r="H131" s="39">
        <v>0</v>
      </c>
      <c r="I131" s="39">
        <v>0</v>
      </c>
      <c r="J131" s="39">
        <v>0</v>
      </c>
      <c r="K131" s="39">
        <v>0</v>
      </c>
      <c r="L131" s="39">
        <v>0</v>
      </c>
      <c r="M131" s="39">
        <v>0</v>
      </c>
      <c r="N131" s="39">
        <v>0</v>
      </c>
      <c r="O131" s="39">
        <v>0</v>
      </c>
      <c r="P131" s="39">
        <v>0</v>
      </c>
      <c r="Q131" s="39">
        <v>0</v>
      </c>
      <c r="R131" s="39">
        <v>0</v>
      </c>
      <c r="S131" s="39">
        <v>0</v>
      </c>
      <c r="T131" s="39">
        <v>0</v>
      </c>
      <c r="U131" s="39">
        <v>0</v>
      </c>
      <c r="V131" s="39">
        <v>0</v>
      </c>
      <c r="W131" s="39">
        <v>0</v>
      </c>
      <c r="X131" s="39">
        <v>0</v>
      </c>
      <c r="Y131" s="39">
        <v>0</v>
      </c>
      <c r="Z131" s="39">
        <v>0</v>
      </c>
      <c r="AA131" s="39">
        <v>0</v>
      </c>
      <c r="AB131" s="39">
        <v>0</v>
      </c>
      <c r="AC131" s="39">
        <v>0</v>
      </c>
      <c r="AD131" s="39">
        <v>0</v>
      </c>
      <c r="AE131" s="39">
        <v>0</v>
      </c>
      <c r="AF131" s="39">
        <v>1</v>
      </c>
      <c r="AG131" s="39">
        <v>0</v>
      </c>
      <c r="AH131" s="39">
        <v>0</v>
      </c>
      <c r="AI131" s="39">
        <v>0</v>
      </c>
      <c r="AJ131" s="39">
        <v>0</v>
      </c>
      <c r="AK131" s="39">
        <v>0</v>
      </c>
      <c r="AL131" s="39">
        <v>1</v>
      </c>
      <c r="AM131" s="39">
        <v>0</v>
      </c>
      <c r="AN131" s="39">
        <v>0</v>
      </c>
      <c r="AO131" s="39">
        <v>0</v>
      </c>
      <c r="AP131" s="39">
        <v>0</v>
      </c>
      <c r="AQ131" s="39">
        <v>0</v>
      </c>
      <c r="AR131" s="39">
        <v>0</v>
      </c>
      <c r="AS131" s="39">
        <v>0</v>
      </c>
      <c r="AT131" s="39">
        <v>0</v>
      </c>
      <c r="AU131" s="39">
        <v>0</v>
      </c>
      <c r="AV131" s="39">
        <v>0</v>
      </c>
      <c r="AW131" s="39">
        <v>0</v>
      </c>
      <c r="AX131" s="39">
        <v>0</v>
      </c>
      <c r="AY131" s="39">
        <v>0</v>
      </c>
      <c r="AZ131" s="39">
        <v>0</v>
      </c>
      <c r="BA131" s="39">
        <v>0</v>
      </c>
      <c r="BB131" s="39">
        <v>0</v>
      </c>
      <c r="BC131" s="39">
        <v>0</v>
      </c>
    </row>
    <row r="132" spans="3:55" hidden="1" outlineLevel="1" x14ac:dyDescent="0.2">
      <c r="C132" s="162" t="str">
        <v>HSDPA salto a: 7.2</v>
      </c>
      <c r="D132" s="162" t="str">
        <v>Tráfico radio HSDPA</v>
      </c>
      <c r="E132" s="62">
        <f t="shared" si="52"/>
        <v>0</v>
      </c>
      <c r="F132" s="39">
        <f t="array" ref="F132:BC132">INDEX(RF.Option.Table,MATCH($D132,RF.Option.List,0),)</f>
        <v>0</v>
      </c>
      <c r="G132" s="39">
        <v>0</v>
      </c>
      <c r="H132" s="39">
        <v>0</v>
      </c>
      <c r="I132" s="39">
        <v>0</v>
      </c>
      <c r="J132" s="39">
        <v>0</v>
      </c>
      <c r="K132" s="39">
        <v>0</v>
      </c>
      <c r="L132" s="39">
        <v>0</v>
      </c>
      <c r="M132" s="39">
        <v>0</v>
      </c>
      <c r="N132" s="39">
        <v>0</v>
      </c>
      <c r="O132" s="39">
        <v>0</v>
      </c>
      <c r="P132" s="39">
        <v>0</v>
      </c>
      <c r="Q132" s="39">
        <v>0</v>
      </c>
      <c r="R132" s="39">
        <v>0</v>
      </c>
      <c r="S132" s="39">
        <v>0</v>
      </c>
      <c r="T132" s="39">
        <v>0</v>
      </c>
      <c r="U132" s="39">
        <v>0</v>
      </c>
      <c r="V132" s="39">
        <v>0</v>
      </c>
      <c r="W132" s="39">
        <v>0</v>
      </c>
      <c r="X132" s="39">
        <v>0</v>
      </c>
      <c r="Y132" s="39">
        <v>0</v>
      </c>
      <c r="Z132" s="39">
        <v>0</v>
      </c>
      <c r="AA132" s="39">
        <v>0</v>
      </c>
      <c r="AB132" s="39">
        <v>0</v>
      </c>
      <c r="AC132" s="39">
        <v>0</v>
      </c>
      <c r="AD132" s="39">
        <v>0</v>
      </c>
      <c r="AE132" s="39">
        <v>0</v>
      </c>
      <c r="AF132" s="39">
        <v>1</v>
      </c>
      <c r="AG132" s="39">
        <v>0</v>
      </c>
      <c r="AH132" s="39">
        <v>0</v>
      </c>
      <c r="AI132" s="39">
        <v>0</v>
      </c>
      <c r="AJ132" s="39">
        <v>0</v>
      </c>
      <c r="AK132" s="39">
        <v>0</v>
      </c>
      <c r="AL132" s="39">
        <v>1</v>
      </c>
      <c r="AM132" s="39">
        <v>0</v>
      </c>
      <c r="AN132" s="39">
        <v>0</v>
      </c>
      <c r="AO132" s="39">
        <v>0</v>
      </c>
      <c r="AP132" s="39">
        <v>0</v>
      </c>
      <c r="AQ132" s="39">
        <v>0</v>
      </c>
      <c r="AR132" s="39">
        <v>0</v>
      </c>
      <c r="AS132" s="39">
        <v>0</v>
      </c>
      <c r="AT132" s="39">
        <v>0</v>
      </c>
      <c r="AU132" s="39">
        <v>0</v>
      </c>
      <c r="AV132" s="39">
        <v>0</v>
      </c>
      <c r="AW132" s="39">
        <v>0</v>
      </c>
      <c r="AX132" s="39">
        <v>0</v>
      </c>
      <c r="AY132" s="39">
        <v>0</v>
      </c>
      <c r="AZ132" s="39">
        <v>0</v>
      </c>
      <c r="BA132" s="39">
        <v>0</v>
      </c>
      <c r="BB132" s="39">
        <v>0</v>
      </c>
      <c r="BC132" s="39">
        <v>0</v>
      </c>
    </row>
    <row r="133" spans="3:55" hidden="1" outlineLevel="1" x14ac:dyDescent="0.2">
      <c r="C133" s="162" t="str">
        <v>HSDPA salto a: 10.1</v>
      </c>
      <c r="D133" s="162" t="str">
        <v>Tráfico radio HSDPA</v>
      </c>
      <c r="E133" s="62">
        <f t="shared" si="52"/>
        <v>0</v>
      </c>
      <c r="F133" s="39">
        <f t="array" ref="F133:BC133">INDEX(RF.Option.Table,MATCH($D133,RF.Option.List,0),)</f>
        <v>0</v>
      </c>
      <c r="G133" s="39">
        <v>0</v>
      </c>
      <c r="H133" s="39">
        <v>0</v>
      </c>
      <c r="I133" s="39">
        <v>0</v>
      </c>
      <c r="J133" s="39">
        <v>0</v>
      </c>
      <c r="K133" s="39">
        <v>0</v>
      </c>
      <c r="L133" s="39">
        <v>0</v>
      </c>
      <c r="M133" s="39">
        <v>0</v>
      </c>
      <c r="N133" s="39">
        <v>0</v>
      </c>
      <c r="O133" s="39">
        <v>0</v>
      </c>
      <c r="P133" s="39">
        <v>0</v>
      </c>
      <c r="Q133" s="39">
        <v>0</v>
      </c>
      <c r="R133" s="39">
        <v>0</v>
      </c>
      <c r="S133" s="39">
        <v>0</v>
      </c>
      <c r="T133" s="39">
        <v>0</v>
      </c>
      <c r="U133" s="39">
        <v>0</v>
      </c>
      <c r="V133" s="39">
        <v>0</v>
      </c>
      <c r="W133" s="39">
        <v>0</v>
      </c>
      <c r="X133" s="39">
        <v>0</v>
      </c>
      <c r="Y133" s="39">
        <v>0</v>
      </c>
      <c r="Z133" s="39">
        <v>0</v>
      </c>
      <c r="AA133" s="39">
        <v>0</v>
      </c>
      <c r="AB133" s="39">
        <v>0</v>
      </c>
      <c r="AC133" s="39">
        <v>0</v>
      </c>
      <c r="AD133" s="39">
        <v>0</v>
      </c>
      <c r="AE133" s="39">
        <v>0</v>
      </c>
      <c r="AF133" s="39">
        <v>1</v>
      </c>
      <c r="AG133" s="39">
        <v>0</v>
      </c>
      <c r="AH133" s="39">
        <v>0</v>
      </c>
      <c r="AI133" s="39">
        <v>0</v>
      </c>
      <c r="AJ133" s="39">
        <v>0</v>
      </c>
      <c r="AK133" s="39">
        <v>0</v>
      </c>
      <c r="AL133" s="39">
        <v>1</v>
      </c>
      <c r="AM133" s="39">
        <v>0</v>
      </c>
      <c r="AN133" s="39">
        <v>0</v>
      </c>
      <c r="AO133" s="39">
        <v>0</v>
      </c>
      <c r="AP133" s="39">
        <v>0</v>
      </c>
      <c r="AQ133" s="39">
        <v>0</v>
      </c>
      <c r="AR133" s="39">
        <v>0</v>
      </c>
      <c r="AS133" s="39">
        <v>0</v>
      </c>
      <c r="AT133" s="39">
        <v>0</v>
      </c>
      <c r="AU133" s="39">
        <v>0</v>
      </c>
      <c r="AV133" s="39">
        <v>0</v>
      </c>
      <c r="AW133" s="39">
        <v>0</v>
      </c>
      <c r="AX133" s="39">
        <v>0</v>
      </c>
      <c r="AY133" s="39">
        <v>0</v>
      </c>
      <c r="AZ133" s="39">
        <v>0</v>
      </c>
      <c r="BA133" s="39">
        <v>0</v>
      </c>
      <c r="BB133" s="39">
        <v>0</v>
      </c>
      <c r="BC133" s="39">
        <v>0</v>
      </c>
    </row>
    <row r="134" spans="3:55" hidden="1" outlineLevel="1" x14ac:dyDescent="0.2">
      <c r="C134" s="162" t="str">
        <v>HSDPA salto a: 14.4</v>
      </c>
      <c r="D134" s="162" t="str">
        <v>Tráfico radio HSDPA</v>
      </c>
      <c r="E134" s="62">
        <f t="shared" si="52"/>
        <v>0</v>
      </c>
      <c r="F134" s="39">
        <f t="array" ref="F134:BC134">INDEX(RF.Option.Table,MATCH($D134,RF.Option.List,0),)</f>
        <v>0</v>
      </c>
      <c r="G134" s="39">
        <v>0</v>
      </c>
      <c r="H134" s="39">
        <v>0</v>
      </c>
      <c r="I134" s="39">
        <v>0</v>
      </c>
      <c r="J134" s="39">
        <v>0</v>
      </c>
      <c r="K134" s="39">
        <v>0</v>
      </c>
      <c r="L134" s="39">
        <v>0</v>
      </c>
      <c r="M134" s="39">
        <v>0</v>
      </c>
      <c r="N134" s="39">
        <v>0</v>
      </c>
      <c r="O134" s="39">
        <v>0</v>
      </c>
      <c r="P134" s="39">
        <v>0</v>
      </c>
      <c r="Q134" s="39">
        <v>0</v>
      </c>
      <c r="R134" s="39">
        <v>0</v>
      </c>
      <c r="S134" s="39">
        <v>0</v>
      </c>
      <c r="T134" s="39">
        <v>0</v>
      </c>
      <c r="U134" s="39">
        <v>0</v>
      </c>
      <c r="V134" s="39">
        <v>0</v>
      </c>
      <c r="W134" s="39">
        <v>0</v>
      </c>
      <c r="X134" s="39">
        <v>0</v>
      </c>
      <c r="Y134" s="39">
        <v>0</v>
      </c>
      <c r="Z134" s="39">
        <v>0</v>
      </c>
      <c r="AA134" s="39">
        <v>0</v>
      </c>
      <c r="AB134" s="39">
        <v>0</v>
      </c>
      <c r="AC134" s="39">
        <v>0</v>
      </c>
      <c r="AD134" s="39">
        <v>0</v>
      </c>
      <c r="AE134" s="39">
        <v>0</v>
      </c>
      <c r="AF134" s="39">
        <v>1</v>
      </c>
      <c r="AG134" s="39">
        <v>0</v>
      </c>
      <c r="AH134" s="39">
        <v>0</v>
      </c>
      <c r="AI134" s="39">
        <v>0</v>
      </c>
      <c r="AJ134" s="39">
        <v>0</v>
      </c>
      <c r="AK134" s="39">
        <v>0</v>
      </c>
      <c r="AL134" s="39">
        <v>1</v>
      </c>
      <c r="AM134" s="39">
        <v>0</v>
      </c>
      <c r="AN134" s="39">
        <v>0</v>
      </c>
      <c r="AO134" s="39">
        <v>0</v>
      </c>
      <c r="AP134" s="39">
        <v>0</v>
      </c>
      <c r="AQ134" s="39">
        <v>0</v>
      </c>
      <c r="AR134" s="39">
        <v>0</v>
      </c>
      <c r="AS134" s="39">
        <v>0</v>
      </c>
      <c r="AT134" s="39">
        <v>0</v>
      </c>
      <c r="AU134" s="39">
        <v>0</v>
      </c>
      <c r="AV134" s="39">
        <v>0</v>
      </c>
      <c r="AW134" s="39">
        <v>0</v>
      </c>
      <c r="AX134" s="39">
        <v>0</v>
      </c>
      <c r="AY134" s="39">
        <v>0</v>
      </c>
      <c r="AZ134" s="39">
        <v>0</v>
      </c>
      <c r="BA134" s="39">
        <v>0</v>
      </c>
      <c r="BB134" s="39">
        <v>0</v>
      </c>
      <c r="BC134" s="39">
        <v>0</v>
      </c>
    </row>
    <row r="135" spans="3:55" hidden="1" outlineLevel="1" x14ac:dyDescent="0.2">
      <c r="C135" s="162" t="str">
        <v>HSDPA salto a: 21.1</v>
      </c>
      <c r="D135" s="162" t="str">
        <v>Tráfico radio HSDPA</v>
      </c>
      <c r="E135" s="62">
        <f t="shared" si="52"/>
        <v>0</v>
      </c>
      <c r="F135" s="39">
        <f t="array" ref="F135:BC135">INDEX(RF.Option.Table,MATCH($D135,RF.Option.List,0),)</f>
        <v>0</v>
      </c>
      <c r="G135" s="39">
        <v>0</v>
      </c>
      <c r="H135" s="39">
        <v>0</v>
      </c>
      <c r="I135" s="39">
        <v>0</v>
      </c>
      <c r="J135" s="39">
        <v>0</v>
      </c>
      <c r="K135" s="39">
        <v>0</v>
      </c>
      <c r="L135" s="39">
        <v>0</v>
      </c>
      <c r="M135" s="39">
        <v>0</v>
      </c>
      <c r="N135" s="39">
        <v>0</v>
      </c>
      <c r="O135" s="39">
        <v>0</v>
      </c>
      <c r="P135" s="39">
        <v>0</v>
      </c>
      <c r="Q135" s="39">
        <v>0</v>
      </c>
      <c r="R135" s="39">
        <v>0</v>
      </c>
      <c r="S135" s="39">
        <v>0</v>
      </c>
      <c r="T135" s="39">
        <v>0</v>
      </c>
      <c r="U135" s="39">
        <v>0</v>
      </c>
      <c r="V135" s="39">
        <v>0</v>
      </c>
      <c r="W135" s="39">
        <v>0</v>
      </c>
      <c r="X135" s="39">
        <v>0</v>
      </c>
      <c r="Y135" s="39">
        <v>0</v>
      </c>
      <c r="Z135" s="39">
        <v>0</v>
      </c>
      <c r="AA135" s="39">
        <v>0</v>
      </c>
      <c r="AB135" s="39">
        <v>0</v>
      </c>
      <c r="AC135" s="39">
        <v>0</v>
      </c>
      <c r="AD135" s="39">
        <v>0</v>
      </c>
      <c r="AE135" s="39">
        <v>0</v>
      </c>
      <c r="AF135" s="39">
        <v>1</v>
      </c>
      <c r="AG135" s="39">
        <v>0</v>
      </c>
      <c r="AH135" s="39">
        <v>0</v>
      </c>
      <c r="AI135" s="39">
        <v>0</v>
      </c>
      <c r="AJ135" s="39">
        <v>0</v>
      </c>
      <c r="AK135" s="39">
        <v>0</v>
      </c>
      <c r="AL135" s="39">
        <v>1</v>
      </c>
      <c r="AM135" s="39">
        <v>0</v>
      </c>
      <c r="AN135" s="39">
        <v>0</v>
      </c>
      <c r="AO135" s="39">
        <v>0</v>
      </c>
      <c r="AP135" s="39">
        <v>0</v>
      </c>
      <c r="AQ135" s="39">
        <v>0</v>
      </c>
      <c r="AR135" s="39">
        <v>0</v>
      </c>
      <c r="AS135" s="39">
        <v>0</v>
      </c>
      <c r="AT135" s="39">
        <v>0</v>
      </c>
      <c r="AU135" s="39">
        <v>0</v>
      </c>
      <c r="AV135" s="39">
        <v>0</v>
      </c>
      <c r="AW135" s="39">
        <v>0</v>
      </c>
      <c r="AX135" s="39">
        <v>0</v>
      </c>
      <c r="AY135" s="39">
        <v>0</v>
      </c>
      <c r="AZ135" s="39">
        <v>0</v>
      </c>
      <c r="BA135" s="39">
        <v>0</v>
      </c>
      <c r="BB135" s="39">
        <v>0</v>
      </c>
      <c r="BC135" s="39">
        <v>0</v>
      </c>
    </row>
    <row r="136" spans="3:55" hidden="1" outlineLevel="1" x14ac:dyDescent="0.2">
      <c r="C136" s="162" t="str">
        <v>HSUPA salto a: 0.73</v>
      </c>
      <c r="D136" s="162" t="str">
        <v>Tráfico radio HSUPA</v>
      </c>
      <c r="E136" s="62">
        <f t="shared" si="52"/>
        <v>0</v>
      </c>
      <c r="F136" s="39">
        <f t="array" ref="F136:BC136">INDEX(RF.Option.Table,MATCH($D136,RF.Option.List,0),)</f>
        <v>0</v>
      </c>
      <c r="G136" s="39">
        <v>0</v>
      </c>
      <c r="H136" s="39">
        <v>0</v>
      </c>
      <c r="I136" s="39">
        <v>0</v>
      </c>
      <c r="J136" s="39">
        <v>0</v>
      </c>
      <c r="K136" s="39">
        <v>0</v>
      </c>
      <c r="L136" s="39">
        <v>0</v>
      </c>
      <c r="M136" s="39">
        <v>0</v>
      </c>
      <c r="N136" s="39">
        <v>0</v>
      </c>
      <c r="O136" s="39">
        <v>0</v>
      </c>
      <c r="P136" s="39">
        <v>0</v>
      </c>
      <c r="Q136" s="39">
        <v>0</v>
      </c>
      <c r="R136" s="39">
        <v>0</v>
      </c>
      <c r="S136" s="39">
        <v>0</v>
      </c>
      <c r="T136" s="39">
        <v>0</v>
      </c>
      <c r="U136" s="39">
        <v>0</v>
      </c>
      <c r="V136" s="39">
        <v>0</v>
      </c>
      <c r="W136" s="39">
        <v>0</v>
      </c>
      <c r="X136" s="39">
        <v>0</v>
      </c>
      <c r="Y136" s="39">
        <v>0</v>
      </c>
      <c r="Z136" s="39">
        <v>0</v>
      </c>
      <c r="AA136" s="39">
        <v>0</v>
      </c>
      <c r="AB136" s="39">
        <v>0</v>
      </c>
      <c r="AC136" s="39">
        <v>0</v>
      </c>
      <c r="AD136" s="39">
        <v>0</v>
      </c>
      <c r="AE136" s="39">
        <v>0</v>
      </c>
      <c r="AF136" s="39">
        <v>0</v>
      </c>
      <c r="AG136" s="39">
        <v>1</v>
      </c>
      <c r="AH136" s="39">
        <v>0</v>
      </c>
      <c r="AI136" s="39">
        <v>0</v>
      </c>
      <c r="AJ136" s="39">
        <v>0</v>
      </c>
      <c r="AK136" s="39">
        <v>0</v>
      </c>
      <c r="AL136" s="39">
        <v>0</v>
      </c>
      <c r="AM136" s="39">
        <v>1</v>
      </c>
      <c r="AN136" s="39">
        <v>0</v>
      </c>
      <c r="AO136" s="39">
        <v>0</v>
      </c>
      <c r="AP136" s="39">
        <v>0</v>
      </c>
      <c r="AQ136" s="39">
        <v>0</v>
      </c>
      <c r="AR136" s="39">
        <v>0</v>
      </c>
      <c r="AS136" s="39">
        <v>0</v>
      </c>
      <c r="AT136" s="39">
        <v>0</v>
      </c>
      <c r="AU136" s="39">
        <v>0</v>
      </c>
      <c r="AV136" s="39">
        <v>0</v>
      </c>
      <c r="AW136" s="39">
        <v>0</v>
      </c>
      <c r="AX136" s="39">
        <v>0</v>
      </c>
      <c r="AY136" s="39">
        <v>0</v>
      </c>
      <c r="AZ136" s="39">
        <v>0</v>
      </c>
      <c r="BA136" s="39">
        <v>0</v>
      </c>
      <c r="BB136" s="39">
        <v>0</v>
      </c>
      <c r="BC136" s="39">
        <v>0</v>
      </c>
    </row>
    <row r="137" spans="3:55" hidden="1" outlineLevel="1" x14ac:dyDescent="0.2">
      <c r="C137" s="162" t="str">
        <v>HSUPA salto a: 1.46</v>
      </c>
      <c r="D137" s="162" t="str">
        <v>Tráfico radio HSUPA</v>
      </c>
      <c r="E137" s="62">
        <f t="shared" si="52"/>
        <v>0</v>
      </c>
      <c r="F137" s="39">
        <f t="array" ref="F137:BC137">INDEX(RF.Option.Table,MATCH($D137,RF.Option.List,0),)</f>
        <v>0</v>
      </c>
      <c r="G137" s="39">
        <v>0</v>
      </c>
      <c r="H137" s="39">
        <v>0</v>
      </c>
      <c r="I137" s="39">
        <v>0</v>
      </c>
      <c r="J137" s="39">
        <v>0</v>
      </c>
      <c r="K137" s="39">
        <v>0</v>
      </c>
      <c r="L137" s="39">
        <v>0</v>
      </c>
      <c r="M137" s="39">
        <v>0</v>
      </c>
      <c r="N137" s="39">
        <v>0</v>
      </c>
      <c r="O137" s="39">
        <v>0</v>
      </c>
      <c r="P137" s="39">
        <v>0</v>
      </c>
      <c r="Q137" s="39">
        <v>0</v>
      </c>
      <c r="R137" s="39">
        <v>0</v>
      </c>
      <c r="S137" s="39">
        <v>0</v>
      </c>
      <c r="T137" s="39">
        <v>0</v>
      </c>
      <c r="U137" s="39">
        <v>0</v>
      </c>
      <c r="V137" s="39">
        <v>0</v>
      </c>
      <c r="W137" s="39">
        <v>0</v>
      </c>
      <c r="X137" s="39">
        <v>0</v>
      </c>
      <c r="Y137" s="39">
        <v>0</v>
      </c>
      <c r="Z137" s="39">
        <v>0</v>
      </c>
      <c r="AA137" s="39">
        <v>0</v>
      </c>
      <c r="AB137" s="39">
        <v>0</v>
      </c>
      <c r="AC137" s="39">
        <v>0</v>
      </c>
      <c r="AD137" s="39">
        <v>0</v>
      </c>
      <c r="AE137" s="39">
        <v>0</v>
      </c>
      <c r="AF137" s="39">
        <v>0</v>
      </c>
      <c r="AG137" s="39">
        <v>1</v>
      </c>
      <c r="AH137" s="39">
        <v>0</v>
      </c>
      <c r="AI137" s="39">
        <v>0</v>
      </c>
      <c r="AJ137" s="39">
        <v>0</v>
      </c>
      <c r="AK137" s="39">
        <v>0</v>
      </c>
      <c r="AL137" s="39">
        <v>0</v>
      </c>
      <c r="AM137" s="39">
        <v>1</v>
      </c>
      <c r="AN137" s="39">
        <v>0</v>
      </c>
      <c r="AO137" s="39">
        <v>0</v>
      </c>
      <c r="AP137" s="39">
        <v>0</v>
      </c>
      <c r="AQ137" s="39">
        <v>0</v>
      </c>
      <c r="AR137" s="39">
        <v>0</v>
      </c>
      <c r="AS137" s="39">
        <v>0</v>
      </c>
      <c r="AT137" s="39">
        <v>0</v>
      </c>
      <c r="AU137" s="39">
        <v>0</v>
      </c>
      <c r="AV137" s="39">
        <v>0</v>
      </c>
      <c r="AW137" s="39">
        <v>0</v>
      </c>
      <c r="AX137" s="39">
        <v>0</v>
      </c>
      <c r="AY137" s="39">
        <v>0</v>
      </c>
      <c r="AZ137" s="39">
        <v>0</v>
      </c>
      <c r="BA137" s="39">
        <v>0</v>
      </c>
      <c r="BB137" s="39">
        <v>0</v>
      </c>
      <c r="BC137" s="39">
        <v>0</v>
      </c>
    </row>
    <row r="138" spans="3:55" hidden="1" outlineLevel="1" x14ac:dyDescent="0.2">
      <c r="C138" s="162" t="str">
        <v>HSUPA salto a: 2</v>
      </c>
      <c r="D138" s="162" t="str">
        <v>Tráfico radio HSUPA</v>
      </c>
      <c r="E138" s="62">
        <f t="shared" si="52"/>
        <v>0</v>
      </c>
      <c r="F138" s="39">
        <f t="array" ref="F138:BC138">INDEX(RF.Option.Table,MATCH($D138,RF.Option.List,0),)</f>
        <v>0</v>
      </c>
      <c r="G138" s="39">
        <v>0</v>
      </c>
      <c r="H138" s="39">
        <v>0</v>
      </c>
      <c r="I138" s="39">
        <v>0</v>
      </c>
      <c r="J138" s="39">
        <v>0</v>
      </c>
      <c r="K138" s="39">
        <v>0</v>
      </c>
      <c r="L138" s="39">
        <v>0</v>
      </c>
      <c r="M138" s="39">
        <v>0</v>
      </c>
      <c r="N138" s="39">
        <v>0</v>
      </c>
      <c r="O138" s="39">
        <v>0</v>
      </c>
      <c r="P138" s="39">
        <v>0</v>
      </c>
      <c r="Q138" s="39">
        <v>0</v>
      </c>
      <c r="R138" s="39">
        <v>0</v>
      </c>
      <c r="S138" s="39">
        <v>0</v>
      </c>
      <c r="T138" s="39">
        <v>0</v>
      </c>
      <c r="U138" s="39">
        <v>0</v>
      </c>
      <c r="V138" s="39">
        <v>0</v>
      </c>
      <c r="W138" s="39">
        <v>0</v>
      </c>
      <c r="X138" s="39">
        <v>0</v>
      </c>
      <c r="Y138" s="39">
        <v>0</v>
      </c>
      <c r="Z138" s="39">
        <v>0</v>
      </c>
      <c r="AA138" s="39">
        <v>0</v>
      </c>
      <c r="AB138" s="39">
        <v>0</v>
      </c>
      <c r="AC138" s="39">
        <v>0</v>
      </c>
      <c r="AD138" s="39">
        <v>0</v>
      </c>
      <c r="AE138" s="39">
        <v>0</v>
      </c>
      <c r="AF138" s="39">
        <v>0</v>
      </c>
      <c r="AG138" s="39">
        <v>1</v>
      </c>
      <c r="AH138" s="39">
        <v>0</v>
      </c>
      <c r="AI138" s="39">
        <v>0</v>
      </c>
      <c r="AJ138" s="39">
        <v>0</v>
      </c>
      <c r="AK138" s="39">
        <v>0</v>
      </c>
      <c r="AL138" s="39">
        <v>0</v>
      </c>
      <c r="AM138" s="39">
        <v>1</v>
      </c>
      <c r="AN138" s="39">
        <v>0</v>
      </c>
      <c r="AO138" s="39">
        <v>0</v>
      </c>
      <c r="AP138" s="39">
        <v>0</v>
      </c>
      <c r="AQ138" s="39">
        <v>0</v>
      </c>
      <c r="AR138" s="39">
        <v>0</v>
      </c>
      <c r="AS138" s="39">
        <v>0</v>
      </c>
      <c r="AT138" s="39">
        <v>0</v>
      </c>
      <c r="AU138" s="39">
        <v>0</v>
      </c>
      <c r="AV138" s="39">
        <v>0</v>
      </c>
      <c r="AW138" s="39">
        <v>0</v>
      </c>
      <c r="AX138" s="39">
        <v>0</v>
      </c>
      <c r="AY138" s="39">
        <v>0</v>
      </c>
      <c r="AZ138" s="39">
        <v>0</v>
      </c>
      <c r="BA138" s="39">
        <v>0</v>
      </c>
      <c r="BB138" s="39">
        <v>0</v>
      </c>
      <c r="BC138" s="39">
        <v>0</v>
      </c>
    </row>
    <row r="139" spans="3:55" hidden="1" outlineLevel="1" x14ac:dyDescent="0.2">
      <c r="C139" s="162" t="str">
        <v>HSUPA salto a: 2.93</v>
      </c>
      <c r="D139" s="162" t="str">
        <v>Tráfico radio HSUPA</v>
      </c>
      <c r="E139" s="62">
        <f t="shared" si="52"/>
        <v>0</v>
      </c>
      <c r="F139" s="39">
        <f t="array" ref="F139:BC139">INDEX(RF.Option.Table,MATCH($D139,RF.Option.List,0),)</f>
        <v>0</v>
      </c>
      <c r="G139" s="39">
        <v>0</v>
      </c>
      <c r="H139" s="39">
        <v>0</v>
      </c>
      <c r="I139" s="39">
        <v>0</v>
      </c>
      <c r="J139" s="39">
        <v>0</v>
      </c>
      <c r="K139" s="39">
        <v>0</v>
      </c>
      <c r="L139" s="39">
        <v>0</v>
      </c>
      <c r="M139" s="39">
        <v>0</v>
      </c>
      <c r="N139" s="39">
        <v>0</v>
      </c>
      <c r="O139" s="39">
        <v>0</v>
      </c>
      <c r="P139" s="39">
        <v>0</v>
      </c>
      <c r="Q139" s="39">
        <v>0</v>
      </c>
      <c r="R139" s="39">
        <v>0</v>
      </c>
      <c r="S139" s="39">
        <v>0</v>
      </c>
      <c r="T139" s="39">
        <v>0</v>
      </c>
      <c r="U139" s="39">
        <v>0</v>
      </c>
      <c r="V139" s="39">
        <v>0</v>
      </c>
      <c r="W139" s="39">
        <v>0</v>
      </c>
      <c r="X139" s="39">
        <v>0</v>
      </c>
      <c r="Y139" s="39">
        <v>0</v>
      </c>
      <c r="Z139" s="39">
        <v>0</v>
      </c>
      <c r="AA139" s="39">
        <v>0</v>
      </c>
      <c r="AB139" s="39">
        <v>0</v>
      </c>
      <c r="AC139" s="39">
        <v>0</v>
      </c>
      <c r="AD139" s="39">
        <v>0</v>
      </c>
      <c r="AE139" s="39">
        <v>0</v>
      </c>
      <c r="AF139" s="39">
        <v>0</v>
      </c>
      <c r="AG139" s="39">
        <v>1</v>
      </c>
      <c r="AH139" s="39">
        <v>0</v>
      </c>
      <c r="AI139" s="39">
        <v>0</v>
      </c>
      <c r="AJ139" s="39">
        <v>0</v>
      </c>
      <c r="AK139" s="39">
        <v>0</v>
      </c>
      <c r="AL139" s="39">
        <v>0</v>
      </c>
      <c r="AM139" s="39">
        <v>1</v>
      </c>
      <c r="AN139" s="39">
        <v>0</v>
      </c>
      <c r="AO139" s="39">
        <v>0</v>
      </c>
      <c r="AP139" s="39">
        <v>0</v>
      </c>
      <c r="AQ139" s="39">
        <v>0</v>
      </c>
      <c r="AR139" s="39">
        <v>0</v>
      </c>
      <c r="AS139" s="39">
        <v>0</v>
      </c>
      <c r="AT139" s="39">
        <v>0</v>
      </c>
      <c r="AU139" s="39">
        <v>0</v>
      </c>
      <c r="AV139" s="39">
        <v>0</v>
      </c>
      <c r="AW139" s="39">
        <v>0</v>
      </c>
      <c r="AX139" s="39">
        <v>0</v>
      </c>
      <c r="AY139" s="39">
        <v>0</v>
      </c>
      <c r="AZ139" s="39">
        <v>0</v>
      </c>
      <c r="BA139" s="39">
        <v>0</v>
      </c>
      <c r="BB139" s="39">
        <v>0</v>
      </c>
      <c r="BC139" s="39">
        <v>0</v>
      </c>
    </row>
    <row r="140" spans="3:55" hidden="1" outlineLevel="1" x14ac:dyDescent="0.2">
      <c r="C140" s="162" t="str">
        <v>HSUPA salto a: 5.76</v>
      </c>
      <c r="D140" s="162" t="str">
        <v>Tráfico radio HSUPA</v>
      </c>
      <c r="E140" s="62">
        <f t="shared" si="52"/>
        <v>0</v>
      </c>
      <c r="F140" s="39">
        <f t="array" ref="F140:BC140">INDEX(RF.Option.Table,MATCH($D140,RF.Option.List,0),)</f>
        <v>0</v>
      </c>
      <c r="G140" s="39">
        <v>0</v>
      </c>
      <c r="H140" s="39">
        <v>0</v>
      </c>
      <c r="I140" s="39">
        <v>0</v>
      </c>
      <c r="J140" s="39">
        <v>0</v>
      </c>
      <c r="K140" s="39">
        <v>0</v>
      </c>
      <c r="L140" s="39">
        <v>0</v>
      </c>
      <c r="M140" s="39">
        <v>0</v>
      </c>
      <c r="N140" s="39">
        <v>0</v>
      </c>
      <c r="O140" s="39">
        <v>0</v>
      </c>
      <c r="P140" s="39">
        <v>0</v>
      </c>
      <c r="Q140" s="39">
        <v>0</v>
      </c>
      <c r="R140" s="39">
        <v>0</v>
      </c>
      <c r="S140" s="39">
        <v>0</v>
      </c>
      <c r="T140" s="39">
        <v>0</v>
      </c>
      <c r="U140" s="39">
        <v>0</v>
      </c>
      <c r="V140" s="39">
        <v>0</v>
      </c>
      <c r="W140" s="39">
        <v>0</v>
      </c>
      <c r="X140" s="39">
        <v>0</v>
      </c>
      <c r="Y140" s="39">
        <v>0</v>
      </c>
      <c r="Z140" s="39">
        <v>0</v>
      </c>
      <c r="AA140" s="39">
        <v>0</v>
      </c>
      <c r="AB140" s="39">
        <v>0</v>
      </c>
      <c r="AC140" s="39">
        <v>0</v>
      </c>
      <c r="AD140" s="39">
        <v>0</v>
      </c>
      <c r="AE140" s="39">
        <v>0</v>
      </c>
      <c r="AF140" s="39">
        <v>0</v>
      </c>
      <c r="AG140" s="39">
        <v>1</v>
      </c>
      <c r="AH140" s="39">
        <v>0</v>
      </c>
      <c r="AI140" s="39">
        <v>0</v>
      </c>
      <c r="AJ140" s="39">
        <v>0</v>
      </c>
      <c r="AK140" s="39">
        <v>0</v>
      </c>
      <c r="AL140" s="39">
        <v>0</v>
      </c>
      <c r="AM140" s="39">
        <v>1</v>
      </c>
      <c r="AN140" s="39">
        <v>0</v>
      </c>
      <c r="AO140" s="39">
        <v>0</v>
      </c>
      <c r="AP140" s="39">
        <v>0</v>
      </c>
      <c r="AQ140" s="39">
        <v>0</v>
      </c>
      <c r="AR140" s="39">
        <v>0</v>
      </c>
      <c r="AS140" s="39">
        <v>0</v>
      </c>
      <c r="AT140" s="39">
        <v>0</v>
      </c>
      <c r="AU140" s="39">
        <v>0</v>
      </c>
      <c r="AV140" s="39">
        <v>0</v>
      </c>
      <c r="AW140" s="39">
        <v>0</v>
      </c>
      <c r="AX140" s="39">
        <v>0</v>
      </c>
      <c r="AY140" s="39">
        <v>0</v>
      </c>
      <c r="AZ140" s="39">
        <v>0</v>
      </c>
      <c r="BA140" s="39">
        <v>0</v>
      </c>
      <c r="BB140" s="39">
        <v>0</v>
      </c>
      <c r="BC140" s="39">
        <v>0</v>
      </c>
    </row>
    <row r="141" spans="3:55" hidden="1" outlineLevel="1" x14ac:dyDescent="0.2">
      <c r="C141" s="162" t="str">
        <v>HSUPA salto a: 11.5</v>
      </c>
      <c r="D141" s="162" t="str">
        <v>Tráfico radio HSUPA</v>
      </c>
      <c r="E141" s="62">
        <f t="shared" si="52"/>
        <v>0</v>
      </c>
      <c r="F141" s="39">
        <f t="array" ref="F141:BC141">INDEX(RF.Option.Table,MATCH($D141,RF.Option.List,0),)</f>
        <v>0</v>
      </c>
      <c r="G141" s="39">
        <v>0</v>
      </c>
      <c r="H141" s="39">
        <v>0</v>
      </c>
      <c r="I141" s="39">
        <v>0</v>
      </c>
      <c r="J141" s="39">
        <v>0</v>
      </c>
      <c r="K141" s="39">
        <v>0</v>
      </c>
      <c r="L141" s="39">
        <v>0</v>
      </c>
      <c r="M141" s="39">
        <v>0</v>
      </c>
      <c r="N141" s="39">
        <v>0</v>
      </c>
      <c r="O141" s="39">
        <v>0</v>
      </c>
      <c r="P141" s="39">
        <v>0</v>
      </c>
      <c r="Q141" s="39">
        <v>0</v>
      </c>
      <c r="R141" s="39">
        <v>0</v>
      </c>
      <c r="S141" s="39">
        <v>0</v>
      </c>
      <c r="T141" s="39">
        <v>0</v>
      </c>
      <c r="U141" s="39">
        <v>0</v>
      </c>
      <c r="V141" s="39">
        <v>0</v>
      </c>
      <c r="W141" s="39">
        <v>0</v>
      </c>
      <c r="X141" s="39">
        <v>0</v>
      </c>
      <c r="Y141" s="39">
        <v>0</v>
      </c>
      <c r="Z141" s="39">
        <v>0</v>
      </c>
      <c r="AA141" s="39">
        <v>0</v>
      </c>
      <c r="AB141" s="39">
        <v>0</v>
      </c>
      <c r="AC141" s="39">
        <v>0</v>
      </c>
      <c r="AD141" s="39">
        <v>0</v>
      </c>
      <c r="AE141" s="39">
        <v>0</v>
      </c>
      <c r="AF141" s="39">
        <v>0</v>
      </c>
      <c r="AG141" s="39">
        <v>1</v>
      </c>
      <c r="AH141" s="39">
        <v>0</v>
      </c>
      <c r="AI141" s="39">
        <v>0</v>
      </c>
      <c r="AJ141" s="39">
        <v>0</v>
      </c>
      <c r="AK141" s="39">
        <v>0</v>
      </c>
      <c r="AL141" s="39">
        <v>0</v>
      </c>
      <c r="AM141" s="39">
        <v>1</v>
      </c>
      <c r="AN141" s="39">
        <v>0</v>
      </c>
      <c r="AO141" s="39">
        <v>0</v>
      </c>
      <c r="AP141" s="39">
        <v>0</v>
      </c>
      <c r="AQ141" s="39">
        <v>0</v>
      </c>
      <c r="AR141" s="39">
        <v>0</v>
      </c>
      <c r="AS141" s="39">
        <v>0</v>
      </c>
      <c r="AT141" s="39">
        <v>0</v>
      </c>
      <c r="AU141" s="39">
        <v>0</v>
      </c>
      <c r="AV141" s="39">
        <v>0</v>
      </c>
      <c r="AW141" s="39">
        <v>0</v>
      </c>
      <c r="AX141" s="39">
        <v>0</v>
      </c>
      <c r="AY141" s="39">
        <v>0</v>
      </c>
      <c r="AZ141" s="39">
        <v>0</v>
      </c>
      <c r="BA141" s="39">
        <v>0</v>
      </c>
      <c r="BB141" s="39">
        <v>0</v>
      </c>
      <c r="BC141" s="39">
        <v>0</v>
      </c>
    </row>
    <row r="142" spans="3:55" hidden="1" outlineLevel="1" x14ac:dyDescent="0.2">
      <c r="C142" s="162" t="str">
        <v>Asset 21</v>
      </c>
      <c r="D142" s="162" t="str">
        <v>Sin enrutamiento</v>
      </c>
      <c r="E142" s="62">
        <f t="shared" si="52"/>
        <v>0</v>
      </c>
      <c r="F142" s="39">
        <f t="array" ref="F142:BC142">INDEX(RF.Option.Table,MATCH($D142,RF.Option.List,0),)</f>
        <v>0</v>
      </c>
      <c r="G142" s="39">
        <v>0</v>
      </c>
      <c r="H142" s="39">
        <v>0</v>
      </c>
      <c r="I142" s="39">
        <v>0</v>
      </c>
      <c r="J142" s="39">
        <v>0</v>
      </c>
      <c r="K142" s="39">
        <v>0</v>
      </c>
      <c r="L142" s="39">
        <v>0</v>
      </c>
      <c r="M142" s="39">
        <v>0</v>
      </c>
      <c r="N142" s="39">
        <v>0</v>
      </c>
      <c r="O142" s="39">
        <v>0</v>
      </c>
      <c r="P142" s="39">
        <v>0</v>
      </c>
      <c r="Q142" s="39">
        <v>0</v>
      </c>
      <c r="R142" s="39">
        <v>0</v>
      </c>
      <c r="S142" s="39">
        <v>0</v>
      </c>
      <c r="T142" s="39">
        <v>0</v>
      </c>
      <c r="U142" s="39">
        <v>0</v>
      </c>
      <c r="V142" s="39">
        <v>0</v>
      </c>
      <c r="W142" s="39">
        <v>0</v>
      </c>
      <c r="X142" s="39">
        <v>0</v>
      </c>
      <c r="Y142" s="39">
        <v>0</v>
      </c>
      <c r="Z142" s="39">
        <v>0</v>
      </c>
      <c r="AA142" s="39">
        <v>0</v>
      </c>
      <c r="AB142" s="39">
        <v>0</v>
      </c>
      <c r="AC142" s="39">
        <v>0</v>
      </c>
      <c r="AD142" s="39">
        <v>0</v>
      </c>
      <c r="AE142" s="39">
        <v>0</v>
      </c>
      <c r="AF142" s="39">
        <v>0</v>
      </c>
      <c r="AG142" s="39">
        <v>0</v>
      </c>
      <c r="AH142" s="39">
        <v>0</v>
      </c>
      <c r="AI142" s="39">
        <v>0</v>
      </c>
      <c r="AJ142" s="39">
        <v>0</v>
      </c>
      <c r="AK142" s="39">
        <v>0</v>
      </c>
      <c r="AL142" s="39">
        <v>0</v>
      </c>
      <c r="AM142" s="39">
        <v>0</v>
      </c>
      <c r="AN142" s="39">
        <v>0</v>
      </c>
      <c r="AO142" s="39">
        <v>0</v>
      </c>
      <c r="AP142" s="39">
        <v>0</v>
      </c>
      <c r="AQ142" s="39">
        <v>0</v>
      </c>
      <c r="AR142" s="39">
        <v>0</v>
      </c>
      <c r="AS142" s="39">
        <v>0</v>
      </c>
      <c r="AT142" s="39">
        <v>0</v>
      </c>
      <c r="AU142" s="39">
        <v>0</v>
      </c>
      <c r="AV142" s="39">
        <v>0</v>
      </c>
      <c r="AW142" s="39">
        <v>0</v>
      </c>
      <c r="AX142" s="39">
        <v>0</v>
      </c>
      <c r="AY142" s="39">
        <v>0</v>
      </c>
      <c r="AZ142" s="39">
        <v>0</v>
      </c>
      <c r="BA142" s="39">
        <v>0</v>
      </c>
      <c r="BB142" s="39">
        <v>0</v>
      </c>
      <c r="BC142" s="39">
        <v>0</v>
      </c>
    </row>
    <row r="143" spans="3:55" hidden="1" outlineLevel="1" x14ac:dyDescent="0.2">
      <c r="C143" s="162" t="str">
        <v>Asset 22</v>
      </c>
      <c r="D143" s="162" t="str">
        <v>Sin enrutamiento</v>
      </c>
      <c r="E143" s="62">
        <f t="shared" si="52"/>
        <v>0</v>
      </c>
      <c r="F143" s="39">
        <f t="array" ref="F143:BC143">INDEX(RF.Option.Table,MATCH($D143,RF.Option.List,0),)</f>
        <v>0</v>
      </c>
      <c r="G143" s="39">
        <v>0</v>
      </c>
      <c r="H143" s="39">
        <v>0</v>
      </c>
      <c r="I143" s="39">
        <v>0</v>
      </c>
      <c r="J143" s="39">
        <v>0</v>
      </c>
      <c r="K143" s="39">
        <v>0</v>
      </c>
      <c r="L143" s="39">
        <v>0</v>
      </c>
      <c r="M143" s="39">
        <v>0</v>
      </c>
      <c r="N143" s="39">
        <v>0</v>
      </c>
      <c r="O143" s="39">
        <v>0</v>
      </c>
      <c r="P143" s="39">
        <v>0</v>
      </c>
      <c r="Q143" s="39">
        <v>0</v>
      </c>
      <c r="R143" s="39">
        <v>0</v>
      </c>
      <c r="S143" s="39">
        <v>0</v>
      </c>
      <c r="T143" s="39">
        <v>0</v>
      </c>
      <c r="U143" s="39">
        <v>0</v>
      </c>
      <c r="V143" s="39">
        <v>0</v>
      </c>
      <c r="W143" s="39">
        <v>0</v>
      </c>
      <c r="X143" s="39">
        <v>0</v>
      </c>
      <c r="Y143" s="39">
        <v>0</v>
      </c>
      <c r="Z143" s="39">
        <v>0</v>
      </c>
      <c r="AA143" s="39">
        <v>0</v>
      </c>
      <c r="AB143" s="39">
        <v>0</v>
      </c>
      <c r="AC143" s="39">
        <v>0</v>
      </c>
      <c r="AD143" s="39">
        <v>0</v>
      </c>
      <c r="AE143" s="39">
        <v>0</v>
      </c>
      <c r="AF143" s="39">
        <v>0</v>
      </c>
      <c r="AG143" s="39">
        <v>0</v>
      </c>
      <c r="AH143" s="39">
        <v>0</v>
      </c>
      <c r="AI143" s="39">
        <v>0</v>
      </c>
      <c r="AJ143" s="39">
        <v>0</v>
      </c>
      <c r="AK143" s="39">
        <v>0</v>
      </c>
      <c r="AL143" s="39">
        <v>0</v>
      </c>
      <c r="AM143" s="39">
        <v>0</v>
      </c>
      <c r="AN143" s="39">
        <v>0</v>
      </c>
      <c r="AO143" s="39">
        <v>0</v>
      </c>
      <c r="AP143" s="39">
        <v>0</v>
      </c>
      <c r="AQ143" s="39">
        <v>0</v>
      </c>
      <c r="AR143" s="39">
        <v>0</v>
      </c>
      <c r="AS143" s="39">
        <v>0</v>
      </c>
      <c r="AT143" s="39">
        <v>0</v>
      </c>
      <c r="AU143" s="39">
        <v>0</v>
      </c>
      <c r="AV143" s="39">
        <v>0</v>
      </c>
      <c r="AW143" s="39">
        <v>0</v>
      </c>
      <c r="AX143" s="39">
        <v>0</v>
      </c>
      <c r="AY143" s="39">
        <v>0</v>
      </c>
      <c r="AZ143" s="39">
        <v>0</v>
      </c>
      <c r="BA143" s="39">
        <v>0</v>
      </c>
      <c r="BB143" s="39">
        <v>0</v>
      </c>
      <c r="BC143" s="39">
        <v>0</v>
      </c>
    </row>
    <row r="144" spans="3:55" hidden="1" outlineLevel="1" x14ac:dyDescent="0.2">
      <c r="C144" s="162" t="str">
        <v>Portadora LTE</v>
      </c>
      <c r="D144" s="162" t="str">
        <v>Tráfico radio LTE</v>
      </c>
      <c r="E144" s="62">
        <f t="shared" si="52"/>
        <v>0</v>
      </c>
      <c r="F144" s="39">
        <f t="array" ref="F144:BC144">INDEX(RF.Option.Table,MATCH($D144,RF.Option.List,0),)</f>
        <v>0</v>
      </c>
      <c r="G144" s="39">
        <v>0</v>
      </c>
      <c r="H144" s="39">
        <v>0</v>
      </c>
      <c r="I144" s="39">
        <v>0</v>
      </c>
      <c r="J144" s="39">
        <v>0</v>
      </c>
      <c r="K144" s="39">
        <v>0</v>
      </c>
      <c r="L144" s="39">
        <v>0</v>
      </c>
      <c r="M144" s="39">
        <v>0</v>
      </c>
      <c r="N144" s="39">
        <v>0</v>
      </c>
      <c r="O144" s="39">
        <v>0</v>
      </c>
      <c r="P144" s="39">
        <v>0</v>
      </c>
      <c r="Q144" s="39">
        <v>0</v>
      </c>
      <c r="R144" s="39">
        <v>0</v>
      </c>
      <c r="S144" s="39">
        <v>0</v>
      </c>
      <c r="T144" s="39">
        <v>2</v>
      </c>
      <c r="U144" s="39">
        <v>1</v>
      </c>
      <c r="V144" s="39">
        <v>1</v>
      </c>
      <c r="W144" s="39">
        <v>1</v>
      </c>
      <c r="X144" s="39">
        <v>1</v>
      </c>
      <c r="Y144" s="39">
        <v>1</v>
      </c>
      <c r="Z144" s="39">
        <v>1</v>
      </c>
      <c r="AA144" s="39">
        <v>0</v>
      </c>
      <c r="AB144" s="39">
        <v>0</v>
      </c>
      <c r="AC144" s="39">
        <v>0</v>
      </c>
      <c r="AD144" s="39">
        <v>0</v>
      </c>
      <c r="AE144" s="39">
        <v>0</v>
      </c>
      <c r="AF144" s="39">
        <v>0</v>
      </c>
      <c r="AG144" s="39">
        <v>2.8318024691358027E-5</v>
      </c>
      <c r="AH144" s="39">
        <v>1.4159012345679013E-5</v>
      </c>
      <c r="AI144" s="39">
        <v>1.4159012345679013E-5</v>
      </c>
      <c r="AJ144" s="39">
        <v>0</v>
      </c>
      <c r="AK144" s="39">
        <v>0</v>
      </c>
      <c r="AL144" s="39">
        <v>0</v>
      </c>
      <c r="AM144" s="39">
        <v>0</v>
      </c>
      <c r="AN144" s="39">
        <v>0.23598353909465022</v>
      </c>
      <c r="AO144" s="39">
        <v>0</v>
      </c>
      <c r="AP144" s="39">
        <v>0</v>
      </c>
      <c r="AQ144" s="39">
        <v>0</v>
      </c>
      <c r="AR144" s="39">
        <v>0</v>
      </c>
      <c r="AS144" s="39">
        <v>0</v>
      </c>
      <c r="AT144" s="39">
        <v>0</v>
      </c>
      <c r="AU144" s="39">
        <v>0</v>
      </c>
      <c r="AV144" s="39">
        <v>0</v>
      </c>
      <c r="AW144" s="39">
        <v>0</v>
      </c>
      <c r="AX144" s="39">
        <v>0</v>
      </c>
      <c r="AY144" s="39">
        <v>0</v>
      </c>
      <c r="AZ144" s="39">
        <v>0</v>
      </c>
      <c r="BA144" s="39">
        <v>0</v>
      </c>
      <c r="BB144" s="39">
        <v>0</v>
      </c>
      <c r="BC144" s="39">
        <v>0</v>
      </c>
    </row>
    <row r="145" spans="3:55" hidden="1" outlineLevel="1" x14ac:dyDescent="0.2">
      <c r="C145" s="162" t="str">
        <v>LTE salto a: 10.8</v>
      </c>
      <c r="D145" s="162" t="str">
        <v>Tráfico radio LTE</v>
      </c>
      <c r="E145" s="62">
        <f t="shared" si="52"/>
        <v>0</v>
      </c>
      <c r="F145" s="39">
        <f t="array" ref="F145:BC145">INDEX(RF.Option.Table,MATCH($D145,RF.Option.List,0),)</f>
        <v>0</v>
      </c>
      <c r="G145" s="39">
        <v>0</v>
      </c>
      <c r="H145" s="39">
        <v>0</v>
      </c>
      <c r="I145" s="39">
        <v>0</v>
      </c>
      <c r="J145" s="39">
        <v>0</v>
      </c>
      <c r="K145" s="39">
        <v>0</v>
      </c>
      <c r="L145" s="39">
        <v>0</v>
      </c>
      <c r="M145" s="39">
        <v>0</v>
      </c>
      <c r="N145" s="39">
        <v>0</v>
      </c>
      <c r="O145" s="39">
        <v>0</v>
      </c>
      <c r="P145" s="39">
        <v>0</v>
      </c>
      <c r="Q145" s="39">
        <v>0</v>
      </c>
      <c r="R145" s="39">
        <v>0</v>
      </c>
      <c r="S145" s="39">
        <v>0</v>
      </c>
      <c r="T145" s="39">
        <v>2</v>
      </c>
      <c r="U145" s="39">
        <v>1</v>
      </c>
      <c r="V145" s="39">
        <v>1</v>
      </c>
      <c r="W145" s="39">
        <v>1</v>
      </c>
      <c r="X145" s="39">
        <v>1</v>
      </c>
      <c r="Y145" s="39">
        <v>1</v>
      </c>
      <c r="Z145" s="39">
        <v>1</v>
      </c>
      <c r="AA145" s="39">
        <v>0</v>
      </c>
      <c r="AB145" s="39">
        <v>0</v>
      </c>
      <c r="AC145" s="39">
        <v>0</v>
      </c>
      <c r="AD145" s="39">
        <v>0</v>
      </c>
      <c r="AE145" s="39">
        <v>0</v>
      </c>
      <c r="AF145" s="39">
        <v>0</v>
      </c>
      <c r="AG145" s="39">
        <v>2.8318024691358027E-5</v>
      </c>
      <c r="AH145" s="39">
        <v>1.4159012345679013E-5</v>
      </c>
      <c r="AI145" s="39">
        <v>1.4159012345679013E-5</v>
      </c>
      <c r="AJ145" s="39">
        <v>0</v>
      </c>
      <c r="AK145" s="39">
        <v>0</v>
      </c>
      <c r="AL145" s="39">
        <v>0</v>
      </c>
      <c r="AM145" s="39">
        <v>0</v>
      </c>
      <c r="AN145" s="39">
        <v>0.23598353909465022</v>
      </c>
      <c r="AO145" s="39">
        <v>0</v>
      </c>
      <c r="AP145" s="39">
        <v>0</v>
      </c>
      <c r="AQ145" s="39">
        <v>0</v>
      </c>
      <c r="AR145" s="39">
        <v>0</v>
      </c>
      <c r="AS145" s="39">
        <v>0</v>
      </c>
      <c r="AT145" s="39">
        <v>0</v>
      </c>
      <c r="AU145" s="39">
        <v>0</v>
      </c>
      <c r="AV145" s="39">
        <v>0</v>
      </c>
      <c r="AW145" s="39">
        <v>0</v>
      </c>
      <c r="AX145" s="39">
        <v>0</v>
      </c>
      <c r="AY145" s="39">
        <v>0</v>
      </c>
      <c r="AZ145" s="39">
        <v>0</v>
      </c>
      <c r="BA145" s="39">
        <v>0</v>
      </c>
      <c r="BB145" s="39">
        <v>0</v>
      </c>
      <c r="BC145" s="39">
        <v>0</v>
      </c>
    </row>
    <row r="146" spans="3:55" hidden="1" outlineLevel="1" x14ac:dyDescent="0.2">
      <c r="C146" s="162" t="str">
        <v>LTE salto a: 16.2</v>
      </c>
      <c r="D146" s="162" t="str">
        <v>Tráfico radio LTE</v>
      </c>
      <c r="E146" s="62">
        <f t="shared" si="52"/>
        <v>0</v>
      </c>
      <c r="F146" s="39">
        <f t="array" ref="F146:BC146">INDEX(RF.Option.Table,MATCH($D146,RF.Option.List,0),)</f>
        <v>0</v>
      </c>
      <c r="G146" s="39">
        <v>0</v>
      </c>
      <c r="H146" s="39">
        <v>0</v>
      </c>
      <c r="I146" s="39">
        <v>0</v>
      </c>
      <c r="J146" s="39">
        <v>0</v>
      </c>
      <c r="K146" s="39">
        <v>0</v>
      </c>
      <c r="L146" s="39">
        <v>0</v>
      </c>
      <c r="M146" s="39">
        <v>0</v>
      </c>
      <c r="N146" s="39">
        <v>0</v>
      </c>
      <c r="O146" s="39">
        <v>0</v>
      </c>
      <c r="P146" s="39">
        <v>0</v>
      </c>
      <c r="Q146" s="39">
        <v>0</v>
      </c>
      <c r="R146" s="39">
        <v>0</v>
      </c>
      <c r="S146" s="39">
        <v>0</v>
      </c>
      <c r="T146" s="39">
        <v>2</v>
      </c>
      <c r="U146" s="39">
        <v>1</v>
      </c>
      <c r="V146" s="39">
        <v>1</v>
      </c>
      <c r="W146" s="39">
        <v>1</v>
      </c>
      <c r="X146" s="39">
        <v>1</v>
      </c>
      <c r="Y146" s="39">
        <v>1</v>
      </c>
      <c r="Z146" s="39">
        <v>1</v>
      </c>
      <c r="AA146" s="39">
        <v>0</v>
      </c>
      <c r="AB146" s="39">
        <v>0</v>
      </c>
      <c r="AC146" s="39">
        <v>0</v>
      </c>
      <c r="AD146" s="39">
        <v>0</v>
      </c>
      <c r="AE146" s="39">
        <v>0</v>
      </c>
      <c r="AF146" s="39">
        <v>0</v>
      </c>
      <c r="AG146" s="39">
        <v>2.8318024691358027E-5</v>
      </c>
      <c r="AH146" s="39">
        <v>1.4159012345679013E-5</v>
      </c>
      <c r="AI146" s="39">
        <v>1.4159012345679013E-5</v>
      </c>
      <c r="AJ146" s="39">
        <v>0</v>
      </c>
      <c r="AK146" s="39">
        <v>0</v>
      </c>
      <c r="AL146" s="39">
        <v>0</v>
      </c>
      <c r="AM146" s="39">
        <v>0</v>
      </c>
      <c r="AN146" s="39">
        <v>0.23598353909465022</v>
      </c>
      <c r="AO146" s="39">
        <v>0</v>
      </c>
      <c r="AP146" s="39">
        <v>0</v>
      </c>
      <c r="AQ146" s="39">
        <v>0</v>
      </c>
      <c r="AR146" s="39">
        <v>0</v>
      </c>
      <c r="AS146" s="39">
        <v>0</v>
      </c>
      <c r="AT146" s="39">
        <v>0</v>
      </c>
      <c r="AU146" s="39">
        <v>0</v>
      </c>
      <c r="AV146" s="39">
        <v>0</v>
      </c>
      <c r="AW146" s="39">
        <v>0</v>
      </c>
      <c r="AX146" s="39">
        <v>0</v>
      </c>
      <c r="AY146" s="39">
        <v>0</v>
      </c>
      <c r="AZ146" s="39">
        <v>0</v>
      </c>
      <c r="BA146" s="39">
        <v>0</v>
      </c>
      <c r="BB146" s="39">
        <v>0</v>
      </c>
      <c r="BC146" s="39">
        <v>0</v>
      </c>
    </row>
    <row r="147" spans="3:55" hidden="1" outlineLevel="1" x14ac:dyDescent="0.2">
      <c r="C147" s="162" t="str">
        <v>LTE salto a: 21.6</v>
      </c>
      <c r="D147" s="162" t="str">
        <v>Tráfico radio LTE</v>
      </c>
      <c r="E147" s="62">
        <f t="shared" si="52"/>
        <v>0</v>
      </c>
      <c r="F147" s="39">
        <f t="array" ref="F147:BC147">INDEX(RF.Option.Table,MATCH($D147,RF.Option.List,0),)</f>
        <v>0</v>
      </c>
      <c r="G147" s="39">
        <v>0</v>
      </c>
      <c r="H147" s="39">
        <v>0</v>
      </c>
      <c r="I147" s="39">
        <v>0</v>
      </c>
      <c r="J147" s="39">
        <v>0</v>
      </c>
      <c r="K147" s="39">
        <v>0</v>
      </c>
      <c r="L147" s="39">
        <v>0</v>
      </c>
      <c r="M147" s="39">
        <v>0</v>
      </c>
      <c r="N147" s="39">
        <v>0</v>
      </c>
      <c r="O147" s="39">
        <v>0</v>
      </c>
      <c r="P147" s="39">
        <v>0</v>
      </c>
      <c r="Q147" s="39">
        <v>0</v>
      </c>
      <c r="R147" s="39">
        <v>0</v>
      </c>
      <c r="S147" s="39">
        <v>0</v>
      </c>
      <c r="T147" s="39">
        <v>2</v>
      </c>
      <c r="U147" s="39">
        <v>1</v>
      </c>
      <c r="V147" s="39">
        <v>1</v>
      </c>
      <c r="W147" s="39">
        <v>1</v>
      </c>
      <c r="X147" s="39">
        <v>1</v>
      </c>
      <c r="Y147" s="39">
        <v>1</v>
      </c>
      <c r="Z147" s="39">
        <v>1</v>
      </c>
      <c r="AA147" s="39">
        <v>0</v>
      </c>
      <c r="AB147" s="39">
        <v>0</v>
      </c>
      <c r="AC147" s="39">
        <v>0</v>
      </c>
      <c r="AD147" s="39">
        <v>0</v>
      </c>
      <c r="AE147" s="39">
        <v>0</v>
      </c>
      <c r="AF147" s="39">
        <v>0</v>
      </c>
      <c r="AG147" s="39">
        <v>2.8318024691358027E-5</v>
      </c>
      <c r="AH147" s="39">
        <v>1.4159012345679013E-5</v>
      </c>
      <c r="AI147" s="39">
        <v>1.4159012345679013E-5</v>
      </c>
      <c r="AJ147" s="39">
        <v>0</v>
      </c>
      <c r="AK147" s="39">
        <v>0</v>
      </c>
      <c r="AL147" s="39">
        <v>0</v>
      </c>
      <c r="AM147" s="39">
        <v>0</v>
      </c>
      <c r="AN147" s="39">
        <v>0.23598353909465022</v>
      </c>
      <c r="AO147" s="39">
        <v>0</v>
      </c>
      <c r="AP147" s="39">
        <v>0</v>
      </c>
      <c r="AQ147" s="39">
        <v>0</v>
      </c>
      <c r="AR147" s="39">
        <v>0</v>
      </c>
      <c r="AS147" s="39">
        <v>0</v>
      </c>
      <c r="AT147" s="39">
        <v>0</v>
      </c>
      <c r="AU147" s="39">
        <v>0</v>
      </c>
      <c r="AV147" s="39">
        <v>0</v>
      </c>
      <c r="AW147" s="39">
        <v>0</v>
      </c>
      <c r="AX147" s="39">
        <v>0</v>
      </c>
      <c r="AY147" s="39">
        <v>0</v>
      </c>
      <c r="AZ147" s="39">
        <v>0</v>
      </c>
      <c r="BA147" s="39">
        <v>0</v>
      </c>
      <c r="BB147" s="39">
        <v>0</v>
      </c>
      <c r="BC147" s="39">
        <v>0</v>
      </c>
    </row>
    <row r="148" spans="3:55" hidden="1" outlineLevel="1" x14ac:dyDescent="0.2">
      <c r="C148" s="162" t="str">
        <v>LTE salto a: 32.4</v>
      </c>
      <c r="D148" s="162" t="str">
        <v>Tráfico radio LTE</v>
      </c>
      <c r="E148" s="62">
        <f t="shared" si="52"/>
        <v>0</v>
      </c>
      <c r="F148" s="39">
        <f t="array" ref="F148:BC148">INDEX(RF.Option.Table,MATCH($D148,RF.Option.List,0),)</f>
        <v>0</v>
      </c>
      <c r="G148" s="39">
        <v>0</v>
      </c>
      <c r="H148" s="39">
        <v>0</v>
      </c>
      <c r="I148" s="39">
        <v>0</v>
      </c>
      <c r="J148" s="39">
        <v>0</v>
      </c>
      <c r="K148" s="39">
        <v>0</v>
      </c>
      <c r="L148" s="39">
        <v>0</v>
      </c>
      <c r="M148" s="39">
        <v>0</v>
      </c>
      <c r="N148" s="39">
        <v>0</v>
      </c>
      <c r="O148" s="39">
        <v>0</v>
      </c>
      <c r="P148" s="39">
        <v>0</v>
      </c>
      <c r="Q148" s="39">
        <v>0</v>
      </c>
      <c r="R148" s="39">
        <v>0</v>
      </c>
      <c r="S148" s="39">
        <v>0</v>
      </c>
      <c r="T148" s="39">
        <v>2</v>
      </c>
      <c r="U148" s="39">
        <v>1</v>
      </c>
      <c r="V148" s="39">
        <v>1</v>
      </c>
      <c r="W148" s="39">
        <v>1</v>
      </c>
      <c r="X148" s="39">
        <v>1</v>
      </c>
      <c r="Y148" s="39">
        <v>1</v>
      </c>
      <c r="Z148" s="39">
        <v>1</v>
      </c>
      <c r="AA148" s="39">
        <v>0</v>
      </c>
      <c r="AB148" s="39">
        <v>0</v>
      </c>
      <c r="AC148" s="39">
        <v>0</v>
      </c>
      <c r="AD148" s="39">
        <v>0</v>
      </c>
      <c r="AE148" s="39">
        <v>0</v>
      </c>
      <c r="AF148" s="39">
        <v>0</v>
      </c>
      <c r="AG148" s="39">
        <v>2.8318024691358027E-5</v>
      </c>
      <c r="AH148" s="39">
        <v>1.4159012345679013E-5</v>
      </c>
      <c r="AI148" s="39">
        <v>1.4159012345679013E-5</v>
      </c>
      <c r="AJ148" s="39">
        <v>0</v>
      </c>
      <c r="AK148" s="39">
        <v>0</v>
      </c>
      <c r="AL148" s="39">
        <v>0</v>
      </c>
      <c r="AM148" s="39">
        <v>0</v>
      </c>
      <c r="AN148" s="39">
        <v>0.23598353909465022</v>
      </c>
      <c r="AO148" s="39">
        <v>0</v>
      </c>
      <c r="AP148" s="39">
        <v>0</v>
      </c>
      <c r="AQ148" s="39">
        <v>0</v>
      </c>
      <c r="AR148" s="39">
        <v>0</v>
      </c>
      <c r="AS148" s="39">
        <v>0</v>
      </c>
      <c r="AT148" s="39">
        <v>0</v>
      </c>
      <c r="AU148" s="39">
        <v>0</v>
      </c>
      <c r="AV148" s="39">
        <v>0</v>
      </c>
      <c r="AW148" s="39">
        <v>0</v>
      </c>
      <c r="AX148" s="39">
        <v>0</v>
      </c>
      <c r="AY148" s="39">
        <v>0</v>
      </c>
      <c r="AZ148" s="39">
        <v>0</v>
      </c>
      <c r="BA148" s="39">
        <v>0</v>
      </c>
      <c r="BB148" s="39">
        <v>0</v>
      </c>
      <c r="BC148" s="39">
        <v>0</v>
      </c>
    </row>
    <row r="149" spans="3:55" hidden="1" outlineLevel="1" x14ac:dyDescent="0.2">
      <c r="C149" s="162" t="str">
        <v>LTE salto a: 43.2</v>
      </c>
      <c r="D149" s="162" t="str">
        <v>Tráfico radio LTE</v>
      </c>
      <c r="E149" s="62">
        <f t="shared" si="52"/>
        <v>0</v>
      </c>
      <c r="F149" s="39">
        <f t="array" ref="F149:BC149">INDEX(RF.Option.Table,MATCH($D149,RF.Option.List,0),)</f>
        <v>0</v>
      </c>
      <c r="G149" s="39">
        <v>0</v>
      </c>
      <c r="H149" s="39">
        <v>0</v>
      </c>
      <c r="I149" s="39">
        <v>0</v>
      </c>
      <c r="J149" s="39">
        <v>0</v>
      </c>
      <c r="K149" s="39">
        <v>0</v>
      </c>
      <c r="L149" s="39">
        <v>0</v>
      </c>
      <c r="M149" s="39">
        <v>0</v>
      </c>
      <c r="N149" s="39">
        <v>0</v>
      </c>
      <c r="O149" s="39">
        <v>0</v>
      </c>
      <c r="P149" s="39">
        <v>0</v>
      </c>
      <c r="Q149" s="39">
        <v>0</v>
      </c>
      <c r="R149" s="39">
        <v>0</v>
      </c>
      <c r="S149" s="39">
        <v>0</v>
      </c>
      <c r="T149" s="39">
        <v>2</v>
      </c>
      <c r="U149" s="39">
        <v>1</v>
      </c>
      <c r="V149" s="39">
        <v>1</v>
      </c>
      <c r="W149" s="39">
        <v>1</v>
      </c>
      <c r="X149" s="39">
        <v>1</v>
      </c>
      <c r="Y149" s="39">
        <v>1</v>
      </c>
      <c r="Z149" s="39">
        <v>1</v>
      </c>
      <c r="AA149" s="39">
        <v>0</v>
      </c>
      <c r="AB149" s="39">
        <v>0</v>
      </c>
      <c r="AC149" s="39">
        <v>0</v>
      </c>
      <c r="AD149" s="39">
        <v>0</v>
      </c>
      <c r="AE149" s="39">
        <v>0</v>
      </c>
      <c r="AF149" s="39">
        <v>0</v>
      </c>
      <c r="AG149" s="39">
        <v>2.8318024691358027E-5</v>
      </c>
      <c r="AH149" s="39">
        <v>1.4159012345679013E-5</v>
      </c>
      <c r="AI149" s="39">
        <v>1.4159012345679013E-5</v>
      </c>
      <c r="AJ149" s="39">
        <v>0</v>
      </c>
      <c r="AK149" s="39">
        <v>0</v>
      </c>
      <c r="AL149" s="39">
        <v>0</v>
      </c>
      <c r="AM149" s="39">
        <v>0</v>
      </c>
      <c r="AN149" s="39">
        <v>0.23598353909465022</v>
      </c>
      <c r="AO149" s="39">
        <v>0</v>
      </c>
      <c r="AP149" s="39">
        <v>0</v>
      </c>
      <c r="AQ149" s="39">
        <v>0</v>
      </c>
      <c r="AR149" s="39">
        <v>0</v>
      </c>
      <c r="AS149" s="39">
        <v>0</v>
      </c>
      <c r="AT149" s="39">
        <v>0</v>
      </c>
      <c r="AU149" s="39">
        <v>0</v>
      </c>
      <c r="AV149" s="39">
        <v>0</v>
      </c>
      <c r="AW149" s="39">
        <v>0</v>
      </c>
      <c r="AX149" s="39">
        <v>0</v>
      </c>
      <c r="AY149" s="39">
        <v>0</v>
      </c>
      <c r="AZ149" s="39">
        <v>0</v>
      </c>
      <c r="BA149" s="39">
        <v>0</v>
      </c>
      <c r="BB149" s="39">
        <v>0</v>
      </c>
      <c r="BC149" s="39">
        <v>0</v>
      </c>
    </row>
    <row r="150" spans="3:55" hidden="1" outlineLevel="1" x14ac:dyDescent="0.2">
      <c r="C150" s="162" t="str">
        <v>LTE salto a: 86.4</v>
      </c>
      <c r="D150" s="162" t="str">
        <v>Tráfico radio LTE</v>
      </c>
      <c r="E150" s="62">
        <f t="shared" si="52"/>
        <v>0</v>
      </c>
      <c r="F150" s="39">
        <f t="array" ref="F150:BC150">INDEX(RF.Option.Table,MATCH($D150,RF.Option.List,0),)</f>
        <v>0</v>
      </c>
      <c r="G150" s="39">
        <v>0</v>
      </c>
      <c r="H150" s="39">
        <v>0</v>
      </c>
      <c r="I150" s="39">
        <v>0</v>
      </c>
      <c r="J150" s="39">
        <v>0</v>
      </c>
      <c r="K150" s="39">
        <v>0</v>
      </c>
      <c r="L150" s="39">
        <v>0</v>
      </c>
      <c r="M150" s="39">
        <v>0</v>
      </c>
      <c r="N150" s="39">
        <v>0</v>
      </c>
      <c r="O150" s="39">
        <v>0</v>
      </c>
      <c r="P150" s="39">
        <v>0</v>
      </c>
      <c r="Q150" s="39">
        <v>0</v>
      </c>
      <c r="R150" s="39">
        <v>0</v>
      </c>
      <c r="S150" s="39">
        <v>0</v>
      </c>
      <c r="T150" s="39">
        <v>2</v>
      </c>
      <c r="U150" s="39">
        <v>1</v>
      </c>
      <c r="V150" s="39">
        <v>1</v>
      </c>
      <c r="W150" s="39">
        <v>1</v>
      </c>
      <c r="X150" s="39">
        <v>1</v>
      </c>
      <c r="Y150" s="39">
        <v>1</v>
      </c>
      <c r="Z150" s="39">
        <v>1</v>
      </c>
      <c r="AA150" s="39">
        <v>0</v>
      </c>
      <c r="AB150" s="39">
        <v>0</v>
      </c>
      <c r="AC150" s="39">
        <v>0</v>
      </c>
      <c r="AD150" s="39">
        <v>0</v>
      </c>
      <c r="AE150" s="39">
        <v>0</v>
      </c>
      <c r="AF150" s="39">
        <v>0</v>
      </c>
      <c r="AG150" s="39">
        <v>2.8318024691358027E-5</v>
      </c>
      <c r="AH150" s="39">
        <v>1.4159012345679013E-5</v>
      </c>
      <c r="AI150" s="39">
        <v>1.4159012345679013E-5</v>
      </c>
      <c r="AJ150" s="39">
        <v>0</v>
      </c>
      <c r="AK150" s="39">
        <v>0</v>
      </c>
      <c r="AL150" s="39">
        <v>0</v>
      </c>
      <c r="AM150" s="39">
        <v>0</v>
      </c>
      <c r="AN150" s="39">
        <v>0.23598353909465022</v>
      </c>
      <c r="AO150" s="39">
        <v>0</v>
      </c>
      <c r="AP150" s="39">
        <v>0</v>
      </c>
      <c r="AQ150" s="39">
        <v>0</v>
      </c>
      <c r="AR150" s="39">
        <v>0</v>
      </c>
      <c r="AS150" s="39">
        <v>0</v>
      </c>
      <c r="AT150" s="39">
        <v>0</v>
      </c>
      <c r="AU150" s="39">
        <v>0</v>
      </c>
      <c r="AV150" s="39">
        <v>0</v>
      </c>
      <c r="AW150" s="39">
        <v>0</v>
      </c>
      <c r="AX150" s="39">
        <v>0</v>
      </c>
      <c r="AY150" s="39">
        <v>0</v>
      </c>
      <c r="AZ150" s="39">
        <v>0</v>
      </c>
      <c r="BA150" s="39">
        <v>0</v>
      </c>
      <c r="BB150" s="39">
        <v>0</v>
      </c>
      <c r="BC150" s="39">
        <v>0</v>
      </c>
    </row>
    <row r="151" spans="3:55" hidden="1" outlineLevel="1" x14ac:dyDescent="0.2">
      <c r="C151" s="162" t="str">
        <v>Estación base Single RAN - macro</v>
      </c>
      <c r="D151" s="162" t="str">
        <v>Minutos radio equivalentes</v>
      </c>
      <c r="E151" s="62">
        <f t="shared" si="52"/>
        <v>0</v>
      </c>
      <c r="F151" s="39">
        <f t="array" ref="F151:BC151">INDEX(RF.Option.Table,MATCH($D151,RF.Option.List,0),)</f>
        <v>2.1784313725490194</v>
      </c>
      <c r="G151" s="39">
        <v>1.0947916666666666</v>
      </c>
      <c r="H151" s="39">
        <v>1.1166666666666667</v>
      </c>
      <c r="I151" s="39">
        <v>1.0722222222222222</v>
      </c>
      <c r="J151" s="39">
        <v>1.0947916666666666</v>
      </c>
      <c r="K151" s="39">
        <v>1.1166666666666667</v>
      </c>
      <c r="L151" s="39">
        <v>1.0722222222222222</v>
      </c>
      <c r="M151" s="39">
        <v>2.8319607843137256</v>
      </c>
      <c r="N151" s="39">
        <v>1.4232291666666665</v>
      </c>
      <c r="O151" s="39">
        <v>1.4516666666666667</v>
      </c>
      <c r="P151" s="39">
        <v>1.393888888888889</v>
      </c>
      <c r="Q151" s="39">
        <v>1.4232291666666665</v>
      </c>
      <c r="R151" s="39">
        <v>1.4516666666666667</v>
      </c>
      <c r="S151" s="39">
        <v>1.393888888888889</v>
      </c>
      <c r="T151" s="39">
        <v>2</v>
      </c>
      <c r="U151" s="39">
        <v>1</v>
      </c>
      <c r="V151" s="39">
        <v>1</v>
      </c>
      <c r="W151" s="39">
        <v>1</v>
      </c>
      <c r="X151" s="39">
        <v>1</v>
      </c>
      <c r="Y151" s="39">
        <v>1</v>
      </c>
      <c r="Z151" s="39">
        <v>1</v>
      </c>
      <c r="AA151" s="39">
        <v>2.6075619295958278E-3</v>
      </c>
      <c r="AB151" s="39">
        <v>1.3037809647979139E-3</v>
      </c>
      <c r="AC151" s="39">
        <v>1.3037809647979139E-3</v>
      </c>
      <c r="AD151" s="39">
        <v>1E-3</v>
      </c>
      <c r="AE151" s="39">
        <v>5.0000000000000001E-4</v>
      </c>
      <c r="AF151" s="39">
        <v>5.0000000000000001E-4</v>
      </c>
      <c r="AG151" s="39">
        <v>2.8318024691358027E-5</v>
      </c>
      <c r="AH151" s="39">
        <v>1.4159012345679013E-5</v>
      </c>
      <c r="AI151" s="39">
        <v>1.4159012345679013E-5</v>
      </c>
      <c r="AJ151" s="39">
        <v>4.4600888888888894</v>
      </c>
      <c r="AK151" s="39">
        <v>9.1</v>
      </c>
      <c r="AL151" s="39">
        <v>0.45295418641390212</v>
      </c>
      <c r="AM151" s="39">
        <v>0</v>
      </c>
      <c r="AN151" s="39">
        <v>0.23598353909465022</v>
      </c>
      <c r="AO151" s="39">
        <v>0</v>
      </c>
      <c r="AP151" s="39">
        <v>0</v>
      </c>
      <c r="AQ151" s="39">
        <v>0</v>
      </c>
      <c r="AR151" s="39">
        <v>0</v>
      </c>
      <c r="AS151" s="39">
        <v>0</v>
      </c>
      <c r="AT151" s="39">
        <v>0</v>
      </c>
      <c r="AU151" s="39">
        <v>0</v>
      </c>
      <c r="AV151" s="39">
        <v>0</v>
      </c>
      <c r="AW151" s="39">
        <v>0</v>
      </c>
      <c r="AX151" s="39">
        <v>0</v>
      </c>
      <c r="AY151" s="39">
        <v>0</v>
      </c>
      <c r="AZ151" s="39">
        <v>0</v>
      </c>
      <c r="BA151" s="39">
        <v>0</v>
      </c>
      <c r="BB151" s="39">
        <v>0</v>
      </c>
      <c r="BC151" s="39">
        <v>0</v>
      </c>
    </row>
    <row r="152" spans="3:55" hidden="1" outlineLevel="1" x14ac:dyDescent="0.2">
      <c r="C152" s="162" t="str">
        <v>Estación base Single RAN - micro</v>
      </c>
      <c r="D152" s="162" t="str">
        <v>Minutos radio equivalentes</v>
      </c>
      <c r="E152" s="62">
        <f t="shared" si="52"/>
        <v>0</v>
      </c>
      <c r="F152" s="39">
        <f t="array" ref="F152:BC152">INDEX(RF.Option.Table,MATCH($D152,RF.Option.List,0),)</f>
        <v>2.1784313725490194</v>
      </c>
      <c r="G152" s="39">
        <v>1.0947916666666666</v>
      </c>
      <c r="H152" s="39">
        <v>1.1166666666666667</v>
      </c>
      <c r="I152" s="39">
        <v>1.0722222222222222</v>
      </c>
      <c r="J152" s="39">
        <v>1.0947916666666666</v>
      </c>
      <c r="K152" s="39">
        <v>1.1166666666666667</v>
      </c>
      <c r="L152" s="39">
        <v>1.0722222222222222</v>
      </c>
      <c r="M152" s="39">
        <v>2.8319607843137256</v>
      </c>
      <c r="N152" s="39">
        <v>1.4232291666666665</v>
      </c>
      <c r="O152" s="39">
        <v>1.4516666666666667</v>
      </c>
      <c r="P152" s="39">
        <v>1.393888888888889</v>
      </c>
      <c r="Q152" s="39">
        <v>1.4232291666666665</v>
      </c>
      <c r="R152" s="39">
        <v>1.4516666666666667</v>
      </c>
      <c r="S152" s="39">
        <v>1.393888888888889</v>
      </c>
      <c r="T152" s="39">
        <v>2</v>
      </c>
      <c r="U152" s="39">
        <v>1</v>
      </c>
      <c r="V152" s="39">
        <v>1</v>
      </c>
      <c r="W152" s="39">
        <v>1</v>
      </c>
      <c r="X152" s="39">
        <v>1</v>
      </c>
      <c r="Y152" s="39">
        <v>1</v>
      </c>
      <c r="Z152" s="39">
        <v>1</v>
      </c>
      <c r="AA152" s="39">
        <v>2.6075619295958278E-3</v>
      </c>
      <c r="AB152" s="39">
        <v>1.3037809647979139E-3</v>
      </c>
      <c r="AC152" s="39">
        <v>1.3037809647979139E-3</v>
      </c>
      <c r="AD152" s="39">
        <v>1E-3</v>
      </c>
      <c r="AE152" s="39">
        <v>5.0000000000000001E-4</v>
      </c>
      <c r="AF152" s="39">
        <v>5.0000000000000001E-4</v>
      </c>
      <c r="AG152" s="39">
        <v>2.8318024691358027E-5</v>
      </c>
      <c r="AH152" s="39">
        <v>1.4159012345679013E-5</v>
      </c>
      <c r="AI152" s="39">
        <v>1.4159012345679013E-5</v>
      </c>
      <c r="AJ152" s="39">
        <v>4.4600888888888894</v>
      </c>
      <c r="AK152" s="39">
        <v>9.1</v>
      </c>
      <c r="AL152" s="39">
        <v>0.45295418641390212</v>
      </c>
      <c r="AM152" s="39">
        <v>0</v>
      </c>
      <c r="AN152" s="39">
        <v>0.23598353909465022</v>
      </c>
      <c r="AO152" s="39">
        <v>0</v>
      </c>
      <c r="AP152" s="39">
        <v>0</v>
      </c>
      <c r="AQ152" s="39">
        <v>0</v>
      </c>
      <c r="AR152" s="39">
        <v>0</v>
      </c>
      <c r="AS152" s="39">
        <v>0</v>
      </c>
      <c r="AT152" s="39">
        <v>0</v>
      </c>
      <c r="AU152" s="39">
        <v>0</v>
      </c>
      <c r="AV152" s="39">
        <v>0</v>
      </c>
      <c r="AW152" s="39">
        <v>0</v>
      </c>
      <c r="AX152" s="39">
        <v>0</v>
      </c>
      <c r="AY152" s="39">
        <v>0</v>
      </c>
      <c r="AZ152" s="39">
        <v>0</v>
      </c>
      <c r="BA152" s="39">
        <v>0</v>
      </c>
      <c r="BB152" s="39">
        <v>0</v>
      </c>
      <c r="BC152" s="39">
        <v>0</v>
      </c>
    </row>
    <row r="153" spans="3:55" hidden="1" outlineLevel="1" x14ac:dyDescent="0.2">
      <c r="C153" s="162" t="str">
        <v>BBU tarjeta 3G en estación base Single RAN</v>
      </c>
      <c r="D153" s="162" t="str">
        <v>Minutos radio equivalentes UMTS+HSPA</v>
      </c>
      <c r="E153" s="62">
        <f t="shared" si="52"/>
        <v>0</v>
      </c>
      <c r="F153" s="39">
        <f t="array" ref="F153:BC153">INDEX(RF.Option.Table,MATCH($D153,RF.Option.List,0),)</f>
        <v>0</v>
      </c>
      <c r="G153" s="39">
        <v>0</v>
      </c>
      <c r="H153" s="39">
        <v>0</v>
      </c>
      <c r="I153" s="39">
        <v>0</v>
      </c>
      <c r="J153" s="39">
        <v>0</v>
      </c>
      <c r="K153" s="39">
        <v>0</v>
      </c>
      <c r="L153" s="39">
        <v>0</v>
      </c>
      <c r="M153" s="39">
        <v>2.8319607843137256</v>
      </c>
      <c r="N153" s="39">
        <v>1.4232291666666665</v>
      </c>
      <c r="O153" s="39">
        <v>1.4516666666666667</v>
      </c>
      <c r="P153" s="39">
        <v>1.393888888888889</v>
      </c>
      <c r="Q153" s="39">
        <v>1.4232291666666665</v>
      </c>
      <c r="R153" s="39">
        <v>1.4516666666666667</v>
      </c>
      <c r="S153" s="39">
        <v>1.393888888888889</v>
      </c>
      <c r="T153" s="39">
        <v>0</v>
      </c>
      <c r="U153" s="39">
        <v>0</v>
      </c>
      <c r="V153" s="39">
        <v>0</v>
      </c>
      <c r="W153" s="39">
        <v>0</v>
      </c>
      <c r="X153" s="39">
        <v>0</v>
      </c>
      <c r="Y153" s="39">
        <v>0</v>
      </c>
      <c r="Z153" s="39">
        <v>0</v>
      </c>
      <c r="AA153" s="39">
        <v>0</v>
      </c>
      <c r="AB153" s="39">
        <v>0</v>
      </c>
      <c r="AC153" s="39">
        <v>0</v>
      </c>
      <c r="AD153" s="39">
        <v>1E-3</v>
      </c>
      <c r="AE153" s="39">
        <v>5.0000000000000001E-4</v>
      </c>
      <c r="AF153" s="39">
        <v>5.0000000000000001E-4</v>
      </c>
      <c r="AG153" s="39">
        <v>0</v>
      </c>
      <c r="AH153" s="39">
        <v>0</v>
      </c>
      <c r="AI153" s="39">
        <v>0</v>
      </c>
      <c r="AJ153" s="39">
        <v>0</v>
      </c>
      <c r="AK153" s="39">
        <v>9.1</v>
      </c>
      <c r="AL153" s="39">
        <v>0.45295418641390212</v>
      </c>
      <c r="AM153" s="39">
        <v>0</v>
      </c>
      <c r="AN153" s="39">
        <v>0</v>
      </c>
      <c r="AO153" s="39">
        <v>0</v>
      </c>
      <c r="AP153" s="39">
        <v>0</v>
      </c>
      <c r="AQ153" s="39">
        <v>0</v>
      </c>
      <c r="AR153" s="39">
        <v>0</v>
      </c>
      <c r="AS153" s="39">
        <v>0</v>
      </c>
      <c r="AT153" s="39">
        <v>0</v>
      </c>
      <c r="AU153" s="39">
        <v>0</v>
      </c>
      <c r="AV153" s="39">
        <v>0</v>
      </c>
      <c r="AW153" s="39">
        <v>0</v>
      </c>
      <c r="AX153" s="39">
        <v>0</v>
      </c>
      <c r="AY153" s="39">
        <v>0</v>
      </c>
      <c r="AZ153" s="39">
        <v>0</v>
      </c>
      <c r="BA153" s="39">
        <v>0</v>
      </c>
      <c r="BB153" s="39">
        <v>0</v>
      </c>
      <c r="BC153" s="39">
        <v>0</v>
      </c>
    </row>
    <row r="154" spans="3:55" hidden="1" outlineLevel="1" x14ac:dyDescent="0.2">
      <c r="C154" s="162" t="str">
        <v>BBU tarjeta 4G en estación base Single RAN</v>
      </c>
      <c r="D154" s="162" t="str">
        <v>Tráfico radio LTE</v>
      </c>
      <c r="E154" s="62">
        <f t="shared" si="52"/>
        <v>0</v>
      </c>
      <c r="F154" s="39">
        <f t="array" ref="F154:BC154">INDEX(RF.Option.Table,MATCH($D154,RF.Option.List,0),)</f>
        <v>0</v>
      </c>
      <c r="G154" s="39">
        <v>0</v>
      </c>
      <c r="H154" s="39">
        <v>0</v>
      </c>
      <c r="I154" s="39">
        <v>0</v>
      </c>
      <c r="J154" s="39">
        <v>0</v>
      </c>
      <c r="K154" s="39">
        <v>0</v>
      </c>
      <c r="L154" s="39">
        <v>0</v>
      </c>
      <c r="M154" s="39">
        <v>0</v>
      </c>
      <c r="N154" s="39">
        <v>0</v>
      </c>
      <c r="O154" s="39">
        <v>0</v>
      </c>
      <c r="P154" s="39">
        <v>0</v>
      </c>
      <c r="Q154" s="39">
        <v>0</v>
      </c>
      <c r="R154" s="39">
        <v>0</v>
      </c>
      <c r="S154" s="39">
        <v>0</v>
      </c>
      <c r="T154" s="39">
        <v>2</v>
      </c>
      <c r="U154" s="39">
        <v>1</v>
      </c>
      <c r="V154" s="39">
        <v>1</v>
      </c>
      <c r="W154" s="39">
        <v>1</v>
      </c>
      <c r="X154" s="39">
        <v>1</v>
      </c>
      <c r="Y154" s="39">
        <v>1</v>
      </c>
      <c r="Z154" s="39">
        <v>1</v>
      </c>
      <c r="AA154" s="39">
        <v>0</v>
      </c>
      <c r="AB154" s="39">
        <v>0</v>
      </c>
      <c r="AC154" s="39">
        <v>0</v>
      </c>
      <c r="AD154" s="39">
        <v>0</v>
      </c>
      <c r="AE154" s="39">
        <v>0</v>
      </c>
      <c r="AF154" s="39">
        <v>0</v>
      </c>
      <c r="AG154" s="39">
        <v>2.8318024691358027E-5</v>
      </c>
      <c r="AH154" s="39">
        <v>1.4159012345679013E-5</v>
      </c>
      <c r="AI154" s="39">
        <v>1.4159012345679013E-5</v>
      </c>
      <c r="AJ154" s="39">
        <v>0</v>
      </c>
      <c r="AK154" s="39">
        <v>0</v>
      </c>
      <c r="AL154" s="39">
        <v>0</v>
      </c>
      <c r="AM154" s="39">
        <v>0</v>
      </c>
      <c r="AN154" s="39">
        <v>0.23598353909465022</v>
      </c>
      <c r="AO154" s="39">
        <v>0</v>
      </c>
      <c r="AP154" s="39">
        <v>0</v>
      </c>
      <c r="AQ154" s="39">
        <v>0</v>
      </c>
      <c r="AR154" s="39">
        <v>0</v>
      </c>
      <c r="AS154" s="39">
        <v>0</v>
      </c>
      <c r="AT154" s="39">
        <v>0</v>
      </c>
      <c r="AU154" s="39">
        <v>0</v>
      </c>
      <c r="AV154" s="39">
        <v>0</v>
      </c>
      <c r="AW154" s="39">
        <v>0</v>
      </c>
      <c r="AX154" s="39">
        <v>0</v>
      </c>
      <c r="AY154" s="39">
        <v>0</v>
      </c>
      <c r="AZ154" s="39">
        <v>0</v>
      </c>
      <c r="BA154" s="39">
        <v>0</v>
      </c>
      <c r="BB154" s="39">
        <v>0</v>
      </c>
      <c r="BC154" s="39">
        <v>0</v>
      </c>
    </row>
    <row r="155" spans="3:55" hidden="1" outlineLevel="1" x14ac:dyDescent="0.2">
      <c r="C155" s="162" t="str">
        <v>Sitios propios - macro</v>
      </c>
      <c r="D155" s="162" t="str">
        <v>Minutos radio equivalentes</v>
      </c>
      <c r="E155" s="62">
        <f t="shared" si="52"/>
        <v>0</v>
      </c>
      <c r="F155" s="39">
        <f t="array" ref="F155:BC155">INDEX(RF.Option.Table,MATCH($D155,RF.Option.List,0),)</f>
        <v>2.1784313725490194</v>
      </c>
      <c r="G155" s="39">
        <v>1.0947916666666666</v>
      </c>
      <c r="H155" s="39">
        <v>1.1166666666666667</v>
      </c>
      <c r="I155" s="39">
        <v>1.0722222222222222</v>
      </c>
      <c r="J155" s="39">
        <v>1.0947916666666666</v>
      </c>
      <c r="K155" s="39">
        <v>1.1166666666666667</v>
      </c>
      <c r="L155" s="39">
        <v>1.0722222222222222</v>
      </c>
      <c r="M155" s="39">
        <v>2.8319607843137256</v>
      </c>
      <c r="N155" s="39">
        <v>1.4232291666666665</v>
      </c>
      <c r="O155" s="39">
        <v>1.4516666666666667</v>
      </c>
      <c r="P155" s="39">
        <v>1.393888888888889</v>
      </c>
      <c r="Q155" s="39">
        <v>1.4232291666666665</v>
      </c>
      <c r="R155" s="39">
        <v>1.4516666666666667</v>
      </c>
      <c r="S155" s="39">
        <v>1.393888888888889</v>
      </c>
      <c r="T155" s="39">
        <v>2</v>
      </c>
      <c r="U155" s="39">
        <v>1</v>
      </c>
      <c r="V155" s="39">
        <v>1</v>
      </c>
      <c r="W155" s="39">
        <v>1</v>
      </c>
      <c r="X155" s="39">
        <v>1</v>
      </c>
      <c r="Y155" s="39">
        <v>1</v>
      </c>
      <c r="Z155" s="39">
        <v>1</v>
      </c>
      <c r="AA155" s="39">
        <v>2.6075619295958278E-3</v>
      </c>
      <c r="AB155" s="39">
        <v>1.3037809647979139E-3</v>
      </c>
      <c r="AC155" s="39">
        <v>1.3037809647979139E-3</v>
      </c>
      <c r="AD155" s="39">
        <v>1E-3</v>
      </c>
      <c r="AE155" s="39">
        <v>5.0000000000000001E-4</v>
      </c>
      <c r="AF155" s="39">
        <v>5.0000000000000001E-4</v>
      </c>
      <c r="AG155" s="39">
        <v>2.8318024691358027E-5</v>
      </c>
      <c r="AH155" s="39">
        <v>1.4159012345679013E-5</v>
      </c>
      <c r="AI155" s="39">
        <v>1.4159012345679013E-5</v>
      </c>
      <c r="AJ155" s="39">
        <v>4.4600888888888894</v>
      </c>
      <c r="AK155" s="39">
        <v>9.1</v>
      </c>
      <c r="AL155" s="39">
        <v>0.45295418641390212</v>
      </c>
      <c r="AM155" s="39">
        <v>0</v>
      </c>
      <c r="AN155" s="39">
        <v>0.23598353909465022</v>
      </c>
      <c r="AO155" s="39">
        <v>0</v>
      </c>
      <c r="AP155" s="39">
        <v>0</v>
      </c>
      <c r="AQ155" s="39">
        <v>0</v>
      </c>
      <c r="AR155" s="39">
        <v>0</v>
      </c>
      <c r="AS155" s="39">
        <v>0</v>
      </c>
      <c r="AT155" s="39">
        <v>0</v>
      </c>
      <c r="AU155" s="39">
        <v>0</v>
      </c>
      <c r="AV155" s="39">
        <v>0</v>
      </c>
      <c r="AW155" s="39">
        <v>0</v>
      </c>
      <c r="AX155" s="39">
        <v>0</v>
      </c>
      <c r="AY155" s="39">
        <v>0</v>
      </c>
      <c r="AZ155" s="39">
        <v>0</v>
      </c>
      <c r="BA155" s="39">
        <v>0</v>
      </c>
      <c r="BB155" s="39">
        <v>0</v>
      </c>
      <c r="BC155" s="39">
        <v>0</v>
      </c>
    </row>
    <row r="156" spans="3:55" hidden="1" outlineLevel="1" x14ac:dyDescent="0.2">
      <c r="C156" s="162" t="str">
        <v>Sitios propios - micro</v>
      </c>
      <c r="D156" s="162" t="str">
        <v>Minutos radio equivalentes</v>
      </c>
      <c r="E156" s="62">
        <f t="shared" si="52"/>
        <v>0</v>
      </c>
      <c r="F156" s="39">
        <f t="array" ref="F156:BC156">INDEX(RF.Option.Table,MATCH($D156,RF.Option.List,0),)</f>
        <v>2.1784313725490194</v>
      </c>
      <c r="G156" s="39">
        <v>1.0947916666666666</v>
      </c>
      <c r="H156" s="39">
        <v>1.1166666666666667</v>
      </c>
      <c r="I156" s="39">
        <v>1.0722222222222222</v>
      </c>
      <c r="J156" s="39">
        <v>1.0947916666666666</v>
      </c>
      <c r="K156" s="39">
        <v>1.1166666666666667</v>
      </c>
      <c r="L156" s="39">
        <v>1.0722222222222222</v>
      </c>
      <c r="M156" s="39">
        <v>2.8319607843137256</v>
      </c>
      <c r="N156" s="39">
        <v>1.4232291666666665</v>
      </c>
      <c r="O156" s="39">
        <v>1.4516666666666667</v>
      </c>
      <c r="P156" s="39">
        <v>1.393888888888889</v>
      </c>
      <c r="Q156" s="39">
        <v>1.4232291666666665</v>
      </c>
      <c r="R156" s="39">
        <v>1.4516666666666667</v>
      </c>
      <c r="S156" s="39">
        <v>1.393888888888889</v>
      </c>
      <c r="T156" s="39">
        <v>2</v>
      </c>
      <c r="U156" s="39">
        <v>1</v>
      </c>
      <c r="V156" s="39">
        <v>1</v>
      </c>
      <c r="W156" s="39">
        <v>1</v>
      </c>
      <c r="X156" s="39">
        <v>1</v>
      </c>
      <c r="Y156" s="39">
        <v>1</v>
      </c>
      <c r="Z156" s="39">
        <v>1</v>
      </c>
      <c r="AA156" s="39">
        <v>2.6075619295958278E-3</v>
      </c>
      <c r="AB156" s="39">
        <v>1.3037809647979139E-3</v>
      </c>
      <c r="AC156" s="39">
        <v>1.3037809647979139E-3</v>
      </c>
      <c r="AD156" s="39">
        <v>1E-3</v>
      </c>
      <c r="AE156" s="39">
        <v>5.0000000000000001E-4</v>
      </c>
      <c r="AF156" s="39">
        <v>5.0000000000000001E-4</v>
      </c>
      <c r="AG156" s="39">
        <v>2.8318024691358027E-5</v>
      </c>
      <c r="AH156" s="39">
        <v>1.4159012345679013E-5</v>
      </c>
      <c r="AI156" s="39">
        <v>1.4159012345679013E-5</v>
      </c>
      <c r="AJ156" s="39">
        <v>4.4600888888888894</v>
      </c>
      <c r="AK156" s="39">
        <v>9.1</v>
      </c>
      <c r="AL156" s="39">
        <v>0.45295418641390212</v>
      </c>
      <c r="AM156" s="39">
        <v>0</v>
      </c>
      <c r="AN156" s="39">
        <v>0.23598353909465022</v>
      </c>
      <c r="AO156" s="39">
        <v>0</v>
      </c>
      <c r="AP156" s="39">
        <v>0</v>
      </c>
      <c r="AQ156" s="39">
        <v>0</v>
      </c>
      <c r="AR156" s="39">
        <v>0</v>
      </c>
      <c r="AS156" s="39">
        <v>0</v>
      </c>
      <c r="AT156" s="39">
        <v>0</v>
      </c>
      <c r="AU156" s="39">
        <v>0</v>
      </c>
      <c r="AV156" s="39">
        <v>0</v>
      </c>
      <c r="AW156" s="39">
        <v>0</v>
      </c>
      <c r="AX156" s="39">
        <v>0</v>
      </c>
      <c r="AY156" s="39">
        <v>0</v>
      </c>
      <c r="AZ156" s="39">
        <v>0</v>
      </c>
      <c r="BA156" s="39">
        <v>0</v>
      </c>
      <c r="BB156" s="39">
        <v>0</v>
      </c>
      <c r="BC156" s="39">
        <v>0</v>
      </c>
    </row>
    <row r="157" spans="3:55" hidden="1" outlineLevel="1" x14ac:dyDescent="0.2">
      <c r="C157" s="162" t="str">
        <v>Sitios de terceros - macro</v>
      </c>
      <c r="D157" s="162" t="str">
        <v>Minutos radio equivalentes</v>
      </c>
      <c r="E157" s="62">
        <f t="shared" si="52"/>
        <v>0</v>
      </c>
      <c r="F157" s="39">
        <f t="array" ref="F157:BC157">INDEX(RF.Option.Table,MATCH($D157,RF.Option.List,0),)</f>
        <v>2.1784313725490194</v>
      </c>
      <c r="G157" s="39">
        <v>1.0947916666666666</v>
      </c>
      <c r="H157" s="39">
        <v>1.1166666666666667</v>
      </c>
      <c r="I157" s="39">
        <v>1.0722222222222222</v>
      </c>
      <c r="J157" s="39">
        <v>1.0947916666666666</v>
      </c>
      <c r="K157" s="39">
        <v>1.1166666666666667</v>
      </c>
      <c r="L157" s="39">
        <v>1.0722222222222222</v>
      </c>
      <c r="M157" s="39">
        <v>2.8319607843137256</v>
      </c>
      <c r="N157" s="39">
        <v>1.4232291666666665</v>
      </c>
      <c r="O157" s="39">
        <v>1.4516666666666667</v>
      </c>
      <c r="P157" s="39">
        <v>1.393888888888889</v>
      </c>
      <c r="Q157" s="39">
        <v>1.4232291666666665</v>
      </c>
      <c r="R157" s="39">
        <v>1.4516666666666667</v>
      </c>
      <c r="S157" s="39">
        <v>1.393888888888889</v>
      </c>
      <c r="T157" s="39">
        <v>2</v>
      </c>
      <c r="U157" s="39">
        <v>1</v>
      </c>
      <c r="V157" s="39">
        <v>1</v>
      </c>
      <c r="W157" s="39">
        <v>1</v>
      </c>
      <c r="X157" s="39">
        <v>1</v>
      </c>
      <c r="Y157" s="39">
        <v>1</v>
      </c>
      <c r="Z157" s="39">
        <v>1</v>
      </c>
      <c r="AA157" s="39">
        <v>2.6075619295958278E-3</v>
      </c>
      <c r="AB157" s="39">
        <v>1.3037809647979139E-3</v>
      </c>
      <c r="AC157" s="39">
        <v>1.3037809647979139E-3</v>
      </c>
      <c r="AD157" s="39">
        <v>1E-3</v>
      </c>
      <c r="AE157" s="39">
        <v>5.0000000000000001E-4</v>
      </c>
      <c r="AF157" s="39">
        <v>5.0000000000000001E-4</v>
      </c>
      <c r="AG157" s="39">
        <v>2.8318024691358027E-5</v>
      </c>
      <c r="AH157" s="39">
        <v>1.4159012345679013E-5</v>
      </c>
      <c r="AI157" s="39">
        <v>1.4159012345679013E-5</v>
      </c>
      <c r="AJ157" s="39">
        <v>4.4600888888888894</v>
      </c>
      <c r="AK157" s="39">
        <v>9.1</v>
      </c>
      <c r="AL157" s="39">
        <v>0.45295418641390212</v>
      </c>
      <c r="AM157" s="39">
        <v>0</v>
      </c>
      <c r="AN157" s="39">
        <v>0.23598353909465022</v>
      </c>
      <c r="AO157" s="39">
        <v>0</v>
      </c>
      <c r="AP157" s="39">
        <v>0</v>
      </c>
      <c r="AQ157" s="39">
        <v>0</v>
      </c>
      <c r="AR157" s="39">
        <v>0</v>
      </c>
      <c r="AS157" s="39">
        <v>0</v>
      </c>
      <c r="AT157" s="39">
        <v>0</v>
      </c>
      <c r="AU157" s="39">
        <v>0</v>
      </c>
      <c r="AV157" s="39">
        <v>0</v>
      </c>
      <c r="AW157" s="39">
        <v>0</v>
      </c>
      <c r="AX157" s="39">
        <v>0</v>
      </c>
      <c r="AY157" s="39">
        <v>0</v>
      </c>
      <c r="AZ157" s="39">
        <v>0</v>
      </c>
      <c r="BA157" s="39">
        <v>0</v>
      </c>
      <c r="BB157" s="39">
        <v>0</v>
      </c>
      <c r="BC157" s="39">
        <v>0</v>
      </c>
    </row>
    <row r="158" spans="3:55" hidden="1" outlineLevel="1" x14ac:dyDescent="0.2">
      <c r="C158" s="162" t="str">
        <v>Sitios de terceros - micro</v>
      </c>
      <c r="D158" s="162" t="str">
        <v>Minutos radio equivalentes</v>
      </c>
      <c r="E158" s="62">
        <f t="shared" si="52"/>
        <v>0</v>
      </c>
      <c r="F158" s="39">
        <f t="array" ref="F158:BC158">INDEX(RF.Option.Table,MATCH($D158,RF.Option.List,0),)</f>
        <v>2.1784313725490194</v>
      </c>
      <c r="G158" s="39">
        <v>1.0947916666666666</v>
      </c>
      <c r="H158" s="39">
        <v>1.1166666666666667</v>
      </c>
      <c r="I158" s="39">
        <v>1.0722222222222222</v>
      </c>
      <c r="J158" s="39">
        <v>1.0947916666666666</v>
      </c>
      <c r="K158" s="39">
        <v>1.1166666666666667</v>
      </c>
      <c r="L158" s="39">
        <v>1.0722222222222222</v>
      </c>
      <c r="M158" s="39">
        <v>2.8319607843137256</v>
      </c>
      <c r="N158" s="39">
        <v>1.4232291666666665</v>
      </c>
      <c r="O158" s="39">
        <v>1.4516666666666667</v>
      </c>
      <c r="P158" s="39">
        <v>1.393888888888889</v>
      </c>
      <c r="Q158" s="39">
        <v>1.4232291666666665</v>
      </c>
      <c r="R158" s="39">
        <v>1.4516666666666667</v>
      </c>
      <c r="S158" s="39">
        <v>1.393888888888889</v>
      </c>
      <c r="T158" s="39">
        <v>2</v>
      </c>
      <c r="U158" s="39">
        <v>1</v>
      </c>
      <c r="V158" s="39">
        <v>1</v>
      </c>
      <c r="W158" s="39">
        <v>1</v>
      </c>
      <c r="X158" s="39">
        <v>1</v>
      </c>
      <c r="Y158" s="39">
        <v>1</v>
      </c>
      <c r="Z158" s="39">
        <v>1</v>
      </c>
      <c r="AA158" s="39">
        <v>2.6075619295958278E-3</v>
      </c>
      <c r="AB158" s="39">
        <v>1.3037809647979139E-3</v>
      </c>
      <c r="AC158" s="39">
        <v>1.3037809647979139E-3</v>
      </c>
      <c r="AD158" s="39">
        <v>1E-3</v>
      </c>
      <c r="AE158" s="39">
        <v>5.0000000000000001E-4</v>
      </c>
      <c r="AF158" s="39">
        <v>5.0000000000000001E-4</v>
      </c>
      <c r="AG158" s="39">
        <v>2.8318024691358027E-5</v>
      </c>
      <c r="AH158" s="39">
        <v>1.4159012345679013E-5</v>
      </c>
      <c r="AI158" s="39">
        <v>1.4159012345679013E-5</v>
      </c>
      <c r="AJ158" s="39">
        <v>4.4600888888888894</v>
      </c>
      <c r="AK158" s="39">
        <v>9.1</v>
      </c>
      <c r="AL158" s="39">
        <v>0.45295418641390212</v>
      </c>
      <c r="AM158" s="39">
        <v>0</v>
      </c>
      <c r="AN158" s="39">
        <v>0.23598353909465022</v>
      </c>
      <c r="AO158" s="39">
        <v>0</v>
      </c>
      <c r="AP158" s="39">
        <v>0</v>
      </c>
      <c r="AQ158" s="39">
        <v>0</v>
      </c>
      <c r="AR158" s="39">
        <v>0</v>
      </c>
      <c r="AS158" s="39">
        <v>0</v>
      </c>
      <c r="AT158" s="39">
        <v>0</v>
      </c>
      <c r="AU158" s="39">
        <v>0</v>
      </c>
      <c r="AV158" s="39">
        <v>0</v>
      </c>
      <c r="AW158" s="39">
        <v>0</v>
      </c>
      <c r="AX158" s="39">
        <v>0</v>
      </c>
      <c r="AY158" s="39">
        <v>0</v>
      </c>
      <c r="AZ158" s="39">
        <v>0</v>
      </c>
      <c r="BA158" s="39">
        <v>0</v>
      </c>
      <c r="BB158" s="39">
        <v>0</v>
      </c>
      <c r="BC158" s="39">
        <v>0</v>
      </c>
    </row>
    <row r="159" spans="3:55" hidden="1" outlineLevel="1" x14ac:dyDescent="0.2">
      <c r="C159" s="162" t="str">
        <v>LMA: líneas alquiladas TDM: 2.048</v>
      </c>
      <c r="D159" s="162" t="str">
        <v>LMA PCM Mbytes de tráfico</v>
      </c>
      <c r="E159" s="62">
        <f t="shared" si="52"/>
        <v>0</v>
      </c>
      <c r="F159" s="39">
        <f t="array" ref="F159:BC159">INDEX(RF.Option.Table,MATCH($D159,RF.Option.List,0),)</f>
        <v>0.61906594669117643</v>
      </c>
      <c r="G159" s="39">
        <v>0.31111755371093747</v>
      </c>
      <c r="H159" s="39">
        <v>0.31733398437499999</v>
      </c>
      <c r="I159" s="39">
        <v>0.30470377604166665</v>
      </c>
      <c r="J159" s="39">
        <v>0.31111755371093747</v>
      </c>
      <c r="K159" s="39">
        <v>0.31733398437499999</v>
      </c>
      <c r="L159" s="39">
        <v>0.30470377604166665</v>
      </c>
      <c r="M159" s="39">
        <v>0.74287913602941169</v>
      </c>
      <c r="N159" s="39">
        <v>0.37334106445312498</v>
      </c>
      <c r="O159" s="39">
        <v>0.38080078125</v>
      </c>
      <c r="P159" s="39">
        <v>0.36564453125000002</v>
      </c>
      <c r="Q159" s="39">
        <v>0.37334106445312498</v>
      </c>
      <c r="R159" s="39">
        <v>0.38080078125</v>
      </c>
      <c r="S159" s="39">
        <v>0.36564453125000002</v>
      </c>
      <c r="T159" s="39">
        <v>0.568359375</v>
      </c>
      <c r="U159" s="39">
        <v>0.2841796875</v>
      </c>
      <c r="V159" s="39">
        <v>0.2841796875</v>
      </c>
      <c r="W159" s="39">
        <v>0.2841796875</v>
      </c>
      <c r="X159" s="39">
        <v>0.2841796875</v>
      </c>
      <c r="Y159" s="39">
        <v>0.2841796875</v>
      </c>
      <c r="Z159" s="39">
        <v>0.2841796875</v>
      </c>
      <c r="AA159" s="39">
        <v>7.4101613428943932E-4</v>
      </c>
      <c r="AB159" s="39">
        <v>3.7050806714471966E-4</v>
      </c>
      <c r="AC159" s="39">
        <v>3.7050806714471966E-4</v>
      </c>
      <c r="AD159" s="39">
        <v>2.8417968749999998E-4</v>
      </c>
      <c r="AE159" s="39">
        <v>1.4208984374999999E-4</v>
      </c>
      <c r="AF159" s="39">
        <v>1.4208984374999999E-4</v>
      </c>
      <c r="AG159" s="39">
        <v>8.0474074074074073E-6</v>
      </c>
      <c r="AH159" s="39">
        <v>4.0237037037037036E-6</v>
      </c>
      <c r="AI159" s="39">
        <v>4.0237037037037036E-6</v>
      </c>
      <c r="AJ159" s="39">
        <v>0.7</v>
      </c>
      <c r="AK159" s="39">
        <v>0.75</v>
      </c>
      <c r="AL159" s="39">
        <v>1</v>
      </c>
      <c r="AM159" s="39">
        <v>0</v>
      </c>
      <c r="AN159" s="39">
        <v>0.8</v>
      </c>
      <c r="AO159" s="39">
        <v>0</v>
      </c>
      <c r="AP159" s="39">
        <v>0</v>
      </c>
      <c r="AQ159" s="39">
        <v>0</v>
      </c>
      <c r="AR159" s="39">
        <v>0</v>
      </c>
      <c r="AS159" s="39">
        <v>0</v>
      </c>
      <c r="AT159" s="39">
        <v>0</v>
      </c>
      <c r="AU159" s="39">
        <v>0</v>
      </c>
      <c r="AV159" s="39">
        <v>0</v>
      </c>
      <c r="AW159" s="39">
        <v>0</v>
      </c>
      <c r="AX159" s="39">
        <v>0</v>
      </c>
      <c r="AY159" s="39">
        <v>0</v>
      </c>
      <c r="AZ159" s="39">
        <v>0</v>
      </c>
      <c r="BA159" s="39">
        <v>0</v>
      </c>
      <c r="BB159" s="39">
        <v>0</v>
      </c>
      <c r="BC159" s="39">
        <v>0</v>
      </c>
    </row>
    <row r="160" spans="3:55" hidden="1" outlineLevel="1" x14ac:dyDescent="0.2">
      <c r="C160" s="162" t="str">
        <v>LMA: líneas alquiladas TDM: 8.45</v>
      </c>
      <c r="D160" s="162" t="str">
        <v>LMA PCM Mbytes de tráfico</v>
      </c>
      <c r="E160" s="62">
        <f t="shared" si="52"/>
        <v>0</v>
      </c>
      <c r="F160" s="39">
        <f t="array" ref="F160:BC160">INDEX(RF.Option.Table,MATCH($D160,RF.Option.List,0),)</f>
        <v>0.61906594669117643</v>
      </c>
      <c r="G160" s="39">
        <v>0.31111755371093747</v>
      </c>
      <c r="H160" s="39">
        <v>0.31733398437499999</v>
      </c>
      <c r="I160" s="39">
        <v>0.30470377604166665</v>
      </c>
      <c r="J160" s="39">
        <v>0.31111755371093747</v>
      </c>
      <c r="K160" s="39">
        <v>0.31733398437499999</v>
      </c>
      <c r="L160" s="39">
        <v>0.30470377604166665</v>
      </c>
      <c r="M160" s="39">
        <v>0.74287913602941169</v>
      </c>
      <c r="N160" s="39">
        <v>0.37334106445312498</v>
      </c>
      <c r="O160" s="39">
        <v>0.38080078125</v>
      </c>
      <c r="P160" s="39">
        <v>0.36564453125000002</v>
      </c>
      <c r="Q160" s="39">
        <v>0.37334106445312498</v>
      </c>
      <c r="R160" s="39">
        <v>0.38080078125</v>
      </c>
      <c r="S160" s="39">
        <v>0.36564453125000002</v>
      </c>
      <c r="T160" s="39">
        <v>0.568359375</v>
      </c>
      <c r="U160" s="39">
        <v>0.2841796875</v>
      </c>
      <c r="V160" s="39">
        <v>0.2841796875</v>
      </c>
      <c r="W160" s="39">
        <v>0.2841796875</v>
      </c>
      <c r="X160" s="39">
        <v>0.2841796875</v>
      </c>
      <c r="Y160" s="39">
        <v>0.2841796875</v>
      </c>
      <c r="Z160" s="39">
        <v>0.2841796875</v>
      </c>
      <c r="AA160" s="39">
        <v>7.4101613428943932E-4</v>
      </c>
      <c r="AB160" s="39">
        <v>3.7050806714471966E-4</v>
      </c>
      <c r="AC160" s="39">
        <v>3.7050806714471966E-4</v>
      </c>
      <c r="AD160" s="39">
        <v>2.8417968749999998E-4</v>
      </c>
      <c r="AE160" s="39">
        <v>1.4208984374999999E-4</v>
      </c>
      <c r="AF160" s="39">
        <v>1.4208984374999999E-4</v>
      </c>
      <c r="AG160" s="39">
        <v>8.0474074074074073E-6</v>
      </c>
      <c r="AH160" s="39">
        <v>4.0237037037037036E-6</v>
      </c>
      <c r="AI160" s="39">
        <v>4.0237037037037036E-6</v>
      </c>
      <c r="AJ160" s="39">
        <v>0.7</v>
      </c>
      <c r="AK160" s="39">
        <v>0.75</v>
      </c>
      <c r="AL160" s="39">
        <v>1</v>
      </c>
      <c r="AM160" s="39">
        <v>0</v>
      </c>
      <c r="AN160" s="39">
        <v>0.8</v>
      </c>
      <c r="AO160" s="39">
        <v>0</v>
      </c>
      <c r="AP160" s="39">
        <v>0</v>
      </c>
      <c r="AQ160" s="39">
        <v>0</v>
      </c>
      <c r="AR160" s="39">
        <v>0</v>
      </c>
      <c r="AS160" s="39">
        <v>0</v>
      </c>
      <c r="AT160" s="39">
        <v>0</v>
      </c>
      <c r="AU160" s="39">
        <v>0</v>
      </c>
      <c r="AV160" s="39">
        <v>0</v>
      </c>
      <c r="AW160" s="39">
        <v>0</v>
      </c>
      <c r="AX160" s="39">
        <v>0</v>
      </c>
      <c r="AY160" s="39">
        <v>0</v>
      </c>
      <c r="AZ160" s="39">
        <v>0</v>
      </c>
      <c r="BA160" s="39">
        <v>0</v>
      </c>
      <c r="BB160" s="39">
        <v>0</v>
      </c>
      <c r="BC160" s="39">
        <v>0</v>
      </c>
    </row>
    <row r="161" spans="3:55" hidden="1" outlineLevel="1" x14ac:dyDescent="0.2">
      <c r="C161" s="162" t="str">
        <v>LMA: líneas alquiladas TDM: 34.37</v>
      </c>
      <c r="D161" s="162" t="str">
        <v>LMA PCM Mbytes de tráfico</v>
      </c>
      <c r="E161" s="62">
        <f t="shared" si="52"/>
        <v>0</v>
      </c>
      <c r="F161" s="39">
        <f t="array" ref="F161:BC161">INDEX(RF.Option.Table,MATCH($D161,RF.Option.List,0),)</f>
        <v>0.61906594669117643</v>
      </c>
      <c r="G161" s="39">
        <v>0.31111755371093747</v>
      </c>
      <c r="H161" s="39">
        <v>0.31733398437499999</v>
      </c>
      <c r="I161" s="39">
        <v>0.30470377604166665</v>
      </c>
      <c r="J161" s="39">
        <v>0.31111755371093747</v>
      </c>
      <c r="K161" s="39">
        <v>0.31733398437499999</v>
      </c>
      <c r="L161" s="39">
        <v>0.30470377604166665</v>
      </c>
      <c r="M161" s="39">
        <v>0.74287913602941169</v>
      </c>
      <c r="N161" s="39">
        <v>0.37334106445312498</v>
      </c>
      <c r="O161" s="39">
        <v>0.38080078125</v>
      </c>
      <c r="P161" s="39">
        <v>0.36564453125000002</v>
      </c>
      <c r="Q161" s="39">
        <v>0.37334106445312498</v>
      </c>
      <c r="R161" s="39">
        <v>0.38080078125</v>
      </c>
      <c r="S161" s="39">
        <v>0.36564453125000002</v>
      </c>
      <c r="T161" s="39">
        <v>0.568359375</v>
      </c>
      <c r="U161" s="39">
        <v>0.2841796875</v>
      </c>
      <c r="V161" s="39">
        <v>0.2841796875</v>
      </c>
      <c r="W161" s="39">
        <v>0.2841796875</v>
      </c>
      <c r="X161" s="39">
        <v>0.2841796875</v>
      </c>
      <c r="Y161" s="39">
        <v>0.2841796875</v>
      </c>
      <c r="Z161" s="39">
        <v>0.2841796875</v>
      </c>
      <c r="AA161" s="39">
        <v>7.4101613428943932E-4</v>
      </c>
      <c r="AB161" s="39">
        <v>3.7050806714471966E-4</v>
      </c>
      <c r="AC161" s="39">
        <v>3.7050806714471966E-4</v>
      </c>
      <c r="AD161" s="39">
        <v>2.8417968749999998E-4</v>
      </c>
      <c r="AE161" s="39">
        <v>1.4208984374999999E-4</v>
      </c>
      <c r="AF161" s="39">
        <v>1.4208984374999999E-4</v>
      </c>
      <c r="AG161" s="39">
        <v>8.0474074074074073E-6</v>
      </c>
      <c r="AH161" s="39">
        <v>4.0237037037037036E-6</v>
      </c>
      <c r="AI161" s="39">
        <v>4.0237037037037036E-6</v>
      </c>
      <c r="AJ161" s="39">
        <v>0.7</v>
      </c>
      <c r="AK161" s="39">
        <v>0.75</v>
      </c>
      <c r="AL161" s="39">
        <v>1</v>
      </c>
      <c r="AM161" s="39">
        <v>0</v>
      </c>
      <c r="AN161" s="39">
        <v>0.8</v>
      </c>
      <c r="AO161" s="39">
        <v>0</v>
      </c>
      <c r="AP161" s="39">
        <v>0</v>
      </c>
      <c r="AQ161" s="39">
        <v>0</v>
      </c>
      <c r="AR161" s="39">
        <v>0</v>
      </c>
      <c r="AS161" s="39">
        <v>0</v>
      </c>
      <c r="AT161" s="39">
        <v>0</v>
      </c>
      <c r="AU161" s="39">
        <v>0</v>
      </c>
      <c r="AV161" s="39">
        <v>0</v>
      </c>
      <c r="AW161" s="39">
        <v>0</v>
      </c>
      <c r="AX161" s="39">
        <v>0</v>
      </c>
      <c r="AY161" s="39">
        <v>0</v>
      </c>
      <c r="AZ161" s="39">
        <v>0</v>
      </c>
      <c r="BA161" s="39">
        <v>0</v>
      </c>
      <c r="BB161" s="39">
        <v>0</v>
      </c>
      <c r="BC161" s="39">
        <v>0</v>
      </c>
    </row>
    <row r="162" spans="3:55" hidden="1" outlineLevel="1" x14ac:dyDescent="0.2">
      <c r="C162" s="162" t="str">
        <v>LMA: líneas alquiladas Ethernet: 10</v>
      </c>
      <c r="D162" s="162" t="str">
        <v>LMA IP Mbytes de tráfico</v>
      </c>
      <c r="E162" s="62">
        <f t="shared" si="52"/>
        <v>0</v>
      </c>
      <c r="F162" s="39">
        <f t="array" ref="F162:BC162">INDEX(RF.Option.Table,MATCH($D162,RF.Option.List,0),)</f>
        <v>0.61906594669117643</v>
      </c>
      <c r="G162" s="39">
        <v>0.31111755371093747</v>
      </c>
      <c r="H162" s="39">
        <v>0.31733398437499999</v>
      </c>
      <c r="I162" s="39">
        <v>0.30470377604166665</v>
      </c>
      <c r="J162" s="39">
        <v>0.31111755371093747</v>
      </c>
      <c r="K162" s="39">
        <v>0.31733398437499999</v>
      </c>
      <c r="L162" s="39">
        <v>0.30470377604166665</v>
      </c>
      <c r="M162" s="39">
        <v>0.74287913602941169</v>
      </c>
      <c r="N162" s="39">
        <v>0.37334106445312498</v>
      </c>
      <c r="O162" s="39">
        <v>0.38080078125</v>
      </c>
      <c r="P162" s="39">
        <v>0.36564453125000002</v>
      </c>
      <c r="Q162" s="39">
        <v>0.37334106445312498</v>
      </c>
      <c r="R162" s="39">
        <v>0.38080078125</v>
      </c>
      <c r="S162" s="39">
        <v>0.36564453125000002</v>
      </c>
      <c r="T162" s="39">
        <v>0.568359375</v>
      </c>
      <c r="U162" s="39">
        <v>0.2841796875</v>
      </c>
      <c r="V162" s="39">
        <v>0.2841796875</v>
      </c>
      <c r="W162" s="39">
        <v>0.2841796875</v>
      </c>
      <c r="X162" s="39">
        <v>0.2841796875</v>
      </c>
      <c r="Y162" s="39">
        <v>0.2841796875</v>
      </c>
      <c r="Z162" s="39">
        <v>0.2841796875</v>
      </c>
      <c r="AA162" s="39">
        <v>7.4101613428943932E-4</v>
      </c>
      <c r="AB162" s="39">
        <v>3.7050806714471966E-4</v>
      </c>
      <c r="AC162" s="39">
        <v>3.7050806714471966E-4</v>
      </c>
      <c r="AD162" s="39">
        <v>2.8417968749999998E-4</v>
      </c>
      <c r="AE162" s="39">
        <v>1.4208984374999999E-4</v>
      </c>
      <c r="AF162" s="39">
        <v>1.4208984374999999E-4</v>
      </c>
      <c r="AG162" s="39">
        <v>8.0474074074074073E-6</v>
      </c>
      <c r="AH162" s="39">
        <v>4.0237037037037036E-6</v>
      </c>
      <c r="AI162" s="39">
        <v>4.0237037037037036E-6</v>
      </c>
      <c r="AJ162" s="39">
        <v>0.7</v>
      </c>
      <c r="AK162" s="39">
        <v>0.75</v>
      </c>
      <c r="AL162" s="39">
        <v>1</v>
      </c>
      <c r="AM162" s="39">
        <v>0</v>
      </c>
      <c r="AN162" s="39">
        <v>0.8</v>
      </c>
      <c r="AO162" s="39">
        <v>0</v>
      </c>
      <c r="AP162" s="39">
        <v>0</v>
      </c>
      <c r="AQ162" s="39">
        <v>0</v>
      </c>
      <c r="AR162" s="39">
        <v>0</v>
      </c>
      <c r="AS162" s="39">
        <v>0</v>
      </c>
      <c r="AT162" s="39">
        <v>0</v>
      </c>
      <c r="AU162" s="39">
        <v>0</v>
      </c>
      <c r="AV162" s="39">
        <v>0</v>
      </c>
      <c r="AW162" s="39">
        <v>0</v>
      </c>
      <c r="AX162" s="39">
        <v>0</v>
      </c>
      <c r="AY162" s="39">
        <v>0</v>
      </c>
      <c r="AZ162" s="39">
        <v>0</v>
      </c>
      <c r="BA162" s="39">
        <v>0</v>
      </c>
      <c r="BB162" s="39">
        <v>0</v>
      </c>
      <c r="BC162" s="39">
        <v>0</v>
      </c>
    </row>
    <row r="163" spans="3:55" hidden="1" outlineLevel="1" x14ac:dyDescent="0.2">
      <c r="C163" s="162" t="str">
        <v>LMA: líneas alquiladas Ethernet: 30</v>
      </c>
      <c r="D163" s="162" t="str">
        <v>LMA IP Mbytes de tráfico</v>
      </c>
      <c r="E163" s="62">
        <f t="shared" si="52"/>
        <v>0</v>
      </c>
      <c r="F163" s="39">
        <f t="array" ref="F163:BC163">INDEX(RF.Option.Table,MATCH($D163,RF.Option.List,0),)</f>
        <v>0.61906594669117643</v>
      </c>
      <c r="G163" s="39">
        <v>0.31111755371093747</v>
      </c>
      <c r="H163" s="39">
        <v>0.31733398437499999</v>
      </c>
      <c r="I163" s="39">
        <v>0.30470377604166665</v>
      </c>
      <c r="J163" s="39">
        <v>0.31111755371093747</v>
      </c>
      <c r="K163" s="39">
        <v>0.31733398437499999</v>
      </c>
      <c r="L163" s="39">
        <v>0.30470377604166665</v>
      </c>
      <c r="M163" s="39">
        <v>0.74287913602941169</v>
      </c>
      <c r="N163" s="39">
        <v>0.37334106445312498</v>
      </c>
      <c r="O163" s="39">
        <v>0.38080078125</v>
      </c>
      <c r="P163" s="39">
        <v>0.36564453125000002</v>
      </c>
      <c r="Q163" s="39">
        <v>0.37334106445312498</v>
      </c>
      <c r="R163" s="39">
        <v>0.38080078125</v>
      </c>
      <c r="S163" s="39">
        <v>0.36564453125000002</v>
      </c>
      <c r="T163" s="39">
        <v>0.568359375</v>
      </c>
      <c r="U163" s="39">
        <v>0.2841796875</v>
      </c>
      <c r="V163" s="39">
        <v>0.2841796875</v>
      </c>
      <c r="W163" s="39">
        <v>0.2841796875</v>
      </c>
      <c r="X163" s="39">
        <v>0.2841796875</v>
      </c>
      <c r="Y163" s="39">
        <v>0.2841796875</v>
      </c>
      <c r="Z163" s="39">
        <v>0.2841796875</v>
      </c>
      <c r="AA163" s="39">
        <v>7.4101613428943932E-4</v>
      </c>
      <c r="AB163" s="39">
        <v>3.7050806714471966E-4</v>
      </c>
      <c r="AC163" s="39">
        <v>3.7050806714471966E-4</v>
      </c>
      <c r="AD163" s="39">
        <v>2.8417968749999998E-4</v>
      </c>
      <c r="AE163" s="39">
        <v>1.4208984374999999E-4</v>
      </c>
      <c r="AF163" s="39">
        <v>1.4208984374999999E-4</v>
      </c>
      <c r="AG163" s="39">
        <v>8.0474074074074073E-6</v>
      </c>
      <c r="AH163" s="39">
        <v>4.0237037037037036E-6</v>
      </c>
      <c r="AI163" s="39">
        <v>4.0237037037037036E-6</v>
      </c>
      <c r="AJ163" s="39">
        <v>0.7</v>
      </c>
      <c r="AK163" s="39">
        <v>0.75</v>
      </c>
      <c r="AL163" s="39">
        <v>1</v>
      </c>
      <c r="AM163" s="39">
        <v>0</v>
      </c>
      <c r="AN163" s="39">
        <v>0.8</v>
      </c>
      <c r="AO163" s="39">
        <v>0</v>
      </c>
      <c r="AP163" s="39">
        <v>0</v>
      </c>
      <c r="AQ163" s="39">
        <v>0</v>
      </c>
      <c r="AR163" s="39">
        <v>0</v>
      </c>
      <c r="AS163" s="39">
        <v>0</v>
      </c>
      <c r="AT163" s="39">
        <v>0</v>
      </c>
      <c r="AU163" s="39">
        <v>0</v>
      </c>
      <c r="AV163" s="39">
        <v>0</v>
      </c>
      <c r="AW163" s="39">
        <v>0</v>
      </c>
      <c r="AX163" s="39">
        <v>0</v>
      </c>
      <c r="AY163" s="39">
        <v>0</v>
      </c>
      <c r="AZ163" s="39">
        <v>0</v>
      </c>
      <c r="BA163" s="39">
        <v>0</v>
      </c>
      <c r="BB163" s="39">
        <v>0</v>
      </c>
      <c r="BC163" s="39">
        <v>0</v>
      </c>
    </row>
    <row r="164" spans="3:55" hidden="1" outlineLevel="1" x14ac:dyDescent="0.2">
      <c r="C164" s="162" t="str">
        <v>LMA: líneas alquiladas Ethernet: 100</v>
      </c>
      <c r="D164" s="162" t="str">
        <v>LMA IP Mbytes de tráfico</v>
      </c>
      <c r="E164" s="62">
        <f t="shared" si="52"/>
        <v>0</v>
      </c>
      <c r="F164" s="39">
        <f t="array" ref="F164:BC164">INDEX(RF.Option.Table,MATCH($D164,RF.Option.List,0),)</f>
        <v>0.61906594669117643</v>
      </c>
      <c r="G164" s="39">
        <v>0.31111755371093747</v>
      </c>
      <c r="H164" s="39">
        <v>0.31733398437499999</v>
      </c>
      <c r="I164" s="39">
        <v>0.30470377604166665</v>
      </c>
      <c r="J164" s="39">
        <v>0.31111755371093747</v>
      </c>
      <c r="K164" s="39">
        <v>0.31733398437499999</v>
      </c>
      <c r="L164" s="39">
        <v>0.30470377604166665</v>
      </c>
      <c r="M164" s="39">
        <v>0.74287913602941169</v>
      </c>
      <c r="N164" s="39">
        <v>0.37334106445312498</v>
      </c>
      <c r="O164" s="39">
        <v>0.38080078125</v>
      </c>
      <c r="P164" s="39">
        <v>0.36564453125000002</v>
      </c>
      <c r="Q164" s="39">
        <v>0.37334106445312498</v>
      </c>
      <c r="R164" s="39">
        <v>0.38080078125</v>
      </c>
      <c r="S164" s="39">
        <v>0.36564453125000002</v>
      </c>
      <c r="T164" s="39">
        <v>0.568359375</v>
      </c>
      <c r="U164" s="39">
        <v>0.2841796875</v>
      </c>
      <c r="V164" s="39">
        <v>0.2841796875</v>
      </c>
      <c r="W164" s="39">
        <v>0.2841796875</v>
      </c>
      <c r="X164" s="39">
        <v>0.2841796875</v>
      </c>
      <c r="Y164" s="39">
        <v>0.2841796875</v>
      </c>
      <c r="Z164" s="39">
        <v>0.2841796875</v>
      </c>
      <c r="AA164" s="39">
        <v>7.4101613428943932E-4</v>
      </c>
      <c r="AB164" s="39">
        <v>3.7050806714471966E-4</v>
      </c>
      <c r="AC164" s="39">
        <v>3.7050806714471966E-4</v>
      </c>
      <c r="AD164" s="39">
        <v>2.8417968749999998E-4</v>
      </c>
      <c r="AE164" s="39">
        <v>1.4208984374999999E-4</v>
      </c>
      <c r="AF164" s="39">
        <v>1.4208984374999999E-4</v>
      </c>
      <c r="AG164" s="39">
        <v>8.0474074074074073E-6</v>
      </c>
      <c r="AH164" s="39">
        <v>4.0237037037037036E-6</v>
      </c>
      <c r="AI164" s="39">
        <v>4.0237037037037036E-6</v>
      </c>
      <c r="AJ164" s="39">
        <v>0.7</v>
      </c>
      <c r="AK164" s="39">
        <v>0.75</v>
      </c>
      <c r="AL164" s="39">
        <v>1</v>
      </c>
      <c r="AM164" s="39">
        <v>0</v>
      </c>
      <c r="AN164" s="39">
        <v>0.8</v>
      </c>
      <c r="AO164" s="39">
        <v>0</v>
      </c>
      <c r="AP164" s="39">
        <v>0</v>
      </c>
      <c r="AQ164" s="39">
        <v>0</v>
      </c>
      <c r="AR164" s="39">
        <v>0</v>
      </c>
      <c r="AS164" s="39">
        <v>0</v>
      </c>
      <c r="AT164" s="39">
        <v>0</v>
      </c>
      <c r="AU164" s="39">
        <v>0</v>
      </c>
      <c r="AV164" s="39">
        <v>0</v>
      </c>
      <c r="AW164" s="39">
        <v>0</v>
      </c>
      <c r="AX164" s="39">
        <v>0</v>
      </c>
      <c r="AY164" s="39">
        <v>0</v>
      </c>
      <c r="AZ164" s="39">
        <v>0</v>
      </c>
      <c r="BA164" s="39">
        <v>0</v>
      </c>
      <c r="BB164" s="39">
        <v>0</v>
      </c>
      <c r="BC164" s="39">
        <v>0</v>
      </c>
    </row>
    <row r="165" spans="3:55" hidden="1" outlineLevel="1" x14ac:dyDescent="0.2">
      <c r="C165" s="162" t="str">
        <v>LMA: enlace microondas TDM: 2.048</v>
      </c>
      <c r="D165" s="162" t="str">
        <v>LMA PCM Mbytes de tráfico</v>
      </c>
      <c r="E165" s="62">
        <f t="shared" si="52"/>
        <v>0</v>
      </c>
      <c r="F165" s="39">
        <f t="array" ref="F165:BC165">INDEX(RF.Option.Table,MATCH($D165,RF.Option.List,0),)</f>
        <v>0.61906594669117643</v>
      </c>
      <c r="G165" s="39">
        <v>0.31111755371093747</v>
      </c>
      <c r="H165" s="39">
        <v>0.31733398437499999</v>
      </c>
      <c r="I165" s="39">
        <v>0.30470377604166665</v>
      </c>
      <c r="J165" s="39">
        <v>0.31111755371093747</v>
      </c>
      <c r="K165" s="39">
        <v>0.31733398437499999</v>
      </c>
      <c r="L165" s="39">
        <v>0.30470377604166665</v>
      </c>
      <c r="M165" s="39">
        <v>0.74287913602941169</v>
      </c>
      <c r="N165" s="39">
        <v>0.37334106445312498</v>
      </c>
      <c r="O165" s="39">
        <v>0.38080078125</v>
      </c>
      <c r="P165" s="39">
        <v>0.36564453125000002</v>
      </c>
      <c r="Q165" s="39">
        <v>0.37334106445312498</v>
      </c>
      <c r="R165" s="39">
        <v>0.38080078125</v>
      </c>
      <c r="S165" s="39">
        <v>0.36564453125000002</v>
      </c>
      <c r="T165" s="39">
        <v>0.568359375</v>
      </c>
      <c r="U165" s="39">
        <v>0.2841796875</v>
      </c>
      <c r="V165" s="39">
        <v>0.2841796875</v>
      </c>
      <c r="W165" s="39">
        <v>0.2841796875</v>
      </c>
      <c r="X165" s="39">
        <v>0.2841796875</v>
      </c>
      <c r="Y165" s="39">
        <v>0.2841796875</v>
      </c>
      <c r="Z165" s="39">
        <v>0.2841796875</v>
      </c>
      <c r="AA165" s="39">
        <v>7.4101613428943932E-4</v>
      </c>
      <c r="AB165" s="39">
        <v>3.7050806714471966E-4</v>
      </c>
      <c r="AC165" s="39">
        <v>3.7050806714471966E-4</v>
      </c>
      <c r="AD165" s="39">
        <v>2.8417968749999998E-4</v>
      </c>
      <c r="AE165" s="39">
        <v>1.4208984374999999E-4</v>
      </c>
      <c r="AF165" s="39">
        <v>1.4208984374999999E-4</v>
      </c>
      <c r="AG165" s="39">
        <v>8.0474074074074073E-6</v>
      </c>
      <c r="AH165" s="39">
        <v>4.0237037037037036E-6</v>
      </c>
      <c r="AI165" s="39">
        <v>4.0237037037037036E-6</v>
      </c>
      <c r="AJ165" s="39">
        <v>0.7</v>
      </c>
      <c r="AK165" s="39">
        <v>0.75</v>
      </c>
      <c r="AL165" s="39">
        <v>1</v>
      </c>
      <c r="AM165" s="39">
        <v>0</v>
      </c>
      <c r="AN165" s="39">
        <v>0.8</v>
      </c>
      <c r="AO165" s="39">
        <v>0</v>
      </c>
      <c r="AP165" s="39">
        <v>0</v>
      </c>
      <c r="AQ165" s="39">
        <v>0</v>
      </c>
      <c r="AR165" s="39">
        <v>0</v>
      </c>
      <c r="AS165" s="39">
        <v>0</v>
      </c>
      <c r="AT165" s="39">
        <v>0</v>
      </c>
      <c r="AU165" s="39">
        <v>0</v>
      </c>
      <c r="AV165" s="39">
        <v>0</v>
      </c>
      <c r="AW165" s="39">
        <v>0</v>
      </c>
      <c r="AX165" s="39">
        <v>0</v>
      </c>
      <c r="AY165" s="39">
        <v>0</v>
      </c>
      <c r="AZ165" s="39">
        <v>0</v>
      </c>
      <c r="BA165" s="39">
        <v>0</v>
      </c>
      <c r="BB165" s="39">
        <v>0</v>
      </c>
      <c r="BC165" s="39">
        <v>0</v>
      </c>
    </row>
    <row r="166" spans="3:55" hidden="1" outlineLevel="1" x14ac:dyDescent="0.2">
      <c r="C166" s="162" t="str">
        <v>LMA: enlace microondas TDM: 8.45</v>
      </c>
      <c r="D166" s="162" t="str">
        <v>LMA PCM Mbytes de tráfico</v>
      </c>
      <c r="E166" s="62">
        <f t="shared" si="52"/>
        <v>0</v>
      </c>
      <c r="F166" s="39">
        <f t="array" ref="F166:BC166">INDEX(RF.Option.Table,MATCH($D166,RF.Option.List,0),)</f>
        <v>0.61906594669117643</v>
      </c>
      <c r="G166" s="39">
        <v>0.31111755371093747</v>
      </c>
      <c r="H166" s="39">
        <v>0.31733398437499999</v>
      </c>
      <c r="I166" s="39">
        <v>0.30470377604166665</v>
      </c>
      <c r="J166" s="39">
        <v>0.31111755371093747</v>
      </c>
      <c r="K166" s="39">
        <v>0.31733398437499999</v>
      </c>
      <c r="L166" s="39">
        <v>0.30470377604166665</v>
      </c>
      <c r="M166" s="39">
        <v>0.74287913602941169</v>
      </c>
      <c r="N166" s="39">
        <v>0.37334106445312498</v>
      </c>
      <c r="O166" s="39">
        <v>0.38080078125</v>
      </c>
      <c r="P166" s="39">
        <v>0.36564453125000002</v>
      </c>
      <c r="Q166" s="39">
        <v>0.37334106445312498</v>
      </c>
      <c r="R166" s="39">
        <v>0.38080078125</v>
      </c>
      <c r="S166" s="39">
        <v>0.36564453125000002</v>
      </c>
      <c r="T166" s="39">
        <v>0.568359375</v>
      </c>
      <c r="U166" s="39">
        <v>0.2841796875</v>
      </c>
      <c r="V166" s="39">
        <v>0.2841796875</v>
      </c>
      <c r="W166" s="39">
        <v>0.2841796875</v>
      </c>
      <c r="X166" s="39">
        <v>0.2841796875</v>
      </c>
      <c r="Y166" s="39">
        <v>0.2841796875</v>
      </c>
      <c r="Z166" s="39">
        <v>0.2841796875</v>
      </c>
      <c r="AA166" s="39">
        <v>7.4101613428943932E-4</v>
      </c>
      <c r="AB166" s="39">
        <v>3.7050806714471966E-4</v>
      </c>
      <c r="AC166" s="39">
        <v>3.7050806714471966E-4</v>
      </c>
      <c r="AD166" s="39">
        <v>2.8417968749999998E-4</v>
      </c>
      <c r="AE166" s="39">
        <v>1.4208984374999999E-4</v>
      </c>
      <c r="AF166" s="39">
        <v>1.4208984374999999E-4</v>
      </c>
      <c r="AG166" s="39">
        <v>8.0474074074074073E-6</v>
      </c>
      <c r="AH166" s="39">
        <v>4.0237037037037036E-6</v>
      </c>
      <c r="AI166" s="39">
        <v>4.0237037037037036E-6</v>
      </c>
      <c r="AJ166" s="39">
        <v>0.7</v>
      </c>
      <c r="AK166" s="39">
        <v>0.75</v>
      </c>
      <c r="AL166" s="39">
        <v>1</v>
      </c>
      <c r="AM166" s="39">
        <v>0</v>
      </c>
      <c r="AN166" s="39">
        <v>0.8</v>
      </c>
      <c r="AO166" s="39">
        <v>0</v>
      </c>
      <c r="AP166" s="39">
        <v>0</v>
      </c>
      <c r="AQ166" s="39">
        <v>0</v>
      </c>
      <c r="AR166" s="39">
        <v>0</v>
      </c>
      <c r="AS166" s="39">
        <v>0</v>
      </c>
      <c r="AT166" s="39">
        <v>0</v>
      </c>
      <c r="AU166" s="39">
        <v>0</v>
      </c>
      <c r="AV166" s="39">
        <v>0</v>
      </c>
      <c r="AW166" s="39">
        <v>0</v>
      </c>
      <c r="AX166" s="39">
        <v>0</v>
      </c>
      <c r="AY166" s="39">
        <v>0</v>
      </c>
      <c r="AZ166" s="39">
        <v>0</v>
      </c>
      <c r="BA166" s="39">
        <v>0</v>
      </c>
      <c r="BB166" s="39">
        <v>0</v>
      </c>
      <c r="BC166" s="39">
        <v>0</v>
      </c>
    </row>
    <row r="167" spans="3:55" hidden="1" outlineLevel="1" x14ac:dyDescent="0.2">
      <c r="C167" s="162" t="str">
        <v>LMA: enlace microondas TDM: 34.37</v>
      </c>
      <c r="D167" s="162" t="str">
        <v>LMA PCM Mbytes de tráfico</v>
      </c>
      <c r="E167" s="62">
        <f t="shared" si="52"/>
        <v>0</v>
      </c>
      <c r="F167" s="39">
        <f t="array" ref="F167:BC167">INDEX(RF.Option.Table,MATCH($D167,RF.Option.List,0),)</f>
        <v>0.61906594669117643</v>
      </c>
      <c r="G167" s="39">
        <v>0.31111755371093747</v>
      </c>
      <c r="H167" s="39">
        <v>0.31733398437499999</v>
      </c>
      <c r="I167" s="39">
        <v>0.30470377604166665</v>
      </c>
      <c r="J167" s="39">
        <v>0.31111755371093747</v>
      </c>
      <c r="K167" s="39">
        <v>0.31733398437499999</v>
      </c>
      <c r="L167" s="39">
        <v>0.30470377604166665</v>
      </c>
      <c r="M167" s="39">
        <v>0.74287913602941169</v>
      </c>
      <c r="N167" s="39">
        <v>0.37334106445312498</v>
      </c>
      <c r="O167" s="39">
        <v>0.38080078125</v>
      </c>
      <c r="P167" s="39">
        <v>0.36564453125000002</v>
      </c>
      <c r="Q167" s="39">
        <v>0.37334106445312498</v>
      </c>
      <c r="R167" s="39">
        <v>0.38080078125</v>
      </c>
      <c r="S167" s="39">
        <v>0.36564453125000002</v>
      </c>
      <c r="T167" s="39">
        <v>0.568359375</v>
      </c>
      <c r="U167" s="39">
        <v>0.2841796875</v>
      </c>
      <c r="V167" s="39">
        <v>0.2841796875</v>
      </c>
      <c r="W167" s="39">
        <v>0.2841796875</v>
      </c>
      <c r="X167" s="39">
        <v>0.2841796875</v>
      </c>
      <c r="Y167" s="39">
        <v>0.2841796875</v>
      </c>
      <c r="Z167" s="39">
        <v>0.2841796875</v>
      </c>
      <c r="AA167" s="39">
        <v>7.4101613428943932E-4</v>
      </c>
      <c r="AB167" s="39">
        <v>3.7050806714471966E-4</v>
      </c>
      <c r="AC167" s="39">
        <v>3.7050806714471966E-4</v>
      </c>
      <c r="AD167" s="39">
        <v>2.8417968749999998E-4</v>
      </c>
      <c r="AE167" s="39">
        <v>1.4208984374999999E-4</v>
      </c>
      <c r="AF167" s="39">
        <v>1.4208984374999999E-4</v>
      </c>
      <c r="AG167" s="39">
        <v>8.0474074074074073E-6</v>
      </c>
      <c r="AH167" s="39">
        <v>4.0237037037037036E-6</v>
      </c>
      <c r="AI167" s="39">
        <v>4.0237037037037036E-6</v>
      </c>
      <c r="AJ167" s="39">
        <v>0.7</v>
      </c>
      <c r="AK167" s="39">
        <v>0.75</v>
      </c>
      <c r="AL167" s="39">
        <v>1</v>
      </c>
      <c r="AM167" s="39">
        <v>0</v>
      </c>
      <c r="AN167" s="39">
        <v>0.8</v>
      </c>
      <c r="AO167" s="39">
        <v>0</v>
      </c>
      <c r="AP167" s="39">
        <v>0</v>
      </c>
      <c r="AQ167" s="39">
        <v>0</v>
      </c>
      <c r="AR167" s="39">
        <v>0</v>
      </c>
      <c r="AS167" s="39">
        <v>0</v>
      </c>
      <c r="AT167" s="39">
        <v>0</v>
      </c>
      <c r="AU167" s="39">
        <v>0</v>
      </c>
      <c r="AV167" s="39">
        <v>0</v>
      </c>
      <c r="AW167" s="39">
        <v>0</v>
      </c>
      <c r="AX167" s="39">
        <v>0</v>
      </c>
      <c r="AY167" s="39">
        <v>0</v>
      </c>
      <c r="AZ167" s="39">
        <v>0</v>
      </c>
      <c r="BA167" s="39">
        <v>0</v>
      </c>
      <c r="BB167" s="39">
        <v>0</v>
      </c>
      <c r="BC167" s="39">
        <v>0</v>
      </c>
    </row>
    <row r="168" spans="3:55" hidden="1" outlineLevel="1" x14ac:dyDescent="0.2">
      <c r="C168" s="162" t="str">
        <v>LMA: enlace microondas Ethernet: 10</v>
      </c>
      <c r="D168" s="162" t="str">
        <v>LMA IP Mbytes de tráfico</v>
      </c>
      <c r="E168" s="62">
        <f t="shared" si="52"/>
        <v>0</v>
      </c>
      <c r="F168" s="39">
        <f t="array" ref="F168:BC168">INDEX(RF.Option.Table,MATCH($D168,RF.Option.List,0),)</f>
        <v>0.61906594669117643</v>
      </c>
      <c r="G168" s="39">
        <v>0.31111755371093747</v>
      </c>
      <c r="H168" s="39">
        <v>0.31733398437499999</v>
      </c>
      <c r="I168" s="39">
        <v>0.30470377604166665</v>
      </c>
      <c r="J168" s="39">
        <v>0.31111755371093747</v>
      </c>
      <c r="K168" s="39">
        <v>0.31733398437499999</v>
      </c>
      <c r="L168" s="39">
        <v>0.30470377604166665</v>
      </c>
      <c r="M168" s="39">
        <v>0.74287913602941169</v>
      </c>
      <c r="N168" s="39">
        <v>0.37334106445312498</v>
      </c>
      <c r="O168" s="39">
        <v>0.38080078125</v>
      </c>
      <c r="P168" s="39">
        <v>0.36564453125000002</v>
      </c>
      <c r="Q168" s="39">
        <v>0.37334106445312498</v>
      </c>
      <c r="R168" s="39">
        <v>0.38080078125</v>
      </c>
      <c r="S168" s="39">
        <v>0.36564453125000002</v>
      </c>
      <c r="T168" s="39">
        <v>0.568359375</v>
      </c>
      <c r="U168" s="39">
        <v>0.2841796875</v>
      </c>
      <c r="V168" s="39">
        <v>0.2841796875</v>
      </c>
      <c r="W168" s="39">
        <v>0.2841796875</v>
      </c>
      <c r="X168" s="39">
        <v>0.2841796875</v>
      </c>
      <c r="Y168" s="39">
        <v>0.2841796875</v>
      </c>
      <c r="Z168" s="39">
        <v>0.2841796875</v>
      </c>
      <c r="AA168" s="39">
        <v>7.4101613428943932E-4</v>
      </c>
      <c r="AB168" s="39">
        <v>3.7050806714471966E-4</v>
      </c>
      <c r="AC168" s="39">
        <v>3.7050806714471966E-4</v>
      </c>
      <c r="AD168" s="39">
        <v>2.8417968749999998E-4</v>
      </c>
      <c r="AE168" s="39">
        <v>1.4208984374999999E-4</v>
      </c>
      <c r="AF168" s="39">
        <v>1.4208984374999999E-4</v>
      </c>
      <c r="AG168" s="39">
        <v>8.0474074074074073E-6</v>
      </c>
      <c r="AH168" s="39">
        <v>4.0237037037037036E-6</v>
      </c>
      <c r="AI168" s="39">
        <v>4.0237037037037036E-6</v>
      </c>
      <c r="AJ168" s="39">
        <v>0.7</v>
      </c>
      <c r="AK168" s="39">
        <v>0.75</v>
      </c>
      <c r="AL168" s="39">
        <v>1</v>
      </c>
      <c r="AM168" s="39">
        <v>0</v>
      </c>
      <c r="AN168" s="39">
        <v>0.8</v>
      </c>
      <c r="AO168" s="39">
        <v>0</v>
      </c>
      <c r="AP168" s="39">
        <v>0</v>
      </c>
      <c r="AQ168" s="39">
        <v>0</v>
      </c>
      <c r="AR168" s="39">
        <v>0</v>
      </c>
      <c r="AS168" s="39">
        <v>0</v>
      </c>
      <c r="AT168" s="39">
        <v>0</v>
      </c>
      <c r="AU168" s="39">
        <v>0</v>
      </c>
      <c r="AV168" s="39">
        <v>0</v>
      </c>
      <c r="AW168" s="39">
        <v>0</v>
      </c>
      <c r="AX168" s="39">
        <v>0</v>
      </c>
      <c r="AY168" s="39">
        <v>0</v>
      </c>
      <c r="AZ168" s="39">
        <v>0</v>
      </c>
      <c r="BA168" s="39">
        <v>0</v>
      </c>
      <c r="BB168" s="39">
        <v>0</v>
      </c>
      <c r="BC168" s="39">
        <v>0</v>
      </c>
    </row>
    <row r="169" spans="3:55" hidden="1" outlineLevel="1" x14ac:dyDescent="0.2">
      <c r="C169" s="162" t="str">
        <v>LMA: enlace microondas Ethernet: 30</v>
      </c>
      <c r="D169" s="162" t="str">
        <v>LMA IP Mbytes de tráfico</v>
      </c>
      <c r="E169" s="62">
        <f t="shared" si="52"/>
        <v>0</v>
      </c>
      <c r="F169" s="39">
        <f t="array" ref="F169:BC169">INDEX(RF.Option.Table,MATCH($D169,RF.Option.List,0),)</f>
        <v>0.61906594669117643</v>
      </c>
      <c r="G169" s="39">
        <v>0.31111755371093747</v>
      </c>
      <c r="H169" s="39">
        <v>0.31733398437499999</v>
      </c>
      <c r="I169" s="39">
        <v>0.30470377604166665</v>
      </c>
      <c r="J169" s="39">
        <v>0.31111755371093747</v>
      </c>
      <c r="K169" s="39">
        <v>0.31733398437499999</v>
      </c>
      <c r="L169" s="39">
        <v>0.30470377604166665</v>
      </c>
      <c r="M169" s="39">
        <v>0.74287913602941169</v>
      </c>
      <c r="N169" s="39">
        <v>0.37334106445312498</v>
      </c>
      <c r="O169" s="39">
        <v>0.38080078125</v>
      </c>
      <c r="P169" s="39">
        <v>0.36564453125000002</v>
      </c>
      <c r="Q169" s="39">
        <v>0.37334106445312498</v>
      </c>
      <c r="R169" s="39">
        <v>0.38080078125</v>
      </c>
      <c r="S169" s="39">
        <v>0.36564453125000002</v>
      </c>
      <c r="T169" s="39">
        <v>0.568359375</v>
      </c>
      <c r="U169" s="39">
        <v>0.2841796875</v>
      </c>
      <c r="V169" s="39">
        <v>0.2841796875</v>
      </c>
      <c r="W169" s="39">
        <v>0.2841796875</v>
      </c>
      <c r="X169" s="39">
        <v>0.2841796875</v>
      </c>
      <c r="Y169" s="39">
        <v>0.2841796875</v>
      </c>
      <c r="Z169" s="39">
        <v>0.2841796875</v>
      </c>
      <c r="AA169" s="39">
        <v>7.4101613428943932E-4</v>
      </c>
      <c r="AB169" s="39">
        <v>3.7050806714471966E-4</v>
      </c>
      <c r="AC169" s="39">
        <v>3.7050806714471966E-4</v>
      </c>
      <c r="AD169" s="39">
        <v>2.8417968749999998E-4</v>
      </c>
      <c r="AE169" s="39">
        <v>1.4208984374999999E-4</v>
      </c>
      <c r="AF169" s="39">
        <v>1.4208984374999999E-4</v>
      </c>
      <c r="AG169" s="39">
        <v>8.0474074074074073E-6</v>
      </c>
      <c r="AH169" s="39">
        <v>4.0237037037037036E-6</v>
      </c>
      <c r="AI169" s="39">
        <v>4.0237037037037036E-6</v>
      </c>
      <c r="AJ169" s="39">
        <v>0.7</v>
      </c>
      <c r="AK169" s="39">
        <v>0.75</v>
      </c>
      <c r="AL169" s="39">
        <v>1</v>
      </c>
      <c r="AM169" s="39">
        <v>0</v>
      </c>
      <c r="AN169" s="39">
        <v>0.8</v>
      </c>
      <c r="AO169" s="39">
        <v>0</v>
      </c>
      <c r="AP169" s="39">
        <v>0</v>
      </c>
      <c r="AQ169" s="39">
        <v>0</v>
      </c>
      <c r="AR169" s="39">
        <v>0</v>
      </c>
      <c r="AS169" s="39">
        <v>0</v>
      </c>
      <c r="AT169" s="39">
        <v>0</v>
      </c>
      <c r="AU169" s="39">
        <v>0</v>
      </c>
      <c r="AV169" s="39">
        <v>0</v>
      </c>
      <c r="AW169" s="39">
        <v>0</v>
      </c>
      <c r="AX169" s="39">
        <v>0</v>
      </c>
      <c r="AY169" s="39">
        <v>0</v>
      </c>
      <c r="AZ169" s="39">
        <v>0</v>
      </c>
      <c r="BA169" s="39">
        <v>0</v>
      </c>
      <c r="BB169" s="39">
        <v>0</v>
      </c>
      <c r="BC169" s="39">
        <v>0</v>
      </c>
    </row>
    <row r="170" spans="3:55" hidden="1" outlineLevel="1" x14ac:dyDescent="0.2">
      <c r="C170" s="162" t="str">
        <v>LMA: enlace microondas Ethernet: 100</v>
      </c>
      <c r="D170" s="162" t="str">
        <v>LMA IP Mbytes de tráfico</v>
      </c>
      <c r="E170" s="62">
        <f t="shared" si="52"/>
        <v>0</v>
      </c>
      <c r="F170" s="39">
        <f t="array" ref="F170:BC170">INDEX(RF.Option.Table,MATCH($D170,RF.Option.List,0),)</f>
        <v>0.61906594669117643</v>
      </c>
      <c r="G170" s="39">
        <v>0.31111755371093747</v>
      </c>
      <c r="H170" s="39">
        <v>0.31733398437499999</v>
      </c>
      <c r="I170" s="39">
        <v>0.30470377604166665</v>
      </c>
      <c r="J170" s="39">
        <v>0.31111755371093747</v>
      </c>
      <c r="K170" s="39">
        <v>0.31733398437499999</v>
      </c>
      <c r="L170" s="39">
        <v>0.30470377604166665</v>
      </c>
      <c r="M170" s="39">
        <v>0.74287913602941169</v>
      </c>
      <c r="N170" s="39">
        <v>0.37334106445312498</v>
      </c>
      <c r="O170" s="39">
        <v>0.38080078125</v>
      </c>
      <c r="P170" s="39">
        <v>0.36564453125000002</v>
      </c>
      <c r="Q170" s="39">
        <v>0.37334106445312498</v>
      </c>
      <c r="R170" s="39">
        <v>0.38080078125</v>
      </c>
      <c r="S170" s="39">
        <v>0.36564453125000002</v>
      </c>
      <c r="T170" s="39">
        <v>0.568359375</v>
      </c>
      <c r="U170" s="39">
        <v>0.2841796875</v>
      </c>
      <c r="V170" s="39">
        <v>0.2841796875</v>
      </c>
      <c r="W170" s="39">
        <v>0.2841796875</v>
      </c>
      <c r="X170" s="39">
        <v>0.2841796875</v>
      </c>
      <c r="Y170" s="39">
        <v>0.2841796875</v>
      </c>
      <c r="Z170" s="39">
        <v>0.2841796875</v>
      </c>
      <c r="AA170" s="39">
        <v>7.4101613428943932E-4</v>
      </c>
      <c r="AB170" s="39">
        <v>3.7050806714471966E-4</v>
      </c>
      <c r="AC170" s="39">
        <v>3.7050806714471966E-4</v>
      </c>
      <c r="AD170" s="39">
        <v>2.8417968749999998E-4</v>
      </c>
      <c r="AE170" s="39">
        <v>1.4208984374999999E-4</v>
      </c>
      <c r="AF170" s="39">
        <v>1.4208984374999999E-4</v>
      </c>
      <c r="AG170" s="39">
        <v>8.0474074074074073E-6</v>
      </c>
      <c r="AH170" s="39">
        <v>4.0237037037037036E-6</v>
      </c>
      <c r="AI170" s="39">
        <v>4.0237037037037036E-6</v>
      </c>
      <c r="AJ170" s="39">
        <v>0.7</v>
      </c>
      <c r="AK170" s="39">
        <v>0.75</v>
      </c>
      <c r="AL170" s="39">
        <v>1</v>
      </c>
      <c r="AM170" s="39">
        <v>0</v>
      </c>
      <c r="AN170" s="39">
        <v>0.8</v>
      </c>
      <c r="AO170" s="39">
        <v>0</v>
      </c>
      <c r="AP170" s="39">
        <v>0</v>
      </c>
      <c r="AQ170" s="39">
        <v>0</v>
      </c>
      <c r="AR170" s="39">
        <v>0</v>
      </c>
      <c r="AS170" s="39">
        <v>0</v>
      </c>
      <c r="AT170" s="39">
        <v>0</v>
      </c>
      <c r="AU170" s="39">
        <v>0</v>
      </c>
      <c r="AV170" s="39">
        <v>0</v>
      </c>
      <c r="AW170" s="39">
        <v>0</v>
      </c>
      <c r="AX170" s="39">
        <v>0</v>
      </c>
      <c r="AY170" s="39">
        <v>0</v>
      </c>
      <c r="AZ170" s="39">
        <v>0</v>
      </c>
      <c r="BA170" s="39">
        <v>0</v>
      </c>
      <c r="BB170" s="39">
        <v>0</v>
      </c>
      <c r="BC170" s="39">
        <v>0</v>
      </c>
    </row>
    <row r="171" spans="3:55" hidden="1" outlineLevel="1" x14ac:dyDescent="0.2">
      <c r="C171" s="162" t="str">
        <v>LMA: enlace de fibra propia</v>
      </c>
      <c r="D171" s="162" t="str">
        <v>LMA IP Mbytes de tráfico</v>
      </c>
      <c r="E171" s="62">
        <f t="shared" si="52"/>
        <v>0</v>
      </c>
      <c r="F171" s="39">
        <f t="array" ref="F171:BC171">INDEX(RF.Option.Table,MATCH($D171,RF.Option.List,0),)</f>
        <v>0.61906594669117643</v>
      </c>
      <c r="G171" s="39">
        <v>0.31111755371093747</v>
      </c>
      <c r="H171" s="39">
        <v>0.31733398437499999</v>
      </c>
      <c r="I171" s="39">
        <v>0.30470377604166665</v>
      </c>
      <c r="J171" s="39">
        <v>0.31111755371093747</v>
      </c>
      <c r="K171" s="39">
        <v>0.31733398437499999</v>
      </c>
      <c r="L171" s="39">
        <v>0.30470377604166665</v>
      </c>
      <c r="M171" s="39">
        <v>0.74287913602941169</v>
      </c>
      <c r="N171" s="39">
        <v>0.37334106445312498</v>
      </c>
      <c r="O171" s="39">
        <v>0.38080078125</v>
      </c>
      <c r="P171" s="39">
        <v>0.36564453125000002</v>
      </c>
      <c r="Q171" s="39">
        <v>0.37334106445312498</v>
      </c>
      <c r="R171" s="39">
        <v>0.38080078125</v>
      </c>
      <c r="S171" s="39">
        <v>0.36564453125000002</v>
      </c>
      <c r="T171" s="39">
        <v>0.568359375</v>
      </c>
      <c r="U171" s="39">
        <v>0.2841796875</v>
      </c>
      <c r="V171" s="39">
        <v>0.2841796875</v>
      </c>
      <c r="W171" s="39">
        <v>0.2841796875</v>
      </c>
      <c r="X171" s="39">
        <v>0.2841796875</v>
      </c>
      <c r="Y171" s="39">
        <v>0.2841796875</v>
      </c>
      <c r="Z171" s="39">
        <v>0.2841796875</v>
      </c>
      <c r="AA171" s="39">
        <v>7.4101613428943932E-4</v>
      </c>
      <c r="AB171" s="39">
        <v>3.7050806714471966E-4</v>
      </c>
      <c r="AC171" s="39">
        <v>3.7050806714471966E-4</v>
      </c>
      <c r="AD171" s="39">
        <v>2.8417968749999998E-4</v>
      </c>
      <c r="AE171" s="39">
        <v>1.4208984374999999E-4</v>
      </c>
      <c r="AF171" s="39">
        <v>1.4208984374999999E-4</v>
      </c>
      <c r="AG171" s="39">
        <v>8.0474074074074073E-6</v>
      </c>
      <c r="AH171" s="39">
        <v>4.0237037037037036E-6</v>
      </c>
      <c r="AI171" s="39">
        <v>4.0237037037037036E-6</v>
      </c>
      <c r="AJ171" s="39">
        <v>0.7</v>
      </c>
      <c r="AK171" s="39">
        <v>0.75</v>
      </c>
      <c r="AL171" s="39">
        <v>1</v>
      </c>
      <c r="AM171" s="39">
        <v>0</v>
      </c>
      <c r="AN171" s="39">
        <v>0.8</v>
      </c>
      <c r="AO171" s="39">
        <v>0</v>
      </c>
      <c r="AP171" s="39">
        <v>0</v>
      </c>
      <c r="AQ171" s="39">
        <v>0</v>
      </c>
      <c r="AR171" s="39">
        <v>0</v>
      </c>
      <c r="AS171" s="39">
        <v>0</v>
      </c>
      <c r="AT171" s="39">
        <v>0</v>
      </c>
      <c r="AU171" s="39">
        <v>0</v>
      </c>
      <c r="AV171" s="39">
        <v>0</v>
      </c>
      <c r="AW171" s="39">
        <v>0</v>
      </c>
      <c r="AX171" s="39">
        <v>0</v>
      </c>
      <c r="AY171" s="39">
        <v>0</v>
      </c>
      <c r="AZ171" s="39">
        <v>0</v>
      </c>
      <c r="BA171" s="39">
        <v>0</v>
      </c>
      <c r="BB171" s="39">
        <v>0</v>
      </c>
      <c r="BC171" s="39">
        <v>0</v>
      </c>
    </row>
    <row r="172" spans="3:55" hidden="1" outlineLevel="1" x14ac:dyDescent="0.2">
      <c r="C172" s="162" t="str">
        <v>Hub to core: línea alquilada TDM:  8.45</v>
      </c>
      <c r="D172" s="162" t="str">
        <v>LMA PCM Mbytes de tráfico</v>
      </c>
      <c r="E172" s="62">
        <f t="shared" si="52"/>
        <v>0</v>
      </c>
      <c r="F172" s="39">
        <f t="array" ref="F172:BC172">INDEX(RF.Option.Table,MATCH($D172,RF.Option.List,0),)</f>
        <v>0.61906594669117643</v>
      </c>
      <c r="G172" s="39">
        <v>0.31111755371093747</v>
      </c>
      <c r="H172" s="39">
        <v>0.31733398437499999</v>
      </c>
      <c r="I172" s="39">
        <v>0.30470377604166665</v>
      </c>
      <c r="J172" s="39">
        <v>0.31111755371093747</v>
      </c>
      <c r="K172" s="39">
        <v>0.31733398437499999</v>
      </c>
      <c r="L172" s="39">
        <v>0.30470377604166665</v>
      </c>
      <c r="M172" s="39">
        <v>0.74287913602941169</v>
      </c>
      <c r="N172" s="39">
        <v>0.37334106445312498</v>
      </c>
      <c r="O172" s="39">
        <v>0.38080078125</v>
      </c>
      <c r="P172" s="39">
        <v>0.36564453125000002</v>
      </c>
      <c r="Q172" s="39">
        <v>0.37334106445312498</v>
      </c>
      <c r="R172" s="39">
        <v>0.38080078125</v>
      </c>
      <c r="S172" s="39">
        <v>0.36564453125000002</v>
      </c>
      <c r="T172" s="39">
        <v>0.568359375</v>
      </c>
      <c r="U172" s="39">
        <v>0.2841796875</v>
      </c>
      <c r="V172" s="39">
        <v>0.2841796875</v>
      </c>
      <c r="W172" s="39">
        <v>0.2841796875</v>
      </c>
      <c r="X172" s="39">
        <v>0.2841796875</v>
      </c>
      <c r="Y172" s="39">
        <v>0.2841796875</v>
      </c>
      <c r="Z172" s="39">
        <v>0.2841796875</v>
      </c>
      <c r="AA172" s="39">
        <v>7.4101613428943932E-4</v>
      </c>
      <c r="AB172" s="39">
        <v>3.7050806714471966E-4</v>
      </c>
      <c r="AC172" s="39">
        <v>3.7050806714471966E-4</v>
      </c>
      <c r="AD172" s="39">
        <v>2.8417968749999998E-4</v>
      </c>
      <c r="AE172" s="39">
        <v>1.4208984374999999E-4</v>
      </c>
      <c r="AF172" s="39">
        <v>1.4208984374999999E-4</v>
      </c>
      <c r="AG172" s="39">
        <v>8.0474074074074073E-6</v>
      </c>
      <c r="AH172" s="39">
        <v>4.0237037037037036E-6</v>
      </c>
      <c r="AI172" s="39">
        <v>4.0237037037037036E-6</v>
      </c>
      <c r="AJ172" s="39">
        <v>0.7</v>
      </c>
      <c r="AK172" s="39">
        <v>0.75</v>
      </c>
      <c r="AL172" s="39">
        <v>1</v>
      </c>
      <c r="AM172" s="39">
        <v>0</v>
      </c>
      <c r="AN172" s="39">
        <v>0.8</v>
      </c>
      <c r="AO172" s="39">
        <v>0</v>
      </c>
      <c r="AP172" s="39">
        <v>0</v>
      </c>
      <c r="AQ172" s="39">
        <v>0</v>
      </c>
      <c r="AR172" s="39">
        <v>0</v>
      </c>
      <c r="AS172" s="39">
        <v>0</v>
      </c>
      <c r="AT172" s="39">
        <v>0</v>
      </c>
      <c r="AU172" s="39">
        <v>0</v>
      </c>
      <c r="AV172" s="39">
        <v>0</v>
      </c>
      <c r="AW172" s="39">
        <v>0</v>
      </c>
      <c r="AX172" s="39">
        <v>0</v>
      </c>
      <c r="AY172" s="39">
        <v>0</v>
      </c>
      <c r="AZ172" s="39">
        <v>0</v>
      </c>
      <c r="BA172" s="39">
        <v>0</v>
      </c>
      <c r="BB172" s="39">
        <v>0</v>
      </c>
      <c r="BC172" s="39">
        <v>0</v>
      </c>
    </row>
    <row r="173" spans="3:55" hidden="1" outlineLevel="1" x14ac:dyDescent="0.2">
      <c r="C173" s="162" t="str">
        <v>Hub to core: línea alquilada TDM:  34.37</v>
      </c>
      <c r="D173" s="162" t="str">
        <v>LMA PCM Mbytes de tráfico</v>
      </c>
      <c r="E173" s="62">
        <f t="shared" si="52"/>
        <v>0</v>
      </c>
      <c r="F173" s="39">
        <f t="array" ref="F173:BC173">INDEX(RF.Option.Table,MATCH($D173,RF.Option.List,0),)</f>
        <v>0.61906594669117643</v>
      </c>
      <c r="G173" s="39">
        <v>0.31111755371093747</v>
      </c>
      <c r="H173" s="39">
        <v>0.31733398437499999</v>
      </c>
      <c r="I173" s="39">
        <v>0.30470377604166665</v>
      </c>
      <c r="J173" s="39">
        <v>0.31111755371093747</v>
      </c>
      <c r="K173" s="39">
        <v>0.31733398437499999</v>
      </c>
      <c r="L173" s="39">
        <v>0.30470377604166665</v>
      </c>
      <c r="M173" s="39">
        <v>0.74287913602941169</v>
      </c>
      <c r="N173" s="39">
        <v>0.37334106445312498</v>
      </c>
      <c r="O173" s="39">
        <v>0.38080078125</v>
      </c>
      <c r="P173" s="39">
        <v>0.36564453125000002</v>
      </c>
      <c r="Q173" s="39">
        <v>0.37334106445312498</v>
      </c>
      <c r="R173" s="39">
        <v>0.38080078125</v>
      </c>
      <c r="S173" s="39">
        <v>0.36564453125000002</v>
      </c>
      <c r="T173" s="39">
        <v>0.568359375</v>
      </c>
      <c r="U173" s="39">
        <v>0.2841796875</v>
      </c>
      <c r="V173" s="39">
        <v>0.2841796875</v>
      </c>
      <c r="W173" s="39">
        <v>0.2841796875</v>
      </c>
      <c r="X173" s="39">
        <v>0.2841796875</v>
      </c>
      <c r="Y173" s="39">
        <v>0.2841796875</v>
      </c>
      <c r="Z173" s="39">
        <v>0.2841796875</v>
      </c>
      <c r="AA173" s="39">
        <v>7.4101613428943932E-4</v>
      </c>
      <c r="AB173" s="39">
        <v>3.7050806714471966E-4</v>
      </c>
      <c r="AC173" s="39">
        <v>3.7050806714471966E-4</v>
      </c>
      <c r="AD173" s="39">
        <v>2.8417968749999998E-4</v>
      </c>
      <c r="AE173" s="39">
        <v>1.4208984374999999E-4</v>
      </c>
      <c r="AF173" s="39">
        <v>1.4208984374999999E-4</v>
      </c>
      <c r="AG173" s="39">
        <v>8.0474074074074073E-6</v>
      </c>
      <c r="AH173" s="39">
        <v>4.0237037037037036E-6</v>
      </c>
      <c r="AI173" s="39">
        <v>4.0237037037037036E-6</v>
      </c>
      <c r="AJ173" s="39">
        <v>0.7</v>
      </c>
      <c r="AK173" s="39">
        <v>0.75</v>
      </c>
      <c r="AL173" s="39">
        <v>1</v>
      </c>
      <c r="AM173" s="39">
        <v>0</v>
      </c>
      <c r="AN173" s="39">
        <v>0.8</v>
      </c>
      <c r="AO173" s="39">
        <v>0</v>
      </c>
      <c r="AP173" s="39">
        <v>0</v>
      </c>
      <c r="AQ173" s="39">
        <v>0</v>
      </c>
      <c r="AR173" s="39">
        <v>0</v>
      </c>
      <c r="AS173" s="39">
        <v>0</v>
      </c>
      <c r="AT173" s="39">
        <v>0</v>
      </c>
      <c r="AU173" s="39">
        <v>0</v>
      </c>
      <c r="AV173" s="39">
        <v>0</v>
      </c>
      <c r="AW173" s="39">
        <v>0</v>
      </c>
      <c r="AX173" s="39">
        <v>0</v>
      </c>
      <c r="AY173" s="39">
        <v>0</v>
      </c>
      <c r="AZ173" s="39">
        <v>0</v>
      </c>
      <c r="BA173" s="39">
        <v>0</v>
      </c>
      <c r="BB173" s="39">
        <v>0</v>
      </c>
      <c r="BC173" s="39">
        <v>0</v>
      </c>
    </row>
    <row r="174" spans="3:55" hidden="1" outlineLevel="1" x14ac:dyDescent="0.2">
      <c r="C174" s="162" t="str">
        <v>Hub to core: línea alquilada TDM:  155.52</v>
      </c>
      <c r="D174" s="162" t="str">
        <v>LMA PCM Mbytes de tráfico</v>
      </c>
      <c r="E174" s="62">
        <f t="shared" si="52"/>
        <v>0</v>
      </c>
      <c r="F174" s="39">
        <f t="array" ref="F174:BC174">INDEX(RF.Option.Table,MATCH($D174,RF.Option.List,0),)</f>
        <v>0.61906594669117643</v>
      </c>
      <c r="G174" s="39">
        <v>0.31111755371093747</v>
      </c>
      <c r="H174" s="39">
        <v>0.31733398437499999</v>
      </c>
      <c r="I174" s="39">
        <v>0.30470377604166665</v>
      </c>
      <c r="J174" s="39">
        <v>0.31111755371093747</v>
      </c>
      <c r="K174" s="39">
        <v>0.31733398437499999</v>
      </c>
      <c r="L174" s="39">
        <v>0.30470377604166665</v>
      </c>
      <c r="M174" s="39">
        <v>0.74287913602941169</v>
      </c>
      <c r="N174" s="39">
        <v>0.37334106445312498</v>
      </c>
      <c r="O174" s="39">
        <v>0.38080078125</v>
      </c>
      <c r="P174" s="39">
        <v>0.36564453125000002</v>
      </c>
      <c r="Q174" s="39">
        <v>0.37334106445312498</v>
      </c>
      <c r="R174" s="39">
        <v>0.38080078125</v>
      </c>
      <c r="S174" s="39">
        <v>0.36564453125000002</v>
      </c>
      <c r="T174" s="39">
        <v>0.568359375</v>
      </c>
      <c r="U174" s="39">
        <v>0.2841796875</v>
      </c>
      <c r="V174" s="39">
        <v>0.2841796875</v>
      </c>
      <c r="W174" s="39">
        <v>0.2841796875</v>
      </c>
      <c r="X174" s="39">
        <v>0.2841796875</v>
      </c>
      <c r="Y174" s="39">
        <v>0.2841796875</v>
      </c>
      <c r="Z174" s="39">
        <v>0.2841796875</v>
      </c>
      <c r="AA174" s="39">
        <v>7.4101613428943932E-4</v>
      </c>
      <c r="AB174" s="39">
        <v>3.7050806714471966E-4</v>
      </c>
      <c r="AC174" s="39">
        <v>3.7050806714471966E-4</v>
      </c>
      <c r="AD174" s="39">
        <v>2.8417968749999998E-4</v>
      </c>
      <c r="AE174" s="39">
        <v>1.4208984374999999E-4</v>
      </c>
      <c r="AF174" s="39">
        <v>1.4208984374999999E-4</v>
      </c>
      <c r="AG174" s="39">
        <v>8.0474074074074073E-6</v>
      </c>
      <c r="AH174" s="39">
        <v>4.0237037037037036E-6</v>
      </c>
      <c r="AI174" s="39">
        <v>4.0237037037037036E-6</v>
      </c>
      <c r="AJ174" s="39">
        <v>0.7</v>
      </c>
      <c r="AK174" s="39">
        <v>0.75</v>
      </c>
      <c r="AL174" s="39">
        <v>1</v>
      </c>
      <c r="AM174" s="39">
        <v>0</v>
      </c>
      <c r="AN174" s="39">
        <v>0.8</v>
      </c>
      <c r="AO174" s="39">
        <v>0</v>
      </c>
      <c r="AP174" s="39">
        <v>0</v>
      </c>
      <c r="AQ174" s="39">
        <v>0</v>
      </c>
      <c r="AR174" s="39">
        <v>0</v>
      </c>
      <c r="AS174" s="39">
        <v>0</v>
      </c>
      <c r="AT174" s="39">
        <v>0</v>
      </c>
      <c r="AU174" s="39">
        <v>0</v>
      </c>
      <c r="AV174" s="39">
        <v>0</v>
      </c>
      <c r="AW174" s="39">
        <v>0</v>
      </c>
      <c r="AX174" s="39">
        <v>0</v>
      </c>
      <c r="AY174" s="39">
        <v>0</v>
      </c>
      <c r="AZ174" s="39">
        <v>0</v>
      </c>
      <c r="BA174" s="39">
        <v>0</v>
      </c>
      <c r="BB174" s="39">
        <v>0</v>
      </c>
      <c r="BC174" s="39">
        <v>0</v>
      </c>
    </row>
    <row r="175" spans="3:55" hidden="1" outlineLevel="1" x14ac:dyDescent="0.2">
      <c r="C175" s="162" t="str">
        <v>Hub to core: línea alquilada Ethernet:  10</v>
      </c>
      <c r="D175" s="162" t="str">
        <v>LMA IP Mbytes de tráfico</v>
      </c>
      <c r="E175" s="62">
        <f t="shared" si="52"/>
        <v>0</v>
      </c>
      <c r="F175" s="39">
        <f t="array" ref="F175:BC175">INDEX(RF.Option.Table,MATCH($D175,RF.Option.List,0),)</f>
        <v>0.61906594669117643</v>
      </c>
      <c r="G175" s="39">
        <v>0.31111755371093747</v>
      </c>
      <c r="H175" s="39">
        <v>0.31733398437499999</v>
      </c>
      <c r="I175" s="39">
        <v>0.30470377604166665</v>
      </c>
      <c r="J175" s="39">
        <v>0.31111755371093747</v>
      </c>
      <c r="K175" s="39">
        <v>0.31733398437499999</v>
      </c>
      <c r="L175" s="39">
        <v>0.30470377604166665</v>
      </c>
      <c r="M175" s="39">
        <v>0.74287913602941169</v>
      </c>
      <c r="N175" s="39">
        <v>0.37334106445312498</v>
      </c>
      <c r="O175" s="39">
        <v>0.38080078125</v>
      </c>
      <c r="P175" s="39">
        <v>0.36564453125000002</v>
      </c>
      <c r="Q175" s="39">
        <v>0.37334106445312498</v>
      </c>
      <c r="R175" s="39">
        <v>0.38080078125</v>
      </c>
      <c r="S175" s="39">
        <v>0.36564453125000002</v>
      </c>
      <c r="T175" s="39">
        <v>0.568359375</v>
      </c>
      <c r="U175" s="39">
        <v>0.2841796875</v>
      </c>
      <c r="V175" s="39">
        <v>0.2841796875</v>
      </c>
      <c r="W175" s="39">
        <v>0.2841796875</v>
      </c>
      <c r="X175" s="39">
        <v>0.2841796875</v>
      </c>
      <c r="Y175" s="39">
        <v>0.2841796875</v>
      </c>
      <c r="Z175" s="39">
        <v>0.2841796875</v>
      </c>
      <c r="AA175" s="39">
        <v>7.4101613428943932E-4</v>
      </c>
      <c r="AB175" s="39">
        <v>3.7050806714471966E-4</v>
      </c>
      <c r="AC175" s="39">
        <v>3.7050806714471966E-4</v>
      </c>
      <c r="AD175" s="39">
        <v>2.8417968749999998E-4</v>
      </c>
      <c r="AE175" s="39">
        <v>1.4208984374999999E-4</v>
      </c>
      <c r="AF175" s="39">
        <v>1.4208984374999999E-4</v>
      </c>
      <c r="AG175" s="39">
        <v>8.0474074074074073E-6</v>
      </c>
      <c r="AH175" s="39">
        <v>4.0237037037037036E-6</v>
      </c>
      <c r="AI175" s="39">
        <v>4.0237037037037036E-6</v>
      </c>
      <c r="AJ175" s="39">
        <v>0.7</v>
      </c>
      <c r="AK175" s="39">
        <v>0.75</v>
      </c>
      <c r="AL175" s="39">
        <v>1</v>
      </c>
      <c r="AM175" s="39">
        <v>0</v>
      </c>
      <c r="AN175" s="39">
        <v>0.8</v>
      </c>
      <c r="AO175" s="39">
        <v>0</v>
      </c>
      <c r="AP175" s="39">
        <v>0</v>
      </c>
      <c r="AQ175" s="39">
        <v>0</v>
      </c>
      <c r="AR175" s="39">
        <v>0</v>
      </c>
      <c r="AS175" s="39">
        <v>0</v>
      </c>
      <c r="AT175" s="39">
        <v>0</v>
      </c>
      <c r="AU175" s="39">
        <v>0</v>
      </c>
      <c r="AV175" s="39">
        <v>0</v>
      </c>
      <c r="AW175" s="39">
        <v>0</v>
      </c>
      <c r="AX175" s="39">
        <v>0</v>
      </c>
      <c r="AY175" s="39">
        <v>0</v>
      </c>
      <c r="AZ175" s="39">
        <v>0</v>
      </c>
      <c r="BA175" s="39">
        <v>0</v>
      </c>
      <c r="BB175" s="39">
        <v>0</v>
      </c>
      <c r="BC175" s="39">
        <v>0</v>
      </c>
    </row>
    <row r="176" spans="3:55" hidden="1" outlineLevel="1" x14ac:dyDescent="0.2">
      <c r="C176" s="162" t="str">
        <v>Hub to core: línea alquilada Ethernet:  100</v>
      </c>
      <c r="D176" s="162" t="str">
        <v>LMA IP Mbytes de tráfico</v>
      </c>
      <c r="E176" s="62">
        <f t="shared" si="52"/>
        <v>0</v>
      </c>
      <c r="F176" s="39">
        <f t="array" ref="F176:BC176">INDEX(RF.Option.Table,MATCH($D176,RF.Option.List,0),)</f>
        <v>0.61906594669117643</v>
      </c>
      <c r="G176" s="39">
        <v>0.31111755371093747</v>
      </c>
      <c r="H176" s="39">
        <v>0.31733398437499999</v>
      </c>
      <c r="I176" s="39">
        <v>0.30470377604166665</v>
      </c>
      <c r="J176" s="39">
        <v>0.31111755371093747</v>
      </c>
      <c r="K176" s="39">
        <v>0.31733398437499999</v>
      </c>
      <c r="L176" s="39">
        <v>0.30470377604166665</v>
      </c>
      <c r="M176" s="39">
        <v>0.74287913602941169</v>
      </c>
      <c r="N176" s="39">
        <v>0.37334106445312498</v>
      </c>
      <c r="O176" s="39">
        <v>0.38080078125</v>
      </c>
      <c r="P176" s="39">
        <v>0.36564453125000002</v>
      </c>
      <c r="Q176" s="39">
        <v>0.37334106445312498</v>
      </c>
      <c r="R176" s="39">
        <v>0.38080078125</v>
      </c>
      <c r="S176" s="39">
        <v>0.36564453125000002</v>
      </c>
      <c r="T176" s="39">
        <v>0.568359375</v>
      </c>
      <c r="U176" s="39">
        <v>0.2841796875</v>
      </c>
      <c r="V176" s="39">
        <v>0.2841796875</v>
      </c>
      <c r="W176" s="39">
        <v>0.2841796875</v>
      </c>
      <c r="X176" s="39">
        <v>0.2841796875</v>
      </c>
      <c r="Y176" s="39">
        <v>0.2841796875</v>
      </c>
      <c r="Z176" s="39">
        <v>0.2841796875</v>
      </c>
      <c r="AA176" s="39">
        <v>7.4101613428943932E-4</v>
      </c>
      <c r="AB176" s="39">
        <v>3.7050806714471966E-4</v>
      </c>
      <c r="AC176" s="39">
        <v>3.7050806714471966E-4</v>
      </c>
      <c r="AD176" s="39">
        <v>2.8417968749999998E-4</v>
      </c>
      <c r="AE176" s="39">
        <v>1.4208984374999999E-4</v>
      </c>
      <c r="AF176" s="39">
        <v>1.4208984374999999E-4</v>
      </c>
      <c r="AG176" s="39">
        <v>8.0474074074074073E-6</v>
      </c>
      <c r="AH176" s="39">
        <v>4.0237037037037036E-6</v>
      </c>
      <c r="AI176" s="39">
        <v>4.0237037037037036E-6</v>
      </c>
      <c r="AJ176" s="39">
        <v>0.7</v>
      </c>
      <c r="AK176" s="39">
        <v>0.75</v>
      </c>
      <c r="AL176" s="39">
        <v>1</v>
      </c>
      <c r="AM176" s="39">
        <v>0</v>
      </c>
      <c r="AN176" s="39">
        <v>0.8</v>
      </c>
      <c r="AO176" s="39">
        <v>0</v>
      </c>
      <c r="AP176" s="39">
        <v>0</v>
      </c>
      <c r="AQ176" s="39">
        <v>0</v>
      </c>
      <c r="AR176" s="39">
        <v>0</v>
      </c>
      <c r="AS176" s="39">
        <v>0</v>
      </c>
      <c r="AT176" s="39">
        <v>0</v>
      </c>
      <c r="AU176" s="39">
        <v>0</v>
      </c>
      <c r="AV176" s="39">
        <v>0</v>
      </c>
      <c r="AW176" s="39">
        <v>0</v>
      </c>
      <c r="AX176" s="39">
        <v>0</v>
      </c>
      <c r="AY176" s="39">
        <v>0</v>
      </c>
      <c r="AZ176" s="39">
        <v>0</v>
      </c>
      <c r="BA176" s="39">
        <v>0</v>
      </c>
      <c r="BB176" s="39">
        <v>0</v>
      </c>
      <c r="BC176" s="39">
        <v>0</v>
      </c>
    </row>
    <row r="177" spans="3:55" hidden="1" outlineLevel="1" x14ac:dyDescent="0.2">
      <c r="C177" s="162" t="str">
        <v>Hub to core: línea alquilada Ethernet:  1024</v>
      </c>
      <c r="D177" s="162" t="str">
        <v>LMA IP Mbytes de tráfico</v>
      </c>
      <c r="E177" s="62">
        <f t="shared" si="52"/>
        <v>0</v>
      </c>
      <c r="F177" s="39">
        <f t="array" ref="F177:BC177">INDEX(RF.Option.Table,MATCH($D177,RF.Option.List,0),)</f>
        <v>0.61906594669117643</v>
      </c>
      <c r="G177" s="39">
        <v>0.31111755371093747</v>
      </c>
      <c r="H177" s="39">
        <v>0.31733398437499999</v>
      </c>
      <c r="I177" s="39">
        <v>0.30470377604166665</v>
      </c>
      <c r="J177" s="39">
        <v>0.31111755371093747</v>
      </c>
      <c r="K177" s="39">
        <v>0.31733398437499999</v>
      </c>
      <c r="L177" s="39">
        <v>0.30470377604166665</v>
      </c>
      <c r="M177" s="39">
        <v>0.74287913602941169</v>
      </c>
      <c r="N177" s="39">
        <v>0.37334106445312498</v>
      </c>
      <c r="O177" s="39">
        <v>0.38080078125</v>
      </c>
      <c r="P177" s="39">
        <v>0.36564453125000002</v>
      </c>
      <c r="Q177" s="39">
        <v>0.37334106445312498</v>
      </c>
      <c r="R177" s="39">
        <v>0.38080078125</v>
      </c>
      <c r="S177" s="39">
        <v>0.36564453125000002</v>
      </c>
      <c r="T177" s="39">
        <v>0.568359375</v>
      </c>
      <c r="U177" s="39">
        <v>0.2841796875</v>
      </c>
      <c r="V177" s="39">
        <v>0.2841796875</v>
      </c>
      <c r="W177" s="39">
        <v>0.2841796875</v>
      </c>
      <c r="X177" s="39">
        <v>0.2841796875</v>
      </c>
      <c r="Y177" s="39">
        <v>0.2841796875</v>
      </c>
      <c r="Z177" s="39">
        <v>0.2841796875</v>
      </c>
      <c r="AA177" s="39">
        <v>7.4101613428943932E-4</v>
      </c>
      <c r="AB177" s="39">
        <v>3.7050806714471966E-4</v>
      </c>
      <c r="AC177" s="39">
        <v>3.7050806714471966E-4</v>
      </c>
      <c r="AD177" s="39">
        <v>2.8417968749999998E-4</v>
      </c>
      <c r="AE177" s="39">
        <v>1.4208984374999999E-4</v>
      </c>
      <c r="AF177" s="39">
        <v>1.4208984374999999E-4</v>
      </c>
      <c r="AG177" s="39">
        <v>8.0474074074074073E-6</v>
      </c>
      <c r="AH177" s="39">
        <v>4.0237037037037036E-6</v>
      </c>
      <c r="AI177" s="39">
        <v>4.0237037037037036E-6</v>
      </c>
      <c r="AJ177" s="39">
        <v>0.7</v>
      </c>
      <c r="AK177" s="39">
        <v>0.75</v>
      </c>
      <c r="AL177" s="39">
        <v>1</v>
      </c>
      <c r="AM177" s="39">
        <v>0</v>
      </c>
      <c r="AN177" s="39">
        <v>0.8</v>
      </c>
      <c r="AO177" s="39">
        <v>0</v>
      </c>
      <c r="AP177" s="39">
        <v>0</v>
      </c>
      <c r="AQ177" s="39">
        <v>0</v>
      </c>
      <c r="AR177" s="39">
        <v>0</v>
      </c>
      <c r="AS177" s="39">
        <v>0</v>
      </c>
      <c r="AT177" s="39">
        <v>0</v>
      </c>
      <c r="AU177" s="39">
        <v>0</v>
      </c>
      <c r="AV177" s="39">
        <v>0</v>
      </c>
      <c r="AW177" s="39">
        <v>0</v>
      </c>
      <c r="AX177" s="39">
        <v>0</v>
      </c>
      <c r="AY177" s="39">
        <v>0</v>
      </c>
      <c r="AZ177" s="39">
        <v>0</v>
      </c>
      <c r="BA177" s="39">
        <v>0</v>
      </c>
      <c r="BB177" s="39">
        <v>0</v>
      </c>
      <c r="BC177" s="39">
        <v>0</v>
      </c>
    </row>
    <row r="178" spans="3:55" hidden="1" outlineLevel="1" x14ac:dyDescent="0.2">
      <c r="C178" s="162" t="str">
        <v>Hub to Core puntos de acceso a anillos: 155.52</v>
      </c>
      <c r="D178" s="162" t="str">
        <v>LMA PCM Mbytes de tráfico</v>
      </c>
      <c r="E178" s="62">
        <f t="shared" si="52"/>
        <v>0</v>
      </c>
      <c r="F178" s="39">
        <f t="array" ref="F178:BC178">INDEX(RF.Option.Table,MATCH($D178,RF.Option.List,0),)</f>
        <v>0.61906594669117643</v>
      </c>
      <c r="G178" s="39">
        <v>0.31111755371093747</v>
      </c>
      <c r="H178" s="39">
        <v>0.31733398437499999</v>
      </c>
      <c r="I178" s="39">
        <v>0.30470377604166665</v>
      </c>
      <c r="J178" s="39">
        <v>0.31111755371093747</v>
      </c>
      <c r="K178" s="39">
        <v>0.31733398437499999</v>
      </c>
      <c r="L178" s="39">
        <v>0.30470377604166665</v>
      </c>
      <c r="M178" s="39">
        <v>0.74287913602941169</v>
      </c>
      <c r="N178" s="39">
        <v>0.37334106445312498</v>
      </c>
      <c r="O178" s="39">
        <v>0.38080078125</v>
      </c>
      <c r="P178" s="39">
        <v>0.36564453125000002</v>
      </c>
      <c r="Q178" s="39">
        <v>0.37334106445312498</v>
      </c>
      <c r="R178" s="39">
        <v>0.38080078125</v>
      </c>
      <c r="S178" s="39">
        <v>0.36564453125000002</v>
      </c>
      <c r="T178" s="39">
        <v>0.568359375</v>
      </c>
      <c r="U178" s="39">
        <v>0.2841796875</v>
      </c>
      <c r="V178" s="39">
        <v>0.2841796875</v>
      </c>
      <c r="W178" s="39">
        <v>0.2841796875</v>
      </c>
      <c r="X178" s="39">
        <v>0.2841796875</v>
      </c>
      <c r="Y178" s="39">
        <v>0.2841796875</v>
      </c>
      <c r="Z178" s="39">
        <v>0.2841796875</v>
      </c>
      <c r="AA178" s="39">
        <v>7.4101613428943932E-4</v>
      </c>
      <c r="AB178" s="39">
        <v>3.7050806714471966E-4</v>
      </c>
      <c r="AC178" s="39">
        <v>3.7050806714471966E-4</v>
      </c>
      <c r="AD178" s="39">
        <v>2.8417968749999998E-4</v>
      </c>
      <c r="AE178" s="39">
        <v>1.4208984374999999E-4</v>
      </c>
      <c r="AF178" s="39">
        <v>1.4208984374999999E-4</v>
      </c>
      <c r="AG178" s="39">
        <v>8.0474074074074073E-6</v>
      </c>
      <c r="AH178" s="39">
        <v>4.0237037037037036E-6</v>
      </c>
      <c r="AI178" s="39">
        <v>4.0237037037037036E-6</v>
      </c>
      <c r="AJ178" s="39">
        <v>0.7</v>
      </c>
      <c r="AK178" s="39">
        <v>0.75</v>
      </c>
      <c r="AL178" s="39">
        <v>1</v>
      </c>
      <c r="AM178" s="39">
        <v>0</v>
      </c>
      <c r="AN178" s="39">
        <v>0.8</v>
      </c>
      <c r="AO178" s="39">
        <v>0</v>
      </c>
      <c r="AP178" s="39">
        <v>0</v>
      </c>
      <c r="AQ178" s="39">
        <v>0</v>
      </c>
      <c r="AR178" s="39">
        <v>0</v>
      </c>
      <c r="AS178" s="39">
        <v>0</v>
      </c>
      <c r="AT178" s="39">
        <v>0</v>
      </c>
      <c r="AU178" s="39">
        <v>0</v>
      </c>
      <c r="AV178" s="39">
        <v>0</v>
      </c>
      <c r="AW178" s="39">
        <v>0</v>
      </c>
      <c r="AX178" s="39">
        <v>0</v>
      </c>
      <c r="AY178" s="39">
        <v>0</v>
      </c>
      <c r="AZ178" s="39">
        <v>0</v>
      </c>
      <c r="BA178" s="39">
        <v>0</v>
      </c>
      <c r="BB178" s="39">
        <v>0</v>
      </c>
      <c r="BC178" s="39">
        <v>0</v>
      </c>
    </row>
    <row r="179" spans="3:55" hidden="1" outlineLevel="1" x14ac:dyDescent="0.2">
      <c r="C179" s="162" t="str">
        <v>Hub to Core puntos de acceso a anillos: 622.08</v>
      </c>
      <c r="D179" s="162" t="str">
        <v>LMA PCM Mbytes de tráfico</v>
      </c>
      <c r="E179" s="62">
        <f t="shared" si="52"/>
        <v>0</v>
      </c>
      <c r="F179" s="39">
        <f t="array" ref="F179:BC179">INDEX(RF.Option.Table,MATCH($D179,RF.Option.List,0),)</f>
        <v>0.61906594669117643</v>
      </c>
      <c r="G179" s="39">
        <v>0.31111755371093747</v>
      </c>
      <c r="H179" s="39">
        <v>0.31733398437499999</v>
      </c>
      <c r="I179" s="39">
        <v>0.30470377604166665</v>
      </c>
      <c r="J179" s="39">
        <v>0.31111755371093747</v>
      </c>
      <c r="K179" s="39">
        <v>0.31733398437499999</v>
      </c>
      <c r="L179" s="39">
        <v>0.30470377604166665</v>
      </c>
      <c r="M179" s="39">
        <v>0.74287913602941169</v>
      </c>
      <c r="N179" s="39">
        <v>0.37334106445312498</v>
      </c>
      <c r="O179" s="39">
        <v>0.38080078125</v>
      </c>
      <c r="P179" s="39">
        <v>0.36564453125000002</v>
      </c>
      <c r="Q179" s="39">
        <v>0.37334106445312498</v>
      </c>
      <c r="R179" s="39">
        <v>0.38080078125</v>
      </c>
      <c r="S179" s="39">
        <v>0.36564453125000002</v>
      </c>
      <c r="T179" s="39">
        <v>0.568359375</v>
      </c>
      <c r="U179" s="39">
        <v>0.2841796875</v>
      </c>
      <c r="V179" s="39">
        <v>0.2841796875</v>
      </c>
      <c r="W179" s="39">
        <v>0.2841796875</v>
      </c>
      <c r="X179" s="39">
        <v>0.2841796875</v>
      </c>
      <c r="Y179" s="39">
        <v>0.2841796875</v>
      </c>
      <c r="Z179" s="39">
        <v>0.2841796875</v>
      </c>
      <c r="AA179" s="39">
        <v>7.4101613428943932E-4</v>
      </c>
      <c r="AB179" s="39">
        <v>3.7050806714471966E-4</v>
      </c>
      <c r="AC179" s="39">
        <v>3.7050806714471966E-4</v>
      </c>
      <c r="AD179" s="39">
        <v>2.8417968749999998E-4</v>
      </c>
      <c r="AE179" s="39">
        <v>1.4208984374999999E-4</v>
      </c>
      <c r="AF179" s="39">
        <v>1.4208984374999999E-4</v>
      </c>
      <c r="AG179" s="39">
        <v>8.0474074074074073E-6</v>
      </c>
      <c r="AH179" s="39">
        <v>4.0237037037037036E-6</v>
      </c>
      <c r="AI179" s="39">
        <v>4.0237037037037036E-6</v>
      </c>
      <c r="AJ179" s="39">
        <v>0.7</v>
      </c>
      <c r="AK179" s="39">
        <v>0.75</v>
      </c>
      <c r="AL179" s="39">
        <v>1</v>
      </c>
      <c r="AM179" s="39">
        <v>0</v>
      </c>
      <c r="AN179" s="39">
        <v>0.8</v>
      </c>
      <c r="AO179" s="39">
        <v>0</v>
      </c>
      <c r="AP179" s="39">
        <v>0</v>
      </c>
      <c r="AQ179" s="39">
        <v>0</v>
      </c>
      <c r="AR179" s="39">
        <v>0</v>
      </c>
      <c r="AS179" s="39">
        <v>0</v>
      </c>
      <c r="AT179" s="39">
        <v>0</v>
      </c>
      <c r="AU179" s="39">
        <v>0</v>
      </c>
      <c r="AV179" s="39">
        <v>0</v>
      </c>
      <c r="AW179" s="39">
        <v>0</v>
      </c>
      <c r="AX179" s="39">
        <v>0</v>
      </c>
      <c r="AY179" s="39">
        <v>0</v>
      </c>
      <c r="AZ179" s="39">
        <v>0</v>
      </c>
      <c r="BA179" s="39">
        <v>0</v>
      </c>
      <c r="BB179" s="39">
        <v>0</v>
      </c>
      <c r="BC179" s="39">
        <v>0</v>
      </c>
    </row>
    <row r="180" spans="3:55" hidden="1" outlineLevel="1" x14ac:dyDescent="0.2">
      <c r="C180" s="162" t="str">
        <v>Hub to Core puntos de acceso a anillos: 2488.32</v>
      </c>
      <c r="D180" s="162" t="str">
        <v>LMA PCM Mbytes de tráfico</v>
      </c>
      <c r="E180" s="62">
        <f t="shared" si="52"/>
        <v>0</v>
      </c>
      <c r="F180" s="39">
        <f t="array" ref="F180:BC180">INDEX(RF.Option.Table,MATCH($D180,RF.Option.List,0),)</f>
        <v>0.61906594669117643</v>
      </c>
      <c r="G180" s="39">
        <v>0.31111755371093747</v>
      </c>
      <c r="H180" s="39">
        <v>0.31733398437499999</v>
      </c>
      <c r="I180" s="39">
        <v>0.30470377604166665</v>
      </c>
      <c r="J180" s="39">
        <v>0.31111755371093747</v>
      </c>
      <c r="K180" s="39">
        <v>0.31733398437499999</v>
      </c>
      <c r="L180" s="39">
        <v>0.30470377604166665</v>
      </c>
      <c r="M180" s="39">
        <v>0.74287913602941169</v>
      </c>
      <c r="N180" s="39">
        <v>0.37334106445312498</v>
      </c>
      <c r="O180" s="39">
        <v>0.38080078125</v>
      </c>
      <c r="P180" s="39">
        <v>0.36564453125000002</v>
      </c>
      <c r="Q180" s="39">
        <v>0.37334106445312498</v>
      </c>
      <c r="R180" s="39">
        <v>0.38080078125</v>
      </c>
      <c r="S180" s="39">
        <v>0.36564453125000002</v>
      </c>
      <c r="T180" s="39">
        <v>0.568359375</v>
      </c>
      <c r="U180" s="39">
        <v>0.2841796875</v>
      </c>
      <c r="V180" s="39">
        <v>0.2841796875</v>
      </c>
      <c r="W180" s="39">
        <v>0.2841796875</v>
      </c>
      <c r="X180" s="39">
        <v>0.2841796875</v>
      </c>
      <c r="Y180" s="39">
        <v>0.2841796875</v>
      </c>
      <c r="Z180" s="39">
        <v>0.2841796875</v>
      </c>
      <c r="AA180" s="39">
        <v>7.4101613428943932E-4</v>
      </c>
      <c r="AB180" s="39">
        <v>3.7050806714471966E-4</v>
      </c>
      <c r="AC180" s="39">
        <v>3.7050806714471966E-4</v>
      </c>
      <c r="AD180" s="39">
        <v>2.8417968749999998E-4</v>
      </c>
      <c r="AE180" s="39">
        <v>1.4208984374999999E-4</v>
      </c>
      <c r="AF180" s="39">
        <v>1.4208984374999999E-4</v>
      </c>
      <c r="AG180" s="39">
        <v>8.0474074074074073E-6</v>
      </c>
      <c r="AH180" s="39">
        <v>4.0237037037037036E-6</v>
      </c>
      <c r="AI180" s="39">
        <v>4.0237037037037036E-6</v>
      </c>
      <c r="AJ180" s="39">
        <v>0.7</v>
      </c>
      <c r="AK180" s="39">
        <v>0.75</v>
      </c>
      <c r="AL180" s="39">
        <v>1</v>
      </c>
      <c r="AM180" s="39">
        <v>0</v>
      </c>
      <c r="AN180" s="39">
        <v>0.8</v>
      </c>
      <c r="AO180" s="39">
        <v>0</v>
      </c>
      <c r="AP180" s="39">
        <v>0</v>
      </c>
      <c r="AQ180" s="39">
        <v>0</v>
      </c>
      <c r="AR180" s="39">
        <v>0</v>
      </c>
      <c r="AS180" s="39">
        <v>0</v>
      </c>
      <c r="AT180" s="39">
        <v>0</v>
      </c>
      <c r="AU180" s="39">
        <v>0</v>
      </c>
      <c r="AV180" s="39">
        <v>0</v>
      </c>
      <c r="AW180" s="39">
        <v>0</v>
      </c>
      <c r="AX180" s="39">
        <v>0</v>
      </c>
      <c r="AY180" s="39">
        <v>0</v>
      </c>
      <c r="AZ180" s="39">
        <v>0</v>
      </c>
      <c r="BA180" s="39">
        <v>0</v>
      </c>
      <c r="BB180" s="39">
        <v>0</v>
      </c>
      <c r="BC180" s="39">
        <v>0</v>
      </c>
    </row>
    <row r="181" spans="3:55" hidden="1" outlineLevel="1" x14ac:dyDescent="0.2">
      <c r="C181" s="162" t="str">
        <v>Hub to Core punto de acceso a anillos: 1024</v>
      </c>
      <c r="D181" s="162" t="str">
        <v>LMA IP Mbytes de tráfico</v>
      </c>
      <c r="E181" s="62">
        <f t="shared" si="52"/>
        <v>0</v>
      </c>
      <c r="F181" s="39">
        <f t="array" ref="F181:BC181">INDEX(RF.Option.Table,MATCH($D181,RF.Option.List,0),)</f>
        <v>0.61906594669117643</v>
      </c>
      <c r="G181" s="39">
        <v>0.31111755371093747</v>
      </c>
      <c r="H181" s="39">
        <v>0.31733398437499999</v>
      </c>
      <c r="I181" s="39">
        <v>0.30470377604166665</v>
      </c>
      <c r="J181" s="39">
        <v>0.31111755371093747</v>
      </c>
      <c r="K181" s="39">
        <v>0.31733398437499999</v>
      </c>
      <c r="L181" s="39">
        <v>0.30470377604166665</v>
      </c>
      <c r="M181" s="39">
        <v>0.74287913602941169</v>
      </c>
      <c r="N181" s="39">
        <v>0.37334106445312498</v>
      </c>
      <c r="O181" s="39">
        <v>0.38080078125</v>
      </c>
      <c r="P181" s="39">
        <v>0.36564453125000002</v>
      </c>
      <c r="Q181" s="39">
        <v>0.37334106445312498</v>
      </c>
      <c r="R181" s="39">
        <v>0.38080078125</v>
      </c>
      <c r="S181" s="39">
        <v>0.36564453125000002</v>
      </c>
      <c r="T181" s="39">
        <v>0.568359375</v>
      </c>
      <c r="U181" s="39">
        <v>0.2841796875</v>
      </c>
      <c r="V181" s="39">
        <v>0.2841796875</v>
      </c>
      <c r="W181" s="39">
        <v>0.2841796875</v>
      </c>
      <c r="X181" s="39">
        <v>0.2841796875</v>
      </c>
      <c r="Y181" s="39">
        <v>0.2841796875</v>
      </c>
      <c r="Z181" s="39">
        <v>0.2841796875</v>
      </c>
      <c r="AA181" s="39">
        <v>7.4101613428943932E-4</v>
      </c>
      <c r="AB181" s="39">
        <v>3.7050806714471966E-4</v>
      </c>
      <c r="AC181" s="39">
        <v>3.7050806714471966E-4</v>
      </c>
      <c r="AD181" s="39">
        <v>2.8417968749999998E-4</v>
      </c>
      <c r="AE181" s="39">
        <v>1.4208984374999999E-4</v>
      </c>
      <c r="AF181" s="39">
        <v>1.4208984374999999E-4</v>
      </c>
      <c r="AG181" s="39">
        <v>8.0474074074074073E-6</v>
      </c>
      <c r="AH181" s="39">
        <v>4.0237037037037036E-6</v>
      </c>
      <c r="AI181" s="39">
        <v>4.0237037037037036E-6</v>
      </c>
      <c r="AJ181" s="39">
        <v>0.7</v>
      </c>
      <c r="AK181" s="39">
        <v>0.75</v>
      </c>
      <c r="AL181" s="39">
        <v>1</v>
      </c>
      <c r="AM181" s="39">
        <v>0</v>
      </c>
      <c r="AN181" s="39">
        <v>0.8</v>
      </c>
      <c r="AO181" s="39">
        <v>0</v>
      </c>
      <c r="AP181" s="39">
        <v>0</v>
      </c>
      <c r="AQ181" s="39">
        <v>0</v>
      </c>
      <c r="AR181" s="39">
        <v>0</v>
      </c>
      <c r="AS181" s="39">
        <v>0</v>
      </c>
      <c r="AT181" s="39">
        <v>0</v>
      </c>
      <c r="AU181" s="39">
        <v>0</v>
      </c>
      <c r="AV181" s="39">
        <v>0</v>
      </c>
      <c r="AW181" s="39">
        <v>0</v>
      </c>
      <c r="AX181" s="39">
        <v>0</v>
      </c>
      <c r="AY181" s="39">
        <v>0</v>
      </c>
      <c r="AZ181" s="39">
        <v>0</v>
      </c>
      <c r="BA181" s="39">
        <v>0</v>
      </c>
      <c r="BB181" s="39">
        <v>0</v>
      </c>
      <c r="BC181" s="39">
        <v>0</v>
      </c>
    </row>
    <row r="182" spans="3:55" hidden="1" outlineLevel="1" x14ac:dyDescent="0.2">
      <c r="C182" s="162" t="str">
        <v>Hub to Core punto de acceso a anillos: 2048</v>
      </c>
      <c r="D182" s="162" t="str">
        <v>LMA IP Mbytes de tráfico</v>
      </c>
      <c r="E182" s="62">
        <f t="shared" si="52"/>
        <v>0</v>
      </c>
      <c r="F182" s="39">
        <f t="array" ref="F182:BC182">INDEX(RF.Option.Table,MATCH($D182,RF.Option.List,0),)</f>
        <v>0.61906594669117643</v>
      </c>
      <c r="G182" s="39">
        <v>0.31111755371093747</v>
      </c>
      <c r="H182" s="39">
        <v>0.31733398437499999</v>
      </c>
      <c r="I182" s="39">
        <v>0.30470377604166665</v>
      </c>
      <c r="J182" s="39">
        <v>0.31111755371093747</v>
      </c>
      <c r="K182" s="39">
        <v>0.31733398437499999</v>
      </c>
      <c r="L182" s="39">
        <v>0.30470377604166665</v>
      </c>
      <c r="M182" s="39">
        <v>0.74287913602941169</v>
      </c>
      <c r="N182" s="39">
        <v>0.37334106445312498</v>
      </c>
      <c r="O182" s="39">
        <v>0.38080078125</v>
      </c>
      <c r="P182" s="39">
        <v>0.36564453125000002</v>
      </c>
      <c r="Q182" s="39">
        <v>0.37334106445312498</v>
      </c>
      <c r="R182" s="39">
        <v>0.38080078125</v>
      </c>
      <c r="S182" s="39">
        <v>0.36564453125000002</v>
      </c>
      <c r="T182" s="39">
        <v>0.568359375</v>
      </c>
      <c r="U182" s="39">
        <v>0.2841796875</v>
      </c>
      <c r="V182" s="39">
        <v>0.2841796875</v>
      </c>
      <c r="W182" s="39">
        <v>0.2841796875</v>
      </c>
      <c r="X182" s="39">
        <v>0.2841796875</v>
      </c>
      <c r="Y182" s="39">
        <v>0.2841796875</v>
      </c>
      <c r="Z182" s="39">
        <v>0.2841796875</v>
      </c>
      <c r="AA182" s="39">
        <v>7.4101613428943932E-4</v>
      </c>
      <c r="AB182" s="39">
        <v>3.7050806714471966E-4</v>
      </c>
      <c r="AC182" s="39">
        <v>3.7050806714471966E-4</v>
      </c>
      <c r="AD182" s="39">
        <v>2.8417968749999998E-4</v>
      </c>
      <c r="AE182" s="39">
        <v>1.4208984374999999E-4</v>
      </c>
      <c r="AF182" s="39">
        <v>1.4208984374999999E-4</v>
      </c>
      <c r="AG182" s="39">
        <v>8.0474074074074073E-6</v>
      </c>
      <c r="AH182" s="39">
        <v>4.0237037037037036E-6</v>
      </c>
      <c r="AI182" s="39">
        <v>4.0237037037037036E-6</v>
      </c>
      <c r="AJ182" s="39">
        <v>0.7</v>
      </c>
      <c r="AK182" s="39">
        <v>0.75</v>
      </c>
      <c r="AL182" s="39">
        <v>1</v>
      </c>
      <c r="AM182" s="39">
        <v>0</v>
      </c>
      <c r="AN182" s="39">
        <v>0.8</v>
      </c>
      <c r="AO182" s="39">
        <v>0</v>
      </c>
      <c r="AP182" s="39">
        <v>0</v>
      </c>
      <c r="AQ182" s="39">
        <v>0</v>
      </c>
      <c r="AR182" s="39">
        <v>0</v>
      </c>
      <c r="AS182" s="39">
        <v>0</v>
      </c>
      <c r="AT182" s="39">
        <v>0</v>
      </c>
      <c r="AU182" s="39">
        <v>0</v>
      </c>
      <c r="AV182" s="39">
        <v>0</v>
      </c>
      <c r="AW182" s="39">
        <v>0</v>
      </c>
      <c r="AX182" s="39">
        <v>0</v>
      </c>
      <c r="AY182" s="39">
        <v>0</v>
      </c>
      <c r="AZ182" s="39">
        <v>0</v>
      </c>
      <c r="BA182" s="39">
        <v>0</v>
      </c>
      <c r="BB182" s="39">
        <v>0</v>
      </c>
      <c r="BC182" s="39">
        <v>0</v>
      </c>
    </row>
    <row r="183" spans="3:55" hidden="1" outlineLevel="1" x14ac:dyDescent="0.2">
      <c r="C183" s="162" t="str">
        <v>Hub to Core punto de acceso a anillos: 10240</v>
      </c>
      <c r="D183" s="162" t="str">
        <v>LMA IP Mbytes de tráfico</v>
      </c>
      <c r="E183" s="62">
        <f t="shared" si="52"/>
        <v>0</v>
      </c>
      <c r="F183" s="39">
        <f t="array" ref="F183:BC183">INDEX(RF.Option.Table,MATCH($D183,RF.Option.List,0),)</f>
        <v>0.61906594669117643</v>
      </c>
      <c r="G183" s="39">
        <v>0.31111755371093747</v>
      </c>
      <c r="H183" s="39">
        <v>0.31733398437499999</v>
      </c>
      <c r="I183" s="39">
        <v>0.30470377604166665</v>
      </c>
      <c r="J183" s="39">
        <v>0.31111755371093747</v>
      </c>
      <c r="K183" s="39">
        <v>0.31733398437499999</v>
      </c>
      <c r="L183" s="39">
        <v>0.30470377604166665</v>
      </c>
      <c r="M183" s="39">
        <v>0.74287913602941169</v>
      </c>
      <c r="N183" s="39">
        <v>0.37334106445312498</v>
      </c>
      <c r="O183" s="39">
        <v>0.38080078125</v>
      </c>
      <c r="P183" s="39">
        <v>0.36564453125000002</v>
      </c>
      <c r="Q183" s="39">
        <v>0.37334106445312498</v>
      </c>
      <c r="R183" s="39">
        <v>0.38080078125</v>
      </c>
      <c r="S183" s="39">
        <v>0.36564453125000002</v>
      </c>
      <c r="T183" s="39">
        <v>0.568359375</v>
      </c>
      <c r="U183" s="39">
        <v>0.2841796875</v>
      </c>
      <c r="V183" s="39">
        <v>0.2841796875</v>
      </c>
      <c r="W183" s="39">
        <v>0.2841796875</v>
      </c>
      <c r="X183" s="39">
        <v>0.2841796875</v>
      </c>
      <c r="Y183" s="39">
        <v>0.2841796875</v>
      </c>
      <c r="Z183" s="39">
        <v>0.2841796875</v>
      </c>
      <c r="AA183" s="39">
        <v>7.4101613428943932E-4</v>
      </c>
      <c r="AB183" s="39">
        <v>3.7050806714471966E-4</v>
      </c>
      <c r="AC183" s="39">
        <v>3.7050806714471966E-4</v>
      </c>
      <c r="AD183" s="39">
        <v>2.8417968749999998E-4</v>
      </c>
      <c r="AE183" s="39">
        <v>1.4208984374999999E-4</v>
      </c>
      <c r="AF183" s="39">
        <v>1.4208984374999999E-4</v>
      </c>
      <c r="AG183" s="39">
        <v>8.0474074074074073E-6</v>
      </c>
      <c r="AH183" s="39">
        <v>4.0237037037037036E-6</v>
      </c>
      <c r="AI183" s="39">
        <v>4.0237037037037036E-6</v>
      </c>
      <c r="AJ183" s="39">
        <v>0.7</v>
      </c>
      <c r="AK183" s="39">
        <v>0.75</v>
      </c>
      <c r="AL183" s="39">
        <v>1</v>
      </c>
      <c r="AM183" s="39">
        <v>0</v>
      </c>
      <c r="AN183" s="39">
        <v>0.8</v>
      </c>
      <c r="AO183" s="39">
        <v>0</v>
      </c>
      <c r="AP183" s="39">
        <v>0</v>
      </c>
      <c r="AQ183" s="39">
        <v>0</v>
      </c>
      <c r="AR183" s="39">
        <v>0</v>
      </c>
      <c r="AS183" s="39">
        <v>0</v>
      </c>
      <c r="AT183" s="39">
        <v>0</v>
      </c>
      <c r="AU183" s="39">
        <v>0</v>
      </c>
      <c r="AV183" s="39">
        <v>0</v>
      </c>
      <c r="AW183" s="39">
        <v>0</v>
      </c>
      <c r="AX183" s="39">
        <v>0</v>
      </c>
      <c r="AY183" s="39">
        <v>0</v>
      </c>
      <c r="AZ183" s="39">
        <v>0</v>
      </c>
      <c r="BA183" s="39">
        <v>0</v>
      </c>
      <c r="BB183" s="39">
        <v>0</v>
      </c>
      <c r="BC183" s="39">
        <v>0</v>
      </c>
    </row>
    <row r="184" spans="3:55" hidden="1" outlineLevel="1" x14ac:dyDescent="0.2">
      <c r="C184" s="162" t="str">
        <v>Hub to Core - longitud de los anillos de fibra</v>
      </c>
      <c r="D184" s="162" t="str">
        <v>LMA IP Mbytes de tráfico</v>
      </c>
      <c r="E184" s="62">
        <f t="shared" si="52"/>
        <v>0</v>
      </c>
      <c r="F184" s="39">
        <f t="array" ref="F184:BC184">INDEX(RF.Option.Table,MATCH($D184,RF.Option.List,0),)</f>
        <v>0.61906594669117643</v>
      </c>
      <c r="G184" s="39">
        <v>0.31111755371093747</v>
      </c>
      <c r="H184" s="39">
        <v>0.31733398437499999</v>
      </c>
      <c r="I184" s="39">
        <v>0.30470377604166665</v>
      </c>
      <c r="J184" s="39">
        <v>0.31111755371093747</v>
      </c>
      <c r="K184" s="39">
        <v>0.31733398437499999</v>
      </c>
      <c r="L184" s="39">
        <v>0.30470377604166665</v>
      </c>
      <c r="M184" s="39">
        <v>0.74287913602941169</v>
      </c>
      <c r="N184" s="39">
        <v>0.37334106445312498</v>
      </c>
      <c r="O184" s="39">
        <v>0.38080078125</v>
      </c>
      <c r="P184" s="39">
        <v>0.36564453125000002</v>
      </c>
      <c r="Q184" s="39">
        <v>0.37334106445312498</v>
      </c>
      <c r="R184" s="39">
        <v>0.38080078125</v>
      </c>
      <c r="S184" s="39">
        <v>0.36564453125000002</v>
      </c>
      <c r="T184" s="39">
        <v>0.568359375</v>
      </c>
      <c r="U184" s="39">
        <v>0.2841796875</v>
      </c>
      <c r="V184" s="39">
        <v>0.2841796875</v>
      </c>
      <c r="W184" s="39">
        <v>0.2841796875</v>
      </c>
      <c r="X184" s="39">
        <v>0.2841796875</v>
      </c>
      <c r="Y184" s="39">
        <v>0.2841796875</v>
      </c>
      <c r="Z184" s="39">
        <v>0.2841796875</v>
      </c>
      <c r="AA184" s="39">
        <v>7.4101613428943932E-4</v>
      </c>
      <c r="AB184" s="39">
        <v>3.7050806714471966E-4</v>
      </c>
      <c r="AC184" s="39">
        <v>3.7050806714471966E-4</v>
      </c>
      <c r="AD184" s="39">
        <v>2.8417968749999998E-4</v>
      </c>
      <c r="AE184" s="39">
        <v>1.4208984374999999E-4</v>
      </c>
      <c r="AF184" s="39">
        <v>1.4208984374999999E-4</v>
      </c>
      <c r="AG184" s="39">
        <v>8.0474074074074073E-6</v>
      </c>
      <c r="AH184" s="39">
        <v>4.0237037037037036E-6</v>
      </c>
      <c r="AI184" s="39">
        <v>4.0237037037037036E-6</v>
      </c>
      <c r="AJ184" s="39">
        <v>0.7</v>
      </c>
      <c r="AK184" s="39">
        <v>0.75</v>
      </c>
      <c r="AL184" s="39">
        <v>1</v>
      </c>
      <c r="AM184" s="39">
        <v>0</v>
      </c>
      <c r="AN184" s="39">
        <v>0.8</v>
      </c>
      <c r="AO184" s="39">
        <v>0</v>
      </c>
      <c r="AP184" s="39">
        <v>0</v>
      </c>
      <c r="AQ184" s="39">
        <v>0</v>
      </c>
      <c r="AR184" s="39">
        <v>0</v>
      </c>
      <c r="AS184" s="39">
        <v>0</v>
      </c>
      <c r="AT184" s="39">
        <v>0</v>
      </c>
      <c r="AU184" s="39">
        <v>0</v>
      </c>
      <c r="AV184" s="39">
        <v>0</v>
      </c>
      <c r="AW184" s="39">
        <v>0</v>
      </c>
      <c r="AX184" s="39">
        <v>0</v>
      </c>
      <c r="AY184" s="39">
        <v>0</v>
      </c>
      <c r="AZ184" s="39">
        <v>0</v>
      </c>
      <c r="BA184" s="39">
        <v>0</v>
      </c>
      <c r="BB184" s="39">
        <v>0</v>
      </c>
      <c r="BC184" s="39">
        <v>0</v>
      </c>
    </row>
    <row r="185" spans="3:55" hidden="1" outlineLevel="1" x14ac:dyDescent="0.2">
      <c r="C185" s="162" t="str">
        <v>Sitios BSC remotos</v>
      </c>
      <c r="D185" s="162" t="str">
        <v>Minutos radio equivalentes GSM</v>
      </c>
      <c r="E185" s="62">
        <f t="shared" si="52"/>
        <v>0</v>
      </c>
      <c r="F185" s="39">
        <f t="array" ref="F185:BC185">INDEX(RF.Option.Table,MATCH($D185,RF.Option.List,0),)</f>
        <v>2.1784313725490194</v>
      </c>
      <c r="G185" s="39">
        <v>1.0947916666666666</v>
      </c>
      <c r="H185" s="39">
        <v>1.1166666666666667</v>
      </c>
      <c r="I185" s="39">
        <v>1.0722222222222222</v>
      </c>
      <c r="J185" s="39">
        <v>1.0947916666666666</v>
      </c>
      <c r="K185" s="39">
        <v>1.1166666666666667</v>
      </c>
      <c r="L185" s="39">
        <v>1.0722222222222222</v>
      </c>
      <c r="M185" s="39">
        <v>0</v>
      </c>
      <c r="N185" s="39">
        <v>0</v>
      </c>
      <c r="O185" s="39">
        <v>0</v>
      </c>
      <c r="P185" s="39">
        <v>0</v>
      </c>
      <c r="Q185" s="39">
        <v>0</v>
      </c>
      <c r="R185" s="39">
        <v>0</v>
      </c>
      <c r="S185" s="39">
        <v>0</v>
      </c>
      <c r="T185" s="39">
        <v>0</v>
      </c>
      <c r="U185" s="39">
        <v>0</v>
      </c>
      <c r="V185" s="39">
        <v>0</v>
      </c>
      <c r="W185" s="39">
        <v>0</v>
      </c>
      <c r="X185" s="39">
        <v>0</v>
      </c>
      <c r="Y185" s="39">
        <v>0</v>
      </c>
      <c r="Z185" s="39">
        <v>0</v>
      </c>
      <c r="AA185" s="39">
        <v>0</v>
      </c>
      <c r="AB185" s="39">
        <v>0</v>
      </c>
      <c r="AC185" s="39">
        <v>0</v>
      </c>
      <c r="AD185" s="39">
        <v>0</v>
      </c>
      <c r="AE185" s="39">
        <v>0</v>
      </c>
      <c r="AF185" s="39">
        <v>0</v>
      </c>
      <c r="AG185" s="39">
        <v>0</v>
      </c>
      <c r="AH185" s="39">
        <v>0</v>
      </c>
      <c r="AI185" s="39">
        <v>0</v>
      </c>
      <c r="AJ185" s="39">
        <v>4.4600888888888894</v>
      </c>
      <c r="AK185" s="39">
        <v>0</v>
      </c>
      <c r="AL185" s="39">
        <v>0</v>
      </c>
      <c r="AM185" s="39">
        <v>0</v>
      </c>
      <c r="AN185" s="39">
        <v>0</v>
      </c>
      <c r="AO185" s="39">
        <v>0</v>
      </c>
      <c r="AP185" s="39">
        <v>0</v>
      </c>
      <c r="AQ185" s="39">
        <v>0</v>
      </c>
      <c r="AR185" s="39">
        <v>0</v>
      </c>
      <c r="AS185" s="39">
        <v>0</v>
      </c>
      <c r="AT185" s="39">
        <v>0</v>
      </c>
      <c r="AU185" s="39">
        <v>0</v>
      </c>
      <c r="AV185" s="39">
        <v>0</v>
      </c>
      <c r="AW185" s="39">
        <v>0</v>
      </c>
      <c r="AX185" s="39">
        <v>0</v>
      </c>
      <c r="AY185" s="39">
        <v>0</v>
      </c>
      <c r="AZ185" s="39">
        <v>0</v>
      </c>
      <c r="BA185" s="39">
        <v>0</v>
      </c>
      <c r="BB185" s="39">
        <v>0</v>
      </c>
      <c r="BC185" s="39">
        <v>0</v>
      </c>
    </row>
    <row r="186" spans="3:55" hidden="1" outlineLevel="1" x14ac:dyDescent="0.2">
      <c r="C186" s="162" t="str">
        <v>Sitios RNC remotos</v>
      </c>
      <c r="D186" s="162" t="str">
        <v>Minutos radio equivalentes UMTS+HSPA</v>
      </c>
      <c r="E186" s="62">
        <f t="shared" si="52"/>
        <v>0</v>
      </c>
      <c r="F186" s="39">
        <f t="array" ref="F186:BC186">INDEX(RF.Option.Table,MATCH($D186,RF.Option.List,0),)</f>
        <v>0</v>
      </c>
      <c r="G186" s="39">
        <v>0</v>
      </c>
      <c r="H186" s="39">
        <v>0</v>
      </c>
      <c r="I186" s="39">
        <v>0</v>
      </c>
      <c r="J186" s="39">
        <v>0</v>
      </c>
      <c r="K186" s="39">
        <v>0</v>
      </c>
      <c r="L186" s="39">
        <v>0</v>
      </c>
      <c r="M186" s="39">
        <v>2.8319607843137256</v>
      </c>
      <c r="N186" s="39">
        <v>1.4232291666666665</v>
      </c>
      <c r="O186" s="39">
        <v>1.4516666666666667</v>
      </c>
      <c r="P186" s="39">
        <v>1.393888888888889</v>
      </c>
      <c r="Q186" s="39">
        <v>1.4232291666666665</v>
      </c>
      <c r="R186" s="39">
        <v>1.4516666666666667</v>
      </c>
      <c r="S186" s="39">
        <v>1.393888888888889</v>
      </c>
      <c r="T186" s="39">
        <v>0</v>
      </c>
      <c r="U186" s="39">
        <v>0</v>
      </c>
      <c r="V186" s="39">
        <v>0</v>
      </c>
      <c r="W186" s="39">
        <v>0</v>
      </c>
      <c r="X186" s="39">
        <v>0</v>
      </c>
      <c r="Y186" s="39">
        <v>0</v>
      </c>
      <c r="Z186" s="39">
        <v>0</v>
      </c>
      <c r="AA186" s="39">
        <v>0</v>
      </c>
      <c r="AB186" s="39">
        <v>0</v>
      </c>
      <c r="AC186" s="39">
        <v>0</v>
      </c>
      <c r="AD186" s="39">
        <v>1E-3</v>
      </c>
      <c r="AE186" s="39">
        <v>5.0000000000000001E-4</v>
      </c>
      <c r="AF186" s="39">
        <v>5.0000000000000001E-4</v>
      </c>
      <c r="AG186" s="39">
        <v>0</v>
      </c>
      <c r="AH186" s="39">
        <v>0</v>
      </c>
      <c r="AI186" s="39">
        <v>0</v>
      </c>
      <c r="AJ186" s="39">
        <v>0</v>
      </c>
      <c r="AK186" s="39">
        <v>9.1</v>
      </c>
      <c r="AL186" s="39">
        <v>0.45295418641390212</v>
      </c>
      <c r="AM186" s="39">
        <v>0</v>
      </c>
      <c r="AN186" s="39">
        <v>0</v>
      </c>
      <c r="AO186" s="39">
        <v>0</v>
      </c>
      <c r="AP186" s="39">
        <v>0</v>
      </c>
      <c r="AQ186" s="39">
        <v>0</v>
      </c>
      <c r="AR186" s="39">
        <v>0</v>
      </c>
      <c r="AS186" s="39">
        <v>0</v>
      </c>
      <c r="AT186" s="39">
        <v>0</v>
      </c>
      <c r="AU186" s="39">
        <v>0</v>
      </c>
      <c r="AV186" s="39">
        <v>0</v>
      </c>
      <c r="AW186" s="39">
        <v>0</v>
      </c>
      <c r="AX186" s="39">
        <v>0</v>
      </c>
      <c r="AY186" s="39">
        <v>0</v>
      </c>
      <c r="AZ186" s="39">
        <v>0</v>
      </c>
      <c r="BA186" s="39">
        <v>0</v>
      </c>
      <c r="BB186" s="39">
        <v>0</v>
      </c>
      <c r="BC186" s="39">
        <v>0</v>
      </c>
    </row>
    <row r="187" spans="3:55" hidden="1" outlineLevel="1" x14ac:dyDescent="0.2">
      <c r="C187" s="162" t="str">
        <v>BSC: 2100</v>
      </c>
      <c r="D187" s="162" t="str">
        <v>Minutos radio equivalentes GSM</v>
      </c>
      <c r="E187" s="62">
        <f t="shared" ref="E187:E250" si="53">IF(OR(AND(SUM(F187:BC187)=0,LEFT(C187,5)&lt;&gt;"Asset"),AND(SUM(F187:BC187)&gt;0,LEFT(C187,5)="Asset")),1,0)</f>
        <v>0</v>
      </c>
      <c r="F187" s="39">
        <f t="array" ref="F187:BC187">INDEX(RF.Option.Table,MATCH($D187,RF.Option.List,0),)</f>
        <v>2.1784313725490194</v>
      </c>
      <c r="G187" s="39">
        <v>1.0947916666666666</v>
      </c>
      <c r="H187" s="39">
        <v>1.1166666666666667</v>
      </c>
      <c r="I187" s="39">
        <v>1.0722222222222222</v>
      </c>
      <c r="J187" s="39">
        <v>1.0947916666666666</v>
      </c>
      <c r="K187" s="39">
        <v>1.1166666666666667</v>
      </c>
      <c r="L187" s="39">
        <v>1.0722222222222222</v>
      </c>
      <c r="M187" s="39">
        <v>0</v>
      </c>
      <c r="N187" s="39">
        <v>0</v>
      </c>
      <c r="O187" s="39">
        <v>0</v>
      </c>
      <c r="P187" s="39">
        <v>0</v>
      </c>
      <c r="Q187" s="39">
        <v>0</v>
      </c>
      <c r="R187" s="39">
        <v>0</v>
      </c>
      <c r="S187" s="39">
        <v>0</v>
      </c>
      <c r="T187" s="39">
        <v>0</v>
      </c>
      <c r="U187" s="39">
        <v>0</v>
      </c>
      <c r="V187" s="39">
        <v>0</v>
      </c>
      <c r="W187" s="39">
        <v>0</v>
      </c>
      <c r="X187" s="39">
        <v>0</v>
      </c>
      <c r="Y187" s="39">
        <v>0</v>
      </c>
      <c r="Z187" s="39">
        <v>0</v>
      </c>
      <c r="AA187" s="39">
        <v>0</v>
      </c>
      <c r="AB187" s="39">
        <v>0</v>
      </c>
      <c r="AC187" s="39">
        <v>0</v>
      </c>
      <c r="AD187" s="39">
        <v>0</v>
      </c>
      <c r="AE187" s="39">
        <v>0</v>
      </c>
      <c r="AF187" s="39">
        <v>0</v>
      </c>
      <c r="AG187" s="39">
        <v>0</v>
      </c>
      <c r="AH187" s="39">
        <v>0</v>
      </c>
      <c r="AI187" s="39">
        <v>0</v>
      </c>
      <c r="AJ187" s="39">
        <v>4.4600888888888894</v>
      </c>
      <c r="AK187" s="39">
        <v>0</v>
      </c>
      <c r="AL187" s="39">
        <v>0</v>
      </c>
      <c r="AM187" s="39">
        <v>0</v>
      </c>
      <c r="AN187" s="39">
        <v>0</v>
      </c>
      <c r="AO187" s="39">
        <v>0</v>
      </c>
      <c r="AP187" s="39">
        <v>0</v>
      </c>
      <c r="AQ187" s="39">
        <v>0</v>
      </c>
      <c r="AR187" s="39">
        <v>0</v>
      </c>
      <c r="AS187" s="39">
        <v>0</v>
      </c>
      <c r="AT187" s="39">
        <v>0</v>
      </c>
      <c r="AU187" s="39">
        <v>0</v>
      </c>
      <c r="AV187" s="39">
        <v>0</v>
      </c>
      <c r="AW187" s="39">
        <v>0</v>
      </c>
      <c r="AX187" s="39">
        <v>0</v>
      </c>
      <c r="AY187" s="39">
        <v>0</v>
      </c>
      <c r="AZ187" s="39">
        <v>0</v>
      </c>
      <c r="BA187" s="39">
        <v>0</v>
      </c>
      <c r="BB187" s="39">
        <v>0</v>
      </c>
      <c r="BC187" s="39">
        <v>0</v>
      </c>
    </row>
    <row r="188" spans="3:55" hidden="1" outlineLevel="1" x14ac:dyDescent="0.2">
      <c r="C188" s="162" t="str">
        <v>BSC: 4200</v>
      </c>
      <c r="D188" s="162" t="str">
        <v>Minutos radio equivalentes GSM</v>
      </c>
      <c r="E188" s="62">
        <f t="shared" si="53"/>
        <v>0</v>
      </c>
      <c r="F188" s="39">
        <f t="array" ref="F188:BC188">INDEX(RF.Option.Table,MATCH($D188,RF.Option.List,0),)</f>
        <v>2.1784313725490194</v>
      </c>
      <c r="G188" s="39">
        <v>1.0947916666666666</v>
      </c>
      <c r="H188" s="39">
        <v>1.1166666666666667</v>
      </c>
      <c r="I188" s="39">
        <v>1.0722222222222222</v>
      </c>
      <c r="J188" s="39">
        <v>1.0947916666666666</v>
      </c>
      <c r="K188" s="39">
        <v>1.1166666666666667</v>
      </c>
      <c r="L188" s="39">
        <v>1.0722222222222222</v>
      </c>
      <c r="M188" s="39">
        <v>0</v>
      </c>
      <c r="N188" s="39">
        <v>0</v>
      </c>
      <c r="O188" s="39">
        <v>0</v>
      </c>
      <c r="P188" s="39">
        <v>0</v>
      </c>
      <c r="Q188" s="39">
        <v>0</v>
      </c>
      <c r="R188" s="39">
        <v>0</v>
      </c>
      <c r="S188" s="39">
        <v>0</v>
      </c>
      <c r="T188" s="39">
        <v>0</v>
      </c>
      <c r="U188" s="39">
        <v>0</v>
      </c>
      <c r="V188" s="39">
        <v>0</v>
      </c>
      <c r="W188" s="39">
        <v>0</v>
      </c>
      <c r="X188" s="39">
        <v>0</v>
      </c>
      <c r="Y188" s="39">
        <v>0</v>
      </c>
      <c r="Z188" s="39">
        <v>0</v>
      </c>
      <c r="AA188" s="39">
        <v>0</v>
      </c>
      <c r="AB188" s="39">
        <v>0</v>
      </c>
      <c r="AC188" s="39">
        <v>0</v>
      </c>
      <c r="AD188" s="39">
        <v>0</v>
      </c>
      <c r="AE188" s="39">
        <v>0</v>
      </c>
      <c r="AF188" s="39">
        <v>0</v>
      </c>
      <c r="AG188" s="39">
        <v>0</v>
      </c>
      <c r="AH188" s="39">
        <v>0</v>
      </c>
      <c r="AI188" s="39">
        <v>0</v>
      </c>
      <c r="AJ188" s="39">
        <v>4.4600888888888894</v>
      </c>
      <c r="AK188" s="39">
        <v>0</v>
      </c>
      <c r="AL188" s="39">
        <v>0</v>
      </c>
      <c r="AM188" s="39">
        <v>0</v>
      </c>
      <c r="AN188" s="39">
        <v>0</v>
      </c>
      <c r="AO188" s="39">
        <v>0</v>
      </c>
      <c r="AP188" s="39">
        <v>0</v>
      </c>
      <c r="AQ188" s="39">
        <v>0</v>
      </c>
      <c r="AR188" s="39">
        <v>0</v>
      </c>
      <c r="AS188" s="39">
        <v>0</v>
      </c>
      <c r="AT188" s="39">
        <v>0</v>
      </c>
      <c r="AU188" s="39">
        <v>0</v>
      </c>
      <c r="AV188" s="39">
        <v>0</v>
      </c>
      <c r="AW188" s="39">
        <v>0</v>
      </c>
      <c r="AX188" s="39">
        <v>0</v>
      </c>
      <c r="AY188" s="39">
        <v>0</v>
      </c>
      <c r="AZ188" s="39">
        <v>0</v>
      </c>
      <c r="BA188" s="39">
        <v>0</v>
      </c>
      <c r="BB188" s="39">
        <v>0</v>
      </c>
      <c r="BC188" s="39">
        <v>0</v>
      </c>
    </row>
    <row r="189" spans="3:55" hidden="1" outlineLevel="1" x14ac:dyDescent="0.2">
      <c r="C189" s="162" t="str">
        <v>BSC: 8000</v>
      </c>
      <c r="D189" s="162" t="str">
        <v>Minutos radio equivalentes GSM</v>
      </c>
      <c r="E189" s="62">
        <f t="shared" si="53"/>
        <v>0</v>
      </c>
      <c r="F189" s="39">
        <f t="array" ref="F189:BC189">INDEX(RF.Option.Table,MATCH($D189,RF.Option.List,0),)</f>
        <v>2.1784313725490194</v>
      </c>
      <c r="G189" s="39">
        <v>1.0947916666666666</v>
      </c>
      <c r="H189" s="39">
        <v>1.1166666666666667</v>
      </c>
      <c r="I189" s="39">
        <v>1.0722222222222222</v>
      </c>
      <c r="J189" s="39">
        <v>1.0947916666666666</v>
      </c>
      <c r="K189" s="39">
        <v>1.1166666666666667</v>
      </c>
      <c r="L189" s="39">
        <v>1.0722222222222222</v>
      </c>
      <c r="M189" s="39">
        <v>0</v>
      </c>
      <c r="N189" s="39">
        <v>0</v>
      </c>
      <c r="O189" s="39">
        <v>0</v>
      </c>
      <c r="P189" s="39">
        <v>0</v>
      </c>
      <c r="Q189" s="39">
        <v>0</v>
      </c>
      <c r="R189" s="39">
        <v>0</v>
      </c>
      <c r="S189" s="39">
        <v>0</v>
      </c>
      <c r="T189" s="39">
        <v>0</v>
      </c>
      <c r="U189" s="39">
        <v>0</v>
      </c>
      <c r="V189" s="39">
        <v>0</v>
      </c>
      <c r="W189" s="39">
        <v>0</v>
      </c>
      <c r="X189" s="39">
        <v>0</v>
      </c>
      <c r="Y189" s="39">
        <v>0</v>
      </c>
      <c r="Z189" s="39">
        <v>0</v>
      </c>
      <c r="AA189" s="39">
        <v>0</v>
      </c>
      <c r="AB189" s="39">
        <v>0</v>
      </c>
      <c r="AC189" s="39">
        <v>0</v>
      </c>
      <c r="AD189" s="39">
        <v>0</v>
      </c>
      <c r="AE189" s="39">
        <v>0</v>
      </c>
      <c r="AF189" s="39">
        <v>0</v>
      </c>
      <c r="AG189" s="39">
        <v>0</v>
      </c>
      <c r="AH189" s="39">
        <v>0</v>
      </c>
      <c r="AI189" s="39">
        <v>0</v>
      </c>
      <c r="AJ189" s="39">
        <v>4.4600888888888894</v>
      </c>
      <c r="AK189" s="39">
        <v>0</v>
      </c>
      <c r="AL189" s="39">
        <v>0</v>
      </c>
      <c r="AM189" s="39">
        <v>0</v>
      </c>
      <c r="AN189" s="39">
        <v>0</v>
      </c>
      <c r="AO189" s="39">
        <v>0</v>
      </c>
      <c r="AP189" s="39">
        <v>0</v>
      </c>
      <c r="AQ189" s="39">
        <v>0</v>
      </c>
      <c r="AR189" s="39">
        <v>0</v>
      </c>
      <c r="AS189" s="39">
        <v>0</v>
      </c>
      <c r="AT189" s="39">
        <v>0</v>
      </c>
      <c r="AU189" s="39">
        <v>0</v>
      </c>
      <c r="AV189" s="39">
        <v>0</v>
      </c>
      <c r="AW189" s="39">
        <v>0</v>
      </c>
      <c r="AX189" s="39">
        <v>0</v>
      </c>
      <c r="AY189" s="39">
        <v>0</v>
      </c>
      <c r="AZ189" s="39">
        <v>0</v>
      </c>
      <c r="BA189" s="39">
        <v>0</v>
      </c>
      <c r="BB189" s="39">
        <v>0</v>
      </c>
      <c r="BC189" s="39">
        <v>0</v>
      </c>
    </row>
    <row r="190" spans="3:55" hidden="1" outlineLevel="1" x14ac:dyDescent="0.2">
      <c r="C190" s="162" t="str">
        <v>RNC: 1600</v>
      </c>
      <c r="D190" s="162" t="str">
        <v>Minutos radio equivalentes UMTS+HSPA</v>
      </c>
      <c r="E190" s="62">
        <f t="shared" si="53"/>
        <v>0</v>
      </c>
      <c r="F190" s="39">
        <f t="array" ref="F190:BC190">INDEX(RF.Option.Table,MATCH($D190,RF.Option.List,0),)</f>
        <v>0</v>
      </c>
      <c r="G190" s="39">
        <v>0</v>
      </c>
      <c r="H190" s="39">
        <v>0</v>
      </c>
      <c r="I190" s="39">
        <v>0</v>
      </c>
      <c r="J190" s="39">
        <v>0</v>
      </c>
      <c r="K190" s="39">
        <v>0</v>
      </c>
      <c r="L190" s="39">
        <v>0</v>
      </c>
      <c r="M190" s="39">
        <v>2.8319607843137256</v>
      </c>
      <c r="N190" s="39">
        <v>1.4232291666666665</v>
      </c>
      <c r="O190" s="39">
        <v>1.4516666666666667</v>
      </c>
      <c r="P190" s="39">
        <v>1.393888888888889</v>
      </c>
      <c r="Q190" s="39">
        <v>1.4232291666666665</v>
      </c>
      <c r="R190" s="39">
        <v>1.4516666666666667</v>
      </c>
      <c r="S190" s="39">
        <v>1.393888888888889</v>
      </c>
      <c r="T190" s="39">
        <v>0</v>
      </c>
      <c r="U190" s="39">
        <v>0</v>
      </c>
      <c r="V190" s="39">
        <v>0</v>
      </c>
      <c r="W190" s="39">
        <v>0</v>
      </c>
      <c r="X190" s="39">
        <v>0</v>
      </c>
      <c r="Y190" s="39">
        <v>0</v>
      </c>
      <c r="Z190" s="39">
        <v>0</v>
      </c>
      <c r="AA190" s="39">
        <v>0</v>
      </c>
      <c r="AB190" s="39">
        <v>0</v>
      </c>
      <c r="AC190" s="39">
        <v>0</v>
      </c>
      <c r="AD190" s="39">
        <v>1E-3</v>
      </c>
      <c r="AE190" s="39">
        <v>5.0000000000000001E-4</v>
      </c>
      <c r="AF190" s="39">
        <v>5.0000000000000001E-4</v>
      </c>
      <c r="AG190" s="39">
        <v>0</v>
      </c>
      <c r="AH190" s="39">
        <v>0</v>
      </c>
      <c r="AI190" s="39">
        <v>0</v>
      </c>
      <c r="AJ190" s="39">
        <v>0</v>
      </c>
      <c r="AK190" s="39">
        <v>9.1</v>
      </c>
      <c r="AL190" s="39">
        <v>0.45295418641390212</v>
      </c>
      <c r="AM190" s="39">
        <v>0</v>
      </c>
      <c r="AN190" s="39">
        <v>0</v>
      </c>
      <c r="AO190" s="39">
        <v>0</v>
      </c>
      <c r="AP190" s="39">
        <v>0</v>
      </c>
      <c r="AQ190" s="39">
        <v>0</v>
      </c>
      <c r="AR190" s="39">
        <v>0</v>
      </c>
      <c r="AS190" s="39">
        <v>0</v>
      </c>
      <c r="AT190" s="39">
        <v>0</v>
      </c>
      <c r="AU190" s="39">
        <v>0</v>
      </c>
      <c r="AV190" s="39">
        <v>0</v>
      </c>
      <c r="AW190" s="39">
        <v>0</v>
      </c>
      <c r="AX190" s="39">
        <v>0</v>
      </c>
      <c r="AY190" s="39">
        <v>0</v>
      </c>
      <c r="AZ190" s="39">
        <v>0</v>
      </c>
      <c r="BA190" s="39">
        <v>0</v>
      </c>
      <c r="BB190" s="39">
        <v>0</v>
      </c>
      <c r="BC190" s="39">
        <v>0</v>
      </c>
    </row>
    <row r="191" spans="3:55" hidden="1" outlineLevel="1" x14ac:dyDescent="0.2">
      <c r="C191" s="162" t="str">
        <v>RNC: 2600</v>
      </c>
      <c r="D191" s="162" t="str">
        <v>Minutos radio equivalentes UMTS+HSPA</v>
      </c>
      <c r="E191" s="62">
        <f t="shared" si="53"/>
        <v>0</v>
      </c>
      <c r="F191" s="39">
        <f t="array" ref="F191:BC191">INDEX(RF.Option.Table,MATCH($D191,RF.Option.List,0),)</f>
        <v>0</v>
      </c>
      <c r="G191" s="39">
        <v>0</v>
      </c>
      <c r="H191" s="39">
        <v>0</v>
      </c>
      <c r="I191" s="39">
        <v>0</v>
      </c>
      <c r="J191" s="39">
        <v>0</v>
      </c>
      <c r="K191" s="39">
        <v>0</v>
      </c>
      <c r="L191" s="39">
        <v>0</v>
      </c>
      <c r="M191" s="39">
        <v>2.8319607843137256</v>
      </c>
      <c r="N191" s="39">
        <v>1.4232291666666665</v>
      </c>
      <c r="O191" s="39">
        <v>1.4516666666666667</v>
      </c>
      <c r="P191" s="39">
        <v>1.393888888888889</v>
      </c>
      <c r="Q191" s="39">
        <v>1.4232291666666665</v>
      </c>
      <c r="R191" s="39">
        <v>1.4516666666666667</v>
      </c>
      <c r="S191" s="39">
        <v>1.393888888888889</v>
      </c>
      <c r="T191" s="39">
        <v>0</v>
      </c>
      <c r="U191" s="39">
        <v>0</v>
      </c>
      <c r="V191" s="39">
        <v>0</v>
      </c>
      <c r="W191" s="39">
        <v>0</v>
      </c>
      <c r="X191" s="39">
        <v>0</v>
      </c>
      <c r="Y191" s="39">
        <v>0</v>
      </c>
      <c r="Z191" s="39">
        <v>0</v>
      </c>
      <c r="AA191" s="39">
        <v>0</v>
      </c>
      <c r="AB191" s="39">
        <v>0</v>
      </c>
      <c r="AC191" s="39">
        <v>0</v>
      </c>
      <c r="AD191" s="39">
        <v>1E-3</v>
      </c>
      <c r="AE191" s="39">
        <v>5.0000000000000001E-4</v>
      </c>
      <c r="AF191" s="39">
        <v>5.0000000000000001E-4</v>
      </c>
      <c r="AG191" s="39">
        <v>0</v>
      </c>
      <c r="AH191" s="39">
        <v>0</v>
      </c>
      <c r="AI191" s="39">
        <v>0</v>
      </c>
      <c r="AJ191" s="39">
        <v>0</v>
      </c>
      <c r="AK191" s="39">
        <v>9.1</v>
      </c>
      <c r="AL191" s="39">
        <v>0.45295418641390212</v>
      </c>
      <c r="AM191" s="39">
        <v>0</v>
      </c>
      <c r="AN191" s="39">
        <v>0</v>
      </c>
      <c r="AO191" s="39">
        <v>0</v>
      </c>
      <c r="AP191" s="39">
        <v>0</v>
      </c>
      <c r="AQ191" s="39">
        <v>0</v>
      </c>
      <c r="AR191" s="39">
        <v>0</v>
      </c>
      <c r="AS191" s="39">
        <v>0</v>
      </c>
      <c r="AT191" s="39">
        <v>0</v>
      </c>
      <c r="AU191" s="39">
        <v>0</v>
      </c>
      <c r="AV191" s="39">
        <v>0</v>
      </c>
      <c r="AW191" s="39">
        <v>0</v>
      </c>
      <c r="AX191" s="39">
        <v>0</v>
      </c>
      <c r="AY191" s="39">
        <v>0</v>
      </c>
      <c r="AZ191" s="39">
        <v>0</v>
      </c>
      <c r="BA191" s="39">
        <v>0</v>
      </c>
      <c r="BB191" s="39">
        <v>0</v>
      </c>
      <c r="BC191" s="39">
        <v>0</v>
      </c>
    </row>
    <row r="192" spans="3:55" hidden="1" outlineLevel="1" x14ac:dyDescent="0.2">
      <c r="C192" s="162" t="str">
        <v>RNC: 5000</v>
      </c>
      <c r="D192" s="162" t="str">
        <v>Minutos radio equivalentes UMTS+HSPA</v>
      </c>
      <c r="E192" s="62">
        <f t="shared" si="53"/>
        <v>0</v>
      </c>
      <c r="F192" s="39">
        <f t="array" ref="F192:BC192">INDEX(RF.Option.Table,MATCH($D192,RF.Option.List,0),)</f>
        <v>0</v>
      </c>
      <c r="G192" s="39">
        <v>0</v>
      </c>
      <c r="H192" s="39">
        <v>0</v>
      </c>
      <c r="I192" s="39">
        <v>0</v>
      </c>
      <c r="J192" s="39">
        <v>0</v>
      </c>
      <c r="K192" s="39">
        <v>0</v>
      </c>
      <c r="L192" s="39">
        <v>0</v>
      </c>
      <c r="M192" s="39">
        <v>2.8319607843137256</v>
      </c>
      <c r="N192" s="39">
        <v>1.4232291666666665</v>
      </c>
      <c r="O192" s="39">
        <v>1.4516666666666667</v>
      </c>
      <c r="P192" s="39">
        <v>1.393888888888889</v>
      </c>
      <c r="Q192" s="39">
        <v>1.4232291666666665</v>
      </c>
      <c r="R192" s="39">
        <v>1.4516666666666667</v>
      </c>
      <c r="S192" s="39">
        <v>1.393888888888889</v>
      </c>
      <c r="T192" s="39">
        <v>0</v>
      </c>
      <c r="U192" s="39">
        <v>0</v>
      </c>
      <c r="V192" s="39">
        <v>0</v>
      </c>
      <c r="W192" s="39">
        <v>0</v>
      </c>
      <c r="X192" s="39">
        <v>0</v>
      </c>
      <c r="Y192" s="39">
        <v>0</v>
      </c>
      <c r="Z192" s="39">
        <v>0</v>
      </c>
      <c r="AA192" s="39">
        <v>0</v>
      </c>
      <c r="AB192" s="39">
        <v>0</v>
      </c>
      <c r="AC192" s="39">
        <v>0</v>
      </c>
      <c r="AD192" s="39">
        <v>1E-3</v>
      </c>
      <c r="AE192" s="39">
        <v>5.0000000000000001E-4</v>
      </c>
      <c r="AF192" s="39">
        <v>5.0000000000000001E-4</v>
      </c>
      <c r="AG192" s="39">
        <v>0</v>
      </c>
      <c r="AH192" s="39">
        <v>0</v>
      </c>
      <c r="AI192" s="39">
        <v>0</v>
      </c>
      <c r="AJ192" s="39">
        <v>0</v>
      </c>
      <c r="AK192" s="39">
        <v>9.1</v>
      </c>
      <c r="AL192" s="39">
        <v>0.45295418641390212</v>
      </c>
      <c r="AM192" s="39">
        <v>0</v>
      </c>
      <c r="AN192" s="39">
        <v>0</v>
      </c>
      <c r="AO192" s="39">
        <v>0</v>
      </c>
      <c r="AP192" s="39">
        <v>0</v>
      </c>
      <c r="AQ192" s="39">
        <v>0</v>
      </c>
      <c r="AR192" s="39">
        <v>0</v>
      </c>
      <c r="AS192" s="39">
        <v>0</v>
      </c>
      <c r="AT192" s="39">
        <v>0</v>
      </c>
      <c r="AU192" s="39">
        <v>0</v>
      </c>
      <c r="AV192" s="39">
        <v>0</v>
      </c>
      <c r="AW192" s="39">
        <v>0</v>
      </c>
      <c r="AX192" s="39">
        <v>0</v>
      </c>
      <c r="AY192" s="39">
        <v>0</v>
      </c>
      <c r="AZ192" s="39">
        <v>0</v>
      </c>
      <c r="BA192" s="39">
        <v>0</v>
      </c>
      <c r="BB192" s="39">
        <v>0</v>
      </c>
      <c r="BC192" s="39">
        <v>0</v>
      </c>
    </row>
    <row r="193" spans="3:55" hidden="1" outlineLevel="1" x14ac:dyDescent="0.2">
      <c r="C193" s="162" t="str">
        <v>BSC a Core punto de acceso: Voz: 8.45</v>
      </c>
      <c r="D193" s="162" t="str">
        <v>GSM solo voz radio y SMS</v>
      </c>
      <c r="E193" s="62">
        <f t="shared" si="53"/>
        <v>0</v>
      </c>
      <c r="F193" s="39">
        <f t="array" ref="F193:BC193">INDEX(RF.Option.Table,MATCH($D193,RF.Option.List,0),)</f>
        <v>2.1784313725490194</v>
      </c>
      <c r="G193" s="39">
        <v>1.0947916666666666</v>
      </c>
      <c r="H193" s="39">
        <v>1.1166666666666667</v>
      </c>
      <c r="I193" s="39">
        <v>1.0722222222222222</v>
      </c>
      <c r="J193" s="39">
        <v>1.0947916666666666</v>
      </c>
      <c r="K193" s="39">
        <v>1.1166666666666667</v>
      </c>
      <c r="L193" s="39">
        <v>1.0722222222222222</v>
      </c>
      <c r="M193" s="39">
        <v>0</v>
      </c>
      <c r="N193" s="39">
        <v>0</v>
      </c>
      <c r="O193" s="39">
        <v>0</v>
      </c>
      <c r="P193" s="39">
        <v>0</v>
      </c>
      <c r="Q193" s="39">
        <v>0</v>
      </c>
      <c r="R193" s="39">
        <v>0</v>
      </c>
      <c r="S193" s="39">
        <v>0</v>
      </c>
      <c r="T193" s="39">
        <v>0</v>
      </c>
      <c r="U193" s="39">
        <v>0</v>
      </c>
      <c r="V193" s="39">
        <v>0</v>
      </c>
      <c r="W193" s="39">
        <v>0</v>
      </c>
      <c r="X193" s="39">
        <v>0</v>
      </c>
      <c r="Y193" s="39">
        <v>0</v>
      </c>
      <c r="Z193" s="39">
        <v>0</v>
      </c>
      <c r="AA193" s="39">
        <v>2.6075619295958278E-3</v>
      </c>
      <c r="AB193" s="39">
        <v>1.3037809647979139E-3</v>
      </c>
      <c r="AC193" s="39">
        <v>1.3037809647979139E-3</v>
      </c>
      <c r="AD193" s="39">
        <v>0</v>
      </c>
      <c r="AE193" s="39">
        <v>0</v>
      </c>
      <c r="AF193" s="39">
        <v>0</v>
      </c>
      <c r="AG193" s="39">
        <v>0</v>
      </c>
      <c r="AH193" s="39">
        <v>0</v>
      </c>
      <c r="AI193" s="39">
        <v>0</v>
      </c>
      <c r="AJ193" s="39">
        <v>0</v>
      </c>
      <c r="AK193" s="39">
        <v>0</v>
      </c>
      <c r="AL193" s="39">
        <v>0</v>
      </c>
      <c r="AM193" s="39">
        <v>0</v>
      </c>
      <c r="AN193" s="39">
        <v>0</v>
      </c>
      <c r="AO193" s="39">
        <v>0</v>
      </c>
      <c r="AP193" s="39">
        <v>0</v>
      </c>
      <c r="AQ193" s="39">
        <v>0</v>
      </c>
      <c r="AR193" s="39">
        <v>0</v>
      </c>
      <c r="AS193" s="39">
        <v>0</v>
      </c>
      <c r="AT193" s="39">
        <v>0</v>
      </c>
      <c r="AU193" s="39">
        <v>0</v>
      </c>
      <c r="AV193" s="39">
        <v>0</v>
      </c>
      <c r="AW193" s="39">
        <v>0</v>
      </c>
      <c r="AX193" s="39">
        <v>0</v>
      </c>
      <c r="AY193" s="39">
        <v>0</v>
      </c>
      <c r="AZ193" s="39">
        <v>0</v>
      </c>
      <c r="BA193" s="39">
        <v>0</v>
      </c>
      <c r="BB193" s="39">
        <v>0</v>
      </c>
      <c r="BC193" s="39">
        <v>0</v>
      </c>
    </row>
    <row r="194" spans="3:55" hidden="1" outlineLevel="1" x14ac:dyDescent="0.2">
      <c r="C194" s="162" t="str">
        <v>BSC a Core punto de acceso: Voz: 34.37</v>
      </c>
      <c r="D194" s="162" t="str">
        <v>GSM solo voz radio y SMS</v>
      </c>
      <c r="E194" s="62">
        <f t="shared" si="53"/>
        <v>0</v>
      </c>
      <c r="F194" s="39">
        <f t="array" ref="F194:BC194">INDEX(RF.Option.Table,MATCH($D194,RF.Option.List,0),)</f>
        <v>2.1784313725490194</v>
      </c>
      <c r="G194" s="39">
        <v>1.0947916666666666</v>
      </c>
      <c r="H194" s="39">
        <v>1.1166666666666667</v>
      </c>
      <c r="I194" s="39">
        <v>1.0722222222222222</v>
      </c>
      <c r="J194" s="39">
        <v>1.0947916666666666</v>
      </c>
      <c r="K194" s="39">
        <v>1.1166666666666667</v>
      </c>
      <c r="L194" s="39">
        <v>1.0722222222222222</v>
      </c>
      <c r="M194" s="39">
        <v>0</v>
      </c>
      <c r="N194" s="39">
        <v>0</v>
      </c>
      <c r="O194" s="39">
        <v>0</v>
      </c>
      <c r="P194" s="39">
        <v>0</v>
      </c>
      <c r="Q194" s="39">
        <v>0</v>
      </c>
      <c r="R194" s="39">
        <v>0</v>
      </c>
      <c r="S194" s="39">
        <v>0</v>
      </c>
      <c r="T194" s="39">
        <v>0</v>
      </c>
      <c r="U194" s="39">
        <v>0</v>
      </c>
      <c r="V194" s="39">
        <v>0</v>
      </c>
      <c r="W194" s="39">
        <v>0</v>
      </c>
      <c r="X194" s="39">
        <v>0</v>
      </c>
      <c r="Y194" s="39">
        <v>0</v>
      </c>
      <c r="Z194" s="39">
        <v>0</v>
      </c>
      <c r="AA194" s="39">
        <v>2.6075619295958278E-3</v>
      </c>
      <c r="AB194" s="39">
        <v>1.3037809647979139E-3</v>
      </c>
      <c r="AC194" s="39">
        <v>1.3037809647979139E-3</v>
      </c>
      <c r="AD194" s="39">
        <v>0</v>
      </c>
      <c r="AE194" s="39">
        <v>0</v>
      </c>
      <c r="AF194" s="39">
        <v>0</v>
      </c>
      <c r="AG194" s="39">
        <v>0</v>
      </c>
      <c r="AH194" s="39">
        <v>0</v>
      </c>
      <c r="AI194" s="39">
        <v>0</v>
      </c>
      <c r="AJ194" s="39">
        <v>0</v>
      </c>
      <c r="AK194" s="39">
        <v>0</v>
      </c>
      <c r="AL194" s="39">
        <v>0</v>
      </c>
      <c r="AM194" s="39">
        <v>0</v>
      </c>
      <c r="AN194" s="39">
        <v>0</v>
      </c>
      <c r="AO194" s="39">
        <v>0</v>
      </c>
      <c r="AP194" s="39">
        <v>0</v>
      </c>
      <c r="AQ194" s="39">
        <v>0</v>
      </c>
      <c r="AR194" s="39">
        <v>0</v>
      </c>
      <c r="AS194" s="39">
        <v>0</v>
      </c>
      <c r="AT194" s="39">
        <v>0</v>
      </c>
      <c r="AU194" s="39">
        <v>0</v>
      </c>
      <c r="AV194" s="39">
        <v>0</v>
      </c>
      <c r="AW194" s="39">
        <v>0</v>
      </c>
      <c r="AX194" s="39">
        <v>0</v>
      </c>
      <c r="AY194" s="39">
        <v>0</v>
      </c>
      <c r="AZ194" s="39">
        <v>0</v>
      </c>
      <c r="BA194" s="39">
        <v>0</v>
      </c>
      <c r="BB194" s="39">
        <v>0</v>
      </c>
      <c r="BC194" s="39">
        <v>0</v>
      </c>
    </row>
    <row r="195" spans="3:55" hidden="1" outlineLevel="1" x14ac:dyDescent="0.2">
      <c r="C195" s="162" t="str">
        <v>BSC a Core punto de acceso: Voz: 155.52</v>
      </c>
      <c r="D195" s="162" t="str">
        <v>GSM solo voz radio y SMS</v>
      </c>
      <c r="E195" s="62">
        <f t="shared" si="53"/>
        <v>0</v>
      </c>
      <c r="F195" s="39">
        <f t="array" ref="F195:BC195">INDEX(RF.Option.Table,MATCH($D195,RF.Option.List,0),)</f>
        <v>2.1784313725490194</v>
      </c>
      <c r="G195" s="39">
        <v>1.0947916666666666</v>
      </c>
      <c r="H195" s="39">
        <v>1.1166666666666667</v>
      </c>
      <c r="I195" s="39">
        <v>1.0722222222222222</v>
      </c>
      <c r="J195" s="39">
        <v>1.0947916666666666</v>
      </c>
      <c r="K195" s="39">
        <v>1.1166666666666667</v>
      </c>
      <c r="L195" s="39">
        <v>1.0722222222222222</v>
      </c>
      <c r="M195" s="39">
        <v>0</v>
      </c>
      <c r="N195" s="39">
        <v>0</v>
      </c>
      <c r="O195" s="39">
        <v>0</v>
      </c>
      <c r="P195" s="39">
        <v>0</v>
      </c>
      <c r="Q195" s="39">
        <v>0</v>
      </c>
      <c r="R195" s="39">
        <v>0</v>
      </c>
      <c r="S195" s="39">
        <v>0</v>
      </c>
      <c r="T195" s="39">
        <v>0</v>
      </c>
      <c r="U195" s="39">
        <v>0</v>
      </c>
      <c r="V195" s="39">
        <v>0</v>
      </c>
      <c r="W195" s="39">
        <v>0</v>
      </c>
      <c r="X195" s="39">
        <v>0</v>
      </c>
      <c r="Y195" s="39">
        <v>0</v>
      </c>
      <c r="Z195" s="39">
        <v>0</v>
      </c>
      <c r="AA195" s="39">
        <v>2.6075619295958278E-3</v>
      </c>
      <c r="AB195" s="39">
        <v>1.3037809647979139E-3</v>
      </c>
      <c r="AC195" s="39">
        <v>1.3037809647979139E-3</v>
      </c>
      <c r="AD195" s="39">
        <v>0</v>
      </c>
      <c r="AE195" s="39">
        <v>0</v>
      </c>
      <c r="AF195" s="39">
        <v>0</v>
      </c>
      <c r="AG195" s="39">
        <v>0</v>
      </c>
      <c r="AH195" s="39">
        <v>0</v>
      </c>
      <c r="AI195" s="39">
        <v>0</v>
      </c>
      <c r="AJ195" s="39">
        <v>0</v>
      </c>
      <c r="AK195" s="39">
        <v>0</v>
      </c>
      <c r="AL195" s="39">
        <v>0</v>
      </c>
      <c r="AM195" s="39">
        <v>0</v>
      </c>
      <c r="AN195" s="39">
        <v>0</v>
      </c>
      <c r="AO195" s="39">
        <v>0</v>
      </c>
      <c r="AP195" s="39">
        <v>0</v>
      </c>
      <c r="AQ195" s="39">
        <v>0</v>
      </c>
      <c r="AR195" s="39">
        <v>0</v>
      </c>
      <c r="AS195" s="39">
        <v>0</v>
      </c>
      <c r="AT195" s="39">
        <v>0</v>
      </c>
      <c r="AU195" s="39">
        <v>0</v>
      </c>
      <c r="AV195" s="39">
        <v>0</v>
      </c>
      <c r="AW195" s="39">
        <v>0</v>
      </c>
      <c r="AX195" s="39">
        <v>0</v>
      </c>
      <c r="AY195" s="39">
        <v>0</v>
      </c>
      <c r="AZ195" s="39">
        <v>0</v>
      </c>
      <c r="BA195" s="39">
        <v>0</v>
      </c>
      <c r="BB195" s="39">
        <v>0</v>
      </c>
      <c r="BC195" s="39">
        <v>0</v>
      </c>
    </row>
    <row r="196" spans="3:55" hidden="1" outlineLevel="1" x14ac:dyDescent="0.2">
      <c r="C196" s="162" t="str">
        <v>BSC a Core punto de acceso: Voz: 30</v>
      </c>
      <c r="D196" s="162" t="str">
        <v>GSM solo voz radio y SMS</v>
      </c>
      <c r="E196" s="62">
        <f t="shared" si="53"/>
        <v>0</v>
      </c>
      <c r="F196" s="39">
        <f t="array" ref="F196:BC196">INDEX(RF.Option.Table,MATCH($D196,RF.Option.List,0),)</f>
        <v>2.1784313725490194</v>
      </c>
      <c r="G196" s="39">
        <v>1.0947916666666666</v>
      </c>
      <c r="H196" s="39">
        <v>1.1166666666666667</v>
      </c>
      <c r="I196" s="39">
        <v>1.0722222222222222</v>
      </c>
      <c r="J196" s="39">
        <v>1.0947916666666666</v>
      </c>
      <c r="K196" s="39">
        <v>1.1166666666666667</v>
      </c>
      <c r="L196" s="39">
        <v>1.0722222222222222</v>
      </c>
      <c r="M196" s="39">
        <v>0</v>
      </c>
      <c r="N196" s="39">
        <v>0</v>
      </c>
      <c r="O196" s="39">
        <v>0</v>
      </c>
      <c r="P196" s="39">
        <v>0</v>
      </c>
      <c r="Q196" s="39">
        <v>0</v>
      </c>
      <c r="R196" s="39">
        <v>0</v>
      </c>
      <c r="S196" s="39">
        <v>0</v>
      </c>
      <c r="T196" s="39">
        <v>0</v>
      </c>
      <c r="U196" s="39">
        <v>0</v>
      </c>
      <c r="V196" s="39">
        <v>0</v>
      </c>
      <c r="W196" s="39">
        <v>0</v>
      </c>
      <c r="X196" s="39">
        <v>0</v>
      </c>
      <c r="Y196" s="39">
        <v>0</v>
      </c>
      <c r="Z196" s="39">
        <v>0</v>
      </c>
      <c r="AA196" s="39">
        <v>2.6075619295958278E-3</v>
      </c>
      <c r="AB196" s="39">
        <v>1.3037809647979139E-3</v>
      </c>
      <c r="AC196" s="39">
        <v>1.3037809647979139E-3</v>
      </c>
      <c r="AD196" s="39">
        <v>0</v>
      </c>
      <c r="AE196" s="39">
        <v>0</v>
      </c>
      <c r="AF196" s="39">
        <v>0</v>
      </c>
      <c r="AG196" s="39">
        <v>0</v>
      </c>
      <c r="AH196" s="39">
        <v>0</v>
      </c>
      <c r="AI196" s="39">
        <v>0</v>
      </c>
      <c r="AJ196" s="39">
        <v>0</v>
      </c>
      <c r="AK196" s="39">
        <v>0</v>
      </c>
      <c r="AL196" s="39">
        <v>0</v>
      </c>
      <c r="AM196" s="39">
        <v>0</v>
      </c>
      <c r="AN196" s="39">
        <v>0</v>
      </c>
      <c r="AO196" s="39">
        <v>0</v>
      </c>
      <c r="AP196" s="39">
        <v>0</v>
      </c>
      <c r="AQ196" s="39">
        <v>0</v>
      </c>
      <c r="AR196" s="39">
        <v>0</v>
      </c>
      <c r="AS196" s="39">
        <v>0</v>
      </c>
      <c r="AT196" s="39">
        <v>0</v>
      </c>
      <c r="AU196" s="39">
        <v>0</v>
      </c>
      <c r="AV196" s="39">
        <v>0</v>
      </c>
      <c r="AW196" s="39">
        <v>0</v>
      </c>
      <c r="AX196" s="39">
        <v>0</v>
      </c>
      <c r="AY196" s="39">
        <v>0</v>
      </c>
      <c r="AZ196" s="39">
        <v>0</v>
      </c>
      <c r="BA196" s="39">
        <v>0</v>
      </c>
      <c r="BB196" s="39">
        <v>0</v>
      </c>
      <c r="BC196" s="39">
        <v>0</v>
      </c>
    </row>
    <row r="197" spans="3:55" hidden="1" outlineLevel="1" x14ac:dyDescent="0.2">
      <c r="C197" s="162" t="str">
        <v>BSC a Core punto de acceso: Voz: 100</v>
      </c>
      <c r="D197" s="162" t="str">
        <v>GSM solo voz radio y SMS</v>
      </c>
      <c r="E197" s="62">
        <f t="shared" si="53"/>
        <v>0</v>
      </c>
      <c r="F197" s="39">
        <f t="array" ref="F197:BC197">INDEX(RF.Option.Table,MATCH($D197,RF.Option.List,0),)</f>
        <v>2.1784313725490194</v>
      </c>
      <c r="G197" s="39">
        <v>1.0947916666666666</v>
      </c>
      <c r="H197" s="39">
        <v>1.1166666666666667</v>
      </c>
      <c r="I197" s="39">
        <v>1.0722222222222222</v>
      </c>
      <c r="J197" s="39">
        <v>1.0947916666666666</v>
      </c>
      <c r="K197" s="39">
        <v>1.1166666666666667</v>
      </c>
      <c r="L197" s="39">
        <v>1.0722222222222222</v>
      </c>
      <c r="M197" s="39">
        <v>0</v>
      </c>
      <c r="N197" s="39">
        <v>0</v>
      </c>
      <c r="O197" s="39">
        <v>0</v>
      </c>
      <c r="P197" s="39">
        <v>0</v>
      </c>
      <c r="Q197" s="39">
        <v>0</v>
      </c>
      <c r="R197" s="39">
        <v>0</v>
      </c>
      <c r="S197" s="39">
        <v>0</v>
      </c>
      <c r="T197" s="39">
        <v>0</v>
      </c>
      <c r="U197" s="39">
        <v>0</v>
      </c>
      <c r="V197" s="39">
        <v>0</v>
      </c>
      <c r="W197" s="39">
        <v>0</v>
      </c>
      <c r="X197" s="39">
        <v>0</v>
      </c>
      <c r="Y197" s="39">
        <v>0</v>
      </c>
      <c r="Z197" s="39">
        <v>0</v>
      </c>
      <c r="AA197" s="39">
        <v>2.6075619295958278E-3</v>
      </c>
      <c r="AB197" s="39">
        <v>1.3037809647979139E-3</v>
      </c>
      <c r="AC197" s="39">
        <v>1.3037809647979139E-3</v>
      </c>
      <c r="AD197" s="39">
        <v>0</v>
      </c>
      <c r="AE197" s="39">
        <v>0</v>
      </c>
      <c r="AF197" s="39">
        <v>0</v>
      </c>
      <c r="AG197" s="39">
        <v>0</v>
      </c>
      <c r="AH197" s="39">
        <v>0</v>
      </c>
      <c r="AI197" s="39">
        <v>0</v>
      </c>
      <c r="AJ197" s="39">
        <v>0</v>
      </c>
      <c r="AK197" s="39">
        <v>0</v>
      </c>
      <c r="AL197" s="39">
        <v>0</v>
      </c>
      <c r="AM197" s="39">
        <v>0</v>
      </c>
      <c r="AN197" s="39">
        <v>0</v>
      </c>
      <c r="AO197" s="39">
        <v>0</v>
      </c>
      <c r="AP197" s="39">
        <v>0</v>
      </c>
      <c r="AQ197" s="39">
        <v>0</v>
      </c>
      <c r="AR197" s="39">
        <v>0</v>
      </c>
      <c r="AS197" s="39">
        <v>0</v>
      </c>
      <c r="AT197" s="39">
        <v>0</v>
      </c>
      <c r="AU197" s="39">
        <v>0</v>
      </c>
      <c r="AV197" s="39">
        <v>0</v>
      </c>
      <c r="AW197" s="39">
        <v>0</v>
      </c>
      <c r="AX197" s="39">
        <v>0</v>
      </c>
      <c r="AY197" s="39">
        <v>0</v>
      </c>
      <c r="AZ197" s="39">
        <v>0</v>
      </c>
      <c r="BA197" s="39">
        <v>0</v>
      </c>
      <c r="BB197" s="39">
        <v>0</v>
      </c>
      <c r="BC197" s="39">
        <v>0</v>
      </c>
    </row>
    <row r="198" spans="3:55" hidden="1" outlineLevel="1" x14ac:dyDescent="0.2">
      <c r="C198" s="162" t="str">
        <v>BSC a Core punto de acceso: Voz: 1024</v>
      </c>
      <c r="D198" s="162" t="str">
        <v>GSM solo voz radio y SMS</v>
      </c>
      <c r="E198" s="62">
        <f t="shared" si="53"/>
        <v>0</v>
      </c>
      <c r="F198" s="39">
        <f t="array" ref="F198:BC198">INDEX(RF.Option.Table,MATCH($D198,RF.Option.List,0),)</f>
        <v>2.1784313725490194</v>
      </c>
      <c r="G198" s="39">
        <v>1.0947916666666666</v>
      </c>
      <c r="H198" s="39">
        <v>1.1166666666666667</v>
      </c>
      <c r="I198" s="39">
        <v>1.0722222222222222</v>
      </c>
      <c r="J198" s="39">
        <v>1.0947916666666666</v>
      </c>
      <c r="K198" s="39">
        <v>1.1166666666666667</v>
      </c>
      <c r="L198" s="39">
        <v>1.0722222222222222</v>
      </c>
      <c r="M198" s="39">
        <v>0</v>
      </c>
      <c r="N198" s="39">
        <v>0</v>
      </c>
      <c r="O198" s="39">
        <v>0</v>
      </c>
      <c r="P198" s="39">
        <v>0</v>
      </c>
      <c r="Q198" s="39">
        <v>0</v>
      </c>
      <c r="R198" s="39">
        <v>0</v>
      </c>
      <c r="S198" s="39">
        <v>0</v>
      </c>
      <c r="T198" s="39">
        <v>0</v>
      </c>
      <c r="U198" s="39">
        <v>0</v>
      </c>
      <c r="V198" s="39">
        <v>0</v>
      </c>
      <c r="W198" s="39">
        <v>0</v>
      </c>
      <c r="X198" s="39">
        <v>0</v>
      </c>
      <c r="Y198" s="39">
        <v>0</v>
      </c>
      <c r="Z198" s="39">
        <v>0</v>
      </c>
      <c r="AA198" s="39">
        <v>2.6075619295958278E-3</v>
      </c>
      <c r="AB198" s="39">
        <v>1.3037809647979139E-3</v>
      </c>
      <c r="AC198" s="39">
        <v>1.3037809647979139E-3</v>
      </c>
      <c r="AD198" s="39">
        <v>0</v>
      </c>
      <c r="AE198" s="39">
        <v>0</v>
      </c>
      <c r="AF198" s="39">
        <v>0</v>
      </c>
      <c r="AG198" s="39">
        <v>0</v>
      </c>
      <c r="AH198" s="39">
        <v>0</v>
      </c>
      <c r="AI198" s="39">
        <v>0</v>
      </c>
      <c r="AJ198" s="39">
        <v>0</v>
      </c>
      <c r="AK198" s="39">
        <v>0</v>
      </c>
      <c r="AL198" s="39">
        <v>0</v>
      </c>
      <c r="AM198" s="39">
        <v>0</v>
      </c>
      <c r="AN198" s="39">
        <v>0</v>
      </c>
      <c r="AO198" s="39">
        <v>0</v>
      </c>
      <c r="AP198" s="39">
        <v>0</v>
      </c>
      <c r="AQ198" s="39">
        <v>0</v>
      </c>
      <c r="AR198" s="39">
        <v>0</v>
      </c>
      <c r="AS198" s="39">
        <v>0</v>
      </c>
      <c r="AT198" s="39">
        <v>0</v>
      </c>
      <c r="AU198" s="39">
        <v>0</v>
      </c>
      <c r="AV198" s="39">
        <v>0</v>
      </c>
      <c r="AW198" s="39">
        <v>0</v>
      </c>
      <c r="AX198" s="39">
        <v>0</v>
      </c>
      <c r="AY198" s="39">
        <v>0</v>
      </c>
      <c r="AZ198" s="39">
        <v>0</v>
      </c>
      <c r="BA198" s="39">
        <v>0</v>
      </c>
      <c r="BB198" s="39">
        <v>0</v>
      </c>
      <c r="BC198" s="39">
        <v>0</v>
      </c>
    </row>
    <row r="199" spans="3:55" hidden="1" outlineLevel="1" x14ac:dyDescent="0.2">
      <c r="C199" s="162" t="str">
        <v>BSC a Core punto de acceso: Datos: 8.45</v>
      </c>
      <c r="D199" s="162" t="str">
        <v>GSM tráfico de datos solo</v>
      </c>
      <c r="E199" s="62">
        <f t="shared" si="53"/>
        <v>0</v>
      </c>
      <c r="F199" s="39">
        <f t="array" ref="F199:BC199">INDEX(RF.Option.Table,MATCH($D199,RF.Option.List,0),)</f>
        <v>0</v>
      </c>
      <c r="G199" s="39">
        <v>0</v>
      </c>
      <c r="H199" s="39">
        <v>0</v>
      </c>
      <c r="I199" s="39">
        <v>0</v>
      </c>
      <c r="J199" s="39">
        <v>0</v>
      </c>
      <c r="K199" s="39">
        <v>0</v>
      </c>
      <c r="L199" s="39">
        <v>0</v>
      </c>
      <c r="M199" s="39">
        <v>0</v>
      </c>
      <c r="N199" s="39">
        <v>0</v>
      </c>
      <c r="O199" s="39">
        <v>0</v>
      </c>
      <c r="P199" s="39">
        <v>0</v>
      </c>
      <c r="Q199" s="39">
        <v>0</v>
      </c>
      <c r="R199" s="39">
        <v>0</v>
      </c>
      <c r="S199" s="39">
        <v>0</v>
      </c>
      <c r="T199" s="39">
        <v>0</v>
      </c>
      <c r="U199" s="39">
        <v>0</v>
      </c>
      <c r="V199" s="39">
        <v>0</v>
      </c>
      <c r="W199" s="39">
        <v>0</v>
      </c>
      <c r="X199" s="39">
        <v>0</v>
      </c>
      <c r="Y199" s="39">
        <v>0</v>
      </c>
      <c r="Z199" s="39">
        <v>0</v>
      </c>
      <c r="AA199" s="39">
        <v>0</v>
      </c>
      <c r="AB199" s="39">
        <v>0</v>
      </c>
      <c r="AC199" s="39">
        <v>0</v>
      </c>
      <c r="AD199" s="39">
        <v>0</v>
      </c>
      <c r="AE199" s="39">
        <v>0</v>
      </c>
      <c r="AF199" s="39">
        <v>0</v>
      </c>
      <c r="AG199" s="39">
        <v>0</v>
      </c>
      <c r="AH199" s="39">
        <v>0</v>
      </c>
      <c r="AI199" s="39">
        <v>0</v>
      </c>
      <c r="AJ199" s="39">
        <v>1</v>
      </c>
      <c r="AK199" s="39">
        <v>0</v>
      </c>
      <c r="AL199" s="39">
        <v>0</v>
      </c>
      <c r="AM199" s="39">
        <v>0</v>
      </c>
      <c r="AN199" s="39">
        <v>0</v>
      </c>
      <c r="AO199" s="39">
        <v>0</v>
      </c>
      <c r="AP199" s="39">
        <v>0</v>
      </c>
      <c r="AQ199" s="39">
        <v>0</v>
      </c>
      <c r="AR199" s="39">
        <v>0</v>
      </c>
      <c r="AS199" s="39">
        <v>0</v>
      </c>
      <c r="AT199" s="39">
        <v>0</v>
      </c>
      <c r="AU199" s="39">
        <v>0</v>
      </c>
      <c r="AV199" s="39">
        <v>0</v>
      </c>
      <c r="AW199" s="39">
        <v>0</v>
      </c>
      <c r="AX199" s="39">
        <v>0</v>
      </c>
      <c r="AY199" s="39">
        <v>0</v>
      </c>
      <c r="AZ199" s="39">
        <v>0</v>
      </c>
      <c r="BA199" s="39">
        <v>0</v>
      </c>
      <c r="BB199" s="39">
        <v>0</v>
      </c>
      <c r="BC199" s="39">
        <v>0</v>
      </c>
    </row>
    <row r="200" spans="3:55" hidden="1" outlineLevel="1" x14ac:dyDescent="0.2">
      <c r="C200" s="162" t="str">
        <v>BSC a Core punto de acceso: Datos: 34.37</v>
      </c>
      <c r="D200" s="162" t="str">
        <v>GSM tráfico de datos solo</v>
      </c>
      <c r="E200" s="62">
        <f t="shared" si="53"/>
        <v>0</v>
      </c>
      <c r="F200" s="39">
        <f t="array" ref="F200:BC200">INDEX(RF.Option.Table,MATCH($D200,RF.Option.List,0),)</f>
        <v>0</v>
      </c>
      <c r="G200" s="39">
        <v>0</v>
      </c>
      <c r="H200" s="39">
        <v>0</v>
      </c>
      <c r="I200" s="39">
        <v>0</v>
      </c>
      <c r="J200" s="39">
        <v>0</v>
      </c>
      <c r="K200" s="39">
        <v>0</v>
      </c>
      <c r="L200" s="39">
        <v>0</v>
      </c>
      <c r="M200" s="39">
        <v>0</v>
      </c>
      <c r="N200" s="39">
        <v>0</v>
      </c>
      <c r="O200" s="39">
        <v>0</v>
      </c>
      <c r="P200" s="39">
        <v>0</v>
      </c>
      <c r="Q200" s="39">
        <v>0</v>
      </c>
      <c r="R200" s="39">
        <v>0</v>
      </c>
      <c r="S200" s="39">
        <v>0</v>
      </c>
      <c r="T200" s="39">
        <v>0</v>
      </c>
      <c r="U200" s="39">
        <v>0</v>
      </c>
      <c r="V200" s="39">
        <v>0</v>
      </c>
      <c r="W200" s="39">
        <v>0</v>
      </c>
      <c r="X200" s="39">
        <v>0</v>
      </c>
      <c r="Y200" s="39">
        <v>0</v>
      </c>
      <c r="Z200" s="39">
        <v>0</v>
      </c>
      <c r="AA200" s="39">
        <v>0</v>
      </c>
      <c r="AB200" s="39">
        <v>0</v>
      </c>
      <c r="AC200" s="39">
        <v>0</v>
      </c>
      <c r="AD200" s="39">
        <v>0</v>
      </c>
      <c r="AE200" s="39">
        <v>0</v>
      </c>
      <c r="AF200" s="39">
        <v>0</v>
      </c>
      <c r="AG200" s="39">
        <v>0</v>
      </c>
      <c r="AH200" s="39">
        <v>0</v>
      </c>
      <c r="AI200" s="39">
        <v>0</v>
      </c>
      <c r="AJ200" s="39">
        <v>1</v>
      </c>
      <c r="AK200" s="39">
        <v>0</v>
      </c>
      <c r="AL200" s="39">
        <v>0</v>
      </c>
      <c r="AM200" s="39">
        <v>0</v>
      </c>
      <c r="AN200" s="39">
        <v>0</v>
      </c>
      <c r="AO200" s="39">
        <v>0</v>
      </c>
      <c r="AP200" s="39">
        <v>0</v>
      </c>
      <c r="AQ200" s="39">
        <v>0</v>
      </c>
      <c r="AR200" s="39">
        <v>0</v>
      </c>
      <c r="AS200" s="39">
        <v>0</v>
      </c>
      <c r="AT200" s="39">
        <v>0</v>
      </c>
      <c r="AU200" s="39">
        <v>0</v>
      </c>
      <c r="AV200" s="39">
        <v>0</v>
      </c>
      <c r="AW200" s="39">
        <v>0</v>
      </c>
      <c r="AX200" s="39">
        <v>0</v>
      </c>
      <c r="AY200" s="39">
        <v>0</v>
      </c>
      <c r="AZ200" s="39">
        <v>0</v>
      </c>
      <c r="BA200" s="39">
        <v>0</v>
      </c>
      <c r="BB200" s="39">
        <v>0</v>
      </c>
      <c r="BC200" s="39">
        <v>0</v>
      </c>
    </row>
    <row r="201" spans="3:55" hidden="1" outlineLevel="1" x14ac:dyDescent="0.2">
      <c r="C201" s="162" t="str">
        <v>BSC a Core punto de acceso: Datos: 155.52</v>
      </c>
      <c r="D201" s="162" t="str">
        <v>GSM tráfico de datos solo</v>
      </c>
      <c r="E201" s="62">
        <f t="shared" si="53"/>
        <v>0</v>
      </c>
      <c r="F201" s="39">
        <f t="array" ref="F201:BC201">INDEX(RF.Option.Table,MATCH($D201,RF.Option.List,0),)</f>
        <v>0</v>
      </c>
      <c r="G201" s="39">
        <v>0</v>
      </c>
      <c r="H201" s="39">
        <v>0</v>
      </c>
      <c r="I201" s="39">
        <v>0</v>
      </c>
      <c r="J201" s="39">
        <v>0</v>
      </c>
      <c r="K201" s="39">
        <v>0</v>
      </c>
      <c r="L201" s="39">
        <v>0</v>
      </c>
      <c r="M201" s="39">
        <v>0</v>
      </c>
      <c r="N201" s="39">
        <v>0</v>
      </c>
      <c r="O201" s="39">
        <v>0</v>
      </c>
      <c r="P201" s="39">
        <v>0</v>
      </c>
      <c r="Q201" s="39">
        <v>0</v>
      </c>
      <c r="R201" s="39">
        <v>0</v>
      </c>
      <c r="S201" s="39">
        <v>0</v>
      </c>
      <c r="T201" s="39">
        <v>0</v>
      </c>
      <c r="U201" s="39">
        <v>0</v>
      </c>
      <c r="V201" s="39">
        <v>0</v>
      </c>
      <c r="W201" s="39">
        <v>0</v>
      </c>
      <c r="X201" s="39">
        <v>0</v>
      </c>
      <c r="Y201" s="39">
        <v>0</v>
      </c>
      <c r="Z201" s="39">
        <v>0</v>
      </c>
      <c r="AA201" s="39">
        <v>0</v>
      </c>
      <c r="AB201" s="39">
        <v>0</v>
      </c>
      <c r="AC201" s="39">
        <v>0</v>
      </c>
      <c r="AD201" s="39">
        <v>0</v>
      </c>
      <c r="AE201" s="39">
        <v>0</v>
      </c>
      <c r="AF201" s="39">
        <v>0</v>
      </c>
      <c r="AG201" s="39">
        <v>0</v>
      </c>
      <c r="AH201" s="39">
        <v>0</v>
      </c>
      <c r="AI201" s="39">
        <v>0</v>
      </c>
      <c r="AJ201" s="39">
        <v>1</v>
      </c>
      <c r="AK201" s="39">
        <v>0</v>
      </c>
      <c r="AL201" s="39">
        <v>0</v>
      </c>
      <c r="AM201" s="39">
        <v>0</v>
      </c>
      <c r="AN201" s="39">
        <v>0</v>
      </c>
      <c r="AO201" s="39">
        <v>0</v>
      </c>
      <c r="AP201" s="39">
        <v>0</v>
      </c>
      <c r="AQ201" s="39">
        <v>0</v>
      </c>
      <c r="AR201" s="39">
        <v>0</v>
      </c>
      <c r="AS201" s="39">
        <v>0</v>
      </c>
      <c r="AT201" s="39">
        <v>0</v>
      </c>
      <c r="AU201" s="39">
        <v>0</v>
      </c>
      <c r="AV201" s="39">
        <v>0</v>
      </c>
      <c r="AW201" s="39">
        <v>0</v>
      </c>
      <c r="AX201" s="39">
        <v>0</v>
      </c>
      <c r="AY201" s="39">
        <v>0</v>
      </c>
      <c r="AZ201" s="39">
        <v>0</v>
      </c>
      <c r="BA201" s="39">
        <v>0</v>
      </c>
      <c r="BB201" s="39">
        <v>0</v>
      </c>
      <c r="BC201" s="39">
        <v>0</v>
      </c>
    </row>
    <row r="202" spans="3:55" hidden="1" outlineLevel="1" x14ac:dyDescent="0.2">
      <c r="C202" s="162" t="str">
        <v>BSC a Core punto de acceso: Datos: 30</v>
      </c>
      <c r="D202" s="162" t="str">
        <v>GSM tráfico de datos solo</v>
      </c>
      <c r="E202" s="62">
        <f t="shared" si="53"/>
        <v>0</v>
      </c>
      <c r="F202" s="39">
        <f t="array" ref="F202:BC202">INDEX(RF.Option.Table,MATCH($D202,RF.Option.List,0),)</f>
        <v>0</v>
      </c>
      <c r="G202" s="39">
        <v>0</v>
      </c>
      <c r="H202" s="39">
        <v>0</v>
      </c>
      <c r="I202" s="39">
        <v>0</v>
      </c>
      <c r="J202" s="39">
        <v>0</v>
      </c>
      <c r="K202" s="39">
        <v>0</v>
      </c>
      <c r="L202" s="39">
        <v>0</v>
      </c>
      <c r="M202" s="39">
        <v>0</v>
      </c>
      <c r="N202" s="39">
        <v>0</v>
      </c>
      <c r="O202" s="39">
        <v>0</v>
      </c>
      <c r="P202" s="39">
        <v>0</v>
      </c>
      <c r="Q202" s="39">
        <v>0</v>
      </c>
      <c r="R202" s="39">
        <v>0</v>
      </c>
      <c r="S202" s="39">
        <v>0</v>
      </c>
      <c r="T202" s="39">
        <v>0</v>
      </c>
      <c r="U202" s="39">
        <v>0</v>
      </c>
      <c r="V202" s="39">
        <v>0</v>
      </c>
      <c r="W202" s="39">
        <v>0</v>
      </c>
      <c r="X202" s="39">
        <v>0</v>
      </c>
      <c r="Y202" s="39">
        <v>0</v>
      </c>
      <c r="Z202" s="39">
        <v>0</v>
      </c>
      <c r="AA202" s="39">
        <v>0</v>
      </c>
      <c r="AB202" s="39">
        <v>0</v>
      </c>
      <c r="AC202" s="39">
        <v>0</v>
      </c>
      <c r="AD202" s="39">
        <v>0</v>
      </c>
      <c r="AE202" s="39">
        <v>0</v>
      </c>
      <c r="AF202" s="39">
        <v>0</v>
      </c>
      <c r="AG202" s="39">
        <v>0</v>
      </c>
      <c r="AH202" s="39">
        <v>0</v>
      </c>
      <c r="AI202" s="39">
        <v>0</v>
      </c>
      <c r="AJ202" s="39">
        <v>1</v>
      </c>
      <c r="AK202" s="39">
        <v>0</v>
      </c>
      <c r="AL202" s="39">
        <v>0</v>
      </c>
      <c r="AM202" s="39">
        <v>0</v>
      </c>
      <c r="AN202" s="39">
        <v>0</v>
      </c>
      <c r="AO202" s="39">
        <v>0</v>
      </c>
      <c r="AP202" s="39">
        <v>0</v>
      </c>
      <c r="AQ202" s="39">
        <v>0</v>
      </c>
      <c r="AR202" s="39">
        <v>0</v>
      </c>
      <c r="AS202" s="39">
        <v>0</v>
      </c>
      <c r="AT202" s="39">
        <v>0</v>
      </c>
      <c r="AU202" s="39">
        <v>0</v>
      </c>
      <c r="AV202" s="39">
        <v>0</v>
      </c>
      <c r="AW202" s="39">
        <v>0</v>
      </c>
      <c r="AX202" s="39">
        <v>0</v>
      </c>
      <c r="AY202" s="39">
        <v>0</v>
      </c>
      <c r="AZ202" s="39">
        <v>0</v>
      </c>
      <c r="BA202" s="39">
        <v>0</v>
      </c>
      <c r="BB202" s="39">
        <v>0</v>
      </c>
      <c r="BC202" s="39">
        <v>0</v>
      </c>
    </row>
    <row r="203" spans="3:55" hidden="1" outlineLevel="1" x14ac:dyDescent="0.2">
      <c r="C203" s="162" t="str">
        <v>BSC a Core punto de acceso: Datos: 100</v>
      </c>
      <c r="D203" s="162" t="str">
        <v>GSM tráfico de datos solo</v>
      </c>
      <c r="E203" s="62">
        <f t="shared" si="53"/>
        <v>0</v>
      </c>
      <c r="F203" s="39">
        <f t="array" ref="F203:BC203">INDEX(RF.Option.Table,MATCH($D203,RF.Option.List,0),)</f>
        <v>0</v>
      </c>
      <c r="G203" s="39">
        <v>0</v>
      </c>
      <c r="H203" s="39">
        <v>0</v>
      </c>
      <c r="I203" s="39">
        <v>0</v>
      </c>
      <c r="J203" s="39">
        <v>0</v>
      </c>
      <c r="K203" s="39">
        <v>0</v>
      </c>
      <c r="L203" s="39">
        <v>0</v>
      </c>
      <c r="M203" s="39">
        <v>0</v>
      </c>
      <c r="N203" s="39">
        <v>0</v>
      </c>
      <c r="O203" s="39">
        <v>0</v>
      </c>
      <c r="P203" s="39">
        <v>0</v>
      </c>
      <c r="Q203" s="39">
        <v>0</v>
      </c>
      <c r="R203" s="39">
        <v>0</v>
      </c>
      <c r="S203" s="39">
        <v>0</v>
      </c>
      <c r="T203" s="39">
        <v>0</v>
      </c>
      <c r="U203" s="39">
        <v>0</v>
      </c>
      <c r="V203" s="39">
        <v>0</v>
      </c>
      <c r="W203" s="39">
        <v>0</v>
      </c>
      <c r="X203" s="39">
        <v>0</v>
      </c>
      <c r="Y203" s="39">
        <v>0</v>
      </c>
      <c r="Z203" s="39">
        <v>0</v>
      </c>
      <c r="AA203" s="39">
        <v>0</v>
      </c>
      <c r="AB203" s="39">
        <v>0</v>
      </c>
      <c r="AC203" s="39">
        <v>0</v>
      </c>
      <c r="AD203" s="39">
        <v>0</v>
      </c>
      <c r="AE203" s="39">
        <v>0</v>
      </c>
      <c r="AF203" s="39">
        <v>0</v>
      </c>
      <c r="AG203" s="39">
        <v>0</v>
      </c>
      <c r="AH203" s="39">
        <v>0</v>
      </c>
      <c r="AI203" s="39">
        <v>0</v>
      </c>
      <c r="AJ203" s="39">
        <v>1</v>
      </c>
      <c r="AK203" s="39">
        <v>0</v>
      </c>
      <c r="AL203" s="39">
        <v>0</v>
      </c>
      <c r="AM203" s="39">
        <v>0</v>
      </c>
      <c r="AN203" s="39">
        <v>0</v>
      </c>
      <c r="AO203" s="39">
        <v>0</v>
      </c>
      <c r="AP203" s="39">
        <v>0</v>
      </c>
      <c r="AQ203" s="39">
        <v>0</v>
      </c>
      <c r="AR203" s="39">
        <v>0</v>
      </c>
      <c r="AS203" s="39">
        <v>0</v>
      </c>
      <c r="AT203" s="39">
        <v>0</v>
      </c>
      <c r="AU203" s="39">
        <v>0</v>
      </c>
      <c r="AV203" s="39">
        <v>0</v>
      </c>
      <c r="AW203" s="39">
        <v>0</v>
      </c>
      <c r="AX203" s="39">
        <v>0</v>
      </c>
      <c r="AY203" s="39">
        <v>0</v>
      </c>
      <c r="AZ203" s="39">
        <v>0</v>
      </c>
      <c r="BA203" s="39">
        <v>0</v>
      </c>
      <c r="BB203" s="39">
        <v>0</v>
      </c>
      <c r="BC203" s="39">
        <v>0</v>
      </c>
    </row>
    <row r="204" spans="3:55" hidden="1" outlineLevel="1" x14ac:dyDescent="0.2">
      <c r="C204" s="162" t="str">
        <v>BSC a Core punto de acceso: Datos: 1024</v>
      </c>
      <c r="D204" s="162" t="str">
        <v>GSM tráfico de datos solo</v>
      </c>
      <c r="E204" s="62">
        <f t="shared" si="53"/>
        <v>0</v>
      </c>
      <c r="F204" s="39">
        <f t="array" ref="F204:BC204">INDEX(RF.Option.Table,MATCH($D204,RF.Option.List,0),)</f>
        <v>0</v>
      </c>
      <c r="G204" s="39">
        <v>0</v>
      </c>
      <c r="H204" s="39">
        <v>0</v>
      </c>
      <c r="I204" s="39">
        <v>0</v>
      </c>
      <c r="J204" s="39">
        <v>0</v>
      </c>
      <c r="K204" s="39">
        <v>0</v>
      </c>
      <c r="L204" s="39">
        <v>0</v>
      </c>
      <c r="M204" s="39">
        <v>0</v>
      </c>
      <c r="N204" s="39">
        <v>0</v>
      </c>
      <c r="O204" s="39">
        <v>0</v>
      </c>
      <c r="P204" s="39">
        <v>0</v>
      </c>
      <c r="Q204" s="39">
        <v>0</v>
      </c>
      <c r="R204" s="39">
        <v>0</v>
      </c>
      <c r="S204" s="39">
        <v>0</v>
      </c>
      <c r="T204" s="39">
        <v>0</v>
      </c>
      <c r="U204" s="39">
        <v>0</v>
      </c>
      <c r="V204" s="39">
        <v>0</v>
      </c>
      <c r="W204" s="39">
        <v>0</v>
      </c>
      <c r="X204" s="39">
        <v>0</v>
      </c>
      <c r="Y204" s="39">
        <v>0</v>
      </c>
      <c r="Z204" s="39">
        <v>0</v>
      </c>
      <c r="AA204" s="39">
        <v>0</v>
      </c>
      <c r="AB204" s="39">
        <v>0</v>
      </c>
      <c r="AC204" s="39">
        <v>0</v>
      </c>
      <c r="AD204" s="39">
        <v>0</v>
      </c>
      <c r="AE204" s="39">
        <v>0</v>
      </c>
      <c r="AF204" s="39">
        <v>0</v>
      </c>
      <c r="AG204" s="39">
        <v>0</v>
      </c>
      <c r="AH204" s="39">
        <v>0</v>
      </c>
      <c r="AI204" s="39">
        <v>0</v>
      </c>
      <c r="AJ204" s="39">
        <v>1</v>
      </c>
      <c r="AK204" s="39">
        <v>0</v>
      </c>
      <c r="AL204" s="39">
        <v>0</v>
      </c>
      <c r="AM204" s="39">
        <v>0</v>
      </c>
      <c r="AN204" s="39">
        <v>0</v>
      </c>
      <c r="AO204" s="39">
        <v>0</v>
      </c>
      <c r="AP204" s="39">
        <v>0</v>
      </c>
      <c r="AQ204" s="39">
        <v>0</v>
      </c>
      <c r="AR204" s="39">
        <v>0</v>
      </c>
      <c r="AS204" s="39">
        <v>0</v>
      </c>
      <c r="AT204" s="39">
        <v>0</v>
      </c>
      <c r="AU204" s="39">
        <v>0</v>
      </c>
      <c r="AV204" s="39">
        <v>0</v>
      </c>
      <c r="AW204" s="39">
        <v>0</v>
      </c>
      <c r="AX204" s="39">
        <v>0</v>
      </c>
      <c r="AY204" s="39">
        <v>0</v>
      </c>
      <c r="AZ204" s="39">
        <v>0</v>
      </c>
      <c r="BA204" s="39">
        <v>0</v>
      </c>
      <c r="BB204" s="39">
        <v>0</v>
      </c>
      <c r="BC204" s="39">
        <v>0</v>
      </c>
    </row>
    <row r="205" spans="3:55" hidden="1" outlineLevel="1" x14ac:dyDescent="0.2">
      <c r="C205" s="162" t="str">
        <v>RNC a Core punto de acceso: Voz: 34.4</v>
      </c>
      <c r="D205" s="162" t="str">
        <v>UMTS solo voz radio y SMS</v>
      </c>
      <c r="E205" s="62">
        <f t="shared" si="53"/>
        <v>0</v>
      </c>
      <c r="F205" s="39">
        <f t="array" ref="F205:BC205">INDEX(RF.Option.Table,MATCH($D205,RF.Option.List,0),)</f>
        <v>0</v>
      </c>
      <c r="G205" s="39">
        <v>0</v>
      </c>
      <c r="H205" s="39">
        <v>0</v>
      </c>
      <c r="I205" s="39">
        <v>0</v>
      </c>
      <c r="J205" s="39">
        <v>0</v>
      </c>
      <c r="K205" s="39">
        <v>0</v>
      </c>
      <c r="L205" s="39">
        <v>0</v>
      </c>
      <c r="M205" s="39">
        <v>2.8319607843137256</v>
      </c>
      <c r="N205" s="39">
        <v>1.4232291666666665</v>
      </c>
      <c r="O205" s="39">
        <v>1.4516666666666667</v>
      </c>
      <c r="P205" s="39">
        <v>1.393888888888889</v>
      </c>
      <c r="Q205" s="39">
        <v>1.4232291666666665</v>
      </c>
      <c r="R205" s="39">
        <v>1.4516666666666667</v>
      </c>
      <c r="S205" s="39">
        <v>1.393888888888889</v>
      </c>
      <c r="T205" s="39">
        <v>0</v>
      </c>
      <c r="U205" s="39">
        <v>0</v>
      </c>
      <c r="V205" s="39">
        <v>0</v>
      </c>
      <c r="W205" s="39">
        <v>0</v>
      </c>
      <c r="X205" s="39">
        <v>0</v>
      </c>
      <c r="Y205" s="39">
        <v>0</v>
      </c>
      <c r="Z205" s="39">
        <v>0</v>
      </c>
      <c r="AA205" s="39">
        <v>0</v>
      </c>
      <c r="AB205" s="39">
        <v>0</v>
      </c>
      <c r="AC205" s="39">
        <v>0</v>
      </c>
      <c r="AD205" s="39">
        <v>1E-3</v>
      </c>
      <c r="AE205" s="39">
        <v>5.0000000000000001E-4</v>
      </c>
      <c r="AF205" s="39">
        <v>5.0000000000000001E-4</v>
      </c>
      <c r="AG205" s="39">
        <v>0</v>
      </c>
      <c r="AH205" s="39">
        <v>0</v>
      </c>
      <c r="AI205" s="39">
        <v>0</v>
      </c>
      <c r="AJ205" s="39">
        <v>0</v>
      </c>
      <c r="AK205" s="39">
        <v>0</v>
      </c>
      <c r="AL205" s="39">
        <v>0</v>
      </c>
      <c r="AM205" s="39">
        <v>0</v>
      </c>
      <c r="AN205" s="39">
        <v>0</v>
      </c>
      <c r="AO205" s="39">
        <v>0</v>
      </c>
      <c r="AP205" s="39">
        <v>0</v>
      </c>
      <c r="AQ205" s="39">
        <v>0</v>
      </c>
      <c r="AR205" s="39">
        <v>0</v>
      </c>
      <c r="AS205" s="39">
        <v>0</v>
      </c>
      <c r="AT205" s="39">
        <v>0</v>
      </c>
      <c r="AU205" s="39">
        <v>0</v>
      </c>
      <c r="AV205" s="39">
        <v>0</v>
      </c>
      <c r="AW205" s="39">
        <v>0</v>
      </c>
      <c r="AX205" s="39">
        <v>0</v>
      </c>
      <c r="AY205" s="39">
        <v>0</v>
      </c>
      <c r="AZ205" s="39">
        <v>0</v>
      </c>
      <c r="BA205" s="39">
        <v>0</v>
      </c>
      <c r="BB205" s="39">
        <v>0</v>
      </c>
      <c r="BC205" s="39">
        <v>0</v>
      </c>
    </row>
    <row r="206" spans="3:55" hidden="1" outlineLevel="1" x14ac:dyDescent="0.2">
      <c r="C206" s="162" t="str">
        <v>RNC a Core punto de acceso: Voz: 155.52</v>
      </c>
      <c r="D206" s="162" t="str">
        <v>UMTS solo voz radio y SMS</v>
      </c>
      <c r="E206" s="62">
        <f t="shared" si="53"/>
        <v>0</v>
      </c>
      <c r="F206" s="39">
        <f t="array" ref="F206:BC206">INDEX(RF.Option.Table,MATCH($D206,RF.Option.List,0),)</f>
        <v>0</v>
      </c>
      <c r="G206" s="39">
        <v>0</v>
      </c>
      <c r="H206" s="39">
        <v>0</v>
      </c>
      <c r="I206" s="39">
        <v>0</v>
      </c>
      <c r="J206" s="39">
        <v>0</v>
      </c>
      <c r="K206" s="39">
        <v>0</v>
      </c>
      <c r="L206" s="39">
        <v>0</v>
      </c>
      <c r="M206" s="39">
        <v>2.8319607843137256</v>
      </c>
      <c r="N206" s="39">
        <v>1.4232291666666665</v>
      </c>
      <c r="O206" s="39">
        <v>1.4516666666666667</v>
      </c>
      <c r="P206" s="39">
        <v>1.393888888888889</v>
      </c>
      <c r="Q206" s="39">
        <v>1.4232291666666665</v>
      </c>
      <c r="R206" s="39">
        <v>1.4516666666666667</v>
      </c>
      <c r="S206" s="39">
        <v>1.393888888888889</v>
      </c>
      <c r="T206" s="39">
        <v>0</v>
      </c>
      <c r="U206" s="39">
        <v>0</v>
      </c>
      <c r="V206" s="39">
        <v>0</v>
      </c>
      <c r="W206" s="39">
        <v>0</v>
      </c>
      <c r="X206" s="39">
        <v>0</v>
      </c>
      <c r="Y206" s="39">
        <v>0</v>
      </c>
      <c r="Z206" s="39">
        <v>0</v>
      </c>
      <c r="AA206" s="39">
        <v>0</v>
      </c>
      <c r="AB206" s="39">
        <v>0</v>
      </c>
      <c r="AC206" s="39">
        <v>0</v>
      </c>
      <c r="AD206" s="39">
        <v>1E-3</v>
      </c>
      <c r="AE206" s="39">
        <v>5.0000000000000001E-4</v>
      </c>
      <c r="AF206" s="39">
        <v>5.0000000000000001E-4</v>
      </c>
      <c r="AG206" s="39">
        <v>0</v>
      </c>
      <c r="AH206" s="39">
        <v>0</v>
      </c>
      <c r="AI206" s="39">
        <v>0</v>
      </c>
      <c r="AJ206" s="39">
        <v>0</v>
      </c>
      <c r="AK206" s="39">
        <v>0</v>
      </c>
      <c r="AL206" s="39">
        <v>0</v>
      </c>
      <c r="AM206" s="39">
        <v>0</v>
      </c>
      <c r="AN206" s="39">
        <v>0</v>
      </c>
      <c r="AO206" s="39">
        <v>0</v>
      </c>
      <c r="AP206" s="39">
        <v>0</v>
      </c>
      <c r="AQ206" s="39">
        <v>0</v>
      </c>
      <c r="AR206" s="39">
        <v>0</v>
      </c>
      <c r="AS206" s="39">
        <v>0</v>
      </c>
      <c r="AT206" s="39">
        <v>0</v>
      </c>
      <c r="AU206" s="39">
        <v>0</v>
      </c>
      <c r="AV206" s="39">
        <v>0</v>
      </c>
      <c r="AW206" s="39">
        <v>0</v>
      </c>
      <c r="AX206" s="39">
        <v>0</v>
      </c>
      <c r="AY206" s="39">
        <v>0</v>
      </c>
      <c r="AZ206" s="39">
        <v>0</v>
      </c>
      <c r="BA206" s="39">
        <v>0</v>
      </c>
      <c r="BB206" s="39">
        <v>0</v>
      </c>
      <c r="BC206" s="39">
        <v>0</v>
      </c>
    </row>
    <row r="207" spans="3:55" hidden="1" outlineLevel="1" x14ac:dyDescent="0.2">
      <c r="C207" s="162" t="str">
        <v>RNC a Core punto de acceso: Voz: 622.08</v>
      </c>
      <c r="D207" s="162" t="str">
        <v>UMTS solo voz radio y SMS</v>
      </c>
      <c r="E207" s="62">
        <f t="shared" si="53"/>
        <v>0</v>
      </c>
      <c r="F207" s="39">
        <f t="array" ref="F207:BC207">INDEX(RF.Option.Table,MATCH($D207,RF.Option.List,0),)</f>
        <v>0</v>
      </c>
      <c r="G207" s="39">
        <v>0</v>
      </c>
      <c r="H207" s="39">
        <v>0</v>
      </c>
      <c r="I207" s="39">
        <v>0</v>
      </c>
      <c r="J207" s="39">
        <v>0</v>
      </c>
      <c r="K207" s="39">
        <v>0</v>
      </c>
      <c r="L207" s="39">
        <v>0</v>
      </c>
      <c r="M207" s="39">
        <v>2.8319607843137256</v>
      </c>
      <c r="N207" s="39">
        <v>1.4232291666666665</v>
      </c>
      <c r="O207" s="39">
        <v>1.4516666666666667</v>
      </c>
      <c r="P207" s="39">
        <v>1.393888888888889</v>
      </c>
      <c r="Q207" s="39">
        <v>1.4232291666666665</v>
      </c>
      <c r="R207" s="39">
        <v>1.4516666666666667</v>
      </c>
      <c r="S207" s="39">
        <v>1.393888888888889</v>
      </c>
      <c r="T207" s="39">
        <v>0</v>
      </c>
      <c r="U207" s="39">
        <v>0</v>
      </c>
      <c r="V207" s="39">
        <v>0</v>
      </c>
      <c r="W207" s="39">
        <v>0</v>
      </c>
      <c r="X207" s="39">
        <v>0</v>
      </c>
      <c r="Y207" s="39">
        <v>0</v>
      </c>
      <c r="Z207" s="39">
        <v>0</v>
      </c>
      <c r="AA207" s="39">
        <v>0</v>
      </c>
      <c r="AB207" s="39">
        <v>0</v>
      </c>
      <c r="AC207" s="39">
        <v>0</v>
      </c>
      <c r="AD207" s="39">
        <v>1E-3</v>
      </c>
      <c r="AE207" s="39">
        <v>5.0000000000000001E-4</v>
      </c>
      <c r="AF207" s="39">
        <v>5.0000000000000001E-4</v>
      </c>
      <c r="AG207" s="39">
        <v>0</v>
      </c>
      <c r="AH207" s="39">
        <v>0</v>
      </c>
      <c r="AI207" s="39">
        <v>0</v>
      </c>
      <c r="AJ207" s="39">
        <v>0</v>
      </c>
      <c r="AK207" s="39">
        <v>0</v>
      </c>
      <c r="AL207" s="39">
        <v>0</v>
      </c>
      <c r="AM207" s="39">
        <v>0</v>
      </c>
      <c r="AN207" s="39">
        <v>0</v>
      </c>
      <c r="AO207" s="39">
        <v>0</v>
      </c>
      <c r="AP207" s="39">
        <v>0</v>
      </c>
      <c r="AQ207" s="39">
        <v>0</v>
      </c>
      <c r="AR207" s="39">
        <v>0</v>
      </c>
      <c r="AS207" s="39">
        <v>0</v>
      </c>
      <c r="AT207" s="39">
        <v>0</v>
      </c>
      <c r="AU207" s="39">
        <v>0</v>
      </c>
      <c r="AV207" s="39">
        <v>0</v>
      </c>
      <c r="AW207" s="39">
        <v>0</v>
      </c>
      <c r="AX207" s="39">
        <v>0</v>
      </c>
      <c r="AY207" s="39">
        <v>0</v>
      </c>
      <c r="AZ207" s="39">
        <v>0</v>
      </c>
      <c r="BA207" s="39">
        <v>0</v>
      </c>
      <c r="BB207" s="39">
        <v>0</v>
      </c>
      <c r="BC207" s="39">
        <v>0</v>
      </c>
    </row>
    <row r="208" spans="3:55" hidden="1" outlineLevel="1" x14ac:dyDescent="0.2">
      <c r="C208" s="162" t="str">
        <v>RNC a Core punto de acceso: Voz 100</v>
      </c>
      <c r="D208" s="162" t="str">
        <v>UMTS solo voz radio y SMS</v>
      </c>
      <c r="E208" s="62">
        <f t="shared" si="53"/>
        <v>0</v>
      </c>
      <c r="F208" s="39">
        <f t="array" ref="F208:BC208">INDEX(RF.Option.Table,MATCH($D208,RF.Option.List,0),)</f>
        <v>0</v>
      </c>
      <c r="G208" s="39">
        <v>0</v>
      </c>
      <c r="H208" s="39">
        <v>0</v>
      </c>
      <c r="I208" s="39">
        <v>0</v>
      </c>
      <c r="J208" s="39">
        <v>0</v>
      </c>
      <c r="K208" s="39">
        <v>0</v>
      </c>
      <c r="L208" s="39">
        <v>0</v>
      </c>
      <c r="M208" s="39">
        <v>2.8319607843137256</v>
      </c>
      <c r="N208" s="39">
        <v>1.4232291666666665</v>
      </c>
      <c r="O208" s="39">
        <v>1.4516666666666667</v>
      </c>
      <c r="P208" s="39">
        <v>1.393888888888889</v>
      </c>
      <c r="Q208" s="39">
        <v>1.4232291666666665</v>
      </c>
      <c r="R208" s="39">
        <v>1.4516666666666667</v>
      </c>
      <c r="S208" s="39">
        <v>1.393888888888889</v>
      </c>
      <c r="T208" s="39">
        <v>0</v>
      </c>
      <c r="U208" s="39">
        <v>0</v>
      </c>
      <c r="V208" s="39">
        <v>0</v>
      </c>
      <c r="W208" s="39">
        <v>0</v>
      </c>
      <c r="X208" s="39">
        <v>0</v>
      </c>
      <c r="Y208" s="39">
        <v>0</v>
      </c>
      <c r="Z208" s="39">
        <v>0</v>
      </c>
      <c r="AA208" s="39">
        <v>0</v>
      </c>
      <c r="AB208" s="39">
        <v>0</v>
      </c>
      <c r="AC208" s="39">
        <v>0</v>
      </c>
      <c r="AD208" s="39">
        <v>1E-3</v>
      </c>
      <c r="AE208" s="39">
        <v>5.0000000000000001E-4</v>
      </c>
      <c r="AF208" s="39">
        <v>5.0000000000000001E-4</v>
      </c>
      <c r="AG208" s="39">
        <v>0</v>
      </c>
      <c r="AH208" s="39">
        <v>0</v>
      </c>
      <c r="AI208" s="39">
        <v>0</v>
      </c>
      <c r="AJ208" s="39">
        <v>0</v>
      </c>
      <c r="AK208" s="39">
        <v>0</v>
      </c>
      <c r="AL208" s="39">
        <v>0</v>
      </c>
      <c r="AM208" s="39">
        <v>0</v>
      </c>
      <c r="AN208" s="39">
        <v>0</v>
      </c>
      <c r="AO208" s="39">
        <v>0</v>
      </c>
      <c r="AP208" s="39">
        <v>0</v>
      </c>
      <c r="AQ208" s="39">
        <v>0</v>
      </c>
      <c r="AR208" s="39">
        <v>0</v>
      </c>
      <c r="AS208" s="39">
        <v>0</v>
      </c>
      <c r="AT208" s="39">
        <v>0</v>
      </c>
      <c r="AU208" s="39">
        <v>0</v>
      </c>
      <c r="AV208" s="39">
        <v>0</v>
      </c>
      <c r="AW208" s="39">
        <v>0</v>
      </c>
      <c r="AX208" s="39">
        <v>0</v>
      </c>
      <c r="AY208" s="39">
        <v>0</v>
      </c>
      <c r="AZ208" s="39">
        <v>0</v>
      </c>
      <c r="BA208" s="39">
        <v>0</v>
      </c>
      <c r="BB208" s="39">
        <v>0</v>
      </c>
      <c r="BC208" s="39">
        <v>0</v>
      </c>
    </row>
    <row r="209" spans="3:55" hidden="1" outlineLevel="1" x14ac:dyDescent="0.2">
      <c r="C209" s="162" t="str">
        <v>RNC a Core punto de acceso: Voz 1024</v>
      </c>
      <c r="D209" s="162" t="str">
        <v>UMTS solo voz radio y SMS</v>
      </c>
      <c r="E209" s="62">
        <f t="shared" si="53"/>
        <v>0</v>
      </c>
      <c r="F209" s="39">
        <f t="array" ref="F209:BC209">INDEX(RF.Option.Table,MATCH($D209,RF.Option.List,0),)</f>
        <v>0</v>
      </c>
      <c r="G209" s="39">
        <v>0</v>
      </c>
      <c r="H209" s="39">
        <v>0</v>
      </c>
      <c r="I209" s="39">
        <v>0</v>
      </c>
      <c r="J209" s="39">
        <v>0</v>
      </c>
      <c r="K209" s="39">
        <v>0</v>
      </c>
      <c r="L209" s="39">
        <v>0</v>
      </c>
      <c r="M209" s="39">
        <v>2.8319607843137256</v>
      </c>
      <c r="N209" s="39">
        <v>1.4232291666666665</v>
      </c>
      <c r="O209" s="39">
        <v>1.4516666666666667</v>
      </c>
      <c r="P209" s="39">
        <v>1.393888888888889</v>
      </c>
      <c r="Q209" s="39">
        <v>1.4232291666666665</v>
      </c>
      <c r="R209" s="39">
        <v>1.4516666666666667</v>
      </c>
      <c r="S209" s="39">
        <v>1.393888888888889</v>
      </c>
      <c r="T209" s="39">
        <v>0</v>
      </c>
      <c r="U209" s="39">
        <v>0</v>
      </c>
      <c r="V209" s="39">
        <v>0</v>
      </c>
      <c r="W209" s="39">
        <v>0</v>
      </c>
      <c r="X209" s="39">
        <v>0</v>
      </c>
      <c r="Y209" s="39">
        <v>0</v>
      </c>
      <c r="Z209" s="39">
        <v>0</v>
      </c>
      <c r="AA209" s="39">
        <v>0</v>
      </c>
      <c r="AB209" s="39">
        <v>0</v>
      </c>
      <c r="AC209" s="39">
        <v>0</v>
      </c>
      <c r="AD209" s="39">
        <v>1E-3</v>
      </c>
      <c r="AE209" s="39">
        <v>5.0000000000000001E-4</v>
      </c>
      <c r="AF209" s="39">
        <v>5.0000000000000001E-4</v>
      </c>
      <c r="AG209" s="39">
        <v>0</v>
      </c>
      <c r="AH209" s="39">
        <v>0</v>
      </c>
      <c r="AI209" s="39">
        <v>0</v>
      </c>
      <c r="AJ209" s="39">
        <v>0</v>
      </c>
      <c r="AK209" s="39">
        <v>0</v>
      </c>
      <c r="AL209" s="39">
        <v>0</v>
      </c>
      <c r="AM209" s="39">
        <v>0</v>
      </c>
      <c r="AN209" s="39">
        <v>0</v>
      </c>
      <c r="AO209" s="39">
        <v>0</v>
      </c>
      <c r="AP209" s="39">
        <v>0</v>
      </c>
      <c r="AQ209" s="39">
        <v>0</v>
      </c>
      <c r="AR209" s="39">
        <v>0</v>
      </c>
      <c r="AS209" s="39">
        <v>0</v>
      </c>
      <c r="AT209" s="39">
        <v>0</v>
      </c>
      <c r="AU209" s="39">
        <v>0</v>
      </c>
      <c r="AV209" s="39">
        <v>0</v>
      </c>
      <c r="AW209" s="39">
        <v>0</v>
      </c>
      <c r="AX209" s="39">
        <v>0</v>
      </c>
      <c r="AY209" s="39">
        <v>0</v>
      </c>
      <c r="AZ209" s="39">
        <v>0</v>
      </c>
      <c r="BA209" s="39">
        <v>0</v>
      </c>
      <c r="BB209" s="39">
        <v>0</v>
      </c>
      <c r="BC209" s="39">
        <v>0</v>
      </c>
    </row>
    <row r="210" spans="3:55" hidden="1" outlineLevel="1" x14ac:dyDescent="0.2">
      <c r="C210" s="162" t="str">
        <v>RNC a Core punto de acceso: Voz 2488</v>
      </c>
      <c r="D210" s="162" t="str">
        <v>UMTS solo voz radio y SMS</v>
      </c>
      <c r="E210" s="62">
        <f t="shared" si="53"/>
        <v>0</v>
      </c>
      <c r="F210" s="39">
        <f t="array" ref="F210:BC210">INDEX(RF.Option.Table,MATCH($D210,RF.Option.List,0),)</f>
        <v>0</v>
      </c>
      <c r="G210" s="39">
        <v>0</v>
      </c>
      <c r="H210" s="39">
        <v>0</v>
      </c>
      <c r="I210" s="39">
        <v>0</v>
      </c>
      <c r="J210" s="39">
        <v>0</v>
      </c>
      <c r="K210" s="39">
        <v>0</v>
      </c>
      <c r="L210" s="39">
        <v>0</v>
      </c>
      <c r="M210" s="39">
        <v>2.8319607843137256</v>
      </c>
      <c r="N210" s="39">
        <v>1.4232291666666665</v>
      </c>
      <c r="O210" s="39">
        <v>1.4516666666666667</v>
      </c>
      <c r="P210" s="39">
        <v>1.393888888888889</v>
      </c>
      <c r="Q210" s="39">
        <v>1.4232291666666665</v>
      </c>
      <c r="R210" s="39">
        <v>1.4516666666666667</v>
      </c>
      <c r="S210" s="39">
        <v>1.393888888888889</v>
      </c>
      <c r="T210" s="39">
        <v>0</v>
      </c>
      <c r="U210" s="39">
        <v>0</v>
      </c>
      <c r="V210" s="39">
        <v>0</v>
      </c>
      <c r="W210" s="39">
        <v>0</v>
      </c>
      <c r="X210" s="39">
        <v>0</v>
      </c>
      <c r="Y210" s="39">
        <v>0</v>
      </c>
      <c r="Z210" s="39">
        <v>0</v>
      </c>
      <c r="AA210" s="39">
        <v>0</v>
      </c>
      <c r="AB210" s="39">
        <v>0</v>
      </c>
      <c r="AC210" s="39">
        <v>0</v>
      </c>
      <c r="AD210" s="39">
        <v>1E-3</v>
      </c>
      <c r="AE210" s="39">
        <v>5.0000000000000001E-4</v>
      </c>
      <c r="AF210" s="39">
        <v>5.0000000000000001E-4</v>
      </c>
      <c r="AG210" s="39">
        <v>0</v>
      </c>
      <c r="AH210" s="39">
        <v>0</v>
      </c>
      <c r="AI210" s="39">
        <v>0</v>
      </c>
      <c r="AJ210" s="39">
        <v>0</v>
      </c>
      <c r="AK210" s="39">
        <v>0</v>
      </c>
      <c r="AL210" s="39">
        <v>0</v>
      </c>
      <c r="AM210" s="39">
        <v>0</v>
      </c>
      <c r="AN210" s="39">
        <v>0</v>
      </c>
      <c r="AO210" s="39">
        <v>0</v>
      </c>
      <c r="AP210" s="39">
        <v>0</v>
      </c>
      <c r="AQ210" s="39">
        <v>0</v>
      </c>
      <c r="AR210" s="39">
        <v>0</v>
      </c>
      <c r="AS210" s="39">
        <v>0</v>
      </c>
      <c r="AT210" s="39">
        <v>0</v>
      </c>
      <c r="AU210" s="39">
        <v>0</v>
      </c>
      <c r="AV210" s="39">
        <v>0</v>
      </c>
      <c r="AW210" s="39">
        <v>0</v>
      </c>
      <c r="AX210" s="39">
        <v>0</v>
      </c>
      <c r="AY210" s="39">
        <v>0</v>
      </c>
      <c r="AZ210" s="39">
        <v>0</v>
      </c>
      <c r="BA210" s="39">
        <v>0</v>
      </c>
      <c r="BB210" s="39">
        <v>0</v>
      </c>
      <c r="BC210" s="39">
        <v>0</v>
      </c>
    </row>
    <row r="211" spans="3:55" hidden="1" outlineLevel="1" x14ac:dyDescent="0.2">
      <c r="C211" s="162" t="str">
        <v>RNC a Core punto de acceso: Datos: 34.4</v>
      </c>
      <c r="D211" s="162" t="str">
        <v>UMTS+HSPA solo tráfico de datos</v>
      </c>
      <c r="E211" s="62">
        <f t="shared" si="53"/>
        <v>0</v>
      </c>
      <c r="F211" s="39">
        <f t="array" ref="F211:BC211">INDEX(RF.Option.Table,MATCH($D211,RF.Option.List,0),)</f>
        <v>0</v>
      </c>
      <c r="G211" s="39">
        <v>0</v>
      </c>
      <c r="H211" s="39">
        <v>0</v>
      </c>
      <c r="I211" s="39">
        <v>0</v>
      </c>
      <c r="J211" s="39">
        <v>0</v>
      </c>
      <c r="K211" s="39">
        <v>0</v>
      </c>
      <c r="L211" s="39">
        <v>0</v>
      </c>
      <c r="M211" s="39">
        <v>0</v>
      </c>
      <c r="N211" s="39">
        <v>0</v>
      </c>
      <c r="O211" s="39">
        <v>0</v>
      </c>
      <c r="P211" s="39">
        <v>0</v>
      </c>
      <c r="Q211" s="39">
        <v>0</v>
      </c>
      <c r="R211" s="39">
        <v>0</v>
      </c>
      <c r="S211" s="39">
        <v>0</v>
      </c>
      <c r="T211" s="39">
        <v>0</v>
      </c>
      <c r="U211" s="39">
        <v>0</v>
      </c>
      <c r="V211" s="39">
        <v>0</v>
      </c>
      <c r="W211" s="39">
        <v>0</v>
      </c>
      <c r="X211" s="39">
        <v>0</v>
      </c>
      <c r="Y211" s="39">
        <v>0</v>
      </c>
      <c r="Z211" s="39">
        <v>0</v>
      </c>
      <c r="AA211" s="39">
        <v>0</v>
      </c>
      <c r="AB211" s="39">
        <v>0</v>
      </c>
      <c r="AC211" s="39">
        <v>0</v>
      </c>
      <c r="AD211" s="39">
        <v>0</v>
      </c>
      <c r="AE211" s="39">
        <v>0</v>
      </c>
      <c r="AF211" s="39">
        <v>0</v>
      </c>
      <c r="AG211" s="39">
        <v>0</v>
      </c>
      <c r="AH211" s="39">
        <v>0</v>
      </c>
      <c r="AI211" s="39">
        <v>0</v>
      </c>
      <c r="AJ211" s="39">
        <v>0</v>
      </c>
      <c r="AK211" s="39">
        <v>1</v>
      </c>
      <c r="AL211" s="39">
        <v>1</v>
      </c>
      <c r="AM211" s="39">
        <v>1</v>
      </c>
      <c r="AN211" s="39">
        <v>0</v>
      </c>
      <c r="AO211" s="39">
        <v>0</v>
      </c>
      <c r="AP211" s="39">
        <v>0</v>
      </c>
      <c r="AQ211" s="39">
        <v>0</v>
      </c>
      <c r="AR211" s="39">
        <v>0</v>
      </c>
      <c r="AS211" s="39">
        <v>0</v>
      </c>
      <c r="AT211" s="39">
        <v>0</v>
      </c>
      <c r="AU211" s="39">
        <v>0</v>
      </c>
      <c r="AV211" s="39">
        <v>0</v>
      </c>
      <c r="AW211" s="39">
        <v>0</v>
      </c>
      <c r="AX211" s="39">
        <v>0</v>
      </c>
      <c r="AY211" s="39">
        <v>0</v>
      </c>
      <c r="AZ211" s="39">
        <v>0</v>
      </c>
      <c r="BA211" s="39">
        <v>0</v>
      </c>
      <c r="BB211" s="39">
        <v>0</v>
      </c>
      <c r="BC211" s="39">
        <v>0</v>
      </c>
    </row>
    <row r="212" spans="3:55" hidden="1" outlineLevel="1" x14ac:dyDescent="0.2">
      <c r="C212" s="162" t="str">
        <v>RNC a Core punto de acceso: Datos: 155.52</v>
      </c>
      <c r="D212" s="162" t="str">
        <v>UMTS+HSPA solo tráfico de datos</v>
      </c>
      <c r="E212" s="62">
        <f t="shared" si="53"/>
        <v>0</v>
      </c>
      <c r="F212" s="39">
        <f t="array" ref="F212:BC212">INDEX(RF.Option.Table,MATCH($D212,RF.Option.List,0),)</f>
        <v>0</v>
      </c>
      <c r="G212" s="39">
        <v>0</v>
      </c>
      <c r="H212" s="39">
        <v>0</v>
      </c>
      <c r="I212" s="39">
        <v>0</v>
      </c>
      <c r="J212" s="39">
        <v>0</v>
      </c>
      <c r="K212" s="39">
        <v>0</v>
      </c>
      <c r="L212" s="39">
        <v>0</v>
      </c>
      <c r="M212" s="39">
        <v>0</v>
      </c>
      <c r="N212" s="39">
        <v>0</v>
      </c>
      <c r="O212" s="39">
        <v>0</v>
      </c>
      <c r="P212" s="39">
        <v>0</v>
      </c>
      <c r="Q212" s="39">
        <v>0</v>
      </c>
      <c r="R212" s="39">
        <v>0</v>
      </c>
      <c r="S212" s="39">
        <v>0</v>
      </c>
      <c r="T212" s="39">
        <v>0</v>
      </c>
      <c r="U212" s="39">
        <v>0</v>
      </c>
      <c r="V212" s="39">
        <v>0</v>
      </c>
      <c r="W212" s="39">
        <v>0</v>
      </c>
      <c r="X212" s="39">
        <v>0</v>
      </c>
      <c r="Y212" s="39">
        <v>0</v>
      </c>
      <c r="Z212" s="39">
        <v>0</v>
      </c>
      <c r="AA212" s="39">
        <v>0</v>
      </c>
      <c r="AB212" s="39">
        <v>0</v>
      </c>
      <c r="AC212" s="39">
        <v>0</v>
      </c>
      <c r="AD212" s="39">
        <v>0</v>
      </c>
      <c r="AE212" s="39">
        <v>0</v>
      </c>
      <c r="AF212" s="39">
        <v>0</v>
      </c>
      <c r="AG212" s="39">
        <v>0</v>
      </c>
      <c r="AH212" s="39">
        <v>0</v>
      </c>
      <c r="AI212" s="39">
        <v>0</v>
      </c>
      <c r="AJ212" s="39">
        <v>0</v>
      </c>
      <c r="AK212" s="39">
        <v>1</v>
      </c>
      <c r="AL212" s="39">
        <v>1</v>
      </c>
      <c r="AM212" s="39">
        <v>1</v>
      </c>
      <c r="AN212" s="39">
        <v>0</v>
      </c>
      <c r="AO212" s="39">
        <v>0</v>
      </c>
      <c r="AP212" s="39">
        <v>0</v>
      </c>
      <c r="AQ212" s="39">
        <v>0</v>
      </c>
      <c r="AR212" s="39">
        <v>0</v>
      </c>
      <c r="AS212" s="39">
        <v>0</v>
      </c>
      <c r="AT212" s="39">
        <v>0</v>
      </c>
      <c r="AU212" s="39">
        <v>0</v>
      </c>
      <c r="AV212" s="39">
        <v>0</v>
      </c>
      <c r="AW212" s="39">
        <v>0</v>
      </c>
      <c r="AX212" s="39">
        <v>0</v>
      </c>
      <c r="AY212" s="39">
        <v>0</v>
      </c>
      <c r="AZ212" s="39">
        <v>0</v>
      </c>
      <c r="BA212" s="39">
        <v>0</v>
      </c>
      <c r="BB212" s="39">
        <v>0</v>
      </c>
      <c r="BC212" s="39">
        <v>0</v>
      </c>
    </row>
    <row r="213" spans="3:55" hidden="1" outlineLevel="1" x14ac:dyDescent="0.2">
      <c r="C213" s="162" t="str">
        <v>RNC a Core punto de acceso: Datos: 622.08</v>
      </c>
      <c r="D213" s="162" t="str">
        <v>UMTS+HSPA solo tráfico de datos</v>
      </c>
      <c r="E213" s="62">
        <f t="shared" si="53"/>
        <v>0</v>
      </c>
      <c r="F213" s="39">
        <f t="array" ref="F213:BC213">INDEX(RF.Option.Table,MATCH($D213,RF.Option.List,0),)</f>
        <v>0</v>
      </c>
      <c r="G213" s="39">
        <v>0</v>
      </c>
      <c r="H213" s="39">
        <v>0</v>
      </c>
      <c r="I213" s="39">
        <v>0</v>
      </c>
      <c r="J213" s="39">
        <v>0</v>
      </c>
      <c r="K213" s="39">
        <v>0</v>
      </c>
      <c r="L213" s="39">
        <v>0</v>
      </c>
      <c r="M213" s="39">
        <v>0</v>
      </c>
      <c r="N213" s="39">
        <v>0</v>
      </c>
      <c r="O213" s="39">
        <v>0</v>
      </c>
      <c r="P213" s="39">
        <v>0</v>
      </c>
      <c r="Q213" s="39">
        <v>0</v>
      </c>
      <c r="R213" s="39">
        <v>0</v>
      </c>
      <c r="S213" s="39">
        <v>0</v>
      </c>
      <c r="T213" s="39">
        <v>0</v>
      </c>
      <c r="U213" s="39">
        <v>0</v>
      </c>
      <c r="V213" s="39">
        <v>0</v>
      </c>
      <c r="W213" s="39">
        <v>0</v>
      </c>
      <c r="X213" s="39">
        <v>0</v>
      </c>
      <c r="Y213" s="39">
        <v>0</v>
      </c>
      <c r="Z213" s="39">
        <v>0</v>
      </c>
      <c r="AA213" s="39">
        <v>0</v>
      </c>
      <c r="AB213" s="39">
        <v>0</v>
      </c>
      <c r="AC213" s="39">
        <v>0</v>
      </c>
      <c r="AD213" s="39">
        <v>0</v>
      </c>
      <c r="AE213" s="39">
        <v>0</v>
      </c>
      <c r="AF213" s="39">
        <v>0</v>
      </c>
      <c r="AG213" s="39">
        <v>0</v>
      </c>
      <c r="AH213" s="39">
        <v>0</v>
      </c>
      <c r="AI213" s="39">
        <v>0</v>
      </c>
      <c r="AJ213" s="39">
        <v>0</v>
      </c>
      <c r="AK213" s="39">
        <v>1</v>
      </c>
      <c r="AL213" s="39">
        <v>1</v>
      </c>
      <c r="AM213" s="39">
        <v>1</v>
      </c>
      <c r="AN213" s="39">
        <v>0</v>
      </c>
      <c r="AO213" s="39">
        <v>0</v>
      </c>
      <c r="AP213" s="39">
        <v>0</v>
      </c>
      <c r="AQ213" s="39">
        <v>0</v>
      </c>
      <c r="AR213" s="39">
        <v>0</v>
      </c>
      <c r="AS213" s="39">
        <v>0</v>
      </c>
      <c r="AT213" s="39">
        <v>0</v>
      </c>
      <c r="AU213" s="39">
        <v>0</v>
      </c>
      <c r="AV213" s="39">
        <v>0</v>
      </c>
      <c r="AW213" s="39">
        <v>0</v>
      </c>
      <c r="AX213" s="39">
        <v>0</v>
      </c>
      <c r="AY213" s="39">
        <v>0</v>
      </c>
      <c r="AZ213" s="39">
        <v>0</v>
      </c>
      <c r="BA213" s="39">
        <v>0</v>
      </c>
      <c r="BB213" s="39">
        <v>0</v>
      </c>
      <c r="BC213" s="39">
        <v>0</v>
      </c>
    </row>
    <row r="214" spans="3:55" hidden="1" outlineLevel="1" x14ac:dyDescent="0.2">
      <c r="C214" s="162" t="str">
        <v>RNC a Core punto de acceso: Datos: 100</v>
      </c>
      <c r="D214" s="162" t="str">
        <v>UMTS+HSPA solo tráfico de datos</v>
      </c>
      <c r="E214" s="62">
        <f t="shared" si="53"/>
        <v>0</v>
      </c>
      <c r="F214" s="39">
        <f t="array" ref="F214:BC214">INDEX(RF.Option.Table,MATCH($D214,RF.Option.List,0),)</f>
        <v>0</v>
      </c>
      <c r="G214" s="39">
        <v>0</v>
      </c>
      <c r="H214" s="39">
        <v>0</v>
      </c>
      <c r="I214" s="39">
        <v>0</v>
      </c>
      <c r="J214" s="39">
        <v>0</v>
      </c>
      <c r="K214" s="39">
        <v>0</v>
      </c>
      <c r="L214" s="39">
        <v>0</v>
      </c>
      <c r="M214" s="39">
        <v>0</v>
      </c>
      <c r="N214" s="39">
        <v>0</v>
      </c>
      <c r="O214" s="39">
        <v>0</v>
      </c>
      <c r="P214" s="39">
        <v>0</v>
      </c>
      <c r="Q214" s="39">
        <v>0</v>
      </c>
      <c r="R214" s="39">
        <v>0</v>
      </c>
      <c r="S214" s="39">
        <v>0</v>
      </c>
      <c r="T214" s="39">
        <v>0</v>
      </c>
      <c r="U214" s="39">
        <v>0</v>
      </c>
      <c r="V214" s="39">
        <v>0</v>
      </c>
      <c r="W214" s="39">
        <v>0</v>
      </c>
      <c r="X214" s="39">
        <v>0</v>
      </c>
      <c r="Y214" s="39">
        <v>0</v>
      </c>
      <c r="Z214" s="39">
        <v>0</v>
      </c>
      <c r="AA214" s="39">
        <v>0</v>
      </c>
      <c r="AB214" s="39">
        <v>0</v>
      </c>
      <c r="AC214" s="39">
        <v>0</v>
      </c>
      <c r="AD214" s="39">
        <v>0</v>
      </c>
      <c r="AE214" s="39">
        <v>0</v>
      </c>
      <c r="AF214" s="39">
        <v>0</v>
      </c>
      <c r="AG214" s="39">
        <v>0</v>
      </c>
      <c r="AH214" s="39">
        <v>0</v>
      </c>
      <c r="AI214" s="39">
        <v>0</v>
      </c>
      <c r="AJ214" s="39">
        <v>0</v>
      </c>
      <c r="AK214" s="39">
        <v>1</v>
      </c>
      <c r="AL214" s="39">
        <v>1</v>
      </c>
      <c r="AM214" s="39">
        <v>1</v>
      </c>
      <c r="AN214" s="39">
        <v>0</v>
      </c>
      <c r="AO214" s="39">
        <v>0</v>
      </c>
      <c r="AP214" s="39">
        <v>0</v>
      </c>
      <c r="AQ214" s="39">
        <v>0</v>
      </c>
      <c r="AR214" s="39">
        <v>0</v>
      </c>
      <c r="AS214" s="39">
        <v>0</v>
      </c>
      <c r="AT214" s="39">
        <v>0</v>
      </c>
      <c r="AU214" s="39">
        <v>0</v>
      </c>
      <c r="AV214" s="39">
        <v>0</v>
      </c>
      <c r="AW214" s="39">
        <v>0</v>
      </c>
      <c r="AX214" s="39">
        <v>0</v>
      </c>
      <c r="AY214" s="39">
        <v>0</v>
      </c>
      <c r="AZ214" s="39">
        <v>0</v>
      </c>
      <c r="BA214" s="39">
        <v>0</v>
      </c>
      <c r="BB214" s="39">
        <v>0</v>
      </c>
      <c r="BC214" s="39">
        <v>0</v>
      </c>
    </row>
    <row r="215" spans="3:55" hidden="1" outlineLevel="1" x14ac:dyDescent="0.2">
      <c r="C215" s="162" t="str">
        <v>RNC a Core punto de acceso: Datos: 1024</v>
      </c>
      <c r="D215" s="162" t="str">
        <v>UMTS+HSPA solo tráfico de datos</v>
      </c>
      <c r="E215" s="62">
        <f t="shared" si="53"/>
        <v>0</v>
      </c>
      <c r="F215" s="39">
        <f t="array" ref="F215:BC215">INDEX(RF.Option.Table,MATCH($D215,RF.Option.List,0),)</f>
        <v>0</v>
      </c>
      <c r="G215" s="39">
        <v>0</v>
      </c>
      <c r="H215" s="39">
        <v>0</v>
      </c>
      <c r="I215" s="39">
        <v>0</v>
      </c>
      <c r="J215" s="39">
        <v>0</v>
      </c>
      <c r="K215" s="39">
        <v>0</v>
      </c>
      <c r="L215" s="39">
        <v>0</v>
      </c>
      <c r="M215" s="39">
        <v>0</v>
      </c>
      <c r="N215" s="39">
        <v>0</v>
      </c>
      <c r="O215" s="39">
        <v>0</v>
      </c>
      <c r="P215" s="39">
        <v>0</v>
      </c>
      <c r="Q215" s="39">
        <v>0</v>
      </c>
      <c r="R215" s="39">
        <v>0</v>
      </c>
      <c r="S215" s="39">
        <v>0</v>
      </c>
      <c r="T215" s="39">
        <v>0</v>
      </c>
      <c r="U215" s="39">
        <v>0</v>
      </c>
      <c r="V215" s="39">
        <v>0</v>
      </c>
      <c r="W215" s="39">
        <v>0</v>
      </c>
      <c r="X215" s="39">
        <v>0</v>
      </c>
      <c r="Y215" s="39">
        <v>0</v>
      </c>
      <c r="Z215" s="39">
        <v>0</v>
      </c>
      <c r="AA215" s="39">
        <v>0</v>
      </c>
      <c r="AB215" s="39">
        <v>0</v>
      </c>
      <c r="AC215" s="39">
        <v>0</v>
      </c>
      <c r="AD215" s="39">
        <v>0</v>
      </c>
      <c r="AE215" s="39">
        <v>0</v>
      </c>
      <c r="AF215" s="39">
        <v>0</v>
      </c>
      <c r="AG215" s="39">
        <v>0</v>
      </c>
      <c r="AH215" s="39">
        <v>0</v>
      </c>
      <c r="AI215" s="39">
        <v>0</v>
      </c>
      <c r="AJ215" s="39">
        <v>0</v>
      </c>
      <c r="AK215" s="39">
        <v>1</v>
      </c>
      <c r="AL215" s="39">
        <v>1</v>
      </c>
      <c r="AM215" s="39">
        <v>1</v>
      </c>
      <c r="AN215" s="39">
        <v>0</v>
      </c>
      <c r="AO215" s="39">
        <v>0</v>
      </c>
      <c r="AP215" s="39">
        <v>0</v>
      </c>
      <c r="AQ215" s="39">
        <v>0</v>
      </c>
      <c r="AR215" s="39">
        <v>0</v>
      </c>
      <c r="AS215" s="39">
        <v>0</v>
      </c>
      <c r="AT215" s="39">
        <v>0</v>
      </c>
      <c r="AU215" s="39">
        <v>0</v>
      </c>
      <c r="AV215" s="39">
        <v>0</v>
      </c>
      <c r="AW215" s="39">
        <v>0</v>
      </c>
      <c r="AX215" s="39">
        <v>0</v>
      </c>
      <c r="AY215" s="39">
        <v>0</v>
      </c>
      <c r="AZ215" s="39">
        <v>0</v>
      </c>
      <c r="BA215" s="39">
        <v>0</v>
      </c>
      <c r="BB215" s="39">
        <v>0</v>
      </c>
      <c r="BC215" s="39">
        <v>0</v>
      </c>
    </row>
    <row r="216" spans="3:55" hidden="1" outlineLevel="1" x14ac:dyDescent="0.2">
      <c r="C216" s="162" t="str">
        <v>RNC a Core punto de acceso: Datos: 2488</v>
      </c>
      <c r="D216" s="162" t="str">
        <v>UMTS+HSPA solo tráfico de datos</v>
      </c>
      <c r="E216" s="62">
        <f t="shared" si="53"/>
        <v>0</v>
      </c>
      <c r="F216" s="39">
        <f t="array" ref="F216:BC216">INDEX(RF.Option.Table,MATCH($D216,RF.Option.List,0),)</f>
        <v>0</v>
      </c>
      <c r="G216" s="39">
        <v>0</v>
      </c>
      <c r="H216" s="39">
        <v>0</v>
      </c>
      <c r="I216" s="39">
        <v>0</v>
      </c>
      <c r="J216" s="39">
        <v>0</v>
      </c>
      <c r="K216" s="39">
        <v>0</v>
      </c>
      <c r="L216" s="39">
        <v>0</v>
      </c>
      <c r="M216" s="39">
        <v>0</v>
      </c>
      <c r="N216" s="39">
        <v>0</v>
      </c>
      <c r="O216" s="39">
        <v>0</v>
      </c>
      <c r="P216" s="39">
        <v>0</v>
      </c>
      <c r="Q216" s="39">
        <v>0</v>
      </c>
      <c r="R216" s="39">
        <v>0</v>
      </c>
      <c r="S216" s="39">
        <v>0</v>
      </c>
      <c r="T216" s="39">
        <v>0</v>
      </c>
      <c r="U216" s="39">
        <v>0</v>
      </c>
      <c r="V216" s="39">
        <v>0</v>
      </c>
      <c r="W216" s="39">
        <v>0</v>
      </c>
      <c r="X216" s="39">
        <v>0</v>
      </c>
      <c r="Y216" s="39">
        <v>0</v>
      </c>
      <c r="Z216" s="39">
        <v>0</v>
      </c>
      <c r="AA216" s="39">
        <v>0</v>
      </c>
      <c r="AB216" s="39">
        <v>0</v>
      </c>
      <c r="AC216" s="39">
        <v>0</v>
      </c>
      <c r="AD216" s="39">
        <v>0</v>
      </c>
      <c r="AE216" s="39">
        <v>0</v>
      </c>
      <c r="AF216" s="39">
        <v>0</v>
      </c>
      <c r="AG216" s="39">
        <v>0</v>
      </c>
      <c r="AH216" s="39">
        <v>0</v>
      </c>
      <c r="AI216" s="39">
        <v>0</v>
      </c>
      <c r="AJ216" s="39">
        <v>0</v>
      </c>
      <c r="AK216" s="39">
        <v>1</v>
      </c>
      <c r="AL216" s="39">
        <v>1</v>
      </c>
      <c r="AM216" s="39">
        <v>1</v>
      </c>
      <c r="AN216" s="39">
        <v>0</v>
      </c>
      <c r="AO216" s="39">
        <v>0</v>
      </c>
      <c r="AP216" s="39">
        <v>0</v>
      </c>
      <c r="AQ216" s="39">
        <v>0</v>
      </c>
      <c r="AR216" s="39">
        <v>0</v>
      </c>
      <c r="AS216" s="39">
        <v>0</v>
      </c>
      <c r="AT216" s="39">
        <v>0</v>
      </c>
      <c r="AU216" s="39">
        <v>0</v>
      </c>
      <c r="AV216" s="39">
        <v>0</v>
      </c>
      <c r="AW216" s="39">
        <v>0</v>
      </c>
      <c r="AX216" s="39">
        <v>0</v>
      </c>
      <c r="AY216" s="39">
        <v>0</v>
      </c>
      <c r="AZ216" s="39">
        <v>0</v>
      </c>
      <c r="BA216" s="39">
        <v>0</v>
      </c>
      <c r="BB216" s="39">
        <v>0</v>
      </c>
      <c r="BC216" s="39">
        <v>0</v>
      </c>
    </row>
    <row r="217" spans="3:55" hidden="1" outlineLevel="1" x14ac:dyDescent="0.2">
      <c r="C217" s="162" t="str">
        <v>BSC a Core líneas alquiladas: Voz: 8.45</v>
      </c>
      <c r="D217" s="162" t="str">
        <v>GSM solo voz radio y SMS</v>
      </c>
      <c r="E217" s="62">
        <f t="shared" si="53"/>
        <v>0</v>
      </c>
      <c r="F217" s="39">
        <f t="array" ref="F217:BC217">INDEX(RF.Option.Table,MATCH($D217,RF.Option.List,0),)</f>
        <v>2.1784313725490194</v>
      </c>
      <c r="G217" s="39">
        <v>1.0947916666666666</v>
      </c>
      <c r="H217" s="39">
        <v>1.1166666666666667</v>
      </c>
      <c r="I217" s="39">
        <v>1.0722222222222222</v>
      </c>
      <c r="J217" s="39">
        <v>1.0947916666666666</v>
      </c>
      <c r="K217" s="39">
        <v>1.1166666666666667</v>
      </c>
      <c r="L217" s="39">
        <v>1.0722222222222222</v>
      </c>
      <c r="M217" s="39">
        <v>0</v>
      </c>
      <c r="N217" s="39">
        <v>0</v>
      </c>
      <c r="O217" s="39">
        <v>0</v>
      </c>
      <c r="P217" s="39">
        <v>0</v>
      </c>
      <c r="Q217" s="39">
        <v>0</v>
      </c>
      <c r="R217" s="39">
        <v>0</v>
      </c>
      <c r="S217" s="39">
        <v>0</v>
      </c>
      <c r="T217" s="39">
        <v>0</v>
      </c>
      <c r="U217" s="39">
        <v>0</v>
      </c>
      <c r="V217" s="39">
        <v>0</v>
      </c>
      <c r="W217" s="39">
        <v>0</v>
      </c>
      <c r="X217" s="39">
        <v>0</v>
      </c>
      <c r="Y217" s="39">
        <v>0</v>
      </c>
      <c r="Z217" s="39">
        <v>0</v>
      </c>
      <c r="AA217" s="39">
        <v>2.6075619295958278E-3</v>
      </c>
      <c r="AB217" s="39">
        <v>1.3037809647979139E-3</v>
      </c>
      <c r="AC217" s="39">
        <v>1.3037809647979139E-3</v>
      </c>
      <c r="AD217" s="39">
        <v>0</v>
      </c>
      <c r="AE217" s="39">
        <v>0</v>
      </c>
      <c r="AF217" s="39">
        <v>0</v>
      </c>
      <c r="AG217" s="39">
        <v>0</v>
      </c>
      <c r="AH217" s="39">
        <v>0</v>
      </c>
      <c r="AI217" s="39">
        <v>0</v>
      </c>
      <c r="AJ217" s="39">
        <v>0</v>
      </c>
      <c r="AK217" s="39">
        <v>0</v>
      </c>
      <c r="AL217" s="39">
        <v>0</v>
      </c>
      <c r="AM217" s="39">
        <v>0</v>
      </c>
      <c r="AN217" s="39">
        <v>0</v>
      </c>
      <c r="AO217" s="39">
        <v>0</v>
      </c>
      <c r="AP217" s="39">
        <v>0</v>
      </c>
      <c r="AQ217" s="39">
        <v>0</v>
      </c>
      <c r="AR217" s="39">
        <v>0</v>
      </c>
      <c r="AS217" s="39">
        <v>0</v>
      </c>
      <c r="AT217" s="39">
        <v>0</v>
      </c>
      <c r="AU217" s="39">
        <v>0</v>
      </c>
      <c r="AV217" s="39">
        <v>0</v>
      </c>
      <c r="AW217" s="39">
        <v>0</v>
      </c>
      <c r="AX217" s="39">
        <v>0</v>
      </c>
      <c r="AY217" s="39">
        <v>0</v>
      </c>
      <c r="AZ217" s="39">
        <v>0</v>
      </c>
      <c r="BA217" s="39">
        <v>0</v>
      </c>
      <c r="BB217" s="39">
        <v>0</v>
      </c>
      <c r="BC217" s="39">
        <v>0</v>
      </c>
    </row>
    <row r="218" spans="3:55" hidden="1" outlineLevel="1" x14ac:dyDescent="0.2">
      <c r="C218" s="162" t="str">
        <v>BSC a Core líneas alquiladas: Voz: 34.37</v>
      </c>
      <c r="D218" s="162" t="str">
        <v>GSM solo voz radio y SMS</v>
      </c>
      <c r="E218" s="62">
        <f t="shared" si="53"/>
        <v>0</v>
      </c>
      <c r="F218" s="39">
        <f t="array" ref="F218:BC218">INDEX(RF.Option.Table,MATCH($D218,RF.Option.List,0),)</f>
        <v>2.1784313725490194</v>
      </c>
      <c r="G218" s="39">
        <v>1.0947916666666666</v>
      </c>
      <c r="H218" s="39">
        <v>1.1166666666666667</v>
      </c>
      <c r="I218" s="39">
        <v>1.0722222222222222</v>
      </c>
      <c r="J218" s="39">
        <v>1.0947916666666666</v>
      </c>
      <c r="K218" s="39">
        <v>1.1166666666666667</v>
      </c>
      <c r="L218" s="39">
        <v>1.0722222222222222</v>
      </c>
      <c r="M218" s="39">
        <v>0</v>
      </c>
      <c r="N218" s="39">
        <v>0</v>
      </c>
      <c r="O218" s="39">
        <v>0</v>
      </c>
      <c r="P218" s="39">
        <v>0</v>
      </c>
      <c r="Q218" s="39">
        <v>0</v>
      </c>
      <c r="R218" s="39">
        <v>0</v>
      </c>
      <c r="S218" s="39">
        <v>0</v>
      </c>
      <c r="T218" s="39">
        <v>0</v>
      </c>
      <c r="U218" s="39">
        <v>0</v>
      </c>
      <c r="V218" s="39">
        <v>0</v>
      </c>
      <c r="W218" s="39">
        <v>0</v>
      </c>
      <c r="X218" s="39">
        <v>0</v>
      </c>
      <c r="Y218" s="39">
        <v>0</v>
      </c>
      <c r="Z218" s="39">
        <v>0</v>
      </c>
      <c r="AA218" s="39">
        <v>2.6075619295958278E-3</v>
      </c>
      <c r="AB218" s="39">
        <v>1.3037809647979139E-3</v>
      </c>
      <c r="AC218" s="39">
        <v>1.3037809647979139E-3</v>
      </c>
      <c r="AD218" s="39">
        <v>0</v>
      </c>
      <c r="AE218" s="39">
        <v>0</v>
      </c>
      <c r="AF218" s="39">
        <v>0</v>
      </c>
      <c r="AG218" s="39">
        <v>0</v>
      </c>
      <c r="AH218" s="39">
        <v>0</v>
      </c>
      <c r="AI218" s="39">
        <v>0</v>
      </c>
      <c r="AJ218" s="39">
        <v>0</v>
      </c>
      <c r="AK218" s="39">
        <v>0</v>
      </c>
      <c r="AL218" s="39">
        <v>0</v>
      </c>
      <c r="AM218" s="39">
        <v>0</v>
      </c>
      <c r="AN218" s="39">
        <v>0</v>
      </c>
      <c r="AO218" s="39">
        <v>0</v>
      </c>
      <c r="AP218" s="39">
        <v>0</v>
      </c>
      <c r="AQ218" s="39">
        <v>0</v>
      </c>
      <c r="AR218" s="39">
        <v>0</v>
      </c>
      <c r="AS218" s="39">
        <v>0</v>
      </c>
      <c r="AT218" s="39">
        <v>0</v>
      </c>
      <c r="AU218" s="39">
        <v>0</v>
      </c>
      <c r="AV218" s="39">
        <v>0</v>
      </c>
      <c r="AW218" s="39">
        <v>0</v>
      </c>
      <c r="AX218" s="39">
        <v>0</v>
      </c>
      <c r="AY218" s="39">
        <v>0</v>
      </c>
      <c r="AZ218" s="39">
        <v>0</v>
      </c>
      <c r="BA218" s="39">
        <v>0</v>
      </c>
      <c r="BB218" s="39">
        <v>0</v>
      </c>
      <c r="BC218" s="39">
        <v>0</v>
      </c>
    </row>
    <row r="219" spans="3:55" hidden="1" outlineLevel="1" x14ac:dyDescent="0.2">
      <c r="C219" s="162" t="str">
        <v>BSC a Core líneas alquiladas: Voz: 155.52</v>
      </c>
      <c r="D219" s="162" t="str">
        <v>GSM solo voz radio y SMS</v>
      </c>
      <c r="E219" s="62">
        <f t="shared" si="53"/>
        <v>0</v>
      </c>
      <c r="F219" s="39">
        <f t="array" ref="F219:BC219">INDEX(RF.Option.Table,MATCH($D219,RF.Option.List,0),)</f>
        <v>2.1784313725490194</v>
      </c>
      <c r="G219" s="39">
        <v>1.0947916666666666</v>
      </c>
      <c r="H219" s="39">
        <v>1.1166666666666667</v>
      </c>
      <c r="I219" s="39">
        <v>1.0722222222222222</v>
      </c>
      <c r="J219" s="39">
        <v>1.0947916666666666</v>
      </c>
      <c r="K219" s="39">
        <v>1.1166666666666667</v>
      </c>
      <c r="L219" s="39">
        <v>1.0722222222222222</v>
      </c>
      <c r="M219" s="39">
        <v>0</v>
      </c>
      <c r="N219" s="39">
        <v>0</v>
      </c>
      <c r="O219" s="39">
        <v>0</v>
      </c>
      <c r="P219" s="39">
        <v>0</v>
      </c>
      <c r="Q219" s="39">
        <v>0</v>
      </c>
      <c r="R219" s="39">
        <v>0</v>
      </c>
      <c r="S219" s="39">
        <v>0</v>
      </c>
      <c r="T219" s="39">
        <v>0</v>
      </c>
      <c r="U219" s="39">
        <v>0</v>
      </c>
      <c r="V219" s="39">
        <v>0</v>
      </c>
      <c r="W219" s="39">
        <v>0</v>
      </c>
      <c r="X219" s="39">
        <v>0</v>
      </c>
      <c r="Y219" s="39">
        <v>0</v>
      </c>
      <c r="Z219" s="39">
        <v>0</v>
      </c>
      <c r="AA219" s="39">
        <v>2.6075619295958278E-3</v>
      </c>
      <c r="AB219" s="39">
        <v>1.3037809647979139E-3</v>
      </c>
      <c r="AC219" s="39">
        <v>1.3037809647979139E-3</v>
      </c>
      <c r="AD219" s="39">
        <v>0</v>
      </c>
      <c r="AE219" s="39">
        <v>0</v>
      </c>
      <c r="AF219" s="39">
        <v>0</v>
      </c>
      <c r="AG219" s="39">
        <v>0</v>
      </c>
      <c r="AH219" s="39">
        <v>0</v>
      </c>
      <c r="AI219" s="39">
        <v>0</v>
      </c>
      <c r="AJ219" s="39">
        <v>0</v>
      </c>
      <c r="AK219" s="39">
        <v>0</v>
      </c>
      <c r="AL219" s="39">
        <v>0</v>
      </c>
      <c r="AM219" s="39">
        <v>0</v>
      </c>
      <c r="AN219" s="39">
        <v>0</v>
      </c>
      <c r="AO219" s="39">
        <v>0</v>
      </c>
      <c r="AP219" s="39">
        <v>0</v>
      </c>
      <c r="AQ219" s="39">
        <v>0</v>
      </c>
      <c r="AR219" s="39">
        <v>0</v>
      </c>
      <c r="AS219" s="39">
        <v>0</v>
      </c>
      <c r="AT219" s="39">
        <v>0</v>
      </c>
      <c r="AU219" s="39">
        <v>0</v>
      </c>
      <c r="AV219" s="39">
        <v>0</v>
      </c>
      <c r="AW219" s="39">
        <v>0</v>
      </c>
      <c r="AX219" s="39">
        <v>0</v>
      </c>
      <c r="AY219" s="39">
        <v>0</v>
      </c>
      <c r="AZ219" s="39">
        <v>0</v>
      </c>
      <c r="BA219" s="39">
        <v>0</v>
      </c>
      <c r="BB219" s="39">
        <v>0</v>
      </c>
      <c r="BC219" s="39">
        <v>0</v>
      </c>
    </row>
    <row r="220" spans="3:55" hidden="1" outlineLevel="1" x14ac:dyDescent="0.2">
      <c r="C220" s="162" t="str">
        <v>BSC a Core líneas alquiladas: Voz: 30</v>
      </c>
      <c r="D220" s="162" t="str">
        <v>GSM solo voz radio y SMS</v>
      </c>
      <c r="E220" s="62">
        <f t="shared" si="53"/>
        <v>0</v>
      </c>
      <c r="F220" s="39">
        <f t="array" ref="F220:BC220">INDEX(RF.Option.Table,MATCH($D220,RF.Option.List,0),)</f>
        <v>2.1784313725490194</v>
      </c>
      <c r="G220" s="39">
        <v>1.0947916666666666</v>
      </c>
      <c r="H220" s="39">
        <v>1.1166666666666667</v>
      </c>
      <c r="I220" s="39">
        <v>1.0722222222222222</v>
      </c>
      <c r="J220" s="39">
        <v>1.0947916666666666</v>
      </c>
      <c r="K220" s="39">
        <v>1.1166666666666667</v>
      </c>
      <c r="L220" s="39">
        <v>1.0722222222222222</v>
      </c>
      <c r="M220" s="39">
        <v>0</v>
      </c>
      <c r="N220" s="39">
        <v>0</v>
      </c>
      <c r="O220" s="39">
        <v>0</v>
      </c>
      <c r="P220" s="39">
        <v>0</v>
      </c>
      <c r="Q220" s="39">
        <v>0</v>
      </c>
      <c r="R220" s="39">
        <v>0</v>
      </c>
      <c r="S220" s="39">
        <v>0</v>
      </c>
      <c r="T220" s="39">
        <v>0</v>
      </c>
      <c r="U220" s="39">
        <v>0</v>
      </c>
      <c r="V220" s="39">
        <v>0</v>
      </c>
      <c r="W220" s="39">
        <v>0</v>
      </c>
      <c r="X220" s="39">
        <v>0</v>
      </c>
      <c r="Y220" s="39">
        <v>0</v>
      </c>
      <c r="Z220" s="39">
        <v>0</v>
      </c>
      <c r="AA220" s="39">
        <v>2.6075619295958278E-3</v>
      </c>
      <c r="AB220" s="39">
        <v>1.3037809647979139E-3</v>
      </c>
      <c r="AC220" s="39">
        <v>1.3037809647979139E-3</v>
      </c>
      <c r="AD220" s="39">
        <v>0</v>
      </c>
      <c r="AE220" s="39">
        <v>0</v>
      </c>
      <c r="AF220" s="39">
        <v>0</v>
      </c>
      <c r="AG220" s="39">
        <v>0</v>
      </c>
      <c r="AH220" s="39">
        <v>0</v>
      </c>
      <c r="AI220" s="39">
        <v>0</v>
      </c>
      <c r="AJ220" s="39">
        <v>0</v>
      </c>
      <c r="AK220" s="39">
        <v>0</v>
      </c>
      <c r="AL220" s="39">
        <v>0</v>
      </c>
      <c r="AM220" s="39">
        <v>0</v>
      </c>
      <c r="AN220" s="39">
        <v>0</v>
      </c>
      <c r="AO220" s="39">
        <v>0</v>
      </c>
      <c r="AP220" s="39">
        <v>0</v>
      </c>
      <c r="AQ220" s="39">
        <v>0</v>
      </c>
      <c r="AR220" s="39">
        <v>0</v>
      </c>
      <c r="AS220" s="39">
        <v>0</v>
      </c>
      <c r="AT220" s="39">
        <v>0</v>
      </c>
      <c r="AU220" s="39">
        <v>0</v>
      </c>
      <c r="AV220" s="39">
        <v>0</v>
      </c>
      <c r="AW220" s="39">
        <v>0</v>
      </c>
      <c r="AX220" s="39">
        <v>0</v>
      </c>
      <c r="AY220" s="39">
        <v>0</v>
      </c>
      <c r="AZ220" s="39">
        <v>0</v>
      </c>
      <c r="BA220" s="39">
        <v>0</v>
      </c>
      <c r="BB220" s="39">
        <v>0</v>
      </c>
      <c r="BC220" s="39">
        <v>0</v>
      </c>
    </row>
    <row r="221" spans="3:55" hidden="1" outlineLevel="1" x14ac:dyDescent="0.2">
      <c r="C221" s="162" t="str">
        <v>BSC a Core líneas alquiladas: Voz: 100</v>
      </c>
      <c r="D221" s="162" t="str">
        <v>GSM solo voz radio y SMS</v>
      </c>
      <c r="E221" s="62">
        <f t="shared" si="53"/>
        <v>0</v>
      </c>
      <c r="F221" s="39">
        <f t="array" ref="F221:BC221">INDEX(RF.Option.Table,MATCH($D221,RF.Option.List,0),)</f>
        <v>2.1784313725490194</v>
      </c>
      <c r="G221" s="39">
        <v>1.0947916666666666</v>
      </c>
      <c r="H221" s="39">
        <v>1.1166666666666667</v>
      </c>
      <c r="I221" s="39">
        <v>1.0722222222222222</v>
      </c>
      <c r="J221" s="39">
        <v>1.0947916666666666</v>
      </c>
      <c r="K221" s="39">
        <v>1.1166666666666667</v>
      </c>
      <c r="L221" s="39">
        <v>1.0722222222222222</v>
      </c>
      <c r="M221" s="39">
        <v>0</v>
      </c>
      <c r="N221" s="39">
        <v>0</v>
      </c>
      <c r="O221" s="39">
        <v>0</v>
      </c>
      <c r="P221" s="39">
        <v>0</v>
      </c>
      <c r="Q221" s="39">
        <v>0</v>
      </c>
      <c r="R221" s="39">
        <v>0</v>
      </c>
      <c r="S221" s="39">
        <v>0</v>
      </c>
      <c r="T221" s="39">
        <v>0</v>
      </c>
      <c r="U221" s="39">
        <v>0</v>
      </c>
      <c r="V221" s="39">
        <v>0</v>
      </c>
      <c r="W221" s="39">
        <v>0</v>
      </c>
      <c r="X221" s="39">
        <v>0</v>
      </c>
      <c r="Y221" s="39">
        <v>0</v>
      </c>
      <c r="Z221" s="39">
        <v>0</v>
      </c>
      <c r="AA221" s="39">
        <v>2.6075619295958278E-3</v>
      </c>
      <c r="AB221" s="39">
        <v>1.3037809647979139E-3</v>
      </c>
      <c r="AC221" s="39">
        <v>1.3037809647979139E-3</v>
      </c>
      <c r="AD221" s="39">
        <v>0</v>
      </c>
      <c r="AE221" s="39">
        <v>0</v>
      </c>
      <c r="AF221" s="39">
        <v>0</v>
      </c>
      <c r="AG221" s="39">
        <v>0</v>
      </c>
      <c r="AH221" s="39">
        <v>0</v>
      </c>
      <c r="AI221" s="39">
        <v>0</v>
      </c>
      <c r="AJ221" s="39">
        <v>0</v>
      </c>
      <c r="AK221" s="39">
        <v>0</v>
      </c>
      <c r="AL221" s="39">
        <v>0</v>
      </c>
      <c r="AM221" s="39">
        <v>0</v>
      </c>
      <c r="AN221" s="39">
        <v>0</v>
      </c>
      <c r="AO221" s="39">
        <v>0</v>
      </c>
      <c r="AP221" s="39">
        <v>0</v>
      </c>
      <c r="AQ221" s="39">
        <v>0</v>
      </c>
      <c r="AR221" s="39">
        <v>0</v>
      </c>
      <c r="AS221" s="39">
        <v>0</v>
      </c>
      <c r="AT221" s="39">
        <v>0</v>
      </c>
      <c r="AU221" s="39">
        <v>0</v>
      </c>
      <c r="AV221" s="39">
        <v>0</v>
      </c>
      <c r="AW221" s="39">
        <v>0</v>
      </c>
      <c r="AX221" s="39">
        <v>0</v>
      </c>
      <c r="AY221" s="39">
        <v>0</v>
      </c>
      <c r="AZ221" s="39">
        <v>0</v>
      </c>
      <c r="BA221" s="39">
        <v>0</v>
      </c>
      <c r="BB221" s="39">
        <v>0</v>
      </c>
      <c r="BC221" s="39">
        <v>0</v>
      </c>
    </row>
    <row r="222" spans="3:55" hidden="1" outlineLevel="1" x14ac:dyDescent="0.2">
      <c r="C222" s="162" t="str">
        <v>BSC a Core líneas alquiladas: Voz: 1024</v>
      </c>
      <c r="D222" s="162" t="str">
        <v>GSM solo voz radio y SMS</v>
      </c>
      <c r="E222" s="62">
        <f t="shared" si="53"/>
        <v>0</v>
      </c>
      <c r="F222" s="39">
        <f t="array" ref="F222:BC222">INDEX(RF.Option.Table,MATCH($D222,RF.Option.List,0),)</f>
        <v>2.1784313725490194</v>
      </c>
      <c r="G222" s="39">
        <v>1.0947916666666666</v>
      </c>
      <c r="H222" s="39">
        <v>1.1166666666666667</v>
      </c>
      <c r="I222" s="39">
        <v>1.0722222222222222</v>
      </c>
      <c r="J222" s="39">
        <v>1.0947916666666666</v>
      </c>
      <c r="K222" s="39">
        <v>1.1166666666666667</v>
      </c>
      <c r="L222" s="39">
        <v>1.0722222222222222</v>
      </c>
      <c r="M222" s="39">
        <v>0</v>
      </c>
      <c r="N222" s="39">
        <v>0</v>
      </c>
      <c r="O222" s="39">
        <v>0</v>
      </c>
      <c r="P222" s="39">
        <v>0</v>
      </c>
      <c r="Q222" s="39">
        <v>0</v>
      </c>
      <c r="R222" s="39">
        <v>0</v>
      </c>
      <c r="S222" s="39">
        <v>0</v>
      </c>
      <c r="T222" s="39">
        <v>0</v>
      </c>
      <c r="U222" s="39">
        <v>0</v>
      </c>
      <c r="V222" s="39">
        <v>0</v>
      </c>
      <c r="W222" s="39">
        <v>0</v>
      </c>
      <c r="X222" s="39">
        <v>0</v>
      </c>
      <c r="Y222" s="39">
        <v>0</v>
      </c>
      <c r="Z222" s="39">
        <v>0</v>
      </c>
      <c r="AA222" s="39">
        <v>2.6075619295958278E-3</v>
      </c>
      <c r="AB222" s="39">
        <v>1.3037809647979139E-3</v>
      </c>
      <c r="AC222" s="39">
        <v>1.3037809647979139E-3</v>
      </c>
      <c r="AD222" s="39">
        <v>0</v>
      </c>
      <c r="AE222" s="39">
        <v>0</v>
      </c>
      <c r="AF222" s="39">
        <v>0</v>
      </c>
      <c r="AG222" s="39">
        <v>0</v>
      </c>
      <c r="AH222" s="39">
        <v>0</v>
      </c>
      <c r="AI222" s="39">
        <v>0</v>
      </c>
      <c r="AJ222" s="39">
        <v>0</v>
      </c>
      <c r="AK222" s="39">
        <v>0</v>
      </c>
      <c r="AL222" s="39">
        <v>0</v>
      </c>
      <c r="AM222" s="39">
        <v>0</v>
      </c>
      <c r="AN222" s="39">
        <v>0</v>
      </c>
      <c r="AO222" s="39">
        <v>0</v>
      </c>
      <c r="AP222" s="39">
        <v>0</v>
      </c>
      <c r="AQ222" s="39">
        <v>0</v>
      </c>
      <c r="AR222" s="39">
        <v>0</v>
      </c>
      <c r="AS222" s="39">
        <v>0</v>
      </c>
      <c r="AT222" s="39">
        <v>0</v>
      </c>
      <c r="AU222" s="39">
        <v>0</v>
      </c>
      <c r="AV222" s="39">
        <v>0</v>
      </c>
      <c r="AW222" s="39">
        <v>0</v>
      </c>
      <c r="AX222" s="39">
        <v>0</v>
      </c>
      <c r="AY222" s="39">
        <v>0</v>
      </c>
      <c r="AZ222" s="39">
        <v>0</v>
      </c>
      <c r="BA222" s="39">
        <v>0</v>
      </c>
      <c r="BB222" s="39">
        <v>0</v>
      </c>
      <c r="BC222" s="39">
        <v>0</v>
      </c>
    </row>
    <row r="223" spans="3:55" hidden="1" outlineLevel="1" x14ac:dyDescent="0.2">
      <c r="C223" s="162" t="str">
        <v>BSC a Core líneas alquiladas: Datos: 8.45</v>
      </c>
      <c r="D223" s="162" t="str">
        <v>GSM tráfico de datos solo</v>
      </c>
      <c r="E223" s="62">
        <f t="shared" si="53"/>
        <v>0</v>
      </c>
      <c r="F223" s="39">
        <f t="array" ref="F223:BC223">INDEX(RF.Option.Table,MATCH($D223,RF.Option.List,0),)</f>
        <v>0</v>
      </c>
      <c r="G223" s="39">
        <v>0</v>
      </c>
      <c r="H223" s="39">
        <v>0</v>
      </c>
      <c r="I223" s="39">
        <v>0</v>
      </c>
      <c r="J223" s="39">
        <v>0</v>
      </c>
      <c r="K223" s="39">
        <v>0</v>
      </c>
      <c r="L223" s="39">
        <v>0</v>
      </c>
      <c r="M223" s="39">
        <v>0</v>
      </c>
      <c r="N223" s="39">
        <v>0</v>
      </c>
      <c r="O223" s="39">
        <v>0</v>
      </c>
      <c r="P223" s="39">
        <v>0</v>
      </c>
      <c r="Q223" s="39">
        <v>0</v>
      </c>
      <c r="R223" s="39">
        <v>0</v>
      </c>
      <c r="S223" s="39">
        <v>0</v>
      </c>
      <c r="T223" s="39">
        <v>0</v>
      </c>
      <c r="U223" s="39">
        <v>0</v>
      </c>
      <c r="V223" s="39">
        <v>0</v>
      </c>
      <c r="W223" s="39">
        <v>0</v>
      </c>
      <c r="X223" s="39">
        <v>0</v>
      </c>
      <c r="Y223" s="39">
        <v>0</v>
      </c>
      <c r="Z223" s="39">
        <v>0</v>
      </c>
      <c r="AA223" s="39">
        <v>0</v>
      </c>
      <c r="AB223" s="39">
        <v>0</v>
      </c>
      <c r="AC223" s="39">
        <v>0</v>
      </c>
      <c r="AD223" s="39">
        <v>0</v>
      </c>
      <c r="AE223" s="39">
        <v>0</v>
      </c>
      <c r="AF223" s="39">
        <v>0</v>
      </c>
      <c r="AG223" s="39">
        <v>0</v>
      </c>
      <c r="AH223" s="39">
        <v>0</v>
      </c>
      <c r="AI223" s="39">
        <v>0</v>
      </c>
      <c r="AJ223" s="39">
        <v>1</v>
      </c>
      <c r="AK223" s="39">
        <v>0</v>
      </c>
      <c r="AL223" s="39">
        <v>0</v>
      </c>
      <c r="AM223" s="39">
        <v>0</v>
      </c>
      <c r="AN223" s="39">
        <v>0</v>
      </c>
      <c r="AO223" s="39">
        <v>0</v>
      </c>
      <c r="AP223" s="39">
        <v>0</v>
      </c>
      <c r="AQ223" s="39">
        <v>0</v>
      </c>
      <c r="AR223" s="39">
        <v>0</v>
      </c>
      <c r="AS223" s="39">
        <v>0</v>
      </c>
      <c r="AT223" s="39">
        <v>0</v>
      </c>
      <c r="AU223" s="39">
        <v>0</v>
      </c>
      <c r="AV223" s="39">
        <v>0</v>
      </c>
      <c r="AW223" s="39">
        <v>0</v>
      </c>
      <c r="AX223" s="39">
        <v>0</v>
      </c>
      <c r="AY223" s="39">
        <v>0</v>
      </c>
      <c r="AZ223" s="39">
        <v>0</v>
      </c>
      <c r="BA223" s="39">
        <v>0</v>
      </c>
      <c r="BB223" s="39">
        <v>0</v>
      </c>
      <c r="BC223" s="39">
        <v>0</v>
      </c>
    </row>
    <row r="224" spans="3:55" customFormat="1" hidden="1" outlineLevel="1" x14ac:dyDescent="0.2">
      <c r="C224" s="162" t="str">
        <v>BSC a Core líneas alquiladas: Datos: 34.37</v>
      </c>
      <c r="D224" s="162" t="str">
        <v>GSM tráfico de datos solo</v>
      </c>
      <c r="E224" s="62">
        <f t="shared" si="53"/>
        <v>0</v>
      </c>
      <c r="F224" s="39">
        <f t="array" ref="F224:BC224">INDEX(RF.Option.Table,MATCH($D224,RF.Option.List,0),)</f>
        <v>0</v>
      </c>
      <c r="G224" s="39">
        <v>0</v>
      </c>
      <c r="H224" s="39">
        <v>0</v>
      </c>
      <c r="I224" s="39">
        <v>0</v>
      </c>
      <c r="J224" s="39">
        <v>0</v>
      </c>
      <c r="K224" s="39">
        <v>0</v>
      </c>
      <c r="L224" s="39">
        <v>0</v>
      </c>
      <c r="M224" s="39">
        <v>0</v>
      </c>
      <c r="N224" s="39">
        <v>0</v>
      </c>
      <c r="O224" s="39">
        <v>0</v>
      </c>
      <c r="P224" s="39">
        <v>0</v>
      </c>
      <c r="Q224" s="39">
        <v>0</v>
      </c>
      <c r="R224" s="39">
        <v>0</v>
      </c>
      <c r="S224" s="39">
        <v>0</v>
      </c>
      <c r="T224" s="39">
        <v>0</v>
      </c>
      <c r="U224" s="39">
        <v>0</v>
      </c>
      <c r="V224" s="39">
        <v>0</v>
      </c>
      <c r="W224" s="39">
        <v>0</v>
      </c>
      <c r="X224" s="39">
        <v>0</v>
      </c>
      <c r="Y224" s="39">
        <v>0</v>
      </c>
      <c r="Z224" s="39">
        <v>0</v>
      </c>
      <c r="AA224" s="39">
        <v>0</v>
      </c>
      <c r="AB224" s="39">
        <v>0</v>
      </c>
      <c r="AC224" s="39">
        <v>0</v>
      </c>
      <c r="AD224" s="39">
        <v>0</v>
      </c>
      <c r="AE224" s="39">
        <v>0</v>
      </c>
      <c r="AF224" s="39">
        <v>0</v>
      </c>
      <c r="AG224" s="39">
        <v>0</v>
      </c>
      <c r="AH224" s="39">
        <v>0</v>
      </c>
      <c r="AI224" s="39">
        <v>0</v>
      </c>
      <c r="AJ224" s="39">
        <v>1</v>
      </c>
      <c r="AK224" s="39">
        <v>0</v>
      </c>
      <c r="AL224" s="39">
        <v>0</v>
      </c>
      <c r="AM224" s="39">
        <v>0</v>
      </c>
      <c r="AN224" s="39">
        <v>0</v>
      </c>
      <c r="AO224" s="39">
        <v>0</v>
      </c>
      <c r="AP224" s="39">
        <v>0</v>
      </c>
      <c r="AQ224" s="39">
        <v>0</v>
      </c>
      <c r="AR224" s="39">
        <v>0</v>
      </c>
      <c r="AS224" s="39">
        <v>0</v>
      </c>
      <c r="AT224" s="39">
        <v>0</v>
      </c>
      <c r="AU224" s="39">
        <v>0</v>
      </c>
      <c r="AV224" s="39">
        <v>0</v>
      </c>
      <c r="AW224" s="39">
        <v>0</v>
      </c>
      <c r="AX224" s="39">
        <v>0</v>
      </c>
      <c r="AY224" s="39">
        <v>0</v>
      </c>
      <c r="AZ224" s="39">
        <v>0</v>
      </c>
      <c r="BA224" s="39">
        <v>0</v>
      </c>
      <c r="BB224" s="39">
        <v>0</v>
      </c>
      <c r="BC224" s="39">
        <v>0</v>
      </c>
    </row>
    <row r="225" spans="3:55" hidden="1" outlineLevel="1" x14ac:dyDescent="0.2">
      <c r="C225" s="162" t="str">
        <v>BSC a Core líneas alquiladas: Datos: 155.52</v>
      </c>
      <c r="D225" s="162" t="str">
        <v>GSM tráfico de datos solo</v>
      </c>
      <c r="E225" s="62">
        <f t="shared" si="53"/>
        <v>0</v>
      </c>
      <c r="F225" s="39">
        <f t="array" ref="F225:BC225">INDEX(RF.Option.Table,MATCH($D225,RF.Option.List,0),)</f>
        <v>0</v>
      </c>
      <c r="G225" s="39">
        <v>0</v>
      </c>
      <c r="H225" s="39">
        <v>0</v>
      </c>
      <c r="I225" s="39">
        <v>0</v>
      </c>
      <c r="J225" s="39">
        <v>0</v>
      </c>
      <c r="K225" s="39">
        <v>0</v>
      </c>
      <c r="L225" s="39">
        <v>0</v>
      </c>
      <c r="M225" s="39">
        <v>0</v>
      </c>
      <c r="N225" s="39">
        <v>0</v>
      </c>
      <c r="O225" s="39">
        <v>0</v>
      </c>
      <c r="P225" s="39">
        <v>0</v>
      </c>
      <c r="Q225" s="39">
        <v>0</v>
      </c>
      <c r="R225" s="39">
        <v>0</v>
      </c>
      <c r="S225" s="39">
        <v>0</v>
      </c>
      <c r="T225" s="39">
        <v>0</v>
      </c>
      <c r="U225" s="39">
        <v>0</v>
      </c>
      <c r="V225" s="39">
        <v>0</v>
      </c>
      <c r="W225" s="39">
        <v>0</v>
      </c>
      <c r="X225" s="39">
        <v>0</v>
      </c>
      <c r="Y225" s="39">
        <v>0</v>
      </c>
      <c r="Z225" s="39">
        <v>0</v>
      </c>
      <c r="AA225" s="39">
        <v>0</v>
      </c>
      <c r="AB225" s="39">
        <v>0</v>
      </c>
      <c r="AC225" s="39">
        <v>0</v>
      </c>
      <c r="AD225" s="39">
        <v>0</v>
      </c>
      <c r="AE225" s="39">
        <v>0</v>
      </c>
      <c r="AF225" s="39">
        <v>0</v>
      </c>
      <c r="AG225" s="39">
        <v>0</v>
      </c>
      <c r="AH225" s="39">
        <v>0</v>
      </c>
      <c r="AI225" s="39">
        <v>0</v>
      </c>
      <c r="AJ225" s="39">
        <v>1</v>
      </c>
      <c r="AK225" s="39">
        <v>0</v>
      </c>
      <c r="AL225" s="39">
        <v>0</v>
      </c>
      <c r="AM225" s="39">
        <v>0</v>
      </c>
      <c r="AN225" s="39">
        <v>0</v>
      </c>
      <c r="AO225" s="39">
        <v>0</v>
      </c>
      <c r="AP225" s="39">
        <v>0</v>
      </c>
      <c r="AQ225" s="39">
        <v>0</v>
      </c>
      <c r="AR225" s="39">
        <v>0</v>
      </c>
      <c r="AS225" s="39">
        <v>0</v>
      </c>
      <c r="AT225" s="39">
        <v>0</v>
      </c>
      <c r="AU225" s="39">
        <v>0</v>
      </c>
      <c r="AV225" s="39">
        <v>0</v>
      </c>
      <c r="AW225" s="39">
        <v>0</v>
      </c>
      <c r="AX225" s="39">
        <v>0</v>
      </c>
      <c r="AY225" s="39">
        <v>0</v>
      </c>
      <c r="AZ225" s="39">
        <v>0</v>
      </c>
      <c r="BA225" s="39">
        <v>0</v>
      </c>
      <c r="BB225" s="39">
        <v>0</v>
      </c>
      <c r="BC225" s="39">
        <v>0</v>
      </c>
    </row>
    <row r="226" spans="3:55" hidden="1" outlineLevel="1" x14ac:dyDescent="0.2">
      <c r="C226" s="162" t="str">
        <v>BSC a Core líneas alquiladas: Datos: 30</v>
      </c>
      <c r="D226" s="162" t="str">
        <v>GSM tráfico de datos solo</v>
      </c>
      <c r="E226" s="62">
        <f t="shared" si="53"/>
        <v>0</v>
      </c>
      <c r="F226" s="39">
        <f t="array" ref="F226:BC226">INDEX(RF.Option.Table,MATCH($D226,RF.Option.List,0),)</f>
        <v>0</v>
      </c>
      <c r="G226" s="39">
        <v>0</v>
      </c>
      <c r="H226" s="39">
        <v>0</v>
      </c>
      <c r="I226" s="39">
        <v>0</v>
      </c>
      <c r="J226" s="39">
        <v>0</v>
      </c>
      <c r="K226" s="39">
        <v>0</v>
      </c>
      <c r="L226" s="39">
        <v>0</v>
      </c>
      <c r="M226" s="39">
        <v>0</v>
      </c>
      <c r="N226" s="39">
        <v>0</v>
      </c>
      <c r="O226" s="39">
        <v>0</v>
      </c>
      <c r="P226" s="39">
        <v>0</v>
      </c>
      <c r="Q226" s="39">
        <v>0</v>
      </c>
      <c r="R226" s="39">
        <v>0</v>
      </c>
      <c r="S226" s="39">
        <v>0</v>
      </c>
      <c r="T226" s="39">
        <v>0</v>
      </c>
      <c r="U226" s="39">
        <v>0</v>
      </c>
      <c r="V226" s="39">
        <v>0</v>
      </c>
      <c r="W226" s="39">
        <v>0</v>
      </c>
      <c r="X226" s="39">
        <v>0</v>
      </c>
      <c r="Y226" s="39">
        <v>0</v>
      </c>
      <c r="Z226" s="39">
        <v>0</v>
      </c>
      <c r="AA226" s="39">
        <v>0</v>
      </c>
      <c r="AB226" s="39">
        <v>0</v>
      </c>
      <c r="AC226" s="39">
        <v>0</v>
      </c>
      <c r="AD226" s="39">
        <v>0</v>
      </c>
      <c r="AE226" s="39">
        <v>0</v>
      </c>
      <c r="AF226" s="39">
        <v>0</v>
      </c>
      <c r="AG226" s="39">
        <v>0</v>
      </c>
      <c r="AH226" s="39">
        <v>0</v>
      </c>
      <c r="AI226" s="39">
        <v>0</v>
      </c>
      <c r="AJ226" s="39">
        <v>1</v>
      </c>
      <c r="AK226" s="39">
        <v>0</v>
      </c>
      <c r="AL226" s="39">
        <v>0</v>
      </c>
      <c r="AM226" s="39">
        <v>0</v>
      </c>
      <c r="AN226" s="39">
        <v>0</v>
      </c>
      <c r="AO226" s="39">
        <v>0</v>
      </c>
      <c r="AP226" s="39">
        <v>0</v>
      </c>
      <c r="AQ226" s="39">
        <v>0</v>
      </c>
      <c r="AR226" s="39">
        <v>0</v>
      </c>
      <c r="AS226" s="39">
        <v>0</v>
      </c>
      <c r="AT226" s="39">
        <v>0</v>
      </c>
      <c r="AU226" s="39">
        <v>0</v>
      </c>
      <c r="AV226" s="39">
        <v>0</v>
      </c>
      <c r="AW226" s="39">
        <v>0</v>
      </c>
      <c r="AX226" s="39">
        <v>0</v>
      </c>
      <c r="AY226" s="39">
        <v>0</v>
      </c>
      <c r="AZ226" s="39">
        <v>0</v>
      </c>
      <c r="BA226" s="39">
        <v>0</v>
      </c>
      <c r="BB226" s="39">
        <v>0</v>
      </c>
      <c r="BC226" s="39">
        <v>0</v>
      </c>
    </row>
    <row r="227" spans="3:55" hidden="1" outlineLevel="1" x14ac:dyDescent="0.2">
      <c r="C227" s="162" t="str">
        <v>BSC a Core líneas alquiladas: Datos: 100</v>
      </c>
      <c r="D227" s="162" t="str">
        <v>GSM tráfico de datos solo</v>
      </c>
      <c r="E227" s="62">
        <f t="shared" si="53"/>
        <v>0</v>
      </c>
      <c r="F227" s="39">
        <f t="array" ref="F227:BC227">INDEX(RF.Option.Table,MATCH($D227,RF.Option.List,0),)</f>
        <v>0</v>
      </c>
      <c r="G227" s="39">
        <v>0</v>
      </c>
      <c r="H227" s="39">
        <v>0</v>
      </c>
      <c r="I227" s="39">
        <v>0</v>
      </c>
      <c r="J227" s="39">
        <v>0</v>
      </c>
      <c r="K227" s="39">
        <v>0</v>
      </c>
      <c r="L227" s="39">
        <v>0</v>
      </c>
      <c r="M227" s="39">
        <v>0</v>
      </c>
      <c r="N227" s="39">
        <v>0</v>
      </c>
      <c r="O227" s="39">
        <v>0</v>
      </c>
      <c r="P227" s="39">
        <v>0</v>
      </c>
      <c r="Q227" s="39">
        <v>0</v>
      </c>
      <c r="R227" s="39">
        <v>0</v>
      </c>
      <c r="S227" s="39">
        <v>0</v>
      </c>
      <c r="T227" s="39">
        <v>0</v>
      </c>
      <c r="U227" s="39">
        <v>0</v>
      </c>
      <c r="V227" s="39">
        <v>0</v>
      </c>
      <c r="W227" s="39">
        <v>0</v>
      </c>
      <c r="X227" s="39">
        <v>0</v>
      </c>
      <c r="Y227" s="39">
        <v>0</v>
      </c>
      <c r="Z227" s="39">
        <v>0</v>
      </c>
      <c r="AA227" s="39">
        <v>0</v>
      </c>
      <c r="AB227" s="39">
        <v>0</v>
      </c>
      <c r="AC227" s="39">
        <v>0</v>
      </c>
      <c r="AD227" s="39">
        <v>0</v>
      </c>
      <c r="AE227" s="39">
        <v>0</v>
      </c>
      <c r="AF227" s="39">
        <v>0</v>
      </c>
      <c r="AG227" s="39">
        <v>0</v>
      </c>
      <c r="AH227" s="39">
        <v>0</v>
      </c>
      <c r="AI227" s="39">
        <v>0</v>
      </c>
      <c r="AJ227" s="39">
        <v>1</v>
      </c>
      <c r="AK227" s="39">
        <v>0</v>
      </c>
      <c r="AL227" s="39">
        <v>0</v>
      </c>
      <c r="AM227" s="39">
        <v>0</v>
      </c>
      <c r="AN227" s="39">
        <v>0</v>
      </c>
      <c r="AO227" s="39">
        <v>0</v>
      </c>
      <c r="AP227" s="39">
        <v>0</v>
      </c>
      <c r="AQ227" s="39">
        <v>0</v>
      </c>
      <c r="AR227" s="39">
        <v>0</v>
      </c>
      <c r="AS227" s="39">
        <v>0</v>
      </c>
      <c r="AT227" s="39">
        <v>0</v>
      </c>
      <c r="AU227" s="39">
        <v>0</v>
      </c>
      <c r="AV227" s="39">
        <v>0</v>
      </c>
      <c r="AW227" s="39">
        <v>0</v>
      </c>
      <c r="AX227" s="39">
        <v>0</v>
      </c>
      <c r="AY227" s="39">
        <v>0</v>
      </c>
      <c r="AZ227" s="39">
        <v>0</v>
      </c>
      <c r="BA227" s="39">
        <v>0</v>
      </c>
      <c r="BB227" s="39">
        <v>0</v>
      </c>
      <c r="BC227" s="39">
        <v>0</v>
      </c>
    </row>
    <row r="228" spans="3:55" hidden="1" outlineLevel="1" x14ac:dyDescent="0.2">
      <c r="C228" s="162" t="str">
        <v>BSC a Core líneas alquiladas: Datos: 1024</v>
      </c>
      <c r="D228" s="162" t="str">
        <v>GSM tráfico de datos solo</v>
      </c>
      <c r="E228" s="62">
        <f t="shared" si="53"/>
        <v>0</v>
      </c>
      <c r="F228" s="39">
        <f t="array" ref="F228:BC228">INDEX(RF.Option.Table,MATCH($D228,RF.Option.List,0),)</f>
        <v>0</v>
      </c>
      <c r="G228" s="39">
        <v>0</v>
      </c>
      <c r="H228" s="39">
        <v>0</v>
      </c>
      <c r="I228" s="39">
        <v>0</v>
      </c>
      <c r="J228" s="39">
        <v>0</v>
      </c>
      <c r="K228" s="39">
        <v>0</v>
      </c>
      <c r="L228" s="39">
        <v>0</v>
      </c>
      <c r="M228" s="39">
        <v>0</v>
      </c>
      <c r="N228" s="39">
        <v>0</v>
      </c>
      <c r="O228" s="39">
        <v>0</v>
      </c>
      <c r="P228" s="39">
        <v>0</v>
      </c>
      <c r="Q228" s="39">
        <v>0</v>
      </c>
      <c r="R228" s="39">
        <v>0</v>
      </c>
      <c r="S228" s="39">
        <v>0</v>
      </c>
      <c r="T228" s="39">
        <v>0</v>
      </c>
      <c r="U228" s="39">
        <v>0</v>
      </c>
      <c r="V228" s="39">
        <v>0</v>
      </c>
      <c r="W228" s="39">
        <v>0</v>
      </c>
      <c r="X228" s="39">
        <v>0</v>
      </c>
      <c r="Y228" s="39">
        <v>0</v>
      </c>
      <c r="Z228" s="39">
        <v>0</v>
      </c>
      <c r="AA228" s="39">
        <v>0</v>
      </c>
      <c r="AB228" s="39">
        <v>0</v>
      </c>
      <c r="AC228" s="39">
        <v>0</v>
      </c>
      <c r="AD228" s="39">
        <v>0</v>
      </c>
      <c r="AE228" s="39">
        <v>0</v>
      </c>
      <c r="AF228" s="39">
        <v>0</v>
      </c>
      <c r="AG228" s="39">
        <v>0</v>
      </c>
      <c r="AH228" s="39">
        <v>0</v>
      </c>
      <c r="AI228" s="39">
        <v>0</v>
      </c>
      <c r="AJ228" s="39">
        <v>1</v>
      </c>
      <c r="AK228" s="39">
        <v>0</v>
      </c>
      <c r="AL228" s="39">
        <v>0</v>
      </c>
      <c r="AM228" s="39">
        <v>0</v>
      </c>
      <c r="AN228" s="39">
        <v>0</v>
      </c>
      <c r="AO228" s="39">
        <v>0</v>
      </c>
      <c r="AP228" s="39">
        <v>0</v>
      </c>
      <c r="AQ228" s="39">
        <v>0</v>
      </c>
      <c r="AR228" s="39">
        <v>0</v>
      </c>
      <c r="AS228" s="39">
        <v>0</v>
      </c>
      <c r="AT228" s="39">
        <v>0</v>
      </c>
      <c r="AU228" s="39">
        <v>0</v>
      </c>
      <c r="AV228" s="39">
        <v>0</v>
      </c>
      <c r="AW228" s="39">
        <v>0</v>
      </c>
      <c r="AX228" s="39">
        <v>0</v>
      </c>
      <c r="AY228" s="39">
        <v>0</v>
      </c>
      <c r="AZ228" s="39">
        <v>0</v>
      </c>
      <c r="BA228" s="39">
        <v>0</v>
      </c>
      <c r="BB228" s="39">
        <v>0</v>
      </c>
      <c r="BC228" s="39">
        <v>0</v>
      </c>
    </row>
    <row r="229" spans="3:55" hidden="1" outlineLevel="1" x14ac:dyDescent="0.2">
      <c r="C229" s="162" t="str">
        <v>RNC a Core líneas alquiladas: Voz: 34.4</v>
      </c>
      <c r="D229" s="162" t="str">
        <v>UMTS solo voz radio y SMS</v>
      </c>
      <c r="E229" s="62">
        <f t="shared" si="53"/>
        <v>0</v>
      </c>
      <c r="F229" s="39">
        <f t="array" ref="F229:BC229">INDEX(RF.Option.Table,MATCH($D229,RF.Option.List,0),)</f>
        <v>0</v>
      </c>
      <c r="G229" s="39">
        <v>0</v>
      </c>
      <c r="H229" s="39">
        <v>0</v>
      </c>
      <c r="I229" s="39">
        <v>0</v>
      </c>
      <c r="J229" s="39">
        <v>0</v>
      </c>
      <c r="K229" s="39">
        <v>0</v>
      </c>
      <c r="L229" s="39">
        <v>0</v>
      </c>
      <c r="M229" s="39">
        <v>2.8319607843137256</v>
      </c>
      <c r="N229" s="39">
        <v>1.4232291666666665</v>
      </c>
      <c r="O229" s="39">
        <v>1.4516666666666667</v>
      </c>
      <c r="P229" s="39">
        <v>1.393888888888889</v>
      </c>
      <c r="Q229" s="39">
        <v>1.4232291666666665</v>
      </c>
      <c r="R229" s="39">
        <v>1.4516666666666667</v>
      </c>
      <c r="S229" s="39">
        <v>1.393888888888889</v>
      </c>
      <c r="T229" s="39">
        <v>0</v>
      </c>
      <c r="U229" s="39">
        <v>0</v>
      </c>
      <c r="V229" s="39">
        <v>0</v>
      </c>
      <c r="W229" s="39">
        <v>0</v>
      </c>
      <c r="X229" s="39">
        <v>0</v>
      </c>
      <c r="Y229" s="39">
        <v>0</v>
      </c>
      <c r="Z229" s="39">
        <v>0</v>
      </c>
      <c r="AA229" s="39">
        <v>0</v>
      </c>
      <c r="AB229" s="39">
        <v>0</v>
      </c>
      <c r="AC229" s="39">
        <v>0</v>
      </c>
      <c r="AD229" s="39">
        <v>1E-3</v>
      </c>
      <c r="AE229" s="39">
        <v>5.0000000000000001E-4</v>
      </c>
      <c r="AF229" s="39">
        <v>5.0000000000000001E-4</v>
      </c>
      <c r="AG229" s="39">
        <v>0</v>
      </c>
      <c r="AH229" s="39">
        <v>0</v>
      </c>
      <c r="AI229" s="39">
        <v>0</v>
      </c>
      <c r="AJ229" s="39">
        <v>0</v>
      </c>
      <c r="AK229" s="39">
        <v>0</v>
      </c>
      <c r="AL229" s="39">
        <v>0</v>
      </c>
      <c r="AM229" s="39">
        <v>0</v>
      </c>
      <c r="AN229" s="39">
        <v>0</v>
      </c>
      <c r="AO229" s="39">
        <v>0</v>
      </c>
      <c r="AP229" s="39">
        <v>0</v>
      </c>
      <c r="AQ229" s="39">
        <v>0</v>
      </c>
      <c r="AR229" s="39">
        <v>0</v>
      </c>
      <c r="AS229" s="39">
        <v>0</v>
      </c>
      <c r="AT229" s="39">
        <v>0</v>
      </c>
      <c r="AU229" s="39">
        <v>0</v>
      </c>
      <c r="AV229" s="39">
        <v>0</v>
      </c>
      <c r="AW229" s="39">
        <v>0</v>
      </c>
      <c r="AX229" s="39">
        <v>0</v>
      </c>
      <c r="AY229" s="39">
        <v>0</v>
      </c>
      <c r="AZ229" s="39">
        <v>0</v>
      </c>
      <c r="BA229" s="39">
        <v>0</v>
      </c>
      <c r="BB229" s="39">
        <v>0</v>
      </c>
      <c r="BC229" s="39">
        <v>0</v>
      </c>
    </row>
    <row r="230" spans="3:55" hidden="1" outlineLevel="1" x14ac:dyDescent="0.2">
      <c r="C230" s="162" t="str">
        <v>RNC a Core líneas alquiladas: Voz: 155.52</v>
      </c>
      <c r="D230" s="162" t="str">
        <v>UMTS solo voz radio y SMS</v>
      </c>
      <c r="E230" s="62">
        <f t="shared" si="53"/>
        <v>0</v>
      </c>
      <c r="F230" s="39">
        <f t="array" ref="F230:BC230">INDEX(RF.Option.Table,MATCH($D230,RF.Option.List,0),)</f>
        <v>0</v>
      </c>
      <c r="G230" s="39">
        <v>0</v>
      </c>
      <c r="H230" s="39">
        <v>0</v>
      </c>
      <c r="I230" s="39">
        <v>0</v>
      </c>
      <c r="J230" s="39">
        <v>0</v>
      </c>
      <c r="K230" s="39">
        <v>0</v>
      </c>
      <c r="L230" s="39">
        <v>0</v>
      </c>
      <c r="M230" s="39">
        <v>2.8319607843137256</v>
      </c>
      <c r="N230" s="39">
        <v>1.4232291666666665</v>
      </c>
      <c r="O230" s="39">
        <v>1.4516666666666667</v>
      </c>
      <c r="P230" s="39">
        <v>1.393888888888889</v>
      </c>
      <c r="Q230" s="39">
        <v>1.4232291666666665</v>
      </c>
      <c r="R230" s="39">
        <v>1.4516666666666667</v>
      </c>
      <c r="S230" s="39">
        <v>1.393888888888889</v>
      </c>
      <c r="T230" s="39">
        <v>0</v>
      </c>
      <c r="U230" s="39">
        <v>0</v>
      </c>
      <c r="V230" s="39">
        <v>0</v>
      </c>
      <c r="W230" s="39">
        <v>0</v>
      </c>
      <c r="X230" s="39">
        <v>0</v>
      </c>
      <c r="Y230" s="39">
        <v>0</v>
      </c>
      <c r="Z230" s="39">
        <v>0</v>
      </c>
      <c r="AA230" s="39">
        <v>0</v>
      </c>
      <c r="AB230" s="39">
        <v>0</v>
      </c>
      <c r="AC230" s="39">
        <v>0</v>
      </c>
      <c r="AD230" s="39">
        <v>1E-3</v>
      </c>
      <c r="AE230" s="39">
        <v>5.0000000000000001E-4</v>
      </c>
      <c r="AF230" s="39">
        <v>5.0000000000000001E-4</v>
      </c>
      <c r="AG230" s="39">
        <v>0</v>
      </c>
      <c r="AH230" s="39">
        <v>0</v>
      </c>
      <c r="AI230" s="39">
        <v>0</v>
      </c>
      <c r="AJ230" s="39">
        <v>0</v>
      </c>
      <c r="AK230" s="39">
        <v>0</v>
      </c>
      <c r="AL230" s="39">
        <v>0</v>
      </c>
      <c r="AM230" s="39">
        <v>0</v>
      </c>
      <c r="AN230" s="39">
        <v>0</v>
      </c>
      <c r="AO230" s="39">
        <v>0</v>
      </c>
      <c r="AP230" s="39">
        <v>0</v>
      </c>
      <c r="AQ230" s="39">
        <v>0</v>
      </c>
      <c r="AR230" s="39">
        <v>0</v>
      </c>
      <c r="AS230" s="39">
        <v>0</v>
      </c>
      <c r="AT230" s="39">
        <v>0</v>
      </c>
      <c r="AU230" s="39">
        <v>0</v>
      </c>
      <c r="AV230" s="39">
        <v>0</v>
      </c>
      <c r="AW230" s="39">
        <v>0</v>
      </c>
      <c r="AX230" s="39">
        <v>0</v>
      </c>
      <c r="AY230" s="39">
        <v>0</v>
      </c>
      <c r="AZ230" s="39">
        <v>0</v>
      </c>
      <c r="BA230" s="39">
        <v>0</v>
      </c>
      <c r="BB230" s="39">
        <v>0</v>
      </c>
      <c r="BC230" s="39">
        <v>0</v>
      </c>
    </row>
    <row r="231" spans="3:55" hidden="1" outlineLevel="1" x14ac:dyDescent="0.2">
      <c r="C231" s="162" t="str">
        <v>RNC a Core líneas alquiladas: Voz: 622.08</v>
      </c>
      <c r="D231" s="162" t="str">
        <v>UMTS solo voz radio y SMS</v>
      </c>
      <c r="E231" s="62">
        <f t="shared" si="53"/>
        <v>0</v>
      </c>
      <c r="F231" s="39">
        <f t="array" ref="F231:BC231">INDEX(RF.Option.Table,MATCH($D231,RF.Option.List,0),)</f>
        <v>0</v>
      </c>
      <c r="G231" s="39">
        <v>0</v>
      </c>
      <c r="H231" s="39">
        <v>0</v>
      </c>
      <c r="I231" s="39">
        <v>0</v>
      </c>
      <c r="J231" s="39">
        <v>0</v>
      </c>
      <c r="K231" s="39">
        <v>0</v>
      </c>
      <c r="L231" s="39">
        <v>0</v>
      </c>
      <c r="M231" s="39">
        <v>2.8319607843137256</v>
      </c>
      <c r="N231" s="39">
        <v>1.4232291666666665</v>
      </c>
      <c r="O231" s="39">
        <v>1.4516666666666667</v>
      </c>
      <c r="P231" s="39">
        <v>1.393888888888889</v>
      </c>
      <c r="Q231" s="39">
        <v>1.4232291666666665</v>
      </c>
      <c r="R231" s="39">
        <v>1.4516666666666667</v>
      </c>
      <c r="S231" s="39">
        <v>1.393888888888889</v>
      </c>
      <c r="T231" s="39">
        <v>0</v>
      </c>
      <c r="U231" s="39">
        <v>0</v>
      </c>
      <c r="V231" s="39">
        <v>0</v>
      </c>
      <c r="W231" s="39">
        <v>0</v>
      </c>
      <c r="X231" s="39">
        <v>0</v>
      </c>
      <c r="Y231" s="39">
        <v>0</v>
      </c>
      <c r="Z231" s="39">
        <v>0</v>
      </c>
      <c r="AA231" s="39">
        <v>0</v>
      </c>
      <c r="AB231" s="39">
        <v>0</v>
      </c>
      <c r="AC231" s="39">
        <v>0</v>
      </c>
      <c r="AD231" s="39">
        <v>1E-3</v>
      </c>
      <c r="AE231" s="39">
        <v>5.0000000000000001E-4</v>
      </c>
      <c r="AF231" s="39">
        <v>5.0000000000000001E-4</v>
      </c>
      <c r="AG231" s="39">
        <v>0</v>
      </c>
      <c r="AH231" s="39">
        <v>0</v>
      </c>
      <c r="AI231" s="39">
        <v>0</v>
      </c>
      <c r="AJ231" s="39">
        <v>0</v>
      </c>
      <c r="AK231" s="39">
        <v>0</v>
      </c>
      <c r="AL231" s="39">
        <v>0</v>
      </c>
      <c r="AM231" s="39">
        <v>0</v>
      </c>
      <c r="AN231" s="39">
        <v>0</v>
      </c>
      <c r="AO231" s="39">
        <v>0</v>
      </c>
      <c r="AP231" s="39">
        <v>0</v>
      </c>
      <c r="AQ231" s="39">
        <v>0</v>
      </c>
      <c r="AR231" s="39">
        <v>0</v>
      </c>
      <c r="AS231" s="39">
        <v>0</v>
      </c>
      <c r="AT231" s="39">
        <v>0</v>
      </c>
      <c r="AU231" s="39">
        <v>0</v>
      </c>
      <c r="AV231" s="39">
        <v>0</v>
      </c>
      <c r="AW231" s="39">
        <v>0</v>
      </c>
      <c r="AX231" s="39">
        <v>0</v>
      </c>
      <c r="AY231" s="39">
        <v>0</v>
      </c>
      <c r="AZ231" s="39">
        <v>0</v>
      </c>
      <c r="BA231" s="39">
        <v>0</v>
      </c>
      <c r="BB231" s="39">
        <v>0</v>
      </c>
      <c r="BC231" s="39">
        <v>0</v>
      </c>
    </row>
    <row r="232" spans="3:55" hidden="1" outlineLevel="1" x14ac:dyDescent="0.2">
      <c r="C232" s="162" t="str">
        <v>RNC a Core líneas alquiladas: Voz: 100</v>
      </c>
      <c r="D232" s="162" t="str">
        <v>UMTS solo voz radio y SMS</v>
      </c>
      <c r="E232" s="62">
        <f t="shared" si="53"/>
        <v>0</v>
      </c>
      <c r="F232" s="39">
        <f t="array" ref="F232:BC232">INDEX(RF.Option.Table,MATCH($D232,RF.Option.List,0),)</f>
        <v>0</v>
      </c>
      <c r="G232" s="39">
        <v>0</v>
      </c>
      <c r="H232" s="39">
        <v>0</v>
      </c>
      <c r="I232" s="39">
        <v>0</v>
      </c>
      <c r="J232" s="39">
        <v>0</v>
      </c>
      <c r="K232" s="39">
        <v>0</v>
      </c>
      <c r="L232" s="39">
        <v>0</v>
      </c>
      <c r="M232" s="39">
        <v>2.8319607843137256</v>
      </c>
      <c r="N232" s="39">
        <v>1.4232291666666665</v>
      </c>
      <c r="O232" s="39">
        <v>1.4516666666666667</v>
      </c>
      <c r="P232" s="39">
        <v>1.393888888888889</v>
      </c>
      <c r="Q232" s="39">
        <v>1.4232291666666665</v>
      </c>
      <c r="R232" s="39">
        <v>1.4516666666666667</v>
      </c>
      <c r="S232" s="39">
        <v>1.393888888888889</v>
      </c>
      <c r="T232" s="39">
        <v>0</v>
      </c>
      <c r="U232" s="39">
        <v>0</v>
      </c>
      <c r="V232" s="39">
        <v>0</v>
      </c>
      <c r="W232" s="39">
        <v>0</v>
      </c>
      <c r="X232" s="39">
        <v>0</v>
      </c>
      <c r="Y232" s="39">
        <v>0</v>
      </c>
      <c r="Z232" s="39">
        <v>0</v>
      </c>
      <c r="AA232" s="39">
        <v>0</v>
      </c>
      <c r="AB232" s="39">
        <v>0</v>
      </c>
      <c r="AC232" s="39">
        <v>0</v>
      </c>
      <c r="AD232" s="39">
        <v>1E-3</v>
      </c>
      <c r="AE232" s="39">
        <v>5.0000000000000001E-4</v>
      </c>
      <c r="AF232" s="39">
        <v>5.0000000000000001E-4</v>
      </c>
      <c r="AG232" s="39">
        <v>0</v>
      </c>
      <c r="AH232" s="39">
        <v>0</v>
      </c>
      <c r="AI232" s="39">
        <v>0</v>
      </c>
      <c r="AJ232" s="39">
        <v>0</v>
      </c>
      <c r="AK232" s="39">
        <v>0</v>
      </c>
      <c r="AL232" s="39">
        <v>0</v>
      </c>
      <c r="AM232" s="39">
        <v>0</v>
      </c>
      <c r="AN232" s="39">
        <v>0</v>
      </c>
      <c r="AO232" s="39">
        <v>0</v>
      </c>
      <c r="AP232" s="39">
        <v>0</v>
      </c>
      <c r="AQ232" s="39">
        <v>0</v>
      </c>
      <c r="AR232" s="39">
        <v>0</v>
      </c>
      <c r="AS232" s="39">
        <v>0</v>
      </c>
      <c r="AT232" s="39">
        <v>0</v>
      </c>
      <c r="AU232" s="39">
        <v>0</v>
      </c>
      <c r="AV232" s="39">
        <v>0</v>
      </c>
      <c r="AW232" s="39">
        <v>0</v>
      </c>
      <c r="AX232" s="39">
        <v>0</v>
      </c>
      <c r="AY232" s="39">
        <v>0</v>
      </c>
      <c r="AZ232" s="39">
        <v>0</v>
      </c>
      <c r="BA232" s="39">
        <v>0</v>
      </c>
      <c r="BB232" s="39">
        <v>0</v>
      </c>
      <c r="BC232" s="39">
        <v>0</v>
      </c>
    </row>
    <row r="233" spans="3:55" hidden="1" outlineLevel="1" x14ac:dyDescent="0.2">
      <c r="C233" s="162" t="str">
        <v>RNC a Core líneas alquiladas: Voz: 1024</v>
      </c>
      <c r="D233" s="162" t="str">
        <v>UMTS solo voz radio y SMS</v>
      </c>
      <c r="E233" s="62">
        <f t="shared" si="53"/>
        <v>0</v>
      </c>
      <c r="F233" s="39">
        <f t="array" ref="F233:BC233">INDEX(RF.Option.Table,MATCH($D233,RF.Option.List,0),)</f>
        <v>0</v>
      </c>
      <c r="G233" s="39">
        <v>0</v>
      </c>
      <c r="H233" s="39">
        <v>0</v>
      </c>
      <c r="I233" s="39">
        <v>0</v>
      </c>
      <c r="J233" s="39">
        <v>0</v>
      </c>
      <c r="K233" s="39">
        <v>0</v>
      </c>
      <c r="L233" s="39">
        <v>0</v>
      </c>
      <c r="M233" s="39">
        <v>2.8319607843137256</v>
      </c>
      <c r="N233" s="39">
        <v>1.4232291666666665</v>
      </c>
      <c r="O233" s="39">
        <v>1.4516666666666667</v>
      </c>
      <c r="P233" s="39">
        <v>1.393888888888889</v>
      </c>
      <c r="Q233" s="39">
        <v>1.4232291666666665</v>
      </c>
      <c r="R233" s="39">
        <v>1.4516666666666667</v>
      </c>
      <c r="S233" s="39">
        <v>1.393888888888889</v>
      </c>
      <c r="T233" s="39">
        <v>0</v>
      </c>
      <c r="U233" s="39">
        <v>0</v>
      </c>
      <c r="V233" s="39">
        <v>0</v>
      </c>
      <c r="W233" s="39">
        <v>0</v>
      </c>
      <c r="X233" s="39">
        <v>0</v>
      </c>
      <c r="Y233" s="39">
        <v>0</v>
      </c>
      <c r="Z233" s="39">
        <v>0</v>
      </c>
      <c r="AA233" s="39">
        <v>0</v>
      </c>
      <c r="AB233" s="39">
        <v>0</v>
      </c>
      <c r="AC233" s="39">
        <v>0</v>
      </c>
      <c r="AD233" s="39">
        <v>1E-3</v>
      </c>
      <c r="AE233" s="39">
        <v>5.0000000000000001E-4</v>
      </c>
      <c r="AF233" s="39">
        <v>5.0000000000000001E-4</v>
      </c>
      <c r="AG233" s="39">
        <v>0</v>
      </c>
      <c r="AH233" s="39">
        <v>0</v>
      </c>
      <c r="AI233" s="39">
        <v>0</v>
      </c>
      <c r="AJ233" s="39">
        <v>0</v>
      </c>
      <c r="AK233" s="39">
        <v>0</v>
      </c>
      <c r="AL233" s="39">
        <v>0</v>
      </c>
      <c r="AM233" s="39">
        <v>0</v>
      </c>
      <c r="AN233" s="39">
        <v>0</v>
      </c>
      <c r="AO233" s="39">
        <v>0</v>
      </c>
      <c r="AP233" s="39">
        <v>0</v>
      </c>
      <c r="AQ233" s="39">
        <v>0</v>
      </c>
      <c r="AR233" s="39">
        <v>0</v>
      </c>
      <c r="AS233" s="39">
        <v>0</v>
      </c>
      <c r="AT233" s="39">
        <v>0</v>
      </c>
      <c r="AU233" s="39">
        <v>0</v>
      </c>
      <c r="AV233" s="39">
        <v>0</v>
      </c>
      <c r="AW233" s="39">
        <v>0</v>
      </c>
      <c r="AX233" s="39">
        <v>0</v>
      </c>
      <c r="AY233" s="39">
        <v>0</v>
      </c>
      <c r="AZ233" s="39">
        <v>0</v>
      </c>
      <c r="BA233" s="39">
        <v>0</v>
      </c>
      <c r="BB233" s="39">
        <v>0</v>
      </c>
      <c r="BC233" s="39">
        <v>0</v>
      </c>
    </row>
    <row r="234" spans="3:55" hidden="1" outlineLevel="1" x14ac:dyDescent="0.2">
      <c r="C234" s="162" t="str">
        <v>RNC a Core líneas alquiladas: Voz: 2488</v>
      </c>
      <c r="D234" s="162" t="str">
        <v>UMTS solo voz radio y SMS</v>
      </c>
      <c r="E234" s="62">
        <f t="shared" si="53"/>
        <v>0</v>
      </c>
      <c r="F234" s="39">
        <f t="array" ref="F234:BC234">INDEX(RF.Option.Table,MATCH($D234,RF.Option.List,0),)</f>
        <v>0</v>
      </c>
      <c r="G234" s="39">
        <v>0</v>
      </c>
      <c r="H234" s="39">
        <v>0</v>
      </c>
      <c r="I234" s="39">
        <v>0</v>
      </c>
      <c r="J234" s="39">
        <v>0</v>
      </c>
      <c r="K234" s="39">
        <v>0</v>
      </c>
      <c r="L234" s="39">
        <v>0</v>
      </c>
      <c r="M234" s="39">
        <v>2.8319607843137256</v>
      </c>
      <c r="N234" s="39">
        <v>1.4232291666666665</v>
      </c>
      <c r="O234" s="39">
        <v>1.4516666666666667</v>
      </c>
      <c r="P234" s="39">
        <v>1.393888888888889</v>
      </c>
      <c r="Q234" s="39">
        <v>1.4232291666666665</v>
      </c>
      <c r="R234" s="39">
        <v>1.4516666666666667</v>
      </c>
      <c r="S234" s="39">
        <v>1.393888888888889</v>
      </c>
      <c r="T234" s="39">
        <v>0</v>
      </c>
      <c r="U234" s="39">
        <v>0</v>
      </c>
      <c r="V234" s="39">
        <v>0</v>
      </c>
      <c r="W234" s="39">
        <v>0</v>
      </c>
      <c r="X234" s="39">
        <v>0</v>
      </c>
      <c r="Y234" s="39">
        <v>0</v>
      </c>
      <c r="Z234" s="39">
        <v>0</v>
      </c>
      <c r="AA234" s="39">
        <v>0</v>
      </c>
      <c r="AB234" s="39">
        <v>0</v>
      </c>
      <c r="AC234" s="39">
        <v>0</v>
      </c>
      <c r="AD234" s="39">
        <v>1E-3</v>
      </c>
      <c r="AE234" s="39">
        <v>5.0000000000000001E-4</v>
      </c>
      <c r="AF234" s="39">
        <v>5.0000000000000001E-4</v>
      </c>
      <c r="AG234" s="39">
        <v>0</v>
      </c>
      <c r="AH234" s="39">
        <v>0</v>
      </c>
      <c r="AI234" s="39">
        <v>0</v>
      </c>
      <c r="AJ234" s="39">
        <v>0</v>
      </c>
      <c r="AK234" s="39">
        <v>0</v>
      </c>
      <c r="AL234" s="39">
        <v>0</v>
      </c>
      <c r="AM234" s="39">
        <v>0</v>
      </c>
      <c r="AN234" s="39">
        <v>0</v>
      </c>
      <c r="AO234" s="39">
        <v>0</v>
      </c>
      <c r="AP234" s="39">
        <v>0</v>
      </c>
      <c r="AQ234" s="39">
        <v>0</v>
      </c>
      <c r="AR234" s="39">
        <v>0</v>
      </c>
      <c r="AS234" s="39">
        <v>0</v>
      </c>
      <c r="AT234" s="39">
        <v>0</v>
      </c>
      <c r="AU234" s="39">
        <v>0</v>
      </c>
      <c r="AV234" s="39">
        <v>0</v>
      </c>
      <c r="AW234" s="39">
        <v>0</v>
      </c>
      <c r="AX234" s="39">
        <v>0</v>
      </c>
      <c r="AY234" s="39">
        <v>0</v>
      </c>
      <c r="AZ234" s="39">
        <v>0</v>
      </c>
      <c r="BA234" s="39">
        <v>0</v>
      </c>
      <c r="BB234" s="39">
        <v>0</v>
      </c>
      <c r="BC234" s="39">
        <v>0</v>
      </c>
    </row>
    <row r="235" spans="3:55" hidden="1" outlineLevel="1" x14ac:dyDescent="0.2">
      <c r="C235" s="162" t="str">
        <v>RNC a Core líneas alquiladas: Datos: 34.4</v>
      </c>
      <c r="D235" s="162" t="str">
        <v>UMTS+HSPA solo tráfico de datos</v>
      </c>
      <c r="E235" s="62">
        <f t="shared" si="53"/>
        <v>0</v>
      </c>
      <c r="F235" s="39">
        <f t="array" ref="F235:BC235">INDEX(RF.Option.Table,MATCH($D235,RF.Option.List,0),)</f>
        <v>0</v>
      </c>
      <c r="G235" s="39">
        <v>0</v>
      </c>
      <c r="H235" s="39">
        <v>0</v>
      </c>
      <c r="I235" s="39">
        <v>0</v>
      </c>
      <c r="J235" s="39">
        <v>0</v>
      </c>
      <c r="K235" s="39">
        <v>0</v>
      </c>
      <c r="L235" s="39">
        <v>0</v>
      </c>
      <c r="M235" s="39">
        <v>0</v>
      </c>
      <c r="N235" s="39">
        <v>0</v>
      </c>
      <c r="O235" s="39">
        <v>0</v>
      </c>
      <c r="P235" s="39">
        <v>0</v>
      </c>
      <c r="Q235" s="39">
        <v>0</v>
      </c>
      <c r="R235" s="39">
        <v>0</v>
      </c>
      <c r="S235" s="39">
        <v>0</v>
      </c>
      <c r="T235" s="39">
        <v>0</v>
      </c>
      <c r="U235" s="39">
        <v>0</v>
      </c>
      <c r="V235" s="39">
        <v>0</v>
      </c>
      <c r="W235" s="39">
        <v>0</v>
      </c>
      <c r="X235" s="39">
        <v>0</v>
      </c>
      <c r="Y235" s="39">
        <v>0</v>
      </c>
      <c r="Z235" s="39">
        <v>0</v>
      </c>
      <c r="AA235" s="39">
        <v>0</v>
      </c>
      <c r="AB235" s="39">
        <v>0</v>
      </c>
      <c r="AC235" s="39">
        <v>0</v>
      </c>
      <c r="AD235" s="39">
        <v>0</v>
      </c>
      <c r="AE235" s="39">
        <v>0</v>
      </c>
      <c r="AF235" s="39">
        <v>0</v>
      </c>
      <c r="AG235" s="39">
        <v>0</v>
      </c>
      <c r="AH235" s="39">
        <v>0</v>
      </c>
      <c r="AI235" s="39">
        <v>0</v>
      </c>
      <c r="AJ235" s="39">
        <v>0</v>
      </c>
      <c r="AK235" s="39">
        <v>1</v>
      </c>
      <c r="AL235" s="39">
        <v>1</v>
      </c>
      <c r="AM235" s="39">
        <v>1</v>
      </c>
      <c r="AN235" s="39">
        <v>0</v>
      </c>
      <c r="AO235" s="39">
        <v>0</v>
      </c>
      <c r="AP235" s="39">
        <v>0</v>
      </c>
      <c r="AQ235" s="39">
        <v>0</v>
      </c>
      <c r="AR235" s="39">
        <v>0</v>
      </c>
      <c r="AS235" s="39">
        <v>0</v>
      </c>
      <c r="AT235" s="39">
        <v>0</v>
      </c>
      <c r="AU235" s="39">
        <v>0</v>
      </c>
      <c r="AV235" s="39">
        <v>0</v>
      </c>
      <c r="AW235" s="39">
        <v>0</v>
      </c>
      <c r="AX235" s="39">
        <v>0</v>
      </c>
      <c r="AY235" s="39">
        <v>0</v>
      </c>
      <c r="AZ235" s="39">
        <v>0</v>
      </c>
      <c r="BA235" s="39">
        <v>0</v>
      </c>
      <c r="BB235" s="39">
        <v>0</v>
      </c>
      <c r="BC235" s="39">
        <v>0</v>
      </c>
    </row>
    <row r="236" spans="3:55" hidden="1" outlineLevel="1" x14ac:dyDescent="0.2">
      <c r="C236" s="162" t="str">
        <v>RNC a Core líneas alquiladas: Datos: 155.52</v>
      </c>
      <c r="D236" s="162" t="str">
        <v>UMTS+HSPA solo tráfico de datos</v>
      </c>
      <c r="E236" s="62">
        <f t="shared" si="53"/>
        <v>0</v>
      </c>
      <c r="F236" s="39">
        <f t="array" ref="F236:BC236">INDEX(RF.Option.Table,MATCH($D236,RF.Option.List,0),)</f>
        <v>0</v>
      </c>
      <c r="G236" s="39">
        <v>0</v>
      </c>
      <c r="H236" s="39">
        <v>0</v>
      </c>
      <c r="I236" s="39">
        <v>0</v>
      </c>
      <c r="J236" s="39">
        <v>0</v>
      </c>
      <c r="K236" s="39">
        <v>0</v>
      </c>
      <c r="L236" s="39">
        <v>0</v>
      </c>
      <c r="M236" s="39">
        <v>0</v>
      </c>
      <c r="N236" s="39">
        <v>0</v>
      </c>
      <c r="O236" s="39">
        <v>0</v>
      </c>
      <c r="P236" s="39">
        <v>0</v>
      </c>
      <c r="Q236" s="39">
        <v>0</v>
      </c>
      <c r="R236" s="39">
        <v>0</v>
      </c>
      <c r="S236" s="39">
        <v>0</v>
      </c>
      <c r="T236" s="39">
        <v>0</v>
      </c>
      <c r="U236" s="39">
        <v>0</v>
      </c>
      <c r="V236" s="39">
        <v>0</v>
      </c>
      <c r="W236" s="39">
        <v>0</v>
      </c>
      <c r="X236" s="39">
        <v>0</v>
      </c>
      <c r="Y236" s="39">
        <v>0</v>
      </c>
      <c r="Z236" s="39">
        <v>0</v>
      </c>
      <c r="AA236" s="39">
        <v>0</v>
      </c>
      <c r="AB236" s="39">
        <v>0</v>
      </c>
      <c r="AC236" s="39">
        <v>0</v>
      </c>
      <c r="AD236" s="39">
        <v>0</v>
      </c>
      <c r="AE236" s="39">
        <v>0</v>
      </c>
      <c r="AF236" s="39">
        <v>0</v>
      </c>
      <c r="AG236" s="39">
        <v>0</v>
      </c>
      <c r="AH236" s="39">
        <v>0</v>
      </c>
      <c r="AI236" s="39">
        <v>0</v>
      </c>
      <c r="AJ236" s="39">
        <v>0</v>
      </c>
      <c r="AK236" s="39">
        <v>1</v>
      </c>
      <c r="AL236" s="39">
        <v>1</v>
      </c>
      <c r="AM236" s="39">
        <v>1</v>
      </c>
      <c r="AN236" s="39">
        <v>0</v>
      </c>
      <c r="AO236" s="39">
        <v>0</v>
      </c>
      <c r="AP236" s="39">
        <v>0</v>
      </c>
      <c r="AQ236" s="39">
        <v>0</v>
      </c>
      <c r="AR236" s="39">
        <v>0</v>
      </c>
      <c r="AS236" s="39">
        <v>0</v>
      </c>
      <c r="AT236" s="39">
        <v>0</v>
      </c>
      <c r="AU236" s="39">
        <v>0</v>
      </c>
      <c r="AV236" s="39">
        <v>0</v>
      </c>
      <c r="AW236" s="39">
        <v>0</v>
      </c>
      <c r="AX236" s="39">
        <v>0</v>
      </c>
      <c r="AY236" s="39">
        <v>0</v>
      </c>
      <c r="AZ236" s="39">
        <v>0</v>
      </c>
      <c r="BA236" s="39">
        <v>0</v>
      </c>
      <c r="BB236" s="39">
        <v>0</v>
      </c>
      <c r="BC236" s="39">
        <v>0</v>
      </c>
    </row>
    <row r="237" spans="3:55" hidden="1" outlineLevel="1" x14ac:dyDescent="0.2">
      <c r="C237" s="162" t="str">
        <v>RNC a Core líneas alquiladas: Datos: 622.08</v>
      </c>
      <c r="D237" s="162" t="str">
        <v>UMTS+HSPA solo tráfico de datos</v>
      </c>
      <c r="E237" s="62">
        <f t="shared" si="53"/>
        <v>0</v>
      </c>
      <c r="F237" s="39">
        <f t="array" ref="F237:BC237">INDEX(RF.Option.Table,MATCH($D237,RF.Option.List,0),)</f>
        <v>0</v>
      </c>
      <c r="G237" s="39">
        <v>0</v>
      </c>
      <c r="H237" s="39">
        <v>0</v>
      </c>
      <c r="I237" s="39">
        <v>0</v>
      </c>
      <c r="J237" s="39">
        <v>0</v>
      </c>
      <c r="K237" s="39">
        <v>0</v>
      </c>
      <c r="L237" s="39">
        <v>0</v>
      </c>
      <c r="M237" s="39">
        <v>0</v>
      </c>
      <c r="N237" s="39">
        <v>0</v>
      </c>
      <c r="O237" s="39">
        <v>0</v>
      </c>
      <c r="P237" s="39">
        <v>0</v>
      </c>
      <c r="Q237" s="39">
        <v>0</v>
      </c>
      <c r="R237" s="39">
        <v>0</v>
      </c>
      <c r="S237" s="39">
        <v>0</v>
      </c>
      <c r="T237" s="39">
        <v>0</v>
      </c>
      <c r="U237" s="39">
        <v>0</v>
      </c>
      <c r="V237" s="39">
        <v>0</v>
      </c>
      <c r="W237" s="39">
        <v>0</v>
      </c>
      <c r="X237" s="39">
        <v>0</v>
      </c>
      <c r="Y237" s="39">
        <v>0</v>
      </c>
      <c r="Z237" s="39">
        <v>0</v>
      </c>
      <c r="AA237" s="39">
        <v>0</v>
      </c>
      <c r="AB237" s="39">
        <v>0</v>
      </c>
      <c r="AC237" s="39">
        <v>0</v>
      </c>
      <c r="AD237" s="39">
        <v>0</v>
      </c>
      <c r="AE237" s="39">
        <v>0</v>
      </c>
      <c r="AF237" s="39">
        <v>0</v>
      </c>
      <c r="AG237" s="39">
        <v>0</v>
      </c>
      <c r="AH237" s="39">
        <v>0</v>
      </c>
      <c r="AI237" s="39">
        <v>0</v>
      </c>
      <c r="AJ237" s="39">
        <v>0</v>
      </c>
      <c r="AK237" s="39">
        <v>1</v>
      </c>
      <c r="AL237" s="39">
        <v>1</v>
      </c>
      <c r="AM237" s="39">
        <v>1</v>
      </c>
      <c r="AN237" s="39">
        <v>0</v>
      </c>
      <c r="AO237" s="39">
        <v>0</v>
      </c>
      <c r="AP237" s="39">
        <v>0</v>
      </c>
      <c r="AQ237" s="39">
        <v>0</v>
      </c>
      <c r="AR237" s="39">
        <v>0</v>
      </c>
      <c r="AS237" s="39">
        <v>0</v>
      </c>
      <c r="AT237" s="39">
        <v>0</v>
      </c>
      <c r="AU237" s="39">
        <v>0</v>
      </c>
      <c r="AV237" s="39">
        <v>0</v>
      </c>
      <c r="AW237" s="39">
        <v>0</v>
      </c>
      <c r="AX237" s="39">
        <v>0</v>
      </c>
      <c r="AY237" s="39">
        <v>0</v>
      </c>
      <c r="AZ237" s="39">
        <v>0</v>
      </c>
      <c r="BA237" s="39">
        <v>0</v>
      </c>
      <c r="BB237" s="39">
        <v>0</v>
      </c>
      <c r="BC237" s="39">
        <v>0</v>
      </c>
    </row>
    <row r="238" spans="3:55" hidden="1" outlineLevel="1" x14ac:dyDescent="0.2">
      <c r="C238" s="162" t="str">
        <v>RNC a Core líneas alquiladas: Datos: 100</v>
      </c>
      <c r="D238" s="162" t="str">
        <v>UMTS+HSPA solo tráfico de datos</v>
      </c>
      <c r="E238" s="62">
        <f t="shared" si="53"/>
        <v>0</v>
      </c>
      <c r="F238" s="39">
        <f t="array" ref="F238:BC238">INDEX(RF.Option.Table,MATCH($D238,RF.Option.List,0),)</f>
        <v>0</v>
      </c>
      <c r="G238" s="39">
        <v>0</v>
      </c>
      <c r="H238" s="39">
        <v>0</v>
      </c>
      <c r="I238" s="39">
        <v>0</v>
      </c>
      <c r="J238" s="39">
        <v>0</v>
      </c>
      <c r="K238" s="39">
        <v>0</v>
      </c>
      <c r="L238" s="39">
        <v>0</v>
      </c>
      <c r="M238" s="39">
        <v>0</v>
      </c>
      <c r="N238" s="39">
        <v>0</v>
      </c>
      <c r="O238" s="39">
        <v>0</v>
      </c>
      <c r="P238" s="39">
        <v>0</v>
      </c>
      <c r="Q238" s="39">
        <v>0</v>
      </c>
      <c r="R238" s="39">
        <v>0</v>
      </c>
      <c r="S238" s="39">
        <v>0</v>
      </c>
      <c r="T238" s="39">
        <v>0</v>
      </c>
      <c r="U238" s="39">
        <v>0</v>
      </c>
      <c r="V238" s="39">
        <v>0</v>
      </c>
      <c r="W238" s="39">
        <v>0</v>
      </c>
      <c r="X238" s="39">
        <v>0</v>
      </c>
      <c r="Y238" s="39">
        <v>0</v>
      </c>
      <c r="Z238" s="39">
        <v>0</v>
      </c>
      <c r="AA238" s="39">
        <v>0</v>
      </c>
      <c r="AB238" s="39">
        <v>0</v>
      </c>
      <c r="AC238" s="39">
        <v>0</v>
      </c>
      <c r="AD238" s="39">
        <v>0</v>
      </c>
      <c r="AE238" s="39">
        <v>0</v>
      </c>
      <c r="AF238" s="39">
        <v>0</v>
      </c>
      <c r="AG238" s="39">
        <v>0</v>
      </c>
      <c r="AH238" s="39">
        <v>0</v>
      </c>
      <c r="AI238" s="39">
        <v>0</v>
      </c>
      <c r="AJ238" s="39">
        <v>0</v>
      </c>
      <c r="AK238" s="39">
        <v>1</v>
      </c>
      <c r="AL238" s="39">
        <v>1</v>
      </c>
      <c r="AM238" s="39">
        <v>1</v>
      </c>
      <c r="AN238" s="39">
        <v>0</v>
      </c>
      <c r="AO238" s="39">
        <v>0</v>
      </c>
      <c r="AP238" s="39">
        <v>0</v>
      </c>
      <c r="AQ238" s="39">
        <v>0</v>
      </c>
      <c r="AR238" s="39">
        <v>0</v>
      </c>
      <c r="AS238" s="39">
        <v>0</v>
      </c>
      <c r="AT238" s="39">
        <v>0</v>
      </c>
      <c r="AU238" s="39">
        <v>0</v>
      </c>
      <c r="AV238" s="39">
        <v>0</v>
      </c>
      <c r="AW238" s="39">
        <v>0</v>
      </c>
      <c r="AX238" s="39">
        <v>0</v>
      </c>
      <c r="AY238" s="39">
        <v>0</v>
      </c>
      <c r="AZ238" s="39">
        <v>0</v>
      </c>
      <c r="BA238" s="39">
        <v>0</v>
      </c>
      <c r="BB238" s="39">
        <v>0</v>
      </c>
      <c r="BC238" s="39">
        <v>0</v>
      </c>
    </row>
    <row r="239" spans="3:55" hidden="1" outlineLevel="1" x14ac:dyDescent="0.2">
      <c r="C239" s="162" t="str">
        <v>RNC a Core líneas alquiladas: Datos: 1024</v>
      </c>
      <c r="D239" s="162" t="str">
        <v>UMTS+HSPA solo tráfico de datos</v>
      </c>
      <c r="E239" s="62">
        <f t="shared" si="53"/>
        <v>0</v>
      </c>
      <c r="F239" s="39">
        <f t="array" ref="F239:BC239">INDEX(RF.Option.Table,MATCH($D239,RF.Option.List,0),)</f>
        <v>0</v>
      </c>
      <c r="G239" s="39">
        <v>0</v>
      </c>
      <c r="H239" s="39">
        <v>0</v>
      </c>
      <c r="I239" s="39">
        <v>0</v>
      </c>
      <c r="J239" s="39">
        <v>0</v>
      </c>
      <c r="K239" s="39">
        <v>0</v>
      </c>
      <c r="L239" s="39">
        <v>0</v>
      </c>
      <c r="M239" s="39">
        <v>0</v>
      </c>
      <c r="N239" s="39">
        <v>0</v>
      </c>
      <c r="O239" s="39">
        <v>0</v>
      </c>
      <c r="P239" s="39">
        <v>0</v>
      </c>
      <c r="Q239" s="39">
        <v>0</v>
      </c>
      <c r="R239" s="39">
        <v>0</v>
      </c>
      <c r="S239" s="39">
        <v>0</v>
      </c>
      <c r="T239" s="39">
        <v>0</v>
      </c>
      <c r="U239" s="39">
        <v>0</v>
      </c>
      <c r="V239" s="39">
        <v>0</v>
      </c>
      <c r="W239" s="39">
        <v>0</v>
      </c>
      <c r="X239" s="39">
        <v>0</v>
      </c>
      <c r="Y239" s="39">
        <v>0</v>
      </c>
      <c r="Z239" s="39">
        <v>0</v>
      </c>
      <c r="AA239" s="39">
        <v>0</v>
      </c>
      <c r="AB239" s="39">
        <v>0</v>
      </c>
      <c r="AC239" s="39">
        <v>0</v>
      </c>
      <c r="AD239" s="39">
        <v>0</v>
      </c>
      <c r="AE239" s="39">
        <v>0</v>
      </c>
      <c r="AF239" s="39">
        <v>0</v>
      </c>
      <c r="AG239" s="39">
        <v>0</v>
      </c>
      <c r="AH239" s="39">
        <v>0</v>
      </c>
      <c r="AI239" s="39">
        <v>0</v>
      </c>
      <c r="AJ239" s="39">
        <v>0</v>
      </c>
      <c r="AK239" s="39">
        <v>1</v>
      </c>
      <c r="AL239" s="39">
        <v>1</v>
      </c>
      <c r="AM239" s="39">
        <v>1</v>
      </c>
      <c r="AN239" s="39">
        <v>0</v>
      </c>
      <c r="AO239" s="39">
        <v>0</v>
      </c>
      <c r="AP239" s="39">
        <v>0</v>
      </c>
      <c r="AQ239" s="39">
        <v>0</v>
      </c>
      <c r="AR239" s="39">
        <v>0</v>
      </c>
      <c r="AS239" s="39">
        <v>0</v>
      </c>
      <c r="AT239" s="39">
        <v>0</v>
      </c>
      <c r="AU239" s="39">
        <v>0</v>
      </c>
      <c r="AV239" s="39">
        <v>0</v>
      </c>
      <c r="AW239" s="39">
        <v>0</v>
      </c>
      <c r="AX239" s="39">
        <v>0</v>
      </c>
      <c r="AY239" s="39">
        <v>0</v>
      </c>
      <c r="AZ239" s="39">
        <v>0</v>
      </c>
      <c r="BA239" s="39">
        <v>0</v>
      </c>
      <c r="BB239" s="39">
        <v>0</v>
      </c>
      <c r="BC239" s="39">
        <v>0</v>
      </c>
    </row>
    <row r="240" spans="3:55" hidden="1" outlineLevel="1" x14ac:dyDescent="0.2">
      <c r="C240" s="162" t="str">
        <v>RNC a Core líneas alquiladas: Datos: 2488</v>
      </c>
      <c r="D240" s="162" t="str">
        <v>UMTS+HSPA solo tráfico de datos</v>
      </c>
      <c r="E240" s="62">
        <f t="shared" si="53"/>
        <v>0</v>
      </c>
      <c r="F240" s="39">
        <f t="array" ref="F240:BC240">INDEX(RF.Option.Table,MATCH($D240,RF.Option.List,0),)</f>
        <v>0</v>
      </c>
      <c r="G240" s="39">
        <v>0</v>
      </c>
      <c r="H240" s="39">
        <v>0</v>
      </c>
      <c r="I240" s="39">
        <v>0</v>
      </c>
      <c r="J240" s="39">
        <v>0</v>
      </c>
      <c r="K240" s="39">
        <v>0</v>
      </c>
      <c r="L240" s="39">
        <v>0</v>
      </c>
      <c r="M240" s="39">
        <v>0</v>
      </c>
      <c r="N240" s="39">
        <v>0</v>
      </c>
      <c r="O240" s="39">
        <v>0</v>
      </c>
      <c r="P240" s="39">
        <v>0</v>
      </c>
      <c r="Q240" s="39">
        <v>0</v>
      </c>
      <c r="R240" s="39">
        <v>0</v>
      </c>
      <c r="S240" s="39">
        <v>0</v>
      </c>
      <c r="T240" s="39">
        <v>0</v>
      </c>
      <c r="U240" s="39">
        <v>0</v>
      </c>
      <c r="V240" s="39">
        <v>0</v>
      </c>
      <c r="W240" s="39">
        <v>0</v>
      </c>
      <c r="X240" s="39">
        <v>0</v>
      </c>
      <c r="Y240" s="39">
        <v>0</v>
      </c>
      <c r="Z240" s="39">
        <v>0</v>
      </c>
      <c r="AA240" s="39">
        <v>0</v>
      </c>
      <c r="AB240" s="39">
        <v>0</v>
      </c>
      <c r="AC240" s="39">
        <v>0</v>
      </c>
      <c r="AD240" s="39">
        <v>0</v>
      </c>
      <c r="AE240" s="39">
        <v>0</v>
      </c>
      <c r="AF240" s="39">
        <v>0</v>
      </c>
      <c r="AG240" s="39">
        <v>0</v>
      </c>
      <c r="AH240" s="39">
        <v>0</v>
      </c>
      <c r="AI240" s="39">
        <v>0</v>
      </c>
      <c r="AJ240" s="39">
        <v>0</v>
      </c>
      <c r="AK240" s="39">
        <v>1</v>
      </c>
      <c r="AL240" s="39">
        <v>1</v>
      </c>
      <c r="AM240" s="39">
        <v>1</v>
      </c>
      <c r="AN240" s="39">
        <v>0</v>
      </c>
      <c r="AO240" s="39">
        <v>0</v>
      </c>
      <c r="AP240" s="39">
        <v>0</v>
      </c>
      <c r="AQ240" s="39">
        <v>0</v>
      </c>
      <c r="AR240" s="39">
        <v>0</v>
      </c>
      <c r="AS240" s="39">
        <v>0</v>
      </c>
      <c r="AT240" s="39">
        <v>0</v>
      </c>
      <c r="AU240" s="39">
        <v>0</v>
      </c>
      <c r="AV240" s="39">
        <v>0</v>
      </c>
      <c r="AW240" s="39">
        <v>0</v>
      </c>
      <c r="AX240" s="39">
        <v>0</v>
      </c>
      <c r="AY240" s="39">
        <v>0</v>
      </c>
      <c r="AZ240" s="39">
        <v>0</v>
      </c>
      <c r="BA240" s="39">
        <v>0</v>
      </c>
      <c r="BB240" s="39">
        <v>0</v>
      </c>
      <c r="BC240" s="39">
        <v>0</v>
      </c>
    </row>
    <row r="241" spans="3:55" hidden="1" outlineLevel="1" x14ac:dyDescent="0.2">
      <c r="C241" s="162" t="str">
        <v>Core a core: líneas alquiladas, TDM:  155</v>
      </c>
      <c r="D241" s="162" t="str">
        <v>Core-core PCM Mbytes voz más datos</v>
      </c>
      <c r="E241" s="62">
        <f t="shared" si="53"/>
        <v>0</v>
      </c>
      <c r="F241" s="39">
        <f t="array" ref="F241:BC241">INDEX(RF.Option.Table,MATCH($D241,RF.Option.List,0),)</f>
        <v>0.15476648667279411</v>
      </c>
      <c r="G241" s="39">
        <v>4.6667633056640616E-2</v>
      </c>
      <c r="H241" s="39">
        <v>4.760009765625E-2</v>
      </c>
      <c r="I241" s="39">
        <v>4.5705566406249995E-2</v>
      </c>
      <c r="J241" s="39">
        <v>4.6667633056640616E-2</v>
      </c>
      <c r="K241" s="39">
        <v>4.760009765625E-2</v>
      </c>
      <c r="L241" s="39">
        <v>4.5705566406249995E-2</v>
      </c>
      <c r="M241" s="39">
        <v>0.18571978400735292</v>
      </c>
      <c r="N241" s="39">
        <v>5.6001159667968745E-2</v>
      </c>
      <c r="O241" s="39">
        <v>5.71201171875E-2</v>
      </c>
      <c r="P241" s="39">
        <v>5.4846679687500004E-2</v>
      </c>
      <c r="Q241" s="39">
        <v>5.6001159667968745E-2</v>
      </c>
      <c r="R241" s="39">
        <v>5.71201171875E-2</v>
      </c>
      <c r="S241" s="39">
        <v>5.4846679687500004E-2</v>
      </c>
      <c r="T241" s="39">
        <v>0.14208984375</v>
      </c>
      <c r="U241" s="39">
        <v>4.2626953124999999E-2</v>
      </c>
      <c r="V241" s="39">
        <v>4.2626953124999999E-2</v>
      </c>
      <c r="W241" s="39">
        <v>4.2626953124999999E-2</v>
      </c>
      <c r="X241" s="39">
        <v>4.2626953124999999E-2</v>
      </c>
      <c r="Y241" s="39">
        <v>4.2626953124999999E-2</v>
      </c>
      <c r="Z241" s="39">
        <v>4.2626953124999999E-2</v>
      </c>
      <c r="AA241" s="39">
        <v>1.8525403357235983E-4</v>
      </c>
      <c r="AB241" s="39">
        <v>5.5576210071707945E-5</v>
      </c>
      <c r="AC241" s="39">
        <v>5.5576210071707945E-5</v>
      </c>
      <c r="AD241" s="39">
        <v>7.1044921874999995E-5</v>
      </c>
      <c r="AE241" s="39">
        <v>2.1313476562499997E-5</v>
      </c>
      <c r="AF241" s="39">
        <v>2.1313476562499997E-5</v>
      </c>
      <c r="AG241" s="39">
        <v>2.0118518518518518E-6</v>
      </c>
      <c r="AH241" s="39">
        <v>6.0355555555555552E-7</v>
      </c>
      <c r="AI241" s="39">
        <v>6.0355555555555552E-7</v>
      </c>
      <c r="AJ241" s="39">
        <v>0.105</v>
      </c>
      <c r="AK241" s="39">
        <v>0.11249999999999999</v>
      </c>
      <c r="AL241" s="39">
        <v>0.15</v>
      </c>
      <c r="AM241" s="39">
        <v>0</v>
      </c>
      <c r="AN241" s="39">
        <v>0.12</v>
      </c>
      <c r="AO241" s="39">
        <v>0</v>
      </c>
      <c r="AP241" s="39">
        <v>0</v>
      </c>
      <c r="AQ241" s="39">
        <v>0</v>
      </c>
      <c r="AR241" s="39">
        <v>0</v>
      </c>
      <c r="AS241" s="39">
        <v>0</v>
      </c>
      <c r="AT241" s="39">
        <v>0</v>
      </c>
      <c r="AU241" s="39">
        <v>0</v>
      </c>
      <c r="AV241" s="39">
        <v>0</v>
      </c>
      <c r="AW241" s="39">
        <v>0</v>
      </c>
      <c r="AX241" s="39">
        <v>0</v>
      </c>
      <c r="AY241" s="39">
        <v>0</v>
      </c>
      <c r="AZ241" s="39">
        <v>0</v>
      </c>
      <c r="BA241" s="39">
        <v>0</v>
      </c>
      <c r="BB241" s="39">
        <v>0</v>
      </c>
      <c r="BC241" s="39">
        <v>0</v>
      </c>
    </row>
    <row r="242" spans="3:55" hidden="1" outlineLevel="1" x14ac:dyDescent="0.2">
      <c r="C242" s="162" t="str">
        <v>Core a core: líneas alquiladas, TDM:  622</v>
      </c>
      <c r="D242" s="162" t="str">
        <v>Core-core PCM Mbytes voz más datos</v>
      </c>
      <c r="E242" s="62">
        <f t="shared" si="53"/>
        <v>0</v>
      </c>
      <c r="F242" s="39">
        <f t="array" ref="F242:BC242">INDEX(RF.Option.Table,MATCH($D242,RF.Option.List,0),)</f>
        <v>0.15476648667279411</v>
      </c>
      <c r="G242" s="39">
        <v>4.6667633056640616E-2</v>
      </c>
      <c r="H242" s="39">
        <v>4.760009765625E-2</v>
      </c>
      <c r="I242" s="39">
        <v>4.5705566406249995E-2</v>
      </c>
      <c r="J242" s="39">
        <v>4.6667633056640616E-2</v>
      </c>
      <c r="K242" s="39">
        <v>4.760009765625E-2</v>
      </c>
      <c r="L242" s="39">
        <v>4.5705566406249995E-2</v>
      </c>
      <c r="M242" s="39">
        <v>0.18571978400735292</v>
      </c>
      <c r="N242" s="39">
        <v>5.6001159667968745E-2</v>
      </c>
      <c r="O242" s="39">
        <v>5.71201171875E-2</v>
      </c>
      <c r="P242" s="39">
        <v>5.4846679687500004E-2</v>
      </c>
      <c r="Q242" s="39">
        <v>5.6001159667968745E-2</v>
      </c>
      <c r="R242" s="39">
        <v>5.71201171875E-2</v>
      </c>
      <c r="S242" s="39">
        <v>5.4846679687500004E-2</v>
      </c>
      <c r="T242" s="39">
        <v>0.14208984375</v>
      </c>
      <c r="U242" s="39">
        <v>4.2626953124999999E-2</v>
      </c>
      <c r="V242" s="39">
        <v>4.2626953124999999E-2</v>
      </c>
      <c r="W242" s="39">
        <v>4.2626953124999999E-2</v>
      </c>
      <c r="X242" s="39">
        <v>4.2626953124999999E-2</v>
      </c>
      <c r="Y242" s="39">
        <v>4.2626953124999999E-2</v>
      </c>
      <c r="Z242" s="39">
        <v>4.2626953124999999E-2</v>
      </c>
      <c r="AA242" s="39">
        <v>1.8525403357235983E-4</v>
      </c>
      <c r="AB242" s="39">
        <v>5.5576210071707945E-5</v>
      </c>
      <c r="AC242" s="39">
        <v>5.5576210071707945E-5</v>
      </c>
      <c r="AD242" s="39">
        <v>7.1044921874999995E-5</v>
      </c>
      <c r="AE242" s="39">
        <v>2.1313476562499997E-5</v>
      </c>
      <c r="AF242" s="39">
        <v>2.1313476562499997E-5</v>
      </c>
      <c r="AG242" s="39">
        <v>2.0118518518518518E-6</v>
      </c>
      <c r="AH242" s="39">
        <v>6.0355555555555552E-7</v>
      </c>
      <c r="AI242" s="39">
        <v>6.0355555555555552E-7</v>
      </c>
      <c r="AJ242" s="39">
        <v>0.105</v>
      </c>
      <c r="AK242" s="39">
        <v>0.11249999999999999</v>
      </c>
      <c r="AL242" s="39">
        <v>0.15</v>
      </c>
      <c r="AM242" s="39">
        <v>0</v>
      </c>
      <c r="AN242" s="39">
        <v>0.12</v>
      </c>
      <c r="AO242" s="39">
        <v>0</v>
      </c>
      <c r="AP242" s="39">
        <v>0</v>
      </c>
      <c r="AQ242" s="39">
        <v>0</v>
      </c>
      <c r="AR242" s="39">
        <v>0</v>
      </c>
      <c r="AS242" s="39">
        <v>0</v>
      </c>
      <c r="AT242" s="39">
        <v>0</v>
      </c>
      <c r="AU242" s="39">
        <v>0</v>
      </c>
      <c r="AV242" s="39">
        <v>0</v>
      </c>
      <c r="AW242" s="39">
        <v>0</v>
      </c>
      <c r="AX242" s="39">
        <v>0</v>
      </c>
      <c r="AY242" s="39">
        <v>0</v>
      </c>
      <c r="AZ242" s="39">
        <v>0</v>
      </c>
      <c r="BA242" s="39">
        <v>0</v>
      </c>
      <c r="BB242" s="39">
        <v>0</v>
      </c>
      <c r="BC242" s="39">
        <v>0</v>
      </c>
    </row>
    <row r="243" spans="3:55" hidden="1" outlineLevel="1" x14ac:dyDescent="0.2">
      <c r="C243" s="162" t="str">
        <v>Core a core: líneas alquiladas, TDM:  2488</v>
      </c>
      <c r="D243" s="162" t="str">
        <v>Core-core PCM Mbytes voz más datos</v>
      </c>
      <c r="E243" s="62">
        <f t="shared" si="53"/>
        <v>0</v>
      </c>
      <c r="F243" s="39">
        <f t="array" ref="F243:BC243">INDEX(RF.Option.Table,MATCH($D243,RF.Option.List,0),)</f>
        <v>0.15476648667279411</v>
      </c>
      <c r="G243" s="39">
        <v>4.6667633056640616E-2</v>
      </c>
      <c r="H243" s="39">
        <v>4.760009765625E-2</v>
      </c>
      <c r="I243" s="39">
        <v>4.5705566406249995E-2</v>
      </c>
      <c r="J243" s="39">
        <v>4.6667633056640616E-2</v>
      </c>
      <c r="K243" s="39">
        <v>4.760009765625E-2</v>
      </c>
      <c r="L243" s="39">
        <v>4.5705566406249995E-2</v>
      </c>
      <c r="M243" s="39">
        <v>0.18571978400735292</v>
      </c>
      <c r="N243" s="39">
        <v>5.6001159667968745E-2</v>
      </c>
      <c r="O243" s="39">
        <v>5.71201171875E-2</v>
      </c>
      <c r="P243" s="39">
        <v>5.4846679687500004E-2</v>
      </c>
      <c r="Q243" s="39">
        <v>5.6001159667968745E-2</v>
      </c>
      <c r="R243" s="39">
        <v>5.71201171875E-2</v>
      </c>
      <c r="S243" s="39">
        <v>5.4846679687500004E-2</v>
      </c>
      <c r="T243" s="39">
        <v>0.14208984375</v>
      </c>
      <c r="U243" s="39">
        <v>4.2626953124999999E-2</v>
      </c>
      <c r="V243" s="39">
        <v>4.2626953124999999E-2</v>
      </c>
      <c r="W243" s="39">
        <v>4.2626953124999999E-2</v>
      </c>
      <c r="X243" s="39">
        <v>4.2626953124999999E-2</v>
      </c>
      <c r="Y243" s="39">
        <v>4.2626953124999999E-2</v>
      </c>
      <c r="Z243" s="39">
        <v>4.2626953124999999E-2</v>
      </c>
      <c r="AA243" s="39">
        <v>1.8525403357235983E-4</v>
      </c>
      <c r="AB243" s="39">
        <v>5.5576210071707945E-5</v>
      </c>
      <c r="AC243" s="39">
        <v>5.5576210071707945E-5</v>
      </c>
      <c r="AD243" s="39">
        <v>7.1044921874999995E-5</v>
      </c>
      <c r="AE243" s="39">
        <v>2.1313476562499997E-5</v>
      </c>
      <c r="AF243" s="39">
        <v>2.1313476562499997E-5</v>
      </c>
      <c r="AG243" s="39">
        <v>2.0118518518518518E-6</v>
      </c>
      <c r="AH243" s="39">
        <v>6.0355555555555552E-7</v>
      </c>
      <c r="AI243" s="39">
        <v>6.0355555555555552E-7</v>
      </c>
      <c r="AJ243" s="39">
        <v>0.105</v>
      </c>
      <c r="AK243" s="39">
        <v>0.11249999999999999</v>
      </c>
      <c r="AL243" s="39">
        <v>0.15</v>
      </c>
      <c r="AM243" s="39">
        <v>0</v>
      </c>
      <c r="AN243" s="39">
        <v>0.12</v>
      </c>
      <c r="AO243" s="39">
        <v>0</v>
      </c>
      <c r="AP243" s="39">
        <v>0</v>
      </c>
      <c r="AQ243" s="39">
        <v>0</v>
      </c>
      <c r="AR243" s="39">
        <v>0</v>
      </c>
      <c r="AS243" s="39">
        <v>0</v>
      </c>
      <c r="AT243" s="39">
        <v>0</v>
      </c>
      <c r="AU243" s="39">
        <v>0</v>
      </c>
      <c r="AV243" s="39">
        <v>0</v>
      </c>
      <c r="AW243" s="39">
        <v>0</v>
      </c>
      <c r="AX243" s="39">
        <v>0</v>
      </c>
      <c r="AY243" s="39">
        <v>0</v>
      </c>
      <c r="AZ243" s="39">
        <v>0</v>
      </c>
      <c r="BA243" s="39">
        <v>0</v>
      </c>
      <c r="BB243" s="39">
        <v>0</v>
      </c>
      <c r="BC243" s="39">
        <v>0</v>
      </c>
    </row>
    <row r="244" spans="3:55" hidden="1" outlineLevel="1" x14ac:dyDescent="0.2">
      <c r="C244" s="162" t="str">
        <v>Core a core: líneas alquiladas, Ethernet:  1000</v>
      </c>
      <c r="D244" s="162" t="str">
        <v>Core-core IP Mbytes voz más datos</v>
      </c>
      <c r="E244" s="62">
        <f t="shared" si="53"/>
        <v>0</v>
      </c>
      <c r="F244" s="39">
        <f t="array" ref="F244:BC244">INDEX(RF.Option.Table,MATCH($D244,RF.Option.List,0),)</f>
        <v>0.15476648667279411</v>
      </c>
      <c r="G244" s="39">
        <v>4.6667633056640616E-2</v>
      </c>
      <c r="H244" s="39">
        <v>4.760009765625E-2</v>
      </c>
      <c r="I244" s="39">
        <v>4.5705566406249995E-2</v>
      </c>
      <c r="J244" s="39">
        <v>4.6667633056640616E-2</v>
      </c>
      <c r="K244" s="39">
        <v>4.760009765625E-2</v>
      </c>
      <c r="L244" s="39">
        <v>4.5705566406249995E-2</v>
      </c>
      <c r="M244" s="39">
        <v>0.18571978400735292</v>
      </c>
      <c r="N244" s="39">
        <v>5.6001159667968745E-2</v>
      </c>
      <c r="O244" s="39">
        <v>5.71201171875E-2</v>
      </c>
      <c r="P244" s="39">
        <v>5.4846679687500004E-2</v>
      </c>
      <c r="Q244" s="39">
        <v>5.6001159667968745E-2</v>
      </c>
      <c r="R244" s="39">
        <v>5.71201171875E-2</v>
      </c>
      <c r="S244" s="39">
        <v>5.4846679687500004E-2</v>
      </c>
      <c r="T244" s="39">
        <v>0.14208984375</v>
      </c>
      <c r="U244" s="39">
        <v>4.2626953124999999E-2</v>
      </c>
      <c r="V244" s="39">
        <v>4.2626953124999999E-2</v>
      </c>
      <c r="W244" s="39">
        <v>4.2626953124999999E-2</v>
      </c>
      <c r="X244" s="39">
        <v>4.2626953124999999E-2</v>
      </c>
      <c r="Y244" s="39">
        <v>4.2626953124999999E-2</v>
      </c>
      <c r="Z244" s="39">
        <v>4.2626953124999999E-2</v>
      </c>
      <c r="AA244" s="39">
        <v>1.8525403357235983E-4</v>
      </c>
      <c r="AB244" s="39">
        <v>5.5576210071707945E-5</v>
      </c>
      <c r="AC244" s="39">
        <v>5.5576210071707945E-5</v>
      </c>
      <c r="AD244" s="39">
        <v>7.1044921874999995E-5</v>
      </c>
      <c r="AE244" s="39">
        <v>2.1313476562499997E-5</v>
      </c>
      <c r="AF244" s="39">
        <v>2.1313476562499997E-5</v>
      </c>
      <c r="AG244" s="39">
        <v>2.0118518518518518E-6</v>
      </c>
      <c r="AH244" s="39">
        <v>6.0355555555555552E-7</v>
      </c>
      <c r="AI244" s="39">
        <v>6.0355555555555552E-7</v>
      </c>
      <c r="AJ244" s="39">
        <v>0.105</v>
      </c>
      <c r="AK244" s="39">
        <v>0.11249999999999999</v>
      </c>
      <c r="AL244" s="39">
        <v>0.15</v>
      </c>
      <c r="AM244" s="39">
        <v>0</v>
      </c>
      <c r="AN244" s="39">
        <v>0.12</v>
      </c>
      <c r="AO244" s="39">
        <v>0</v>
      </c>
      <c r="AP244" s="39">
        <v>0</v>
      </c>
      <c r="AQ244" s="39">
        <v>0</v>
      </c>
      <c r="AR244" s="39">
        <v>0</v>
      </c>
      <c r="AS244" s="39">
        <v>0</v>
      </c>
      <c r="AT244" s="39">
        <v>0</v>
      </c>
      <c r="AU244" s="39">
        <v>0</v>
      </c>
      <c r="AV244" s="39">
        <v>0</v>
      </c>
      <c r="AW244" s="39">
        <v>0</v>
      </c>
      <c r="AX244" s="39">
        <v>0</v>
      </c>
      <c r="AY244" s="39">
        <v>0</v>
      </c>
      <c r="AZ244" s="39">
        <v>0</v>
      </c>
      <c r="BA244" s="39">
        <v>0</v>
      </c>
      <c r="BB244" s="39">
        <v>0</v>
      </c>
      <c r="BC244" s="39">
        <v>0</v>
      </c>
    </row>
    <row r="245" spans="3:55" hidden="1" outlineLevel="1" x14ac:dyDescent="0.2">
      <c r="C245" s="162" t="str">
        <v>Core a core: líneas alquiladas, Ethernet:  2500</v>
      </c>
      <c r="D245" s="162" t="str">
        <v>Core-core IP Mbytes voz más datos</v>
      </c>
      <c r="E245" s="62">
        <f t="shared" si="53"/>
        <v>0</v>
      </c>
      <c r="F245" s="39">
        <f t="array" ref="F245:BC245">INDEX(RF.Option.Table,MATCH($D245,RF.Option.List,0),)</f>
        <v>0.15476648667279411</v>
      </c>
      <c r="G245" s="39">
        <v>4.6667633056640616E-2</v>
      </c>
      <c r="H245" s="39">
        <v>4.760009765625E-2</v>
      </c>
      <c r="I245" s="39">
        <v>4.5705566406249995E-2</v>
      </c>
      <c r="J245" s="39">
        <v>4.6667633056640616E-2</v>
      </c>
      <c r="K245" s="39">
        <v>4.760009765625E-2</v>
      </c>
      <c r="L245" s="39">
        <v>4.5705566406249995E-2</v>
      </c>
      <c r="M245" s="39">
        <v>0.18571978400735292</v>
      </c>
      <c r="N245" s="39">
        <v>5.6001159667968745E-2</v>
      </c>
      <c r="O245" s="39">
        <v>5.71201171875E-2</v>
      </c>
      <c r="P245" s="39">
        <v>5.4846679687500004E-2</v>
      </c>
      <c r="Q245" s="39">
        <v>5.6001159667968745E-2</v>
      </c>
      <c r="R245" s="39">
        <v>5.71201171875E-2</v>
      </c>
      <c r="S245" s="39">
        <v>5.4846679687500004E-2</v>
      </c>
      <c r="T245" s="39">
        <v>0.14208984375</v>
      </c>
      <c r="U245" s="39">
        <v>4.2626953124999999E-2</v>
      </c>
      <c r="V245" s="39">
        <v>4.2626953124999999E-2</v>
      </c>
      <c r="W245" s="39">
        <v>4.2626953124999999E-2</v>
      </c>
      <c r="X245" s="39">
        <v>4.2626953124999999E-2</v>
      </c>
      <c r="Y245" s="39">
        <v>4.2626953124999999E-2</v>
      </c>
      <c r="Z245" s="39">
        <v>4.2626953124999999E-2</v>
      </c>
      <c r="AA245" s="39">
        <v>1.8525403357235983E-4</v>
      </c>
      <c r="AB245" s="39">
        <v>5.5576210071707945E-5</v>
      </c>
      <c r="AC245" s="39">
        <v>5.5576210071707945E-5</v>
      </c>
      <c r="AD245" s="39">
        <v>7.1044921874999995E-5</v>
      </c>
      <c r="AE245" s="39">
        <v>2.1313476562499997E-5</v>
      </c>
      <c r="AF245" s="39">
        <v>2.1313476562499997E-5</v>
      </c>
      <c r="AG245" s="39">
        <v>2.0118518518518518E-6</v>
      </c>
      <c r="AH245" s="39">
        <v>6.0355555555555552E-7</v>
      </c>
      <c r="AI245" s="39">
        <v>6.0355555555555552E-7</v>
      </c>
      <c r="AJ245" s="39">
        <v>0.105</v>
      </c>
      <c r="AK245" s="39">
        <v>0.11249999999999999</v>
      </c>
      <c r="AL245" s="39">
        <v>0.15</v>
      </c>
      <c r="AM245" s="39">
        <v>0</v>
      </c>
      <c r="AN245" s="39">
        <v>0.12</v>
      </c>
      <c r="AO245" s="39">
        <v>0</v>
      </c>
      <c r="AP245" s="39">
        <v>0</v>
      </c>
      <c r="AQ245" s="39">
        <v>0</v>
      </c>
      <c r="AR245" s="39">
        <v>0</v>
      </c>
      <c r="AS245" s="39">
        <v>0</v>
      </c>
      <c r="AT245" s="39">
        <v>0</v>
      </c>
      <c r="AU245" s="39">
        <v>0</v>
      </c>
      <c r="AV245" s="39">
        <v>0</v>
      </c>
      <c r="AW245" s="39">
        <v>0</v>
      </c>
      <c r="AX245" s="39">
        <v>0</v>
      </c>
      <c r="AY245" s="39">
        <v>0</v>
      </c>
      <c r="AZ245" s="39">
        <v>0</v>
      </c>
      <c r="BA245" s="39">
        <v>0</v>
      </c>
      <c r="BB245" s="39">
        <v>0</v>
      </c>
      <c r="BC245" s="39">
        <v>0</v>
      </c>
    </row>
    <row r="246" spans="3:55" hidden="1" outlineLevel="1" x14ac:dyDescent="0.2">
      <c r="C246" s="162" t="str">
        <v>Core a core: líneas alquiladas, Ethernet:  10000</v>
      </c>
      <c r="D246" s="162" t="str">
        <v>Core-core IP Mbytes voz más datos</v>
      </c>
      <c r="E246" s="62">
        <f t="shared" si="53"/>
        <v>0</v>
      </c>
      <c r="F246" s="39">
        <f t="array" ref="F246:BC246">INDEX(RF.Option.Table,MATCH($D246,RF.Option.List,0),)</f>
        <v>0.15476648667279411</v>
      </c>
      <c r="G246" s="39">
        <v>4.6667633056640616E-2</v>
      </c>
      <c r="H246" s="39">
        <v>4.760009765625E-2</v>
      </c>
      <c r="I246" s="39">
        <v>4.5705566406249995E-2</v>
      </c>
      <c r="J246" s="39">
        <v>4.6667633056640616E-2</v>
      </c>
      <c r="K246" s="39">
        <v>4.760009765625E-2</v>
      </c>
      <c r="L246" s="39">
        <v>4.5705566406249995E-2</v>
      </c>
      <c r="M246" s="39">
        <v>0.18571978400735292</v>
      </c>
      <c r="N246" s="39">
        <v>5.6001159667968745E-2</v>
      </c>
      <c r="O246" s="39">
        <v>5.71201171875E-2</v>
      </c>
      <c r="P246" s="39">
        <v>5.4846679687500004E-2</v>
      </c>
      <c r="Q246" s="39">
        <v>5.6001159667968745E-2</v>
      </c>
      <c r="R246" s="39">
        <v>5.71201171875E-2</v>
      </c>
      <c r="S246" s="39">
        <v>5.4846679687500004E-2</v>
      </c>
      <c r="T246" s="39">
        <v>0.14208984375</v>
      </c>
      <c r="U246" s="39">
        <v>4.2626953124999999E-2</v>
      </c>
      <c r="V246" s="39">
        <v>4.2626953124999999E-2</v>
      </c>
      <c r="W246" s="39">
        <v>4.2626953124999999E-2</v>
      </c>
      <c r="X246" s="39">
        <v>4.2626953124999999E-2</v>
      </c>
      <c r="Y246" s="39">
        <v>4.2626953124999999E-2</v>
      </c>
      <c r="Z246" s="39">
        <v>4.2626953124999999E-2</v>
      </c>
      <c r="AA246" s="39">
        <v>1.8525403357235983E-4</v>
      </c>
      <c r="AB246" s="39">
        <v>5.5576210071707945E-5</v>
      </c>
      <c r="AC246" s="39">
        <v>5.5576210071707945E-5</v>
      </c>
      <c r="AD246" s="39">
        <v>7.1044921874999995E-5</v>
      </c>
      <c r="AE246" s="39">
        <v>2.1313476562499997E-5</v>
      </c>
      <c r="AF246" s="39">
        <v>2.1313476562499997E-5</v>
      </c>
      <c r="AG246" s="39">
        <v>2.0118518518518518E-6</v>
      </c>
      <c r="AH246" s="39">
        <v>6.0355555555555552E-7</v>
      </c>
      <c r="AI246" s="39">
        <v>6.0355555555555552E-7</v>
      </c>
      <c r="AJ246" s="39">
        <v>0.105</v>
      </c>
      <c r="AK246" s="39">
        <v>0.11249999999999999</v>
      </c>
      <c r="AL246" s="39">
        <v>0.15</v>
      </c>
      <c r="AM246" s="39">
        <v>0</v>
      </c>
      <c r="AN246" s="39">
        <v>0.12</v>
      </c>
      <c r="AO246" s="39">
        <v>0</v>
      </c>
      <c r="AP246" s="39">
        <v>0</v>
      </c>
      <c r="AQ246" s="39">
        <v>0</v>
      </c>
      <c r="AR246" s="39">
        <v>0</v>
      </c>
      <c r="AS246" s="39">
        <v>0</v>
      </c>
      <c r="AT246" s="39">
        <v>0</v>
      </c>
      <c r="AU246" s="39">
        <v>0</v>
      </c>
      <c r="AV246" s="39">
        <v>0</v>
      </c>
      <c r="AW246" s="39">
        <v>0</v>
      </c>
      <c r="AX246" s="39">
        <v>0</v>
      </c>
      <c r="AY246" s="39">
        <v>0</v>
      </c>
      <c r="AZ246" s="39">
        <v>0</v>
      </c>
      <c r="BA246" s="39">
        <v>0</v>
      </c>
      <c r="BB246" s="39">
        <v>0</v>
      </c>
      <c r="BC246" s="39">
        <v>0</v>
      </c>
    </row>
    <row r="247" spans="3:55" hidden="1" outlineLevel="1" x14ac:dyDescent="0.2">
      <c r="C247" s="162" t="str">
        <v>Anillo core, puntos de acceso (ADM/multiplexadores): 155</v>
      </c>
      <c r="D247" s="162" t="str">
        <v>Core-core PCM Mbytes voz más datos</v>
      </c>
      <c r="E247" s="62">
        <f t="shared" si="53"/>
        <v>0</v>
      </c>
      <c r="F247" s="39">
        <f t="array" ref="F247:BC247">INDEX(RF.Option.Table,MATCH($D247,RF.Option.List,0),)</f>
        <v>0.15476648667279411</v>
      </c>
      <c r="G247" s="39">
        <v>4.6667633056640616E-2</v>
      </c>
      <c r="H247" s="39">
        <v>4.760009765625E-2</v>
      </c>
      <c r="I247" s="39">
        <v>4.5705566406249995E-2</v>
      </c>
      <c r="J247" s="39">
        <v>4.6667633056640616E-2</v>
      </c>
      <c r="K247" s="39">
        <v>4.760009765625E-2</v>
      </c>
      <c r="L247" s="39">
        <v>4.5705566406249995E-2</v>
      </c>
      <c r="M247" s="39">
        <v>0.18571978400735292</v>
      </c>
      <c r="N247" s="39">
        <v>5.6001159667968745E-2</v>
      </c>
      <c r="O247" s="39">
        <v>5.71201171875E-2</v>
      </c>
      <c r="P247" s="39">
        <v>5.4846679687500004E-2</v>
      </c>
      <c r="Q247" s="39">
        <v>5.6001159667968745E-2</v>
      </c>
      <c r="R247" s="39">
        <v>5.71201171875E-2</v>
      </c>
      <c r="S247" s="39">
        <v>5.4846679687500004E-2</v>
      </c>
      <c r="T247" s="39">
        <v>0.14208984375</v>
      </c>
      <c r="U247" s="39">
        <v>4.2626953124999999E-2</v>
      </c>
      <c r="V247" s="39">
        <v>4.2626953124999999E-2</v>
      </c>
      <c r="W247" s="39">
        <v>4.2626953124999999E-2</v>
      </c>
      <c r="X247" s="39">
        <v>4.2626953124999999E-2</v>
      </c>
      <c r="Y247" s="39">
        <v>4.2626953124999999E-2</v>
      </c>
      <c r="Z247" s="39">
        <v>4.2626953124999999E-2</v>
      </c>
      <c r="AA247" s="39">
        <v>1.8525403357235983E-4</v>
      </c>
      <c r="AB247" s="39">
        <v>5.5576210071707945E-5</v>
      </c>
      <c r="AC247" s="39">
        <v>5.5576210071707945E-5</v>
      </c>
      <c r="AD247" s="39">
        <v>7.1044921874999995E-5</v>
      </c>
      <c r="AE247" s="39">
        <v>2.1313476562499997E-5</v>
      </c>
      <c r="AF247" s="39">
        <v>2.1313476562499997E-5</v>
      </c>
      <c r="AG247" s="39">
        <v>2.0118518518518518E-6</v>
      </c>
      <c r="AH247" s="39">
        <v>6.0355555555555552E-7</v>
      </c>
      <c r="AI247" s="39">
        <v>6.0355555555555552E-7</v>
      </c>
      <c r="AJ247" s="39">
        <v>0.105</v>
      </c>
      <c r="AK247" s="39">
        <v>0.11249999999999999</v>
      </c>
      <c r="AL247" s="39">
        <v>0.15</v>
      </c>
      <c r="AM247" s="39">
        <v>0</v>
      </c>
      <c r="AN247" s="39">
        <v>0.12</v>
      </c>
      <c r="AO247" s="39">
        <v>0</v>
      </c>
      <c r="AP247" s="39">
        <v>0</v>
      </c>
      <c r="AQ247" s="39">
        <v>0</v>
      </c>
      <c r="AR247" s="39">
        <v>0</v>
      </c>
      <c r="AS247" s="39">
        <v>0</v>
      </c>
      <c r="AT247" s="39">
        <v>0</v>
      </c>
      <c r="AU247" s="39">
        <v>0</v>
      </c>
      <c r="AV247" s="39">
        <v>0</v>
      </c>
      <c r="AW247" s="39">
        <v>0</v>
      </c>
      <c r="AX247" s="39">
        <v>0</v>
      </c>
      <c r="AY247" s="39">
        <v>0</v>
      </c>
      <c r="AZ247" s="39">
        <v>0</v>
      </c>
      <c r="BA247" s="39">
        <v>0</v>
      </c>
      <c r="BB247" s="39">
        <v>0</v>
      </c>
      <c r="BC247" s="39">
        <v>0</v>
      </c>
    </row>
    <row r="248" spans="3:55" hidden="1" outlineLevel="1" x14ac:dyDescent="0.2">
      <c r="C248" s="162" t="str">
        <v>Anillo core, puntos de acceso (ADM/multiplexadores): 622</v>
      </c>
      <c r="D248" s="162" t="str">
        <v>Core-core PCM Mbytes voz más datos</v>
      </c>
      <c r="E248" s="62">
        <f t="shared" si="53"/>
        <v>0</v>
      </c>
      <c r="F248" s="39">
        <f t="array" ref="F248:BC248">INDEX(RF.Option.Table,MATCH($D248,RF.Option.List,0),)</f>
        <v>0.15476648667279411</v>
      </c>
      <c r="G248" s="39">
        <v>4.6667633056640616E-2</v>
      </c>
      <c r="H248" s="39">
        <v>4.760009765625E-2</v>
      </c>
      <c r="I248" s="39">
        <v>4.5705566406249995E-2</v>
      </c>
      <c r="J248" s="39">
        <v>4.6667633056640616E-2</v>
      </c>
      <c r="K248" s="39">
        <v>4.760009765625E-2</v>
      </c>
      <c r="L248" s="39">
        <v>4.5705566406249995E-2</v>
      </c>
      <c r="M248" s="39">
        <v>0.18571978400735292</v>
      </c>
      <c r="N248" s="39">
        <v>5.6001159667968745E-2</v>
      </c>
      <c r="O248" s="39">
        <v>5.71201171875E-2</v>
      </c>
      <c r="P248" s="39">
        <v>5.4846679687500004E-2</v>
      </c>
      <c r="Q248" s="39">
        <v>5.6001159667968745E-2</v>
      </c>
      <c r="R248" s="39">
        <v>5.71201171875E-2</v>
      </c>
      <c r="S248" s="39">
        <v>5.4846679687500004E-2</v>
      </c>
      <c r="T248" s="39">
        <v>0.14208984375</v>
      </c>
      <c r="U248" s="39">
        <v>4.2626953124999999E-2</v>
      </c>
      <c r="V248" s="39">
        <v>4.2626953124999999E-2</v>
      </c>
      <c r="W248" s="39">
        <v>4.2626953124999999E-2</v>
      </c>
      <c r="X248" s="39">
        <v>4.2626953124999999E-2</v>
      </c>
      <c r="Y248" s="39">
        <v>4.2626953124999999E-2</v>
      </c>
      <c r="Z248" s="39">
        <v>4.2626953124999999E-2</v>
      </c>
      <c r="AA248" s="39">
        <v>1.8525403357235983E-4</v>
      </c>
      <c r="AB248" s="39">
        <v>5.5576210071707945E-5</v>
      </c>
      <c r="AC248" s="39">
        <v>5.5576210071707945E-5</v>
      </c>
      <c r="AD248" s="39">
        <v>7.1044921874999995E-5</v>
      </c>
      <c r="AE248" s="39">
        <v>2.1313476562499997E-5</v>
      </c>
      <c r="AF248" s="39">
        <v>2.1313476562499997E-5</v>
      </c>
      <c r="AG248" s="39">
        <v>2.0118518518518518E-6</v>
      </c>
      <c r="AH248" s="39">
        <v>6.0355555555555552E-7</v>
      </c>
      <c r="AI248" s="39">
        <v>6.0355555555555552E-7</v>
      </c>
      <c r="AJ248" s="39">
        <v>0.105</v>
      </c>
      <c r="AK248" s="39">
        <v>0.11249999999999999</v>
      </c>
      <c r="AL248" s="39">
        <v>0.15</v>
      </c>
      <c r="AM248" s="39">
        <v>0</v>
      </c>
      <c r="AN248" s="39">
        <v>0.12</v>
      </c>
      <c r="AO248" s="39">
        <v>0</v>
      </c>
      <c r="AP248" s="39">
        <v>0</v>
      </c>
      <c r="AQ248" s="39">
        <v>0</v>
      </c>
      <c r="AR248" s="39">
        <v>0</v>
      </c>
      <c r="AS248" s="39">
        <v>0</v>
      </c>
      <c r="AT248" s="39">
        <v>0</v>
      </c>
      <c r="AU248" s="39">
        <v>0</v>
      </c>
      <c r="AV248" s="39">
        <v>0</v>
      </c>
      <c r="AW248" s="39">
        <v>0</v>
      </c>
      <c r="AX248" s="39">
        <v>0</v>
      </c>
      <c r="AY248" s="39">
        <v>0</v>
      </c>
      <c r="AZ248" s="39">
        <v>0</v>
      </c>
      <c r="BA248" s="39">
        <v>0</v>
      </c>
      <c r="BB248" s="39">
        <v>0</v>
      </c>
      <c r="BC248" s="39">
        <v>0</v>
      </c>
    </row>
    <row r="249" spans="3:55" hidden="1" outlineLevel="1" x14ac:dyDescent="0.2">
      <c r="C249" s="162" t="str">
        <v>Anillo core, puntos de acceso (ADM/multiplexadores): 2488</v>
      </c>
      <c r="D249" s="162" t="str">
        <v>Core-core PCM Mbytes voz más datos</v>
      </c>
      <c r="E249" s="62">
        <f t="shared" si="53"/>
        <v>0</v>
      </c>
      <c r="F249" s="39">
        <f t="array" ref="F249:BC249">INDEX(RF.Option.Table,MATCH($D249,RF.Option.List,0),)</f>
        <v>0.15476648667279411</v>
      </c>
      <c r="G249" s="39">
        <v>4.6667633056640616E-2</v>
      </c>
      <c r="H249" s="39">
        <v>4.760009765625E-2</v>
      </c>
      <c r="I249" s="39">
        <v>4.5705566406249995E-2</v>
      </c>
      <c r="J249" s="39">
        <v>4.6667633056640616E-2</v>
      </c>
      <c r="K249" s="39">
        <v>4.760009765625E-2</v>
      </c>
      <c r="L249" s="39">
        <v>4.5705566406249995E-2</v>
      </c>
      <c r="M249" s="39">
        <v>0.18571978400735292</v>
      </c>
      <c r="N249" s="39">
        <v>5.6001159667968745E-2</v>
      </c>
      <c r="O249" s="39">
        <v>5.71201171875E-2</v>
      </c>
      <c r="P249" s="39">
        <v>5.4846679687500004E-2</v>
      </c>
      <c r="Q249" s="39">
        <v>5.6001159667968745E-2</v>
      </c>
      <c r="R249" s="39">
        <v>5.71201171875E-2</v>
      </c>
      <c r="S249" s="39">
        <v>5.4846679687500004E-2</v>
      </c>
      <c r="T249" s="39">
        <v>0.14208984375</v>
      </c>
      <c r="U249" s="39">
        <v>4.2626953124999999E-2</v>
      </c>
      <c r="V249" s="39">
        <v>4.2626953124999999E-2</v>
      </c>
      <c r="W249" s="39">
        <v>4.2626953124999999E-2</v>
      </c>
      <c r="X249" s="39">
        <v>4.2626953124999999E-2</v>
      </c>
      <c r="Y249" s="39">
        <v>4.2626953124999999E-2</v>
      </c>
      <c r="Z249" s="39">
        <v>4.2626953124999999E-2</v>
      </c>
      <c r="AA249" s="39">
        <v>1.8525403357235983E-4</v>
      </c>
      <c r="AB249" s="39">
        <v>5.5576210071707945E-5</v>
      </c>
      <c r="AC249" s="39">
        <v>5.5576210071707945E-5</v>
      </c>
      <c r="AD249" s="39">
        <v>7.1044921874999995E-5</v>
      </c>
      <c r="AE249" s="39">
        <v>2.1313476562499997E-5</v>
      </c>
      <c r="AF249" s="39">
        <v>2.1313476562499997E-5</v>
      </c>
      <c r="AG249" s="39">
        <v>2.0118518518518518E-6</v>
      </c>
      <c r="AH249" s="39">
        <v>6.0355555555555552E-7</v>
      </c>
      <c r="AI249" s="39">
        <v>6.0355555555555552E-7</v>
      </c>
      <c r="AJ249" s="39">
        <v>0.105</v>
      </c>
      <c r="AK249" s="39">
        <v>0.11249999999999999</v>
      </c>
      <c r="AL249" s="39">
        <v>0.15</v>
      </c>
      <c r="AM249" s="39">
        <v>0</v>
      </c>
      <c r="AN249" s="39">
        <v>0.12</v>
      </c>
      <c r="AO249" s="39">
        <v>0</v>
      </c>
      <c r="AP249" s="39">
        <v>0</v>
      </c>
      <c r="AQ249" s="39">
        <v>0</v>
      </c>
      <c r="AR249" s="39">
        <v>0</v>
      </c>
      <c r="AS249" s="39">
        <v>0</v>
      </c>
      <c r="AT249" s="39">
        <v>0</v>
      </c>
      <c r="AU249" s="39">
        <v>0</v>
      </c>
      <c r="AV249" s="39">
        <v>0</v>
      </c>
      <c r="AW249" s="39">
        <v>0</v>
      </c>
      <c r="AX249" s="39">
        <v>0</v>
      </c>
      <c r="AY249" s="39">
        <v>0</v>
      </c>
      <c r="AZ249" s="39">
        <v>0</v>
      </c>
      <c r="BA249" s="39">
        <v>0</v>
      </c>
      <c r="BB249" s="39">
        <v>0</v>
      </c>
      <c r="BC249" s="39">
        <v>0</v>
      </c>
    </row>
    <row r="250" spans="3:55" hidden="1" outlineLevel="1" x14ac:dyDescent="0.2">
      <c r="C250" s="162" t="str">
        <v>Anillo core, puntos de acceso (ADM/multiplexadores): 9952</v>
      </c>
      <c r="D250" s="162" t="str">
        <v>Core-core PCM Mbytes voz más datos</v>
      </c>
      <c r="E250" s="62">
        <f t="shared" si="53"/>
        <v>0</v>
      </c>
      <c r="F250" s="39">
        <f t="array" ref="F250:BC250">INDEX(RF.Option.Table,MATCH($D250,RF.Option.List,0),)</f>
        <v>0.15476648667279411</v>
      </c>
      <c r="G250" s="39">
        <v>4.6667633056640616E-2</v>
      </c>
      <c r="H250" s="39">
        <v>4.760009765625E-2</v>
      </c>
      <c r="I250" s="39">
        <v>4.5705566406249995E-2</v>
      </c>
      <c r="J250" s="39">
        <v>4.6667633056640616E-2</v>
      </c>
      <c r="K250" s="39">
        <v>4.760009765625E-2</v>
      </c>
      <c r="L250" s="39">
        <v>4.5705566406249995E-2</v>
      </c>
      <c r="M250" s="39">
        <v>0.18571978400735292</v>
      </c>
      <c r="N250" s="39">
        <v>5.6001159667968745E-2</v>
      </c>
      <c r="O250" s="39">
        <v>5.71201171875E-2</v>
      </c>
      <c r="P250" s="39">
        <v>5.4846679687500004E-2</v>
      </c>
      <c r="Q250" s="39">
        <v>5.6001159667968745E-2</v>
      </c>
      <c r="R250" s="39">
        <v>5.71201171875E-2</v>
      </c>
      <c r="S250" s="39">
        <v>5.4846679687500004E-2</v>
      </c>
      <c r="T250" s="39">
        <v>0.14208984375</v>
      </c>
      <c r="U250" s="39">
        <v>4.2626953124999999E-2</v>
      </c>
      <c r="V250" s="39">
        <v>4.2626953124999999E-2</v>
      </c>
      <c r="W250" s="39">
        <v>4.2626953124999999E-2</v>
      </c>
      <c r="X250" s="39">
        <v>4.2626953124999999E-2</v>
      </c>
      <c r="Y250" s="39">
        <v>4.2626953124999999E-2</v>
      </c>
      <c r="Z250" s="39">
        <v>4.2626953124999999E-2</v>
      </c>
      <c r="AA250" s="39">
        <v>1.8525403357235983E-4</v>
      </c>
      <c r="AB250" s="39">
        <v>5.5576210071707945E-5</v>
      </c>
      <c r="AC250" s="39">
        <v>5.5576210071707945E-5</v>
      </c>
      <c r="AD250" s="39">
        <v>7.1044921874999995E-5</v>
      </c>
      <c r="AE250" s="39">
        <v>2.1313476562499997E-5</v>
      </c>
      <c r="AF250" s="39">
        <v>2.1313476562499997E-5</v>
      </c>
      <c r="AG250" s="39">
        <v>2.0118518518518518E-6</v>
      </c>
      <c r="AH250" s="39">
        <v>6.0355555555555552E-7</v>
      </c>
      <c r="AI250" s="39">
        <v>6.0355555555555552E-7</v>
      </c>
      <c r="AJ250" s="39">
        <v>0.105</v>
      </c>
      <c r="AK250" s="39">
        <v>0.11249999999999999</v>
      </c>
      <c r="AL250" s="39">
        <v>0.15</v>
      </c>
      <c r="AM250" s="39">
        <v>0</v>
      </c>
      <c r="AN250" s="39">
        <v>0.12</v>
      </c>
      <c r="AO250" s="39">
        <v>0</v>
      </c>
      <c r="AP250" s="39">
        <v>0</v>
      </c>
      <c r="AQ250" s="39">
        <v>0</v>
      </c>
      <c r="AR250" s="39">
        <v>0</v>
      </c>
      <c r="AS250" s="39">
        <v>0</v>
      </c>
      <c r="AT250" s="39">
        <v>0</v>
      </c>
      <c r="AU250" s="39">
        <v>0</v>
      </c>
      <c r="AV250" s="39">
        <v>0</v>
      </c>
      <c r="AW250" s="39">
        <v>0</v>
      </c>
      <c r="AX250" s="39">
        <v>0</v>
      </c>
      <c r="AY250" s="39">
        <v>0</v>
      </c>
      <c r="AZ250" s="39">
        <v>0</v>
      </c>
      <c r="BA250" s="39">
        <v>0</v>
      </c>
      <c r="BB250" s="39">
        <v>0</v>
      </c>
      <c r="BC250" s="39">
        <v>0</v>
      </c>
    </row>
    <row r="251" spans="3:55" hidden="1" outlineLevel="1" x14ac:dyDescent="0.2">
      <c r="C251" s="162" t="str">
        <v>Anillo core, puntos de acceso (ADM/multiplexadores): 1000</v>
      </c>
      <c r="D251" s="162" t="str">
        <v>Core-core IP Mbytes voz más datos</v>
      </c>
      <c r="E251" s="62">
        <f t="shared" ref="E251:E314" si="54">IF(OR(AND(SUM(F251:BC251)=0,LEFT(C251,5)&lt;&gt;"Asset"),AND(SUM(F251:BC251)&gt;0,LEFT(C251,5)="Asset")),1,0)</f>
        <v>0</v>
      </c>
      <c r="F251" s="39">
        <f t="array" ref="F251:BC251">INDEX(RF.Option.Table,MATCH($D251,RF.Option.List,0),)</f>
        <v>0.15476648667279411</v>
      </c>
      <c r="G251" s="39">
        <v>4.6667633056640616E-2</v>
      </c>
      <c r="H251" s="39">
        <v>4.760009765625E-2</v>
      </c>
      <c r="I251" s="39">
        <v>4.5705566406249995E-2</v>
      </c>
      <c r="J251" s="39">
        <v>4.6667633056640616E-2</v>
      </c>
      <c r="K251" s="39">
        <v>4.760009765625E-2</v>
      </c>
      <c r="L251" s="39">
        <v>4.5705566406249995E-2</v>
      </c>
      <c r="M251" s="39">
        <v>0.18571978400735292</v>
      </c>
      <c r="N251" s="39">
        <v>5.6001159667968745E-2</v>
      </c>
      <c r="O251" s="39">
        <v>5.71201171875E-2</v>
      </c>
      <c r="P251" s="39">
        <v>5.4846679687500004E-2</v>
      </c>
      <c r="Q251" s="39">
        <v>5.6001159667968745E-2</v>
      </c>
      <c r="R251" s="39">
        <v>5.71201171875E-2</v>
      </c>
      <c r="S251" s="39">
        <v>5.4846679687500004E-2</v>
      </c>
      <c r="T251" s="39">
        <v>0.14208984375</v>
      </c>
      <c r="U251" s="39">
        <v>4.2626953124999999E-2</v>
      </c>
      <c r="V251" s="39">
        <v>4.2626953124999999E-2</v>
      </c>
      <c r="W251" s="39">
        <v>4.2626953124999999E-2</v>
      </c>
      <c r="X251" s="39">
        <v>4.2626953124999999E-2</v>
      </c>
      <c r="Y251" s="39">
        <v>4.2626953124999999E-2</v>
      </c>
      <c r="Z251" s="39">
        <v>4.2626953124999999E-2</v>
      </c>
      <c r="AA251" s="39">
        <v>1.8525403357235983E-4</v>
      </c>
      <c r="AB251" s="39">
        <v>5.5576210071707945E-5</v>
      </c>
      <c r="AC251" s="39">
        <v>5.5576210071707945E-5</v>
      </c>
      <c r="AD251" s="39">
        <v>7.1044921874999995E-5</v>
      </c>
      <c r="AE251" s="39">
        <v>2.1313476562499997E-5</v>
      </c>
      <c r="AF251" s="39">
        <v>2.1313476562499997E-5</v>
      </c>
      <c r="AG251" s="39">
        <v>2.0118518518518518E-6</v>
      </c>
      <c r="AH251" s="39">
        <v>6.0355555555555552E-7</v>
      </c>
      <c r="AI251" s="39">
        <v>6.0355555555555552E-7</v>
      </c>
      <c r="AJ251" s="39">
        <v>0.105</v>
      </c>
      <c r="AK251" s="39">
        <v>0.11249999999999999</v>
      </c>
      <c r="AL251" s="39">
        <v>0.15</v>
      </c>
      <c r="AM251" s="39">
        <v>0</v>
      </c>
      <c r="AN251" s="39">
        <v>0.12</v>
      </c>
      <c r="AO251" s="39">
        <v>0</v>
      </c>
      <c r="AP251" s="39">
        <v>0</v>
      </c>
      <c r="AQ251" s="39">
        <v>0</v>
      </c>
      <c r="AR251" s="39">
        <v>0</v>
      </c>
      <c r="AS251" s="39">
        <v>0</v>
      </c>
      <c r="AT251" s="39">
        <v>0</v>
      </c>
      <c r="AU251" s="39">
        <v>0</v>
      </c>
      <c r="AV251" s="39">
        <v>0</v>
      </c>
      <c r="AW251" s="39">
        <v>0</v>
      </c>
      <c r="AX251" s="39">
        <v>0</v>
      </c>
      <c r="AY251" s="39">
        <v>0</v>
      </c>
      <c r="AZ251" s="39">
        <v>0</v>
      </c>
      <c r="BA251" s="39">
        <v>0</v>
      </c>
      <c r="BB251" s="39">
        <v>0</v>
      </c>
      <c r="BC251" s="39">
        <v>0</v>
      </c>
    </row>
    <row r="252" spans="3:55" hidden="1" outlineLevel="1" x14ac:dyDescent="0.2">
      <c r="C252" s="162" t="str">
        <v>Anillo core, puntos de acceso (ADM/multiplexadores): 2500</v>
      </c>
      <c r="D252" s="162" t="str">
        <v>Core-core IP Mbytes voz más datos</v>
      </c>
      <c r="E252" s="62">
        <f t="shared" si="54"/>
        <v>0</v>
      </c>
      <c r="F252" s="39">
        <f t="array" ref="F252:BC252">INDEX(RF.Option.Table,MATCH($D252,RF.Option.List,0),)</f>
        <v>0.15476648667279411</v>
      </c>
      <c r="G252" s="39">
        <v>4.6667633056640616E-2</v>
      </c>
      <c r="H252" s="39">
        <v>4.760009765625E-2</v>
      </c>
      <c r="I252" s="39">
        <v>4.5705566406249995E-2</v>
      </c>
      <c r="J252" s="39">
        <v>4.6667633056640616E-2</v>
      </c>
      <c r="K252" s="39">
        <v>4.760009765625E-2</v>
      </c>
      <c r="L252" s="39">
        <v>4.5705566406249995E-2</v>
      </c>
      <c r="M252" s="39">
        <v>0.18571978400735292</v>
      </c>
      <c r="N252" s="39">
        <v>5.6001159667968745E-2</v>
      </c>
      <c r="O252" s="39">
        <v>5.71201171875E-2</v>
      </c>
      <c r="P252" s="39">
        <v>5.4846679687500004E-2</v>
      </c>
      <c r="Q252" s="39">
        <v>5.6001159667968745E-2</v>
      </c>
      <c r="R252" s="39">
        <v>5.71201171875E-2</v>
      </c>
      <c r="S252" s="39">
        <v>5.4846679687500004E-2</v>
      </c>
      <c r="T252" s="39">
        <v>0.14208984375</v>
      </c>
      <c r="U252" s="39">
        <v>4.2626953124999999E-2</v>
      </c>
      <c r="V252" s="39">
        <v>4.2626953124999999E-2</v>
      </c>
      <c r="W252" s="39">
        <v>4.2626953124999999E-2</v>
      </c>
      <c r="X252" s="39">
        <v>4.2626953124999999E-2</v>
      </c>
      <c r="Y252" s="39">
        <v>4.2626953124999999E-2</v>
      </c>
      <c r="Z252" s="39">
        <v>4.2626953124999999E-2</v>
      </c>
      <c r="AA252" s="39">
        <v>1.8525403357235983E-4</v>
      </c>
      <c r="AB252" s="39">
        <v>5.5576210071707945E-5</v>
      </c>
      <c r="AC252" s="39">
        <v>5.5576210071707945E-5</v>
      </c>
      <c r="AD252" s="39">
        <v>7.1044921874999995E-5</v>
      </c>
      <c r="AE252" s="39">
        <v>2.1313476562499997E-5</v>
      </c>
      <c r="AF252" s="39">
        <v>2.1313476562499997E-5</v>
      </c>
      <c r="AG252" s="39">
        <v>2.0118518518518518E-6</v>
      </c>
      <c r="AH252" s="39">
        <v>6.0355555555555552E-7</v>
      </c>
      <c r="AI252" s="39">
        <v>6.0355555555555552E-7</v>
      </c>
      <c r="AJ252" s="39">
        <v>0.105</v>
      </c>
      <c r="AK252" s="39">
        <v>0.11249999999999999</v>
      </c>
      <c r="AL252" s="39">
        <v>0.15</v>
      </c>
      <c r="AM252" s="39">
        <v>0</v>
      </c>
      <c r="AN252" s="39">
        <v>0.12</v>
      </c>
      <c r="AO252" s="39">
        <v>0</v>
      </c>
      <c r="AP252" s="39">
        <v>0</v>
      </c>
      <c r="AQ252" s="39">
        <v>0</v>
      </c>
      <c r="AR252" s="39">
        <v>0</v>
      </c>
      <c r="AS252" s="39">
        <v>0</v>
      </c>
      <c r="AT252" s="39">
        <v>0</v>
      </c>
      <c r="AU252" s="39">
        <v>0</v>
      </c>
      <c r="AV252" s="39">
        <v>0</v>
      </c>
      <c r="AW252" s="39">
        <v>0</v>
      </c>
      <c r="AX252" s="39">
        <v>0</v>
      </c>
      <c r="AY252" s="39">
        <v>0</v>
      </c>
      <c r="AZ252" s="39">
        <v>0</v>
      </c>
      <c r="BA252" s="39">
        <v>0</v>
      </c>
      <c r="BB252" s="39">
        <v>0</v>
      </c>
      <c r="BC252" s="39">
        <v>0</v>
      </c>
    </row>
    <row r="253" spans="3:55" hidden="1" outlineLevel="1" x14ac:dyDescent="0.2">
      <c r="C253" s="162" t="str">
        <v>Anillo core, puntos de acceso (ADM/multiplexadores): 10000</v>
      </c>
      <c r="D253" s="162" t="str">
        <v>Core-core IP Mbytes voz más datos</v>
      </c>
      <c r="E253" s="62">
        <f t="shared" si="54"/>
        <v>0</v>
      </c>
      <c r="F253" s="39">
        <f t="array" ref="F253:BC253">INDEX(RF.Option.Table,MATCH($D253,RF.Option.List,0),)</f>
        <v>0.15476648667279411</v>
      </c>
      <c r="G253" s="39">
        <v>4.6667633056640616E-2</v>
      </c>
      <c r="H253" s="39">
        <v>4.760009765625E-2</v>
      </c>
      <c r="I253" s="39">
        <v>4.5705566406249995E-2</v>
      </c>
      <c r="J253" s="39">
        <v>4.6667633056640616E-2</v>
      </c>
      <c r="K253" s="39">
        <v>4.760009765625E-2</v>
      </c>
      <c r="L253" s="39">
        <v>4.5705566406249995E-2</v>
      </c>
      <c r="M253" s="39">
        <v>0.18571978400735292</v>
      </c>
      <c r="N253" s="39">
        <v>5.6001159667968745E-2</v>
      </c>
      <c r="O253" s="39">
        <v>5.71201171875E-2</v>
      </c>
      <c r="P253" s="39">
        <v>5.4846679687500004E-2</v>
      </c>
      <c r="Q253" s="39">
        <v>5.6001159667968745E-2</v>
      </c>
      <c r="R253" s="39">
        <v>5.71201171875E-2</v>
      </c>
      <c r="S253" s="39">
        <v>5.4846679687500004E-2</v>
      </c>
      <c r="T253" s="39">
        <v>0.14208984375</v>
      </c>
      <c r="U253" s="39">
        <v>4.2626953124999999E-2</v>
      </c>
      <c r="V253" s="39">
        <v>4.2626953124999999E-2</v>
      </c>
      <c r="W253" s="39">
        <v>4.2626953124999999E-2</v>
      </c>
      <c r="X253" s="39">
        <v>4.2626953124999999E-2</v>
      </c>
      <c r="Y253" s="39">
        <v>4.2626953124999999E-2</v>
      </c>
      <c r="Z253" s="39">
        <v>4.2626953124999999E-2</v>
      </c>
      <c r="AA253" s="39">
        <v>1.8525403357235983E-4</v>
      </c>
      <c r="AB253" s="39">
        <v>5.5576210071707945E-5</v>
      </c>
      <c r="AC253" s="39">
        <v>5.5576210071707945E-5</v>
      </c>
      <c r="AD253" s="39">
        <v>7.1044921874999995E-5</v>
      </c>
      <c r="AE253" s="39">
        <v>2.1313476562499997E-5</v>
      </c>
      <c r="AF253" s="39">
        <v>2.1313476562499997E-5</v>
      </c>
      <c r="AG253" s="39">
        <v>2.0118518518518518E-6</v>
      </c>
      <c r="AH253" s="39">
        <v>6.0355555555555552E-7</v>
      </c>
      <c r="AI253" s="39">
        <v>6.0355555555555552E-7</v>
      </c>
      <c r="AJ253" s="39">
        <v>0.105</v>
      </c>
      <c r="AK253" s="39">
        <v>0.11249999999999999</v>
      </c>
      <c r="AL253" s="39">
        <v>0.15</v>
      </c>
      <c r="AM253" s="39">
        <v>0</v>
      </c>
      <c r="AN253" s="39">
        <v>0.12</v>
      </c>
      <c r="AO253" s="39">
        <v>0</v>
      </c>
      <c r="AP253" s="39">
        <v>0</v>
      </c>
      <c r="AQ253" s="39">
        <v>0</v>
      </c>
      <c r="AR253" s="39">
        <v>0</v>
      </c>
      <c r="AS253" s="39">
        <v>0</v>
      </c>
      <c r="AT253" s="39">
        <v>0</v>
      </c>
      <c r="AU253" s="39">
        <v>0</v>
      </c>
      <c r="AV253" s="39">
        <v>0</v>
      </c>
      <c r="AW253" s="39">
        <v>0</v>
      </c>
      <c r="AX253" s="39">
        <v>0</v>
      </c>
      <c r="AY253" s="39">
        <v>0</v>
      </c>
      <c r="AZ253" s="39">
        <v>0</v>
      </c>
      <c r="BA253" s="39">
        <v>0</v>
      </c>
      <c r="BB253" s="39">
        <v>0</v>
      </c>
      <c r="BC253" s="39">
        <v>0</v>
      </c>
    </row>
    <row r="254" spans="3:55" hidden="1" outlineLevel="1" x14ac:dyDescent="0.2">
      <c r="C254" s="162" t="str">
        <v>Anillo core, puntos de acceso (ADM/multiplexadores): 40000</v>
      </c>
      <c r="D254" s="162" t="str">
        <v>Core-core IP Mbytes voz más datos</v>
      </c>
      <c r="E254" s="62">
        <f t="shared" si="54"/>
        <v>0</v>
      </c>
      <c r="F254" s="39">
        <f t="array" ref="F254:BC254">INDEX(RF.Option.Table,MATCH($D254,RF.Option.List,0),)</f>
        <v>0.15476648667279411</v>
      </c>
      <c r="G254" s="39">
        <v>4.6667633056640616E-2</v>
      </c>
      <c r="H254" s="39">
        <v>4.760009765625E-2</v>
      </c>
      <c r="I254" s="39">
        <v>4.5705566406249995E-2</v>
      </c>
      <c r="J254" s="39">
        <v>4.6667633056640616E-2</v>
      </c>
      <c r="K254" s="39">
        <v>4.760009765625E-2</v>
      </c>
      <c r="L254" s="39">
        <v>4.5705566406249995E-2</v>
      </c>
      <c r="M254" s="39">
        <v>0.18571978400735292</v>
      </c>
      <c r="N254" s="39">
        <v>5.6001159667968745E-2</v>
      </c>
      <c r="O254" s="39">
        <v>5.71201171875E-2</v>
      </c>
      <c r="P254" s="39">
        <v>5.4846679687500004E-2</v>
      </c>
      <c r="Q254" s="39">
        <v>5.6001159667968745E-2</v>
      </c>
      <c r="R254" s="39">
        <v>5.71201171875E-2</v>
      </c>
      <c r="S254" s="39">
        <v>5.4846679687500004E-2</v>
      </c>
      <c r="T254" s="39">
        <v>0.14208984375</v>
      </c>
      <c r="U254" s="39">
        <v>4.2626953124999999E-2</v>
      </c>
      <c r="V254" s="39">
        <v>4.2626953124999999E-2</v>
      </c>
      <c r="W254" s="39">
        <v>4.2626953124999999E-2</v>
      </c>
      <c r="X254" s="39">
        <v>4.2626953124999999E-2</v>
      </c>
      <c r="Y254" s="39">
        <v>4.2626953124999999E-2</v>
      </c>
      <c r="Z254" s="39">
        <v>4.2626953124999999E-2</v>
      </c>
      <c r="AA254" s="39">
        <v>1.8525403357235983E-4</v>
      </c>
      <c r="AB254" s="39">
        <v>5.5576210071707945E-5</v>
      </c>
      <c r="AC254" s="39">
        <v>5.5576210071707945E-5</v>
      </c>
      <c r="AD254" s="39">
        <v>7.1044921874999995E-5</v>
      </c>
      <c r="AE254" s="39">
        <v>2.1313476562499997E-5</v>
      </c>
      <c r="AF254" s="39">
        <v>2.1313476562499997E-5</v>
      </c>
      <c r="AG254" s="39">
        <v>2.0118518518518518E-6</v>
      </c>
      <c r="AH254" s="39">
        <v>6.0355555555555552E-7</v>
      </c>
      <c r="AI254" s="39">
        <v>6.0355555555555552E-7</v>
      </c>
      <c r="AJ254" s="39">
        <v>0.105</v>
      </c>
      <c r="AK254" s="39">
        <v>0.11249999999999999</v>
      </c>
      <c r="AL254" s="39">
        <v>0.15</v>
      </c>
      <c r="AM254" s="39">
        <v>0</v>
      </c>
      <c r="AN254" s="39">
        <v>0.12</v>
      </c>
      <c r="AO254" s="39">
        <v>0</v>
      </c>
      <c r="AP254" s="39">
        <v>0</v>
      </c>
      <c r="AQ254" s="39">
        <v>0</v>
      </c>
      <c r="AR254" s="39">
        <v>0</v>
      </c>
      <c r="AS254" s="39">
        <v>0</v>
      </c>
      <c r="AT254" s="39">
        <v>0</v>
      </c>
      <c r="AU254" s="39">
        <v>0</v>
      </c>
      <c r="AV254" s="39">
        <v>0</v>
      </c>
      <c r="AW254" s="39">
        <v>0</v>
      </c>
      <c r="AX254" s="39">
        <v>0</v>
      </c>
      <c r="AY254" s="39">
        <v>0</v>
      </c>
      <c r="AZ254" s="39">
        <v>0</v>
      </c>
      <c r="BA254" s="39">
        <v>0</v>
      </c>
      <c r="BB254" s="39">
        <v>0</v>
      </c>
      <c r="BC254" s="39">
        <v>0</v>
      </c>
    </row>
    <row r="255" spans="3:55" hidden="1" outlineLevel="1" x14ac:dyDescent="0.2">
      <c r="C255" s="162" t="str">
        <v>Fibra en la red core (km)</v>
      </c>
      <c r="D255" s="162" t="str">
        <v>Voz y datos Core-core</v>
      </c>
      <c r="E255" s="62">
        <f t="shared" si="54"/>
        <v>0</v>
      </c>
      <c r="F255" s="39">
        <f t="array" ref="F255:BC255">INDEX(RF.Option.Table,MATCH($D255,RF.Option.List,0),)</f>
        <v>0.15476648667279411</v>
      </c>
      <c r="G255" s="39">
        <v>4.6667633056640616E-2</v>
      </c>
      <c r="H255" s="39">
        <v>4.760009765625E-2</v>
      </c>
      <c r="I255" s="39">
        <v>4.5705566406249995E-2</v>
      </c>
      <c r="J255" s="39">
        <v>4.6667633056640616E-2</v>
      </c>
      <c r="K255" s="39">
        <v>4.760009765625E-2</v>
      </c>
      <c r="L255" s="39">
        <v>4.5705566406249995E-2</v>
      </c>
      <c r="M255" s="39">
        <v>0.18571978400735292</v>
      </c>
      <c r="N255" s="39">
        <v>5.6001159667968745E-2</v>
      </c>
      <c r="O255" s="39">
        <v>5.71201171875E-2</v>
      </c>
      <c r="P255" s="39">
        <v>5.4846679687500004E-2</v>
      </c>
      <c r="Q255" s="39">
        <v>5.6001159667968745E-2</v>
      </c>
      <c r="R255" s="39">
        <v>5.71201171875E-2</v>
      </c>
      <c r="S255" s="39">
        <v>5.4846679687500004E-2</v>
      </c>
      <c r="T255" s="39">
        <v>0.14208984375</v>
      </c>
      <c r="U255" s="39">
        <v>4.2626953124999999E-2</v>
      </c>
      <c r="V255" s="39">
        <v>4.2626953124999999E-2</v>
      </c>
      <c r="W255" s="39">
        <v>4.2626953124999999E-2</v>
      </c>
      <c r="X255" s="39">
        <v>4.2626953124999999E-2</v>
      </c>
      <c r="Y255" s="39">
        <v>4.2626953124999999E-2</v>
      </c>
      <c r="Z255" s="39">
        <v>4.2626953124999999E-2</v>
      </c>
      <c r="AA255" s="39">
        <v>1.8525403357235983E-4</v>
      </c>
      <c r="AB255" s="39">
        <v>5.5576210071707945E-5</v>
      </c>
      <c r="AC255" s="39">
        <v>5.5576210071707945E-5</v>
      </c>
      <c r="AD255" s="39">
        <v>7.1044921874999995E-5</v>
      </c>
      <c r="AE255" s="39">
        <v>2.1313476562499997E-5</v>
      </c>
      <c r="AF255" s="39">
        <v>2.1313476562499997E-5</v>
      </c>
      <c r="AG255" s="39">
        <v>2.0118518518518518E-6</v>
      </c>
      <c r="AH255" s="39">
        <v>6.0355555555555552E-7</v>
      </c>
      <c r="AI255" s="39">
        <v>6.0355555555555552E-7</v>
      </c>
      <c r="AJ255" s="39">
        <v>0.105</v>
      </c>
      <c r="AK255" s="39">
        <v>0.11249999999999999</v>
      </c>
      <c r="AL255" s="39">
        <v>0.15</v>
      </c>
      <c r="AM255" s="39">
        <v>0</v>
      </c>
      <c r="AN255" s="39">
        <v>0.12</v>
      </c>
      <c r="AO255" s="39">
        <v>0</v>
      </c>
      <c r="AP255" s="39">
        <v>0</v>
      </c>
      <c r="AQ255" s="39">
        <v>0</v>
      </c>
      <c r="AR255" s="39">
        <v>0</v>
      </c>
      <c r="AS255" s="39">
        <v>0</v>
      </c>
      <c r="AT255" s="39">
        <v>0</v>
      </c>
      <c r="AU255" s="39">
        <v>0</v>
      </c>
      <c r="AV255" s="39">
        <v>0</v>
      </c>
      <c r="AW255" s="39">
        <v>0</v>
      </c>
      <c r="AX255" s="39">
        <v>0</v>
      </c>
      <c r="AY255" s="39">
        <v>0</v>
      </c>
      <c r="AZ255" s="39">
        <v>0</v>
      </c>
      <c r="BA255" s="39">
        <v>0</v>
      </c>
      <c r="BB255" s="39">
        <v>0</v>
      </c>
      <c r="BC255" s="39">
        <v>0</v>
      </c>
    </row>
    <row r="256" spans="3:55" hidden="1" outlineLevel="1" x14ac:dyDescent="0.2">
      <c r="C256" s="162" t="str">
        <v>Salto MW core a core</v>
      </c>
      <c r="D256" s="162" t="str">
        <v>Voz y datos Core-core</v>
      </c>
      <c r="E256" s="62">
        <f t="shared" si="54"/>
        <v>0</v>
      </c>
      <c r="F256" s="39">
        <f t="array" ref="F256:BC256">INDEX(RF.Option.Table,MATCH($D256,RF.Option.List,0),)</f>
        <v>0.15476648667279411</v>
      </c>
      <c r="G256" s="39">
        <v>4.6667633056640616E-2</v>
      </c>
      <c r="H256" s="39">
        <v>4.760009765625E-2</v>
      </c>
      <c r="I256" s="39">
        <v>4.5705566406249995E-2</v>
      </c>
      <c r="J256" s="39">
        <v>4.6667633056640616E-2</v>
      </c>
      <c r="K256" s="39">
        <v>4.760009765625E-2</v>
      </c>
      <c r="L256" s="39">
        <v>4.5705566406249995E-2</v>
      </c>
      <c r="M256" s="39">
        <v>0.18571978400735292</v>
      </c>
      <c r="N256" s="39">
        <v>5.6001159667968745E-2</v>
      </c>
      <c r="O256" s="39">
        <v>5.71201171875E-2</v>
      </c>
      <c r="P256" s="39">
        <v>5.4846679687500004E-2</v>
      </c>
      <c r="Q256" s="39">
        <v>5.6001159667968745E-2</v>
      </c>
      <c r="R256" s="39">
        <v>5.71201171875E-2</v>
      </c>
      <c r="S256" s="39">
        <v>5.4846679687500004E-2</v>
      </c>
      <c r="T256" s="39">
        <v>0.14208984375</v>
      </c>
      <c r="U256" s="39">
        <v>4.2626953124999999E-2</v>
      </c>
      <c r="V256" s="39">
        <v>4.2626953124999999E-2</v>
      </c>
      <c r="W256" s="39">
        <v>4.2626953124999999E-2</v>
      </c>
      <c r="X256" s="39">
        <v>4.2626953124999999E-2</v>
      </c>
      <c r="Y256" s="39">
        <v>4.2626953124999999E-2</v>
      </c>
      <c r="Z256" s="39">
        <v>4.2626953124999999E-2</v>
      </c>
      <c r="AA256" s="39">
        <v>1.8525403357235983E-4</v>
      </c>
      <c r="AB256" s="39">
        <v>5.5576210071707945E-5</v>
      </c>
      <c r="AC256" s="39">
        <v>5.5576210071707945E-5</v>
      </c>
      <c r="AD256" s="39">
        <v>7.1044921874999995E-5</v>
      </c>
      <c r="AE256" s="39">
        <v>2.1313476562499997E-5</v>
      </c>
      <c r="AF256" s="39">
        <v>2.1313476562499997E-5</v>
      </c>
      <c r="AG256" s="39">
        <v>2.0118518518518518E-6</v>
      </c>
      <c r="AH256" s="39">
        <v>6.0355555555555552E-7</v>
      </c>
      <c r="AI256" s="39">
        <v>6.0355555555555552E-7</v>
      </c>
      <c r="AJ256" s="39">
        <v>0.105</v>
      </c>
      <c r="AK256" s="39">
        <v>0.11249999999999999</v>
      </c>
      <c r="AL256" s="39">
        <v>0.15</v>
      </c>
      <c r="AM256" s="39">
        <v>0</v>
      </c>
      <c r="AN256" s="39">
        <v>0.12</v>
      </c>
      <c r="AO256" s="39">
        <v>0</v>
      </c>
      <c r="AP256" s="39">
        <v>0</v>
      </c>
      <c r="AQ256" s="39">
        <v>0</v>
      </c>
      <c r="AR256" s="39">
        <v>0</v>
      </c>
      <c r="AS256" s="39">
        <v>0</v>
      </c>
      <c r="AT256" s="39">
        <v>0</v>
      </c>
      <c r="AU256" s="39">
        <v>0</v>
      </c>
      <c r="AV256" s="39">
        <v>0</v>
      </c>
      <c r="AW256" s="39">
        <v>0</v>
      </c>
      <c r="AX256" s="39">
        <v>0</v>
      </c>
      <c r="AY256" s="39">
        <v>0</v>
      </c>
      <c r="AZ256" s="39">
        <v>0</v>
      </c>
      <c r="BA256" s="39">
        <v>0</v>
      </c>
      <c r="BB256" s="39">
        <v>0</v>
      </c>
      <c r="BC256" s="39">
        <v>0</v>
      </c>
    </row>
    <row r="257" spans="3:55" hidden="1" outlineLevel="1" x14ac:dyDescent="0.2">
      <c r="C257" s="162" t="str">
        <v>Main switching/core sites</v>
      </c>
      <c r="D257" s="162" t="str">
        <v>Suscriptores</v>
      </c>
      <c r="E257" s="62">
        <f t="shared" si="54"/>
        <v>0</v>
      </c>
      <c r="F257" s="39">
        <f t="array" ref="F257:BC257">INDEX(RF.Option.Table,MATCH($D257,RF.Option.List,0),)</f>
        <v>0</v>
      </c>
      <c r="G257" s="39">
        <v>0</v>
      </c>
      <c r="H257" s="39">
        <v>0</v>
      </c>
      <c r="I257" s="39">
        <v>0</v>
      </c>
      <c r="J257" s="39">
        <v>0</v>
      </c>
      <c r="K257" s="39">
        <v>0</v>
      </c>
      <c r="L257" s="39">
        <v>0</v>
      </c>
      <c r="M257" s="39">
        <v>0</v>
      </c>
      <c r="N257" s="39">
        <v>0</v>
      </c>
      <c r="O257" s="39">
        <v>0</v>
      </c>
      <c r="P257" s="39">
        <v>0</v>
      </c>
      <c r="Q257" s="39">
        <v>0</v>
      </c>
      <c r="R257" s="39">
        <v>0</v>
      </c>
      <c r="S257" s="39">
        <v>0</v>
      </c>
      <c r="T257" s="39">
        <v>0</v>
      </c>
      <c r="U257" s="39">
        <v>0</v>
      </c>
      <c r="V257" s="39">
        <v>0</v>
      </c>
      <c r="W257" s="39">
        <v>0</v>
      </c>
      <c r="X257" s="39">
        <v>0</v>
      </c>
      <c r="Y257" s="39">
        <v>0</v>
      </c>
      <c r="Z257" s="39">
        <v>0</v>
      </c>
      <c r="AA257" s="39">
        <v>0</v>
      </c>
      <c r="AB257" s="39">
        <v>0</v>
      </c>
      <c r="AC257" s="39">
        <v>0</v>
      </c>
      <c r="AD257" s="39">
        <v>0</v>
      </c>
      <c r="AE257" s="39">
        <v>0</v>
      </c>
      <c r="AF257" s="39">
        <v>0</v>
      </c>
      <c r="AG257" s="39">
        <v>0</v>
      </c>
      <c r="AH257" s="39">
        <v>0</v>
      </c>
      <c r="AI257" s="39">
        <v>0</v>
      </c>
      <c r="AJ257" s="39">
        <v>0</v>
      </c>
      <c r="AK257" s="39">
        <v>0</v>
      </c>
      <c r="AL257" s="39">
        <v>0</v>
      </c>
      <c r="AM257" s="39">
        <v>0</v>
      </c>
      <c r="AN257" s="39">
        <v>0</v>
      </c>
      <c r="AO257" s="39">
        <v>0</v>
      </c>
      <c r="AP257" s="39">
        <v>1</v>
      </c>
      <c r="AQ257" s="39">
        <v>1</v>
      </c>
      <c r="AR257" s="39">
        <v>0</v>
      </c>
      <c r="AS257" s="39">
        <v>0</v>
      </c>
      <c r="AT257" s="39">
        <v>0</v>
      </c>
      <c r="AU257" s="39">
        <v>0</v>
      </c>
      <c r="AV257" s="39">
        <v>0</v>
      </c>
      <c r="AW257" s="39">
        <v>0</v>
      </c>
      <c r="AX257" s="39">
        <v>0</v>
      </c>
      <c r="AY257" s="39">
        <v>0</v>
      </c>
      <c r="AZ257" s="39">
        <v>0</v>
      </c>
      <c r="BA257" s="39">
        <v>0</v>
      </c>
      <c r="BB257" s="39">
        <v>0</v>
      </c>
      <c r="BC257" s="39">
        <v>0</v>
      </c>
    </row>
    <row r="258" spans="3:55" hidden="1" outlineLevel="1" x14ac:dyDescent="0.2">
      <c r="C258" s="162" t="str">
        <v>Asset spare</v>
      </c>
      <c r="D258" s="162" t="str">
        <v>Spare</v>
      </c>
      <c r="E258" s="62">
        <f t="shared" si="54"/>
        <v>0</v>
      </c>
      <c r="F258" s="39">
        <f t="array" ref="F258:BC258">INDEX(RF.Option.Table,MATCH($D258,RF.Option.List,0),)</f>
        <v>0</v>
      </c>
      <c r="G258" s="39">
        <v>0</v>
      </c>
      <c r="H258" s="39">
        <v>0</v>
      </c>
      <c r="I258" s="39">
        <v>0</v>
      </c>
      <c r="J258" s="39">
        <v>0</v>
      </c>
      <c r="K258" s="39">
        <v>0</v>
      </c>
      <c r="L258" s="39">
        <v>0</v>
      </c>
      <c r="M258" s="39">
        <v>0</v>
      </c>
      <c r="N258" s="39">
        <v>0</v>
      </c>
      <c r="O258" s="39">
        <v>0</v>
      </c>
      <c r="P258" s="39">
        <v>0</v>
      </c>
      <c r="Q258" s="39">
        <v>0</v>
      </c>
      <c r="R258" s="39">
        <v>0</v>
      </c>
      <c r="S258" s="39">
        <v>0</v>
      </c>
      <c r="T258" s="39">
        <v>0</v>
      </c>
      <c r="U258" s="39">
        <v>0</v>
      </c>
      <c r="V258" s="39">
        <v>0</v>
      </c>
      <c r="W258" s="39">
        <v>0</v>
      </c>
      <c r="X258" s="39">
        <v>0</v>
      </c>
      <c r="Y258" s="39">
        <v>0</v>
      </c>
      <c r="Z258" s="39">
        <v>0</v>
      </c>
      <c r="AA258" s="39">
        <v>0</v>
      </c>
      <c r="AB258" s="39">
        <v>0</v>
      </c>
      <c r="AC258" s="39">
        <v>0</v>
      </c>
      <c r="AD258" s="39">
        <v>0</v>
      </c>
      <c r="AE258" s="39">
        <v>0</v>
      </c>
      <c r="AF258" s="39">
        <v>0</v>
      </c>
      <c r="AG258" s="39">
        <v>0</v>
      </c>
      <c r="AH258" s="39">
        <v>0</v>
      </c>
      <c r="AI258" s="39">
        <v>0</v>
      </c>
      <c r="AJ258" s="39">
        <v>0</v>
      </c>
      <c r="AK258" s="39">
        <v>0</v>
      </c>
      <c r="AL258" s="39">
        <v>0</v>
      </c>
      <c r="AM258" s="39">
        <v>0</v>
      </c>
      <c r="AN258" s="39">
        <v>0</v>
      </c>
      <c r="AO258" s="39">
        <v>0</v>
      </c>
      <c r="AP258" s="39">
        <v>0</v>
      </c>
      <c r="AQ258" s="39">
        <v>0</v>
      </c>
      <c r="AR258" s="39">
        <v>0</v>
      </c>
      <c r="AS258" s="39">
        <v>0</v>
      </c>
      <c r="AT258" s="39">
        <v>0</v>
      </c>
      <c r="AU258" s="39">
        <v>0</v>
      </c>
      <c r="AV258" s="39">
        <v>0</v>
      </c>
      <c r="AW258" s="39">
        <v>0</v>
      </c>
      <c r="AX258" s="39">
        <v>0</v>
      </c>
      <c r="AY258" s="39">
        <v>0</v>
      </c>
      <c r="AZ258" s="39">
        <v>0</v>
      </c>
      <c r="BA258" s="39">
        <v>0</v>
      </c>
      <c r="BB258" s="39">
        <v>0</v>
      </c>
      <c r="BC258" s="39">
        <v>0</v>
      </c>
    </row>
    <row r="259" spans="3:55" hidden="1" outlineLevel="1" x14ac:dyDescent="0.2">
      <c r="C259" s="162" t="str">
        <v>MSS</v>
      </c>
      <c r="D259" s="162" t="str">
        <v>Procesado 2G+3G</v>
      </c>
      <c r="E259" s="62">
        <f t="shared" si="54"/>
        <v>0</v>
      </c>
      <c r="F259" s="39">
        <f t="array" ref="F259:BC259">INDEX(RF.Option.Table,MATCH($D259,RF.Option.List,0),)</f>
        <v>7</v>
      </c>
      <c r="G259" s="39">
        <v>2</v>
      </c>
      <c r="H259" s="39">
        <v>2</v>
      </c>
      <c r="I259" s="39">
        <v>2</v>
      </c>
      <c r="J259" s="39">
        <v>5</v>
      </c>
      <c r="K259" s="39">
        <v>5</v>
      </c>
      <c r="L259" s="39">
        <v>5</v>
      </c>
      <c r="M259" s="39">
        <v>7</v>
      </c>
      <c r="N259" s="39">
        <v>2</v>
      </c>
      <c r="O259" s="39">
        <v>2</v>
      </c>
      <c r="P259" s="39">
        <v>2</v>
      </c>
      <c r="Q259" s="39">
        <v>5</v>
      </c>
      <c r="R259" s="39">
        <v>5</v>
      </c>
      <c r="S259" s="39">
        <v>5</v>
      </c>
      <c r="T259" s="39">
        <v>0</v>
      </c>
      <c r="U259" s="39">
        <v>0</v>
      </c>
      <c r="V259" s="39">
        <v>0</v>
      </c>
      <c r="W259" s="39">
        <v>0</v>
      </c>
      <c r="X259" s="39">
        <v>0</v>
      </c>
      <c r="Y259" s="39">
        <v>0</v>
      </c>
      <c r="Z259" s="39">
        <v>0</v>
      </c>
      <c r="AA259" s="39">
        <v>1</v>
      </c>
      <c r="AB259" s="39">
        <v>1</v>
      </c>
      <c r="AC259" s="39">
        <v>1</v>
      </c>
      <c r="AD259" s="39">
        <v>1</v>
      </c>
      <c r="AE259" s="39">
        <v>1</v>
      </c>
      <c r="AF259" s="39">
        <v>1</v>
      </c>
      <c r="AG259" s="39">
        <v>0</v>
      </c>
      <c r="AH259" s="39">
        <v>0</v>
      </c>
      <c r="AI259" s="39">
        <v>0</v>
      </c>
      <c r="AJ259" s="39">
        <v>0</v>
      </c>
      <c r="AK259" s="39">
        <v>0</v>
      </c>
      <c r="AL259" s="39">
        <v>0</v>
      </c>
      <c r="AM259" s="39">
        <v>0</v>
      </c>
      <c r="AN259" s="39">
        <v>0</v>
      </c>
      <c r="AO259" s="39">
        <v>0</v>
      </c>
      <c r="AP259" s="39">
        <v>0</v>
      </c>
      <c r="AQ259" s="39">
        <v>0</v>
      </c>
      <c r="AR259" s="39">
        <v>0</v>
      </c>
      <c r="AS259" s="39">
        <v>0</v>
      </c>
      <c r="AT259" s="39">
        <v>0</v>
      </c>
      <c r="AU259" s="39">
        <v>0</v>
      </c>
      <c r="AV259" s="39">
        <v>0</v>
      </c>
      <c r="AW259" s="39">
        <v>0</v>
      </c>
      <c r="AX259" s="39">
        <v>0</v>
      </c>
      <c r="AY259" s="39">
        <v>0</v>
      </c>
      <c r="AZ259" s="39">
        <v>0</v>
      </c>
      <c r="BA259" s="39">
        <v>0</v>
      </c>
      <c r="BB259" s="39">
        <v>0</v>
      </c>
      <c r="BC259" s="39">
        <v>0</v>
      </c>
    </row>
    <row r="260" spans="3:55" hidden="1" outlineLevel="1" x14ac:dyDescent="0.2">
      <c r="C260" s="162" t="str">
        <v>MGW</v>
      </c>
      <c r="D260" s="162" t="str">
        <v>GSM+UMTS voz radio solo minutos</v>
      </c>
      <c r="E260" s="62">
        <f t="shared" si="54"/>
        <v>0</v>
      </c>
      <c r="F260" s="39">
        <f t="array" ref="F260:BC260">INDEX(RF.Option.Table,MATCH($D260,RF.Option.List,0),)</f>
        <v>2.1784313725490194</v>
      </c>
      <c r="G260" s="39">
        <v>1.0947916666666666</v>
      </c>
      <c r="H260" s="39">
        <v>1.1166666666666667</v>
      </c>
      <c r="I260" s="39">
        <v>1.0722222222222222</v>
      </c>
      <c r="J260" s="39">
        <v>1.0947916666666666</v>
      </c>
      <c r="K260" s="39">
        <v>1.1166666666666667</v>
      </c>
      <c r="L260" s="39">
        <v>1.0722222222222222</v>
      </c>
      <c r="M260" s="39">
        <v>2.8319607843137256</v>
      </c>
      <c r="N260" s="39">
        <v>1.4232291666666665</v>
      </c>
      <c r="O260" s="39">
        <v>1.4516666666666667</v>
      </c>
      <c r="P260" s="39">
        <v>1.393888888888889</v>
      </c>
      <c r="Q260" s="39">
        <v>1.4232291666666665</v>
      </c>
      <c r="R260" s="39">
        <v>1.4516666666666667</v>
      </c>
      <c r="S260" s="39">
        <v>1.393888888888889</v>
      </c>
      <c r="T260" s="39">
        <v>0</v>
      </c>
      <c r="U260" s="39">
        <v>0</v>
      </c>
      <c r="V260" s="39">
        <v>0</v>
      </c>
      <c r="W260" s="39">
        <v>0</v>
      </c>
      <c r="X260" s="39">
        <v>0</v>
      </c>
      <c r="Y260" s="39">
        <v>0</v>
      </c>
      <c r="Z260" s="39">
        <v>0</v>
      </c>
      <c r="AA260" s="39">
        <v>0</v>
      </c>
      <c r="AB260" s="39">
        <v>0</v>
      </c>
      <c r="AC260" s="39">
        <v>0</v>
      </c>
      <c r="AD260" s="39">
        <v>0</v>
      </c>
      <c r="AE260" s="39">
        <v>0</v>
      </c>
      <c r="AF260" s="39">
        <v>0</v>
      </c>
      <c r="AG260" s="39">
        <v>0</v>
      </c>
      <c r="AH260" s="39">
        <v>0</v>
      </c>
      <c r="AI260" s="39">
        <v>0</v>
      </c>
      <c r="AJ260" s="39">
        <v>0</v>
      </c>
      <c r="AK260" s="39">
        <v>0</v>
      </c>
      <c r="AL260" s="39">
        <v>0</v>
      </c>
      <c r="AM260" s="39">
        <v>0</v>
      </c>
      <c r="AN260" s="39">
        <v>0</v>
      </c>
      <c r="AO260" s="39">
        <v>0</v>
      </c>
      <c r="AP260" s="39">
        <v>0</v>
      </c>
      <c r="AQ260" s="39">
        <v>0</v>
      </c>
      <c r="AR260" s="39">
        <v>0</v>
      </c>
      <c r="AS260" s="39">
        <v>0</v>
      </c>
      <c r="AT260" s="39">
        <v>0</v>
      </c>
      <c r="AU260" s="39">
        <v>0</v>
      </c>
      <c r="AV260" s="39">
        <v>0</v>
      </c>
      <c r="AW260" s="39">
        <v>0</v>
      </c>
      <c r="AX260" s="39">
        <v>0</v>
      </c>
      <c r="AY260" s="39">
        <v>0</v>
      </c>
      <c r="AZ260" s="39">
        <v>0</v>
      </c>
      <c r="BA260" s="39">
        <v>0</v>
      </c>
      <c r="BB260" s="39">
        <v>0</v>
      </c>
      <c r="BC260" s="39">
        <v>0</v>
      </c>
    </row>
    <row r="261" spans="3:55" hidden="1" outlineLevel="1" x14ac:dyDescent="0.2">
      <c r="C261" s="162" t="str">
        <v>SGSN</v>
      </c>
      <c r="D261" s="162" t="str">
        <v>GSM, UMTS y HSPA Mbytes</v>
      </c>
      <c r="E261" s="62">
        <f t="shared" si="54"/>
        <v>0</v>
      </c>
      <c r="F261" s="39">
        <f t="array" ref="F261:BC261">INDEX(RF.Option.Table,MATCH($D261,RF.Option.List,0),)</f>
        <v>0</v>
      </c>
      <c r="G261" s="39">
        <v>0</v>
      </c>
      <c r="H261" s="39">
        <v>0</v>
      </c>
      <c r="I261" s="39">
        <v>0</v>
      </c>
      <c r="J261" s="39">
        <v>0</v>
      </c>
      <c r="K261" s="39">
        <v>0</v>
      </c>
      <c r="L261" s="39">
        <v>0</v>
      </c>
      <c r="M261" s="39">
        <v>0</v>
      </c>
      <c r="N261" s="39">
        <v>0</v>
      </c>
      <c r="O261" s="39">
        <v>0</v>
      </c>
      <c r="P261" s="39">
        <v>0</v>
      </c>
      <c r="Q261" s="39">
        <v>0</v>
      </c>
      <c r="R261" s="39">
        <v>0</v>
      </c>
      <c r="S261" s="39">
        <v>0</v>
      </c>
      <c r="T261" s="39">
        <v>0</v>
      </c>
      <c r="U261" s="39">
        <v>0</v>
      </c>
      <c r="V261" s="39">
        <v>0</v>
      </c>
      <c r="W261" s="39">
        <v>0</v>
      </c>
      <c r="X261" s="39">
        <v>0</v>
      </c>
      <c r="Y261" s="39">
        <v>0</v>
      </c>
      <c r="Z261" s="39">
        <v>0</v>
      </c>
      <c r="AA261" s="39">
        <v>0</v>
      </c>
      <c r="AB261" s="39">
        <v>0</v>
      </c>
      <c r="AC261" s="39">
        <v>0</v>
      </c>
      <c r="AD261" s="39">
        <v>1</v>
      </c>
      <c r="AE261" s="39">
        <v>1</v>
      </c>
      <c r="AF261" s="39">
        <v>1</v>
      </c>
      <c r="AG261" s="39">
        <v>1</v>
      </c>
      <c r="AH261" s="39">
        <v>0</v>
      </c>
      <c r="AI261" s="39">
        <v>0</v>
      </c>
      <c r="AJ261" s="39">
        <v>1</v>
      </c>
      <c r="AK261" s="39">
        <v>1</v>
      </c>
      <c r="AL261" s="39">
        <v>1</v>
      </c>
      <c r="AM261" s="39">
        <v>1</v>
      </c>
      <c r="AN261" s="39">
        <v>0</v>
      </c>
      <c r="AO261" s="39">
        <v>0</v>
      </c>
      <c r="AP261" s="39">
        <v>0</v>
      </c>
      <c r="AQ261" s="39">
        <v>0</v>
      </c>
      <c r="AR261" s="39">
        <v>0</v>
      </c>
      <c r="AS261" s="39">
        <v>0</v>
      </c>
      <c r="AT261" s="39">
        <v>0</v>
      </c>
      <c r="AU261" s="39">
        <v>0</v>
      </c>
      <c r="AV261" s="39">
        <v>0</v>
      </c>
      <c r="AW261" s="39">
        <v>0</v>
      </c>
      <c r="AX261" s="39">
        <v>0</v>
      </c>
      <c r="AY261" s="39">
        <v>0</v>
      </c>
      <c r="AZ261" s="39">
        <v>0</v>
      </c>
      <c r="BA261" s="39">
        <v>0</v>
      </c>
      <c r="BB261" s="39">
        <v>0</v>
      </c>
      <c r="BC261" s="39">
        <v>0</v>
      </c>
    </row>
    <row r="262" spans="3:55" hidden="1" outlineLevel="1" x14ac:dyDescent="0.2">
      <c r="C262" s="162" t="str">
        <v>GGSN</v>
      </c>
      <c r="D262" s="162" t="str">
        <v>GSM, UMTS y HSPA Mbytes</v>
      </c>
      <c r="E262" s="62">
        <f t="shared" si="54"/>
        <v>0</v>
      </c>
      <c r="F262" s="39">
        <f t="array" ref="F262:BC262">INDEX(RF.Option.Table,MATCH($D262,RF.Option.List,0),)</f>
        <v>0</v>
      </c>
      <c r="G262" s="39">
        <v>0</v>
      </c>
      <c r="H262" s="39">
        <v>0</v>
      </c>
      <c r="I262" s="39">
        <v>0</v>
      </c>
      <c r="J262" s="39">
        <v>0</v>
      </c>
      <c r="K262" s="39">
        <v>0</v>
      </c>
      <c r="L262" s="39">
        <v>0</v>
      </c>
      <c r="M262" s="39">
        <v>0</v>
      </c>
      <c r="N262" s="39">
        <v>0</v>
      </c>
      <c r="O262" s="39">
        <v>0</v>
      </c>
      <c r="P262" s="39">
        <v>0</v>
      </c>
      <c r="Q262" s="39">
        <v>0</v>
      </c>
      <c r="R262" s="39">
        <v>0</v>
      </c>
      <c r="S262" s="39">
        <v>0</v>
      </c>
      <c r="T262" s="39">
        <v>0</v>
      </c>
      <c r="U262" s="39">
        <v>0</v>
      </c>
      <c r="V262" s="39">
        <v>0</v>
      </c>
      <c r="W262" s="39">
        <v>0</v>
      </c>
      <c r="X262" s="39">
        <v>0</v>
      </c>
      <c r="Y262" s="39">
        <v>0</v>
      </c>
      <c r="Z262" s="39">
        <v>0</v>
      </c>
      <c r="AA262" s="39">
        <v>0</v>
      </c>
      <c r="AB262" s="39">
        <v>0</v>
      </c>
      <c r="AC262" s="39">
        <v>0</v>
      </c>
      <c r="AD262" s="39">
        <v>1</v>
      </c>
      <c r="AE262" s="39">
        <v>1</v>
      </c>
      <c r="AF262" s="39">
        <v>1</v>
      </c>
      <c r="AG262" s="39">
        <v>1</v>
      </c>
      <c r="AH262" s="39">
        <v>0</v>
      </c>
      <c r="AI262" s="39">
        <v>0</v>
      </c>
      <c r="AJ262" s="39">
        <v>1</v>
      </c>
      <c r="AK262" s="39">
        <v>1</v>
      </c>
      <c r="AL262" s="39">
        <v>1</v>
      </c>
      <c r="AM262" s="39">
        <v>1</v>
      </c>
      <c r="AN262" s="39">
        <v>0</v>
      </c>
      <c r="AO262" s="39">
        <v>0</v>
      </c>
      <c r="AP262" s="39">
        <v>0</v>
      </c>
      <c r="AQ262" s="39">
        <v>0</v>
      </c>
      <c r="AR262" s="39">
        <v>0</v>
      </c>
      <c r="AS262" s="39">
        <v>0</v>
      </c>
      <c r="AT262" s="39">
        <v>0</v>
      </c>
      <c r="AU262" s="39">
        <v>0</v>
      </c>
      <c r="AV262" s="39">
        <v>0</v>
      </c>
      <c r="AW262" s="39">
        <v>0</v>
      </c>
      <c r="AX262" s="39">
        <v>0</v>
      </c>
      <c r="AY262" s="39">
        <v>0</v>
      </c>
      <c r="AZ262" s="39">
        <v>0</v>
      </c>
      <c r="BA262" s="39">
        <v>0</v>
      </c>
      <c r="BB262" s="39">
        <v>0</v>
      </c>
      <c r="BC262" s="39">
        <v>0</v>
      </c>
    </row>
    <row r="263" spans="3:55" hidden="1" outlineLevel="1" x14ac:dyDescent="0.2">
      <c r="C263" s="162" t="str">
        <v>LTE MME</v>
      </c>
      <c r="D263" s="162" t="str">
        <v>Tráfico radio LTE</v>
      </c>
      <c r="E263" s="62">
        <f t="shared" si="54"/>
        <v>0</v>
      </c>
      <c r="F263" s="39">
        <f t="array" ref="F263:BC263">INDEX(RF.Option.Table,MATCH($D263,RF.Option.List,0),)</f>
        <v>0</v>
      </c>
      <c r="G263" s="39">
        <v>0</v>
      </c>
      <c r="H263" s="39">
        <v>0</v>
      </c>
      <c r="I263" s="39">
        <v>0</v>
      </c>
      <c r="J263" s="39">
        <v>0</v>
      </c>
      <c r="K263" s="39">
        <v>0</v>
      </c>
      <c r="L263" s="39">
        <v>0</v>
      </c>
      <c r="M263" s="39">
        <v>0</v>
      </c>
      <c r="N263" s="39">
        <v>0</v>
      </c>
      <c r="O263" s="39">
        <v>0</v>
      </c>
      <c r="P263" s="39">
        <v>0</v>
      </c>
      <c r="Q263" s="39">
        <v>0</v>
      </c>
      <c r="R263" s="39">
        <v>0</v>
      </c>
      <c r="S263" s="39">
        <v>0</v>
      </c>
      <c r="T263" s="39">
        <v>2</v>
      </c>
      <c r="U263" s="39">
        <v>1</v>
      </c>
      <c r="V263" s="39">
        <v>1</v>
      </c>
      <c r="W263" s="39">
        <v>1</v>
      </c>
      <c r="X263" s="39">
        <v>1</v>
      </c>
      <c r="Y263" s="39">
        <v>1</v>
      </c>
      <c r="Z263" s="39">
        <v>1</v>
      </c>
      <c r="AA263" s="39">
        <v>0</v>
      </c>
      <c r="AB263" s="39">
        <v>0</v>
      </c>
      <c r="AC263" s="39">
        <v>0</v>
      </c>
      <c r="AD263" s="39">
        <v>0</v>
      </c>
      <c r="AE263" s="39">
        <v>0</v>
      </c>
      <c r="AF263" s="39">
        <v>0</v>
      </c>
      <c r="AG263" s="39">
        <v>2.8318024691358027E-5</v>
      </c>
      <c r="AH263" s="39">
        <v>1.4159012345679013E-5</v>
      </c>
      <c r="AI263" s="39">
        <v>1.4159012345679013E-5</v>
      </c>
      <c r="AJ263" s="39">
        <v>0</v>
      </c>
      <c r="AK263" s="39">
        <v>0</v>
      </c>
      <c r="AL263" s="39">
        <v>0</v>
      </c>
      <c r="AM263" s="39">
        <v>0</v>
      </c>
      <c r="AN263" s="39">
        <v>0.23598353909465022</v>
      </c>
      <c r="AO263" s="39">
        <v>0</v>
      </c>
      <c r="AP263" s="39">
        <v>0</v>
      </c>
      <c r="AQ263" s="39">
        <v>0</v>
      </c>
      <c r="AR263" s="39">
        <v>0</v>
      </c>
      <c r="AS263" s="39">
        <v>0</v>
      </c>
      <c r="AT263" s="39">
        <v>0</v>
      </c>
      <c r="AU263" s="39">
        <v>0</v>
      </c>
      <c r="AV263" s="39">
        <v>0</v>
      </c>
      <c r="AW263" s="39">
        <v>0</v>
      </c>
      <c r="AX263" s="39">
        <v>0</v>
      </c>
      <c r="AY263" s="39">
        <v>0</v>
      </c>
      <c r="AZ263" s="39">
        <v>0</v>
      </c>
      <c r="BA263" s="39">
        <v>0</v>
      </c>
      <c r="BB263" s="39">
        <v>0</v>
      </c>
      <c r="BC263" s="39">
        <v>0</v>
      </c>
    </row>
    <row r="264" spans="3:55" hidden="1" outlineLevel="1" x14ac:dyDescent="0.2">
      <c r="C264" s="162" t="str">
        <v>LTE SGW</v>
      </c>
      <c r="D264" s="162" t="str">
        <v>Tráfico radio LTE</v>
      </c>
      <c r="E264" s="62">
        <f t="shared" si="54"/>
        <v>0</v>
      </c>
      <c r="F264" s="39">
        <f t="array" ref="F264:BC264">INDEX(RF.Option.Table,MATCH($D264,RF.Option.List,0),)</f>
        <v>0</v>
      </c>
      <c r="G264" s="39">
        <v>0</v>
      </c>
      <c r="H264" s="39">
        <v>0</v>
      </c>
      <c r="I264" s="39">
        <v>0</v>
      </c>
      <c r="J264" s="39">
        <v>0</v>
      </c>
      <c r="K264" s="39">
        <v>0</v>
      </c>
      <c r="L264" s="39">
        <v>0</v>
      </c>
      <c r="M264" s="39">
        <v>0</v>
      </c>
      <c r="N264" s="39">
        <v>0</v>
      </c>
      <c r="O264" s="39">
        <v>0</v>
      </c>
      <c r="P264" s="39">
        <v>0</v>
      </c>
      <c r="Q264" s="39">
        <v>0</v>
      </c>
      <c r="R264" s="39">
        <v>0</v>
      </c>
      <c r="S264" s="39">
        <v>0</v>
      </c>
      <c r="T264" s="39">
        <v>2</v>
      </c>
      <c r="U264" s="39">
        <v>1</v>
      </c>
      <c r="V264" s="39">
        <v>1</v>
      </c>
      <c r="W264" s="39">
        <v>1</v>
      </c>
      <c r="X264" s="39">
        <v>1</v>
      </c>
      <c r="Y264" s="39">
        <v>1</v>
      </c>
      <c r="Z264" s="39">
        <v>1</v>
      </c>
      <c r="AA264" s="39">
        <v>0</v>
      </c>
      <c r="AB264" s="39">
        <v>0</v>
      </c>
      <c r="AC264" s="39">
        <v>0</v>
      </c>
      <c r="AD264" s="39">
        <v>0</v>
      </c>
      <c r="AE264" s="39">
        <v>0</v>
      </c>
      <c r="AF264" s="39">
        <v>0</v>
      </c>
      <c r="AG264" s="39">
        <v>2.8318024691358027E-5</v>
      </c>
      <c r="AH264" s="39">
        <v>1.4159012345679013E-5</v>
      </c>
      <c r="AI264" s="39">
        <v>1.4159012345679013E-5</v>
      </c>
      <c r="AJ264" s="39">
        <v>0</v>
      </c>
      <c r="AK264" s="39">
        <v>0</v>
      </c>
      <c r="AL264" s="39">
        <v>0</v>
      </c>
      <c r="AM264" s="39">
        <v>0</v>
      </c>
      <c r="AN264" s="39">
        <v>0.23598353909465022</v>
      </c>
      <c r="AO264" s="39">
        <v>0</v>
      </c>
      <c r="AP264" s="39">
        <v>0</v>
      </c>
      <c r="AQ264" s="39">
        <v>0</v>
      </c>
      <c r="AR264" s="39">
        <v>0</v>
      </c>
      <c r="AS264" s="39">
        <v>0</v>
      </c>
      <c r="AT264" s="39">
        <v>0</v>
      </c>
      <c r="AU264" s="39">
        <v>0</v>
      </c>
      <c r="AV264" s="39">
        <v>0</v>
      </c>
      <c r="AW264" s="39">
        <v>0</v>
      </c>
      <c r="AX264" s="39">
        <v>0</v>
      </c>
      <c r="AY264" s="39">
        <v>0</v>
      </c>
      <c r="AZ264" s="39">
        <v>0</v>
      </c>
      <c r="BA264" s="39">
        <v>0</v>
      </c>
      <c r="BB264" s="39">
        <v>0</v>
      </c>
      <c r="BC264" s="39">
        <v>0</v>
      </c>
    </row>
    <row r="265" spans="3:55" hidden="1" outlineLevel="1" x14ac:dyDescent="0.2">
      <c r="C265" s="162" t="str">
        <v>HLR</v>
      </c>
      <c r="D265" s="162" t="str">
        <v>Suscriptores</v>
      </c>
      <c r="E265" s="62">
        <f t="shared" si="54"/>
        <v>0</v>
      </c>
      <c r="F265" s="39">
        <f t="array" ref="F265:BC265">INDEX(RF.Option.Table,MATCH($D265,RF.Option.List,0),)</f>
        <v>0</v>
      </c>
      <c r="G265" s="39">
        <v>0</v>
      </c>
      <c r="H265" s="39">
        <v>0</v>
      </c>
      <c r="I265" s="39">
        <v>0</v>
      </c>
      <c r="J265" s="39">
        <v>0</v>
      </c>
      <c r="K265" s="39">
        <v>0</v>
      </c>
      <c r="L265" s="39">
        <v>0</v>
      </c>
      <c r="M265" s="39">
        <v>0</v>
      </c>
      <c r="N265" s="39">
        <v>0</v>
      </c>
      <c r="O265" s="39">
        <v>0</v>
      </c>
      <c r="P265" s="39">
        <v>0</v>
      </c>
      <c r="Q265" s="39">
        <v>0</v>
      </c>
      <c r="R265" s="39">
        <v>0</v>
      </c>
      <c r="S265" s="39">
        <v>0</v>
      </c>
      <c r="T265" s="39">
        <v>0</v>
      </c>
      <c r="U265" s="39">
        <v>0</v>
      </c>
      <c r="V265" s="39">
        <v>0</v>
      </c>
      <c r="W265" s="39">
        <v>0</v>
      </c>
      <c r="X265" s="39">
        <v>0</v>
      </c>
      <c r="Y265" s="39">
        <v>0</v>
      </c>
      <c r="Z265" s="39">
        <v>0</v>
      </c>
      <c r="AA265" s="39">
        <v>0</v>
      </c>
      <c r="AB265" s="39">
        <v>0</v>
      </c>
      <c r="AC265" s="39">
        <v>0</v>
      </c>
      <c r="AD265" s="39">
        <v>0</v>
      </c>
      <c r="AE265" s="39">
        <v>0</v>
      </c>
      <c r="AF265" s="39">
        <v>0</v>
      </c>
      <c r="AG265" s="39">
        <v>0</v>
      </c>
      <c r="AH265" s="39">
        <v>0</v>
      </c>
      <c r="AI265" s="39">
        <v>0</v>
      </c>
      <c r="AJ265" s="39">
        <v>0</v>
      </c>
      <c r="AK265" s="39">
        <v>0</v>
      </c>
      <c r="AL265" s="39">
        <v>0</v>
      </c>
      <c r="AM265" s="39">
        <v>0</v>
      </c>
      <c r="AN265" s="39">
        <v>0</v>
      </c>
      <c r="AO265" s="39">
        <v>0</v>
      </c>
      <c r="AP265" s="39">
        <v>1</v>
      </c>
      <c r="AQ265" s="39">
        <v>1</v>
      </c>
      <c r="AR265" s="39">
        <v>0</v>
      </c>
      <c r="AS265" s="39">
        <v>0</v>
      </c>
      <c r="AT265" s="39">
        <v>0</v>
      </c>
      <c r="AU265" s="39">
        <v>0</v>
      </c>
      <c r="AV265" s="39">
        <v>0</v>
      </c>
      <c r="AW265" s="39">
        <v>0</v>
      </c>
      <c r="AX265" s="39">
        <v>0</v>
      </c>
      <c r="AY265" s="39">
        <v>0</v>
      </c>
      <c r="AZ265" s="39">
        <v>0</v>
      </c>
      <c r="BA265" s="39">
        <v>0</v>
      </c>
      <c r="BB265" s="39">
        <v>0</v>
      </c>
      <c r="BC265" s="39">
        <v>0</v>
      </c>
    </row>
    <row r="266" spans="3:55" hidden="1" outlineLevel="1" x14ac:dyDescent="0.2">
      <c r="C266" s="162" t="str">
        <v>AUC</v>
      </c>
      <c r="D266" s="162" t="str">
        <v>Suscriptores</v>
      </c>
      <c r="E266" s="62">
        <f t="shared" si="54"/>
        <v>0</v>
      </c>
      <c r="F266" s="39">
        <f t="array" ref="F266:BC266">INDEX(RF.Option.Table,MATCH($D266,RF.Option.List,0),)</f>
        <v>0</v>
      </c>
      <c r="G266" s="39">
        <v>0</v>
      </c>
      <c r="H266" s="39">
        <v>0</v>
      </c>
      <c r="I266" s="39">
        <v>0</v>
      </c>
      <c r="J266" s="39">
        <v>0</v>
      </c>
      <c r="K266" s="39">
        <v>0</v>
      </c>
      <c r="L266" s="39">
        <v>0</v>
      </c>
      <c r="M266" s="39">
        <v>0</v>
      </c>
      <c r="N266" s="39">
        <v>0</v>
      </c>
      <c r="O266" s="39">
        <v>0</v>
      </c>
      <c r="P266" s="39">
        <v>0</v>
      </c>
      <c r="Q266" s="39">
        <v>0</v>
      </c>
      <c r="R266" s="39">
        <v>0</v>
      </c>
      <c r="S266" s="39">
        <v>0</v>
      </c>
      <c r="T266" s="39">
        <v>0</v>
      </c>
      <c r="U266" s="39">
        <v>0</v>
      </c>
      <c r="V266" s="39">
        <v>0</v>
      </c>
      <c r="W266" s="39">
        <v>0</v>
      </c>
      <c r="X266" s="39">
        <v>0</v>
      </c>
      <c r="Y266" s="39">
        <v>0</v>
      </c>
      <c r="Z266" s="39">
        <v>0</v>
      </c>
      <c r="AA266" s="39">
        <v>0</v>
      </c>
      <c r="AB266" s="39">
        <v>0</v>
      </c>
      <c r="AC266" s="39">
        <v>0</v>
      </c>
      <c r="AD266" s="39">
        <v>0</v>
      </c>
      <c r="AE266" s="39">
        <v>0</v>
      </c>
      <c r="AF266" s="39">
        <v>0</v>
      </c>
      <c r="AG266" s="39">
        <v>0</v>
      </c>
      <c r="AH266" s="39">
        <v>0</v>
      </c>
      <c r="AI266" s="39">
        <v>0</v>
      </c>
      <c r="AJ266" s="39">
        <v>0</v>
      </c>
      <c r="AK266" s="39">
        <v>0</v>
      </c>
      <c r="AL266" s="39">
        <v>0</v>
      </c>
      <c r="AM266" s="39">
        <v>0</v>
      </c>
      <c r="AN266" s="39">
        <v>0</v>
      </c>
      <c r="AO266" s="39">
        <v>0</v>
      </c>
      <c r="AP266" s="39">
        <v>1</v>
      </c>
      <c r="AQ266" s="39">
        <v>1</v>
      </c>
      <c r="AR266" s="39">
        <v>0</v>
      </c>
      <c r="AS266" s="39">
        <v>0</v>
      </c>
      <c r="AT266" s="39">
        <v>0</v>
      </c>
      <c r="AU266" s="39">
        <v>0</v>
      </c>
      <c r="AV266" s="39">
        <v>0</v>
      </c>
      <c r="AW266" s="39">
        <v>0</v>
      </c>
      <c r="AX266" s="39">
        <v>0</v>
      </c>
      <c r="AY266" s="39">
        <v>0</v>
      </c>
      <c r="AZ266" s="39">
        <v>0</v>
      </c>
      <c r="BA266" s="39">
        <v>0</v>
      </c>
      <c r="BB266" s="39">
        <v>0</v>
      </c>
      <c r="BC266" s="39">
        <v>0</v>
      </c>
    </row>
    <row r="267" spans="3:55" hidden="1" outlineLevel="1" x14ac:dyDescent="0.2">
      <c r="C267" s="162" t="str">
        <v>EIR</v>
      </c>
      <c r="D267" s="162" t="str">
        <v>Suscriptores</v>
      </c>
      <c r="E267" s="62">
        <f t="shared" si="54"/>
        <v>0</v>
      </c>
      <c r="F267" s="39">
        <f t="array" ref="F267:BC267">INDEX(RF.Option.Table,MATCH($D267,RF.Option.List,0),)</f>
        <v>0</v>
      </c>
      <c r="G267" s="39">
        <v>0</v>
      </c>
      <c r="H267" s="39">
        <v>0</v>
      </c>
      <c r="I267" s="39">
        <v>0</v>
      </c>
      <c r="J267" s="39">
        <v>0</v>
      </c>
      <c r="K267" s="39">
        <v>0</v>
      </c>
      <c r="L267" s="39">
        <v>0</v>
      </c>
      <c r="M267" s="39">
        <v>0</v>
      </c>
      <c r="N267" s="39">
        <v>0</v>
      </c>
      <c r="O267" s="39">
        <v>0</v>
      </c>
      <c r="P267" s="39">
        <v>0</v>
      </c>
      <c r="Q267" s="39">
        <v>0</v>
      </c>
      <c r="R267" s="39">
        <v>0</v>
      </c>
      <c r="S267" s="39">
        <v>0</v>
      </c>
      <c r="T267" s="39">
        <v>0</v>
      </c>
      <c r="U267" s="39">
        <v>0</v>
      </c>
      <c r="V267" s="39">
        <v>0</v>
      </c>
      <c r="W267" s="39">
        <v>0</v>
      </c>
      <c r="X267" s="39">
        <v>0</v>
      </c>
      <c r="Y267" s="39">
        <v>0</v>
      </c>
      <c r="Z267" s="39">
        <v>0</v>
      </c>
      <c r="AA267" s="39">
        <v>0</v>
      </c>
      <c r="AB267" s="39">
        <v>0</v>
      </c>
      <c r="AC267" s="39">
        <v>0</v>
      </c>
      <c r="AD267" s="39">
        <v>0</v>
      </c>
      <c r="AE267" s="39">
        <v>0</v>
      </c>
      <c r="AF267" s="39">
        <v>0</v>
      </c>
      <c r="AG267" s="39">
        <v>0</v>
      </c>
      <c r="AH267" s="39">
        <v>0</v>
      </c>
      <c r="AI267" s="39">
        <v>0</v>
      </c>
      <c r="AJ267" s="39">
        <v>0</v>
      </c>
      <c r="AK267" s="39">
        <v>0</v>
      </c>
      <c r="AL267" s="39">
        <v>0</v>
      </c>
      <c r="AM267" s="39">
        <v>0</v>
      </c>
      <c r="AN267" s="39">
        <v>0</v>
      </c>
      <c r="AO267" s="39">
        <v>0</v>
      </c>
      <c r="AP267" s="39">
        <v>1</v>
      </c>
      <c r="AQ267" s="39">
        <v>1</v>
      </c>
      <c r="AR267" s="39">
        <v>0</v>
      </c>
      <c r="AS267" s="39">
        <v>0</v>
      </c>
      <c r="AT267" s="39">
        <v>0</v>
      </c>
      <c r="AU267" s="39">
        <v>0</v>
      </c>
      <c r="AV267" s="39">
        <v>0</v>
      </c>
      <c r="AW267" s="39">
        <v>0</v>
      </c>
      <c r="AX267" s="39">
        <v>0</v>
      </c>
      <c r="AY267" s="39">
        <v>0</v>
      </c>
      <c r="AZ267" s="39">
        <v>0</v>
      </c>
      <c r="BA267" s="39">
        <v>0</v>
      </c>
      <c r="BB267" s="39">
        <v>0</v>
      </c>
      <c r="BC267" s="39">
        <v>0</v>
      </c>
    </row>
    <row r="268" spans="3:55" hidden="1" outlineLevel="1" x14ac:dyDescent="0.2">
      <c r="C268" s="162" t="str">
        <v>IN (SCP+SMP)</v>
      </c>
      <c r="D268" s="162" t="str">
        <v>Eventos de originación y terminación de llamadas y SMS</v>
      </c>
      <c r="E268" s="62">
        <f t="shared" si="54"/>
        <v>0</v>
      </c>
      <c r="F268" s="39">
        <f t="array" ref="F268:BC268">INDEX(RF.Option.Table,MATCH($D268,RF.Option.List,0),)</f>
        <v>2</v>
      </c>
      <c r="G268" s="39">
        <v>1</v>
      </c>
      <c r="H268" s="39">
        <v>1</v>
      </c>
      <c r="I268" s="39">
        <v>1</v>
      </c>
      <c r="J268" s="39">
        <v>1</v>
      </c>
      <c r="K268" s="39">
        <v>1</v>
      </c>
      <c r="L268" s="39">
        <v>1</v>
      </c>
      <c r="M268" s="39">
        <v>2</v>
      </c>
      <c r="N268" s="39">
        <v>1</v>
      </c>
      <c r="O268" s="39">
        <v>1</v>
      </c>
      <c r="P268" s="39">
        <v>1</v>
      </c>
      <c r="Q268" s="39">
        <v>1</v>
      </c>
      <c r="R268" s="39">
        <v>1</v>
      </c>
      <c r="S268" s="39">
        <v>1</v>
      </c>
      <c r="T268" s="39">
        <v>2</v>
      </c>
      <c r="U268" s="39">
        <v>1</v>
      </c>
      <c r="V268" s="39">
        <v>1</v>
      </c>
      <c r="W268" s="39">
        <v>1</v>
      </c>
      <c r="X268" s="39">
        <v>1</v>
      </c>
      <c r="Y268" s="39">
        <v>1</v>
      </c>
      <c r="Z268" s="39">
        <v>1</v>
      </c>
      <c r="AA268" s="39">
        <v>0</v>
      </c>
      <c r="AB268" s="39">
        <v>0</v>
      </c>
      <c r="AC268" s="39">
        <v>0</v>
      </c>
      <c r="AD268" s="39">
        <v>0</v>
      </c>
      <c r="AE268" s="39">
        <v>0</v>
      </c>
      <c r="AF268" s="39">
        <v>0</v>
      </c>
      <c r="AG268" s="39">
        <v>0</v>
      </c>
      <c r="AH268" s="39">
        <v>0</v>
      </c>
      <c r="AI268" s="39">
        <v>0</v>
      </c>
      <c r="AJ268" s="39">
        <v>0</v>
      </c>
      <c r="AK268" s="39">
        <v>0</v>
      </c>
      <c r="AL268" s="39">
        <v>0</v>
      </c>
      <c r="AM268" s="39">
        <v>0</v>
      </c>
      <c r="AN268" s="39">
        <v>0</v>
      </c>
      <c r="AO268" s="39">
        <v>0</v>
      </c>
      <c r="AP268" s="39">
        <v>0</v>
      </c>
      <c r="AQ268" s="39">
        <v>0</v>
      </c>
      <c r="AR268" s="39">
        <v>0</v>
      </c>
      <c r="AS268" s="39">
        <v>0</v>
      </c>
      <c r="AT268" s="39">
        <v>0</v>
      </c>
      <c r="AU268" s="39">
        <v>0</v>
      </c>
      <c r="AV268" s="39">
        <v>0</v>
      </c>
      <c r="AW268" s="39">
        <v>0</v>
      </c>
      <c r="AX268" s="39">
        <v>0</v>
      </c>
      <c r="AY268" s="39">
        <v>0</v>
      </c>
      <c r="AZ268" s="39">
        <v>0</v>
      </c>
      <c r="BA268" s="39">
        <v>0</v>
      </c>
      <c r="BB268" s="39">
        <v>0</v>
      </c>
      <c r="BC268" s="39">
        <v>0</v>
      </c>
    </row>
    <row r="269" spans="3:55" hidden="1" outlineLevel="1" x14ac:dyDescent="0.2">
      <c r="C269" s="162" t="str">
        <v>Asset spare</v>
      </c>
      <c r="D269" s="162" t="str">
        <v>Spare</v>
      </c>
      <c r="E269" s="62">
        <f t="shared" si="54"/>
        <v>0</v>
      </c>
      <c r="F269" s="39">
        <f t="array" ref="F269:BC269">INDEX(RF.Option.Table,MATCH($D269,RF.Option.List,0),)</f>
        <v>0</v>
      </c>
      <c r="G269" s="39">
        <v>0</v>
      </c>
      <c r="H269" s="39">
        <v>0</v>
      </c>
      <c r="I269" s="39">
        <v>0</v>
      </c>
      <c r="J269" s="39">
        <v>0</v>
      </c>
      <c r="K269" s="39">
        <v>0</v>
      </c>
      <c r="L269" s="39">
        <v>0</v>
      </c>
      <c r="M269" s="39">
        <v>0</v>
      </c>
      <c r="N269" s="39">
        <v>0</v>
      </c>
      <c r="O269" s="39">
        <v>0</v>
      </c>
      <c r="P269" s="39">
        <v>0</v>
      </c>
      <c r="Q269" s="39">
        <v>0</v>
      </c>
      <c r="R269" s="39">
        <v>0</v>
      </c>
      <c r="S269" s="39">
        <v>0</v>
      </c>
      <c r="T269" s="39">
        <v>0</v>
      </c>
      <c r="U269" s="39">
        <v>0</v>
      </c>
      <c r="V269" s="39">
        <v>0</v>
      </c>
      <c r="W269" s="39">
        <v>0</v>
      </c>
      <c r="X269" s="39">
        <v>0</v>
      </c>
      <c r="Y269" s="39">
        <v>0</v>
      </c>
      <c r="Z269" s="39">
        <v>0</v>
      </c>
      <c r="AA269" s="39">
        <v>0</v>
      </c>
      <c r="AB269" s="39">
        <v>0</v>
      </c>
      <c r="AC269" s="39">
        <v>0</v>
      </c>
      <c r="AD269" s="39">
        <v>0</v>
      </c>
      <c r="AE269" s="39">
        <v>0</v>
      </c>
      <c r="AF269" s="39">
        <v>0</v>
      </c>
      <c r="AG269" s="39">
        <v>0</v>
      </c>
      <c r="AH269" s="39">
        <v>0</v>
      </c>
      <c r="AI269" s="39">
        <v>0</v>
      </c>
      <c r="AJ269" s="39">
        <v>0</v>
      </c>
      <c r="AK269" s="39">
        <v>0</v>
      </c>
      <c r="AL269" s="39">
        <v>0</v>
      </c>
      <c r="AM269" s="39">
        <v>0</v>
      </c>
      <c r="AN269" s="39">
        <v>0</v>
      </c>
      <c r="AO269" s="39">
        <v>0</v>
      </c>
      <c r="AP269" s="39">
        <v>0</v>
      </c>
      <c r="AQ269" s="39">
        <v>0</v>
      </c>
      <c r="AR269" s="39">
        <v>0</v>
      </c>
      <c r="AS269" s="39">
        <v>0</v>
      </c>
      <c r="AT269" s="39">
        <v>0</v>
      </c>
      <c r="AU269" s="39">
        <v>0</v>
      </c>
      <c r="AV269" s="39">
        <v>0</v>
      </c>
      <c r="AW269" s="39">
        <v>0</v>
      </c>
      <c r="AX269" s="39">
        <v>0</v>
      </c>
      <c r="AY269" s="39">
        <v>0</v>
      </c>
      <c r="AZ269" s="39">
        <v>0</v>
      </c>
      <c r="BA269" s="39">
        <v>0</v>
      </c>
      <c r="BB269" s="39">
        <v>0</v>
      </c>
      <c r="BC269" s="39">
        <v>0</v>
      </c>
    </row>
    <row r="270" spans="3:55" hidden="1" outlineLevel="1" x14ac:dyDescent="0.2">
      <c r="C270" s="162" t="str">
        <v>Asset spare</v>
      </c>
      <c r="D270" s="162" t="str">
        <v>Spare</v>
      </c>
      <c r="E270" s="62">
        <f t="shared" si="54"/>
        <v>0</v>
      </c>
      <c r="F270" s="39">
        <f t="array" ref="F270:BC270">INDEX(RF.Option.Table,MATCH($D270,RF.Option.List,0),)</f>
        <v>0</v>
      </c>
      <c r="G270" s="39">
        <v>0</v>
      </c>
      <c r="H270" s="39">
        <v>0</v>
      </c>
      <c r="I270" s="39">
        <v>0</v>
      </c>
      <c r="J270" s="39">
        <v>0</v>
      </c>
      <c r="K270" s="39">
        <v>0</v>
      </c>
      <c r="L270" s="39">
        <v>0</v>
      </c>
      <c r="M270" s="39">
        <v>0</v>
      </c>
      <c r="N270" s="39">
        <v>0</v>
      </c>
      <c r="O270" s="39">
        <v>0</v>
      </c>
      <c r="P270" s="39">
        <v>0</v>
      </c>
      <c r="Q270" s="39">
        <v>0</v>
      </c>
      <c r="R270" s="39">
        <v>0</v>
      </c>
      <c r="S270" s="39">
        <v>0</v>
      </c>
      <c r="T270" s="39">
        <v>0</v>
      </c>
      <c r="U270" s="39">
        <v>0</v>
      </c>
      <c r="V270" s="39">
        <v>0</v>
      </c>
      <c r="W270" s="39">
        <v>0</v>
      </c>
      <c r="X270" s="39">
        <v>0</v>
      </c>
      <c r="Y270" s="39">
        <v>0</v>
      </c>
      <c r="Z270" s="39">
        <v>0</v>
      </c>
      <c r="AA270" s="39">
        <v>0</v>
      </c>
      <c r="AB270" s="39">
        <v>0</v>
      </c>
      <c r="AC270" s="39">
        <v>0</v>
      </c>
      <c r="AD270" s="39">
        <v>0</v>
      </c>
      <c r="AE270" s="39">
        <v>0</v>
      </c>
      <c r="AF270" s="39">
        <v>0</v>
      </c>
      <c r="AG270" s="39">
        <v>0</v>
      </c>
      <c r="AH270" s="39">
        <v>0</v>
      </c>
      <c r="AI270" s="39">
        <v>0</v>
      </c>
      <c r="AJ270" s="39">
        <v>0</v>
      </c>
      <c r="AK270" s="39">
        <v>0</v>
      </c>
      <c r="AL270" s="39">
        <v>0</v>
      </c>
      <c r="AM270" s="39">
        <v>0</v>
      </c>
      <c r="AN270" s="39">
        <v>0</v>
      </c>
      <c r="AO270" s="39">
        <v>0</v>
      </c>
      <c r="AP270" s="39">
        <v>0</v>
      </c>
      <c r="AQ270" s="39">
        <v>0</v>
      </c>
      <c r="AR270" s="39">
        <v>0</v>
      </c>
      <c r="AS270" s="39">
        <v>0</v>
      </c>
      <c r="AT270" s="39">
        <v>0</v>
      </c>
      <c r="AU270" s="39">
        <v>0</v>
      </c>
      <c r="AV270" s="39">
        <v>0</v>
      </c>
      <c r="AW270" s="39">
        <v>0</v>
      </c>
      <c r="AX270" s="39">
        <v>0</v>
      </c>
      <c r="AY270" s="39">
        <v>0</v>
      </c>
      <c r="AZ270" s="39">
        <v>0</v>
      </c>
      <c r="BA270" s="39">
        <v>0</v>
      </c>
      <c r="BB270" s="39">
        <v>0</v>
      </c>
      <c r="BC270" s="39">
        <v>0</v>
      </c>
    </row>
    <row r="271" spans="3:55" hidden="1" outlineLevel="1" x14ac:dyDescent="0.2">
      <c r="C271" s="162" t="str">
        <v>SMSC</v>
      </c>
      <c r="D271" s="162" t="str">
        <v>SMS originado</v>
      </c>
      <c r="E271" s="62">
        <f t="shared" si="54"/>
        <v>0</v>
      </c>
      <c r="F271" s="39">
        <f t="array" ref="F271:BC271">INDEX(RF.Option.Table,MATCH($D271,RF.Option.List,0),)</f>
        <v>0</v>
      </c>
      <c r="G271" s="39">
        <v>0</v>
      </c>
      <c r="H271" s="39">
        <v>0</v>
      </c>
      <c r="I271" s="39">
        <v>0</v>
      </c>
      <c r="J271" s="39">
        <v>0</v>
      </c>
      <c r="K271" s="39">
        <v>0</v>
      </c>
      <c r="L271" s="39">
        <v>0</v>
      </c>
      <c r="M271" s="39">
        <v>0</v>
      </c>
      <c r="N271" s="39">
        <v>0</v>
      </c>
      <c r="O271" s="39">
        <v>0</v>
      </c>
      <c r="P271" s="39">
        <v>0</v>
      </c>
      <c r="Q271" s="39">
        <v>0</v>
      </c>
      <c r="R271" s="39">
        <v>0</v>
      </c>
      <c r="S271" s="39">
        <v>0</v>
      </c>
      <c r="T271" s="39">
        <v>0</v>
      </c>
      <c r="U271" s="39">
        <v>0</v>
      </c>
      <c r="V271" s="39">
        <v>0</v>
      </c>
      <c r="W271" s="39">
        <v>0</v>
      </c>
      <c r="X271" s="39">
        <v>0</v>
      </c>
      <c r="Y271" s="39">
        <v>0</v>
      </c>
      <c r="Z271" s="39">
        <v>0</v>
      </c>
      <c r="AA271" s="39">
        <v>1</v>
      </c>
      <c r="AB271" s="39">
        <v>1</v>
      </c>
      <c r="AC271" s="39">
        <v>0</v>
      </c>
      <c r="AD271" s="39">
        <v>1</v>
      </c>
      <c r="AE271" s="39">
        <v>1</v>
      </c>
      <c r="AF271" s="39">
        <v>0</v>
      </c>
      <c r="AG271" s="39">
        <v>1</v>
      </c>
      <c r="AH271" s="39">
        <v>1</v>
      </c>
      <c r="AI271" s="39">
        <v>0</v>
      </c>
      <c r="AJ271" s="39">
        <v>0</v>
      </c>
      <c r="AK271" s="39">
        <v>0</v>
      </c>
      <c r="AL271" s="39">
        <v>0</v>
      </c>
      <c r="AM271" s="39">
        <v>0</v>
      </c>
      <c r="AN271" s="39">
        <v>0</v>
      </c>
      <c r="AO271" s="39">
        <v>0</v>
      </c>
      <c r="AP271" s="39">
        <v>0</v>
      </c>
      <c r="AQ271" s="39">
        <v>0</v>
      </c>
      <c r="AR271" s="39">
        <v>0</v>
      </c>
      <c r="AS271" s="39">
        <v>0</v>
      </c>
      <c r="AT271" s="39">
        <v>0</v>
      </c>
      <c r="AU271" s="39">
        <v>0</v>
      </c>
      <c r="AV271" s="39">
        <v>0</v>
      </c>
      <c r="AW271" s="39">
        <v>0</v>
      </c>
      <c r="AX271" s="39">
        <v>0</v>
      </c>
      <c r="AY271" s="39">
        <v>0</v>
      </c>
      <c r="AZ271" s="39">
        <v>0</v>
      </c>
      <c r="BA271" s="39">
        <v>0</v>
      </c>
      <c r="BB271" s="39">
        <v>0</v>
      </c>
      <c r="BC271" s="39">
        <v>0</v>
      </c>
    </row>
    <row r="272" spans="3:55" hidden="1" outlineLevel="1" x14ac:dyDescent="0.2">
      <c r="C272" s="162" t="str">
        <v>MMSC</v>
      </c>
      <c r="D272" s="162" t="str">
        <v>SMS originado</v>
      </c>
      <c r="E272" s="62">
        <f t="shared" si="54"/>
        <v>0</v>
      </c>
      <c r="F272" s="39">
        <f t="array" ref="F272:BC272">INDEX(RF.Option.Table,MATCH($D272,RF.Option.List,0),)</f>
        <v>0</v>
      </c>
      <c r="G272" s="39">
        <v>0</v>
      </c>
      <c r="H272" s="39">
        <v>0</v>
      </c>
      <c r="I272" s="39">
        <v>0</v>
      </c>
      <c r="J272" s="39">
        <v>0</v>
      </c>
      <c r="K272" s="39">
        <v>0</v>
      </c>
      <c r="L272" s="39">
        <v>0</v>
      </c>
      <c r="M272" s="39">
        <v>0</v>
      </c>
      <c r="N272" s="39">
        <v>0</v>
      </c>
      <c r="O272" s="39">
        <v>0</v>
      </c>
      <c r="P272" s="39">
        <v>0</v>
      </c>
      <c r="Q272" s="39">
        <v>0</v>
      </c>
      <c r="R272" s="39">
        <v>0</v>
      </c>
      <c r="S272" s="39">
        <v>0</v>
      </c>
      <c r="T272" s="39">
        <v>0</v>
      </c>
      <c r="U272" s="39">
        <v>0</v>
      </c>
      <c r="V272" s="39">
        <v>0</v>
      </c>
      <c r="W272" s="39">
        <v>0</v>
      </c>
      <c r="X272" s="39">
        <v>0</v>
      </c>
      <c r="Y272" s="39">
        <v>0</v>
      </c>
      <c r="Z272" s="39">
        <v>0</v>
      </c>
      <c r="AA272" s="39">
        <v>1</v>
      </c>
      <c r="AB272" s="39">
        <v>1</v>
      </c>
      <c r="AC272" s="39">
        <v>0</v>
      </c>
      <c r="AD272" s="39">
        <v>1</v>
      </c>
      <c r="AE272" s="39">
        <v>1</v>
      </c>
      <c r="AF272" s="39">
        <v>0</v>
      </c>
      <c r="AG272" s="39">
        <v>1</v>
      </c>
      <c r="AH272" s="39">
        <v>1</v>
      </c>
      <c r="AI272" s="39">
        <v>0</v>
      </c>
      <c r="AJ272" s="39">
        <v>0</v>
      </c>
      <c r="AK272" s="39">
        <v>0</v>
      </c>
      <c r="AL272" s="39">
        <v>0</v>
      </c>
      <c r="AM272" s="39">
        <v>0</v>
      </c>
      <c r="AN272" s="39">
        <v>0</v>
      </c>
      <c r="AO272" s="39">
        <v>0</v>
      </c>
      <c r="AP272" s="39">
        <v>0</v>
      </c>
      <c r="AQ272" s="39">
        <v>0</v>
      </c>
      <c r="AR272" s="39">
        <v>0</v>
      </c>
      <c r="AS272" s="39">
        <v>0</v>
      </c>
      <c r="AT272" s="39">
        <v>0</v>
      </c>
      <c r="AU272" s="39">
        <v>0</v>
      </c>
      <c r="AV272" s="39">
        <v>0</v>
      </c>
      <c r="AW272" s="39">
        <v>0</v>
      </c>
      <c r="AX272" s="39">
        <v>0</v>
      </c>
      <c r="AY272" s="39">
        <v>0</v>
      </c>
      <c r="AZ272" s="39">
        <v>0</v>
      </c>
      <c r="BA272" s="39">
        <v>0</v>
      </c>
      <c r="BB272" s="39">
        <v>0</v>
      </c>
      <c r="BC272" s="39">
        <v>0</v>
      </c>
    </row>
    <row r="273" spans="3:55" hidden="1" outlineLevel="1" x14ac:dyDescent="0.2">
      <c r="C273" s="162" t="str">
        <v>Asset spare</v>
      </c>
      <c r="D273" s="162" t="str">
        <v>Spare</v>
      </c>
      <c r="E273" s="62">
        <f t="shared" si="54"/>
        <v>0</v>
      </c>
      <c r="F273" s="39">
        <f t="array" ref="F273:BC273">INDEX(RF.Option.Table,MATCH($D273,RF.Option.List,0),)</f>
        <v>0</v>
      </c>
      <c r="G273" s="39">
        <v>0</v>
      </c>
      <c r="H273" s="39">
        <v>0</v>
      </c>
      <c r="I273" s="39">
        <v>0</v>
      </c>
      <c r="J273" s="39">
        <v>0</v>
      </c>
      <c r="K273" s="39">
        <v>0</v>
      </c>
      <c r="L273" s="39">
        <v>0</v>
      </c>
      <c r="M273" s="39">
        <v>0</v>
      </c>
      <c r="N273" s="39">
        <v>0</v>
      </c>
      <c r="O273" s="39">
        <v>0</v>
      </c>
      <c r="P273" s="39">
        <v>0</v>
      </c>
      <c r="Q273" s="39">
        <v>0</v>
      </c>
      <c r="R273" s="39">
        <v>0</v>
      </c>
      <c r="S273" s="39">
        <v>0</v>
      </c>
      <c r="T273" s="39">
        <v>0</v>
      </c>
      <c r="U273" s="39">
        <v>0</v>
      </c>
      <c r="V273" s="39">
        <v>0</v>
      </c>
      <c r="W273" s="39">
        <v>0</v>
      </c>
      <c r="X273" s="39">
        <v>0</v>
      </c>
      <c r="Y273" s="39">
        <v>0</v>
      </c>
      <c r="Z273" s="39">
        <v>0</v>
      </c>
      <c r="AA273" s="39">
        <v>0</v>
      </c>
      <c r="AB273" s="39">
        <v>0</v>
      </c>
      <c r="AC273" s="39">
        <v>0</v>
      </c>
      <c r="AD273" s="39">
        <v>0</v>
      </c>
      <c r="AE273" s="39">
        <v>0</v>
      </c>
      <c r="AF273" s="39">
        <v>0</v>
      </c>
      <c r="AG273" s="39">
        <v>0</v>
      </c>
      <c r="AH273" s="39">
        <v>0</v>
      </c>
      <c r="AI273" s="39">
        <v>0</v>
      </c>
      <c r="AJ273" s="39">
        <v>0</v>
      </c>
      <c r="AK273" s="39">
        <v>0</v>
      </c>
      <c r="AL273" s="39">
        <v>0</v>
      </c>
      <c r="AM273" s="39">
        <v>0</v>
      </c>
      <c r="AN273" s="39">
        <v>0</v>
      </c>
      <c r="AO273" s="39">
        <v>0</v>
      </c>
      <c r="AP273" s="39">
        <v>0</v>
      </c>
      <c r="AQ273" s="39">
        <v>0</v>
      </c>
      <c r="AR273" s="39">
        <v>0</v>
      </c>
      <c r="AS273" s="39">
        <v>0</v>
      </c>
      <c r="AT273" s="39">
        <v>0</v>
      </c>
      <c r="AU273" s="39">
        <v>0</v>
      </c>
      <c r="AV273" s="39">
        <v>0</v>
      </c>
      <c r="AW273" s="39">
        <v>0</v>
      </c>
      <c r="AX273" s="39">
        <v>0</v>
      </c>
      <c r="AY273" s="39">
        <v>0</v>
      </c>
      <c r="AZ273" s="39">
        <v>0</v>
      </c>
      <c r="BA273" s="39">
        <v>0</v>
      </c>
      <c r="BB273" s="39">
        <v>0</v>
      </c>
      <c r="BC273" s="39">
        <v>0</v>
      </c>
    </row>
    <row r="274" spans="3:55" hidden="1" outlineLevel="1" x14ac:dyDescent="0.2">
      <c r="C274" s="162" t="str">
        <v>MSC/MGW STM1 ports for voice traffic</v>
      </c>
      <c r="D274" s="162" t="str">
        <v>Minutos de voz</v>
      </c>
      <c r="E274" s="62">
        <f t="shared" si="54"/>
        <v>0</v>
      </c>
      <c r="F274" s="39">
        <f t="array" ref="F274:BC274">INDEX(RF.Option.Table,MATCH($D274,RF.Option.List,0),)</f>
        <v>1</v>
      </c>
      <c r="G274" s="39">
        <v>1</v>
      </c>
      <c r="H274" s="39">
        <v>1</v>
      </c>
      <c r="I274" s="39">
        <v>1</v>
      </c>
      <c r="J274" s="39">
        <v>1</v>
      </c>
      <c r="K274" s="39">
        <v>1</v>
      </c>
      <c r="L274" s="39">
        <v>1</v>
      </c>
      <c r="M274" s="39">
        <v>1</v>
      </c>
      <c r="N274" s="39">
        <v>1</v>
      </c>
      <c r="O274" s="39">
        <v>1</v>
      </c>
      <c r="P274" s="39">
        <v>1</v>
      </c>
      <c r="Q274" s="39">
        <v>1</v>
      </c>
      <c r="R274" s="39">
        <v>1</v>
      </c>
      <c r="S274" s="39">
        <v>1</v>
      </c>
      <c r="T274" s="39">
        <v>1</v>
      </c>
      <c r="U274" s="39">
        <v>1</v>
      </c>
      <c r="V274" s="39">
        <v>1</v>
      </c>
      <c r="W274" s="39">
        <v>1</v>
      </c>
      <c r="X274" s="39">
        <v>1</v>
      </c>
      <c r="Y274" s="39">
        <v>1</v>
      </c>
      <c r="Z274" s="39">
        <v>1</v>
      </c>
      <c r="AA274" s="39">
        <v>0</v>
      </c>
      <c r="AB274" s="39">
        <v>0</v>
      </c>
      <c r="AC274" s="39">
        <v>0</v>
      </c>
      <c r="AD274" s="39">
        <v>0</v>
      </c>
      <c r="AE274" s="39">
        <v>0</v>
      </c>
      <c r="AF274" s="39">
        <v>0</v>
      </c>
      <c r="AG274" s="39">
        <v>0</v>
      </c>
      <c r="AH274" s="39">
        <v>0</v>
      </c>
      <c r="AI274" s="39">
        <v>0</v>
      </c>
      <c r="AJ274" s="39">
        <v>0</v>
      </c>
      <c r="AK274" s="39">
        <v>0</v>
      </c>
      <c r="AL274" s="39">
        <v>0</v>
      </c>
      <c r="AM274" s="39">
        <v>0</v>
      </c>
      <c r="AN274" s="39">
        <v>0</v>
      </c>
      <c r="AO274" s="39">
        <v>0</v>
      </c>
      <c r="AP274" s="39">
        <v>0</v>
      </c>
      <c r="AQ274" s="39">
        <v>0</v>
      </c>
      <c r="AR274" s="39">
        <v>0</v>
      </c>
      <c r="AS274" s="39">
        <v>0</v>
      </c>
      <c r="AT274" s="39">
        <v>0</v>
      </c>
      <c r="AU274" s="39">
        <v>0</v>
      </c>
      <c r="AV274" s="39">
        <v>0</v>
      </c>
      <c r="AW274" s="39">
        <v>0</v>
      </c>
      <c r="AX274" s="39">
        <v>0</v>
      </c>
      <c r="AY274" s="39">
        <v>0</v>
      </c>
      <c r="AZ274" s="39">
        <v>0</v>
      </c>
      <c r="BA274" s="39">
        <v>0</v>
      </c>
      <c r="BB274" s="39">
        <v>0</v>
      </c>
      <c r="BC274" s="39">
        <v>0</v>
      </c>
    </row>
    <row r="275" spans="3:55" hidden="1" outlineLevel="1" x14ac:dyDescent="0.2">
      <c r="C275" s="162" t="str">
        <v>PoI STM1 Gateway</v>
      </c>
      <c r="D275" s="162" t="str">
        <v>Tráfico de interconexión</v>
      </c>
      <c r="E275" s="62">
        <f t="shared" si="54"/>
        <v>0</v>
      </c>
      <c r="F275" s="39">
        <f t="array" ref="F275:BC275">INDEX(RF.Option.Table,MATCH($D275,RF.Option.List,0),)</f>
        <v>0</v>
      </c>
      <c r="G275" s="39">
        <v>1</v>
      </c>
      <c r="H275" s="39">
        <v>1</v>
      </c>
      <c r="I275" s="39">
        <v>1</v>
      </c>
      <c r="J275" s="39">
        <v>1</v>
      </c>
      <c r="K275" s="39">
        <v>1</v>
      </c>
      <c r="L275" s="39">
        <v>1</v>
      </c>
      <c r="M275" s="39">
        <v>0</v>
      </c>
      <c r="N275" s="39">
        <v>1</v>
      </c>
      <c r="O275" s="39">
        <v>1</v>
      </c>
      <c r="P275" s="39">
        <v>1</v>
      </c>
      <c r="Q275" s="39">
        <v>1</v>
      </c>
      <c r="R275" s="39">
        <v>1</v>
      </c>
      <c r="S275" s="39">
        <v>1</v>
      </c>
      <c r="T275" s="39">
        <v>0</v>
      </c>
      <c r="U275" s="39">
        <v>1</v>
      </c>
      <c r="V275" s="39">
        <v>1</v>
      </c>
      <c r="W275" s="39">
        <v>1</v>
      </c>
      <c r="X275" s="39">
        <v>1</v>
      </c>
      <c r="Y275" s="39">
        <v>1</v>
      </c>
      <c r="Z275" s="39">
        <v>1</v>
      </c>
      <c r="AA275" s="39">
        <v>0</v>
      </c>
      <c r="AB275" s="39">
        <v>0</v>
      </c>
      <c r="AC275" s="39">
        <v>0</v>
      </c>
      <c r="AD275" s="39">
        <v>0</v>
      </c>
      <c r="AE275" s="39">
        <v>0</v>
      </c>
      <c r="AF275" s="39">
        <v>0</v>
      </c>
      <c r="AG275" s="39">
        <v>0</v>
      </c>
      <c r="AH275" s="39">
        <v>0</v>
      </c>
      <c r="AI275" s="39">
        <v>0</v>
      </c>
      <c r="AJ275" s="39">
        <v>0</v>
      </c>
      <c r="AK275" s="39">
        <v>0</v>
      </c>
      <c r="AL275" s="39">
        <v>0</v>
      </c>
      <c r="AM275" s="39">
        <v>0</v>
      </c>
      <c r="AN275" s="39">
        <v>0</v>
      </c>
      <c r="AO275" s="39">
        <v>0</v>
      </c>
      <c r="AP275" s="39">
        <v>0</v>
      </c>
      <c r="AQ275" s="39">
        <v>0</v>
      </c>
      <c r="AR275" s="39">
        <v>0</v>
      </c>
      <c r="AS275" s="39">
        <v>0</v>
      </c>
      <c r="AT275" s="39">
        <v>0</v>
      </c>
      <c r="AU275" s="39">
        <v>0</v>
      </c>
      <c r="AV275" s="39">
        <v>0</v>
      </c>
      <c r="AW275" s="39">
        <v>0</v>
      </c>
      <c r="AX275" s="39">
        <v>0</v>
      </c>
      <c r="AY275" s="39">
        <v>0</v>
      </c>
      <c r="AZ275" s="39">
        <v>0</v>
      </c>
      <c r="BA275" s="39">
        <v>0</v>
      </c>
      <c r="BB275" s="39">
        <v>0</v>
      </c>
      <c r="BC275" s="39">
        <v>0</v>
      </c>
    </row>
    <row r="276" spans="3:55" hidden="1" outlineLevel="1" x14ac:dyDescent="0.2">
      <c r="C276" s="162" t="str">
        <v>I-SBC</v>
      </c>
      <c r="D276" s="162" t="str">
        <v>Tráfico de interconexión</v>
      </c>
      <c r="E276" s="62">
        <f t="shared" si="54"/>
        <v>0</v>
      </c>
      <c r="F276" s="39">
        <f t="array" ref="F276:BC276">INDEX(RF.Option.Table,MATCH($D276,RF.Option.List,0),)</f>
        <v>0</v>
      </c>
      <c r="G276" s="39">
        <v>1</v>
      </c>
      <c r="H276" s="39">
        <v>1</v>
      </c>
      <c r="I276" s="39">
        <v>1</v>
      </c>
      <c r="J276" s="39">
        <v>1</v>
      </c>
      <c r="K276" s="39">
        <v>1</v>
      </c>
      <c r="L276" s="39">
        <v>1</v>
      </c>
      <c r="M276" s="39">
        <v>0</v>
      </c>
      <c r="N276" s="39">
        <v>1</v>
      </c>
      <c r="O276" s="39">
        <v>1</v>
      </c>
      <c r="P276" s="39">
        <v>1</v>
      </c>
      <c r="Q276" s="39">
        <v>1</v>
      </c>
      <c r="R276" s="39">
        <v>1</v>
      </c>
      <c r="S276" s="39">
        <v>1</v>
      </c>
      <c r="T276" s="39">
        <v>0</v>
      </c>
      <c r="U276" s="39">
        <v>1</v>
      </c>
      <c r="V276" s="39">
        <v>1</v>
      </c>
      <c r="W276" s="39">
        <v>1</v>
      </c>
      <c r="X276" s="39">
        <v>1</v>
      </c>
      <c r="Y276" s="39">
        <v>1</v>
      </c>
      <c r="Z276" s="39">
        <v>1</v>
      </c>
      <c r="AA276" s="39">
        <v>0</v>
      </c>
      <c r="AB276" s="39">
        <v>0</v>
      </c>
      <c r="AC276" s="39">
        <v>0</v>
      </c>
      <c r="AD276" s="39">
        <v>0</v>
      </c>
      <c r="AE276" s="39">
        <v>0</v>
      </c>
      <c r="AF276" s="39">
        <v>0</v>
      </c>
      <c r="AG276" s="39">
        <v>0</v>
      </c>
      <c r="AH276" s="39">
        <v>0</v>
      </c>
      <c r="AI276" s="39">
        <v>0</v>
      </c>
      <c r="AJ276" s="39">
        <v>0</v>
      </c>
      <c r="AK276" s="39">
        <v>0</v>
      </c>
      <c r="AL276" s="39">
        <v>0</v>
      </c>
      <c r="AM276" s="39">
        <v>0</v>
      </c>
      <c r="AN276" s="39">
        <v>0</v>
      </c>
      <c r="AO276" s="39">
        <v>0</v>
      </c>
      <c r="AP276" s="39">
        <v>0</v>
      </c>
      <c r="AQ276" s="39">
        <v>0</v>
      </c>
      <c r="AR276" s="39">
        <v>0</v>
      </c>
      <c r="AS276" s="39">
        <v>0</v>
      </c>
      <c r="AT276" s="39">
        <v>0</v>
      </c>
      <c r="AU276" s="39">
        <v>0</v>
      </c>
      <c r="AV276" s="39">
        <v>0</v>
      </c>
      <c r="AW276" s="39">
        <v>0</v>
      </c>
      <c r="AX276" s="39">
        <v>0</v>
      </c>
      <c r="AY276" s="39">
        <v>0</v>
      </c>
      <c r="AZ276" s="39">
        <v>0</v>
      </c>
      <c r="BA276" s="39">
        <v>0</v>
      </c>
      <c r="BB276" s="39">
        <v>0</v>
      </c>
      <c r="BC276" s="39">
        <v>0</v>
      </c>
    </row>
    <row r="277" spans="3:55" hidden="1" outlineLevel="1" x14ac:dyDescent="0.2">
      <c r="C277" s="162" t="str">
        <v>Asset spare</v>
      </c>
      <c r="D277" s="162" t="str">
        <v>Spare</v>
      </c>
      <c r="E277" s="62">
        <f t="shared" si="54"/>
        <v>0</v>
      </c>
      <c r="F277" s="39">
        <f t="array" ref="F277:BC277">INDEX(RF.Option.Table,MATCH($D277,RF.Option.List,0),)</f>
        <v>0</v>
      </c>
      <c r="G277" s="39">
        <v>0</v>
      </c>
      <c r="H277" s="39">
        <v>0</v>
      </c>
      <c r="I277" s="39">
        <v>0</v>
      </c>
      <c r="J277" s="39">
        <v>0</v>
      </c>
      <c r="K277" s="39">
        <v>0</v>
      </c>
      <c r="L277" s="39">
        <v>0</v>
      </c>
      <c r="M277" s="39">
        <v>0</v>
      </c>
      <c r="N277" s="39">
        <v>0</v>
      </c>
      <c r="O277" s="39">
        <v>0</v>
      </c>
      <c r="P277" s="39">
        <v>0</v>
      </c>
      <c r="Q277" s="39">
        <v>0</v>
      </c>
      <c r="R277" s="39">
        <v>0</v>
      </c>
      <c r="S277" s="39">
        <v>0</v>
      </c>
      <c r="T277" s="39">
        <v>0</v>
      </c>
      <c r="U277" s="39">
        <v>0</v>
      </c>
      <c r="V277" s="39">
        <v>0</v>
      </c>
      <c r="W277" s="39">
        <v>0</v>
      </c>
      <c r="X277" s="39">
        <v>0</v>
      </c>
      <c r="Y277" s="39">
        <v>0</v>
      </c>
      <c r="Z277" s="39">
        <v>0</v>
      </c>
      <c r="AA277" s="39">
        <v>0</v>
      </c>
      <c r="AB277" s="39">
        <v>0</v>
      </c>
      <c r="AC277" s="39">
        <v>0</v>
      </c>
      <c r="AD277" s="39">
        <v>0</v>
      </c>
      <c r="AE277" s="39">
        <v>0</v>
      </c>
      <c r="AF277" s="39">
        <v>0</v>
      </c>
      <c r="AG277" s="39">
        <v>0</v>
      </c>
      <c r="AH277" s="39">
        <v>0</v>
      </c>
      <c r="AI277" s="39">
        <v>0</v>
      </c>
      <c r="AJ277" s="39">
        <v>0</v>
      </c>
      <c r="AK277" s="39">
        <v>0</v>
      </c>
      <c r="AL277" s="39">
        <v>0</v>
      </c>
      <c r="AM277" s="39">
        <v>0</v>
      </c>
      <c r="AN277" s="39">
        <v>0</v>
      </c>
      <c r="AO277" s="39">
        <v>0</v>
      </c>
      <c r="AP277" s="39">
        <v>0</v>
      </c>
      <c r="AQ277" s="39">
        <v>0</v>
      </c>
      <c r="AR277" s="39">
        <v>0</v>
      </c>
      <c r="AS277" s="39">
        <v>0</v>
      </c>
      <c r="AT277" s="39">
        <v>0</v>
      </c>
      <c r="AU277" s="39">
        <v>0</v>
      </c>
      <c r="AV277" s="39">
        <v>0</v>
      </c>
      <c r="AW277" s="39">
        <v>0</v>
      </c>
      <c r="AX277" s="39">
        <v>0</v>
      </c>
      <c r="AY277" s="39">
        <v>0</v>
      </c>
      <c r="AZ277" s="39">
        <v>0</v>
      </c>
      <c r="BA277" s="39">
        <v>0</v>
      </c>
      <c r="BB277" s="39">
        <v>0</v>
      </c>
      <c r="BC277" s="39">
        <v>0</v>
      </c>
    </row>
    <row r="278" spans="3:55" hidden="1" outlineLevel="1" x14ac:dyDescent="0.2">
      <c r="C278" s="162" t="str">
        <v>MSS software</v>
      </c>
      <c r="D278" s="162" t="str">
        <v>Procesado 2G+3G</v>
      </c>
      <c r="E278" s="62">
        <f t="shared" si="54"/>
        <v>0</v>
      </c>
      <c r="F278" s="39">
        <f t="array" ref="F278:BC278">INDEX(RF.Option.Table,MATCH($D278,RF.Option.List,0),)</f>
        <v>7</v>
      </c>
      <c r="G278" s="39">
        <v>2</v>
      </c>
      <c r="H278" s="39">
        <v>2</v>
      </c>
      <c r="I278" s="39">
        <v>2</v>
      </c>
      <c r="J278" s="39">
        <v>5</v>
      </c>
      <c r="K278" s="39">
        <v>5</v>
      </c>
      <c r="L278" s="39">
        <v>5</v>
      </c>
      <c r="M278" s="39">
        <v>7</v>
      </c>
      <c r="N278" s="39">
        <v>2</v>
      </c>
      <c r="O278" s="39">
        <v>2</v>
      </c>
      <c r="P278" s="39">
        <v>2</v>
      </c>
      <c r="Q278" s="39">
        <v>5</v>
      </c>
      <c r="R278" s="39">
        <v>5</v>
      </c>
      <c r="S278" s="39">
        <v>5</v>
      </c>
      <c r="T278" s="39">
        <v>0</v>
      </c>
      <c r="U278" s="39">
        <v>0</v>
      </c>
      <c r="V278" s="39">
        <v>0</v>
      </c>
      <c r="W278" s="39">
        <v>0</v>
      </c>
      <c r="X278" s="39">
        <v>0</v>
      </c>
      <c r="Y278" s="39">
        <v>0</v>
      </c>
      <c r="Z278" s="39">
        <v>0</v>
      </c>
      <c r="AA278" s="39">
        <v>1</v>
      </c>
      <c r="AB278" s="39">
        <v>1</v>
      </c>
      <c r="AC278" s="39">
        <v>1</v>
      </c>
      <c r="AD278" s="39">
        <v>1</v>
      </c>
      <c r="AE278" s="39">
        <v>1</v>
      </c>
      <c r="AF278" s="39">
        <v>1</v>
      </c>
      <c r="AG278" s="39">
        <v>0</v>
      </c>
      <c r="AH278" s="39">
        <v>0</v>
      </c>
      <c r="AI278" s="39">
        <v>0</v>
      </c>
      <c r="AJ278" s="39">
        <v>0</v>
      </c>
      <c r="AK278" s="39">
        <v>0</v>
      </c>
      <c r="AL278" s="39">
        <v>0</v>
      </c>
      <c r="AM278" s="39">
        <v>0</v>
      </c>
      <c r="AN278" s="39">
        <v>0</v>
      </c>
      <c r="AO278" s="39">
        <v>0</v>
      </c>
      <c r="AP278" s="39">
        <v>0</v>
      </c>
      <c r="AQ278" s="39">
        <v>0</v>
      </c>
      <c r="AR278" s="39">
        <v>0</v>
      </c>
      <c r="AS278" s="39">
        <v>0</v>
      </c>
      <c r="AT278" s="39">
        <v>0</v>
      </c>
      <c r="AU278" s="39">
        <v>0</v>
      </c>
      <c r="AV278" s="39">
        <v>0</v>
      </c>
      <c r="AW278" s="39">
        <v>0</v>
      </c>
      <c r="AX278" s="39">
        <v>0</v>
      </c>
      <c r="AY278" s="39">
        <v>0</v>
      </c>
      <c r="AZ278" s="39">
        <v>0</v>
      </c>
      <c r="BA278" s="39">
        <v>0</v>
      </c>
      <c r="BB278" s="39">
        <v>0</v>
      </c>
      <c r="BC278" s="39">
        <v>0</v>
      </c>
    </row>
    <row r="279" spans="3:55" hidden="1" outlineLevel="1" x14ac:dyDescent="0.2">
      <c r="C279" s="162" t="str">
        <v>SGSN software</v>
      </c>
      <c r="D279" s="162" t="str">
        <v>GSM, UMTS y HSPA Mbytes</v>
      </c>
      <c r="E279" s="62">
        <f t="shared" si="54"/>
        <v>0</v>
      </c>
      <c r="F279" s="39">
        <f t="array" ref="F279:BC279">INDEX(RF.Option.Table,MATCH($D279,RF.Option.List,0),)</f>
        <v>0</v>
      </c>
      <c r="G279" s="39">
        <v>0</v>
      </c>
      <c r="H279" s="39">
        <v>0</v>
      </c>
      <c r="I279" s="39">
        <v>0</v>
      </c>
      <c r="J279" s="39">
        <v>0</v>
      </c>
      <c r="K279" s="39">
        <v>0</v>
      </c>
      <c r="L279" s="39">
        <v>0</v>
      </c>
      <c r="M279" s="39">
        <v>0</v>
      </c>
      <c r="N279" s="39">
        <v>0</v>
      </c>
      <c r="O279" s="39">
        <v>0</v>
      </c>
      <c r="P279" s="39">
        <v>0</v>
      </c>
      <c r="Q279" s="39">
        <v>0</v>
      </c>
      <c r="R279" s="39">
        <v>0</v>
      </c>
      <c r="S279" s="39">
        <v>0</v>
      </c>
      <c r="T279" s="39">
        <v>0</v>
      </c>
      <c r="U279" s="39">
        <v>0</v>
      </c>
      <c r="V279" s="39">
        <v>0</v>
      </c>
      <c r="W279" s="39">
        <v>0</v>
      </c>
      <c r="X279" s="39">
        <v>0</v>
      </c>
      <c r="Y279" s="39">
        <v>0</v>
      </c>
      <c r="Z279" s="39">
        <v>0</v>
      </c>
      <c r="AA279" s="39">
        <v>0</v>
      </c>
      <c r="AB279" s="39">
        <v>0</v>
      </c>
      <c r="AC279" s="39">
        <v>0</v>
      </c>
      <c r="AD279" s="39">
        <v>1</v>
      </c>
      <c r="AE279" s="39">
        <v>1</v>
      </c>
      <c r="AF279" s="39">
        <v>1</v>
      </c>
      <c r="AG279" s="39">
        <v>1</v>
      </c>
      <c r="AH279" s="39">
        <v>0</v>
      </c>
      <c r="AI279" s="39">
        <v>0</v>
      </c>
      <c r="AJ279" s="39">
        <v>1</v>
      </c>
      <c r="AK279" s="39">
        <v>1</v>
      </c>
      <c r="AL279" s="39">
        <v>1</v>
      </c>
      <c r="AM279" s="39">
        <v>1</v>
      </c>
      <c r="AN279" s="39">
        <v>0</v>
      </c>
      <c r="AO279" s="39">
        <v>0</v>
      </c>
      <c r="AP279" s="39">
        <v>0</v>
      </c>
      <c r="AQ279" s="39">
        <v>0</v>
      </c>
      <c r="AR279" s="39">
        <v>0</v>
      </c>
      <c r="AS279" s="39">
        <v>0</v>
      </c>
      <c r="AT279" s="39">
        <v>0</v>
      </c>
      <c r="AU279" s="39">
        <v>0</v>
      </c>
      <c r="AV279" s="39">
        <v>0</v>
      </c>
      <c r="AW279" s="39">
        <v>0</v>
      </c>
      <c r="AX279" s="39">
        <v>0</v>
      </c>
      <c r="AY279" s="39">
        <v>0</v>
      </c>
      <c r="AZ279" s="39">
        <v>0</v>
      </c>
      <c r="BA279" s="39">
        <v>0</v>
      </c>
      <c r="BB279" s="39">
        <v>0</v>
      </c>
      <c r="BC279" s="39">
        <v>0</v>
      </c>
    </row>
    <row r="280" spans="3:55" hidden="1" outlineLevel="1" x14ac:dyDescent="0.2">
      <c r="C280" s="162" t="str">
        <v>GGSN software</v>
      </c>
      <c r="D280" s="162" t="str">
        <v>GSM, UMTS y HSPA Mbytes</v>
      </c>
      <c r="E280" s="62">
        <f t="shared" si="54"/>
        <v>0</v>
      </c>
      <c r="F280" s="39">
        <f t="array" ref="F280:BC280">INDEX(RF.Option.Table,MATCH($D280,RF.Option.List,0),)</f>
        <v>0</v>
      </c>
      <c r="G280" s="39">
        <v>0</v>
      </c>
      <c r="H280" s="39">
        <v>0</v>
      </c>
      <c r="I280" s="39">
        <v>0</v>
      </c>
      <c r="J280" s="39">
        <v>0</v>
      </c>
      <c r="K280" s="39">
        <v>0</v>
      </c>
      <c r="L280" s="39">
        <v>0</v>
      </c>
      <c r="M280" s="39">
        <v>0</v>
      </c>
      <c r="N280" s="39">
        <v>0</v>
      </c>
      <c r="O280" s="39">
        <v>0</v>
      </c>
      <c r="P280" s="39">
        <v>0</v>
      </c>
      <c r="Q280" s="39">
        <v>0</v>
      </c>
      <c r="R280" s="39">
        <v>0</v>
      </c>
      <c r="S280" s="39">
        <v>0</v>
      </c>
      <c r="T280" s="39">
        <v>0</v>
      </c>
      <c r="U280" s="39">
        <v>0</v>
      </c>
      <c r="V280" s="39">
        <v>0</v>
      </c>
      <c r="W280" s="39">
        <v>0</v>
      </c>
      <c r="X280" s="39">
        <v>0</v>
      </c>
      <c r="Y280" s="39">
        <v>0</v>
      </c>
      <c r="Z280" s="39">
        <v>0</v>
      </c>
      <c r="AA280" s="39">
        <v>0</v>
      </c>
      <c r="AB280" s="39">
        <v>0</v>
      </c>
      <c r="AC280" s="39">
        <v>0</v>
      </c>
      <c r="AD280" s="39">
        <v>1</v>
      </c>
      <c r="AE280" s="39">
        <v>1</v>
      </c>
      <c r="AF280" s="39">
        <v>1</v>
      </c>
      <c r="AG280" s="39">
        <v>1</v>
      </c>
      <c r="AH280" s="39">
        <v>0</v>
      </c>
      <c r="AI280" s="39">
        <v>0</v>
      </c>
      <c r="AJ280" s="39">
        <v>1</v>
      </c>
      <c r="AK280" s="39">
        <v>1</v>
      </c>
      <c r="AL280" s="39">
        <v>1</v>
      </c>
      <c r="AM280" s="39">
        <v>1</v>
      </c>
      <c r="AN280" s="39">
        <v>0</v>
      </c>
      <c r="AO280" s="39">
        <v>0</v>
      </c>
      <c r="AP280" s="39">
        <v>0</v>
      </c>
      <c r="AQ280" s="39">
        <v>0</v>
      </c>
      <c r="AR280" s="39">
        <v>0</v>
      </c>
      <c r="AS280" s="39">
        <v>0</v>
      </c>
      <c r="AT280" s="39">
        <v>0</v>
      </c>
      <c r="AU280" s="39">
        <v>0</v>
      </c>
      <c r="AV280" s="39">
        <v>0</v>
      </c>
      <c r="AW280" s="39">
        <v>0</v>
      </c>
      <c r="AX280" s="39">
        <v>0</v>
      </c>
      <c r="AY280" s="39">
        <v>0</v>
      </c>
      <c r="AZ280" s="39">
        <v>0</v>
      </c>
      <c r="BA280" s="39">
        <v>0</v>
      </c>
      <c r="BB280" s="39">
        <v>0</v>
      </c>
      <c r="BC280" s="39">
        <v>0</v>
      </c>
    </row>
    <row r="281" spans="3:55" hidden="1" outlineLevel="1" x14ac:dyDescent="0.2">
      <c r="C281" s="162" t="str">
        <v>MME software</v>
      </c>
      <c r="D281" s="162" t="str">
        <v>Tráfico radio LTE</v>
      </c>
      <c r="E281" s="62">
        <f t="shared" si="54"/>
        <v>0</v>
      </c>
      <c r="F281" s="39">
        <f t="array" ref="F281:BC281">INDEX(RF.Option.Table,MATCH($D281,RF.Option.List,0),)</f>
        <v>0</v>
      </c>
      <c r="G281" s="39">
        <v>0</v>
      </c>
      <c r="H281" s="39">
        <v>0</v>
      </c>
      <c r="I281" s="39">
        <v>0</v>
      </c>
      <c r="J281" s="39">
        <v>0</v>
      </c>
      <c r="K281" s="39">
        <v>0</v>
      </c>
      <c r="L281" s="39">
        <v>0</v>
      </c>
      <c r="M281" s="39">
        <v>0</v>
      </c>
      <c r="N281" s="39">
        <v>0</v>
      </c>
      <c r="O281" s="39">
        <v>0</v>
      </c>
      <c r="P281" s="39">
        <v>0</v>
      </c>
      <c r="Q281" s="39">
        <v>0</v>
      </c>
      <c r="R281" s="39">
        <v>0</v>
      </c>
      <c r="S281" s="39">
        <v>0</v>
      </c>
      <c r="T281" s="39">
        <v>2</v>
      </c>
      <c r="U281" s="39">
        <v>1</v>
      </c>
      <c r="V281" s="39">
        <v>1</v>
      </c>
      <c r="W281" s="39">
        <v>1</v>
      </c>
      <c r="X281" s="39">
        <v>1</v>
      </c>
      <c r="Y281" s="39">
        <v>1</v>
      </c>
      <c r="Z281" s="39">
        <v>1</v>
      </c>
      <c r="AA281" s="39">
        <v>0</v>
      </c>
      <c r="AB281" s="39">
        <v>0</v>
      </c>
      <c r="AC281" s="39">
        <v>0</v>
      </c>
      <c r="AD281" s="39">
        <v>0</v>
      </c>
      <c r="AE281" s="39">
        <v>0</v>
      </c>
      <c r="AF281" s="39">
        <v>0</v>
      </c>
      <c r="AG281" s="39">
        <v>2.8318024691358027E-5</v>
      </c>
      <c r="AH281" s="39">
        <v>1.4159012345679013E-5</v>
      </c>
      <c r="AI281" s="39">
        <v>1.4159012345679013E-5</v>
      </c>
      <c r="AJ281" s="39">
        <v>0</v>
      </c>
      <c r="AK281" s="39">
        <v>0</v>
      </c>
      <c r="AL281" s="39">
        <v>0</v>
      </c>
      <c r="AM281" s="39">
        <v>0</v>
      </c>
      <c r="AN281" s="39">
        <v>0.23598353909465022</v>
      </c>
      <c r="AO281" s="39">
        <v>0</v>
      </c>
      <c r="AP281" s="39">
        <v>0</v>
      </c>
      <c r="AQ281" s="39">
        <v>0</v>
      </c>
      <c r="AR281" s="39">
        <v>0</v>
      </c>
      <c r="AS281" s="39">
        <v>0</v>
      </c>
      <c r="AT281" s="39">
        <v>0</v>
      </c>
      <c r="AU281" s="39">
        <v>0</v>
      </c>
      <c r="AV281" s="39">
        <v>0</v>
      </c>
      <c r="AW281" s="39">
        <v>0</v>
      </c>
      <c r="AX281" s="39">
        <v>0</v>
      </c>
      <c r="AY281" s="39">
        <v>0</v>
      </c>
      <c r="AZ281" s="39">
        <v>0</v>
      </c>
      <c r="BA281" s="39">
        <v>0</v>
      </c>
      <c r="BB281" s="39">
        <v>0</v>
      </c>
      <c r="BC281" s="39">
        <v>0</v>
      </c>
    </row>
    <row r="282" spans="3:55" hidden="1" outlineLevel="1" x14ac:dyDescent="0.2">
      <c r="C282" s="162" t="str">
        <v>SGW software</v>
      </c>
      <c r="D282" s="162" t="str">
        <v>Tráfico radio LTE</v>
      </c>
      <c r="E282" s="62">
        <f t="shared" si="54"/>
        <v>0</v>
      </c>
      <c r="F282" s="39">
        <f t="array" ref="F282:BC282">INDEX(RF.Option.Table,MATCH($D282,RF.Option.List,0),)</f>
        <v>0</v>
      </c>
      <c r="G282" s="39">
        <v>0</v>
      </c>
      <c r="H282" s="39">
        <v>0</v>
      </c>
      <c r="I282" s="39">
        <v>0</v>
      </c>
      <c r="J282" s="39">
        <v>0</v>
      </c>
      <c r="K282" s="39">
        <v>0</v>
      </c>
      <c r="L282" s="39">
        <v>0</v>
      </c>
      <c r="M282" s="39">
        <v>0</v>
      </c>
      <c r="N282" s="39">
        <v>0</v>
      </c>
      <c r="O282" s="39">
        <v>0</v>
      </c>
      <c r="P282" s="39">
        <v>0</v>
      </c>
      <c r="Q282" s="39">
        <v>0</v>
      </c>
      <c r="R282" s="39">
        <v>0</v>
      </c>
      <c r="S282" s="39">
        <v>0</v>
      </c>
      <c r="T282" s="39">
        <v>2</v>
      </c>
      <c r="U282" s="39">
        <v>1</v>
      </c>
      <c r="V282" s="39">
        <v>1</v>
      </c>
      <c r="W282" s="39">
        <v>1</v>
      </c>
      <c r="X282" s="39">
        <v>1</v>
      </c>
      <c r="Y282" s="39">
        <v>1</v>
      </c>
      <c r="Z282" s="39">
        <v>1</v>
      </c>
      <c r="AA282" s="39">
        <v>0</v>
      </c>
      <c r="AB282" s="39">
        <v>0</v>
      </c>
      <c r="AC282" s="39">
        <v>0</v>
      </c>
      <c r="AD282" s="39">
        <v>0</v>
      </c>
      <c r="AE282" s="39">
        <v>0</v>
      </c>
      <c r="AF282" s="39">
        <v>0</v>
      </c>
      <c r="AG282" s="39">
        <v>2.8318024691358027E-5</v>
      </c>
      <c r="AH282" s="39">
        <v>1.4159012345679013E-5</v>
      </c>
      <c r="AI282" s="39">
        <v>1.4159012345679013E-5</v>
      </c>
      <c r="AJ282" s="39">
        <v>0</v>
      </c>
      <c r="AK282" s="39">
        <v>0</v>
      </c>
      <c r="AL282" s="39">
        <v>0</v>
      </c>
      <c r="AM282" s="39">
        <v>0</v>
      </c>
      <c r="AN282" s="39">
        <v>0.23598353909465022</v>
      </c>
      <c r="AO282" s="39">
        <v>0</v>
      </c>
      <c r="AP282" s="39">
        <v>0</v>
      </c>
      <c r="AQ282" s="39">
        <v>0</v>
      </c>
      <c r="AR282" s="39">
        <v>0</v>
      </c>
      <c r="AS282" s="39">
        <v>0</v>
      </c>
      <c r="AT282" s="39">
        <v>0</v>
      </c>
      <c r="AU282" s="39">
        <v>0</v>
      </c>
      <c r="AV282" s="39">
        <v>0</v>
      </c>
      <c r="AW282" s="39">
        <v>0</v>
      </c>
      <c r="AX282" s="39">
        <v>0</v>
      </c>
      <c r="AY282" s="39">
        <v>0</v>
      </c>
      <c r="AZ282" s="39">
        <v>0</v>
      </c>
      <c r="BA282" s="39">
        <v>0</v>
      </c>
      <c r="BB282" s="39">
        <v>0</v>
      </c>
      <c r="BC282" s="39">
        <v>0</v>
      </c>
    </row>
    <row r="283" spans="3:55" hidden="1" outlineLevel="1" x14ac:dyDescent="0.2">
      <c r="C283" s="162" t="str">
        <v>HLR software</v>
      </c>
      <c r="D283" s="162" t="str">
        <v>Suscriptores</v>
      </c>
      <c r="E283" s="62">
        <f t="shared" si="54"/>
        <v>0</v>
      </c>
      <c r="F283" s="39">
        <f t="array" ref="F283:BC283">INDEX(RF.Option.Table,MATCH($D283,RF.Option.List,0),)</f>
        <v>0</v>
      </c>
      <c r="G283" s="39">
        <v>0</v>
      </c>
      <c r="H283" s="39">
        <v>0</v>
      </c>
      <c r="I283" s="39">
        <v>0</v>
      </c>
      <c r="J283" s="39">
        <v>0</v>
      </c>
      <c r="K283" s="39">
        <v>0</v>
      </c>
      <c r="L283" s="39">
        <v>0</v>
      </c>
      <c r="M283" s="39">
        <v>0</v>
      </c>
      <c r="N283" s="39">
        <v>0</v>
      </c>
      <c r="O283" s="39">
        <v>0</v>
      </c>
      <c r="P283" s="39">
        <v>0</v>
      </c>
      <c r="Q283" s="39">
        <v>0</v>
      </c>
      <c r="R283" s="39">
        <v>0</v>
      </c>
      <c r="S283" s="39">
        <v>0</v>
      </c>
      <c r="T283" s="39">
        <v>0</v>
      </c>
      <c r="U283" s="39">
        <v>0</v>
      </c>
      <c r="V283" s="39">
        <v>0</v>
      </c>
      <c r="W283" s="39">
        <v>0</v>
      </c>
      <c r="X283" s="39">
        <v>0</v>
      </c>
      <c r="Y283" s="39">
        <v>0</v>
      </c>
      <c r="Z283" s="39">
        <v>0</v>
      </c>
      <c r="AA283" s="39">
        <v>0</v>
      </c>
      <c r="AB283" s="39">
        <v>0</v>
      </c>
      <c r="AC283" s="39">
        <v>0</v>
      </c>
      <c r="AD283" s="39">
        <v>0</v>
      </c>
      <c r="AE283" s="39">
        <v>0</v>
      </c>
      <c r="AF283" s="39">
        <v>0</v>
      </c>
      <c r="AG283" s="39">
        <v>0</v>
      </c>
      <c r="AH283" s="39">
        <v>0</v>
      </c>
      <c r="AI283" s="39">
        <v>0</v>
      </c>
      <c r="AJ283" s="39">
        <v>0</v>
      </c>
      <c r="AK283" s="39">
        <v>0</v>
      </c>
      <c r="AL283" s="39">
        <v>0</v>
      </c>
      <c r="AM283" s="39">
        <v>0</v>
      </c>
      <c r="AN283" s="39">
        <v>0</v>
      </c>
      <c r="AO283" s="39">
        <v>0</v>
      </c>
      <c r="AP283" s="39">
        <v>1</v>
      </c>
      <c r="AQ283" s="39">
        <v>1</v>
      </c>
      <c r="AR283" s="39">
        <v>0</v>
      </c>
      <c r="AS283" s="39">
        <v>0</v>
      </c>
      <c r="AT283" s="39">
        <v>0</v>
      </c>
      <c r="AU283" s="39">
        <v>0</v>
      </c>
      <c r="AV283" s="39">
        <v>0</v>
      </c>
      <c r="AW283" s="39">
        <v>0</v>
      </c>
      <c r="AX283" s="39">
        <v>0</v>
      </c>
      <c r="AY283" s="39">
        <v>0</v>
      </c>
      <c r="AZ283" s="39">
        <v>0</v>
      </c>
      <c r="BA283" s="39">
        <v>0</v>
      </c>
      <c r="BB283" s="39">
        <v>0</v>
      </c>
      <c r="BC283" s="39">
        <v>0</v>
      </c>
    </row>
    <row r="284" spans="3:55" hidden="1" outlineLevel="1" x14ac:dyDescent="0.2">
      <c r="C284" s="162" t="str">
        <v>Call server – hardware</v>
      </c>
      <c r="D284" s="162" t="str">
        <v>Tráfico de voz LTE (VoLTE)</v>
      </c>
      <c r="E284" s="62">
        <f t="shared" si="54"/>
        <v>0</v>
      </c>
      <c r="F284" s="39">
        <f t="array" ref="F284:BC284">INDEX(RF.Option.Table,MATCH($D284,RF.Option.List,0),)</f>
        <v>0</v>
      </c>
      <c r="G284" s="39">
        <v>0</v>
      </c>
      <c r="H284" s="39">
        <v>0</v>
      </c>
      <c r="I284" s="39">
        <v>0</v>
      </c>
      <c r="J284" s="39">
        <v>0</v>
      </c>
      <c r="K284" s="39">
        <v>0</v>
      </c>
      <c r="L284" s="39">
        <v>0</v>
      </c>
      <c r="M284" s="39">
        <v>0</v>
      </c>
      <c r="N284" s="39">
        <v>0</v>
      </c>
      <c r="O284" s="39">
        <v>0</v>
      </c>
      <c r="P284" s="39">
        <v>0</v>
      </c>
      <c r="Q284" s="39">
        <v>0</v>
      </c>
      <c r="R284" s="39">
        <v>0</v>
      </c>
      <c r="S284" s="39">
        <v>0</v>
      </c>
      <c r="T284" s="39">
        <v>2</v>
      </c>
      <c r="U284" s="39">
        <v>1</v>
      </c>
      <c r="V284" s="39">
        <v>1</v>
      </c>
      <c r="W284" s="39">
        <v>1</v>
      </c>
      <c r="X284" s="39">
        <v>1</v>
      </c>
      <c r="Y284" s="39">
        <v>1</v>
      </c>
      <c r="Z284" s="39">
        <v>1</v>
      </c>
      <c r="AA284" s="39">
        <v>0</v>
      </c>
      <c r="AB284" s="39">
        <v>0</v>
      </c>
      <c r="AC284" s="39">
        <v>0</v>
      </c>
      <c r="AD284" s="39">
        <v>0</v>
      </c>
      <c r="AE284" s="39">
        <v>0</v>
      </c>
      <c r="AF284" s="39">
        <v>0</v>
      </c>
      <c r="AG284" s="39">
        <v>0</v>
      </c>
      <c r="AH284" s="39">
        <v>0</v>
      </c>
      <c r="AI284" s="39">
        <v>0</v>
      </c>
      <c r="AJ284" s="39">
        <v>0</v>
      </c>
      <c r="AK284" s="39">
        <v>0</v>
      </c>
      <c r="AL284" s="39">
        <v>0</v>
      </c>
      <c r="AM284" s="39">
        <v>0</v>
      </c>
      <c r="AN284" s="39">
        <v>0</v>
      </c>
      <c r="AO284" s="39">
        <v>0</v>
      </c>
      <c r="AP284" s="39">
        <v>0</v>
      </c>
      <c r="AQ284" s="39">
        <v>0</v>
      </c>
      <c r="AR284" s="39">
        <v>0</v>
      </c>
      <c r="AS284" s="39">
        <v>0</v>
      </c>
      <c r="AT284" s="39">
        <v>0</v>
      </c>
      <c r="AU284" s="39">
        <v>0</v>
      </c>
      <c r="AV284" s="39">
        <v>0</v>
      </c>
      <c r="AW284" s="39">
        <v>0</v>
      </c>
      <c r="AX284" s="39">
        <v>0</v>
      </c>
      <c r="AY284" s="39">
        <v>0</v>
      </c>
      <c r="AZ284" s="39">
        <v>0</v>
      </c>
      <c r="BA284" s="39">
        <v>0</v>
      </c>
      <c r="BB284" s="39">
        <v>0</v>
      </c>
      <c r="BC284" s="39">
        <v>0</v>
      </c>
    </row>
    <row r="285" spans="3:55" hidden="1" outlineLevel="1" x14ac:dyDescent="0.2">
      <c r="C285" s="162" t="str">
        <v>Call server – software</v>
      </c>
      <c r="D285" s="162" t="str">
        <v>Tráfico de voz LTE (VoLTE)</v>
      </c>
      <c r="E285" s="62">
        <f t="shared" si="54"/>
        <v>0</v>
      </c>
      <c r="F285" s="39">
        <f t="array" ref="F285:BC285">INDEX(RF.Option.Table,MATCH($D285,RF.Option.List,0),)</f>
        <v>0</v>
      </c>
      <c r="G285" s="39">
        <v>0</v>
      </c>
      <c r="H285" s="39">
        <v>0</v>
      </c>
      <c r="I285" s="39">
        <v>0</v>
      </c>
      <c r="J285" s="39">
        <v>0</v>
      </c>
      <c r="K285" s="39">
        <v>0</v>
      </c>
      <c r="L285" s="39">
        <v>0</v>
      </c>
      <c r="M285" s="39">
        <v>0</v>
      </c>
      <c r="N285" s="39">
        <v>0</v>
      </c>
      <c r="O285" s="39">
        <v>0</v>
      </c>
      <c r="P285" s="39">
        <v>0</v>
      </c>
      <c r="Q285" s="39">
        <v>0</v>
      </c>
      <c r="R285" s="39">
        <v>0</v>
      </c>
      <c r="S285" s="39">
        <v>0</v>
      </c>
      <c r="T285" s="39">
        <v>2</v>
      </c>
      <c r="U285" s="39">
        <v>1</v>
      </c>
      <c r="V285" s="39">
        <v>1</v>
      </c>
      <c r="W285" s="39">
        <v>1</v>
      </c>
      <c r="X285" s="39">
        <v>1</v>
      </c>
      <c r="Y285" s="39">
        <v>1</v>
      </c>
      <c r="Z285" s="39">
        <v>1</v>
      </c>
      <c r="AA285" s="39">
        <v>0</v>
      </c>
      <c r="AB285" s="39">
        <v>0</v>
      </c>
      <c r="AC285" s="39">
        <v>0</v>
      </c>
      <c r="AD285" s="39">
        <v>0</v>
      </c>
      <c r="AE285" s="39">
        <v>0</v>
      </c>
      <c r="AF285" s="39">
        <v>0</v>
      </c>
      <c r="AG285" s="39">
        <v>0</v>
      </c>
      <c r="AH285" s="39">
        <v>0</v>
      </c>
      <c r="AI285" s="39">
        <v>0</v>
      </c>
      <c r="AJ285" s="39">
        <v>0</v>
      </c>
      <c r="AK285" s="39">
        <v>0</v>
      </c>
      <c r="AL285" s="39">
        <v>0</v>
      </c>
      <c r="AM285" s="39">
        <v>0</v>
      </c>
      <c r="AN285" s="39">
        <v>0</v>
      </c>
      <c r="AO285" s="39">
        <v>0</v>
      </c>
      <c r="AP285" s="39">
        <v>0</v>
      </c>
      <c r="AQ285" s="39">
        <v>0</v>
      </c>
      <c r="AR285" s="39">
        <v>0</v>
      </c>
      <c r="AS285" s="39">
        <v>0</v>
      </c>
      <c r="AT285" s="39">
        <v>0</v>
      </c>
      <c r="AU285" s="39">
        <v>0</v>
      </c>
      <c r="AV285" s="39">
        <v>0</v>
      </c>
      <c r="AW285" s="39">
        <v>0</v>
      </c>
      <c r="AX285" s="39">
        <v>0</v>
      </c>
      <c r="AY285" s="39">
        <v>0</v>
      </c>
      <c r="AZ285" s="39">
        <v>0</v>
      </c>
      <c r="BA285" s="39">
        <v>0</v>
      </c>
      <c r="BB285" s="39">
        <v>0</v>
      </c>
      <c r="BC285" s="39">
        <v>0</v>
      </c>
    </row>
    <row r="286" spans="3:55" hidden="1" outlineLevel="1" x14ac:dyDescent="0.2">
      <c r="C286" s="162" t="str">
        <v>Telephony Application Server (TAS)</v>
      </c>
      <c r="D286" s="162" t="str">
        <v>Tráfico de voz LTE (VoLTE)</v>
      </c>
      <c r="E286" s="62">
        <f t="shared" si="54"/>
        <v>0</v>
      </c>
      <c r="F286" s="39">
        <f t="array" ref="F286:BC286">INDEX(RF.Option.Table,MATCH($D286,RF.Option.List,0),)</f>
        <v>0</v>
      </c>
      <c r="G286" s="39">
        <v>0</v>
      </c>
      <c r="H286" s="39">
        <v>0</v>
      </c>
      <c r="I286" s="39">
        <v>0</v>
      </c>
      <c r="J286" s="39">
        <v>0</v>
      </c>
      <c r="K286" s="39">
        <v>0</v>
      </c>
      <c r="L286" s="39">
        <v>0</v>
      </c>
      <c r="M286" s="39">
        <v>0</v>
      </c>
      <c r="N286" s="39">
        <v>0</v>
      </c>
      <c r="O286" s="39">
        <v>0</v>
      </c>
      <c r="P286" s="39">
        <v>0</v>
      </c>
      <c r="Q286" s="39">
        <v>0</v>
      </c>
      <c r="R286" s="39">
        <v>0</v>
      </c>
      <c r="S286" s="39">
        <v>0</v>
      </c>
      <c r="T286" s="39">
        <v>2</v>
      </c>
      <c r="U286" s="39">
        <v>1</v>
      </c>
      <c r="V286" s="39">
        <v>1</v>
      </c>
      <c r="W286" s="39">
        <v>1</v>
      </c>
      <c r="X286" s="39">
        <v>1</v>
      </c>
      <c r="Y286" s="39">
        <v>1</v>
      </c>
      <c r="Z286" s="39">
        <v>1</v>
      </c>
      <c r="AA286" s="39">
        <v>0</v>
      </c>
      <c r="AB286" s="39">
        <v>0</v>
      </c>
      <c r="AC286" s="39">
        <v>0</v>
      </c>
      <c r="AD286" s="39">
        <v>0</v>
      </c>
      <c r="AE286" s="39">
        <v>0</v>
      </c>
      <c r="AF286" s="39">
        <v>0</v>
      </c>
      <c r="AG286" s="39">
        <v>0</v>
      </c>
      <c r="AH286" s="39">
        <v>0</v>
      </c>
      <c r="AI286" s="39">
        <v>0</v>
      </c>
      <c r="AJ286" s="39">
        <v>0</v>
      </c>
      <c r="AK286" s="39">
        <v>0</v>
      </c>
      <c r="AL286" s="39">
        <v>0</v>
      </c>
      <c r="AM286" s="39">
        <v>0</v>
      </c>
      <c r="AN286" s="39">
        <v>0</v>
      </c>
      <c r="AO286" s="39">
        <v>0</v>
      </c>
      <c r="AP286" s="39">
        <v>0</v>
      </c>
      <c r="AQ286" s="39">
        <v>0</v>
      </c>
      <c r="AR286" s="39">
        <v>0</v>
      </c>
      <c r="AS286" s="39">
        <v>0</v>
      </c>
      <c r="AT286" s="39">
        <v>0</v>
      </c>
      <c r="AU286" s="39">
        <v>0</v>
      </c>
      <c r="AV286" s="39">
        <v>0</v>
      </c>
      <c r="AW286" s="39">
        <v>0</v>
      </c>
      <c r="AX286" s="39">
        <v>0</v>
      </c>
      <c r="AY286" s="39">
        <v>0</v>
      </c>
      <c r="AZ286" s="39">
        <v>0</v>
      </c>
      <c r="BA286" s="39">
        <v>0</v>
      </c>
      <c r="BB286" s="39">
        <v>0</v>
      </c>
      <c r="BC286" s="39">
        <v>0</v>
      </c>
    </row>
    <row r="287" spans="3:55" hidden="1" outlineLevel="1" x14ac:dyDescent="0.2">
      <c r="C287" s="162" t="str">
        <v>Session border controller (SBC) – hardware</v>
      </c>
      <c r="D287" s="162" t="str">
        <v>Tráfico de voz LTE (VoLTE)</v>
      </c>
      <c r="E287" s="62">
        <f t="shared" si="54"/>
        <v>0</v>
      </c>
      <c r="F287" s="39">
        <f t="array" ref="F287:BC287">INDEX(RF.Option.Table,MATCH($D287,RF.Option.List,0),)</f>
        <v>0</v>
      </c>
      <c r="G287" s="39">
        <v>0</v>
      </c>
      <c r="H287" s="39">
        <v>0</v>
      </c>
      <c r="I287" s="39">
        <v>0</v>
      </c>
      <c r="J287" s="39">
        <v>0</v>
      </c>
      <c r="K287" s="39">
        <v>0</v>
      </c>
      <c r="L287" s="39">
        <v>0</v>
      </c>
      <c r="M287" s="39">
        <v>0</v>
      </c>
      <c r="N287" s="39">
        <v>0</v>
      </c>
      <c r="O287" s="39">
        <v>0</v>
      </c>
      <c r="P287" s="39">
        <v>0</v>
      </c>
      <c r="Q287" s="39">
        <v>0</v>
      </c>
      <c r="R287" s="39">
        <v>0</v>
      </c>
      <c r="S287" s="39">
        <v>0</v>
      </c>
      <c r="T287" s="39">
        <v>2</v>
      </c>
      <c r="U287" s="39">
        <v>1</v>
      </c>
      <c r="V287" s="39">
        <v>1</v>
      </c>
      <c r="W287" s="39">
        <v>1</v>
      </c>
      <c r="X287" s="39">
        <v>1</v>
      </c>
      <c r="Y287" s="39">
        <v>1</v>
      </c>
      <c r="Z287" s="39">
        <v>1</v>
      </c>
      <c r="AA287" s="39">
        <v>0</v>
      </c>
      <c r="AB287" s="39">
        <v>0</v>
      </c>
      <c r="AC287" s="39">
        <v>0</v>
      </c>
      <c r="AD287" s="39">
        <v>0</v>
      </c>
      <c r="AE287" s="39">
        <v>0</v>
      </c>
      <c r="AF287" s="39">
        <v>0</v>
      </c>
      <c r="AG287" s="39">
        <v>0</v>
      </c>
      <c r="AH287" s="39">
        <v>0</v>
      </c>
      <c r="AI287" s="39">
        <v>0</v>
      </c>
      <c r="AJ287" s="39">
        <v>0</v>
      </c>
      <c r="AK287" s="39">
        <v>0</v>
      </c>
      <c r="AL287" s="39">
        <v>0</v>
      </c>
      <c r="AM287" s="39">
        <v>0</v>
      </c>
      <c r="AN287" s="39">
        <v>0</v>
      </c>
      <c r="AO287" s="39">
        <v>0</v>
      </c>
      <c r="AP287" s="39">
        <v>0</v>
      </c>
      <c r="AQ287" s="39">
        <v>0</v>
      </c>
      <c r="AR287" s="39">
        <v>0</v>
      </c>
      <c r="AS287" s="39">
        <v>0</v>
      </c>
      <c r="AT287" s="39">
        <v>0</v>
      </c>
      <c r="AU287" s="39">
        <v>0</v>
      </c>
      <c r="AV287" s="39">
        <v>0</v>
      </c>
      <c r="AW287" s="39">
        <v>0</v>
      </c>
      <c r="AX287" s="39">
        <v>0</v>
      </c>
      <c r="AY287" s="39">
        <v>0</v>
      </c>
      <c r="AZ287" s="39">
        <v>0</v>
      </c>
      <c r="BA287" s="39">
        <v>0</v>
      </c>
      <c r="BB287" s="39">
        <v>0</v>
      </c>
      <c r="BC287" s="39">
        <v>0</v>
      </c>
    </row>
    <row r="288" spans="3:55" hidden="1" outlineLevel="1" x14ac:dyDescent="0.2">
      <c r="C288" s="162" t="str">
        <v>Session border controller (SBC) – software</v>
      </c>
      <c r="D288" s="162" t="str">
        <v>Tráfico de voz LTE (VoLTE)</v>
      </c>
      <c r="E288" s="62">
        <f t="shared" si="54"/>
        <v>0</v>
      </c>
      <c r="F288" s="39">
        <f t="array" ref="F288:BC288">INDEX(RF.Option.Table,MATCH($D288,RF.Option.List,0),)</f>
        <v>0</v>
      </c>
      <c r="G288" s="39">
        <v>0</v>
      </c>
      <c r="H288" s="39">
        <v>0</v>
      </c>
      <c r="I288" s="39">
        <v>0</v>
      </c>
      <c r="J288" s="39">
        <v>0</v>
      </c>
      <c r="K288" s="39">
        <v>0</v>
      </c>
      <c r="L288" s="39">
        <v>0</v>
      </c>
      <c r="M288" s="39">
        <v>0</v>
      </c>
      <c r="N288" s="39">
        <v>0</v>
      </c>
      <c r="O288" s="39">
        <v>0</v>
      </c>
      <c r="P288" s="39">
        <v>0</v>
      </c>
      <c r="Q288" s="39">
        <v>0</v>
      </c>
      <c r="R288" s="39">
        <v>0</v>
      </c>
      <c r="S288" s="39">
        <v>0</v>
      </c>
      <c r="T288" s="39">
        <v>2</v>
      </c>
      <c r="U288" s="39">
        <v>1</v>
      </c>
      <c r="V288" s="39">
        <v>1</v>
      </c>
      <c r="W288" s="39">
        <v>1</v>
      </c>
      <c r="X288" s="39">
        <v>1</v>
      </c>
      <c r="Y288" s="39">
        <v>1</v>
      </c>
      <c r="Z288" s="39">
        <v>1</v>
      </c>
      <c r="AA288" s="39">
        <v>0</v>
      </c>
      <c r="AB288" s="39">
        <v>0</v>
      </c>
      <c r="AC288" s="39">
        <v>0</v>
      </c>
      <c r="AD288" s="39">
        <v>0</v>
      </c>
      <c r="AE288" s="39">
        <v>0</v>
      </c>
      <c r="AF288" s="39">
        <v>0</v>
      </c>
      <c r="AG288" s="39">
        <v>0</v>
      </c>
      <c r="AH288" s="39">
        <v>0</v>
      </c>
      <c r="AI288" s="39">
        <v>0</v>
      </c>
      <c r="AJ288" s="39">
        <v>0</v>
      </c>
      <c r="AK288" s="39">
        <v>0</v>
      </c>
      <c r="AL288" s="39">
        <v>0</v>
      </c>
      <c r="AM288" s="39">
        <v>0</v>
      </c>
      <c r="AN288" s="39">
        <v>0</v>
      </c>
      <c r="AO288" s="39">
        <v>0</v>
      </c>
      <c r="AP288" s="39">
        <v>0</v>
      </c>
      <c r="AQ288" s="39">
        <v>0</v>
      </c>
      <c r="AR288" s="39">
        <v>0</v>
      </c>
      <c r="AS288" s="39">
        <v>0</v>
      </c>
      <c r="AT288" s="39">
        <v>0</v>
      </c>
      <c r="AU288" s="39">
        <v>0</v>
      </c>
      <c r="AV288" s="39">
        <v>0</v>
      </c>
      <c r="AW288" s="39">
        <v>0</v>
      </c>
      <c r="AX288" s="39">
        <v>0</v>
      </c>
      <c r="AY288" s="39">
        <v>0</v>
      </c>
      <c r="AZ288" s="39">
        <v>0</v>
      </c>
      <c r="BA288" s="39">
        <v>0</v>
      </c>
      <c r="BB288" s="39">
        <v>0</v>
      </c>
      <c r="BC288" s="39">
        <v>0</v>
      </c>
    </row>
    <row r="289" spans="3:55" hidden="1" outlineLevel="1" x14ac:dyDescent="0.2">
      <c r="C289" s="162" t="str">
        <v>PCC</v>
      </c>
      <c r="D289" s="162" t="str">
        <v>Tráfico de voz LTE (VoLTE)</v>
      </c>
      <c r="E289" s="62">
        <f t="shared" si="54"/>
        <v>0</v>
      </c>
      <c r="F289" s="39">
        <f t="array" ref="F289:BC289">INDEX(RF.Option.Table,MATCH($D289,RF.Option.List,0),)</f>
        <v>0</v>
      </c>
      <c r="G289" s="39">
        <v>0</v>
      </c>
      <c r="H289" s="39">
        <v>0</v>
      </c>
      <c r="I289" s="39">
        <v>0</v>
      </c>
      <c r="J289" s="39">
        <v>0</v>
      </c>
      <c r="K289" s="39">
        <v>0</v>
      </c>
      <c r="L289" s="39">
        <v>0</v>
      </c>
      <c r="M289" s="39">
        <v>0</v>
      </c>
      <c r="N289" s="39">
        <v>0</v>
      </c>
      <c r="O289" s="39">
        <v>0</v>
      </c>
      <c r="P289" s="39">
        <v>0</v>
      </c>
      <c r="Q289" s="39">
        <v>0</v>
      </c>
      <c r="R289" s="39">
        <v>0</v>
      </c>
      <c r="S289" s="39">
        <v>0</v>
      </c>
      <c r="T289" s="39">
        <v>2</v>
      </c>
      <c r="U289" s="39">
        <v>1</v>
      </c>
      <c r="V289" s="39">
        <v>1</v>
      </c>
      <c r="W289" s="39">
        <v>1</v>
      </c>
      <c r="X289" s="39">
        <v>1</v>
      </c>
      <c r="Y289" s="39">
        <v>1</v>
      </c>
      <c r="Z289" s="39">
        <v>1</v>
      </c>
      <c r="AA289" s="39">
        <v>0</v>
      </c>
      <c r="AB289" s="39">
        <v>0</v>
      </c>
      <c r="AC289" s="39">
        <v>0</v>
      </c>
      <c r="AD289" s="39">
        <v>0</v>
      </c>
      <c r="AE289" s="39">
        <v>0</v>
      </c>
      <c r="AF289" s="39">
        <v>0</v>
      </c>
      <c r="AG289" s="39">
        <v>0</v>
      </c>
      <c r="AH289" s="39">
        <v>0</v>
      </c>
      <c r="AI289" s="39">
        <v>0</v>
      </c>
      <c r="AJ289" s="39">
        <v>0</v>
      </c>
      <c r="AK289" s="39">
        <v>0</v>
      </c>
      <c r="AL289" s="39">
        <v>0</v>
      </c>
      <c r="AM289" s="39">
        <v>0</v>
      </c>
      <c r="AN289" s="39">
        <v>0</v>
      </c>
      <c r="AO289" s="39">
        <v>0</v>
      </c>
      <c r="AP289" s="39">
        <v>0</v>
      </c>
      <c r="AQ289" s="39">
        <v>0</v>
      </c>
      <c r="AR289" s="39">
        <v>0</v>
      </c>
      <c r="AS289" s="39">
        <v>0</v>
      </c>
      <c r="AT289" s="39">
        <v>0</v>
      </c>
      <c r="AU289" s="39">
        <v>0</v>
      </c>
      <c r="AV289" s="39">
        <v>0</v>
      </c>
      <c r="AW289" s="39">
        <v>0</v>
      </c>
      <c r="AX289" s="39">
        <v>0</v>
      </c>
      <c r="AY289" s="39">
        <v>0</v>
      </c>
      <c r="AZ289" s="39">
        <v>0</v>
      </c>
      <c r="BA289" s="39">
        <v>0</v>
      </c>
      <c r="BB289" s="39">
        <v>0</v>
      </c>
      <c r="BC289" s="39">
        <v>0</v>
      </c>
    </row>
    <row r="290" spans="3:55" hidden="1" outlineLevel="1" x14ac:dyDescent="0.2">
      <c r="C290" s="162" t="str">
        <v>MGCF</v>
      </c>
      <c r="D290" s="162" t="str">
        <v>Tráfico de voz LTE (VoLTE)</v>
      </c>
      <c r="E290" s="62">
        <f t="shared" si="54"/>
        <v>0</v>
      </c>
      <c r="F290" s="39">
        <f t="array" ref="F290:BC290">INDEX(RF.Option.Table,MATCH($D290,RF.Option.List,0),)</f>
        <v>0</v>
      </c>
      <c r="G290" s="39">
        <v>0</v>
      </c>
      <c r="H290" s="39">
        <v>0</v>
      </c>
      <c r="I290" s="39">
        <v>0</v>
      </c>
      <c r="J290" s="39">
        <v>0</v>
      </c>
      <c r="K290" s="39">
        <v>0</v>
      </c>
      <c r="L290" s="39">
        <v>0</v>
      </c>
      <c r="M290" s="39">
        <v>0</v>
      </c>
      <c r="N290" s="39">
        <v>0</v>
      </c>
      <c r="O290" s="39">
        <v>0</v>
      </c>
      <c r="P290" s="39">
        <v>0</v>
      </c>
      <c r="Q290" s="39">
        <v>0</v>
      </c>
      <c r="R290" s="39">
        <v>0</v>
      </c>
      <c r="S290" s="39">
        <v>0</v>
      </c>
      <c r="T290" s="39">
        <v>2</v>
      </c>
      <c r="U290" s="39">
        <v>1</v>
      </c>
      <c r="V290" s="39">
        <v>1</v>
      </c>
      <c r="W290" s="39">
        <v>1</v>
      </c>
      <c r="X290" s="39">
        <v>1</v>
      </c>
      <c r="Y290" s="39">
        <v>1</v>
      </c>
      <c r="Z290" s="39">
        <v>1</v>
      </c>
      <c r="AA290" s="39">
        <v>0</v>
      </c>
      <c r="AB290" s="39">
        <v>0</v>
      </c>
      <c r="AC290" s="39">
        <v>0</v>
      </c>
      <c r="AD290" s="39">
        <v>0</v>
      </c>
      <c r="AE290" s="39">
        <v>0</v>
      </c>
      <c r="AF290" s="39">
        <v>0</v>
      </c>
      <c r="AG290" s="39">
        <v>0</v>
      </c>
      <c r="AH290" s="39">
        <v>0</v>
      </c>
      <c r="AI290" s="39">
        <v>0</v>
      </c>
      <c r="AJ290" s="39">
        <v>0</v>
      </c>
      <c r="AK290" s="39">
        <v>0</v>
      </c>
      <c r="AL290" s="39">
        <v>0</v>
      </c>
      <c r="AM290" s="39">
        <v>0</v>
      </c>
      <c r="AN290" s="39">
        <v>0</v>
      </c>
      <c r="AO290" s="39">
        <v>0</v>
      </c>
      <c r="AP290" s="39">
        <v>0</v>
      </c>
      <c r="AQ290" s="39">
        <v>0</v>
      </c>
      <c r="AR290" s="39">
        <v>0</v>
      </c>
      <c r="AS290" s="39">
        <v>0</v>
      </c>
      <c r="AT290" s="39">
        <v>0</v>
      </c>
      <c r="AU290" s="39">
        <v>0</v>
      </c>
      <c r="AV290" s="39">
        <v>0</v>
      </c>
      <c r="AW290" s="39">
        <v>0</v>
      </c>
      <c r="AX290" s="39">
        <v>0</v>
      </c>
      <c r="AY290" s="39">
        <v>0</v>
      </c>
      <c r="AZ290" s="39">
        <v>0</v>
      </c>
      <c r="BA290" s="39">
        <v>0</v>
      </c>
      <c r="BB290" s="39">
        <v>0</v>
      </c>
      <c r="BC290" s="39">
        <v>0</v>
      </c>
    </row>
    <row r="291" spans="3:55" hidden="1" outlineLevel="1" x14ac:dyDescent="0.2">
      <c r="C291" s="162" t="str">
        <v>Puertos BSC - sitios E1</v>
      </c>
      <c r="D291" s="162" t="str">
        <v>Minutos radio equivalentes GSM</v>
      </c>
      <c r="E291" s="62">
        <f t="shared" si="54"/>
        <v>0</v>
      </c>
      <c r="F291" s="39">
        <f t="array" ref="F291:BC291">INDEX(RF.Option.Table,MATCH($D291,RF.Option.List,0),)</f>
        <v>2.1784313725490194</v>
      </c>
      <c r="G291" s="39">
        <v>1.0947916666666666</v>
      </c>
      <c r="H291" s="39">
        <v>1.1166666666666667</v>
      </c>
      <c r="I291" s="39">
        <v>1.0722222222222222</v>
      </c>
      <c r="J291" s="39">
        <v>1.0947916666666666</v>
      </c>
      <c r="K291" s="39">
        <v>1.1166666666666667</v>
      </c>
      <c r="L291" s="39">
        <v>1.0722222222222222</v>
      </c>
      <c r="M291" s="39">
        <v>0</v>
      </c>
      <c r="N291" s="39">
        <v>0</v>
      </c>
      <c r="O291" s="39">
        <v>0</v>
      </c>
      <c r="P291" s="39">
        <v>0</v>
      </c>
      <c r="Q291" s="39">
        <v>0</v>
      </c>
      <c r="R291" s="39">
        <v>0</v>
      </c>
      <c r="S291" s="39">
        <v>0</v>
      </c>
      <c r="T291" s="39">
        <v>0</v>
      </c>
      <c r="U291" s="39">
        <v>0</v>
      </c>
      <c r="V291" s="39">
        <v>0</v>
      </c>
      <c r="W291" s="39">
        <v>0</v>
      </c>
      <c r="X291" s="39">
        <v>0</v>
      </c>
      <c r="Y291" s="39">
        <v>0</v>
      </c>
      <c r="Z291" s="39">
        <v>0</v>
      </c>
      <c r="AA291" s="39">
        <v>0</v>
      </c>
      <c r="AB291" s="39">
        <v>0</v>
      </c>
      <c r="AC291" s="39">
        <v>0</v>
      </c>
      <c r="AD291" s="39">
        <v>0</v>
      </c>
      <c r="AE291" s="39">
        <v>0</v>
      </c>
      <c r="AF291" s="39">
        <v>0</v>
      </c>
      <c r="AG291" s="39">
        <v>0</v>
      </c>
      <c r="AH291" s="39">
        <v>0</v>
      </c>
      <c r="AI291" s="39">
        <v>0</v>
      </c>
      <c r="AJ291" s="39">
        <v>4.4600888888888894</v>
      </c>
      <c r="AK291" s="39">
        <v>0</v>
      </c>
      <c r="AL291" s="39">
        <v>0</v>
      </c>
      <c r="AM291" s="39">
        <v>0</v>
      </c>
      <c r="AN291" s="39">
        <v>0</v>
      </c>
      <c r="AO291" s="39">
        <v>0</v>
      </c>
      <c r="AP291" s="39">
        <v>0</v>
      </c>
      <c r="AQ291" s="39">
        <v>0</v>
      </c>
      <c r="AR291" s="39">
        <v>0</v>
      </c>
      <c r="AS291" s="39">
        <v>0</v>
      </c>
      <c r="AT291" s="39">
        <v>0</v>
      </c>
      <c r="AU291" s="39">
        <v>0</v>
      </c>
      <c r="AV291" s="39">
        <v>0</v>
      </c>
      <c r="AW291" s="39">
        <v>0</v>
      </c>
      <c r="AX291" s="39">
        <v>0</v>
      </c>
      <c r="AY291" s="39">
        <v>0</v>
      </c>
      <c r="AZ291" s="39">
        <v>0</v>
      </c>
      <c r="BA291" s="39">
        <v>0</v>
      </c>
      <c r="BB291" s="39">
        <v>0</v>
      </c>
      <c r="BC291" s="39">
        <v>0</v>
      </c>
    </row>
    <row r="292" spans="3:55" hidden="1" outlineLevel="1" x14ac:dyDescent="0.2">
      <c r="C292" s="162" t="str">
        <v>Puertos BSC - sitios 10M</v>
      </c>
      <c r="D292" s="162" t="str">
        <v>Minutos radio equivalentes GSM</v>
      </c>
      <c r="E292" s="62">
        <f t="shared" si="54"/>
        <v>0</v>
      </c>
      <c r="F292" s="39">
        <f t="array" ref="F292:BC292">INDEX(RF.Option.Table,MATCH($D292,RF.Option.List,0),)</f>
        <v>2.1784313725490194</v>
      </c>
      <c r="G292" s="39">
        <v>1.0947916666666666</v>
      </c>
      <c r="H292" s="39">
        <v>1.1166666666666667</v>
      </c>
      <c r="I292" s="39">
        <v>1.0722222222222222</v>
      </c>
      <c r="J292" s="39">
        <v>1.0947916666666666</v>
      </c>
      <c r="K292" s="39">
        <v>1.1166666666666667</v>
      </c>
      <c r="L292" s="39">
        <v>1.0722222222222222</v>
      </c>
      <c r="M292" s="39">
        <v>0</v>
      </c>
      <c r="N292" s="39">
        <v>0</v>
      </c>
      <c r="O292" s="39">
        <v>0</v>
      </c>
      <c r="P292" s="39">
        <v>0</v>
      </c>
      <c r="Q292" s="39">
        <v>0</v>
      </c>
      <c r="R292" s="39">
        <v>0</v>
      </c>
      <c r="S292" s="39">
        <v>0</v>
      </c>
      <c r="T292" s="39">
        <v>0</v>
      </c>
      <c r="U292" s="39">
        <v>0</v>
      </c>
      <c r="V292" s="39">
        <v>0</v>
      </c>
      <c r="W292" s="39">
        <v>0</v>
      </c>
      <c r="X292" s="39">
        <v>0</v>
      </c>
      <c r="Y292" s="39">
        <v>0</v>
      </c>
      <c r="Z292" s="39">
        <v>0</v>
      </c>
      <c r="AA292" s="39">
        <v>0</v>
      </c>
      <c r="AB292" s="39">
        <v>0</v>
      </c>
      <c r="AC292" s="39">
        <v>0</v>
      </c>
      <c r="AD292" s="39">
        <v>0</v>
      </c>
      <c r="AE292" s="39">
        <v>0</v>
      </c>
      <c r="AF292" s="39">
        <v>0</v>
      </c>
      <c r="AG292" s="39">
        <v>0</v>
      </c>
      <c r="AH292" s="39">
        <v>0</v>
      </c>
      <c r="AI292" s="39">
        <v>0</v>
      </c>
      <c r="AJ292" s="39">
        <v>4.4600888888888894</v>
      </c>
      <c r="AK292" s="39">
        <v>0</v>
      </c>
      <c r="AL292" s="39">
        <v>0</v>
      </c>
      <c r="AM292" s="39">
        <v>0</v>
      </c>
      <c r="AN292" s="39">
        <v>0</v>
      </c>
      <c r="AO292" s="39">
        <v>0</v>
      </c>
      <c r="AP292" s="39">
        <v>0</v>
      </c>
      <c r="AQ292" s="39">
        <v>0</v>
      </c>
      <c r="AR292" s="39">
        <v>0</v>
      </c>
      <c r="AS292" s="39">
        <v>0</v>
      </c>
      <c r="AT292" s="39">
        <v>0</v>
      </c>
      <c r="AU292" s="39">
        <v>0</v>
      </c>
      <c r="AV292" s="39">
        <v>0</v>
      </c>
      <c r="AW292" s="39">
        <v>0</v>
      </c>
      <c r="AX292" s="39">
        <v>0</v>
      </c>
      <c r="AY292" s="39">
        <v>0</v>
      </c>
      <c r="AZ292" s="39">
        <v>0</v>
      </c>
      <c r="BA292" s="39">
        <v>0</v>
      </c>
      <c r="BB292" s="39">
        <v>0</v>
      </c>
      <c r="BC292" s="39">
        <v>0</v>
      </c>
    </row>
    <row r="293" spans="3:55" hidden="1" outlineLevel="1" x14ac:dyDescent="0.2">
      <c r="C293" s="162" t="str">
        <v>Puertos RNC - sitios E1 para voz</v>
      </c>
      <c r="D293" s="162" t="str">
        <v>Minutos radio equivalentes UMTS R99</v>
      </c>
      <c r="E293" s="62">
        <f t="shared" si="54"/>
        <v>0</v>
      </c>
      <c r="F293" s="39">
        <f t="array" ref="F293:BC293">INDEX(RF.Option.Table,MATCH($D293,RF.Option.List,0),)</f>
        <v>0</v>
      </c>
      <c r="G293" s="39">
        <v>0</v>
      </c>
      <c r="H293" s="39">
        <v>0</v>
      </c>
      <c r="I293" s="39">
        <v>0</v>
      </c>
      <c r="J293" s="39">
        <v>0</v>
      </c>
      <c r="K293" s="39">
        <v>0</v>
      </c>
      <c r="L293" s="39">
        <v>0</v>
      </c>
      <c r="M293" s="39">
        <v>2.8319607843137256</v>
      </c>
      <c r="N293" s="39">
        <v>1.4232291666666665</v>
      </c>
      <c r="O293" s="39">
        <v>1.4516666666666667</v>
      </c>
      <c r="P293" s="39">
        <v>1.393888888888889</v>
      </c>
      <c r="Q293" s="39">
        <v>1.4232291666666665</v>
      </c>
      <c r="R293" s="39">
        <v>1.4516666666666667</v>
      </c>
      <c r="S293" s="39">
        <v>1.393888888888889</v>
      </c>
      <c r="T293" s="39">
        <v>0</v>
      </c>
      <c r="U293" s="39">
        <v>0</v>
      </c>
      <c r="V293" s="39">
        <v>0</v>
      </c>
      <c r="W293" s="39">
        <v>0</v>
      </c>
      <c r="X293" s="39">
        <v>0</v>
      </c>
      <c r="Y293" s="39">
        <v>0</v>
      </c>
      <c r="Z293" s="39">
        <v>0</v>
      </c>
      <c r="AA293" s="39">
        <v>0</v>
      </c>
      <c r="AB293" s="39">
        <v>0</v>
      </c>
      <c r="AC293" s="39">
        <v>0</v>
      </c>
      <c r="AD293" s="39">
        <v>1E-3</v>
      </c>
      <c r="AE293" s="39">
        <v>5.0000000000000001E-4</v>
      </c>
      <c r="AF293" s="39">
        <v>5.0000000000000001E-4</v>
      </c>
      <c r="AG293" s="39">
        <v>0</v>
      </c>
      <c r="AH293" s="39">
        <v>0</v>
      </c>
      <c r="AI293" s="39">
        <v>0</v>
      </c>
      <c r="AJ293" s="39">
        <v>0</v>
      </c>
      <c r="AK293" s="39">
        <v>9.1</v>
      </c>
      <c r="AL293" s="39">
        <v>0</v>
      </c>
      <c r="AM293" s="39">
        <v>0</v>
      </c>
      <c r="AN293" s="39">
        <v>0</v>
      </c>
      <c r="AO293" s="39">
        <v>0</v>
      </c>
      <c r="AP293" s="39">
        <v>0</v>
      </c>
      <c r="AQ293" s="39">
        <v>0</v>
      </c>
      <c r="AR293" s="39">
        <v>0</v>
      </c>
      <c r="AS293" s="39">
        <v>0</v>
      </c>
      <c r="AT293" s="39">
        <v>0</v>
      </c>
      <c r="AU293" s="39">
        <v>0</v>
      </c>
      <c r="AV293" s="39">
        <v>0</v>
      </c>
      <c r="AW293" s="39">
        <v>0</v>
      </c>
      <c r="AX293" s="39">
        <v>0</v>
      </c>
      <c r="AY293" s="39">
        <v>0</v>
      </c>
      <c r="AZ293" s="39">
        <v>0</v>
      </c>
      <c r="BA293" s="39">
        <v>0</v>
      </c>
      <c r="BB293" s="39">
        <v>0</v>
      </c>
      <c r="BC293" s="39">
        <v>0</v>
      </c>
    </row>
    <row r="294" spans="3:55" hidden="1" outlineLevel="1" x14ac:dyDescent="0.2">
      <c r="C294" s="162" t="str">
        <v>Puertos RNC - sitios 10M para voz</v>
      </c>
      <c r="D294" s="162" t="str">
        <v>Minutos radio equivalentes UMTS R99</v>
      </c>
      <c r="E294" s="62">
        <f t="shared" si="54"/>
        <v>0</v>
      </c>
      <c r="F294" s="39">
        <f t="array" ref="F294:BC294">INDEX(RF.Option.Table,MATCH($D294,RF.Option.List,0),)</f>
        <v>0</v>
      </c>
      <c r="G294" s="39">
        <v>0</v>
      </c>
      <c r="H294" s="39">
        <v>0</v>
      </c>
      <c r="I294" s="39">
        <v>0</v>
      </c>
      <c r="J294" s="39">
        <v>0</v>
      </c>
      <c r="K294" s="39">
        <v>0</v>
      </c>
      <c r="L294" s="39">
        <v>0</v>
      </c>
      <c r="M294" s="39">
        <v>2.8319607843137256</v>
      </c>
      <c r="N294" s="39">
        <v>1.4232291666666665</v>
      </c>
      <c r="O294" s="39">
        <v>1.4516666666666667</v>
      </c>
      <c r="P294" s="39">
        <v>1.393888888888889</v>
      </c>
      <c r="Q294" s="39">
        <v>1.4232291666666665</v>
      </c>
      <c r="R294" s="39">
        <v>1.4516666666666667</v>
      </c>
      <c r="S294" s="39">
        <v>1.393888888888889</v>
      </c>
      <c r="T294" s="39">
        <v>0</v>
      </c>
      <c r="U294" s="39">
        <v>0</v>
      </c>
      <c r="V294" s="39">
        <v>0</v>
      </c>
      <c r="W294" s="39">
        <v>0</v>
      </c>
      <c r="X294" s="39">
        <v>0</v>
      </c>
      <c r="Y294" s="39">
        <v>0</v>
      </c>
      <c r="Z294" s="39">
        <v>0</v>
      </c>
      <c r="AA294" s="39">
        <v>0</v>
      </c>
      <c r="AB294" s="39">
        <v>0</v>
      </c>
      <c r="AC294" s="39">
        <v>0</v>
      </c>
      <c r="AD294" s="39">
        <v>1E-3</v>
      </c>
      <c r="AE294" s="39">
        <v>5.0000000000000001E-4</v>
      </c>
      <c r="AF294" s="39">
        <v>5.0000000000000001E-4</v>
      </c>
      <c r="AG294" s="39">
        <v>0</v>
      </c>
      <c r="AH294" s="39">
        <v>0</v>
      </c>
      <c r="AI294" s="39">
        <v>0</v>
      </c>
      <c r="AJ294" s="39">
        <v>0</v>
      </c>
      <c r="AK294" s="39">
        <v>9.1</v>
      </c>
      <c r="AL294" s="39">
        <v>0</v>
      </c>
      <c r="AM294" s="39">
        <v>0</v>
      </c>
      <c r="AN294" s="39">
        <v>0</v>
      </c>
      <c r="AO294" s="39">
        <v>0</v>
      </c>
      <c r="AP294" s="39">
        <v>0</v>
      </c>
      <c r="AQ294" s="39">
        <v>0</v>
      </c>
      <c r="AR294" s="39">
        <v>0</v>
      </c>
      <c r="AS294" s="39">
        <v>0</v>
      </c>
      <c r="AT294" s="39">
        <v>0</v>
      </c>
      <c r="AU294" s="39">
        <v>0</v>
      </c>
      <c r="AV294" s="39">
        <v>0</v>
      </c>
      <c r="AW294" s="39">
        <v>0</v>
      </c>
      <c r="AX294" s="39">
        <v>0</v>
      </c>
      <c r="AY294" s="39">
        <v>0</v>
      </c>
      <c r="AZ294" s="39">
        <v>0</v>
      </c>
      <c r="BA294" s="39">
        <v>0</v>
      </c>
      <c r="BB294" s="39">
        <v>0</v>
      </c>
      <c r="BC294" s="39">
        <v>0</v>
      </c>
    </row>
    <row r="295" spans="3:55" hidden="1" outlineLevel="1" x14ac:dyDescent="0.2">
      <c r="C295" s="162" t="str">
        <v>Puertos RNC - sitios E1 para datos</v>
      </c>
      <c r="D295" s="162" t="str">
        <v>Tráfico radio HSDPA</v>
      </c>
      <c r="E295" s="62">
        <f t="shared" si="54"/>
        <v>0</v>
      </c>
      <c r="F295" s="39">
        <f t="array" ref="F295:BC295">INDEX(RF.Option.Table,MATCH($D295,RF.Option.List,0),)</f>
        <v>0</v>
      </c>
      <c r="G295" s="39">
        <v>0</v>
      </c>
      <c r="H295" s="39">
        <v>0</v>
      </c>
      <c r="I295" s="39">
        <v>0</v>
      </c>
      <c r="J295" s="39">
        <v>0</v>
      </c>
      <c r="K295" s="39">
        <v>0</v>
      </c>
      <c r="L295" s="39">
        <v>0</v>
      </c>
      <c r="M295" s="39">
        <v>0</v>
      </c>
      <c r="N295" s="39">
        <v>0</v>
      </c>
      <c r="O295" s="39">
        <v>0</v>
      </c>
      <c r="P295" s="39">
        <v>0</v>
      </c>
      <c r="Q295" s="39">
        <v>0</v>
      </c>
      <c r="R295" s="39">
        <v>0</v>
      </c>
      <c r="S295" s="39">
        <v>0</v>
      </c>
      <c r="T295" s="39">
        <v>0</v>
      </c>
      <c r="U295" s="39">
        <v>0</v>
      </c>
      <c r="V295" s="39">
        <v>0</v>
      </c>
      <c r="W295" s="39">
        <v>0</v>
      </c>
      <c r="X295" s="39">
        <v>0</v>
      </c>
      <c r="Y295" s="39">
        <v>0</v>
      </c>
      <c r="Z295" s="39">
        <v>0</v>
      </c>
      <c r="AA295" s="39">
        <v>0</v>
      </c>
      <c r="AB295" s="39">
        <v>0</v>
      </c>
      <c r="AC295" s="39">
        <v>0</v>
      </c>
      <c r="AD295" s="39">
        <v>0</v>
      </c>
      <c r="AE295" s="39">
        <v>0</v>
      </c>
      <c r="AF295" s="39">
        <v>1</v>
      </c>
      <c r="AG295" s="39">
        <v>0</v>
      </c>
      <c r="AH295" s="39">
        <v>0</v>
      </c>
      <c r="AI295" s="39">
        <v>0</v>
      </c>
      <c r="AJ295" s="39">
        <v>0</v>
      </c>
      <c r="AK295" s="39">
        <v>0</v>
      </c>
      <c r="AL295" s="39">
        <v>1</v>
      </c>
      <c r="AM295" s="39">
        <v>0</v>
      </c>
      <c r="AN295" s="39">
        <v>0</v>
      </c>
      <c r="AO295" s="39">
        <v>0</v>
      </c>
      <c r="AP295" s="39">
        <v>0</v>
      </c>
      <c r="AQ295" s="39">
        <v>0</v>
      </c>
      <c r="AR295" s="39">
        <v>0</v>
      </c>
      <c r="AS295" s="39">
        <v>0</v>
      </c>
      <c r="AT295" s="39">
        <v>0</v>
      </c>
      <c r="AU295" s="39">
        <v>0</v>
      </c>
      <c r="AV295" s="39">
        <v>0</v>
      </c>
      <c r="AW295" s="39">
        <v>0</v>
      </c>
      <c r="AX295" s="39">
        <v>0</v>
      </c>
      <c r="AY295" s="39">
        <v>0</v>
      </c>
      <c r="AZ295" s="39">
        <v>0</v>
      </c>
      <c r="BA295" s="39">
        <v>0</v>
      </c>
      <c r="BB295" s="39">
        <v>0</v>
      </c>
      <c r="BC295" s="39">
        <v>0</v>
      </c>
    </row>
    <row r="296" spans="3:55" hidden="1" outlineLevel="1" x14ac:dyDescent="0.2">
      <c r="C296" s="162" t="str">
        <v>Puertos RNC - sitios 10M para datos</v>
      </c>
      <c r="D296" s="162" t="str">
        <v>Tráfico radio HSDPA</v>
      </c>
      <c r="E296" s="62">
        <f t="shared" si="54"/>
        <v>0</v>
      </c>
      <c r="F296" s="39">
        <f t="array" ref="F296:BC296">INDEX(RF.Option.Table,MATCH($D296,RF.Option.List,0),)</f>
        <v>0</v>
      </c>
      <c r="G296" s="39">
        <v>0</v>
      </c>
      <c r="H296" s="39">
        <v>0</v>
      </c>
      <c r="I296" s="39">
        <v>0</v>
      </c>
      <c r="J296" s="39">
        <v>0</v>
      </c>
      <c r="K296" s="39">
        <v>0</v>
      </c>
      <c r="L296" s="39">
        <v>0</v>
      </c>
      <c r="M296" s="39">
        <v>0</v>
      </c>
      <c r="N296" s="39">
        <v>0</v>
      </c>
      <c r="O296" s="39">
        <v>0</v>
      </c>
      <c r="P296" s="39">
        <v>0</v>
      </c>
      <c r="Q296" s="39">
        <v>0</v>
      </c>
      <c r="R296" s="39">
        <v>0</v>
      </c>
      <c r="S296" s="39">
        <v>0</v>
      </c>
      <c r="T296" s="39">
        <v>0</v>
      </c>
      <c r="U296" s="39">
        <v>0</v>
      </c>
      <c r="V296" s="39">
        <v>0</v>
      </c>
      <c r="W296" s="39">
        <v>0</v>
      </c>
      <c r="X296" s="39">
        <v>0</v>
      </c>
      <c r="Y296" s="39">
        <v>0</v>
      </c>
      <c r="Z296" s="39">
        <v>0</v>
      </c>
      <c r="AA296" s="39">
        <v>0</v>
      </c>
      <c r="AB296" s="39">
        <v>0</v>
      </c>
      <c r="AC296" s="39">
        <v>0</v>
      </c>
      <c r="AD296" s="39">
        <v>0</v>
      </c>
      <c r="AE296" s="39">
        <v>0</v>
      </c>
      <c r="AF296" s="39">
        <v>1</v>
      </c>
      <c r="AG296" s="39">
        <v>0</v>
      </c>
      <c r="AH296" s="39">
        <v>0</v>
      </c>
      <c r="AI296" s="39">
        <v>0</v>
      </c>
      <c r="AJ296" s="39">
        <v>0</v>
      </c>
      <c r="AK296" s="39">
        <v>0</v>
      </c>
      <c r="AL296" s="39">
        <v>1</v>
      </c>
      <c r="AM296" s="39">
        <v>0</v>
      </c>
      <c r="AN296" s="39">
        <v>0</v>
      </c>
      <c r="AO296" s="39">
        <v>0</v>
      </c>
      <c r="AP296" s="39">
        <v>0</v>
      </c>
      <c r="AQ296" s="39">
        <v>0</v>
      </c>
      <c r="AR296" s="39">
        <v>0</v>
      </c>
      <c r="AS296" s="39">
        <v>0</v>
      </c>
      <c r="AT296" s="39">
        <v>0</v>
      </c>
      <c r="AU296" s="39">
        <v>0</v>
      </c>
      <c r="AV296" s="39">
        <v>0</v>
      </c>
      <c r="AW296" s="39">
        <v>0</v>
      </c>
      <c r="AX296" s="39">
        <v>0</v>
      </c>
      <c r="AY296" s="39">
        <v>0</v>
      </c>
      <c r="AZ296" s="39">
        <v>0</v>
      </c>
      <c r="BA296" s="39">
        <v>0</v>
      </c>
      <c r="BB296" s="39">
        <v>0</v>
      </c>
      <c r="BC296" s="39">
        <v>0</v>
      </c>
    </row>
    <row r="297" spans="3:55" hidden="1" outlineLevel="1" x14ac:dyDescent="0.2">
      <c r="C297" s="162" t="str">
        <v>Puertos BSC a Core: Voz: 8.45</v>
      </c>
      <c r="D297" s="162" t="str">
        <v>GSM solo voz radio y SMS</v>
      </c>
      <c r="E297" s="62">
        <f t="shared" si="54"/>
        <v>0</v>
      </c>
      <c r="F297" s="39">
        <f t="array" ref="F297:BC297">INDEX(RF.Option.Table,MATCH($D297,RF.Option.List,0),)</f>
        <v>2.1784313725490194</v>
      </c>
      <c r="G297" s="39">
        <v>1.0947916666666666</v>
      </c>
      <c r="H297" s="39">
        <v>1.1166666666666667</v>
      </c>
      <c r="I297" s="39">
        <v>1.0722222222222222</v>
      </c>
      <c r="J297" s="39">
        <v>1.0947916666666666</v>
      </c>
      <c r="K297" s="39">
        <v>1.1166666666666667</v>
      </c>
      <c r="L297" s="39">
        <v>1.0722222222222222</v>
      </c>
      <c r="M297" s="39">
        <v>0</v>
      </c>
      <c r="N297" s="39">
        <v>0</v>
      </c>
      <c r="O297" s="39">
        <v>0</v>
      </c>
      <c r="P297" s="39">
        <v>0</v>
      </c>
      <c r="Q297" s="39">
        <v>0</v>
      </c>
      <c r="R297" s="39">
        <v>0</v>
      </c>
      <c r="S297" s="39">
        <v>0</v>
      </c>
      <c r="T297" s="39">
        <v>0</v>
      </c>
      <c r="U297" s="39">
        <v>0</v>
      </c>
      <c r="V297" s="39">
        <v>0</v>
      </c>
      <c r="W297" s="39">
        <v>0</v>
      </c>
      <c r="X297" s="39">
        <v>0</v>
      </c>
      <c r="Y297" s="39">
        <v>0</v>
      </c>
      <c r="Z297" s="39">
        <v>0</v>
      </c>
      <c r="AA297" s="39">
        <v>2.6075619295958278E-3</v>
      </c>
      <c r="AB297" s="39">
        <v>1.3037809647979139E-3</v>
      </c>
      <c r="AC297" s="39">
        <v>1.3037809647979139E-3</v>
      </c>
      <c r="AD297" s="39">
        <v>0</v>
      </c>
      <c r="AE297" s="39">
        <v>0</v>
      </c>
      <c r="AF297" s="39">
        <v>0</v>
      </c>
      <c r="AG297" s="39">
        <v>0</v>
      </c>
      <c r="AH297" s="39">
        <v>0</v>
      </c>
      <c r="AI297" s="39">
        <v>0</v>
      </c>
      <c r="AJ297" s="39">
        <v>0</v>
      </c>
      <c r="AK297" s="39">
        <v>0</v>
      </c>
      <c r="AL297" s="39">
        <v>0</v>
      </c>
      <c r="AM297" s="39">
        <v>0</v>
      </c>
      <c r="AN297" s="39">
        <v>0</v>
      </c>
      <c r="AO297" s="39">
        <v>0</v>
      </c>
      <c r="AP297" s="39">
        <v>0</v>
      </c>
      <c r="AQ297" s="39">
        <v>0</v>
      </c>
      <c r="AR297" s="39">
        <v>0</v>
      </c>
      <c r="AS297" s="39">
        <v>0</v>
      </c>
      <c r="AT297" s="39">
        <v>0</v>
      </c>
      <c r="AU297" s="39">
        <v>0</v>
      </c>
      <c r="AV297" s="39">
        <v>0</v>
      </c>
      <c r="AW297" s="39">
        <v>0</v>
      </c>
      <c r="AX297" s="39">
        <v>0</v>
      </c>
      <c r="AY297" s="39">
        <v>0</v>
      </c>
      <c r="AZ297" s="39">
        <v>0</v>
      </c>
      <c r="BA297" s="39">
        <v>0</v>
      </c>
      <c r="BB297" s="39">
        <v>0</v>
      </c>
      <c r="BC297" s="39">
        <v>0</v>
      </c>
    </row>
    <row r="298" spans="3:55" hidden="1" outlineLevel="1" x14ac:dyDescent="0.2">
      <c r="C298" s="162" t="str">
        <v>Puertos BSC a Core: Voz: 34.37</v>
      </c>
      <c r="D298" s="162" t="str">
        <v>GSM solo voz radio y SMS</v>
      </c>
      <c r="E298" s="62">
        <f t="shared" si="54"/>
        <v>0</v>
      </c>
      <c r="F298" s="39">
        <f t="array" ref="F298:BC298">INDEX(RF.Option.Table,MATCH($D298,RF.Option.List,0),)</f>
        <v>2.1784313725490194</v>
      </c>
      <c r="G298" s="39">
        <v>1.0947916666666666</v>
      </c>
      <c r="H298" s="39">
        <v>1.1166666666666667</v>
      </c>
      <c r="I298" s="39">
        <v>1.0722222222222222</v>
      </c>
      <c r="J298" s="39">
        <v>1.0947916666666666</v>
      </c>
      <c r="K298" s="39">
        <v>1.1166666666666667</v>
      </c>
      <c r="L298" s="39">
        <v>1.0722222222222222</v>
      </c>
      <c r="M298" s="39">
        <v>0</v>
      </c>
      <c r="N298" s="39">
        <v>0</v>
      </c>
      <c r="O298" s="39">
        <v>0</v>
      </c>
      <c r="P298" s="39">
        <v>0</v>
      </c>
      <c r="Q298" s="39">
        <v>0</v>
      </c>
      <c r="R298" s="39">
        <v>0</v>
      </c>
      <c r="S298" s="39">
        <v>0</v>
      </c>
      <c r="T298" s="39">
        <v>0</v>
      </c>
      <c r="U298" s="39">
        <v>0</v>
      </c>
      <c r="V298" s="39">
        <v>0</v>
      </c>
      <c r="W298" s="39">
        <v>0</v>
      </c>
      <c r="X298" s="39">
        <v>0</v>
      </c>
      <c r="Y298" s="39">
        <v>0</v>
      </c>
      <c r="Z298" s="39">
        <v>0</v>
      </c>
      <c r="AA298" s="39">
        <v>2.6075619295958278E-3</v>
      </c>
      <c r="AB298" s="39">
        <v>1.3037809647979139E-3</v>
      </c>
      <c r="AC298" s="39">
        <v>1.3037809647979139E-3</v>
      </c>
      <c r="AD298" s="39">
        <v>0</v>
      </c>
      <c r="AE298" s="39">
        <v>0</v>
      </c>
      <c r="AF298" s="39">
        <v>0</v>
      </c>
      <c r="AG298" s="39">
        <v>0</v>
      </c>
      <c r="AH298" s="39">
        <v>0</v>
      </c>
      <c r="AI298" s="39">
        <v>0</v>
      </c>
      <c r="AJ298" s="39">
        <v>0</v>
      </c>
      <c r="AK298" s="39">
        <v>0</v>
      </c>
      <c r="AL298" s="39">
        <v>0</v>
      </c>
      <c r="AM298" s="39">
        <v>0</v>
      </c>
      <c r="AN298" s="39">
        <v>0</v>
      </c>
      <c r="AO298" s="39">
        <v>0</v>
      </c>
      <c r="AP298" s="39">
        <v>0</v>
      </c>
      <c r="AQ298" s="39">
        <v>0</v>
      </c>
      <c r="AR298" s="39">
        <v>0</v>
      </c>
      <c r="AS298" s="39">
        <v>0</v>
      </c>
      <c r="AT298" s="39">
        <v>0</v>
      </c>
      <c r="AU298" s="39">
        <v>0</v>
      </c>
      <c r="AV298" s="39">
        <v>0</v>
      </c>
      <c r="AW298" s="39">
        <v>0</v>
      </c>
      <c r="AX298" s="39">
        <v>0</v>
      </c>
      <c r="AY298" s="39">
        <v>0</v>
      </c>
      <c r="AZ298" s="39">
        <v>0</v>
      </c>
      <c r="BA298" s="39">
        <v>0</v>
      </c>
      <c r="BB298" s="39">
        <v>0</v>
      </c>
      <c r="BC298" s="39">
        <v>0</v>
      </c>
    </row>
    <row r="299" spans="3:55" hidden="1" outlineLevel="1" x14ac:dyDescent="0.2">
      <c r="C299" s="162" t="str">
        <v>Puertos BSC a Core: Voz: 155.52</v>
      </c>
      <c r="D299" s="162" t="str">
        <v>GSM solo voz radio y SMS</v>
      </c>
      <c r="E299" s="62">
        <f t="shared" si="54"/>
        <v>0</v>
      </c>
      <c r="F299" s="39">
        <f t="array" ref="F299:BC299">INDEX(RF.Option.Table,MATCH($D299,RF.Option.List,0),)</f>
        <v>2.1784313725490194</v>
      </c>
      <c r="G299" s="39">
        <v>1.0947916666666666</v>
      </c>
      <c r="H299" s="39">
        <v>1.1166666666666667</v>
      </c>
      <c r="I299" s="39">
        <v>1.0722222222222222</v>
      </c>
      <c r="J299" s="39">
        <v>1.0947916666666666</v>
      </c>
      <c r="K299" s="39">
        <v>1.1166666666666667</v>
      </c>
      <c r="L299" s="39">
        <v>1.0722222222222222</v>
      </c>
      <c r="M299" s="39">
        <v>0</v>
      </c>
      <c r="N299" s="39">
        <v>0</v>
      </c>
      <c r="O299" s="39">
        <v>0</v>
      </c>
      <c r="P299" s="39">
        <v>0</v>
      </c>
      <c r="Q299" s="39">
        <v>0</v>
      </c>
      <c r="R299" s="39">
        <v>0</v>
      </c>
      <c r="S299" s="39">
        <v>0</v>
      </c>
      <c r="T299" s="39">
        <v>0</v>
      </c>
      <c r="U299" s="39">
        <v>0</v>
      </c>
      <c r="V299" s="39">
        <v>0</v>
      </c>
      <c r="W299" s="39">
        <v>0</v>
      </c>
      <c r="X299" s="39">
        <v>0</v>
      </c>
      <c r="Y299" s="39">
        <v>0</v>
      </c>
      <c r="Z299" s="39">
        <v>0</v>
      </c>
      <c r="AA299" s="39">
        <v>2.6075619295958278E-3</v>
      </c>
      <c r="AB299" s="39">
        <v>1.3037809647979139E-3</v>
      </c>
      <c r="AC299" s="39">
        <v>1.3037809647979139E-3</v>
      </c>
      <c r="AD299" s="39">
        <v>0</v>
      </c>
      <c r="AE299" s="39">
        <v>0</v>
      </c>
      <c r="AF299" s="39">
        <v>0</v>
      </c>
      <c r="AG299" s="39">
        <v>0</v>
      </c>
      <c r="AH299" s="39">
        <v>0</v>
      </c>
      <c r="AI299" s="39">
        <v>0</v>
      </c>
      <c r="AJ299" s="39">
        <v>0</v>
      </c>
      <c r="AK299" s="39">
        <v>0</v>
      </c>
      <c r="AL299" s="39">
        <v>0</v>
      </c>
      <c r="AM299" s="39">
        <v>0</v>
      </c>
      <c r="AN299" s="39">
        <v>0</v>
      </c>
      <c r="AO299" s="39">
        <v>0</v>
      </c>
      <c r="AP299" s="39">
        <v>0</v>
      </c>
      <c r="AQ299" s="39">
        <v>0</v>
      </c>
      <c r="AR299" s="39">
        <v>0</v>
      </c>
      <c r="AS299" s="39">
        <v>0</v>
      </c>
      <c r="AT299" s="39">
        <v>0</v>
      </c>
      <c r="AU299" s="39">
        <v>0</v>
      </c>
      <c r="AV299" s="39">
        <v>0</v>
      </c>
      <c r="AW299" s="39">
        <v>0</v>
      </c>
      <c r="AX299" s="39">
        <v>0</v>
      </c>
      <c r="AY299" s="39">
        <v>0</v>
      </c>
      <c r="AZ299" s="39">
        <v>0</v>
      </c>
      <c r="BA299" s="39">
        <v>0</v>
      </c>
      <c r="BB299" s="39">
        <v>0</v>
      </c>
      <c r="BC299" s="39">
        <v>0</v>
      </c>
    </row>
    <row r="300" spans="3:55" hidden="1" outlineLevel="1" x14ac:dyDescent="0.2">
      <c r="C300" s="162" t="str">
        <v>Puertos BSC a Core: Voz: 30</v>
      </c>
      <c r="D300" s="162" t="str">
        <v>GSM solo voz radio y SMS</v>
      </c>
      <c r="E300" s="62">
        <f t="shared" si="54"/>
        <v>0</v>
      </c>
      <c r="F300" s="39">
        <f t="array" ref="F300:BC300">INDEX(RF.Option.Table,MATCH($D300,RF.Option.List,0),)</f>
        <v>2.1784313725490194</v>
      </c>
      <c r="G300" s="39">
        <v>1.0947916666666666</v>
      </c>
      <c r="H300" s="39">
        <v>1.1166666666666667</v>
      </c>
      <c r="I300" s="39">
        <v>1.0722222222222222</v>
      </c>
      <c r="J300" s="39">
        <v>1.0947916666666666</v>
      </c>
      <c r="K300" s="39">
        <v>1.1166666666666667</v>
      </c>
      <c r="L300" s="39">
        <v>1.0722222222222222</v>
      </c>
      <c r="M300" s="39">
        <v>0</v>
      </c>
      <c r="N300" s="39">
        <v>0</v>
      </c>
      <c r="O300" s="39">
        <v>0</v>
      </c>
      <c r="P300" s="39">
        <v>0</v>
      </c>
      <c r="Q300" s="39">
        <v>0</v>
      </c>
      <c r="R300" s="39">
        <v>0</v>
      </c>
      <c r="S300" s="39">
        <v>0</v>
      </c>
      <c r="T300" s="39">
        <v>0</v>
      </c>
      <c r="U300" s="39">
        <v>0</v>
      </c>
      <c r="V300" s="39">
        <v>0</v>
      </c>
      <c r="W300" s="39">
        <v>0</v>
      </c>
      <c r="X300" s="39">
        <v>0</v>
      </c>
      <c r="Y300" s="39">
        <v>0</v>
      </c>
      <c r="Z300" s="39">
        <v>0</v>
      </c>
      <c r="AA300" s="39">
        <v>2.6075619295958278E-3</v>
      </c>
      <c r="AB300" s="39">
        <v>1.3037809647979139E-3</v>
      </c>
      <c r="AC300" s="39">
        <v>1.3037809647979139E-3</v>
      </c>
      <c r="AD300" s="39">
        <v>0</v>
      </c>
      <c r="AE300" s="39">
        <v>0</v>
      </c>
      <c r="AF300" s="39">
        <v>0</v>
      </c>
      <c r="AG300" s="39">
        <v>0</v>
      </c>
      <c r="AH300" s="39">
        <v>0</v>
      </c>
      <c r="AI300" s="39">
        <v>0</v>
      </c>
      <c r="AJ300" s="39">
        <v>0</v>
      </c>
      <c r="AK300" s="39">
        <v>0</v>
      </c>
      <c r="AL300" s="39">
        <v>0</v>
      </c>
      <c r="AM300" s="39">
        <v>0</v>
      </c>
      <c r="AN300" s="39">
        <v>0</v>
      </c>
      <c r="AO300" s="39">
        <v>0</v>
      </c>
      <c r="AP300" s="39">
        <v>0</v>
      </c>
      <c r="AQ300" s="39">
        <v>0</v>
      </c>
      <c r="AR300" s="39">
        <v>0</v>
      </c>
      <c r="AS300" s="39">
        <v>0</v>
      </c>
      <c r="AT300" s="39">
        <v>0</v>
      </c>
      <c r="AU300" s="39">
        <v>0</v>
      </c>
      <c r="AV300" s="39">
        <v>0</v>
      </c>
      <c r="AW300" s="39">
        <v>0</v>
      </c>
      <c r="AX300" s="39">
        <v>0</v>
      </c>
      <c r="AY300" s="39">
        <v>0</v>
      </c>
      <c r="AZ300" s="39">
        <v>0</v>
      </c>
      <c r="BA300" s="39">
        <v>0</v>
      </c>
      <c r="BB300" s="39">
        <v>0</v>
      </c>
      <c r="BC300" s="39">
        <v>0</v>
      </c>
    </row>
    <row r="301" spans="3:55" hidden="1" outlineLevel="1" x14ac:dyDescent="0.2">
      <c r="C301" s="162" t="str">
        <v>Puertos BSC a Core: Voz: 100</v>
      </c>
      <c r="D301" s="162" t="str">
        <v>GSM solo voz radio y SMS</v>
      </c>
      <c r="E301" s="62">
        <f t="shared" si="54"/>
        <v>0</v>
      </c>
      <c r="F301" s="39">
        <f t="array" ref="F301:BC301">INDEX(RF.Option.Table,MATCH($D301,RF.Option.List,0),)</f>
        <v>2.1784313725490194</v>
      </c>
      <c r="G301" s="39">
        <v>1.0947916666666666</v>
      </c>
      <c r="H301" s="39">
        <v>1.1166666666666667</v>
      </c>
      <c r="I301" s="39">
        <v>1.0722222222222222</v>
      </c>
      <c r="J301" s="39">
        <v>1.0947916666666666</v>
      </c>
      <c r="K301" s="39">
        <v>1.1166666666666667</v>
      </c>
      <c r="L301" s="39">
        <v>1.0722222222222222</v>
      </c>
      <c r="M301" s="39">
        <v>0</v>
      </c>
      <c r="N301" s="39">
        <v>0</v>
      </c>
      <c r="O301" s="39">
        <v>0</v>
      </c>
      <c r="P301" s="39">
        <v>0</v>
      </c>
      <c r="Q301" s="39">
        <v>0</v>
      </c>
      <c r="R301" s="39">
        <v>0</v>
      </c>
      <c r="S301" s="39">
        <v>0</v>
      </c>
      <c r="T301" s="39">
        <v>0</v>
      </c>
      <c r="U301" s="39">
        <v>0</v>
      </c>
      <c r="V301" s="39">
        <v>0</v>
      </c>
      <c r="W301" s="39">
        <v>0</v>
      </c>
      <c r="X301" s="39">
        <v>0</v>
      </c>
      <c r="Y301" s="39">
        <v>0</v>
      </c>
      <c r="Z301" s="39">
        <v>0</v>
      </c>
      <c r="AA301" s="39">
        <v>2.6075619295958278E-3</v>
      </c>
      <c r="AB301" s="39">
        <v>1.3037809647979139E-3</v>
      </c>
      <c r="AC301" s="39">
        <v>1.3037809647979139E-3</v>
      </c>
      <c r="AD301" s="39">
        <v>0</v>
      </c>
      <c r="AE301" s="39">
        <v>0</v>
      </c>
      <c r="AF301" s="39">
        <v>0</v>
      </c>
      <c r="AG301" s="39">
        <v>0</v>
      </c>
      <c r="AH301" s="39">
        <v>0</v>
      </c>
      <c r="AI301" s="39">
        <v>0</v>
      </c>
      <c r="AJ301" s="39">
        <v>0</v>
      </c>
      <c r="AK301" s="39">
        <v>0</v>
      </c>
      <c r="AL301" s="39">
        <v>0</v>
      </c>
      <c r="AM301" s="39">
        <v>0</v>
      </c>
      <c r="AN301" s="39">
        <v>0</v>
      </c>
      <c r="AO301" s="39">
        <v>0</v>
      </c>
      <c r="AP301" s="39">
        <v>0</v>
      </c>
      <c r="AQ301" s="39">
        <v>0</v>
      </c>
      <c r="AR301" s="39">
        <v>0</v>
      </c>
      <c r="AS301" s="39">
        <v>0</v>
      </c>
      <c r="AT301" s="39">
        <v>0</v>
      </c>
      <c r="AU301" s="39">
        <v>0</v>
      </c>
      <c r="AV301" s="39">
        <v>0</v>
      </c>
      <c r="AW301" s="39">
        <v>0</v>
      </c>
      <c r="AX301" s="39">
        <v>0</v>
      </c>
      <c r="AY301" s="39">
        <v>0</v>
      </c>
      <c r="AZ301" s="39">
        <v>0</v>
      </c>
      <c r="BA301" s="39">
        <v>0</v>
      </c>
      <c r="BB301" s="39">
        <v>0</v>
      </c>
      <c r="BC301" s="39">
        <v>0</v>
      </c>
    </row>
    <row r="302" spans="3:55" hidden="1" outlineLevel="1" x14ac:dyDescent="0.2">
      <c r="C302" s="162" t="str">
        <v>Puertos BSC a Core: Voz: 1024</v>
      </c>
      <c r="D302" s="162" t="str">
        <v>GSM solo voz radio y SMS</v>
      </c>
      <c r="E302" s="62">
        <f t="shared" si="54"/>
        <v>0</v>
      </c>
      <c r="F302" s="39">
        <f t="array" ref="F302:BC302">INDEX(RF.Option.Table,MATCH($D302,RF.Option.List,0),)</f>
        <v>2.1784313725490194</v>
      </c>
      <c r="G302" s="39">
        <v>1.0947916666666666</v>
      </c>
      <c r="H302" s="39">
        <v>1.1166666666666667</v>
      </c>
      <c r="I302" s="39">
        <v>1.0722222222222222</v>
      </c>
      <c r="J302" s="39">
        <v>1.0947916666666666</v>
      </c>
      <c r="K302" s="39">
        <v>1.1166666666666667</v>
      </c>
      <c r="L302" s="39">
        <v>1.0722222222222222</v>
      </c>
      <c r="M302" s="39">
        <v>0</v>
      </c>
      <c r="N302" s="39">
        <v>0</v>
      </c>
      <c r="O302" s="39">
        <v>0</v>
      </c>
      <c r="P302" s="39">
        <v>0</v>
      </c>
      <c r="Q302" s="39">
        <v>0</v>
      </c>
      <c r="R302" s="39">
        <v>0</v>
      </c>
      <c r="S302" s="39">
        <v>0</v>
      </c>
      <c r="T302" s="39">
        <v>0</v>
      </c>
      <c r="U302" s="39">
        <v>0</v>
      </c>
      <c r="V302" s="39">
        <v>0</v>
      </c>
      <c r="W302" s="39">
        <v>0</v>
      </c>
      <c r="X302" s="39">
        <v>0</v>
      </c>
      <c r="Y302" s="39">
        <v>0</v>
      </c>
      <c r="Z302" s="39">
        <v>0</v>
      </c>
      <c r="AA302" s="39">
        <v>2.6075619295958278E-3</v>
      </c>
      <c r="AB302" s="39">
        <v>1.3037809647979139E-3</v>
      </c>
      <c r="AC302" s="39">
        <v>1.3037809647979139E-3</v>
      </c>
      <c r="AD302" s="39">
        <v>0</v>
      </c>
      <c r="AE302" s="39">
        <v>0</v>
      </c>
      <c r="AF302" s="39">
        <v>0</v>
      </c>
      <c r="AG302" s="39">
        <v>0</v>
      </c>
      <c r="AH302" s="39">
        <v>0</v>
      </c>
      <c r="AI302" s="39">
        <v>0</v>
      </c>
      <c r="AJ302" s="39">
        <v>0</v>
      </c>
      <c r="AK302" s="39">
        <v>0</v>
      </c>
      <c r="AL302" s="39">
        <v>0</v>
      </c>
      <c r="AM302" s="39">
        <v>0</v>
      </c>
      <c r="AN302" s="39">
        <v>0</v>
      </c>
      <c r="AO302" s="39">
        <v>0</v>
      </c>
      <c r="AP302" s="39">
        <v>0</v>
      </c>
      <c r="AQ302" s="39">
        <v>0</v>
      </c>
      <c r="AR302" s="39">
        <v>0</v>
      </c>
      <c r="AS302" s="39">
        <v>0</v>
      </c>
      <c r="AT302" s="39">
        <v>0</v>
      </c>
      <c r="AU302" s="39">
        <v>0</v>
      </c>
      <c r="AV302" s="39">
        <v>0</v>
      </c>
      <c r="AW302" s="39">
        <v>0</v>
      </c>
      <c r="AX302" s="39">
        <v>0</v>
      </c>
      <c r="AY302" s="39">
        <v>0</v>
      </c>
      <c r="AZ302" s="39">
        <v>0</v>
      </c>
      <c r="BA302" s="39">
        <v>0</v>
      </c>
      <c r="BB302" s="39">
        <v>0</v>
      </c>
      <c r="BC302" s="39">
        <v>0</v>
      </c>
    </row>
    <row r="303" spans="3:55" hidden="1" outlineLevel="1" x14ac:dyDescent="0.2">
      <c r="C303" s="162" t="str">
        <v>Puertos BSC a Core: Datos: 8.45</v>
      </c>
      <c r="D303" s="162" t="str">
        <v>GSM tráfico de datos solo</v>
      </c>
      <c r="E303" s="62">
        <f t="shared" si="54"/>
        <v>0</v>
      </c>
      <c r="F303" s="39">
        <f t="array" ref="F303:BC303">INDEX(RF.Option.Table,MATCH($D303,RF.Option.List,0),)</f>
        <v>0</v>
      </c>
      <c r="G303" s="39">
        <v>0</v>
      </c>
      <c r="H303" s="39">
        <v>0</v>
      </c>
      <c r="I303" s="39">
        <v>0</v>
      </c>
      <c r="J303" s="39">
        <v>0</v>
      </c>
      <c r="K303" s="39">
        <v>0</v>
      </c>
      <c r="L303" s="39">
        <v>0</v>
      </c>
      <c r="M303" s="39">
        <v>0</v>
      </c>
      <c r="N303" s="39">
        <v>0</v>
      </c>
      <c r="O303" s="39">
        <v>0</v>
      </c>
      <c r="P303" s="39">
        <v>0</v>
      </c>
      <c r="Q303" s="39">
        <v>0</v>
      </c>
      <c r="R303" s="39">
        <v>0</v>
      </c>
      <c r="S303" s="39">
        <v>0</v>
      </c>
      <c r="T303" s="39">
        <v>0</v>
      </c>
      <c r="U303" s="39">
        <v>0</v>
      </c>
      <c r="V303" s="39">
        <v>0</v>
      </c>
      <c r="W303" s="39">
        <v>0</v>
      </c>
      <c r="X303" s="39">
        <v>0</v>
      </c>
      <c r="Y303" s="39">
        <v>0</v>
      </c>
      <c r="Z303" s="39">
        <v>0</v>
      </c>
      <c r="AA303" s="39">
        <v>0</v>
      </c>
      <c r="AB303" s="39">
        <v>0</v>
      </c>
      <c r="AC303" s="39">
        <v>0</v>
      </c>
      <c r="AD303" s="39">
        <v>0</v>
      </c>
      <c r="AE303" s="39">
        <v>0</v>
      </c>
      <c r="AF303" s="39">
        <v>0</v>
      </c>
      <c r="AG303" s="39">
        <v>0</v>
      </c>
      <c r="AH303" s="39">
        <v>0</v>
      </c>
      <c r="AI303" s="39">
        <v>0</v>
      </c>
      <c r="AJ303" s="39">
        <v>1</v>
      </c>
      <c r="AK303" s="39">
        <v>0</v>
      </c>
      <c r="AL303" s="39">
        <v>0</v>
      </c>
      <c r="AM303" s="39">
        <v>0</v>
      </c>
      <c r="AN303" s="39">
        <v>0</v>
      </c>
      <c r="AO303" s="39">
        <v>0</v>
      </c>
      <c r="AP303" s="39">
        <v>0</v>
      </c>
      <c r="AQ303" s="39">
        <v>0</v>
      </c>
      <c r="AR303" s="39">
        <v>0</v>
      </c>
      <c r="AS303" s="39">
        <v>0</v>
      </c>
      <c r="AT303" s="39">
        <v>0</v>
      </c>
      <c r="AU303" s="39">
        <v>0</v>
      </c>
      <c r="AV303" s="39">
        <v>0</v>
      </c>
      <c r="AW303" s="39">
        <v>0</v>
      </c>
      <c r="AX303" s="39">
        <v>0</v>
      </c>
      <c r="AY303" s="39">
        <v>0</v>
      </c>
      <c r="AZ303" s="39">
        <v>0</v>
      </c>
      <c r="BA303" s="39">
        <v>0</v>
      </c>
      <c r="BB303" s="39">
        <v>0</v>
      </c>
      <c r="BC303" s="39">
        <v>0</v>
      </c>
    </row>
    <row r="304" spans="3:55" hidden="1" outlineLevel="1" x14ac:dyDescent="0.2">
      <c r="C304" s="162" t="str">
        <v>Puertos BSC a Core: Datos: 34.37</v>
      </c>
      <c r="D304" s="162" t="str">
        <v>GSM tráfico de datos solo</v>
      </c>
      <c r="E304" s="62">
        <f t="shared" si="54"/>
        <v>0</v>
      </c>
      <c r="F304" s="39">
        <f t="array" ref="F304:BC304">INDEX(RF.Option.Table,MATCH($D304,RF.Option.List,0),)</f>
        <v>0</v>
      </c>
      <c r="G304" s="39">
        <v>0</v>
      </c>
      <c r="H304" s="39">
        <v>0</v>
      </c>
      <c r="I304" s="39">
        <v>0</v>
      </c>
      <c r="J304" s="39">
        <v>0</v>
      </c>
      <c r="K304" s="39">
        <v>0</v>
      </c>
      <c r="L304" s="39">
        <v>0</v>
      </c>
      <c r="M304" s="39">
        <v>0</v>
      </c>
      <c r="N304" s="39">
        <v>0</v>
      </c>
      <c r="O304" s="39">
        <v>0</v>
      </c>
      <c r="P304" s="39">
        <v>0</v>
      </c>
      <c r="Q304" s="39">
        <v>0</v>
      </c>
      <c r="R304" s="39">
        <v>0</v>
      </c>
      <c r="S304" s="39">
        <v>0</v>
      </c>
      <c r="T304" s="39">
        <v>0</v>
      </c>
      <c r="U304" s="39">
        <v>0</v>
      </c>
      <c r="V304" s="39">
        <v>0</v>
      </c>
      <c r="W304" s="39">
        <v>0</v>
      </c>
      <c r="X304" s="39">
        <v>0</v>
      </c>
      <c r="Y304" s="39">
        <v>0</v>
      </c>
      <c r="Z304" s="39">
        <v>0</v>
      </c>
      <c r="AA304" s="39">
        <v>0</v>
      </c>
      <c r="AB304" s="39">
        <v>0</v>
      </c>
      <c r="AC304" s="39">
        <v>0</v>
      </c>
      <c r="AD304" s="39">
        <v>0</v>
      </c>
      <c r="AE304" s="39">
        <v>0</v>
      </c>
      <c r="AF304" s="39">
        <v>0</v>
      </c>
      <c r="AG304" s="39">
        <v>0</v>
      </c>
      <c r="AH304" s="39">
        <v>0</v>
      </c>
      <c r="AI304" s="39">
        <v>0</v>
      </c>
      <c r="AJ304" s="39">
        <v>1</v>
      </c>
      <c r="AK304" s="39">
        <v>0</v>
      </c>
      <c r="AL304" s="39">
        <v>0</v>
      </c>
      <c r="AM304" s="39">
        <v>0</v>
      </c>
      <c r="AN304" s="39">
        <v>0</v>
      </c>
      <c r="AO304" s="39">
        <v>0</v>
      </c>
      <c r="AP304" s="39">
        <v>0</v>
      </c>
      <c r="AQ304" s="39">
        <v>0</v>
      </c>
      <c r="AR304" s="39">
        <v>0</v>
      </c>
      <c r="AS304" s="39">
        <v>0</v>
      </c>
      <c r="AT304" s="39">
        <v>0</v>
      </c>
      <c r="AU304" s="39">
        <v>0</v>
      </c>
      <c r="AV304" s="39">
        <v>0</v>
      </c>
      <c r="AW304" s="39">
        <v>0</v>
      </c>
      <c r="AX304" s="39">
        <v>0</v>
      </c>
      <c r="AY304" s="39">
        <v>0</v>
      </c>
      <c r="AZ304" s="39">
        <v>0</v>
      </c>
      <c r="BA304" s="39">
        <v>0</v>
      </c>
      <c r="BB304" s="39">
        <v>0</v>
      </c>
      <c r="BC304" s="39">
        <v>0</v>
      </c>
    </row>
    <row r="305" spans="3:55" hidden="1" outlineLevel="1" x14ac:dyDescent="0.2">
      <c r="C305" s="162" t="str">
        <v>Puertos BSC a Core: Datos: 155.52</v>
      </c>
      <c r="D305" s="162" t="str">
        <v>GSM tráfico de datos solo</v>
      </c>
      <c r="E305" s="62">
        <f t="shared" si="54"/>
        <v>0</v>
      </c>
      <c r="F305" s="39">
        <f t="array" ref="F305:BC305">INDEX(RF.Option.Table,MATCH($D305,RF.Option.List,0),)</f>
        <v>0</v>
      </c>
      <c r="G305" s="39">
        <v>0</v>
      </c>
      <c r="H305" s="39">
        <v>0</v>
      </c>
      <c r="I305" s="39">
        <v>0</v>
      </c>
      <c r="J305" s="39">
        <v>0</v>
      </c>
      <c r="K305" s="39">
        <v>0</v>
      </c>
      <c r="L305" s="39">
        <v>0</v>
      </c>
      <c r="M305" s="39">
        <v>0</v>
      </c>
      <c r="N305" s="39">
        <v>0</v>
      </c>
      <c r="O305" s="39">
        <v>0</v>
      </c>
      <c r="P305" s="39">
        <v>0</v>
      </c>
      <c r="Q305" s="39">
        <v>0</v>
      </c>
      <c r="R305" s="39">
        <v>0</v>
      </c>
      <c r="S305" s="39">
        <v>0</v>
      </c>
      <c r="T305" s="39">
        <v>0</v>
      </c>
      <c r="U305" s="39">
        <v>0</v>
      </c>
      <c r="V305" s="39">
        <v>0</v>
      </c>
      <c r="W305" s="39">
        <v>0</v>
      </c>
      <c r="X305" s="39">
        <v>0</v>
      </c>
      <c r="Y305" s="39">
        <v>0</v>
      </c>
      <c r="Z305" s="39">
        <v>0</v>
      </c>
      <c r="AA305" s="39">
        <v>0</v>
      </c>
      <c r="AB305" s="39">
        <v>0</v>
      </c>
      <c r="AC305" s="39">
        <v>0</v>
      </c>
      <c r="AD305" s="39">
        <v>0</v>
      </c>
      <c r="AE305" s="39">
        <v>0</v>
      </c>
      <c r="AF305" s="39">
        <v>0</v>
      </c>
      <c r="AG305" s="39">
        <v>0</v>
      </c>
      <c r="AH305" s="39">
        <v>0</v>
      </c>
      <c r="AI305" s="39">
        <v>0</v>
      </c>
      <c r="AJ305" s="39">
        <v>1</v>
      </c>
      <c r="AK305" s="39">
        <v>0</v>
      </c>
      <c r="AL305" s="39">
        <v>0</v>
      </c>
      <c r="AM305" s="39">
        <v>0</v>
      </c>
      <c r="AN305" s="39">
        <v>0</v>
      </c>
      <c r="AO305" s="39">
        <v>0</v>
      </c>
      <c r="AP305" s="39">
        <v>0</v>
      </c>
      <c r="AQ305" s="39">
        <v>0</v>
      </c>
      <c r="AR305" s="39">
        <v>0</v>
      </c>
      <c r="AS305" s="39">
        <v>0</v>
      </c>
      <c r="AT305" s="39">
        <v>0</v>
      </c>
      <c r="AU305" s="39">
        <v>0</v>
      </c>
      <c r="AV305" s="39">
        <v>0</v>
      </c>
      <c r="AW305" s="39">
        <v>0</v>
      </c>
      <c r="AX305" s="39">
        <v>0</v>
      </c>
      <c r="AY305" s="39">
        <v>0</v>
      </c>
      <c r="AZ305" s="39">
        <v>0</v>
      </c>
      <c r="BA305" s="39">
        <v>0</v>
      </c>
      <c r="BB305" s="39">
        <v>0</v>
      </c>
      <c r="BC305" s="39">
        <v>0</v>
      </c>
    </row>
    <row r="306" spans="3:55" hidden="1" outlineLevel="1" x14ac:dyDescent="0.2">
      <c r="C306" s="162" t="str">
        <v>Puertos BSC a Core: Datos: 30</v>
      </c>
      <c r="D306" s="162" t="str">
        <v>GSM tráfico de datos solo</v>
      </c>
      <c r="E306" s="62">
        <f t="shared" si="54"/>
        <v>0</v>
      </c>
      <c r="F306" s="39">
        <f t="array" ref="F306:BC306">INDEX(RF.Option.Table,MATCH($D306,RF.Option.List,0),)</f>
        <v>0</v>
      </c>
      <c r="G306" s="39">
        <v>0</v>
      </c>
      <c r="H306" s="39">
        <v>0</v>
      </c>
      <c r="I306" s="39">
        <v>0</v>
      </c>
      <c r="J306" s="39">
        <v>0</v>
      </c>
      <c r="K306" s="39">
        <v>0</v>
      </c>
      <c r="L306" s="39">
        <v>0</v>
      </c>
      <c r="M306" s="39">
        <v>0</v>
      </c>
      <c r="N306" s="39">
        <v>0</v>
      </c>
      <c r="O306" s="39">
        <v>0</v>
      </c>
      <c r="P306" s="39">
        <v>0</v>
      </c>
      <c r="Q306" s="39">
        <v>0</v>
      </c>
      <c r="R306" s="39">
        <v>0</v>
      </c>
      <c r="S306" s="39">
        <v>0</v>
      </c>
      <c r="T306" s="39">
        <v>0</v>
      </c>
      <c r="U306" s="39">
        <v>0</v>
      </c>
      <c r="V306" s="39">
        <v>0</v>
      </c>
      <c r="W306" s="39">
        <v>0</v>
      </c>
      <c r="X306" s="39">
        <v>0</v>
      </c>
      <c r="Y306" s="39">
        <v>0</v>
      </c>
      <c r="Z306" s="39">
        <v>0</v>
      </c>
      <c r="AA306" s="39">
        <v>0</v>
      </c>
      <c r="AB306" s="39">
        <v>0</v>
      </c>
      <c r="AC306" s="39">
        <v>0</v>
      </c>
      <c r="AD306" s="39">
        <v>0</v>
      </c>
      <c r="AE306" s="39">
        <v>0</v>
      </c>
      <c r="AF306" s="39">
        <v>0</v>
      </c>
      <c r="AG306" s="39">
        <v>0</v>
      </c>
      <c r="AH306" s="39">
        <v>0</v>
      </c>
      <c r="AI306" s="39">
        <v>0</v>
      </c>
      <c r="AJ306" s="39">
        <v>1</v>
      </c>
      <c r="AK306" s="39">
        <v>0</v>
      </c>
      <c r="AL306" s="39">
        <v>0</v>
      </c>
      <c r="AM306" s="39">
        <v>0</v>
      </c>
      <c r="AN306" s="39">
        <v>0</v>
      </c>
      <c r="AO306" s="39">
        <v>0</v>
      </c>
      <c r="AP306" s="39">
        <v>0</v>
      </c>
      <c r="AQ306" s="39">
        <v>0</v>
      </c>
      <c r="AR306" s="39">
        <v>0</v>
      </c>
      <c r="AS306" s="39">
        <v>0</v>
      </c>
      <c r="AT306" s="39">
        <v>0</v>
      </c>
      <c r="AU306" s="39">
        <v>0</v>
      </c>
      <c r="AV306" s="39">
        <v>0</v>
      </c>
      <c r="AW306" s="39">
        <v>0</v>
      </c>
      <c r="AX306" s="39">
        <v>0</v>
      </c>
      <c r="AY306" s="39">
        <v>0</v>
      </c>
      <c r="AZ306" s="39">
        <v>0</v>
      </c>
      <c r="BA306" s="39">
        <v>0</v>
      </c>
      <c r="BB306" s="39">
        <v>0</v>
      </c>
      <c r="BC306" s="39">
        <v>0</v>
      </c>
    </row>
    <row r="307" spans="3:55" hidden="1" outlineLevel="1" x14ac:dyDescent="0.2">
      <c r="C307" s="162" t="str">
        <v>Puertos BSC a Core: Datos: 100</v>
      </c>
      <c r="D307" s="162" t="str">
        <v>GSM tráfico de datos solo</v>
      </c>
      <c r="E307" s="62">
        <f t="shared" si="54"/>
        <v>0</v>
      </c>
      <c r="F307" s="39">
        <f t="array" ref="F307:BC307">INDEX(RF.Option.Table,MATCH($D307,RF.Option.List,0),)</f>
        <v>0</v>
      </c>
      <c r="G307" s="39">
        <v>0</v>
      </c>
      <c r="H307" s="39">
        <v>0</v>
      </c>
      <c r="I307" s="39">
        <v>0</v>
      </c>
      <c r="J307" s="39">
        <v>0</v>
      </c>
      <c r="K307" s="39">
        <v>0</v>
      </c>
      <c r="L307" s="39">
        <v>0</v>
      </c>
      <c r="M307" s="39">
        <v>0</v>
      </c>
      <c r="N307" s="39">
        <v>0</v>
      </c>
      <c r="O307" s="39">
        <v>0</v>
      </c>
      <c r="P307" s="39">
        <v>0</v>
      </c>
      <c r="Q307" s="39">
        <v>0</v>
      </c>
      <c r="R307" s="39">
        <v>0</v>
      </c>
      <c r="S307" s="39">
        <v>0</v>
      </c>
      <c r="T307" s="39">
        <v>0</v>
      </c>
      <c r="U307" s="39">
        <v>0</v>
      </c>
      <c r="V307" s="39">
        <v>0</v>
      </c>
      <c r="W307" s="39">
        <v>0</v>
      </c>
      <c r="X307" s="39">
        <v>0</v>
      </c>
      <c r="Y307" s="39">
        <v>0</v>
      </c>
      <c r="Z307" s="39">
        <v>0</v>
      </c>
      <c r="AA307" s="39">
        <v>0</v>
      </c>
      <c r="AB307" s="39">
        <v>0</v>
      </c>
      <c r="AC307" s="39">
        <v>0</v>
      </c>
      <c r="AD307" s="39">
        <v>0</v>
      </c>
      <c r="AE307" s="39">
        <v>0</v>
      </c>
      <c r="AF307" s="39">
        <v>0</v>
      </c>
      <c r="AG307" s="39">
        <v>0</v>
      </c>
      <c r="AH307" s="39">
        <v>0</v>
      </c>
      <c r="AI307" s="39">
        <v>0</v>
      </c>
      <c r="AJ307" s="39">
        <v>1</v>
      </c>
      <c r="AK307" s="39">
        <v>0</v>
      </c>
      <c r="AL307" s="39">
        <v>0</v>
      </c>
      <c r="AM307" s="39">
        <v>0</v>
      </c>
      <c r="AN307" s="39">
        <v>0</v>
      </c>
      <c r="AO307" s="39">
        <v>0</v>
      </c>
      <c r="AP307" s="39">
        <v>0</v>
      </c>
      <c r="AQ307" s="39">
        <v>0</v>
      </c>
      <c r="AR307" s="39">
        <v>0</v>
      </c>
      <c r="AS307" s="39">
        <v>0</v>
      </c>
      <c r="AT307" s="39">
        <v>0</v>
      </c>
      <c r="AU307" s="39">
        <v>0</v>
      </c>
      <c r="AV307" s="39">
        <v>0</v>
      </c>
      <c r="AW307" s="39">
        <v>0</v>
      </c>
      <c r="AX307" s="39">
        <v>0</v>
      </c>
      <c r="AY307" s="39">
        <v>0</v>
      </c>
      <c r="AZ307" s="39">
        <v>0</v>
      </c>
      <c r="BA307" s="39">
        <v>0</v>
      </c>
      <c r="BB307" s="39">
        <v>0</v>
      </c>
      <c r="BC307" s="39">
        <v>0</v>
      </c>
    </row>
    <row r="308" spans="3:55" hidden="1" outlineLevel="1" x14ac:dyDescent="0.2">
      <c r="C308" s="162" t="str">
        <v>Puertos BSC a Core: Datos: 1024</v>
      </c>
      <c r="D308" s="162" t="str">
        <v>GSM tráfico de datos solo</v>
      </c>
      <c r="E308" s="62">
        <f t="shared" si="54"/>
        <v>0</v>
      </c>
      <c r="F308" s="39">
        <f t="array" ref="F308:BC308">INDEX(RF.Option.Table,MATCH($D308,RF.Option.List,0),)</f>
        <v>0</v>
      </c>
      <c r="G308" s="39">
        <v>0</v>
      </c>
      <c r="H308" s="39">
        <v>0</v>
      </c>
      <c r="I308" s="39">
        <v>0</v>
      </c>
      <c r="J308" s="39">
        <v>0</v>
      </c>
      <c r="K308" s="39">
        <v>0</v>
      </c>
      <c r="L308" s="39">
        <v>0</v>
      </c>
      <c r="M308" s="39">
        <v>0</v>
      </c>
      <c r="N308" s="39">
        <v>0</v>
      </c>
      <c r="O308" s="39">
        <v>0</v>
      </c>
      <c r="P308" s="39">
        <v>0</v>
      </c>
      <c r="Q308" s="39">
        <v>0</v>
      </c>
      <c r="R308" s="39">
        <v>0</v>
      </c>
      <c r="S308" s="39">
        <v>0</v>
      </c>
      <c r="T308" s="39">
        <v>0</v>
      </c>
      <c r="U308" s="39">
        <v>0</v>
      </c>
      <c r="V308" s="39">
        <v>0</v>
      </c>
      <c r="W308" s="39">
        <v>0</v>
      </c>
      <c r="X308" s="39">
        <v>0</v>
      </c>
      <c r="Y308" s="39">
        <v>0</v>
      </c>
      <c r="Z308" s="39">
        <v>0</v>
      </c>
      <c r="AA308" s="39">
        <v>0</v>
      </c>
      <c r="AB308" s="39">
        <v>0</v>
      </c>
      <c r="AC308" s="39">
        <v>0</v>
      </c>
      <c r="AD308" s="39">
        <v>0</v>
      </c>
      <c r="AE308" s="39">
        <v>0</v>
      </c>
      <c r="AF308" s="39">
        <v>0</v>
      </c>
      <c r="AG308" s="39">
        <v>0</v>
      </c>
      <c r="AH308" s="39">
        <v>0</v>
      </c>
      <c r="AI308" s="39">
        <v>0</v>
      </c>
      <c r="AJ308" s="39">
        <v>1</v>
      </c>
      <c r="AK308" s="39">
        <v>0</v>
      </c>
      <c r="AL308" s="39">
        <v>0</v>
      </c>
      <c r="AM308" s="39">
        <v>0</v>
      </c>
      <c r="AN308" s="39">
        <v>0</v>
      </c>
      <c r="AO308" s="39">
        <v>0</v>
      </c>
      <c r="AP308" s="39">
        <v>0</v>
      </c>
      <c r="AQ308" s="39">
        <v>0</v>
      </c>
      <c r="AR308" s="39">
        <v>0</v>
      </c>
      <c r="AS308" s="39">
        <v>0</v>
      </c>
      <c r="AT308" s="39">
        <v>0</v>
      </c>
      <c r="AU308" s="39">
        <v>0</v>
      </c>
      <c r="AV308" s="39">
        <v>0</v>
      </c>
      <c r="AW308" s="39">
        <v>0</v>
      </c>
      <c r="AX308" s="39">
        <v>0</v>
      </c>
      <c r="AY308" s="39">
        <v>0</v>
      </c>
      <c r="AZ308" s="39">
        <v>0</v>
      </c>
      <c r="BA308" s="39">
        <v>0</v>
      </c>
      <c r="BB308" s="39">
        <v>0</v>
      </c>
      <c r="BC308" s="39">
        <v>0</v>
      </c>
    </row>
    <row r="309" spans="3:55" hidden="1" outlineLevel="1" x14ac:dyDescent="0.2">
      <c r="C309" s="162" t="str">
        <v>Puertos RNC a Core: Voz: 34.4</v>
      </c>
      <c r="D309" s="162" t="str">
        <v>UMTS solo voz radio y SMS</v>
      </c>
      <c r="E309" s="62">
        <f t="shared" si="54"/>
        <v>0</v>
      </c>
      <c r="F309" s="39">
        <f t="array" ref="F309:BC309">INDEX(RF.Option.Table,MATCH($D309,RF.Option.List,0),)</f>
        <v>0</v>
      </c>
      <c r="G309" s="39">
        <v>0</v>
      </c>
      <c r="H309" s="39">
        <v>0</v>
      </c>
      <c r="I309" s="39">
        <v>0</v>
      </c>
      <c r="J309" s="39">
        <v>0</v>
      </c>
      <c r="K309" s="39">
        <v>0</v>
      </c>
      <c r="L309" s="39">
        <v>0</v>
      </c>
      <c r="M309" s="39">
        <v>2.8319607843137256</v>
      </c>
      <c r="N309" s="39">
        <v>1.4232291666666665</v>
      </c>
      <c r="O309" s="39">
        <v>1.4516666666666667</v>
      </c>
      <c r="P309" s="39">
        <v>1.393888888888889</v>
      </c>
      <c r="Q309" s="39">
        <v>1.4232291666666665</v>
      </c>
      <c r="R309" s="39">
        <v>1.4516666666666667</v>
      </c>
      <c r="S309" s="39">
        <v>1.393888888888889</v>
      </c>
      <c r="T309" s="39">
        <v>0</v>
      </c>
      <c r="U309" s="39">
        <v>0</v>
      </c>
      <c r="V309" s="39">
        <v>0</v>
      </c>
      <c r="W309" s="39">
        <v>0</v>
      </c>
      <c r="X309" s="39">
        <v>0</v>
      </c>
      <c r="Y309" s="39">
        <v>0</v>
      </c>
      <c r="Z309" s="39">
        <v>0</v>
      </c>
      <c r="AA309" s="39">
        <v>0</v>
      </c>
      <c r="AB309" s="39">
        <v>0</v>
      </c>
      <c r="AC309" s="39">
        <v>0</v>
      </c>
      <c r="AD309" s="39">
        <v>1E-3</v>
      </c>
      <c r="AE309" s="39">
        <v>5.0000000000000001E-4</v>
      </c>
      <c r="AF309" s="39">
        <v>5.0000000000000001E-4</v>
      </c>
      <c r="AG309" s="39">
        <v>0</v>
      </c>
      <c r="AH309" s="39">
        <v>0</v>
      </c>
      <c r="AI309" s="39">
        <v>0</v>
      </c>
      <c r="AJ309" s="39">
        <v>0</v>
      </c>
      <c r="AK309" s="39">
        <v>0</v>
      </c>
      <c r="AL309" s="39">
        <v>0</v>
      </c>
      <c r="AM309" s="39">
        <v>0</v>
      </c>
      <c r="AN309" s="39">
        <v>0</v>
      </c>
      <c r="AO309" s="39">
        <v>0</v>
      </c>
      <c r="AP309" s="39">
        <v>0</v>
      </c>
      <c r="AQ309" s="39">
        <v>0</v>
      </c>
      <c r="AR309" s="39">
        <v>0</v>
      </c>
      <c r="AS309" s="39">
        <v>0</v>
      </c>
      <c r="AT309" s="39">
        <v>0</v>
      </c>
      <c r="AU309" s="39">
        <v>0</v>
      </c>
      <c r="AV309" s="39">
        <v>0</v>
      </c>
      <c r="AW309" s="39">
        <v>0</v>
      </c>
      <c r="AX309" s="39">
        <v>0</v>
      </c>
      <c r="AY309" s="39">
        <v>0</v>
      </c>
      <c r="AZ309" s="39">
        <v>0</v>
      </c>
      <c r="BA309" s="39">
        <v>0</v>
      </c>
      <c r="BB309" s="39">
        <v>0</v>
      </c>
      <c r="BC309" s="39">
        <v>0</v>
      </c>
    </row>
    <row r="310" spans="3:55" hidden="1" outlineLevel="1" x14ac:dyDescent="0.2">
      <c r="C310" s="162" t="str">
        <v>Puertos RNC a Core: Voz: 155.52</v>
      </c>
      <c r="D310" s="162" t="str">
        <v>UMTS solo voz radio y SMS</v>
      </c>
      <c r="E310" s="62">
        <f t="shared" si="54"/>
        <v>0</v>
      </c>
      <c r="F310" s="39">
        <f t="array" ref="F310:BC310">INDEX(RF.Option.Table,MATCH($D310,RF.Option.List,0),)</f>
        <v>0</v>
      </c>
      <c r="G310" s="39">
        <v>0</v>
      </c>
      <c r="H310" s="39">
        <v>0</v>
      </c>
      <c r="I310" s="39">
        <v>0</v>
      </c>
      <c r="J310" s="39">
        <v>0</v>
      </c>
      <c r="K310" s="39">
        <v>0</v>
      </c>
      <c r="L310" s="39">
        <v>0</v>
      </c>
      <c r="M310" s="39">
        <v>2.8319607843137256</v>
      </c>
      <c r="N310" s="39">
        <v>1.4232291666666665</v>
      </c>
      <c r="O310" s="39">
        <v>1.4516666666666667</v>
      </c>
      <c r="P310" s="39">
        <v>1.393888888888889</v>
      </c>
      <c r="Q310" s="39">
        <v>1.4232291666666665</v>
      </c>
      <c r="R310" s="39">
        <v>1.4516666666666667</v>
      </c>
      <c r="S310" s="39">
        <v>1.393888888888889</v>
      </c>
      <c r="T310" s="39">
        <v>0</v>
      </c>
      <c r="U310" s="39">
        <v>0</v>
      </c>
      <c r="V310" s="39">
        <v>0</v>
      </c>
      <c r="W310" s="39">
        <v>0</v>
      </c>
      <c r="X310" s="39">
        <v>0</v>
      </c>
      <c r="Y310" s="39">
        <v>0</v>
      </c>
      <c r="Z310" s="39">
        <v>0</v>
      </c>
      <c r="AA310" s="39">
        <v>0</v>
      </c>
      <c r="AB310" s="39">
        <v>0</v>
      </c>
      <c r="AC310" s="39">
        <v>0</v>
      </c>
      <c r="AD310" s="39">
        <v>1E-3</v>
      </c>
      <c r="AE310" s="39">
        <v>5.0000000000000001E-4</v>
      </c>
      <c r="AF310" s="39">
        <v>5.0000000000000001E-4</v>
      </c>
      <c r="AG310" s="39">
        <v>0</v>
      </c>
      <c r="AH310" s="39">
        <v>0</v>
      </c>
      <c r="AI310" s="39">
        <v>0</v>
      </c>
      <c r="AJ310" s="39">
        <v>0</v>
      </c>
      <c r="AK310" s="39">
        <v>0</v>
      </c>
      <c r="AL310" s="39">
        <v>0</v>
      </c>
      <c r="AM310" s="39">
        <v>0</v>
      </c>
      <c r="AN310" s="39">
        <v>0</v>
      </c>
      <c r="AO310" s="39">
        <v>0</v>
      </c>
      <c r="AP310" s="39">
        <v>0</v>
      </c>
      <c r="AQ310" s="39">
        <v>0</v>
      </c>
      <c r="AR310" s="39">
        <v>0</v>
      </c>
      <c r="AS310" s="39">
        <v>0</v>
      </c>
      <c r="AT310" s="39">
        <v>0</v>
      </c>
      <c r="AU310" s="39">
        <v>0</v>
      </c>
      <c r="AV310" s="39">
        <v>0</v>
      </c>
      <c r="AW310" s="39">
        <v>0</v>
      </c>
      <c r="AX310" s="39">
        <v>0</v>
      </c>
      <c r="AY310" s="39">
        <v>0</v>
      </c>
      <c r="AZ310" s="39">
        <v>0</v>
      </c>
      <c r="BA310" s="39">
        <v>0</v>
      </c>
      <c r="BB310" s="39">
        <v>0</v>
      </c>
      <c r="BC310" s="39">
        <v>0</v>
      </c>
    </row>
    <row r="311" spans="3:55" hidden="1" outlineLevel="1" x14ac:dyDescent="0.2">
      <c r="C311" s="162" t="str">
        <v>Puertos RNC a Core: Voz: 622.08</v>
      </c>
      <c r="D311" s="162" t="str">
        <v>UMTS solo voz radio y SMS</v>
      </c>
      <c r="E311" s="62">
        <f t="shared" si="54"/>
        <v>0</v>
      </c>
      <c r="F311" s="39">
        <f t="array" ref="F311:BC311">INDEX(RF.Option.Table,MATCH($D311,RF.Option.List,0),)</f>
        <v>0</v>
      </c>
      <c r="G311" s="39">
        <v>0</v>
      </c>
      <c r="H311" s="39">
        <v>0</v>
      </c>
      <c r="I311" s="39">
        <v>0</v>
      </c>
      <c r="J311" s="39">
        <v>0</v>
      </c>
      <c r="K311" s="39">
        <v>0</v>
      </c>
      <c r="L311" s="39">
        <v>0</v>
      </c>
      <c r="M311" s="39">
        <v>2.8319607843137256</v>
      </c>
      <c r="N311" s="39">
        <v>1.4232291666666665</v>
      </c>
      <c r="O311" s="39">
        <v>1.4516666666666667</v>
      </c>
      <c r="P311" s="39">
        <v>1.393888888888889</v>
      </c>
      <c r="Q311" s="39">
        <v>1.4232291666666665</v>
      </c>
      <c r="R311" s="39">
        <v>1.4516666666666667</v>
      </c>
      <c r="S311" s="39">
        <v>1.393888888888889</v>
      </c>
      <c r="T311" s="39">
        <v>0</v>
      </c>
      <c r="U311" s="39">
        <v>0</v>
      </c>
      <c r="V311" s="39">
        <v>0</v>
      </c>
      <c r="W311" s="39">
        <v>0</v>
      </c>
      <c r="X311" s="39">
        <v>0</v>
      </c>
      <c r="Y311" s="39">
        <v>0</v>
      </c>
      <c r="Z311" s="39">
        <v>0</v>
      </c>
      <c r="AA311" s="39">
        <v>0</v>
      </c>
      <c r="AB311" s="39">
        <v>0</v>
      </c>
      <c r="AC311" s="39">
        <v>0</v>
      </c>
      <c r="AD311" s="39">
        <v>1E-3</v>
      </c>
      <c r="AE311" s="39">
        <v>5.0000000000000001E-4</v>
      </c>
      <c r="AF311" s="39">
        <v>5.0000000000000001E-4</v>
      </c>
      <c r="AG311" s="39">
        <v>0</v>
      </c>
      <c r="AH311" s="39">
        <v>0</v>
      </c>
      <c r="AI311" s="39">
        <v>0</v>
      </c>
      <c r="AJ311" s="39">
        <v>0</v>
      </c>
      <c r="AK311" s="39">
        <v>0</v>
      </c>
      <c r="AL311" s="39">
        <v>0</v>
      </c>
      <c r="AM311" s="39">
        <v>0</v>
      </c>
      <c r="AN311" s="39">
        <v>0</v>
      </c>
      <c r="AO311" s="39">
        <v>0</v>
      </c>
      <c r="AP311" s="39">
        <v>0</v>
      </c>
      <c r="AQ311" s="39">
        <v>0</v>
      </c>
      <c r="AR311" s="39">
        <v>0</v>
      </c>
      <c r="AS311" s="39">
        <v>0</v>
      </c>
      <c r="AT311" s="39">
        <v>0</v>
      </c>
      <c r="AU311" s="39">
        <v>0</v>
      </c>
      <c r="AV311" s="39">
        <v>0</v>
      </c>
      <c r="AW311" s="39">
        <v>0</v>
      </c>
      <c r="AX311" s="39">
        <v>0</v>
      </c>
      <c r="AY311" s="39">
        <v>0</v>
      </c>
      <c r="AZ311" s="39">
        <v>0</v>
      </c>
      <c r="BA311" s="39">
        <v>0</v>
      </c>
      <c r="BB311" s="39">
        <v>0</v>
      </c>
      <c r="BC311" s="39">
        <v>0</v>
      </c>
    </row>
    <row r="312" spans="3:55" hidden="1" outlineLevel="1" x14ac:dyDescent="0.2">
      <c r="C312" s="162" t="str">
        <v>Puertos RNC a Core: Voz: 100</v>
      </c>
      <c r="D312" s="162" t="str">
        <v>UMTS solo voz radio y SMS</v>
      </c>
      <c r="E312" s="62">
        <f t="shared" si="54"/>
        <v>0</v>
      </c>
      <c r="F312" s="39">
        <f t="array" ref="F312:BC312">INDEX(RF.Option.Table,MATCH($D312,RF.Option.List,0),)</f>
        <v>0</v>
      </c>
      <c r="G312" s="39">
        <v>0</v>
      </c>
      <c r="H312" s="39">
        <v>0</v>
      </c>
      <c r="I312" s="39">
        <v>0</v>
      </c>
      <c r="J312" s="39">
        <v>0</v>
      </c>
      <c r="K312" s="39">
        <v>0</v>
      </c>
      <c r="L312" s="39">
        <v>0</v>
      </c>
      <c r="M312" s="39">
        <v>2.8319607843137256</v>
      </c>
      <c r="N312" s="39">
        <v>1.4232291666666665</v>
      </c>
      <c r="O312" s="39">
        <v>1.4516666666666667</v>
      </c>
      <c r="P312" s="39">
        <v>1.393888888888889</v>
      </c>
      <c r="Q312" s="39">
        <v>1.4232291666666665</v>
      </c>
      <c r="R312" s="39">
        <v>1.4516666666666667</v>
      </c>
      <c r="S312" s="39">
        <v>1.393888888888889</v>
      </c>
      <c r="T312" s="39">
        <v>0</v>
      </c>
      <c r="U312" s="39">
        <v>0</v>
      </c>
      <c r="V312" s="39">
        <v>0</v>
      </c>
      <c r="W312" s="39">
        <v>0</v>
      </c>
      <c r="X312" s="39">
        <v>0</v>
      </c>
      <c r="Y312" s="39">
        <v>0</v>
      </c>
      <c r="Z312" s="39">
        <v>0</v>
      </c>
      <c r="AA312" s="39">
        <v>0</v>
      </c>
      <c r="AB312" s="39">
        <v>0</v>
      </c>
      <c r="AC312" s="39">
        <v>0</v>
      </c>
      <c r="AD312" s="39">
        <v>1E-3</v>
      </c>
      <c r="AE312" s="39">
        <v>5.0000000000000001E-4</v>
      </c>
      <c r="AF312" s="39">
        <v>5.0000000000000001E-4</v>
      </c>
      <c r="AG312" s="39">
        <v>0</v>
      </c>
      <c r="AH312" s="39">
        <v>0</v>
      </c>
      <c r="AI312" s="39">
        <v>0</v>
      </c>
      <c r="AJ312" s="39">
        <v>0</v>
      </c>
      <c r="AK312" s="39">
        <v>0</v>
      </c>
      <c r="AL312" s="39">
        <v>0</v>
      </c>
      <c r="AM312" s="39">
        <v>0</v>
      </c>
      <c r="AN312" s="39">
        <v>0</v>
      </c>
      <c r="AO312" s="39">
        <v>0</v>
      </c>
      <c r="AP312" s="39">
        <v>0</v>
      </c>
      <c r="AQ312" s="39">
        <v>0</v>
      </c>
      <c r="AR312" s="39">
        <v>0</v>
      </c>
      <c r="AS312" s="39">
        <v>0</v>
      </c>
      <c r="AT312" s="39">
        <v>0</v>
      </c>
      <c r="AU312" s="39">
        <v>0</v>
      </c>
      <c r="AV312" s="39">
        <v>0</v>
      </c>
      <c r="AW312" s="39">
        <v>0</v>
      </c>
      <c r="AX312" s="39">
        <v>0</v>
      </c>
      <c r="AY312" s="39">
        <v>0</v>
      </c>
      <c r="AZ312" s="39">
        <v>0</v>
      </c>
      <c r="BA312" s="39">
        <v>0</v>
      </c>
      <c r="BB312" s="39">
        <v>0</v>
      </c>
      <c r="BC312" s="39">
        <v>0</v>
      </c>
    </row>
    <row r="313" spans="3:55" hidden="1" outlineLevel="1" x14ac:dyDescent="0.2">
      <c r="C313" s="162" t="str">
        <v>Puertos RNC a Core: Voz: 1024</v>
      </c>
      <c r="D313" s="162" t="str">
        <v>UMTS solo voz radio y SMS</v>
      </c>
      <c r="E313" s="62">
        <f t="shared" si="54"/>
        <v>0</v>
      </c>
      <c r="F313" s="39">
        <f t="array" ref="F313:BC313">INDEX(RF.Option.Table,MATCH($D313,RF.Option.List,0),)</f>
        <v>0</v>
      </c>
      <c r="G313" s="39">
        <v>0</v>
      </c>
      <c r="H313" s="39">
        <v>0</v>
      </c>
      <c r="I313" s="39">
        <v>0</v>
      </c>
      <c r="J313" s="39">
        <v>0</v>
      </c>
      <c r="K313" s="39">
        <v>0</v>
      </c>
      <c r="L313" s="39">
        <v>0</v>
      </c>
      <c r="M313" s="39">
        <v>2.8319607843137256</v>
      </c>
      <c r="N313" s="39">
        <v>1.4232291666666665</v>
      </c>
      <c r="O313" s="39">
        <v>1.4516666666666667</v>
      </c>
      <c r="P313" s="39">
        <v>1.393888888888889</v>
      </c>
      <c r="Q313" s="39">
        <v>1.4232291666666665</v>
      </c>
      <c r="R313" s="39">
        <v>1.4516666666666667</v>
      </c>
      <c r="S313" s="39">
        <v>1.393888888888889</v>
      </c>
      <c r="T313" s="39">
        <v>0</v>
      </c>
      <c r="U313" s="39">
        <v>0</v>
      </c>
      <c r="V313" s="39">
        <v>0</v>
      </c>
      <c r="W313" s="39">
        <v>0</v>
      </c>
      <c r="X313" s="39">
        <v>0</v>
      </c>
      <c r="Y313" s="39">
        <v>0</v>
      </c>
      <c r="Z313" s="39">
        <v>0</v>
      </c>
      <c r="AA313" s="39">
        <v>0</v>
      </c>
      <c r="AB313" s="39">
        <v>0</v>
      </c>
      <c r="AC313" s="39">
        <v>0</v>
      </c>
      <c r="AD313" s="39">
        <v>1E-3</v>
      </c>
      <c r="AE313" s="39">
        <v>5.0000000000000001E-4</v>
      </c>
      <c r="AF313" s="39">
        <v>5.0000000000000001E-4</v>
      </c>
      <c r="AG313" s="39">
        <v>0</v>
      </c>
      <c r="AH313" s="39">
        <v>0</v>
      </c>
      <c r="AI313" s="39">
        <v>0</v>
      </c>
      <c r="AJ313" s="39">
        <v>0</v>
      </c>
      <c r="AK313" s="39">
        <v>0</v>
      </c>
      <c r="AL313" s="39">
        <v>0</v>
      </c>
      <c r="AM313" s="39">
        <v>0</v>
      </c>
      <c r="AN313" s="39">
        <v>0</v>
      </c>
      <c r="AO313" s="39">
        <v>0</v>
      </c>
      <c r="AP313" s="39">
        <v>0</v>
      </c>
      <c r="AQ313" s="39">
        <v>0</v>
      </c>
      <c r="AR313" s="39">
        <v>0</v>
      </c>
      <c r="AS313" s="39">
        <v>0</v>
      </c>
      <c r="AT313" s="39">
        <v>0</v>
      </c>
      <c r="AU313" s="39">
        <v>0</v>
      </c>
      <c r="AV313" s="39">
        <v>0</v>
      </c>
      <c r="AW313" s="39">
        <v>0</v>
      </c>
      <c r="AX313" s="39">
        <v>0</v>
      </c>
      <c r="AY313" s="39">
        <v>0</v>
      </c>
      <c r="AZ313" s="39">
        <v>0</v>
      </c>
      <c r="BA313" s="39">
        <v>0</v>
      </c>
      <c r="BB313" s="39">
        <v>0</v>
      </c>
      <c r="BC313" s="39">
        <v>0</v>
      </c>
    </row>
    <row r="314" spans="3:55" hidden="1" outlineLevel="1" x14ac:dyDescent="0.2">
      <c r="C314" s="162" t="str">
        <v>Puertos RNC a Core: Voz: 2488</v>
      </c>
      <c r="D314" s="162" t="str">
        <v>UMTS solo voz radio y SMS</v>
      </c>
      <c r="E314" s="62">
        <f t="shared" si="54"/>
        <v>0</v>
      </c>
      <c r="F314" s="39">
        <f t="array" ref="F314:BC314">INDEX(RF.Option.Table,MATCH($D314,RF.Option.List,0),)</f>
        <v>0</v>
      </c>
      <c r="G314" s="39">
        <v>0</v>
      </c>
      <c r="H314" s="39">
        <v>0</v>
      </c>
      <c r="I314" s="39">
        <v>0</v>
      </c>
      <c r="J314" s="39">
        <v>0</v>
      </c>
      <c r="K314" s="39">
        <v>0</v>
      </c>
      <c r="L314" s="39">
        <v>0</v>
      </c>
      <c r="M314" s="39">
        <v>2.8319607843137256</v>
      </c>
      <c r="N314" s="39">
        <v>1.4232291666666665</v>
      </c>
      <c r="O314" s="39">
        <v>1.4516666666666667</v>
      </c>
      <c r="P314" s="39">
        <v>1.393888888888889</v>
      </c>
      <c r="Q314" s="39">
        <v>1.4232291666666665</v>
      </c>
      <c r="R314" s="39">
        <v>1.4516666666666667</v>
      </c>
      <c r="S314" s="39">
        <v>1.393888888888889</v>
      </c>
      <c r="T314" s="39">
        <v>0</v>
      </c>
      <c r="U314" s="39">
        <v>0</v>
      </c>
      <c r="V314" s="39">
        <v>0</v>
      </c>
      <c r="W314" s="39">
        <v>0</v>
      </c>
      <c r="X314" s="39">
        <v>0</v>
      </c>
      <c r="Y314" s="39">
        <v>0</v>
      </c>
      <c r="Z314" s="39">
        <v>0</v>
      </c>
      <c r="AA314" s="39">
        <v>0</v>
      </c>
      <c r="AB314" s="39">
        <v>0</v>
      </c>
      <c r="AC314" s="39">
        <v>0</v>
      </c>
      <c r="AD314" s="39">
        <v>1E-3</v>
      </c>
      <c r="AE314" s="39">
        <v>5.0000000000000001E-4</v>
      </c>
      <c r="AF314" s="39">
        <v>5.0000000000000001E-4</v>
      </c>
      <c r="AG314" s="39">
        <v>0</v>
      </c>
      <c r="AH314" s="39">
        <v>0</v>
      </c>
      <c r="AI314" s="39">
        <v>0</v>
      </c>
      <c r="AJ314" s="39">
        <v>0</v>
      </c>
      <c r="AK314" s="39">
        <v>0</v>
      </c>
      <c r="AL314" s="39">
        <v>0</v>
      </c>
      <c r="AM314" s="39">
        <v>0</v>
      </c>
      <c r="AN314" s="39">
        <v>0</v>
      </c>
      <c r="AO314" s="39">
        <v>0</v>
      </c>
      <c r="AP314" s="39">
        <v>0</v>
      </c>
      <c r="AQ314" s="39">
        <v>0</v>
      </c>
      <c r="AR314" s="39">
        <v>0</v>
      </c>
      <c r="AS314" s="39">
        <v>0</v>
      </c>
      <c r="AT314" s="39">
        <v>0</v>
      </c>
      <c r="AU314" s="39">
        <v>0</v>
      </c>
      <c r="AV314" s="39">
        <v>0</v>
      </c>
      <c r="AW314" s="39">
        <v>0</v>
      </c>
      <c r="AX314" s="39">
        <v>0</v>
      </c>
      <c r="AY314" s="39">
        <v>0</v>
      </c>
      <c r="AZ314" s="39">
        <v>0</v>
      </c>
      <c r="BA314" s="39">
        <v>0</v>
      </c>
      <c r="BB314" s="39">
        <v>0</v>
      </c>
      <c r="BC314" s="39">
        <v>0</v>
      </c>
    </row>
    <row r="315" spans="3:55" hidden="1" outlineLevel="1" x14ac:dyDescent="0.2">
      <c r="C315" s="162" t="str">
        <v>Puertos RNC a Core: Datos: 34.4</v>
      </c>
      <c r="D315" s="162" t="str">
        <v>UMTS+HSPA solo tráfico de datos</v>
      </c>
      <c r="E315" s="62">
        <f t="shared" ref="E315:E321" si="55">IF(OR(AND(SUM(F315:BC315)=0,LEFT(C315,5)&lt;&gt;"Asset"),AND(SUM(F315:BC315)&gt;0,LEFT(C315,5)="Asset")),1,0)</f>
        <v>0</v>
      </c>
      <c r="F315" s="39">
        <f t="array" ref="F315:BC315">INDEX(RF.Option.Table,MATCH($D315,RF.Option.List,0),)</f>
        <v>0</v>
      </c>
      <c r="G315" s="39">
        <v>0</v>
      </c>
      <c r="H315" s="39">
        <v>0</v>
      </c>
      <c r="I315" s="39">
        <v>0</v>
      </c>
      <c r="J315" s="39">
        <v>0</v>
      </c>
      <c r="K315" s="39">
        <v>0</v>
      </c>
      <c r="L315" s="39">
        <v>0</v>
      </c>
      <c r="M315" s="39">
        <v>0</v>
      </c>
      <c r="N315" s="39">
        <v>0</v>
      </c>
      <c r="O315" s="39">
        <v>0</v>
      </c>
      <c r="P315" s="39">
        <v>0</v>
      </c>
      <c r="Q315" s="39">
        <v>0</v>
      </c>
      <c r="R315" s="39">
        <v>0</v>
      </c>
      <c r="S315" s="39">
        <v>0</v>
      </c>
      <c r="T315" s="39">
        <v>0</v>
      </c>
      <c r="U315" s="39">
        <v>0</v>
      </c>
      <c r="V315" s="39">
        <v>0</v>
      </c>
      <c r="W315" s="39">
        <v>0</v>
      </c>
      <c r="X315" s="39">
        <v>0</v>
      </c>
      <c r="Y315" s="39">
        <v>0</v>
      </c>
      <c r="Z315" s="39">
        <v>0</v>
      </c>
      <c r="AA315" s="39">
        <v>0</v>
      </c>
      <c r="AB315" s="39">
        <v>0</v>
      </c>
      <c r="AC315" s="39">
        <v>0</v>
      </c>
      <c r="AD315" s="39">
        <v>0</v>
      </c>
      <c r="AE315" s="39">
        <v>0</v>
      </c>
      <c r="AF315" s="39">
        <v>0</v>
      </c>
      <c r="AG315" s="39">
        <v>0</v>
      </c>
      <c r="AH315" s="39">
        <v>0</v>
      </c>
      <c r="AI315" s="39">
        <v>0</v>
      </c>
      <c r="AJ315" s="39">
        <v>0</v>
      </c>
      <c r="AK315" s="39">
        <v>1</v>
      </c>
      <c r="AL315" s="39">
        <v>1</v>
      </c>
      <c r="AM315" s="39">
        <v>1</v>
      </c>
      <c r="AN315" s="39">
        <v>0</v>
      </c>
      <c r="AO315" s="39">
        <v>0</v>
      </c>
      <c r="AP315" s="39">
        <v>0</v>
      </c>
      <c r="AQ315" s="39">
        <v>0</v>
      </c>
      <c r="AR315" s="39">
        <v>0</v>
      </c>
      <c r="AS315" s="39">
        <v>0</v>
      </c>
      <c r="AT315" s="39">
        <v>0</v>
      </c>
      <c r="AU315" s="39">
        <v>0</v>
      </c>
      <c r="AV315" s="39">
        <v>0</v>
      </c>
      <c r="AW315" s="39">
        <v>0</v>
      </c>
      <c r="AX315" s="39">
        <v>0</v>
      </c>
      <c r="AY315" s="39">
        <v>0</v>
      </c>
      <c r="AZ315" s="39">
        <v>0</v>
      </c>
      <c r="BA315" s="39">
        <v>0</v>
      </c>
      <c r="BB315" s="39">
        <v>0</v>
      </c>
      <c r="BC315" s="39">
        <v>0</v>
      </c>
    </row>
    <row r="316" spans="3:55" hidden="1" outlineLevel="1" x14ac:dyDescent="0.2">
      <c r="C316" s="162" t="str">
        <v>Puertos RNC a Core: Datos: 155.52</v>
      </c>
      <c r="D316" s="162" t="str">
        <v>UMTS+HSPA solo tráfico de datos</v>
      </c>
      <c r="E316" s="62">
        <f t="shared" si="55"/>
        <v>0</v>
      </c>
      <c r="F316" s="39">
        <f t="array" ref="F316:BC316">INDEX(RF.Option.Table,MATCH($D316,RF.Option.List,0),)</f>
        <v>0</v>
      </c>
      <c r="G316" s="39">
        <v>0</v>
      </c>
      <c r="H316" s="39">
        <v>0</v>
      </c>
      <c r="I316" s="39">
        <v>0</v>
      </c>
      <c r="J316" s="39">
        <v>0</v>
      </c>
      <c r="K316" s="39">
        <v>0</v>
      </c>
      <c r="L316" s="39">
        <v>0</v>
      </c>
      <c r="M316" s="39">
        <v>0</v>
      </c>
      <c r="N316" s="39">
        <v>0</v>
      </c>
      <c r="O316" s="39">
        <v>0</v>
      </c>
      <c r="P316" s="39">
        <v>0</v>
      </c>
      <c r="Q316" s="39">
        <v>0</v>
      </c>
      <c r="R316" s="39">
        <v>0</v>
      </c>
      <c r="S316" s="39">
        <v>0</v>
      </c>
      <c r="T316" s="39">
        <v>0</v>
      </c>
      <c r="U316" s="39">
        <v>0</v>
      </c>
      <c r="V316" s="39">
        <v>0</v>
      </c>
      <c r="W316" s="39">
        <v>0</v>
      </c>
      <c r="X316" s="39">
        <v>0</v>
      </c>
      <c r="Y316" s="39">
        <v>0</v>
      </c>
      <c r="Z316" s="39">
        <v>0</v>
      </c>
      <c r="AA316" s="39">
        <v>0</v>
      </c>
      <c r="AB316" s="39">
        <v>0</v>
      </c>
      <c r="AC316" s="39">
        <v>0</v>
      </c>
      <c r="AD316" s="39">
        <v>0</v>
      </c>
      <c r="AE316" s="39">
        <v>0</v>
      </c>
      <c r="AF316" s="39">
        <v>0</v>
      </c>
      <c r="AG316" s="39">
        <v>0</v>
      </c>
      <c r="AH316" s="39">
        <v>0</v>
      </c>
      <c r="AI316" s="39">
        <v>0</v>
      </c>
      <c r="AJ316" s="39">
        <v>0</v>
      </c>
      <c r="AK316" s="39">
        <v>1</v>
      </c>
      <c r="AL316" s="39">
        <v>1</v>
      </c>
      <c r="AM316" s="39">
        <v>1</v>
      </c>
      <c r="AN316" s="39">
        <v>0</v>
      </c>
      <c r="AO316" s="39">
        <v>0</v>
      </c>
      <c r="AP316" s="39">
        <v>0</v>
      </c>
      <c r="AQ316" s="39">
        <v>0</v>
      </c>
      <c r="AR316" s="39">
        <v>0</v>
      </c>
      <c r="AS316" s="39">
        <v>0</v>
      </c>
      <c r="AT316" s="39">
        <v>0</v>
      </c>
      <c r="AU316" s="39">
        <v>0</v>
      </c>
      <c r="AV316" s="39">
        <v>0</v>
      </c>
      <c r="AW316" s="39">
        <v>0</v>
      </c>
      <c r="AX316" s="39">
        <v>0</v>
      </c>
      <c r="AY316" s="39">
        <v>0</v>
      </c>
      <c r="AZ316" s="39">
        <v>0</v>
      </c>
      <c r="BA316" s="39">
        <v>0</v>
      </c>
      <c r="BB316" s="39">
        <v>0</v>
      </c>
      <c r="BC316" s="39">
        <v>0</v>
      </c>
    </row>
    <row r="317" spans="3:55" hidden="1" outlineLevel="1" x14ac:dyDescent="0.2">
      <c r="C317" s="162" t="str">
        <v>Puertos RNC a Core: Datos: 622.08</v>
      </c>
      <c r="D317" s="162" t="str">
        <v>UMTS+HSPA solo tráfico de datos</v>
      </c>
      <c r="E317" s="62">
        <f t="shared" si="55"/>
        <v>0</v>
      </c>
      <c r="F317" s="39">
        <f t="array" ref="F317:BC317">INDEX(RF.Option.Table,MATCH($D317,RF.Option.List,0),)</f>
        <v>0</v>
      </c>
      <c r="G317" s="39">
        <v>0</v>
      </c>
      <c r="H317" s="39">
        <v>0</v>
      </c>
      <c r="I317" s="39">
        <v>0</v>
      </c>
      <c r="J317" s="39">
        <v>0</v>
      </c>
      <c r="K317" s="39">
        <v>0</v>
      </c>
      <c r="L317" s="39">
        <v>0</v>
      </c>
      <c r="M317" s="39">
        <v>0</v>
      </c>
      <c r="N317" s="39">
        <v>0</v>
      </c>
      <c r="O317" s="39">
        <v>0</v>
      </c>
      <c r="P317" s="39">
        <v>0</v>
      </c>
      <c r="Q317" s="39">
        <v>0</v>
      </c>
      <c r="R317" s="39">
        <v>0</v>
      </c>
      <c r="S317" s="39">
        <v>0</v>
      </c>
      <c r="T317" s="39">
        <v>0</v>
      </c>
      <c r="U317" s="39">
        <v>0</v>
      </c>
      <c r="V317" s="39">
        <v>0</v>
      </c>
      <c r="W317" s="39">
        <v>0</v>
      </c>
      <c r="X317" s="39">
        <v>0</v>
      </c>
      <c r="Y317" s="39">
        <v>0</v>
      </c>
      <c r="Z317" s="39">
        <v>0</v>
      </c>
      <c r="AA317" s="39">
        <v>0</v>
      </c>
      <c r="AB317" s="39">
        <v>0</v>
      </c>
      <c r="AC317" s="39">
        <v>0</v>
      </c>
      <c r="AD317" s="39">
        <v>0</v>
      </c>
      <c r="AE317" s="39">
        <v>0</v>
      </c>
      <c r="AF317" s="39">
        <v>0</v>
      </c>
      <c r="AG317" s="39">
        <v>0</v>
      </c>
      <c r="AH317" s="39">
        <v>0</v>
      </c>
      <c r="AI317" s="39">
        <v>0</v>
      </c>
      <c r="AJ317" s="39">
        <v>0</v>
      </c>
      <c r="AK317" s="39">
        <v>1</v>
      </c>
      <c r="AL317" s="39">
        <v>1</v>
      </c>
      <c r="AM317" s="39">
        <v>1</v>
      </c>
      <c r="AN317" s="39">
        <v>0</v>
      </c>
      <c r="AO317" s="39">
        <v>0</v>
      </c>
      <c r="AP317" s="39">
        <v>0</v>
      </c>
      <c r="AQ317" s="39">
        <v>0</v>
      </c>
      <c r="AR317" s="39">
        <v>0</v>
      </c>
      <c r="AS317" s="39">
        <v>0</v>
      </c>
      <c r="AT317" s="39">
        <v>0</v>
      </c>
      <c r="AU317" s="39">
        <v>0</v>
      </c>
      <c r="AV317" s="39">
        <v>0</v>
      </c>
      <c r="AW317" s="39">
        <v>0</v>
      </c>
      <c r="AX317" s="39">
        <v>0</v>
      </c>
      <c r="AY317" s="39">
        <v>0</v>
      </c>
      <c r="AZ317" s="39">
        <v>0</v>
      </c>
      <c r="BA317" s="39">
        <v>0</v>
      </c>
      <c r="BB317" s="39">
        <v>0</v>
      </c>
      <c r="BC317" s="39">
        <v>0</v>
      </c>
    </row>
    <row r="318" spans="3:55" hidden="1" outlineLevel="1" x14ac:dyDescent="0.2">
      <c r="C318" s="162" t="str">
        <v>Puertos RNC a Core: Datos: 100</v>
      </c>
      <c r="D318" s="162" t="str">
        <v>UMTS+HSPA solo tráfico de datos</v>
      </c>
      <c r="E318" s="62">
        <f t="shared" si="55"/>
        <v>0</v>
      </c>
      <c r="F318" s="39">
        <f t="array" ref="F318:BC318">INDEX(RF.Option.Table,MATCH($D318,RF.Option.List,0),)</f>
        <v>0</v>
      </c>
      <c r="G318" s="39">
        <v>0</v>
      </c>
      <c r="H318" s="39">
        <v>0</v>
      </c>
      <c r="I318" s="39">
        <v>0</v>
      </c>
      <c r="J318" s="39">
        <v>0</v>
      </c>
      <c r="K318" s="39">
        <v>0</v>
      </c>
      <c r="L318" s="39">
        <v>0</v>
      </c>
      <c r="M318" s="39">
        <v>0</v>
      </c>
      <c r="N318" s="39">
        <v>0</v>
      </c>
      <c r="O318" s="39">
        <v>0</v>
      </c>
      <c r="P318" s="39">
        <v>0</v>
      </c>
      <c r="Q318" s="39">
        <v>0</v>
      </c>
      <c r="R318" s="39">
        <v>0</v>
      </c>
      <c r="S318" s="39">
        <v>0</v>
      </c>
      <c r="T318" s="39">
        <v>0</v>
      </c>
      <c r="U318" s="39">
        <v>0</v>
      </c>
      <c r="V318" s="39">
        <v>0</v>
      </c>
      <c r="W318" s="39">
        <v>0</v>
      </c>
      <c r="X318" s="39">
        <v>0</v>
      </c>
      <c r="Y318" s="39">
        <v>0</v>
      </c>
      <c r="Z318" s="39">
        <v>0</v>
      </c>
      <c r="AA318" s="39">
        <v>0</v>
      </c>
      <c r="AB318" s="39">
        <v>0</v>
      </c>
      <c r="AC318" s="39">
        <v>0</v>
      </c>
      <c r="AD318" s="39">
        <v>0</v>
      </c>
      <c r="AE318" s="39">
        <v>0</v>
      </c>
      <c r="AF318" s="39">
        <v>0</v>
      </c>
      <c r="AG318" s="39">
        <v>0</v>
      </c>
      <c r="AH318" s="39">
        <v>0</v>
      </c>
      <c r="AI318" s="39">
        <v>0</v>
      </c>
      <c r="AJ318" s="39">
        <v>0</v>
      </c>
      <c r="AK318" s="39">
        <v>1</v>
      </c>
      <c r="AL318" s="39">
        <v>1</v>
      </c>
      <c r="AM318" s="39">
        <v>1</v>
      </c>
      <c r="AN318" s="39">
        <v>0</v>
      </c>
      <c r="AO318" s="39">
        <v>0</v>
      </c>
      <c r="AP318" s="39">
        <v>0</v>
      </c>
      <c r="AQ318" s="39">
        <v>0</v>
      </c>
      <c r="AR318" s="39">
        <v>0</v>
      </c>
      <c r="AS318" s="39">
        <v>0</v>
      </c>
      <c r="AT318" s="39">
        <v>0</v>
      </c>
      <c r="AU318" s="39">
        <v>0</v>
      </c>
      <c r="AV318" s="39">
        <v>0</v>
      </c>
      <c r="AW318" s="39">
        <v>0</v>
      </c>
      <c r="AX318" s="39">
        <v>0</v>
      </c>
      <c r="AY318" s="39">
        <v>0</v>
      </c>
      <c r="AZ318" s="39">
        <v>0</v>
      </c>
      <c r="BA318" s="39">
        <v>0</v>
      </c>
      <c r="BB318" s="39">
        <v>0</v>
      </c>
      <c r="BC318" s="39">
        <v>0</v>
      </c>
    </row>
    <row r="319" spans="3:55" hidden="1" outlineLevel="1" x14ac:dyDescent="0.2">
      <c r="C319" s="162" t="str">
        <v>Puertos RNC a Core: Datos: 1024</v>
      </c>
      <c r="D319" s="162" t="str">
        <v>UMTS+HSPA solo tráfico de datos</v>
      </c>
      <c r="E319" s="62">
        <f t="shared" si="55"/>
        <v>0</v>
      </c>
      <c r="F319" s="39">
        <f t="array" ref="F319:BC319">INDEX(RF.Option.Table,MATCH($D319,RF.Option.List,0),)</f>
        <v>0</v>
      </c>
      <c r="G319" s="39">
        <v>0</v>
      </c>
      <c r="H319" s="39">
        <v>0</v>
      </c>
      <c r="I319" s="39">
        <v>0</v>
      </c>
      <c r="J319" s="39">
        <v>0</v>
      </c>
      <c r="K319" s="39">
        <v>0</v>
      </c>
      <c r="L319" s="39">
        <v>0</v>
      </c>
      <c r="M319" s="39">
        <v>0</v>
      </c>
      <c r="N319" s="39">
        <v>0</v>
      </c>
      <c r="O319" s="39">
        <v>0</v>
      </c>
      <c r="P319" s="39">
        <v>0</v>
      </c>
      <c r="Q319" s="39">
        <v>0</v>
      </c>
      <c r="R319" s="39">
        <v>0</v>
      </c>
      <c r="S319" s="39">
        <v>0</v>
      </c>
      <c r="T319" s="39">
        <v>0</v>
      </c>
      <c r="U319" s="39">
        <v>0</v>
      </c>
      <c r="V319" s="39">
        <v>0</v>
      </c>
      <c r="W319" s="39">
        <v>0</v>
      </c>
      <c r="X319" s="39">
        <v>0</v>
      </c>
      <c r="Y319" s="39">
        <v>0</v>
      </c>
      <c r="Z319" s="39">
        <v>0</v>
      </c>
      <c r="AA319" s="39">
        <v>0</v>
      </c>
      <c r="AB319" s="39">
        <v>0</v>
      </c>
      <c r="AC319" s="39">
        <v>0</v>
      </c>
      <c r="AD319" s="39">
        <v>0</v>
      </c>
      <c r="AE319" s="39">
        <v>0</v>
      </c>
      <c r="AF319" s="39">
        <v>0</v>
      </c>
      <c r="AG319" s="39">
        <v>0</v>
      </c>
      <c r="AH319" s="39">
        <v>0</v>
      </c>
      <c r="AI319" s="39">
        <v>0</v>
      </c>
      <c r="AJ319" s="39">
        <v>0</v>
      </c>
      <c r="AK319" s="39">
        <v>1</v>
      </c>
      <c r="AL319" s="39">
        <v>1</v>
      </c>
      <c r="AM319" s="39">
        <v>1</v>
      </c>
      <c r="AN319" s="39">
        <v>0</v>
      </c>
      <c r="AO319" s="39">
        <v>0</v>
      </c>
      <c r="AP319" s="39">
        <v>0</v>
      </c>
      <c r="AQ319" s="39">
        <v>0</v>
      </c>
      <c r="AR319" s="39">
        <v>0</v>
      </c>
      <c r="AS319" s="39">
        <v>0</v>
      </c>
      <c r="AT319" s="39">
        <v>0</v>
      </c>
      <c r="AU319" s="39">
        <v>0</v>
      </c>
      <c r="AV319" s="39">
        <v>0</v>
      </c>
      <c r="AW319" s="39">
        <v>0</v>
      </c>
      <c r="AX319" s="39">
        <v>0</v>
      </c>
      <c r="AY319" s="39">
        <v>0</v>
      </c>
      <c r="AZ319" s="39">
        <v>0</v>
      </c>
      <c r="BA319" s="39">
        <v>0</v>
      </c>
      <c r="BB319" s="39">
        <v>0</v>
      </c>
      <c r="BC319" s="39">
        <v>0</v>
      </c>
    </row>
    <row r="320" spans="3:55" hidden="1" outlineLevel="1" x14ac:dyDescent="0.2">
      <c r="C320" s="162" t="str">
        <v>Puertos RNC a Core: Datos: 2488</v>
      </c>
      <c r="D320" s="162" t="str">
        <v>UMTS+HSPA solo tráfico de datos</v>
      </c>
      <c r="E320" s="62">
        <f t="shared" si="55"/>
        <v>0</v>
      </c>
      <c r="F320" s="39">
        <f t="array" ref="F320:BC320">INDEX(RF.Option.Table,MATCH($D320,RF.Option.List,0),)</f>
        <v>0</v>
      </c>
      <c r="G320" s="39">
        <v>0</v>
      </c>
      <c r="H320" s="39">
        <v>0</v>
      </c>
      <c r="I320" s="39">
        <v>0</v>
      </c>
      <c r="J320" s="39">
        <v>0</v>
      </c>
      <c r="K320" s="39">
        <v>0</v>
      </c>
      <c r="L320" s="39">
        <v>0</v>
      </c>
      <c r="M320" s="39">
        <v>0</v>
      </c>
      <c r="N320" s="39">
        <v>0</v>
      </c>
      <c r="O320" s="39">
        <v>0</v>
      </c>
      <c r="P320" s="39">
        <v>0</v>
      </c>
      <c r="Q320" s="39">
        <v>0</v>
      </c>
      <c r="R320" s="39">
        <v>0</v>
      </c>
      <c r="S320" s="39">
        <v>0</v>
      </c>
      <c r="T320" s="39">
        <v>0</v>
      </c>
      <c r="U320" s="39">
        <v>0</v>
      </c>
      <c r="V320" s="39">
        <v>0</v>
      </c>
      <c r="W320" s="39">
        <v>0</v>
      </c>
      <c r="X320" s="39">
        <v>0</v>
      </c>
      <c r="Y320" s="39">
        <v>0</v>
      </c>
      <c r="Z320" s="39">
        <v>0</v>
      </c>
      <c r="AA320" s="39">
        <v>0</v>
      </c>
      <c r="AB320" s="39">
        <v>0</v>
      </c>
      <c r="AC320" s="39">
        <v>0</v>
      </c>
      <c r="AD320" s="39">
        <v>0</v>
      </c>
      <c r="AE320" s="39">
        <v>0</v>
      </c>
      <c r="AF320" s="39">
        <v>0</v>
      </c>
      <c r="AG320" s="39">
        <v>0</v>
      </c>
      <c r="AH320" s="39">
        <v>0</v>
      </c>
      <c r="AI320" s="39">
        <v>0</v>
      </c>
      <c r="AJ320" s="39">
        <v>0</v>
      </c>
      <c r="AK320" s="39">
        <v>1</v>
      </c>
      <c r="AL320" s="39">
        <v>1</v>
      </c>
      <c r="AM320" s="39">
        <v>1</v>
      </c>
      <c r="AN320" s="39">
        <v>0</v>
      </c>
      <c r="AO320" s="39">
        <v>0</v>
      </c>
      <c r="AP320" s="39">
        <v>0</v>
      </c>
      <c r="AQ320" s="39">
        <v>0</v>
      </c>
      <c r="AR320" s="39">
        <v>0</v>
      </c>
      <c r="AS320" s="39">
        <v>0</v>
      </c>
      <c r="AT320" s="39">
        <v>0</v>
      </c>
      <c r="AU320" s="39">
        <v>0</v>
      </c>
      <c r="AV320" s="39">
        <v>0</v>
      </c>
      <c r="AW320" s="39">
        <v>0</v>
      </c>
      <c r="AX320" s="39">
        <v>0</v>
      </c>
      <c r="AY320" s="39">
        <v>0</v>
      </c>
      <c r="AZ320" s="39">
        <v>0</v>
      </c>
      <c r="BA320" s="39">
        <v>0</v>
      </c>
      <c r="BB320" s="39">
        <v>0</v>
      </c>
      <c r="BC320" s="39">
        <v>0</v>
      </c>
    </row>
    <row r="321" spans="3:56" collapsed="1" x14ac:dyDescent="0.2">
      <c r="C321" s="162" t="str">
        <v>Canon de espectro</v>
      </c>
      <c r="D321" s="162" t="str">
        <v>Minutos radio equivalentes</v>
      </c>
      <c r="E321" s="62">
        <f t="shared" si="55"/>
        <v>0</v>
      </c>
      <c r="F321" s="39">
        <f t="array" ref="F321:BC321">INDEX(RF.Option.Table,MATCH($D321,RF.Option.List,0),)</f>
        <v>2.1784313725490194</v>
      </c>
      <c r="G321" s="39">
        <v>1.0947916666666666</v>
      </c>
      <c r="H321" s="39">
        <v>1.1166666666666667</v>
      </c>
      <c r="I321" s="39">
        <v>1.0722222222222222</v>
      </c>
      <c r="J321" s="39">
        <v>1.0947916666666666</v>
      </c>
      <c r="K321" s="39">
        <v>1.1166666666666667</v>
      </c>
      <c r="L321" s="39">
        <v>1.0722222222222222</v>
      </c>
      <c r="M321" s="39">
        <v>2.8319607843137256</v>
      </c>
      <c r="N321" s="39">
        <v>1.4232291666666665</v>
      </c>
      <c r="O321" s="39">
        <v>1.4516666666666667</v>
      </c>
      <c r="P321" s="39">
        <v>1.393888888888889</v>
      </c>
      <c r="Q321" s="39">
        <v>1.4232291666666665</v>
      </c>
      <c r="R321" s="39">
        <v>1.4516666666666667</v>
      </c>
      <c r="S321" s="39">
        <v>1.393888888888889</v>
      </c>
      <c r="T321" s="39">
        <v>2</v>
      </c>
      <c r="U321" s="39">
        <v>1</v>
      </c>
      <c r="V321" s="39">
        <v>1</v>
      </c>
      <c r="W321" s="39">
        <v>1</v>
      </c>
      <c r="X321" s="39">
        <v>1</v>
      </c>
      <c r="Y321" s="39">
        <v>1</v>
      </c>
      <c r="Z321" s="39">
        <v>1</v>
      </c>
      <c r="AA321" s="39">
        <v>2.6075619295958278E-3</v>
      </c>
      <c r="AB321" s="39">
        <v>1.3037809647979139E-3</v>
      </c>
      <c r="AC321" s="39">
        <v>1.3037809647979139E-3</v>
      </c>
      <c r="AD321" s="39">
        <v>1E-3</v>
      </c>
      <c r="AE321" s="39">
        <v>5.0000000000000001E-4</v>
      </c>
      <c r="AF321" s="39">
        <v>5.0000000000000001E-4</v>
      </c>
      <c r="AG321" s="39">
        <v>2.8318024691358027E-5</v>
      </c>
      <c r="AH321" s="39">
        <v>1.4159012345679013E-5</v>
      </c>
      <c r="AI321" s="39">
        <v>1.4159012345679013E-5</v>
      </c>
      <c r="AJ321" s="39">
        <v>4.4600888888888894</v>
      </c>
      <c r="AK321" s="39">
        <v>9.1</v>
      </c>
      <c r="AL321" s="39">
        <v>0.45295418641390212</v>
      </c>
      <c r="AM321" s="39">
        <v>0</v>
      </c>
      <c r="AN321" s="39">
        <v>0.23598353909465022</v>
      </c>
      <c r="AO321" s="39">
        <v>0</v>
      </c>
      <c r="AP321" s="39">
        <v>0</v>
      </c>
      <c r="AQ321" s="39">
        <v>0</v>
      </c>
      <c r="AR321" s="39">
        <v>0</v>
      </c>
      <c r="AS321" s="39">
        <v>0</v>
      </c>
      <c r="AT321" s="39">
        <v>0</v>
      </c>
      <c r="AU321" s="39">
        <v>0</v>
      </c>
      <c r="AV321" s="39">
        <v>0</v>
      </c>
      <c r="AW321" s="39">
        <v>0</v>
      </c>
      <c r="AX321" s="39">
        <v>0</v>
      </c>
      <c r="AY321" s="39">
        <v>0</v>
      </c>
      <c r="AZ321" s="39">
        <v>0</v>
      </c>
      <c r="BA321" s="39">
        <v>0</v>
      </c>
      <c r="BB321" s="39">
        <v>0</v>
      </c>
      <c r="BC321" s="39">
        <v>0</v>
      </c>
    </row>
    <row r="322" spans="3:56" x14ac:dyDescent="0.2">
      <c r="BD322" s="8" t="s">
        <v>454</v>
      </c>
    </row>
  </sheetData>
  <conditionalFormatting sqref="F81:BC115">
    <cfRule type="cellIs" dxfId="136" priority="183" stopIfTrue="1" operator="greaterThan">
      <formula>0</formula>
    </cfRule>
  </conditionalFormatting>
  <conditionalFormatting sqref="H102">
    <cfRule type="cellIs" dxfId="135" priority="182" stopIfTrue="1" operator="greaterThan">
      <formula>0</formula>
    </cfRule>
  </conditionalFormatting>
  <conditionalFormatting sqref="H103">
    <cfRule type="cellIs" dxfId="134" priority="181" stopIfTrue="1" operator="greaterThan">
      <formula>0</formula>
    </cfRule>
  </conditionalFormatting>
  <conditionalFormatting sqref="H103">
    <cfRule type="cellIs" dxfId="133" priority="180" stopIfTrue="1" operator="greaterThan">
      <formula>0</formula>
    </cfRule>
  </conditionalFormatting>
  <conditionalFormatting sqref="H104">
    <cfRule type="cellIs" dxfId="132" priority="179" stopIfTrue="1" operator="greaterThan">
      <formula>0</formula>
    </cfRule>
  </conditionalFormatting>
  <conditionalFormatting sqref="R85:W85">
    <cfRule type="cellIs" dxfId="131" priority="178" stopIfTrue="1" operator="greaterThan">
      <formula>0</formula>
    </cfRule>
  </conditionalFormatting>
  <conditionalFormatting sqref="AN93:AN100">
    <cfRule type="cellIs" dxfId="130" priority="174" stopIfTrue="1" operator="greaterThan">
      <formula>0</formula>
    </cfRule>
  </conditionalFormatting>
  <conditionalFormatting sqref="AO93:AO100">
    <cfRule type="cellIs" dxfId="129" priority="173" stopIfTrue="1" operator="greaterThan">
      <formula>0</formula>
    </cfRule>
  </conditionalFormatting>
  <conditionalFormatting sqref="AR93:AR107">
    <cfRule type="cellIs" dxfId="128" priority="172" stopIfTrue="1" operator="greaterThan">
      <formula>0</formula>
    </cfRule>
  </conditionalFormatting>
  <conditionalFormatting sqref="AS93:AS107">
    <cfRule type="cellIs" dxfId="127" priority="171" stopIfTrue="1" operator="greaterThan">
      <formula>0</formula>
    </cfRule>
  </conditionalFormatting>
  <conditionalFormatting sqref="AV93:AV107">
    <cfRule type="cellIs" dxfId="126" priority="170" stopIfTrue="1" operator="greaterThan">
      <formula>0</formula>
    </cfRule>
  </conditionalFormatting>
  <conditionalFormatting sqref="AW93:BC107">
    <cfRule type="cellIs" dxfId="125" priority="165" stopIfTrue="1" operator="greaterThan">
      <formula>0</formula>
    </cfRule>
  </conditionalFormatting>
  <conditionalFormatting sqref="AP102:AP107 AP93:AP100">
    <cfRule type="cellIs" dxfId="124" priority="160" stopIfTrue="1" operator="greaterThan">
      <formula>0</formula>
    </cfRule>
  </conditionalFormatting>
  <conditionalFormatting sqref="AP102">
    <cfRule type="cellIs" dxfId="123" priority="159" stopIfTrue="1" operator="greaterThan">
      <formula>0</formula>
    </cfRule>
  </conditionalFormatting>
  <conditionalFormatting sqref="AP103">
    <cfRule type="cellIs" dxfId="122" priority="158" stopIfTrue="1" operator="greaterThan">
      <formula>0</formula>
    </cfRule>
  </conditionalFormatting>
  <conditionalFormatting sqref="AP103">
    <cfRule type="cellIs" dxfId="121" priority="157" stopIfTrue="1" operator="greaterThan">
      <formula>0</formula>
    </cfRule>
  </conditionalFormatting>
  <conditionalFormatting sqref="AP104">
    <cfRule type="cellIs" dxfId="120" priority="156" stopIfTrue="1" operator="greaterThan">
      <formula>0</formula>
    </cfRule>
  </conditionalFormatting>
  <conditionalFormatting sqref="AQ94:AQ107">
    <cfRule type="cellIs" dxfId="119" priority="155" stopIfTrue="1" operator="greaterThan">
      <formula>0</formula>
    </cfRule>
  </conditionalFormatting>
  <conditionalFormatting sqref="AQ102">
    <cfRule type="cellIs" dxfId="118" priority="154" stopIfTrue="1" operator="greaterThan">
      <formula>0</formula>
    </cfRule>
  </conditionalFormatting>
  <conditionalFormatting sqref="AQ103">
    <cfRule type="cellIs" dxfId="117" priority="153" stopIfTrue="1" operator="greaterThan">
      <formula>0</formula>
    </cfRule>
  </conditionalFormatting>
  <conditionalFormatting sqref="AQ103">
    <cfRule type="cellIs" dxfId="116" priority="152" stopIfTrue="1" operator="greaterThan">
      <formula>0</formula>
    </cfRule>
  </conditionalFormatting>
  <conditionalFormatting sqref="AQ104">
    <cfRule type="cellIs" dxfId="115" priority="151" stopIfTrue="1" operator="greaterThan">
      <formula>0</formula>
    </cfRule>
  </conditionalFormatting>
  <conditionalFormatting sqref="AT102:AT107 AT93:AT100">
    <cfRule type="cellIs" dxfId="114" priority="150" stopIfTrue="1" operator="greaterThan">
      <formula>0</formula>
    </cfRule>
  </conditionalFormatting>
  <conditionalFormatting sqref="AU94:AU107">
    <cfRule type="cellIs" dxfId="113" priority="149" stopIfTrue="1" operator="greaterThan">
      <formula>0</formula>
    </cfRule>
  </conditionalFormatting>
  <conditionalFormatting sqref="AP101">
    <cfRule type="cellIs" dxfId="112" priority="138" stopIfTrue="1" operator="greaterThan">
      <formula>0</formula>
    </cfRule>
  </conditionalFormatting>
  <conditionalFormatting sqref="AT101">
    <cfRule type="cellIs" dxfId="111" priority="137" stopIfTrue="1" operator="greaterThan">
      <formula>0</formula>
    </cfRule>
  </conditionalFormatting>
  <conditionalFormatting sqref="AQ93">
    <cfRule type="cellIs" dxfId="110" priority="136" stopIfTrue="1" operator="greaterThan">
      <formula>0</formula>
    </cfRule>
  </conditionalFormatting>
  <conditionalFormatting sqref="AU93">
    <cfRule type="cellIs" dxfId="109" priority="135" stopIfTrue="1" operator="greaterThan">
      <formula>0</formula>
    </cfRule>
  </conditionalFormatting>
  <conditionalFormatting sqref="H106:Z106">
    <cfRule type="cellIs" dxfId="108" priority="133" stopIfTrue="1" operator="greaterThan">
      <formula>0</formula>
    </cfRule>
  </conditionalFormatting>
  <conditionalFormatting sqref="AP107">
    <cfRule type="cellIs" dxfId="107" priority="132" stopIfTrue="1" operator="greaterThan">
      <formula>0</formula>
    </cfRule>
  </conditionalFormatting>
  <conditionalFormatting sqref="E3">
    <cfRule type="cellIs" dxfId="106" priority="127" operator="notEqual">
      <formula>"ERROR"</formula>
    </cfRule>
    <cfRule type="cellIs" dxfId="105" priority="128" operator="equal">
      <formula>"ERROR"</formula>
    </cfRule>
  </conditionalFormatting>
  <conditionalFormatting sqref="AQ104">
    <cfRule type="cellIs" dxfId="104" priority="49" stopIfTrue="1" operator="greaterThan">
      <formula>0</formula>
    </cfRule>
  </conditionalFormatting>
  <conditionalFormatting sqref="AQ104">
    <cfRule type="cellIs" dxfId="103" priority="48" stopIfTrue="1" operator="greaterThan">
      <formula>0</formula>
    </cfRule>
  </conditionalFormatting>
  <conditionalFormatting sqref="AP105">
    <cfRule type="cellIs" dxfId="102" priority="32" stopIfTrue="1" operator="greaterThan">
      <formula>0</formula>
    </cfRule>
  </conditionalFormatting>
  <conditionalFormatting sqref="AG82">
    <cfRule type="cellIs" dxfId="101" priority="123" stopIfTrue="1" operator="greaterThan">
      <formula>0</formula>
    </cfRule>
  </conditionalFormatting>
  <conditionalFormatting sqref="AP106">
    <cfRule type="cellIs" dxfId="100" priority="31" stopIfTrue="1" operator="greaterThan">
      <formula>0</formula>
    </cfRule>
  </conditionalFormatting>
  <conditionalFormatting sqref="AU94">
    <cfRule type="cellIs" dxfId="99" priority="43" stopIfTrue="1" operator="greaterThan">
      <formula>0</formula>
    </cfRule>
  </conditionalFormatting>
  <conditionalFormatting sqref="H106">
    <cfRule type="cellIs" dxfId="98" priority="35" stopIfTrue="1" operator="greaterThan">
      <formula>0</formula>
    </cfRule>
  </conditionalFormatting>
  <conditionalFormatting sqref="AP104">
    <cfRule type="cellIs" dxfId="97" priority="34" stopIfTrue="1" operator="greaterThan">
      <formula>0</formula>
    </cfRule>
  </conditionalFormatting>
  <conditionalFormatting sqref="AP105">
    <cfRule type="cellIs" dxfId="96" priority="33" stopIfTrue="1" operator="greaterThan">
      <formula>0</formula>
    </cfRule>
  </conditionalFormatting>
  <conditionalFormatting sqref="AQ104">
    <cfRule type="cellIs" dxfId="95" priority="30" stopIfTrue="1" operator="greaterThan">
      <formula>0</formula>
    </cfRule>
  </conditionalFormatting>
  <conditionalFormatting sqref="AK92:AN92">
    <cfRule type="cellIs" dxfId="94" priority="113" stopIfTrue="1" operator="greaterThan">
      <formula>0</formula>
    </cfRule>
  </conditionalFormatting>
  <conditionalFormatting sqref="P104">
    <cfRule type="cellIs" dxfId="93" priority="112" stopIfTrue="1" operator="greaterThan">
      <formula>0</formula>
    </cfRule>
  </conditionalFormatting>
  <conditionalFormatting sqref="AQ106:BC112">
    <cfRule type="cellIs" dxfId="92" priority="104" stopIfTrue="1" operator="greaterThan">
      <formula>0</formula>
    </cfRule>
  </conditionalFormatting>
  <conditionalFormatting sqref="F110:K110">
    <cfRule type="cellIs" dxfId="91" priority="111" stopIfTrue="1" operator="greaterThan">
      <formula>0</formula>
    </cfRule>
  </conditionalFormatting>
  <conditionalFormatting sqref="N110:S110">
    <cfRule type="cellIs" dxfId="90" priority="110" stopIfTrue="1" operator="greaterThan">
      <formula>0</formula>
    </cfRule>
  </conditionalFormatting>
  <conditionalFormatting sqref="L109:M110">
    <cfRule type="cellIs" dxfId="89" priority="109" stopIfTrue="1" operator="greaterThan">
      <formula>0</formula>
    </cfRule>
  </conditionalFormatting>
  <conditionalFormatting sqref="N109:AD109">
    <cfRule type="cellIs" dxfId="88" priority="108" stopIfTrue="1" operator="greaterThan">
      <formula>0</formula>
    </cfRule>
  </conditionalFormatting>
  <conditionalFormatting sqref="T110:X110 T111:AA111">
    <cfRule type="cellIs" dxfId="87" priority="107" stopIfTrue="1" operator="greaterThan">
      <formula>0</formula>
    </cfRule>
  </conditionalFormatting>
  <conditionalFormatting sqref="F122:BC321">
    <cfRule type="cellIs" dxfId="86" priority="101" stopIfTrue="1" operator="equal">
      <formula>0</formula>
    </cfRule>
    <cfRule type="cellIs" dxfId="85" priority="102" stopIfTrue="1" operator="greaterThan">
      <formula>0</formula>
    </cfRule>
  </conditionalFormatting>
  <conditionalFormatting sqref="AU95">
    <cfRule type="cellIs" dxfId="84" priority="23" stopIfTrue="1" operator="greaterThan">
      <formula>0</formula>
    </cfRule>
  </conditionalFormatting>
  <conditionalFormatting sqref="Y109:AA109">
    <cfRule type="cellIs" dxfId="83" priority="99" stopIfTrue="1" operator="greaterThan">
      <formula>0</formula>
    </cfRule>
  </conditionalFormatting>
  <conditionalFormatting sqref="V109:X109">
    <cfRule type="cellIs" dxfId="82" priority="98" stopIfTrue="1" operator="greaterThan">
      <formula>0</formula>
    </cfRule>
  </conditionalFormatting>
  <conditionalFormatting sqref="Y110:AA110">
    <cfRule type="cellIs" dxfId="81" priority="97" stopIfTrue="1" operator="greaterThan">
      <formula>0</formula>
    </cfRule>
  </conditionalFormatting>
  <conditionalFormatting sqref="V110:X110">
    <cfRule type="cellIs" dxfId="80" priority="96" stopIfTrue="1" operator="greaterThan">
      <formula>0</formula>
    </cfRule>
  </conditionalFormatting>
  <conditionalFormatting sqref="AQ113:BC113">
    <cfRule type="cellIs" dxfId="79" priority="92" stopIfTrue="1" operator="greaterThan">
      <formula>0</formula>
    </cfRule>
  </conditionalFormatting>
  <conditionalFormatting sqref="F113:S113 AB113:AP113">
    <cfRule type="cellIs" dxfId="78" priority="94" stopIfTrue="1" operator="greaterThan">
      <formula>0</formula>
    </cfRule>
  </conditionalFormatting>
  <conditionalFormatting sqref="T113:AA113">
    <cfRule type="cellIs" dxfId="77" priority="93" stopIfTrue="1" operator="greaterThan">
      <formula>0</formula>
    </cfRule>
  </conditionalFormatting>
  <conditionalFormatting sqref="F114:S114 AB114:AP114">
    <cfRule type="cellIs" dxfId="76" priority="91" stopIfTrue="1" operator="greaterThan">
      <formula>0</formula>
    </cfRule>
  </conditionalFormatting>
  <conditionalFormatting sqref="AQ114:BC114">
    <cfRule type="cellIs" dxfId="75" priority="89" stopIfTrue="1" operator="greaterThan">
      <formula>0</formula>
    </cfRule>
  </conditionalFormatting>
  <conditionalFormatting sqref="T114:AA114">
    <cfRule type="cellIs" dxfId="74" priority="90" stopIfTrue="1" operator="greaterThan">
      <formula>0</formula>
    </cfRule>
  </conditionalFormatting>
  <conditionalFormatting sqref="L81:L82">
    <cfRule type="cellIs" dxfId="73" priority="86" stopIfTrue="1" operator="greaterThan">
      <formula>0</formula>
    </cfRule>
  </conditionalFormatting>
  <conditionalFormatting sqref="AL81 AL84:AM84 AJ85:AM87 AJ81 AJ82:AL82 AJ83:AJ84">
    <cfRule type="cellIs" dxfId="72" priority="85" stopIfTrue="1" operator="greaterThan">
      <formula>0</formula>
    </cfRule>
  </conditionalFormatting>
  <conditionalFormatting sqref="AK81">
    <cfRule type="cellIs" dxfId="71" priority="84" stopIfTrue="1" operator="greaterThan">
      <formula>0</formula>
    </cfRule>
  </conditionalFormatting>
  <conditionalFormatting sqref="AK83:AK84">
    <cfRule type="cellIs" dxfId="70" priority="83" stopIfTrue="1" operator="greaterThan">
      <formula>0</formula>
    </cfRule>
  </conditionalFormatting>
  <conditionalFormatting sqref="AM82">
    <cfRule type="cellIs" dxfId="69" priority="82" stopIfTrue="1" operator="greaterThan">
      <formula>0</formula>
    </cfRule>
  </conditionalFormatting>
  <conditionalFormatting sqref="S110">
    <cfRule type="cellIs" dxfId="68" priority="6" stopIfTrue="1" operator="greaterThan">
      <formula>0</formula>
    </cfRule>
  </conditionalFormatting>
  <conditionalFormatting sqref="AL83">
    <cfRule type="cellIs" dxfId="67" priority="80" stopIfTrue="1" operator="greaterThan">
      <formula>0</formula>
    </cfRule>
  </conditionalFormatting>
  <conditionalFormatting sqref="C81:C87 C91:C115">
    <cfRule type="cellIs" dxfId="66" priority="79" operator="equal">
      <formula>"spare"</formula>
    </cfRule>
  </conditionalFormatting>
  <conditionalFormatting sqref="AD110:AF110">
    <cfRule type="cellIs" dxfId="65" priority="3" stopIfTrue="1" operator="greaterThan">
      <formula>0</formula>
    </cfRule>
  </conditionalFormatting>
  <conditionalFormatting sqref="AM83 AM81:AN81">
    <cfRule type="cellIs" dxfId="64" priority="77" stopIfTrue="1" operator="greaterThan">
      <formula>0</formula>
    </cfRule>
  </conditionalFormatting>
  <conditionalFormatting sqref="H103">
    <cfRule type="cellIs" dxfId="63" priority="76" stopIfTrue="1" operator="greaterThan">
      <formula>0</formula>
    </cfRule>
  </conditionalFormatting>
  <conditionalFormatting sqref="H104">
    <cfRule type="cellIs" dxfId="62" priority="75" stopIfTrue="1" operator="greaterThan">
      <formula>0</formula>
    </cfRule>
  </conditionalFormatting>
  <conditionalFormatting sqref="H104">
    <cfRule type="cellIs" dxfId="61" priority="74" stopIfTrue="1" operator="greaterThan">
      <formula>0</formula>
    </cfRule>
  </conditionalFormatting>
  <conditionalFormatting sqref="H105">
    <cfRule type="cellIs" dxfId="60" priority="73" stopIfTrue="1" operator="greaterThan">
      <formula>0</formula>
    </cfRule>
  </conditionalFormatting>
  <conditionalFormatting sqref="AP103">
    <cfRule type="cellIs" dxfId="59" priority="72" stopIfTrue="1" operator="greaterThan">
      <formula>0</formula>
    </cfRule>
  </conditionalFormatting>
  <conditionalFormatting sqref="AP104">
    <cfRule type="cellIs" dxfId="58" priority="71" stopIfTrue="1" operator="greaterThan">
      <formula>0</formula>
    </cfRule>
  </conditionalFormatting>
  <conditionalFormatting sqref="AP104">
    <cfRule type="cellIs" dxfId="57" priority="70" stopIfTrue="1" operator="greaterThan">
      <formula>0</formula>
    </cfRule>
  </conditionalFormatting>
  <conditionalFormatting sqref="AP105">
    <cfRule type="cellIs" dxfId="56" priority="69" stopIfTrue="1" operator="greaterThan">
      <formula>0</formula>
    </cfRule>
  </conditionalFormatting>
  <conditionalFormatting sqref="AQ103">
    <cfRule type="cellIs" dxfId="55" priority="68" stopIfTrue="1" operator="greaterThan">
      <formula>0</formula>
    </cfRule>
  </conditionalFormatting>
  <conditionalFormatting sqref="AQ104">
    <cfRule type="cellIs" dxfId="54" priority="67" stopIfTrue="1" operator="greaterThan">
      <formula>0</formula>
    </cfRule>
  </conditionalFormatting>
  <conditionalFormatting sqref="AQ104">
    <cfRule type="cellIs" dxfId="53" priority="66" stopIfTrue="1" operator="greaterThan">
      <formula>0</formula>
    </cfRule>
  </conditionalFormatting>
  <conditionalFormatting sqref="AQ105">
    <cfRule type="cellIs" dxfId="52" priority="65" stopIfTrue="1" operator="greaterThan">
      <formula>0</formula>
    </cfRule>
  </conditionalFormatting>
  <conditionalFormatting sqref="AP102">
    <cfRule type="cellIs" dxfId="51" priority="64" stopIfTrue="1" operator="greaterThan">
      <formula>0</formula>
    </cfRule>
  </conditionalFormatting>
  <conditionalFormatting sqref="AT102">
    <cfRule type="cellIs" dxfId="50" priority="63" stopIfTrue="1" operator="greaterThan">
      <formula>0</formula>
    </cfRule>
  </conditionalFormatting>
  <conditionalFormatting sqref="AQ94">
    <cfRule type="cellIs" dxfId="49" priority="62" stopIfTrue="1" operator="greaterThan">
      <formula>0</formula>
    </cfRule>
  </conditionalFormatting>
  <conditionalFormatting sqref="AU94">
    <cfRule type="cellIs" dxfId="48" priority="61" stopIfTrue="1" operator="greaterThan">
      <formula>0</formula>
    </cfRule>
  </conditionalFormatting>
  <conditionalFormatting sqref="AK93:AN93">
    <cfRule type="cellIs" dxfId="47" priority="60" stopIfTrue="1" operator="greaterThan">
      <formula>0</formula>
    </cfRule>
  </conditionalFormatting>
  <conditionalFormatting sqref="P105">
    <cfRule type="cellIs" dxfId="46" priority="59" stopIfTrue="1" operator="greaterThan">
      <formula>0</formula>
    </cfRule>
  </conditionalFormatting>
  <conditionalFormatting sqref="H103">
    <cfRule type="cellIs" dxfId="45" priority="58" stopIfTrue="1" operator="greaterThan">
      <formula>0</formula>
    </cfRule>
  </conditionalFormatting>
  <conditionalFormatting sqref="H104">
    <cfRule type="cellIs" dxfId="44" priority="57" stopIfTrue="1" operator="greaterThan">
      <formula>0</formula>
    </cfRule>
  </conditionalFormatting>
  <conditionalFormatting sqref="H104">
    <cfRule type="cellIs" dxfId="43" priority="56" stopIfTrue="1" operator="greaterThan">
      <formula>0</formula>
    </cfRule>
  </conditionalFormatting>
  <conditionalFormatting sqref="H105">
    <cfRule type="cellIs" dxfId="42" priority="55" stopIfTrue="1" operator="greaterThan">
      <formula>0</formula>
    </cfRule>
  </conditionalFormatting>
  <conditionalFormatting sqref="AP103">
    <cfRule type="cellIs" dxfId="41" priority="54" stopIfTrue="1" operator="greaterThan">
      <formula>0</formula>
    </cfRule>
  </conditionalFormatting>
  <conditionalFormatting sqref="AP104">
    <cfRule type="cellIs" dxfId="40" priority="53" stopIfTrue="1" operator="greaterThan">
      <formula>0</formula>
    </cfRule>
  </conditionalFormatting>
  <conditionalFormatting sqref="AP104">
    <cfRule type="cellIs" dxfId="39" priority="52" stopIfTrue="1" operator="greaterThan">
      <formula>0</formula>
    </cfRule>
  </conditionalFormatting>
  <conditionalFormatting sqref="AP105">
    <cfRule type="cellIs" dxfId="38" priority="51" stopIfTrue="1" operator="greaterThan">
      <formula>0</formula>
    </cfRule>
  </conditionalFormatting>
  <conditionalFormatting sqref="AQ103">
    <cfRule type="cellIs" dxfId="37" priority="50" stopIfTrue="1" operator="greaterThan">
      <formula>0</formula>
    </cfRule>
  </conditionalFormatting>
  <conditionalFormatting sqref="AQ105">
    <cfRule type="cellIs" dxfId="36" priority="47" stopIfTrue="1" operator="greaterThan">
      <formula>0</formula>
    </cfRule>
  </conditionalFormatting>
  <conditionalFormatting sqref="AP102">
    <cfRule type="cellIs" dxfId="35" priority="46" stopIfTrue="1" operator="greaterThan">
      <formula>0</formula>
    </cfRule>
  </conditionalFormatting>
  <conditionalFormatting sqref="AT102">
    <cfRule type="cellIs" dxfId="34" priority="45" stopIfTrue="1" operator="greaterThan">
      <formula>0</formula>
    </cfRule>
  </conditionalFormatting>
  <conditionalFormatting sqref="AQ94">
    <cfRule type="cellIs" dxfId="33" priority="44" stopIfTrue="1" operator="greaterThan">
      <formula>0</formula>
    </cfRule>
  </conditionalFormatting>
  <conditionalFormatting sqref="H107:Z107">
    <cfRule type="cellIs" dxfId="32" priority="42" stopIfTrue="1" operator="greaterThan">
      <formula>0</formula>
    </cfRule>
  </conditionalFormatting>
  <conditionalFormatting sqref="AP108">
    <cfRule type="cellIs" dxfId="31" priority="41" stopIfTrue="1" operator="greaterThan">
      <formula>0</formula>
    </cfRule>
  </conditionalFormatting>
  <conditionalFormatting sqref="AK93:AN93">
    <cfRule type="cellIs" dxfId="30" priority="40" stopIfTrue="1" operator="greaterThan">
      <formula>0</formula>
    </cfRule>
  </conditionalFormatting>
  <conditionalFormatting sqref="P105">
    <cfRule type="cellIs" dxfId="29" priority="39" stopIfTrue="1" operator="greaterThan">
      <formula>0</formula>
    </cfRule>
  </conditionalFormatting>
  <conditionalFormatting sqref="H104">
    <cfRule type="cellIs" dxfId="28" priority="38" stopIfTrue="1" operator="greaterThan">
      <formula>0</formula>
    </cfRule>
  </conditionalFormatting>
  <conditionalFormatting sqref="H105">
    <cfRule type="cellIs" dxfId="27" priority="37" stopIfTrue="1" operator="greaterThan">
      <formula>0</formula>
    </cfRule>
  </conditionalFormatting>
  <conditionalFormatting sqref="H105">
    <cfRule type="cellIs" dxfId="26" priority="36" stopIfTrue="1" operator="greaterThan">
      <formula>0</formula>
    </cfRule>
  </conditionalFormatting>
  <conditionalFormatting sqref="AQ105">
    <cfRule type="cellIs" dxfId="25" priority="29" stopIfTrue="1" operator="greaterThan">
      <formula>0</formula>
    </cfRule>
  </conditionalFormatting>
  <conditionalFormatting sqref="AQ105">
    <cfRule type="cellIs" dxfId="24" priority="28" stopIfTrue="1" operator="greaterThan">
      <formula>0</formula>
    </cfRule>
  </conditionalFormatting>
  <conditionalFormatting sqref="AQ106">
    <cfRule type="cellIs" dxfId="23" priority="27" stopIfTrue="1" operator="greaterThan">
      <formula>0</formula>
    </cfRule>
  </conditionalFormatting>
  <conditionalFormatting sqref="AP103">
    <cfRule type="cellIs" dxfId="22" priority="26" stopIfTrue="1" operator="greaterThan">
      <formula>0</formula>
    </cfRule>
  </conditionalFormatting>
  <conditionalFormatting sqref="AT103">
    <cfRule type="cellIs" dxfId="21" priority="25" stopIfTrue="1" operator="greaterThan">
      <formula>0</formula>
    </cfRule>
  </conditionalFormatting>
  <conditionalFormatting sqref="AQ95">
    <cfRule type="cellIs" dxfId="20" priority="24" stopIfTrue="1" operator="greaterThan">
      <formula>0</formula>
    </cfRule>
  </conditionalFormatting>
  <conditionalFormatting sqref="AK94:AN94">
    <cfRule type="cellIs" dxfId="19" priority="22" stopIfTrue="1" operator="greaterThan">
      <formula>0</formula>
    </cfRule>
  </conditionalFormatting>
  <conditionalFormatting sqref="P106">
    <cfRule type="cellIs" dxfId="18" priority="21" stopIfTrue="1" operator="greaterThan">
      <formula>0</formula>
    </cfRule>
  </conditionalFormatting>
  <conditionalFormatting sqref="T88:Z88">
    <cfRule type="cellIs" dxfId="17" priority="20" stopIfTrue="1" operator="greaterThan">
      <formula>0</formula>
    </cfRule>
  </conditionalFormatting>
  <conditionalFormatting sqref="AN89:AN90">
    <cfRule type="cellIs" dxfId="16" priority="19" stopIfTrue="1" operator="greaterThan">
      <formula>0</formula>
    </cfRule>
  </conditionalFormatting>
  <conditionalFormatting sqref="O106">
    <cfRule type="cellIs" dxfId="15" priority="18" stopIfTrue="1" operator="greaterThan">
      <formula>0</formula>
    </cfRule>
  </conditionalFormatting>
  <conditionalFormatting sqref="V106">
    <cfRule type="cellIs" dxfId="14" priority="17" stopIfTrue="1" operator="greaterThan">
      <formula>0</formula>
    </cfRule>
  </conditionalFormatting>
  <conditionalFormatting sqref="AC106:AG106">
    <cfRule type="cellIs" dxfId="13" priority="16" stopIfTrue="1" operator="greaterThan">
      <formula>0</formula>
    </cfRule>
  </conditionalFormatting>
  <conditionalFormatting sqref="AC106">
    <cfRule type="cellIs" dxfId="12" priority="15" stopIfTrue="1" operator="greaterThan">
      <formula>0</formula>
    </cfRule>
  </conditionalFormatting>
  <conditionalFormatting sqref="H107:Z107">
    <cfRule type="cellIs" dxfId="11" priority="14" stopIfTrue="1" operator="greaterThan">
      <formula>0</formula>
    </cfRule>
  </conditionalFormatting>
  <conditionalFormatting sqref="H107">
    <cfRule type="cellIs" dxfId="10" priority="13" stopIfTrue="1" operator="greaterThan">
      <formula>0</formula>
    </cfRule>
  </conditionalFormatting>
  <conditionalFormatting sqref="P107">
    <cfRule type="cellIs" dxfId="9" priority="12" stopIfTrue="1" operator="greaterThan">
      <formula>0</formula>
    </cfRule>
  </conditionalFormatting>
  <conditionalFormatting sqref="O107">
    <cfRule type="cellIs" dxfId="8" priority="11" stopIfTrue="1" operator="greaterThan">
      <formula>0</formula>
    </cfRule>
  </conditionalFormatting>
  <conditionalFormatting sqref="V107">
    <cfRule type="cellIs" dxfId="7" priority="10" stopIfTrue="1" operator="greaterThan">
      <formula>0</formula>
    </cfRule>
  </conditionalFormatting>
  <conditionalFormatting sqref="AC107:AG107">
    <cfRule type="cellIs" dxfId="6" priority="9" stopIfTrue="1" operator="greaterThan">
      <formula>0</formula>
    </cfRule>
  </conditionalFormatting>
  <conditionalFormatting sqref="AC107">
    <cfRule type="cellIs" dxfId="5" priority="8" stopIfTrue="1" operator="greaterThan">
      <formula>0</formula>
    </cfRule>
  </conditionalFormatting>
  <conditionalFormatting sqref="M110:R110">
    <cfRule type="cellIs" dxfId="4" priority="7" stopIfTrue="1" operator="greaterThan">
      <formula>0</formula>
    </cfRule>
  </conditionalFormatting>
  <conditionalFormatting sqref="AA110:AC110">
    <cfRule type="cellIs" dxfId="3" priority="5" stopIfTrue="1" operator="greaterThan">
      <formula>0</formula>
    </cfRule>
  </conditionalFormatting>
  <conditionalFormatting sqref="AA110">
    <cfRule type="cellIs" dxfId="2" priority="4" stopIfTrue="1" operator="greaterThan">
      <formula>0</formula>
    </cfRule>
  </conditionalFormatting>
  <conditionalFormatting sqref="AD110">
    <cfRule type="cellIs" dxfId="1" priority="2" stopIfTrue="1" operator="greaterThan">
      <formula>0</formula>
    </cfRule>
  </conditionalFormatting>
  <conditionalFormatting sqref="AN88">
    <cfRule type="cellIs" dxfId="0" priority="1" stopIfTrue="1" operator="greaterThan">
      <formula>0</formula>
    </cfRule>
  </conditionalFormatting>
  <pageMargins left="0.70866141732283472" right="0.70866141732283472" top="0.51181102362204722" bottom="0.51181102362204722" header="0.51181102362204722" footer="0.35433070866141736"/>
  <pageSetup paperSize="9" orientation="landscape" horizontalDpi="4294967292" verticalDpi="4294967292" r:id="rId1"/>
  <headerFooter alignWithMargins="0">
    <oddFooter xml:space="preserve">&amp;L&amp;F : &amp;A&amp;CPrinted at &amp;T on &amp;D&amp;RCommercial in confidence © Analysys Mason </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9" tint="0.39997558519241921"/>
    <outlinePr summaryBelow="0"/>
    <pageSetUpPr autoPageBreaks="0" fitToPage="1"/>
  </sheetPr>
  <dimension ref="A1:M145"/>
  <sheetViews>
    <sheetView showGridLines="0" defaultGridColor="0" colorId="22" zoomScale="120" zoomScaleNormal="120" workbookViewId="0">
      <pane ySplit="1" topLeftCell="A2" activePane="bottomLeft" state="frozen"/>
      <selection activeCell="A45" sqref="A45"/>
      <selection pane="bottomLeft" activeCell="A2" sqref="A2"/>
    </sheetView>
  </sheetViews>
  <sheetFormatPr baseColWidth="10" defaultColWidth="12.7109375" defaultRowHeight="12" x14ac:dyDescent="0.2"/>
  <cols>
    <col min="1" max="1" width="2.7109375" style="81" customWidth="1"/>
    <col min="2" max="2" width="26.5703125" style="81" customWidth="1"/>
    <col min="3" max="16384" width="12.7109375" style="81"/>
  </cols>
  <sheetData>
    <row r="1" spans="1:13" s="375" customFormat="1" ht="45" customHeight="1" x14ac:dyDescent="0.2">
      <c r="D1" s="2" t="s">
        <v>1743</v>
      </c>
    </row>
    <row r="2" spans="1:13" s="376" customFormat="1" ht="12" customHeight="1" x14ac:dyDescent="0.2"/>
    <row r="3" spans="1:13" x14ac:dyDescent="0.2">
      <c r="A3" s="131" t="s">
        <v>1744</v>
      </c>
    </row>
    <row r="4" spans="1:13" x14ac:dyDescent="0.2">
      <c r="A4" s="377" t="s">
        <v>1745</v>
      </c>
    </row>
    <row r="6" spans="1:13" ht="18" x14ac:dyDescent="0.2">
      <c r="A6" s="102" t="s">
        <v>1746</v>
      </c>
    </row>
    <row r="7" spans="1:13" x14ac:dyDescent="0.2">
      <c r="A7" s="378" t="s">
        <v>1747</v>
      </c>
      <c r="B7" s="379"/>
      <c r="C7" s="379"/>
      <c r="D7" s="379"/>
      <c r="E7" s="379"/>
    </row>
    <row r="8" spans="1:13" x14ac:dyDescent="0.2">
      <c r="A8" s="131" t="s">
        <v>1748</v>
      </c>
    </row>
    <row r="10" spans="1:13" x14ac:dyDescent="0.2">
      <c r="B10" s="380" t="s">
        <v>1749</v>
      </c>
      <c r="C10" s="381">
        <v>100</v>
      </c>
      <c r="D10" s="131" t="s">
        <v>1750</v>
      </c>
      <c r="E10" s="81" t="s">
        <v>1751</v>
      </c>
    </row>
    <row r="12" spans="1:13" x14ac:dyDescent="0.2">
      <c r="B12" s="382" t="s">
        <v>1749</v>
      </c>
      <c r="C12" s="381">
        <v>250</v>
      </c>
      <c r="D12" s="131" t="s">
        <v>1750</v>
      </c>
      <c r="E12" s="383" t="s">
        <v>1752</v>
      </c>
      <c r="F12" s="383"/>
      <c r="G12" s="383"/>
      <c r="H12" s="383"/>
      <c r="I12" s="383"/>
      <c r="J12" s="383"/>
      <c r="K12" s="383"/>
    </row>
    <row r="13" spans="1:13" hidden="1" x14ac:dyDescent="0.2">
      <c r="B13" s="384" t="s">
        <v>1753</v>
      </c>
      <c r="C13" s="100">
        <v>100</v>
      </c>
    </row>
    <row r="14" spans="1:13" hidden="1" x14ac:dyDescent="0.2">
      <c r="B14" s="384" t="s">
        <v>1334</v>
      </c>
      <c r="C14" s="100">
        <v>300</v>
      </c>
    </row>
    <row r="16" spans="1:13" x14ac:dyDescent="0.2">
      <c r="B16" s="382" t="s">
        <v>1749</v>
      </c>
      <c r="C16" s="381">
        <v>300</v>
      </c>
      <c r="D16" s="131" t="s">
        <v>1750</v>
      </c>
      <c r="E16" s="383" t="s">
        <v>1754</v>
      </c>
      <c r="F16" s="383"/>
      <c r="G16" s="383"/>
      <c r="H16" s="383"/>
      <c r="I16" s="383"/>
      <c r="J16" s="383"/>
      <c r="K16" s="383"/>
      <c r="L16" s="383"/>
      <c r="M16" s="383"/>
    </row>
    <row r="17" spans="2:5" hidden="1" x14ac:dyDescent="0.2">
      <c r="B17" s="384" t="s">
        <v>1755</v>
      </c>
      <c r="C17" s="100">
        <v>100</v>
      </c>
    </row>
    <row r="18" spans="2:5" hidden="1" x14ac:dyDescent="0.2">
      <c r="C18" s="100">
        <v>200</v>
      </c>
    </row>
    <row r="19" spans="2:5" hidden="1" x14ac:dyDescent="0.2">
      <c r="C19" s="100">
        <v>300</v>
      </c>
    </row>
    <row r="21" spans="2:5" x14ac:dyDescent="0.2">
      <c r="B21" s="382" t="s">
        <v>1756</v>
      </c>
      <c r="C21" s="385">
        <v>100</v>
      </c>
      <c r="D21" s="131" t="s">
        <v>1750</v>
      </c>
      <c r="E21" s="81" t="s">
        <v>1757</v>
      </c>
    </row>
    <row r="23" spans="2:5" x14ac:dyDescent="0.2">
      <c r="B23" s="382" t="s">
        <v>1758</v>
      </c>
      <c r="C23" s="386">
        <v>100</v>
      </c>
      <c r="D23" s="131" t="s">
        <v>1750</v>
      </c>
      <c r="E23" s="81" t="s">
        <v>1759</v>
      </c>
    </row>
    <row r="25" spans="2:5" x14ac:dyDescent="0.2">
      <c r="B25" s="382" t="s">
        <v>1760</v>
      </c>
      <c r="C25" s="387">
        <v>100</v>
      </c>
      <c r="D25" s="131" t="s">
        <v>1761</v>
      </c>
      <c r="E25" s="81" t="s">
        <v>1762</v>
      </c>
    </row>
    <row r="27" spans="2:5" x14ac:dyDescent="0.2">
      <c r="B27" s="382" t="s">
        <v>1763</v>
      </c>
      <c r="C27" s="388">
        <v>100</v>
      </c>
      <c r="D27" s="131" t="s">
        <v>1761</v>
      </c>
      <c r="E27" s="81" t="s">
        <v>1764</v>
      </c>
    </row>
    <row r="29" spans="2:5" ht="12" customHeight="1" x14ac:dyDescent="0.2">
      <c r="B29" s="382" t="s">
        <v>1765</v>
      </c>
      <c r="C29" s="162">
        <v>100</v>
      </c>
      <c r="D29" s="131" t="s">
        <v>1761</v>
      </c>
      <c r="E29" s="81" t="s">
        <v>1766</v>
      </c>
    </row>
    <row r="31" spans="2:5" ht="12" customHeight="1" x14ac:dyDescent="0.2">
      <c r="B31" s="382" t="s">
        <v>1767</v>
      </c>
      <c r="C31" s="389">
        <v>100</v>
      </c>
      <c r="D31" s="131" t="s">
        <v>1761</v>
      </c>
      <c r="E31" s="81" t="s">
        <v>1768</v>
      </c>
    </row>
    <row r="33" spans="1:11" ht="18" x14ac:dyDescent="0.2">
      <c r="A33" s="102" t="s">
        <v>1769</v>
      </c>
    </row>
    <row r="34" spans="1:11" x14ac:dyDescent="0.2">
      <c r="A34" s="378" t="s">
        <v>1770</v>
      </c>
      <c r="B34" s="379"/>
      <c r="C34" s="379"/>
      <c r="D34" s="379"/>
      <c r="E34" s="379"/>
    </row>
    <row r="35" spans="1:11" x14ac:dyDescent="0.2">
      <c r="A35" s="131" t="s">
        <v>1771</v>
      </c>
    </row>
    <row r="37" spans="1:11" x14ac:dyDescent="0.2">
      <c r="B37" s="382" t="s">
        <v>1772</v>
      </c>
      <c r="C37" s="390">
        <v>100</v>
      </c>
      <c r="D37" s="131" t="s">
        <v>1761</v>
      </c>
      <c r="E37" s="81" t="s">
        <v>1773</v>
      </c>
    </row>
    <row r="38" spans="1:11" x14ac:dyDescent="0.2">
      <c r="C38" s="390"/>
    </row>
    <row r="39" spans="1:11" x14ac:dyDescent="0.2">
      <c r="B39" s="382" t="s">
        <v>61</v>
      </c>
      <c r="C39" s="391">
        <v>123.45</v>
      </c>
      <c r="E39" s="81" t="s">
        <v>1774</v>
      </c>
    </row>
    <row r="41" spans="1:11" x14ac:dyDescent="0.2">
      <c r="B41" s="382" t="s">
        <v>1775</v>
      </c>
      <c r="C41" s="392">
        <v>0</v>
      </c>
      <c r="D41" s="131" t="s">
        <v>1761</v>
      </c>
      <c r="E41" s="81" t="s">
        <v>1776</v>
      </c>
      <c r="F41" s="383"/>
      <c r="G41" s="383"/>
      <c r="H41" s="383"/>
      <c r="I41" s="383"/>
      <c r="J41" s="383"/>
      <c r="K41" s="383"/>
    </row>
    <row r="43" spans="1:11" x14ac:dyDescent="0.2">
      <c r="B43" s="382" t="s">
        <v>1775</v>
      </c>
      <c r="C43" s="392">
        <v>0.1</v>
      </c>
      <c r="D43" s="131" t="s">
        <v>1761</v>
      </c>
      <c r="E43" s="383" t="s">
        <v>1777</v>
      </c>
      <c r="F43" s="383"/>
      <c r="G43" s="383"/>
      <c r="H43" s="383"/>
      <c r="I43" s="383"/>
      <c r="J43" s="383"/>
      <c r="K43" s="383"/>
    </row>
    <row r="45" spans="1:11" x14ac:dyDescent="0.2">
      <c r="B45" s="382" t="s">
        <v>1778</v>
      </c>
      <c r="C45" s="200">
        <v>100</v>
      </c>
      <c r="E45" s="81" t="s">
        <v>1779</v>
      </c>
    </row>
    <row r="47" spans="1:11" x14ac:dyDescent="0.2">
      <c r="B47" s="382" t="s">
        <v>1780</v>
      </c>
      <c r="C47" s="393" t="s">
        <v>1780</v>
      </c>
      <c r="D47" s="131" t="s">
        <v>1761</v>
      </c>
      <c r="E47" s="81" t="s">
        <v>1781</v>
      </c>
    </row>
    <row r="49" spans="1:10" x14ac:dyDescent="0.2">
      <c r="B49" s="382" t="s">
        <v>1782</v>
      </c>
      <c r="C49" s="394" t="s">
        <v>1782</v>
      </c>
      <c r="E49" s="81" t="s">
        <v>1783</v>
      </c>
    </row>
    <row r="51" spans="1:10" x14ac:dyDescent="0.2">
      <c r="B51" s="382" t="s">
        <v>1784</v>
      </c>
      <c r="C51" s="395">
        <v>100</v>
      </c>
      <c r="E51" s="81" t="s">
        <v>1785</v>
      </c>
    </row>
    <row r="52" spans="1:10" x14ac:dyDescent="0.2">
      <c r="B52" s="382"/>
    </row>
    <row r="53" spans="1:10" x14ac:dyDescent="0.2">
      <c r="B53" s="382" t="s">
        <v>1786</v>
      </c>
      <c r="C53" s="396">
        <v>100</v>
      </c>
      <c r="E53" s="81" t="s">
        <v>1787</v>
      </c>
    </row>
    <row r="55" spans="1:10" ht="18" x14ac:dyDescent="0.2">
      <c r="A55" s="102" t="s">
        <v>1788</v>
      </c>
    </row>
    <row r="56" spans="1:10" x14ac:dyDescent="0.2">
      <c r="A56" s="378" t="s">
        <v>1789</v>
      </c>
      <c r="B56" s="379"/>
      <c r="C56" s="379"/>
      <c r="D56" s="379"/>
      <c r="E56" s="379"/>
    </row>
    <row r="57" spans="1:10" x14ac:dyDescent="0.2">
      <c r="A57" s="131" t="s">
        <v>1790</v>
      </c>
    </row>
    <row r="58" spans="1:10" x14ac:dyDescent="0.2">
      <c r="A58" s="131" t="s">
        <v>1791</v>
      </c>
    </row>
    <row r="60" spans="1:10" ht="24" x14ac:dyDescent="0.2">
      <c r="B60" s="231"/>
      <c r="C60" s="231" t="s">
        <v>1792</v>
      </c>
      <c r="D60" s="231" t="s">
        <v>1793</v>
      </c>
      <c r="E60" s="231" t="s">
        <v>1794</v>
      </c>
      <c r="F60" s="231" t="s">
        <v>1795</v>
      </c>
      <c r="G60" s="231" t="s">
        <v>1796</v>
      </c>
      <c r="H60" s="231" t="s">
        <v>1797</v>
      </c>
      <c r="I60" s="231" t="s">
        <v>1798</v>
      </c>
      <c r="J60" s="231" t="s">
        <v>1799</v>
      </c>
    </row>
    <row r="61" spans="1:10" x14ac:dyDescent="0.2">
      <c r="B61" s="382" t="s">
        <v>1800</v>
      </c>
      <c r="C61" s="100">
        <v>1234.56</v>
      </c>
      <c r="D61" s="107">
        <v>123.45</v>
      </c>
      <c r="E61" s="397">
        <v>0.1234</v>
      </c>
      <c r="F61" s="398">
        <v>0.1234</v>
      </c>
      <c r="G61" s="399">
        <v>1234.56</v>
      </c>
      <c r="H61" s="400">
        <v>123.45</v>
      </c>
      <c r="I61" s="401">
        <v>1234.56</v>
      </c>
      <c r="J61" s="402">
        <v>0.1234</v>
      </c>
    </row>
    <row r="62" spans="1:10" x14ac:dyDescent="0.2">
      <c r="B62" s="382" t="s">
        <v>1801</v>
      </c>
      <c r="C62" s="100">
        <v>-1234.56</v>
      </c>
      <c r="D62" s="107">
        <v>-123.45</v>
      </c>
      <c r="E62" s="397">
        <v>-0.1234</v>
      </c>
      <c r="F62" s="398">
        <v>-0.1234</v>
      </c>
      <c r="G62" s="399">
        <v>-1234.56</v>
      </c>
      <c r="H62" s="400">
        <v>-123.45</v>
      </c>
      <c r="I62" s="401">
        <v>-1234.56</v>
      </c>
      <c r="J62" s="402">
        <v>-0.1234</v>
      </c>
    </row>
    <row r="63" spans="1:10" x14ac:dyDescent="0.2">
      <c r="B63" s="382" t="s">
        <v>1802</v>
      </c>
      <c r="C63" s="100">
        <v>0</v>
      </c>
      <c r="D63" s="107">
        <v>0</v>
      </c>
      <c r="E63" s="35">
        <v>0</v>
      </c>
      <c r="F63" s="403">
        <v>0</v>
      </c>
      <c r="G63" s="399">
        <v>0</v>
      </c>
      <c r="H63" s="400">
        <v>0</v>
      </c>
      <c r="I63" s="401">
        <v>0</v>
      </c>
      <c r="J63" s="402">
        <v>0</v>
      </c>
    </row>
    <row r="64" spans="1:10" ht="12.75" thickBot="1" x14ac:dyDescent="0.25">
      <c r="B64" s="382" t="s">
        <v>1803</v>
      </c>
      <c r="C64" s="100" t="s">
        <v>1803</v>
      </c>
      <c r="D64" s="107" t="s">
        <v>1803</v>
      </c>
      <c r="E64" s="397" t="s">
        <v>1803</v>
      </c>
      <c r="F64" s="398" t="s">
        <v>1803</v>
      </c>
      <c r="G64" s="399" t="s">
        <v>1803</v>
      </c>
      <c r="H64" s="400" t="s">
        <v>1803</v>
      </c>
      <c r="I64" s="401" t="s">
        <v>1803</v>
      </c>
      <c r="J64" s="402" t="s">
        <v>1803</v>
      </c>
    </row>
    <row r="65" spans="2:10" x14ac:dyDescent="0.2">
      <c r="B65" s="404"/>
      <c r="C65" s="404"/>
      <c r="D65" s="404"/>
      <c r="E65" s="404"/>
      <c r="F65" s="404"/>
      <c r="G65" s="404"/>
      <c r="H65" s="404"/>
      <c r="I65" s="404"/>
      <c r="J65" s="404"/>
    </row>
    <row r="66" spans="2:10" ht="24" x14ac:dyDescent="0.2">
      <c r="B66" s="231"/>
      <c r="C66" s="231" t="s">
        <v>1804</v>
      </c>
      <c r="D66" s="231" t="s">
        <v>1805</v>
      </c>
      <c r="E66" s="231" t="s">
        <v>1806</v>
      </c>
      <c r="F66" s="231" t="s">
        <v>1807</v>
      </c>
    </row>
    <row r="67" spans="2:10" x14ac:dyDescent="0.2">
      <c r="B67" s="382" t="s">
        <v>1800</v>
      </c>
      <c r="C67" s="405">
        <v>1234.56</v>
      </c>
      <c r="D67" s="406">
        <v>123.45</v>
      </c>
      <c r="E67" s="407">
        <v>1234.56</v>
      </c>
      <c r="F67" s="408">
        <v>123.45</v>
      </c>
    </row>
    <row r="68" spans="2:10" x14ac:dyDescent="0.2">
      <c r="B68" s="382" t="s">
        <v>1801</v>
      </c>
      <c r="C68" s="405">
        <v>-1234.56</v>
      </c>
      <c r="D68" s="406">
        <v>-123.45</v>
      </c>
      <c r="E68" s="407">
        <v>-1234.56</v>
      </c>
      <c r="F68" s="408">
        <v>-123.45</v>
      </c>
    </row>
    <row r="69" spans="2:10" x14ac:dyDescent="0.2">
      <c r="B69" s="382" t="s">
        <v>1802</v>
      </c>
      <c r="C69" s="405">
        <v>0</v>
      </c>
      <c r="D69" s="406">
        <v>0</v>
      </c>
      <c r="E69" s="407">
        <v>0</v>
      </c>
      <c r="F69" s="408">
        <v>0</v>
      </c>
    </row>
    <row r="70" spans="2:10" ht="12.75" thickBot="1" x14ac:dyDescent="0.25">
      <c r="B70" s="382" t="s">
        <v>1803</v>
      </c>
      <c r="C70" s="405" t="s">
        <v>1803</v>
      </c>
      <c r="D70" s="406" t="s">
        <v>1803</v>
      </c>
      <c r="E70" s="407" t="s">
        <v>1803</v>
      </c>
      <c r="F70" s="408" t="s">
        <v>1803</v>
      </c>
    </row>
    <row r="71" spans="2:10" x14ac:dyDescent="0.2">
      <c r="B71" s="404"/>
      <c r="C71" s="404"/>
      <c r="D71" s="404"/>
      <c r="E71" s="404"/>
      <c r="F71" s="404"/>
    </row>
    <row r="72" spans="2:10" ht="24" x14ac:dyDescent="0.2">
      <c r="B72" s="231"/>
      <c r="C72" s="231" t="s">
        <v>1808</v>
      </c>
      <c r="D72" s="231" t="s">
        <v>1809</v>
      </c>
      <c r="E72" s="231" t="s">
        <v>1810</v>
      </c>
      <c r="F72" s="231" t="s">
        <v>1811</v>
      </c>
    </row>
    <row r="73" spans="2:10" x14ac:dyDescent="0.2">
      <c r="B73" s="382" t="s">
        <v>1800</v>
      </c>
      <c r="C73" s="409">
        <v>1234.56</v>
      </c>
      <c r="D73" s="410">
        <v>123.45</v>
      </c>
      <c r="E73" s="411">
        <v>1234.56</v>
      </c>
      <c r="F73" s="412">
        <v>123.45</v>
      </c>
    </row>
    <row r="74" spans="2:10" x14ac:dyDescent="0.2">
      <c r="B74" s="382" t="s">
        <v>1801</v>
      </c>
      <c r="C74" s="409">
        <v>-1234.56</v>
      </c>
      <c r="D74" s="410">
        <v>-123.45</v>
      </c>
      <c r="E74" s="411">
        <v>-1234.56</v>
      </c>
      <c r="F74" s="412">
        <v>-123.45</v>
      </c>
    </row>
    <row r="75" spans="2:10" x14ac:dyDescent="0.2">
      <c r="B75" s="382" t="s">
        <v>1802</v>
      </c>
      <c r="C75" s="409">
        <v>0</v>
      </c>
      <c r="D75" s="410">
        <v>0</v>
      </c>
      <c r="E75" s="411">
        <v>0</v>
      </c>
      <c r="F75" s="412">
        <v>0</v>
      </c>
    </row>
    <row r="76" spans="2:10" ht="12.75" thickBot="1" x14ac:dyDescent="0.25">
      <c r="B76" s="382" t="s">
        <v>1803</v>
      </c>
      <c r="C76" s="409" t="s">
        <v>1803</v>
      </c>
      <c r="D76" s="410" t="s">
        <v>1803</v>
      </c>
      <c r="E76" s="411" t="s">
        <v>1803</v>
      </c>
      <c r="F76" s="412" t="s">
        <v>1803</v>
      </c>
    </row>
    <row r="77" spans="2:10" x14ac:dyDescent="0.2">
      <c r="B77" s="404"/>
      <c r="C77" s="404"/>
      <c r="D77" s="404"/>
      <c r="E77" s="404"/>
      <c r="F77" s="404"/>
    </row>
    <row r="78" spans="2:10" ht="24" x14ac:dyDescent="0.2">
      <c r="B78" s="231"/>
      <c r="C78" s="231" t="s">
        <v>1812</v>
      </c>
      <c r="D78" s="231" t="s">
        <v>1813</v>
      </c>
      <c r="E78" s="231" t="s">
        <v>1814</v>
      </c>
      <c r="F78" s="231" t="s">
        <v>1815</v>
      </c>
    </row>
    <row r="79" spans="2:10" x14ac:dyDescent="0.2">
      <c r="B79" s="382" t="s">
        <v>1800</v>
      </c>
      <c r="C79" s="413">
        <v>1234.56</v>
      </c>
      <c r="D79" s="414">
        <v>123.45</v>
      </c>
      <c r="E79" s="415">
        <v>1234.56</v>
      </c>
      <c r="F79" s="416">
        <v>123.45</v>
      </c>
    </row>
    <row r="80" spans="2:10" x14ac:dyDescent="0.2">
      <c r="B80" s="382" t="s">
        <v>1801</v>
      </c>
      <c r="C80" s="413">
        <v>-1234.56</v>
      </c>
      <c r="D80" s="414">
        <v>-123.45</v>
      </c>
      <c r="E80" s="415">
        <v>-1234.56</v>
      </c>
      <c r="F80" s="416">
        <v>-123.45</v>
      </c>
    </row>
    <row r="81" spans="1:6" x14ac:dyDescent="0.2">
      <c r="B81" s="382" t="s">
        <v>1802</v>
      </c>
      <c r="C81" s="413">
        <v>0</v>
      </c>
      <c r="D81" s="414">
        <v>0</v>
      </c>
      <c r="E81" s="415">
        <v>0</v>
      </c>
      <c r="F81" s="416">
        <v>0</v>
      </c>
    </row>
    <row r="82" spans="1:6" ht="12.75" thickBot="1" x14ac:dyDescent="0.25">
      <c r="B82" s="382" t="s">
        <v>1803</v>
      </c>
      <c r="C82" s="413" t="s">
        <v>1803</v>
      </c>
      <c r="D82" s="414" t="s">
        <v>1803</v>
      </c>
      <c r="E82" s="415" t="s">
        <v>1803</v>
      </c>
      <c r="F82" s="416" t="s">
        <v>1803</v>
      </c>
    </row>
    <row r="83" spans="1:6" x14ac:dyDescent="0.2">
      <c r="B83" s="404"/>
      <c r="C83" s="404"/>
      <c r="D83" s="404"/>
      <c r="E83" s="404"/>
      <c r="F83" s="404"/>
    </row>
    <row r="84" spans="1:6" ht="24" x14ac:dyDescent="0.2">
      <c r="B84" s="231"/>
      <c r="C84" s="231" t="s">
        <v>1816</v>
      </c>
      <c r="D84" s="231" t="s">
        <v>1817</v>
      </c>
      <c r="E84" s="231" t="s">
        <v>1818</v>
      </c>
    </row>
    <row r="85" spans="1:6" ht="12.75" thickBot="1" x14ac:dyDescent="0.25">
      <c r="B85" s="382" t="s">
        <v>1816</v>
      </c>
      <c r="C85" s="417">
        <v>37591</v>
      </c>
      <c r="D85" s="418">
        <v>37591</v>
      </c>
      <c r="E85" s="419">
        <v>37591</v>
      </c>
    </row>
    <row r="86" spans="1:6" x14ac:dyDescent="0.2">
      <c r="B86" s="404"/>
      <c r="C86" s="404"/>
      <c r="D86" s="404"/>
      <c r="E86" s="404"/>
    </row>
    <row r="87" spans="1:6" ht="18" x14ac:dyDescent="0.2">
      <c r="A87" s="102" t="s">
        <v>1819</v>
      </c>
    </row>
    <row r="88" spans="1:6" x14ac:dyDescent="0.2">
      <c r="A88" s="378" t="s">
        <v>1820</v>
      </c>
      <c r="B88" s="379"/>
      <c r="C88" s="379"/>
      <c r="D88" s="379"/>
      <c r="E88" s="379"/>
    </row>
    <row r="89" spans="1:6" x14ac:dyDescent="0.2">
      <c r="A89" s="131" t="s">
        <v>1821</v>
      </c>
    </row>
    <row r="90" spans="1:6" x14ac:dyDescent="0.2">
      <c r="A90" s="131"/>
    </row>
    <row r="91" spans="1:6" ht="27.75" x14ac:dyDescent="0.2">
      <c r="A91" s="131"/>
      <c r="B91" s="420" t="s">
        <v>1822</v>
      </c>
      <c r="C91" s="420" t="s">
        <v>1823</v>
      </c>
      <c r="D91" s="420"/>
      <c r="E91" s="81" t="s">
        <v>1824</v>
      </c>
    </row>
    <row r="92" spans="1:6" x14ac:dyDescent="0.2">
      <c r="A92" s="131"/>
    </row>
    <row r="93" spans="1:6" ht="23.25" x14ac:dyDescent="0.2">
      <c r="A93" s="131"/>
      <c r="B93" s="421" t="s">
        <v>1825</v>
      </c>
      <c r="C93" s="421" t="s">
        <v>1826</v>
      </c>
      <c r="D93" s="421"/>
      <c r="E93" s="81" t="s">
        <v>1827</v>
      </c>
    </row>
    <row r="95" spans="1:6" ht="18" x14ac:dyDescent="0.2">
      <c r="B95" s="102" t="s">
        <v>1828</v>
      </c>
      <c r="C95" s="102" t="s">
        <v>1826</v>
      </c>
      <c r="E95" s="81" t="s">
        <v>1829</v>
      </c>
    </row>
    <row r="97" spans="1:9" ht="15.75" x14ac:dyDescent="0.2">
      <c r="B97" s="179" t="s">
        <v>1830</v>
      </c>
      <c r="C97" s="179" t="s">
        <v>1826</v>
      </c>
      <c r="E97" s="81" t="s">
        <v>1831</v>
      </c>
    </row>
    <row r="99" spans="1:9" x14ac:dyDescent="0.2">
      <c r="B99" s="82" t="s">
        <v>1832</v>
      </c>
      <c r="C99" s="82" t="s">
        <v>1826</v>
      </c>
      <c r="E99" s="81" t="s">
        <v>1833</v>
      </c>
    </row>
    <row r="101" spans="1:9" ht="18" x14ac:dyDescent="0.2">
      <c r="A101" s="102" t="s">
        <v>1834</v>
      </c>
    </row>
    <row r="102" spans="1:9" x14ac:dyDescent="0.2">
      <c r="A102" s="378" t="s">
        <v>1835</v>
      </c>
      <c r="B102" s="379"/>
      <c r="C102" s="379"/>
      <c r="D102" s="379"/>
      <c r="E102" s="379"/>
    </row>
    <row r="103" spans="1:9" x14ac:dyDescent="0.2">
      <c r="A103" s="131" t="s">
        <v>1836</v>
      </c>
    </row>
    <row r="105" spans="1:9" ht="15.75" x14ac:dyDescent="0.2">
      <c r="A105" s="179" t="s">
        <v>1837</v>
      </c>
    </row>
    <row r="106" spans="1:9" x14ac:dyDescent="0.2">
      <c r="B106" s="422" t="s">
        <v>1838</v>
      </c>
      <c r="C106" s="231" t="s">
        <v>1839</v>
      </c>
      <c r="D106" s="231" t="s">
        <v>1839</v>
      </c>
      <c r="E106" s="231" t="s">
        <v>1839</v>
      </c>
      <c r="F106" s="231" t="s">
        <v>1839</v>
      </c>
    </row>
    <row r="107" spans="1:9" x14ac:dyDescent="0.2">
      <c r="B107" s="382" t="s">
        <v>1840</v>
      </c>
    </row>
    <row r="108" spans="1:9" x14ac:dyDescent="0.2">
      <c r="B108" s="382" t="s">
        <v>1840</v>
      </c>
    </row>
    <row r="109" spans="1:9" ht="12.75" thickBot="1" x14ac:dyDescent="0.25">
      <c r="B109" s="382" t="s">
        <v>1840</v>
      </c>
    </row>
    <row r="110" spans="1:9" x14ac:dyDescent="0.2">
      <c r="B110" s="404" t="s">
        <v>1841</v>
      </c>
      <c r="C110" s="404"/>
      <c r="D110" s="404"/>
      <c r="E110" s="404"/>
      <c r="F110" s="404"/>
    </row>
    <row r="112" spans="1:9" ht="15.75" x14ac:dyDescent="0.2">
      <c r="A112" s="179" t="s">
        <v>1842</v>
      </c>
      <c r="I112" s="376"/>
    </row>
    <row r="113" spans="1:9" x14ac:dyDescent="0.2">
      <c r="B113" s="422"/>
      <c r="C113" s="132"/>
      <c r="D113" s="132" t="s">
        <v>1843</v>
      </c>
      <c r="E113" s="132"/>
      <c r="F113" s="132" t="s">
        <v>1843</v>
      </c>
      <c r="G113" s="132"/>
      <c r="I113" s="376"/>
    </row>
    <row r="114" spans="1:9" ht="24" x14ac:dyDescent="0.2">
      <c r="B114" s="422" t="s">
        <v>1838</v>
      </c>
      <c r="C114" s="423" t="s">
        <v>1844</v>
      </c>
      <c r="D114" s="231" t="s">
        <v>1839</v>
      </c>
      <c r="E114" s="231" t="s">
        <v>1839</v>
      </c>
      <c r="F114" s="231" t="s">
        <v>1839</v>
      </c>
      <c r="G114" s="231" t="s">
        <v>1839</v>
      </c>
      <c r="I114" s="376"/>
    </row>
    <row r="115" spans="1:9" x14ac:dyDescent="0.2">
      <c r="B115" s="382" t="s">
        <v>1840</v>
      </c>
      <c r="D115" s="424" t="s">
        <v>1845</v>
      </c>
      <c r="E115" s="424"/>
      <c r="F115" s="425" t="s">
        <v>1846</v>
      </c>
      <c r="G115" s="425"/>
      <c r="I115" s="376"/>
    </row>
    <row r="116" spans="1:9" ht="12.75" thickBot="1" x14ac:dyDescent="0.25">
      <c r="B116" s="384" t="s">
        <v>1847</v>
      </c>
      <c r="D116" s="424"/>
      <c r="E116" s="424"/>
      <c r="F116" s="425"/>
      <c r="G116" s="425"/>
      <c r="I116" s="376"/>
    </row>
    <row r="117" spans="1:9" ht="12.75" thickBot="1" x14ac:dyDescent="0.25">
      <c r="B117" s="426" t="s">
        <v>1848</v>
      </c>
      <c r="C117" s="427"/>
      <c r="D117" s="427"/>
      <c r="E117" s="427"/>
      <c r="F117" s="428"/>
      <c r="G117" s="428"/>
      <c r="I117" s="376"/>
    </row>
    <row r="118" spans="1:9" x14ac:dyDescent="0.2">
      <c r="B118" s="187" t="s">
        <v>1849</v>
      </c>
      <c r="C118" s="188"/>
      <c r="D118" s="188"/>
      <c r="E118" s="188"/>
      <c r="F118" s="188"/>
      <c r="G118" s="188"/>
      <c r="I118" s="376"/>
    </row>
    <row r="121" spans="1:9" x14ac:dyDescent="0.2">
      <c r="A121" s="81" t="s">
        <v>1850</v>
      </c>
    </row>
    <row r="122" spans="1:9" x14ac:dyDescent="0.2">
      <c r="A122" s="131" t="s">
        <v>1851</v>
      </c>
    </row>
    <row r="124" spans="1:9" ht="15.75" x14ac:dyDescent="0.2">
      <c r="A124" s="179" t="s">
        <v>1852</v>
      </c>
    </row>
    <row r="125" spans="1:9" x14ac:dyDescent="0.2">
      <c r="B125" s="422" t="s">
        <v>1853</v>
      </c>
      <c r="C125" s="423" t="s">
        <v>1854</v>
      </c>
      <c r="D125" s="423" t="s">
        <v>1741</v>
      </c>
      <c r="E125" s="231">
        <v>2000</v>
      </c>
      <c r="F125" s="231">
        <v>2001</v>
      </c>
      <c r="G125" s="231">
        <v>2002</v>
      </c>
      <c r="H125" s="231">
        <v>2003</v>
      </c>
      <c r="I125" s="88" t="s">
        <v>1855</v>
      </c>
    </row>
    <row r="126" spans="1:9" x14ac:dyDescent="0.2">
      <c r="B126" s="382" t="s">
        <v>1856</v>
      </c>
      <c r="C126" s="81" t="s">
        <v>1857</v>
      </c>
      <c r="D126" s="131" t="s">
        <v>1858</v>
      </c>
      <c r="E126" s="429">
        <v>1000000</v>
      </c>
      <c r="F126" s="387">
        <f t="shared" ref="F126:G128" si="0">E126+($H126-$E126)/3</f>
        <v>1000000</v>
      </c>
      <c r="G126" s="387">
        <f t="shared" si="0"/>
        <v>1000000</v>
      </c>
      <c r="H126" s="381">
        <v>1000000</v>
      </c>
    </row>
    <row r="127" spans="1:9" x14ac:dyDescent="0.2">
      <c r="B127" s="382" t="s">
        <v>1859</v>
      </c>
      <c r="C127" s="81" t="s">
        <v>1857</v>
      </c>
      <c r="D127" s="131" t="s">
        <v>1858</v>
      </c>
      <c r="E127" s="385">
        <v>100000</v>
      </c>
      <c r="F127" s="387">
        <f t="shared" si="0"/>
        <v>133333.33333333334</v>
      </c>
      <c r="G127" s="387">
        <f t="shared" si="0"/>
        <v>166666.66666666669</v>
      </c>
      <c r="H127" s="381">
        <v>200000</v>
      </c>
    </row>
    <row r="128" spans="1:9" x14ac:dyDescent="0.2">
      <c r="B128" s="382" t="s">
        <v>1860</v>
      </c>
      <c r="C128" s="81" t="s">
        <v>1857</v>
      </c>
      <c r="D128" s="131" t="s">
        <v>1858</v>
      </c>
      <c r="E128" s="386">
        <v>50000</v>
      </c>
      <c r="F128" s="387">
        <f t="shared" si="0"/>
        <v>100000</v>
      </c>
      <c r="G128" s="387">
        <f t="shared" si="0"/>
        <v>150000</v>
      </c>
      <c r="H128" s="381">
        <v>200000</v>
      </c>
    </row>
    <row r="129" spans="1:9" x14ac:dyDescent="0.2">
      <c r="B129" s="187" t="s">
        <v>61</v>
      </c>
      <c r="C129" s="188" t="s">
        <v>1857</v>
      </c>
      <c r="D129" s="188"/>
      <c r="E129" s="430">
        <f>SUM(E126:E128)</f>
        <v>1150000</v>
      </c>
      <c r="F129" s="430">
        <f>SUM(F126:F128)</f>
        <v>1233333.3333333333</v>
      </c>
      <c r="G129" s="430">
        <f>SUM(G126:G128)</f>
        <v>1316666.6666666667</v>
      </c>
      <c r="H129" s="430">
        <f>SUM(H126:H128)</f>
        <v>1400000</v>
      </c>
    </row>
    <row r="130" spans="1:9" x14ac:dyDescent="0.2">
      <c r="B130" s="376"/>
      <c r="D130" s="376"/>
      <c r="E130" s="376"/>
      <c r="F130" s="376"/>
      <c r="G130" s="376"/>
    </row>
    <row r="131" spans="1:9" ht="15.75" x14ac:dyDescent="0.2">
      <c r="A131" s="179" t="s">
        <v>1852</v>
      </c>
    </row>
    <row r="132" spans="1:9" x14ac:dyDescent="0.2">
      <c r="B132" s="422" t="s">
        <v>1853</v>
      </c>
      <c r="C132" s="423" t="s">
        <v>1854</v>
      </c>
      <c r="D132" s="423" t="s">
        <v>1741</v>
      </c>
      <c r="E132" s="231">
        <v>2000</v>
      </c>
      <c r="F132" s="231">
        <v>2001</v>
      </c>
      <c r="G132" s="231">
        <v>2002</v>
      </c>
      <c r="H132" s="231">
        <v>2003</v>
      </c>
    </row>
    <row r="133" spans="1:9" x14ac:dyDescent="0.2">
      <c r="B133" s="382" t="s">
        <v>1856</v>
      </c>
      <c r="C133" s="81" t="s">
        <v>1857</v>
      </c>
      <c r="D133" s="131" t="s">
        <v>1861</v>
      </c>
      <c r="E133" s="388">
        <f t="array" ref="E133:H135">$E$126:$H$128</f>
        <v>1000000</v>
      </c>
      <c r="F133" s="388">
        <v>1000000</v>
      </c>
      <c r="G133" s="388">
        <v>1000000</v>
      </c>
      <c r="H133" s="388">
        <v>1000000</v>
      </c>
    </row>
    <row r="134" spans="1:9" x14ac:dyDescent="0.2">
      <c r="B134" s="382" t="s">
        <v>1859</v>
      </c>
      <c r="C134" s="81" t="s">
        <v>1857</v>
      </c>
      <c r="D134" s="131" t="s">
        <v>1861</v>
      </c>
      <c r="E134" s="388">
        <v>100000</v>
      </c>
      <c r="F134" s="388">
        <v>133333.33333333334</v>
      </c>
      <c r="G134" s="388">
        <v>166666.66666666669</v>
      </c>
      <c r="H134" s="388">
        <v>200000</v>
      </c>
    </row>
    <row r="135" spans="1:9" x14ac:dyDescent="0.2">
      <c r="B135" s="382" t="s">
        <v>1860</v>
      </c>
      <c r="C135" s="81" t="s">
        <v>1857</v>
      </c>
      <c r="D135" s="131" t="s">
        <v>1862</v>
      </c>
      <c r="E135" s="389">
        <v>50000</v>
      </c>
      <c r="F135" s="389">
        <v>100000</v>
      </c>
      <c r="G135" s="389">
        <v>150000</v>
      </c>
      <c r="H135" s="389">
        <v>200000</v>
      </c>
    </row>
    <row r="136" spans="1:9" x14ac:dyDescent="0.2">
      <c r="B136" s="187" t="s">
        <v>61</v>
      </c>
      <c r="C136" s="188" t="s">
        <v>1857</v>
      </c>
      <c r="D136" s="188"/>
      <c r="E136" s="430">
        <f>SUM(E133:E135)</f>
        <v>1150000</v>
      </c>
      <c r="F136" s="430">
        <f>SUM(F133:F135)</f>
        <v>1233333.3333333333</v>
      </c>
      <c r="G136" s="430">
        <f>SUM(G133:G135)</f>
        <v>1316666.6666666667</v>
      </c>
      <c r="H136" s="430">
        <f>SUM(H133:H135)</f>
        <v>1400000</v>
      </c>
    </row>
    <row r="137" spans="1:9" x14ac:dyDescent="0.2">
      <c r="B137" s="376"/>
      <c r="C137" s="376"/>
      <c r="D137" s="376"/>
      <c r="E137" s="376"/>
      <c r="F137" s="376"/>
      <c r="G137" s="376"/>
    </row>
    <row r="139" spans="1:9" ht="15.75" x14ac:dyDescent="0.2">
      <c r="A139" s="179" t="s">
        <v>1863</v>
      </c>
    </row>
    <row r="140" spans="1:9" x14ac:dyDescent="0.2">
      <c r="B140" s="422" t="s">
        <v>1853</v>
      </c>
      <c r="C140" s="423" t="s">
        <v>1854</v>
      </c>
      <c r="D140" s="423" t="s">
        <v>1741</v>
      </c>
      <c r="E140" s="231">
        <v>2000</v>
      </c>
      <c r="F140" s="231">
        <v>2001</v>
      </c>
      <c r="G140" s="231">
        <v>2002</v>
      </c>
      <c r="H140" s="231">
        <v>2003</v>
      </c>
    </row>
    <row r="141" spans="1:9" x14ac:dyDescent="0.2">
      <c r="B141" s="382" t="s">
        <v>1856</v>
      </c>
      <c r="C141" s="81" t="s">
        <v>1857</v>
      </c>
      <c r="D141" s="131"/>
      <c r="E141" s="100"/>
      <c r="F141" s="390">
        <f t="shared" ref="F141:H143" si="1">(F133+E133)/2</f>
        <v>1000000</v>
      </c>
      <c r="G141" s="390">
        <f t="shared" si="1"/>
        <v>1000000</v>
      </c>
      <c r="H141" s="390">
        <f t="shared" si="1"/>
        <v>1000000</v>
      </c>
    </row>
    <row r="142" spans="1:9" x14ac:dyDescent="0.2">
      <c r="B142" s="382" t="s">
        <v>1859</v>
      </c>
      <c r="C142" s="81" t="s">
        <v>1857</v>
      </c>
      <c r="D142" s="131"/>
      <c r="E142" s="100"/>
      <c r="F142" s="390">
        <f t="shared" si="1"/>
        <v>116666.66666666667</v>
      </c>
      <c r="G142" s="390">
        <f t="shared" si="1"/>
        <v>150000</v>
      </c>
      <c r="H142" s="390">
        <f t="shared" si="1"/>
        <v>183333.33333333334</v>
      </c>
    </row>
    <row r="143" spans="1:9" x14ac:dyDescent="0.2">
      <c r="B143" s="382" t="s">
        <v>1860</v>
      </c>
      <c r="C143" s="81" t="s">
        <v>1857</v>
      </c>
      <c r="D143" s="131"/>
      <c r="E143" s="100"/>
      <c r="F143" s="390">
        <f t="shared" si="1"/>
        <v>75000</v>
      </c>
      <c r="G143" s="390">
        <f t="shared" si="1"/>
        <v>125000</v>
      </c>
      <c r="H143" s="390">
        <f t="shared" si="1"/>
        <v>175000</v>
      </c>
    </row>
    <row r="144" spans="1:9" x14ac:dyDescent="0.2">
      <c r="B144" s="431" t="s">
        <v>61</v>
      </c>
      <c r="C144" s="432" t="s">
        <v>1857</v>
      </c>
      <c r="D144" s="432"/>
      <c r="E144" s="114"/>
      <c r="F144" s="114">
        <f>SUM(F141:F143)</f>
        <v>1191666.6666666667</v>
      </c>
      <c r="G144" s="114">
        <f>SUM(G141:G143)</f>
        <v>1275000</v>
      </c>
      <c r="H144" s="114">
        <f>SUM(H141:H143)</f>
        <v>1358333.3333333333</v>
      </c>
      <c r="I144" s="88" t="s">
        <v>1864</v>
      </c>
    </row>
    <row r="145" spans="2:6" x14ac:dyDescent="0.2">
      <c r="B145" s="376"/>
      <c r="C145" s="376"/>
      <c r="D145" s="376"/>
      <c r="E145" s="376"/>
      <c r="F145" s="376"/>
    </row>
  </sheetData>
  <conditionalFormatting sqref="C43">
    <cfRule type="cellIs" dxfId="364" priority="1" stopIfTrue="1" operator="notEqual">
      <formula>0</formula>
    </cfRule>
  </conditionalFormatting>
  <dataValidations count="2">
    <dataValidation type="decimal" showInputMessage="1" showErrorMessage="1" errorTitle="Input Parameter" error="Value must lie between 100 and 300" promptTitle="Input Parameter" prompt="Value must lie between 100 and 300" sqref="C12">
      <formula1>C13</formula1>
      <formula2>C14</formula2>
    </dataValidation>
    <dataValidation type="list" showInputMessage="1" showErrorMessage="1" errorTitle="Input Parameter" error="Please select value from list" promptTitle="Input Parameter" prompt="Select from list" sqref="C16">
      <formula1>$C$17:$C$19</formula1>
    </dataValidation>
  </dataValidations>
  <pageMargins left="0.74803149606299213" right="0.74803149606299213" top="0.51181102362204722" bottom="0.51181102362204722" header="0.51181102362204722" footer="0.35433070866141736"/>
  <pageSetup paperSize="9" fitToHeight="0" orientation="landscape" horizontalDpi="4294967292" verticalDpi="4294967292" r:id="rId1"/>
  <headerFooter alignWithMargins="0">
    <oddFooter xml:space="preserve">&amp;L&amp;F : &amp;A&amp;CPrinted at &amp;T on &amp;D&amp;RCommercial in confidence © Analysys Mason </oddFooter>
  </headerFooter>
  <rowBreaks count="3" manualBreakCount="3">
    <brk id="54" max="16383" man="1"/>
    <brk id="86" max="16383" man="1"/>
    <brk id="120" max="16383"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autoPageBreaks="0"/>
  </sheetPr>
  <dimension ref="A1:BK699"/>
  <sheetViews>
    <sheetView showGridLines="0" defaultGridColor="0" colorId="22" zoomScale="120" zoomScaleNormal="120" workbookViewId="0">
      <pane ySplit="1" topLeftCell="A2" activePane="bottomLeft" state="frozen"/>
      <selection pane="bottomLeft" activeCell="A2" sqref="A2"/>
    </sheetView>
  </sheetViews>
  <sheetFormatPr baseColWidth="10" defaultColWidth="12.7109375" defaultRowHeight="12" outlineLevelRow="2" outlineLevelCol="1" x14ac:dyDescent="0.2"/>
  <cols>
    <col min="1" max="1" width="6.7109375" style="1" customWidth="1"/>
    <col min="2" max="3" width="12.7109375" style="1"/>
    <col min="4" max="4" width="15.28515625" style="1" customWidth="1"/>
    <col min="5" max="5" width="13.42578125" style="1" bestFit="1" customWidth="1"/>
    <col min="6" max="17" width="16.7109375" style="1" customWidth="1"/>
    <col min="18" max="49" width="16.7109375" style="1" customWidth="1" outlineLevel="1"/>
    <col min="50" max="54" width="12.7109375" style="1" customWidth="1" outlineLevel="1"/>
    <col min="55" max="16384" width="12.7109375" style="1"/>
  </cols>
  <sheetData>
    <row r="1" spans="1:56" s="2" customFormat="1" ht="45" customHeight="1" x14ac:dyDescent="0.2">
      <c r="E1" s="3" t="s">
        <v>964</v>
      </c>
      <c r="L1" s="2" t="s">
        <v>0</v>
      </c>
    </row>
    <row r="3" spans="1:56" ht="15.75" x14ac:dyDescent="0.2">
      <c r="A3" s="171" t="s">
        <v>965</v>
      </c>
      <c r="B3" s="171"/>
      <c r="C3" s="171"/>
      <c r="D3" s="171"/>
      <c r="E3" s="171"/>
      <c r="F3" s="171"/>
      <c r="G3" s="171"/>
      <c r="H3" s="171"/>
      <c r="I3" s="171"/>
      <c r="J3" s="171"/>
      <c r="K3" s="171"/>
      <c r="L3" s="171"/>
      <c r="M3" s="171"/>
      <c r="N3" s="171"/>
      <c r="O3" s="171"/>
      <c r="P3" s="171"/>
      <c r="Q3" s="171"/>
      <c r="R3" s="171"/>
      <c r="S3" s="171"/>
      <c r="T3" s="171"/>
      <c r="U3" s="171"/>
      <c r="V3" s="171"/>
      <c r="W3" s="171"/>
      <c r="X3" s="171"/>
      <c r="Y3" s="171"/>
      <c r="Z3" s="171"/>
      <c r="AA3" s="171"/>
      <c r="AB3" s="171"/>
      <c r="AC3" s="171"/>
      <c r="AD3" s="171"/>
      <c r="AE3" s="171"/>
      <c r="AF3" s="171"/>
      <c r="AG3" s="171"/>
      <c r="AH3" s="171"/>
      <c r="AI3" s="171"/>
      <c r="AJ3" s="171"/>
      <c r="AK3" s="171"/>
      <c r="AL3" s="171"/>
      <c r="AM3" s="171"/>
      <c r="AN3" s="171"/>
      <c r="AO3" s="171"/>
      <c r="AP3" s="171"/>
      <c r="AQ3" s="171"/>
      <c r="AR3" s="171"/>
      <c r="AS3" s="171"/>
      <c r="AT3" s="171"/>
      <c r="AU3" s="171"/>
      <c r="AV3" s="171"/>
      <c r="AW3" s="171"/>
      <c r="AX3" s="171"/>
      <c r="AY3" s="171"/>
      <c r="AZ3" s="171"/>
      <c r="BA3" s="171"/>
      <c r="BB3" s="171"/>
      <c r="BC3" s="171"/>
      <c r="BD3" s="171"/>
    </row>
    <row r="4" spans="1:56" x14ac:dyDescent="0.2">
      <c r="A4"/>
      <c r="B4"/>
      <c r="C4"/>
      <c r="D4"/>
      <c r="E4"/>
      <c r="F4"/>
      <c r="G4"/>
      <c r="H4"/>
      <c r="I4"/>
      <c r="J4"/>
      <c r="K4" s="63"/>
      <c r="L4"/>
      <c r="AY4" s="86"/>
      <c r="AZ4" s="86"/>
      <c r="BA4" s="86"/>
      <c r="BB4" s="86"/>
      <c r="BC4" s="86"/>
      <c r="BD4" s="86"/>
    </row>
    <row r="5" spans="1:56" ht="24" x14ac:dyDescent="0.2">
      <c r="A5"/>
      <c r="B5"/>
      <c r="C5" s="5" t="s">
        <v>645</v>
      </c>
      <c r="D5" s="5" t="s">
        <v>635</v>
      </c>
      <c r="E5"/>
      <c r="F5" s="5" t="s">
        <v>718</v>
      </c>
      <c r="G5"/>
      <c r="H5"/>
      <c r="I5"/>
      <c r="J5"/>
      <c r="K5" s="63"/>
      <c r="L5"/>
      <c r="AY5" s="86"/>
      <c r="AZ5" s="86"/>
      <c r="BA5" s="86"/>
      <c r="BB5" s="86"/>
      <c r="BC5" s="86"/>
      <c r="BD5" s="86"/>
    </row>
    <row r="6" spans="1:56" x14ac:dyDescent="0.2">
      <c r="A6"/>
      <c r="B6"/>
      <c r="C6" s="162" t="str">
        <f t="array" ref="C6:C55">Network.services.list</f>
        <v>2G - Tráfico de voz on-net</v>
      </c>
      <c r="D6" s="162" t="str">
        <f t="array" ref="D6:D55">Network.services.list.units</f>
        <v>minutos</v>
      </c>
      <c r="E6"/>
      <c r="F6" s="163">
        <f t="array" ref="F6:F55">Services.demand</f>
        <v>3378712583.9453816</v>
      </c>
      <c r="G6"/>
      <c r="H6"/>
      <c r="I6"/>
      <c r="J6"/>
      <c r="L6"/>
      <c r="AY6" s="86"/>
      <c r="AZ6" s="86"/>
      <c r="BA6" s="86"/>
      <c r="BB6" s="86"/>
      <c r="BC6" s="86"/>
      <c r="BD6" s="86"/>
    </row>
    <row r="7" spans="1:56" hidden="1" outlineLevel="1" x14ac:dyDescent="0.2">
      <c r="A7"/>
      <c r="B7"/>
      <c r="C7" s="162" t="str">
        <v>2G - Tráfico de voz saliente a fijo</v>
      </c>
      <c r="D7" s="162" t="str">
        <v>minutos</v>
      </c>
      <c r="E7"/>
      <c r="F7" s="163">
        <v>211915828.2273019</v>
      </c>
      <c r="G7"/>
      <c r="H7"/>
      <c r="I7"/>
      <c r="J7"/>
      <c r="L7"/>
      <c r="AY7" s="86"/>
      <c r="AZ7" s="86"/>
      <c r="BA7" s="86"/>
      <c r="BB7" s="86"/>
      <c r="BC7" s="86"/>
      <c r="BD7" s="86"/>
    </row>
    <row r="8" spans="1:56" hidden="1" outlineLevel="1" x14ac:dyDescent="0.2">
      <c r="A8"/>
      <c r="B8"/>
      <c r="C8" s="162" t="str">
        <v>2G - Tráfico de voz saliente a móvil</v>
      </c>
      <c r="D8" s="162" t="str">
        <v>minutos</v>
      </c>
      <c r="E8"/>
      <c r="F8" s="163">
        <v>1837583986.1340411</v>
      </c>
      <c r="G8"/>
      <c r="H8"/>
      <c r="I8"/>
      <c r="J8"/>
      <c r="L8"/>
      <c r="AY8" s="86"/>
      <c r="AZ8" s="86"/>
      <c r="BA8" s="86"/>
      <c r="BB8" s="86"/>
      <c r="BC8" s="86"/>
      <c r="BD8" s="86"/>
    </row>
    <row r="9" spans="1:56" hidden="1" outlineLevel="1" x14ac:dyDescent="0.2">
      <c r="A9"/>
      <c r="B9"/>
      <c r="C9" s="162" t="str">
        <v>2G - Tráfico de voz saliente a internacional</v>
      </c>
      <c r="D9" s="162" t="str">
        <v>minutos</v>
      </c>
      <c r="E9"/>
      <c r="F9" s="163">
        <v>17962225.721637532</v>
      </c>
      <c r="G9"/>
      <c r="H9"/>
      <c r="I9"/>
      <c r="J9"/>
      <c r="L9"/>
      <c r="AY9" s="86"/>
      <c r="AZ9" s="86"/>
      <c r="BA9" s="86"/>
      <c r="BB9" s="86"/>
      <c r="BC9" s="86"/>
      <c r="BD9" s="86"/>
    </row>
    <row r="10" spans="1:56" hidden="1" outlineLevel="1" x14ac:dyDescent="0.2">
      <c r="A10"/>
      <c r="B10"/>
      <c r="C10" s="162" t="str">
        <v>2G - Tráfico de voz entrante desde fijo</v>
      </c>
      <c r="D10" s="162" t="str">
        <v>minutos</v>
      </c>
      <c r="E10"/>
      <c r="F10" s="163">
        <v>100079529.33759733</v>
      </c>
      <c r="G10"/>
      <c r="H10"/>
      <c r="I10"/>
      <c r="J10"/>
      <c r="L10"/>
      <c r="AY10" s="86"/>
      <c r="AZ10" s="86"/>
      <c r="BA10" s="86"/>
      <c r="BB10" s="86"/>
      <c r="BC10" s="86"/>
      <c r="BD10" s="86"/>
    </row>
    <row r="11" spans="1:56" hidden="1" outlineLevel="1" x14ac:dyDescent="0.2">
      <c r="A11"/>
      <c r="B11"/>
      <c r="C11" s="162" t="str">
        <v>2G - Tráfico de voz entrante desde móvil</v>
      </c>
      <c r="D11" s="162" t="str">
        <v>minutos</v>
      </c>
      <c r="E11"/>
      <c r="F11" s="163">
        <v>1837583986.1340413</v>
      </c>
      <c r="G11"/>
      <c r="H11"/>
      <c r="I11"/>
      <c r="J11"/>
      <c r="L11"/>
      <c r="AY11" s="86"/>
      <c r="AZ11" s="86"/>
      <c r="BA11" s="86"/>
      <c r="BB11" s="86"/>
      <c r="BC11" s="86"/>
      <c r="BD11" s="86"/>
    </row>
    <row r="12" spans="1:56" hidden="1" outlineLevel="1" x14ac:dyDescent="0.2">
      <c r="A12"/>
      <c r="B12"/>
      <c r="C12" s="162" t="str">
        <v>2G - Tráfico de voz entrante desde internacional</v>
      </c>
      <c r="D12" s="162" t="str">
        <v>minutos</v>
      </c>
      <c r="E12"/>
      <c r="F12" s="163">
        <v>31520108.388904903</v>
      </c>
      <c r="G12"/>
      <c r="H12"/>
      <c r="I12"/>
      <c r="J12"/>
      <c r="L12"/>
      <c r="AY12" s="86"/>
      <c r="AZ12" s="86"/>
      <c r="BA12" s="86"/>
      <c r="BB12" s="86"/>
      <c r="BC12" s="86"/>
      <c r="BD12" s="86"/>
    </row>
    <row r="13" spans="1:56" hidden="1" outlineLevel="1" x14ac:dyDescent="0.2">
      <c r="A13"/>
      <c r="B13"/>
      <c r="C13" s="162" t="str">
        <v>3G - Tráfico de voz on-net</v>
      </c>
      <c r="D13" s="162" t="str">
        <v>minutos</v>
      </c>
      <c r="E13"/>
      <c r="F13" s="163">
        <v>10136137751.836145</v>
      </c>
      <c r="G13"/>
      <c r="H13"/>
      <c r="I13"/>
      <c r="J13"/>
      <c r="L13"/>
      <c r="AY13" s="86"/>
      <c r="AZ13" s="86"/>
      <c r="BA13" s="86"/>
      <c r="BB13" s="86"/>
      <c r="BC13" s="86"/>
      <c r="BD13" s="86"/>
    </row>
    <row r="14" spans="1:56" hidden="1" outlineLevel="1" x14ac:dyDescent="0.2">
      <c r="A14"/>
      <c r="B14"/>
      <c r="C14" s="162" t="str">
        <v>3G - Tráfico de voz saliente a fijo</v>
      </c>
      <c r="D14" s="162" t="str">
        <v>minutos</v>
      </c>
      <c r="E14"/>
      <c r="F14" s="163">
        <v>635747484.68190575</v>
      </c>
      <c r="G14"/>
      <c r="H14"/>
      <c r="I14"/>
      <c r="J14"/>
      <c r="L14"/>
      <c r="AY14" s="86"/>
      <c r="AZ14" s="86"/>
      <c r="BA14" s="86"/>
      <c r="BB14" s="86"/>
      <c r="BC14" s="86"/>
      <c r="BD14" s="86"/>
    </row>
    <row r="15" spans="1:56" hidden="1" outlineLevel="1" x14ac:dyDescent="0.2">
      <c r="A15"/>
      <c r="B15"/>
      <c r="C15" s="162" t="str">
        <v>3G - Tráfico de voz saliente a móvil</v>
      </c>
      <c r="D15" s="162" t="str">
        <v>minutos</v>
      </c>
      <c r="E15"/>
      <c r="F15" s="163">
        <v>5512751958.4021235</v>
      </c>
      <c r="G15"/>
      <c r="H15"/>
      <c r="I15"/>
      <c r="J15"/>
      <c r="L15"/>
      <c r="AY15" s="86"/>
      <c r="AZ15" s="86"/>
      <c r="BA15" s="86"/>
      <c r="BB15" s="86"/>
      <c r="BC15" s="86"/>
      <c r="BD15" s="86"/>
    </row>
    <row r="16" spans="1:56" hidden="1" outlineLevel="1" x14ac:dyDescent="0.2">
      <c r="A16"/>
      <c r="B16"/>
      <c r="C16" s="162" t="str">
        <v>3G - Tráfico de voz saliente a internacional</v>
      </c>
      <c r="D16" s="162" t="str">
        <v>minutos</v>
      </c>
      <c r="E16"/>
      <c r="F16" s="163">
        <v>53886677.164912596</v>
      </c>
      <c r="G16"/>
      <c r="H16"/>
      <c r="I16"/>
      <c r="J16"/>
      <c r="L16"/>
      <c r="AY16" s="86"/>
      <c r="AZ16" s="86"/>
      <c r="BA16" s="86"/>
      <c r="BB16" s="86"/>
      <c r="BC16" s="86"/>
      <c r="BD16" s="86"/>
    </row>
    <row r="17" spans="1:56" hidden="1" outlineLevel="1" x14ac:dyDescent="0.2">
      <c r="A17"/>
      <c r="B17"/>
      <c r="C17" s="162" t="str">
        <v>3G - Tráfico de voz entrante desde fijo</v>
      </c>
      <c r="D17" s="162" t="str">
        <v>minutos</v>
      </c>
      <c r="E17"/>
      <c r="F17" s="163">
        <v>300238588.01279199</v>
      </c>
      <c r="G17"/>
      <c r="H17"/>
      <c r="I17"/>
      <c r="J17"/>
      <c r="L17"/>
      <c r="AY17" s="86"/>
      <c r="AZ17" s="86"/>
      <c r="BA17" s="86"/>
      <c r="BB17" s="86"/>
      <c r="BC17" s="86"/>
      <c r="BD17" s="86"/>
    </row>
    <row r="18" spans="1:56" hidden="1" outlineLevel="1" x14ac:dyDescent="0.2">
      <c r="A18"/>
      <c r="B18"/>
      <c r="C18" s="162" t="str">
        <v>3G - Tráfico de voz entrante desde móvil</v>
      </c>
      <c r="D18" s="162" t="str">
        <v>minutos</v>
      </c>
      <c r="E18"/>
      <c r="F18" s="163">
        <v>5512751958.4021244</v>
      </c>
      <c r="G18"/>
      <c r="H18"/>
      <c r="I18"/>
      <c r="J18"/>
      <c r="L18"/>
      <c r="AY18" s="86"/>
      <c r="AZ18" s="86"/>
      <c r="BA18" s="86"/>
      <c r="BB18" s="86"/>
      <c r="BC18" s="86"/>
      <c r="BD18" s="86"/>
    </row>
    <row r="19" spans="1:56" hidden="1" outlineLevel="1" x14ac:dyDescent="0.2">
      <c r="A19"/>
      <c r="B19"/>
      <c r="C19" s="162" t="str">
        <v>3G - Tráfico de voz entrante desde internacional</v>
      </c>
      <c r="D19" s="162" t="str">
        <v>minutos</v>
      </c>
      <c r="E19"/>
      <c r="F19" s="163">
        <v>94560325.166714713</v>
      </c>
      <c r="G19"/>
      <c r="H19"/>
      <c r="I19"/>
      <c r="J19"/>
      <c r="L19"/>
      <c r="AY19" s="86"/>
      <c r="AZ19" s="86"/>
      <c r="BA19" s="86"/>
      <c r="BB19" s="86"/>
      <c r="BC19" s="86"/>
      <c r="BD19" s="86"/>
    </row>
    <row r="20" spans="1:56" hidden="1" outlineLevel="1" x14ac:dyDescent="0.2">
      <c r="A20"/>
      <c r="B20"/>
      <c r="C20" s="162" t="str">
        <v>4G - Tráfico de voz on-net</v>
      </c>
      <c r="D20" s="162" t="str">
        <v>minutos</v>
      </c>
      <c r="E20"/>
      <c r="F20" s="163">
        <v>0</v>
      </c>
      <c r="G20"/>
      <c r="H20"/>
      <c r="I20"/>
      <c r="J20"/>
      <c r="L20"/>
      <c r="AY20" s="86"/>
      <c r="AZ20" s="86"/>
      <c r="BA20" s="86"/>
      <c r="BB20" s="86"/>
      <c r="BC20" s="86"/>
      <c r="BD20" s="86"/>
    </row>
    <row r="21" spans="1:56" hidden="1" outlineLevel="1" x14ac:dyDescent="0.2">
      <c r="A21"/>
      <c r="B21"/>
      <c r="C21" s="162" t="str">
        <v>4G - Tráfico de voz saliente a fijo</v>
      </c>
      <c r="D21" s="162" t="str">
        <v>minutos</v>
      </c>
      <c r="E21"/>
      <c r="F21" s="163">
        <v>0</v>
      </c>
      <c r="G21"/>
      <c r="H21"/>
      <c r="I21"/>
      <c r="J21"/>
      <c r="L21"/>
      <c r="AY21" s="86"/>
      <c r="AZ21" s="86"/>
      <c r="BA21" s="86"/>
      <c r="BB21" s="86"/>
      <c r="BC21" s="86"/>
      <c r="BD21" s="86"/>
    </row>
    <row r="22" spans="1:56" hidden="1" outlineLevel="1" x14ac:dyDescent="0.2">
      <c r="A22"/>
      <c r="B22"/>
      <c r="C22" s="162" t="str">
        <v>4G - Tráfico de voz saliente a móvil</v>
      </c>
      <c r="D22" s="162" t="str">
        <v>minutos</v>
      </c>
      <c r="E22"/>
      <c r="F22" s="163">
        <v>0</v>
      </c>
      <c r="G22"/>
      <c r="H22"/>
      <c r="I22"/>
      <c r="J22"/>
      <c r="L22"/>
      <c r="AY22" s="86"/>
      <c r="AZ22" s="86"/>
      <c r="BA22" s="86"/>
      <c r="BB22" s="86"/>
      <c r="BC22" s="86"/>
      <c r="BD22" s="86"/>
    </row>
    <row r="23" spans="1:56" hidden="1" outlineLevel="1" x14ac:dyDescent="0.2">
      <c r="A23"/>
      <c r="B23"/>
      <c r="C23" s="162" t="str">
        <v>4G - Tráfico de voz saliente a internacional</v>
      </c>
      <c r="D23" s="162" t="str">
        <v>minutos</v>
      </c>
      <c r="E23"/>
      <c r="F23" s="163">
        <v>0</v>
      </c>
      <c r="G23"/>
      <c r="H23"/>
      <c r="I23"/>
      <c r="J23"/>
      <c r="L23"/>
      <c r="AY23" s="86"/>
      <c r="AZ23" s="86"/>
      <c r="BA23" s="86"/>
      <c r="BB23" s="86"/>
      <c r="BC23" s="86"/>
      <c r="BD23" s="86"/>
    </row>
    <row r="24" spans="1:56" hidden="1" outlineLevel="1" x14ac:dyDescent="0.2">
      <c r="A24"/>
      <c r="B24"/>
      <c r="C24" s="162" t="str">
        <v>4G - Tráfico de voz entrante desde fijo</v>
      </c>
      <c r="D24" s="162" t="str">
        <v>minutos</v>
      </c>
      <c r="E24"/>
      <c r="F24" s="163">
        <v>0</v>
      </c>
      <c r="G24"/>
      <c r="H24"/>
      <c r="I24"/>
      <c r="J24"/>
      <c r="L24"/>
      <c r="AY24" s="86"/>
      <c r="AZ24" s="86"/>
      <c r="BA24" s="86"/>
      <c r="BB24" s="86"/>
      <c r="BC24" s="86"/>
      <c r="BD24" s="86"/>
    </row>
    <row r="25" spans="1:56" hidden="1" outlineLevel="1" x14ac:dyDescent="0.2">
      <c r="A25"/>
      <c r="B25"/>
      <c r="C25" s="162" t="str">
        <v>4G - Tráfico de voz entrante desde móvil</v>
      </c>
      <c r="D25" s="162" t="str">
        <v>minutos</v>
      </c>
      <c r="E25"/>
      <c r="F25" s="163">
        <v>0</v>
      </c>
      <c r="G25"/>
      <c r="H25"/>
      <c r="I25"/>
      <c r="J25"/>
      <c r="L25"/>
      <c r="AY25" s="86"/>
      <c r="AZ25" s="86"/>
      <c r="BA25" s="86"/>
      <c r="BB25" s="86"/>
      <c r="BC25" s="86"/>
      <c r="BD25" s="86"/>
    </row>
    <row r="26" spans="1:56" hidden="1" outlineLevel="1" x14ac:dyDescent="0.2">
      <c r="A26"/>
      <c r="B26"/>
      <c r="C26" s="162" t="str">
        <v>4G - Tráfico de voz entrante desde internacional</v>
      </c>
      <c r="D26" s="162" t="str">
        <v>minutos</v>
      </c>
      <c r="E26"/>
      <c r="F26" s="163">
        <v>0</v>
      </c>
      <c r="G26"/>
      <c r="H26"/>
      <c r="I26"/>
      <c r="J26"/>
      <c r="L26"/>
      <c r="AY26" s="86"/>
      <c r="AZ26" s="86"/>
      <c r="BA26" s="86"/>
      <c r="BB26" s="86"/>
      <c r="BC26" s="86"/>
      <c r="BD26" s="86"/>
    </row>
    <row r="27" spans="1:56" hidden="1" outlineLevel="1" x14ac:dyDescent="0.2">
      <c r="A27"/>
      <c r="B27"/>
      <c r="C27" s="162" t="str">
        <v>2G - SMSs on-net</v>
      </c>
      <c r="D27" s="162" t="str">
        <v>SMS</v>
      </c>
      <c r="E27"/>
      <c r="F27" s="163">
        <v>467255840.72455692</v>
      </c>
      <c r="G27"/>
      <c r="H27"/>
      <c r="I27"/>
      <c r="J27"/>
      <c r="L27"/>
      <c r="AY27" s="86"/>
      <c r="AZ27" s="86"/>
      <c r="BA27" s="86"/>
      <c r="BB27" s="86"/>
      <c r="BC27" s="86"/>
      <c r="BD27" s="86"/>
    </row>
    <row r="28" spans="1:56" hidden="1" outlineLevel="1" x14ac:dyDescent="0.2">
      <c r="A28"/>
      <c r="B28"/>
      <c r="C28" s="162" t="str">
        <v>2G - SMS salientes</v>
      </c>
      <c r="D28" s="162" t="str">
        <v>SMS</v>
      </c>
      <c r="E28"/>
      <c r="F28" s="163">
        <v>388105567.31469476</v>
      </c>
      <c r="G28"/>
      <c r="H28"/>
      <c r="I28"/>
      <c r="J28"/>
      <c r="L28"/>
      <c r="AY28" s="86"/>
      <c r="AZ28" s="86"/>
      <c r="BA28" s="86"/>
      <c r="BB28" s="86"/>
      <c r="BC28" s="86"/>
      <c r="BD28" s="86"/>
    </row>
    <row r="29" spans="1:56" hidden="1" outlineLevel="1" x14ac:dyDescent="0.2">
      <c r="A29"/>
      <c r="B29"/>
      <c r="C29" s="162" t="str">
        <v>2G - SMS entrantes</v>
      </c>
      <c r="D29" s="162" t="str">
        <v>SMS</v>
      </c>
      <c r="E29"/>
      <c r="F29" s="163">
        <v>353681926.04408157</v>
      </c>
      <c r="G29"/>
      <c r="H29"/>
      <c r="I29"/>
      <c r="J29"/>
      <c r="L29"/>
      <c r="AY29" s="86"/>
      <c r="AZ29" s="86"/>
      <c r="BA29" s="86"/>
      <c r="BB29" s="86"/>
      <c r="BC29" s="86"/>
      <c r="BD29" s="86"/>
    </row>
    <row r="30" spans="1:56" hidden="1" outlineLevel="1" x14ac:dyDescent="0.2">
      <c r="A30"/>
      <c r="B30"/>
      <c r="C30" s="162" t="str">
        <v>3G - SMSs on-net</v>
      </c>
      <c r="D30" s="162" t="str">
        <v>SMS</v>
      </c>
      <c r="E30"/>
      <c r="F30" s="163">
        <v>1401767522.1736708</v>
      </c>
      <c r="G30"/>
      <c r="H30"/>
      <c r="I30"/>
      <c r="J30"/>
      <c r="L30"/>
      <c r="AY30" s="86"/>
      <c r="AZ30" s="86"/>
      <c r="BA30" s="86"/>
      <c r="BB30" s="86"/>
      <c r="BC30" s="86"/>
      <c r="BD30" s="86"/>
    </row>
    <row r="31" spans="1:56" hidden="1" outlineLevel="1" x14ac:dyDescent="0.2">
      <c r="A31"/>
      <c r="B31"/>
      <c r="C31" s="162" t="str">
        <v>3G - SMS salientes</v>
      </c>
      <c r="D31" s="162" t="str">
        <v>SMS</v>
      </c>
      <c r="E31"/>
      <c r="F31" s="163">
        <v>1164316701.9440842</v>
      </c>
      <c r="G31"/>
      <c r="H31"/>
      <c r="I31"/>
      <c r="J31"/>
      <c r="L31"/>
      <c r="AY31" s="86"/>
      <c r="AZ31" s="86"/>
      <c r="BA31" s="86"/>
      <c r="BB31" s="86"/>
      <c r="BC31" s="86"/>
      <c r="BD31" s="86"/>
    </row>
    <row r="32" spans="1:56" hidden="1" outlineLevel="1" x14ac:dyDescent="0.2">
      <c r="A32"/>
      <c r="B32"/>
      <c r="C32" s="162" t="str">
        <v>3G - SMS entrantes</v>
      </c>
      <c r="D32" s="162" t="str">
        <v>SMS</v>
      </c>
      <c r="E32"/>
      <c r="F32" s="163">
        <v>1061045778.1322447</v>
      </c>
      <c r="G32"/>
      <c r="H32"/>
      <c r="I32"/>
      <c r="J32"/>
      <c r="L32"/>
      <c r="AY32" s="86"/>
      <c r="AZ32" s="86"/>
      <c r="BA32" s="86"/>
      <c r="BB32" s="86"/>
      <c r="BC32" s="86"/>
      <c r="BD32" s="86"/>
    </row>
    <row r="33" spans="1:56" hidden="1" outlineLevel="1" x14ac:dyDescent="0.2">
      <c r="A33"/>
      <c r="B33"/>
      <c r="C33" s="162" t="str">
        <v>4G - SMSs on-net</v>
      </c>
      <c r="D33" s="162" t="str">
        <v>SMS</v>
      </c>
      <c r="E33"/>
      <c r="F33" s="163">
        <v>0</v>
      </c>
      <c r="G33"/>
      <c r="H33"/>
      <c r="I33"/>
      <c r="J33"/>
      <c r="L33"/>
      <c r="AY33" s="86"/>
      <c r="AZ33" s="86"/>
      <c r="BA33" s="86"/>
      <c r="BB33" s="86"/>
      <c r="BC33" s="86"/>
      <c r="BD33" s="86"/>
    </row>
    <row r="34" spans="1:56" hidden="1" outlineLevel="1" x14ac:dyDescent="0.2">
      <c r="A34"/>
      <c r="B34"/>
      <c r="C34" s="162" t="str">
        <v>4G - SMS salientes</v>
      </c>
      <c r="D34" s="162" t="str">
        <v>SMS</v>
      </c>
      <c r="E34"/>
      <c r="F34" s="163">
        <v>0</v>
      </c>
      <c r="G34"/>
      <c r="H34"/>
      <c r="I34"/>
      <c r="J34"/>
      <c r="L34"/>
      <c r="AY34" s="86"/>
      <c r="AZ34" s="86"/>
      <c r="BA34" s="86"/>
      <c r="BB34" s="86"/>
      <c r="BC34" s="86"/>
      <c r="BD34" s="86"/>
    </row>
    <row r="35" spans="1:56" hidden="1" outlineLevel="1" x14ac:dyDescent="0.2">
      <c r="A35"/>
      <c r="B35"/>
      <c r="C35" s="162" t="str">
        <v>4G - SMS entrantes</v>
      </c>
      <c r="D35" s="162" t="str">
        <v>SMS</v>
      </c>
      <c r="E35"/>
      <c r="F35" s="163">
        <v>0</v>
      </c>
      <c r="G35"/>
      <c r="H35"/>
      <c r="I35"/>
      <c r="J35"/>
      <c r="L35"/>
      <c r="AY35" s="86"/>
      <c r="AZ35" s="86"/>
      <c r="BA35" s="86"/>
      <c r="BB35" s="86"/>
      <c r="BC35" s="86"/>
      <c r="BD35" s="86"/>
    </row>
    <row r="36" spans="1:56" hidden="1" outlineLevel="1" x14ac:dyDescent="0.2">
      <c r="A36"/>
      <c r="B36"/>
      <c r="C36" s="162" t="str">
        <v>GPRS data Mbytes</v>
      </c>
      <c r="D36" s="162" t="str">
        <v>Mbytes</v>
      </c>
      <c r="E36"/>
      <c r="F36" s="163">
        <v>30992071983.579018</v>
      </c>
      <c r="G36"/>
      <c r="H36"/>
      <c r="I36"/>
      <c r="J36"/>
      <c r="L36"/>
      <c r="AY36" s="86"/>
      <c r="AZ36" s="86"/>
      <c r="BA36" s="86"/>
      <c r="BB36" s="86"/>
      <c r="BC36" s="86"/>
      <c r="BD36" s="86"/>
    </row>
    <row r="37" spans="1:56" hidden="1" outlineLevel="1" x14ac:dyDescent="0.2">
      <c r="A37"/>
      <c r="B37"/>
      <c r="C37" s="162" t="str">
        <v>R99 data Mbytes</v>
      </c>
      <c r="D37" s="162" t="str">
        <v>Mbytes</v>
      </c>
      <c r="E37"/>
      <c r="F37" s="163">
        <v>1549603599.1789508</v>
      </c>
      <c r="G37"/>
      <c r="H37"/>
      <c r="I37"/>
      <c r="J37"/>
      <c r="L37"/>
      <c r="AY37" s="86"/>
      <c r="AZ37" s="86"/>
      <c r="BA37" s="86"/>
      <c r="BB37" s="86"/>
      <c r="BC37" s="86"/>
      <c r="BD37" s="86"/>
    </row>
    <row r="38" spans="1:56" hidden="1" outlineLevel="1" x14ac:dyDescent="0.2">
      <c r="A38"/>
      <c r="B38"/>
      <c r="C38" s="162" t="str">
        <v>HSDPA data Mbytes</v>
      </c>
      <c r="D38" s="162" t="str">
        <v>Mbytes</v>
      </c>
      <c r="E38"/>
      <c r="F38" s="163">
        <v>60744461087.814873</v>
      </c>
      <c r="G38"/>
      <c r="H38"/>
      <c r="I38"/>
      <c r="J38"/>
      <c r="L38"/>
      <c r="AY38" s="86"/>
      <c r="AZ38" s="86"/>
      <c r="BA38" s="86"/>
      <c r="BB38" s="86"/>
      <c r="BC38" s="86"/>
      <c r="BD38" s="86"/>
    </row>
    <row r="39" spans="1:56" hidden="1" outlineLevel="1" x14ac:dyDescent="0.2">
      <c r="A39"/>
      <c r="B39"/>
      <c r="C39" s="162" t="str">
        <v>HSUPA data Mbytes</v>
      </c>
      <c r="D39" s="162" t="str">
        <v>Mbytes</v>
      </c>
      <c r="E39"/>
      <c r="F39" s="163">
        <v>15186115271.953714</v>
      </c>
      <c r="G39"/>
      <c r="H39"/>
      <c r="I39"/>
      <c r="J39"/>
      <c r="L39"/>
      <c r="AY39" s="86"/>
      <c r="AZ39" s="86"/>
      <c r="BA39" s="86"/>
      <c r="BB39" s="86"/>
      <c r="BC39" s="86"/>
      <c r="BD39" s="86"/>
    </row>
    <row r="40" spans="1:56" hidden="1" outlineLevel="1" x14ac:dyDescent="0.2">
      <c r="A40"/>
      <c r="B40"/>
      <c r="C40" s="162" t="str">
        <v>LTE data Mbytes</v>
      </c>
      <c r="D40" s="162" t="str">
        <v>Mbytes</v>
      </c>
      <c r="E40"/>
      <c r="F40" s="163">
        <v>46488107975.368523</v>
      </c>
      <c r="G40"/>
      <c r="H40"/>
      <c r="I40"/>
      <c r="J40"/>
      <c r="L40"/>
      <c r="AY40" s="86"/>
      <c r="AZ40" s="86"/>
      <c r="BA40" s="86"/>
      <c r="BB40" s="86"/>
      <c r="BC40" s="86"/>
      <c r="BD40" s="86"/>
    </row>
    <row r="41" spans="1:56" hidden="1" outlineLevel="1" x14ac:dyDescent="0.2">
      <c r="A41"/>
      <c r="B41"/>
      <c r="C41" s="162" t="str">
        <v>spare</v>
      </c>
      <c r="D41" s="162" t="str">
        <v>spare</v>
      </c>
      <c r="E41"/>
      <c r="F41" s="163">
        <v>0</v>
      </c>
      <c r="G41"/>
      <c r="H41"/>
      <c r="I41"/>
      <c r="J41"/>
      <c r="L41"/>
      <c r="AY41" s="86"/>
      <c r="AZ41" s="86"/>
      <c r="BA41" s="86"/>
      <c r="BB41" s="86"/>
      <c r="BC41" s="86"/>
      <c r="BD41" s="86"/>
    </row>
    <row r="42" spans="1:56" hidden="1" outlineLevel="1" x14ac:dyDescent="0.2">
      <c r="A42"/>
      <c r="B42"/>
      <c r="C42" s="162" t="str">
        <v>Suscriptores de solo voz (media del año)</v>
      </c>
      <c r="D42" s="162" t="str">
        <v>suscriptores</v>
      </c>
      <c r="E42"/>
      <c r="F42" s="163">
        <v>5816039.3333333302</v>
      </c>
      <c r="G42"/>
      <c r="H42"/>
      <c r="I42"/>
      <c r="J42"/>
      <c r="L42"/>
      <c r="AY42" s="86"/>
      <c r="AZ42" s="86"/>
      <c r="BA42" s="86"/>
      <c r="BB42" s="86"/>
      <c r="BC42" s="86"/>
      <c r="BD42" s="86"/>
    </row>
    <row r="43" spans="1:56" hidden="1" outlineLevel="1" x14ac:dyDescent="0.2">
      <c r="A43"/>
      <c r="B43"/>
      <c r="C43" s="162" t="str">
        <v>Suscriptores de voz y datos (media del año)</v>
      </c>
      <c r="D43" s="162" t="str">
        <v>suscriptores</v>
      </c>
      <c r="E43"/>
      <c r="F43" s="163">
        <v>5671666.666666666</v>
      </c>
      <c r="G43"/>
      <c r="H43"/>
      <c r="I43"/>
      <c r="J43"/>
      <c r="L43"/>
      <c r="AY43" s="86"/>
      <c r="AZ43" s="86"/>
      <c r="BA43" s="86"/>
      <c r="BB43" s="86"/>
      <c r="BC43" s="86"/>
      <c r="BD43" s="86"/>
    </row>
    <row r="44" spans="1:56" hidden="1" outlineLevel="1" x14ac:dyDescent="0.2">
      <c r="A44"/>
      <c r="B44"/>
      <c r="C44" s="162" t="str">
        <v>spare</v>
      </c>
      <c r="D44" s="162" t="str">
        <v>spare</v>
      </c>
      <c r="E44"/>
      <c r="F44" s="163">
        <v>0</v>
      </c>
      <c r="G44"/>
      <c r="H44"/>
      <c r="I44"/>
      <c r="J44"/>
      <c r="L44"/>
      <c r="AY44" s="86"/>
      <c r="AZ44" s="86"/>
      <c r="BA44" s="86"/>
      <c r="BB44" s="86"/>
      <c r="BC44" s="86"/>
      <c r="BD44" s="86"/>
    </row>
    <row r="45" spans="1:56" hidden="1" outlineLevel="1" x14ac:dyDescent="0.2">
      <c r="A45"/>
      <c r="B45"/>
      <c r="C45" s="162" t="str">
        <v>spare</v>
      </c>
      <c r="D45" s="162" t="str">
        <v>spare</v>
      </c>
      <c r="E45"/>
      <c r="F45" s="163">
        <v>0</v>
      </c>
      <c r="G45"/>
      <c r="H45"/>
      <c r="I45"/>
      <c r="J45"/>
      <c r="L45"/>
      <c r="AY45" s="86"/>
      <c r="AZ45" s="86"/>
      <c r="BA45" s="86"/>
      <c r="BB45" s="86"/>
      <c r="BC45" s="86"/>
      <c r="BD45" s="86"/>
    </row>
    <row r="46" spans="1:56" hidden="1" outlineLevel="1" x14ac:dyDescent="0.2">
      <c r="A46"/>
      <c r="B46"/>
      <c r="C46" s="162" t="str">
        <v>spare</v>
      </c>
      <c r="D46" s="162" t="str">
        <v>spare</v>
      </c>
      <c r="E46"/>
      <c r="F46" s="163">
        <v>0</v>
      </c>
      <c r="G46"/>
      <c r="H46"/>
      <c r="I46"/>
      <c r="J46"/>
      <c r="L46"/>
      <c r="AY46" s="86"/>
      <c r="AZ46" s="86"/>
      <c r="BA46" s="86"/>
      <c r="BB46" s="86"/>
      <c r="BC46" s="86"/>
      <c r="BD46" s="86"/>
    </row>
    <row r="47" spans="1:56" hidden="1" outlineLevel="1" x14ac:dyDescent="0.2">
      <c r="A47"/>
      <c r="B47"/>
      <c r="C47" s="162" t="str">
        <v>spare</v>
      </c>
      <c r="D47" s="162" t="str">
        <v>spare</v>
      </c>
      <c r="E47"/>
      <c r="F47" s="163">
        <v>0</v>
      </c>
      <c r="G47"/>
      <c r="H47"/>
      <c r="I47"/>
      <c r="J47"/>
      <c r="L47"/>
      <c r="AY47" s="86"/>
      <c r="AZ47" s="86"/>
      <c r="BA47" s="86"/>
      <c r="BB47" s="86"/>
      <c r="BC47" s="86"/>
      <c r="BD47" s="86"/>
    </row>
    <row r="48" spans="1:56" hidden="1" outlineLevel="1" x14ac:dyDescent="0.2">
      <c r="A48"/>
      <c r="B48"/>
      <c r="C48" s="162" t="str">
        <v>spare</v>
      </c>
      <c r="D48" s="162" t="str">
        <v>spare</v>
      </c>
      <c r="E48"/>
      <c r="F48" s="163">
        <v>0</v>
      </c>
      <c r="G48"/>
      <c r="H48"/>
      <c r="I48"/>
      <c r="J48"/>
      <c r="L48"/>
      <c r="AY48" s="86"/>
      <c r="AZ48" s="86"/>
      <c r="BA48" s="86"/>
      <c r="BB48" s="86"/>
      <c r="BC48" s="86"/>
      <c r="BD48" s="86"/>
    </row>
    <row r="49" spans="1:56" hidden="1" outlineLevel="1" x14ac:dyDescent="0.2">
      <c r="A49"/>
      <c r="B49"/>
      <c r="C49" s="162" t="str">
        <v>spare</v>
      </c>
      <c r="D49" s="162" t="str">
        <v>spare</v>
      </c>
      <c r="E49"/>
      <c r="F49" s="163">
        <v>0</v>
      </c>
      <c r="G49"/>
      <c r="H49"/>
      <c r="I49"/>
      <c r="J49"/>
      <c r="L49"/>
      <c r="AY49" s="86"/>
      <c r="AZ49" s="86"/>
      <c r="BA49" s="86"/>
      <c r="BB49" s="86"/>
      <c r="BC49" s="86"/>
      <c r="BD49" s="86"/>
    </row>
    <row r="50" spans="1:56" s="86" customFormat="1" hidden="1" outlineLevel="1" x14ac:dyDescent="0.2">
      <c r="A50" s="81"/>
      <c r="B50" s="81"/>
      <c r="C50" s="162" t="str">
        <v>spare</v>
      </c>
      <c r="D50" s="162" t="str">
        <v>spare</v>
      </c>
      <c r="E50" s="81"/>
      <c r="F50" s="163">
        <v>0</v>
      </c>
      <c r="G50" s="81"/>
      <c r="H50" s="81"/>
      <c r="I50" s="81"/>
      <c r="J50" s="81"/>
      <c r="L50" s="81"/>
    </row>
    <row r="51" spans="1:56" s="86" customFormat="1" hidden="1" outlineLevel="1" x14ac:dyDescent="0.2">
      <c r="A51" s="81"/>
      <c r="B51" s="81"/>
      <c r="C51" s="162" t="str">
        <v>spare</v>
      </c>
      <c r="D51" s="162" t="str">
        <v>spare</v>
      </c>
      <c r="E51" s="81"/>
      <c r="F51" s="163">
        <v>0</v>
      </c>
      <c r="G51" s="81"/>
      <c r="H51" s="81"/>
      <c r="I51" s="81"/>
      <c r="J51" s="81"/>
      <c r="L51" s="81"/>
    </row>
    <row r="52" spans="1:56" s="86" customFormat="1" hidden="1" outlineLevel="1" x14ac:dyDescent="0.2">
      <c r="A52" s="81"/>
      <c r="B52" s="81"/>
      <c r="C52" s="162" t="str">
        <v>spare</v>
      </c>
      <c r="D52" s="162" t="str">
        <v>spare</v>
      </c>
      <c r="E52" s="81"/>
      <c r="F52" s="163">
        <v>0</v>
      </c>
      <c r="G52" s="81"/>
      <c r="H52" s="81"/>
      <c r="I52" s="81"/>
      <c r="J52" s="81"/>
      <c r="L52" s="81"/>
    </row>
    <row r="53" spans="1:56" s="86" customFormat="1" hidden="1" outlineLevel="1" x14ac:dyDescent="0.2">
      <c r="A53" s="81"/>
      <c r="B53" s="81"/>
      <c r="C53" s="162" t="str">
        <v>spare</v>
      </c>
      <c r="D53" s="162" t="str">
        <v>spare</v>
      </c>
      <c r="E53" s="81"/>
      <c r="F53" s="163">
        <v>0</v>
      </c>
      <c r="G53" s="81"/>
      <c r="H53" s="81"/>
      <c r="I53" s="81"/>
      <c r="J53" s="81"/>
      <c r="L53" s="81"/>
    </row>
    <row r="54" spans="1:56" s="86" customFormat="1" hidden="1" outlineLevel="1" x14ac:dyDescent="0.2">
      <c r="A54" s="81"/>
      <c r="B54" s="81"/>
      <c r="C54" s="162" t="str">
        <v>spare</v>
      </c>
      <c r="D54" s="162" t="str">
        <v>spare</v>
      </c>
      <c r="E54" s="81"/>
      <c r="F54" s="163">
        <v>0</v>
      </c>
      <c r="G54" s="81"/>
      <c r="H54" s="81"/>
      <c r="I54" s="81"/>
      <c r="J54" s="81"/>
      <c r="L54" s="81"/>
    </row>
    <row r="55" spans="1:56" s="86" customFormat="1" collapsed="1" x14ac:dyDescent="0.2">
      <c r="A55" s="81"/>
      <c r="B55" s="81"/>
      <c r="C55" s="162" t="str">
        <v>spare</v>
      </c>
      <c r="D55" s="162" t="str">
        <v>spare</v>
      </c>
      <c r="E55" s="81"/>
      <c r="F55" s="163">
        <v>0</v>
      </c>
      <c r="G55" s="81"/>
      <c r="H55" s="81"/>
      <c r="I55" s="81"/>
      <c r="J55" s="81"/>
      <c r="L55" s="81"/>
    </row>
    <row r="56" spans="1:56" x14ac:dyDescent="0.2">
      <c r="A56"/>
      <c r="B56"/>
      <c r="C56"/>
      <c r="D56"/>
      <c r="E56"/>
      <c r="F56"/>
      <c r="G56"/>
      <c r="H56"/>
      <c r="I56"/>
      <c r="J56"/>
      <c r="K56"/>
      <c r="L56"/>
      <c r="AY56" s="86"/>
      <c r="AZ56" s="86"/>
      <c r="BA56" s="86"/>
      <c r="BB56" s="86"/>
      <c r="BC56" s="86"/>
      <c r="BD56" s="86"/>
    </row>
    <row r="57" spans="1:56" x14ac:dyDescent="0.2">
      <c r="A57"/>
      <c r="B57"/>
      <c r="C57"/>
      <c r="D57"/>
      <c r="E57"/>
      <c r="F57"/>
      <c r="G57"/>
      <c r="H57"/>
      <c r="I57"/>
      <c r="J57"/>
      <c r="K57"/>
      <c r="L57"/>
      <c r="AY57" s="86"/>
      <c r="AZ57" s="86"/>
      <c r="BA57" s="86"/>
      <c r="BB57" s="86"/>
      <c r="BC57" s="86"/>
      <c r="BD57" s="86"/>
    </row>
    <row r="58" spans="1:56" ht="15.75" x14ac:dyDescent="0.2">
      <c r="A58" s="171" t="s">
        <v>966</v>
      </c>
      <c r="B58" s="171"/>
      <c r="C58" s="171"/>
      <c r="D58" s="171"/>
      <c r="E58" s="171"/>
      <c r="F58" s="171"/>
      <c r="G58" s="171"/>
      <c r="H58" s="171"/>
      <c r="I58" s="171"/>
      <c r="J58" s="171"/>
      <c r="K58" s="171"/>
      <c r="L58" s="171"/>
      <c r="M58" s="171"/>
      <c r="N58" s="171"/>
      <c r="O58" s="171"/>
      <c r="P58" s="171"/>
      <c r="Q58" s="171"/>
      <c r="R58" s="171"/>
      <c r="S58" s="171"/>
      <c r="T58" s="171"/>
      <c r="U58" s="171"/>
      <c r="V58" s="171"/>
      <c r="W58" s="171"/>
      <c r="X58" s="171"/>
      <c r="Y58" s="171"/>
      <c r="Z58" s="171"/>
      <c r="AA58" s="171"/>
      <c r="AB58" s="171"/>
      <c r="AC58" s="171"/>
      <c r="AD58" s="171"/>
      <c r="AE58" s="171"/>
      <c r="AF58" s="171"/>
      <c r="AG58" s="171"/>
      <c r="AH58" s="171"/>
      <c r="AI58" s="171"/>
      <c r="AJ58" s="171"/>
      <c r="AK58" s="171"/>
      <c r="AL58" s="171"/>
      <c r="AM58" s="171"/>
      <c r="AN58" s="171"/>
      <c r="AO58" s="171"/>
      <c r="AP58" s="171"/>
      <c r="AQ58" s="171"/>
      <c r="AR58" s="171"/>
      <c r="AS58" s="171"/>
      <c r="AT58" s="171"/>
      <c r="AU58" s="171"/>
      <c r="AV58" s="171"/>
      <c r="AW58" s="171"/>
      <c r="AX58" s="171"/>
      <c r="AY58" s="171"/>
      <c r="AZ58" s="171"/>
      <c r="BA58" s="171"/>
      <c r="BB58" s="171"/>
      <c r="BC58" s="171"/>
      <c r="BD58" s="171"/>
    </row>
    <row r="59" spans="1:56" x14ac:dyDescent="0.2">
      <c r="A59"/>
      <c r="B59"/>
      <c r="C59"/>
      <c r="D59"/>
      <c r="E59"/>
      <c r="F59"/>
      <c r="G59"/>
      <c r="H59"/>
      <c r="I59"/>
      <c r="J59"/>
      <c r="K59"/>
      <c r="L59"/>
      <c r="M59"/>
    </row>
    <row r="60" spans="1:56" ht="36" x14ac:dyDescent="0.2">
      <c r="A60"/>
      <c r="B60"/>
      <c r="C60" s="5" t="s">
        <v>968</v>
      </c>
      <c r="D60"/>
      <c r="F60" s="5" t="str">
        <f t="array" ref="F60:BC60">TRANSPOSE(Network.services.list)</f>
        <v>2G - Tráfico de voz on-net</v>
      </c>
      <c r="G60" s="5" t="str">
        <v>2G - Tráfico de voz saliente a fijo</v>
      </c>
      <c r="H60" s="5" t="str">
        <v>2G - Tráfico de voz saliente a móvil</v>
      </c>
      <c r="I60" s="5" t="str">
        <v>2G - Tráfico de voz saliente a internacional</v>
      </c>
      <c r="J60" s="5" t="str">
        <v>2G - Tráfico de voz entrante desde fijo</v>
      </c>
      <c r="K60" s="5" t="str">
        <v>2G - Tráfico de voz entrante desde móvil</v>
      </c>
      <c r="L60" s="5" t="str">
        <v>2G - Tráfico de voz entrante desde internacional</v>
      </c>
      <c r="M60" s="5" t="str">
        <v>3G - Tráfico de voz on-net</v>
      </c>
      <c r="N60" s="5" t="str">
        <v>3G - Tráfico de voz saliente a fijo</v>
      </c>
      <c r="O60" s="5" t="str">
        <v>3G - Tráfico de voz saliente a móvil</v>
      </c>
      <c r="P60" s="5" t="str">
        <v>3G - Tráfico de voz saliente a internacional</v>
      </c>
      <c r="Q60" s="5" t="str">
        <v>3G - Tráfico de voz entrante desde fijo</v>
      </c>
      <c r="R60" s="5" t="str">
        <v>3G - Tráfico de voz entrante desde móvil</v>
      </c>
      <c r="S60" s="5" t="str">
        <v>3G - Tráfico de voz entrante desde internacional</v>
      </c>
      <c r="T60" s="5" t="str">
        <v>4G - Tráfico de voz on-net</v>
      </c>
      <c r="U60" s="5" t="str">
        <v>4G - Tráfico de voz saliente a fijo</v>
      </c>
      <c r="V60" s="5" t="str">
        <v>4G - Tráfico de voz saliente a móvil</v>
      </c>
      <c r="W60" s="5" t="str">
        <v>4G - Tráfico de voz saliente a internacional</v>
      </c>
      <c r="X60" s="5" t="str">
        <v>4G - Tráfico de voz entrante desde fijo</v>
      </c>
      <c r="Y60" s="5" t="str">
        <v>4G - Tráfico de voz entrante desde móvil</v>
      </c>
      <c r="Z60" s="5" t="str">
        <v>4G - Tráfico de voz entrante desde internacional</v>
      </c>
      <c r="AA60" s="5" t="str">
        <v>2G - SMSs on-net</v>
      </c>
      <c r="AB60" s="5" t="str">
        <v>2G - SMS salientes</v>
      </c>
      <c r="AC60" s="5" t="str">
        <v>2G - SMS entrantes</v>
      </c>
      <c r="AD60" s="5" t="str">
        <v>3G - SMSs on-net</v>
      </c>
      <c r="AE60" s="5" t="str">
        <v>3G - SMS salientes</v>
      </c>
      <c r="AF60" s="5" t="str">
        <v>3G - SMS entrantes</v>
      </c>
      <c r="AG60" s="5" t="str">
        <v>4G - SMSs on-net</v>
      </c>
      <c r="AH60" s="5" t="str">
        <v>4G - SMS salientes</v>
      </c>
      <c r="AI60" s="5" t="str">
        <v>4G - SMS entrantes</v>
      </c>
      <c r="AJ60" s="5" t="str">
        <v>GPRS data Mbytes</v>
      </c>
      <c r="AK60" s="5" t="str">
        <v>R99 data Mbytes</v>
      </c>
      <c r="AL60" s="5" t="str">
        <v>HSDPA data Mbytes</v>
      </c>
      <c r="AM60" s="5" t="str">
        <v>HSUPA data Mbytes</v>
      </c>
      <c r="AN60" s="5" t="str">
        <v>LTE data Mbytes</v>
      </c>
      <c r="AO60" s="5" t="str">
        <v>spare</v>
      </c>
      <c r="AP60" s="5" t="str">
        <v>Suscriptores de solo voz (media del año)</v>
      </c>
      <c r="AQ60" s="5" t="str">
        <v>Suscriptores de voz y datos (media del año)</v>
      </c>
      <c r="AR60" s="5" t="str">
        <v>spare</v>
      </c>
      <c r="AS60" s="5" t="str">
        <v>spare</v>
      </c>
      <c r="AT60" s="5" t="str">
        <v>spare</v>
      </c>
      <c r="AU60" s="5" t="str">
        <v>spare</v>
      </c>
      <c r="AV60" s="5" t="str">
        <v>spare</v>
      </c>
      <c r="AW60" s="5" t="str">
        <v>spare</v>
      </c>
      <c r="AX60" s="227" t="str">
        <v>spare</v>
      </c>
      <c r="AY60" s="227" t="str">
        <v>spare</v>
      </c>
      <c r="AZ60" s="227" t="str">
        <v>spare</v>
      </c>
      <c r="BA60" s="227" t="str">
        <v>spare</v>
      </c>
      <c r="BB60" s="227" t="str">
        <v>spare</v>
      </c>
      <c r="BC60" s="227" t="str">
        <v>spare</v>
      </c>
    </row>
    <row r="61" spans="1:56" x14ac:dyDescent="0.2">
      <c r="A61" s="36"/>
      <c r="B61" s="36"/>
      <c r="C61" s="162" t="str">
        <f t="array" ref="C61:C260">Assets.list</f>
        <v>Asset 1</v>
      </c>
      <c r="D61"/>
      <c r="F61" s="199">
        <f t="array" ref="F61:BC260">Routeing.factors</f>
        <v>0</v>
      </c>
      <c r="G61" s="199">
        <v>0</v>
      </c>
      <c r="H61" s="199">
        <v>0</v>
      </c>
      <c r="I61" s="199">
        <v>0</v>
      </c>
      <c r="J61" s="199">
        <v>0</v>
      </c>
      <c r="K61" s="199">
        <v>0</v>
      </c>
      <c r="L61" s="199">
        <v>0</v>
      </c>
      <c r="M61" s="199">
        <v>0</v>
      </c>
      <c r="N61" s="199">
        <v>0</v>
      </c>
      <c r="O61" s="199">
        <v>0</v>
      </c>
      <c r="P61" s="199">
        <v>0</v>
      </c>
      <c r="Q61" s="199">
        <v>0</v>
      </c>
      <c r="R61" s="199">
        <v>0</v>
      </c>
      <c r="S61" s="199">
        <v>0</v>
      </c>
      <c r="T61" s="199">
        <v>0</v>
      </c>
      <c r="U61" s="199">
        <v>0</v>
      </c>
      <c r="V61" s="199">
        <v>0</v>
      </c>
      <c r="W61" s="199">
        <v>0</v>
      </c>
      <c r="X61" s="199">
        <v>0</v>
      </c>
      <c r="Y61" s="199">
        <v>0</v>
      </c>
      <c r="Z61" s="199">
        <v>0</v>
      </c>
      <c r="AA61" s="199">
        <v>0</v>
      </c>
      <c r="AB61" s="199">
        <v>0</v>
      </c>
      <c r="AC61" s="199">
        <v>0</v>
      </c>
      <c r="AD61" s="199">
        <v>0</v>
      </c>
      <c r="AE61" s="199">
        <v>0</v>
      </c>
      <c r="AF61" s="199">
        <v>0</v>
      </c>
      <c r="AG61" s="199">
        <v>0</v>
      </c>
      <c r="AH61" s="199">
        <v>0</v>
      </c>
      <c r="AI61" s="199">
        <v>0</v>
      </c>
      <c r="AJ61" s="199">
        <v>0</v>
      </c>
      <c r="AK61" s="199">
        <v>0</v>
      </c>
      <c r="AL61" s="199">
        <v>0</v>
      </c>
      <c r="AM61" s="199">
        <v>0</v>
      </c>
      <c r="AN61" s="199">
        <v>0</v>
      </c>
      <c r="AO61" s="199">
        <v>0</v>
      </c>
      <c r="AP61" s="199">
        <v>0</v>
      </c>
      <c r="AQ61" s="199">
        <v>0</v>
      </c>
      <c r="AR61" s="199">
        <v>0</v>
      </c>
      <c r="AS61" s="199">
        <v>0</v>
      </c>
      <c r="AT61" s="199">
        <v>0</v>
      </c>
      <c r="AU61" s="199">
        <v>0</v>
      </c>
      <c r="AV61" s="199">
        <v>0</v>
      </c>
      <c r="AW61" s="199">
        <v>0</v>
      </c>
      <c r="AX61" s="199">
        <v>0</v>
      </c>
      <c r="AY61" s="199">
        <v>0</v>
      </c>
      <c r="AZ61" s="199">
        <v>0</v>
      </c>
      <c r="BA61" s="199">
        <v>0</v>
      </c>
      <c r="BB61" s="199">
        <v>0</v>
      </c>
      <c r="BC61" s="199">
        <v>0</v>
      </c>
    </row>
    <row r="62" spans="1:56" hidden="1" outlineLevel="1" x14ac:dyDescent="0.2">
      <c r="A62" s="36"/>
      <c r="B62" s="36"/>
      <c r="C62" s="162" t="str">
        <v>Asset 2</v>
      </c>
      <c r="D62"/>
      <c r="F62" s="199">
        <v>0</v>
      </c>
      <c r="G62" s="199">
        <v>0</v>
      </c>
      <c r="H62" s="199">
        <v>0</v>
      </c>
      <c r="I62" s="199">
        <v>0</v>
      </c>
      <c r="J62" s="199">
        <v>0</v>
      </c>
      <c r="K62" s="199">
        <v>0</v>
      </c>
      <c r="L62" s="199">
        <v>0</v>
      </c>
      <c r="M62" s="199">
        <v>0</v>
      </c>
      <c r="N62" s="199">
        <v>0</v>
      </c>
      <c r="O62" s="199">
        <v>0</v>
      </c>
      <c r="P62" s="199">
        <v>0</v>
      </c>
      <c r="Q62" s="199">
        <v>0</v>
      </c>
      <c r="R62" s="199">
        <v>0</v>
      </c>
      <c r="S62" s="199">
        <v>0</v>
      </c>
      <c r="T62" s="199">
        <v>0</v>
      </c>
      <c r="U62" s="199">
        <v>0</v>
      </c>
      <c r="V62" s="199">
        <v>0</v>
      </c>
      <c r="W62" s="199">
        <v>0</v>
      </c>
      <c r="X62" s="199">
        <v>0</v>
      </c>
      <c r="Y62" s="199">
        <v>0</v>
      </c>
      <c r="Z62" s="199">
        <v>0</v>
      </c>
      <c r="AA62" s="199">
        <v>0</v>
      </c>
      <c r="AB62" s="199">
        <v>0</v>
      </c>
      <c r="AC62" s="199">
        <v>0</v>
      </c>
      <c r="AD62" s="199">
        <v>0</v>
      </c>
      <c r="AE62" s="199">
        <v>0</v>
      </c>
      <c r="AF62" s="199">
        <v>0</v>
      </c>
      <c r="AG62" s="199">
        <v>0</v>
      </c>
      <c r="AH62" s="199">
        <v>0</v>
      </c>
      <c r="AI62" s="199">
        <v>0</v>
      </c>
      <c r="AJ62" s="199">
        <v>0</v>
      </c>
      <c r="AK62" s="199">
        <v>0</v>
      </c>
      <c r="AL62" s="199">
        <v>0</v>
      </c>
      <c r="AM62" s="199">
        <v>0</v>
      </c>
      <c r="AN62" s="199">
        <v>0</v>
      </c>
      <c r="AO62" s="199">
        <v>0</v>
      </c>
      <c r="AP62" s="199">
        <v>0</v>
      </c>
      <c r="AQ62" s="199">
        <v>0</v>
      </c>
      <c r="AR62" s="199">
        <v>0</v>
      </c>
      <c r="AS62" s="199">
        <v>0</v>
      </c>
      <c r="AT62" s="199">
        <v>0</v>
      </c>
      <c r="AU62" s="199">
        <v>0</v>
      </c>
      <c r="AV62" s="199">
        <v>0</v>
      </c>
      <c r="AW62" s="199">
        <v>0</v>
      </c>
      <c r="AX62" s="199">
        <v>0</v>
      </c>
      <c r="AY62" s="199">
        <v>0</v>
      </c>
      <c r="AZ62" s="199">
        <v>0</v>
      </c>
      <c r="BA62" s="199">
        <v>0</v>
      </c>
      <c r="BB62" s="199">
        <v>0</v>
      </c>
      <c r="BC62" s="199">
        <v>0</v>
      </c>
    </row>
    <row r="63" spans="1:56" hidden="1" outlineLevel="1" x14ac:dyDescent="0.2">
      <c r="A63" s="36"/>
      <c r="B63" s="36"/>
      <c r="C63" s="162" t="str">
        <v>Asset 3</v>
      </c>
      <c r="D63"/>
      <c r="F63" s="199">
        <v>0</v>
      </c>
      <c r="G63" s="199">
        <v>0</v>
      </c>
      <c r="H63" s="199">
        <v>0</v>
      </c>
      <c r="I63" s="199">
        <v>0</v>
      </c>
      <c r="J63" s="199">
        <v>0</v>
      </c>
      <c r="K63" s="199">
        <v>0</v>
      </c>
      <c r="L63" s="199">
        <v>0</v>
      </c>
      <c r="M63" s="199">
        <v>0</v>
      </c>
      <c r="N63" s="199">
        <v>0</v>
      </c>
      <c r="O63" s="199">
        <v>0</v>
      </c>
      <c r="P63" s="199">
        <v>0</v>
      </c>
      <c r="Q63" s="199">
        <v>0</v>
      </c>
      <c r="R63" s="199">
        <v>0</v>
      </c>
      <c r="S63" s="199">
        <v>0</v>
      </c>
      <c r="T63" s="199">
        <v>0</v>
      </c>
      <c r="U63" s="199">
        <v>0</v>
      </c>
      <c r="V63" s="199">
        <v>0</v>
      </c>
      <c r="W63" s="199">
        <v>0</v>
      </c>
      <c r="X63" s="199">
        <v>0</v>
      </c>
      <c r="Y63" s="199">
        <v>0</v>
      </c>
      <c r="Z63" s="199">
        <v>0</v>
      </c>
      <c r="AA63" s="199">
        <v>0</v>
      </c>
      <c r="AB63" s="199">
        <v>0</v>
      </c>
      <c r="AC63" s="199">
        <v>0</v>
      </c>
      <c r="AD63" s="199">
        <v>0</v>
      </c>
      <c r="AE63" s="199">
        <v>0</v>
      </c>
      <c r="AF63" s="199">
        <v>0</v>
      </c>
      <c r="AG63" s="199">
        <v>0</v>
      </c>
      <c r="AH63" s="199">
        <v>0</v>
      </c>
      <c r="AI63" s="199">
        <v>0</v>
      </c>
      <c r="AJ63" s="199">
        <v>0</v>
      </c>
      <c r="AK63" s="199">
        <v>0</v>
      </c>
      <c r="AL63" s="199">
        <v>0</v>
      </c>
      <c r="AM63" s="199">
        <v>0</v>
      </c>
      <c r="AN63" s="199">
        <v>0</v>
      </c>
      <c r="AO63" s="199">
        <v>0</v>
      </c>
      <c r="AP63" s="199">
        <v>0</v>
      </c>
      <c r="AQ63" s="199">
        <v>0</v>
      </c>
      <c r="AR63" s="199">
        <v>0</v>
      </c>
      <c r="AS63" s="199">
        <v>0</v>
      </c>
      <c r="AT63" s="199">
        <v>0</v>
      </c>
      <c r="AU63" s="199">
        <v>0</v>
      </c>
      <c r="AV63" s="199">
        <v>0</v>
      </c>
      <c r="AW63" s="199">
        <v>0</v>
      </c>
      <c r="AX63" s="199">
        <v>0</v>
      </c>
      <c r="AY63" s="199">
        <v>0</v>
      </c>
      <c r="AZ63" s="199">
        <v>0</v>
      </c>
      <c r="BA63" s="199">
        <v>0</v>
      </c>
      <c r="BB63" s="199">
        <v>0</v>
      </c>
      <c r="BC63" s="199">
        <v>0</v>
      </c>
    </row>
    <row r="64" spans="1:56" hidden="1" outlineLevel="1" x14ac:dyDescent="0.2">
      <c r="A64" s="36"/>
      <c r="B64" s="36"/>
      <c r="C64" s="162" t="str">
        <v>TRX</v>
      </c>
      <c r="D64"/>
      <c r="F64" s="199">
        <v>2.1784313725490194</v>
      </c>
      <c r="G64" s="199">
        <v>1.0947916666666666</v>
      </c>
      <c r="H64" s="199">
        <v>1.1166666666666667</v>
      </c>
      <c r="I64" s="199">
        <v>1.0722222222222222</v>
      </c>
      <c r="J64" s="199">
        <v>1.0947916666666666</v>
      </c>
      <c r="K64" s="199">
        <v>1.1166666666666667</v>
      </c>
      <c r="L64" s="199">
        <v>1.0722222222222222</v>
      </c>
      <c r="M64" s="199">
        <v>0</v>
      </c>
      <c r="N64" s="199">
        <v>0</v>
      </c>
      <c r="O64" s="199">
        <v>0</v>
      </c>
      <c r="P64" s="199">
        <v>0</v>
      </c>
      <c r="Q64" s="199">
        <v>0</v>
      </c>
      <c r="R64" s="199">
        <v>0</v>
      </c>
      <c r="S64" s="199">
        <v>0</v>
      </c>
      <c r="T64" s="199">
        <v>0</v>
      </c>
      <c r="U64" s="199">
        <v>0</v>
      </c>
      <c r="V64" s="199">
        <v>0</v>
      </c>
      <c r="W64" s="199">
        <v>0</v>
      </c>
      <c r="X64" s="199">
        <v>0</v>
      </c>
      <c r="Y64" s="199">
        <v>0</v>
      </c>
      <c r="Z64" s="199">
        <v>0</v>
      </c>
      <c r="AA64" s="199">
        <v>0</v>
      </c>
      <c r="AB64" s="199">
        <v>0</v>
      </c>
      <c r="AC64" s="199">
        <v>0</v>
      </c>
      <c r="AD64" s="199">
        <v>0</v>
      </c>
      <c r="AE64" s="199">
        <v>0</v>
      </c>
      <c r="AF64" s="199">
        <v>0</v>
      </c>
      <c r="AG64" s="199">
        <v>0</v>
      </c>
      <c r="AH64" s="199">
        <v>0</v>
      </c>
      <c r="AI64" s="199">
        <v>0</v>
      </c>
      <c r="AJ64" s="199">
        <v>4.4600888888888894</v>
      </c>
      <c r="AK64" s="199">
        <v>0</v>
      </c>
      <c r="AL64" s="199">
        <v>0</v>
      </c>
      <c r="AM64" s="199">
        <v>0</v>
      </c>
      <c r="AN64" s="199">
        <v>0</v>
      </c>
      <c r="AO64" s="199">
        <v>0</v>
      </c>
      <c r="AP64" s="199">
        <v>0</v>
      </c>
      <c r="AQ64" s="199">
        <v>0</v>
      </c>
      <c r="AR64" s="199">
        <v>0</v>
      </c>
      <c r="AS64" s="199">
        <v>0</v>
      </c>
      <c r="AT64" s="199">
        <v>0</v>
      </c>
      <c r="AU64" s="199">
        <v>0</v>
      </c>
      <c r="AV64" s="199">
        <v>0</v>
      </c>
      <c r="AW64" s="199">
        <v>0</v>
      </c>
      <c r="AX64" s="199">
        <v>0</v>
      </c>
      <c r="AY64" s="199">
        <v>0</v>
      </c>
      <c r="AZ64" s="199">
        <v>0</v>
      </c>
      <c r="BA64" s="199">
        <v>0</v>
      </c>
      <c r="BB64" s="199">
        <v>0</v>
      </c>
      <c r="BC64" s="199">
        <v>0</v>
      </c>
    </row>
    <row r="65" spans="1:55" hidden="1" outlineLevel="1" x14ac:dyDescent="0.2">
      <c r="A65" s="36"/>
      <c r="B65" s="36"/>
      <c r="C65" s="162" t="str">
        <v>Asset 4</v>
      </c>
      <c r="D65"/>
      <c r="F65" s="199">
        <v>0</v>
      </c>
      <c r="G65" s="199">
        <v>0</v>
      </c>
      <c r="H65" s="199">
        <v>0</v>
      </c>
      <c r="I65" s="199">
        <v>0</v>
      </c>
      <c r="J65" s="199">
        <v>0</v>
      </c>
      <c r="K65" s="199">
        <v>0</v>
      </c>
      <c r="L65" s="199">
        <v>0</v>
      </c>
      <c r="M65" s="199">
        <v>0</v>
      </c>
      <c r="N65" s="199">
        <v>0</v>
      </c>
      <c r="O65" s="199">
        <v>0</v>
      </c>
      <c r="P65" s="199">
        <v>0</v>
      </c>
      <c r="Q65" s="199">
        <v>0</v>
      </c>
      <c r="R65" s="199">
        <v>0</v>
      </c>
      <c r="S65" s="199">
        <v>0</v>
      </c>
      <c r="T65" s="199">
        <v>0</v>
      </c>
      <c r="U65" s="199">
        <v>0</v>
      </c>
      <c r="V65" s="199">
        <v>0</v>
      </c>
      <c r="W65" s="199">
        <v>0</v>
      </c>
      <c r="X65" s="199">
        <v>0</v>
      </c>
      <c r="Y65" s="199">
        <v>0</v>
      </c>
      <c r="Z65" s="199">
        <v>0</v>
      </c>
      <c r="AA65" s="199">
        <v>0</v>
      </c>
      <c r="AB65" s="199">
        <v>0</v>
      </c>
      <c r="AC65" s="199">
        <v>0</v>
      </c>
      <c r="AD65" s="199">
        <v>0</v>
      </c>
      <c r="AE65" s="199">
        <v>0</v>
      </c>
      <c r="AF65" s="199">
        <v>0</v>
      </c>
      <c r="AG65" s="199">
        <v>0</v>
      </c>
      <c r="AH65" s="199">
        <v>0</v>
      </c>
      <c r="AI65" s="199">
        <v>0</v>
      </c>
      <c r="AJ65" s="199">
        <v>0</v>
      </c>
      <c r="AK65" s="199">
        <v>0</v>
      </c>
      <c r="AL65" s="199">
        <v>0</v>
      </c>
      <c r="AM65" s="199">
        <v>0</v>
      </c>
      <c r="AN65" s="199">
        <v>0</v>
      </c>
      <c r="AO65" s="199">
        <v>0</v>
      </c>
      <c r="AP65" s="199">
        <v>0</v>
      </c>
      <c r="AQ65" s="199">
        <v>0</v>
      </c>
      <c r="AR65" s="199">
        <v>0</v>
      </c>
      <c r="AS65" s="199">
        <v>0</v>
      </c>
      <c r="AT65" s="199">
        <v>0</v>
      </c>
      <c r="AU65" s="199">
        <v>0</v>
      </c>
      <c r="AV65" s="199">
        <v>0</v>
      </c>
      <c r="AW65" s="199">
        <v>0</v>
      </c>
      <c r="AX65" s="199">
        <v>0</v>
      </c>
      <c r="AY65" s="199">
        <v>0</v>
      </c>
      <c r="AZ65" s="199">
        <v>0</v>
      </c>
      <c r="BA65" s="199">
        <v>0</v>
      </c>
      <c r="BB65" s="199">
        <v>0</v>
      </c>
      <c r="BC65" s="199">
        <v>0</v>
      </c>
    </row>
    <row r="66" spans="1:55" hidden="1" outlineLevel="1" x14ac:dyDescent="0.2">
      <c r="A66" s="36"/>
      <c r="B66" s="36"/>
      <c r="C66" s="162" t="str">
        <v>Asset 5</v>
      </c>
      <c r="D66"/>
      <c r="F66" s="199">
        <v>0</v>
      </c>
      <c r="G66" s="199">
        <v>0</v>
      </c>
      <c r="H66" s="199">
        <v>0</v>
      </c>
      <c r="I66" s="199">
        <v>0</v>
      </c>
      <c r="J66" s="199">
        <v>0</v>
      </c>
      <c r="K66" s="199">
        <v>0</v>
      </c>
      <c r="L66" s="199">
        <v>0</v>
      </c>
      <c r="M66" s="199">
        <v>0</v>
      </c>
      <c r="N66" s="199">
        <v>0</v>
      </c>
      <c r="O66" s="199">
        <v>0</v>
      </c>
      <c r="P66" s="199">
        <v>0</v>
      </c>
      <c r="Q66" s="199">
        <v>0</v>
      </c>
      <c r="R66" s="199">
        <v>0</v>
      </c>
      <c r="S66" s="199">
        <v>0</v>
      </c>
      <c r="T66" s="199">
        <v>0</v>
      </c>
      <c r="U66" s="199">
        <v>0</v>
      </c>
      <c r="V66" s="199">
        <v>0</v>
      </c>
      <c r="W66" s="199">
        <v>0</v>
      </c>
      <c r="X66" s="199">
        <v>0</v>
      </c>
      <c r="Y66" s="199">
        <v>0</v>
      </c>
      <c r="Z66" s="199">
        <v>0</v>
      </c>
      <c r="AA66" s="199">
        <v>0</v>
      </c>
      <c r="AB66" s="199">
        <v>0</v>
      </c>
      <c r="AC66" s="199">
        <v>0</v>
      </c>
      <c r="AD66" s="199">
        <v>0</v>
      </c>
      <c r="AE66" s="199">
        <v>0</v>
      </c>
      <c r="AF66" s="199">
        <v>0</v>
      </c>
      <c r="AG66" s="199">
        <v>0</v>
      </c>
      <c r="AH66" s="199">
        <v>0</v>
      </c>
      <c r="AI66" s="199">
        <v>0</v>
      </c>
      <c r="AJ66" s="199">
        <v>0</v>
      </c>
      <c r="AK66" s="199">
        <v>0</v>
      </c>
      <c r="AL66" s="199">
        <v>0</v>
      </c>
      <c r="AM66" s="199">
        <v>0</v>
      </c>
      <c r="AN66" s="199">
        <v>0</v>
      </c>
      <c r="AO66" s="199">
        <v>0</v>
      </c>
      <c r="AP66" s="199">
        <v>0</v>
      </c>
      <c r="AQ66" s="199">
        <v>0</v>
      </c>
      <c r="AR66" s="199">
        <v>0</v>
      </c>
      <c r="AS66" s="199">
        <v>0</v>
      </c>
      <c r="AT66" s="199">
        <v>0</v>
      </c>
      <c r="AU66" s="199">
        <v>0</v>
      </c>
      <c r="AV66" s="199">
        <v>0</v>
      </c>
      <c r="AW66" s="199">
        <v>0</v>
      </c>
      <c r="AX66" s="199">
        <v>0</v>
      </c>
      <c r="AY66" s="199">
        <v>0</v>
      </c>
      <c r="AZ66" s="199">
        <v>0</v>
      </c>
      <c r="BA66" s="199">
        <v>0</v>
      </c>
      <c r="BB66" s="199">
        <v>0</v>
      </c>
      <c r="BC66" s="199">
        <v>0</v>
      </c>
    </row>
    <row r="67" spans="1:55" hidden="1" outlineLevel="1" x14ac:dyDescent="0.2">
      <c r="A67" s="36"/>
      <c r="B67" s="36"/>
      <c r="C67" s="162" t="str">
        <v>Portadora 3G</v>
      </c>
      <c r="D67"/>
      <c r="F67" s="199">
        <v>0</v>
      </c>
      <c r="G67" s="199">
        <v>0</v>
      </c>
      <c r="H67" s="199">
        <v>0</v>
      </c>
      <c r="I67" s="199">
        <v>0</v>
      </c>
      <c r="J67" s="199">
        <v>0</v>
      </c>
      <c r="K67" s="199">
        <v>0</v>
      </c>
      <c r="L67" s="199">
        <v>0</v>
      </c>
      <c r="M67" s="199">
        <v>2.8319607843137256</v>
      </c>
      <c r="N67" s="199">
        <v>1.4232291666666665</v>
      </c>
      <c r="O67" s="199">
        <v>1.4516666666666667</v>
      </c>
      <c r="P67" s="199">
        <v>1.393888888888889</v>
      </c>
      <c r="Q67" s="199">
        <v>1.4232291666666665</v>
      </c>
      <c r="R67" s="199">
        <v>1.4516666666666667</v>
      </c>
      <c r="S67" s="199">
        <v>1.393888888888889</v>
      </c>
      <c r="T67" s="199">
        <v>0</v>
      </c>
      <c r="U67" s="199">
        <v>0</v>
      </c>
      <c r="V67" s="199">
        <v>0</v>
      </c>
      <c r="W67" s="199">
        <v>0</v>
      </c>
      <c r="X67" s="199">
        <v>0</v>
      </c>
      <c r="Y67" s="199">
        <v>0</v>
      </c>
      <c r="Z67" s="199">
        <v>0</v>
      </c>
      <c r="AA67" s="199">
        <v>0</v>
      </c>
      <c r="AB67" s="199">
        <v>0</v>
      </c>
      <c r="AC67" s="199">
        <v>0</v>
      </c>
      <c r="AD67" s="199">
        <v>1E-3</v>
      </c>
      <c r="AE67" s="199">
        <v>5.0000000000000001E-4</v>
      </c>
      <c r="AF67" s="199">
        <v>5.0000000000000001E-4</v>
      </c>
      <c r="AG67" s="199">
        <v>0</v>
      </c>
      <c r="AH67" s="199">
        <v>0</v>
      </c>
      <c r="AI67" s="199">
        <v>0</v>
      </c>
      <c r="AJ67" s="199">
        <v>0</v>
      </c>
      <c r="AK67" s="199">
        <v>9.1</v>
      </c>
      <c r="AL67" s="199">
        <v>0</v>
      </c>
      <c r="AM67" s="199">
        <v>0</v>
      </c>
      <c r="AN67" s="199">
        <v>0</v>
      </c>
      <c r="AO67" s="199">
        <v>0</v>
      </c>
      <c r="AP67" s="199">
        <v>0</v>
      </c>
      <c r="AQ67" s="199">
        <v>0</v>
      </c>
      <c r="AR67" s="199">
        <v>0</v>
      </c>
      <c r="AS67" s="199">
        <v>0</v>
      </c>
      <c r="AT67" s="199">
        <v>0</v>
      </c>
      <c r="AU67" s="199">
        <v>0</v>
      </c>
      <c r="AV67" s="199">
        <v>0</v>
      </c>
      <c r="AW67" s="199">
        <v>0</v>
      </c>
      <c r="AX67" s="199">
        <v>0</v>
      </c>
      <c r="AY67" s="199">
        <v>0</v>
      </c>
      <c r="AZ67" s="199">
        <v>0</v>
      </c>
      <c r="BA67" s="199">
        <v>0</v>
      </c>
      <c r="BB67" s="199">
        <v>0</v>
      </c>
      <c r="BC67" s="199">
        <v>0</v>
      </c>
    </row>
    <row r="68" spans="1:55" hidden="1" outlineLevel="1" x14ac:dyDescent="0.2">
      <c r="A68" s="36"/>
      <c r="B68" s="36"/>
      <c r="C68" s="162" t="str">
        <v>Channel kit</v>
      </c>
      <c r="D68"/>
      <c r="F68" s="199">
        <v>0</v>
      </c>
      <c r="G68" s="199">
        <v>0</v>
      </c>
      <c r="H68" s="199">
        <v>0</v>
      </c>
      <c r="I68" s="199">
        <v>0</v>
      </c>
      <c r="J68" s="199">
        <v>0</v>
      </c>
      <c r="K68" s="199">
        <v>0</v>
      </c>
      <c r="L68" s="199">
        <v>0</v>
      </c>
      <c r="M68" s="199">
        <v>2.8319607843137256</v>
      </c>
      <c r="N68" s="199">
        <v>1.4232291666666665</v>
      </c>
      <c r="O68" s="199">
        <v>1.4516666666666667</v>
      </c>
      <c r="P68" s="199">
        <v>1.393888888888889</v>
      </c>
      <c r="Q68" s="199">
        <v>1.4232291666666665</v>
      </c>
      <c r="R68" s="199">
        <v>1.4516666666666667</v>
      </c>
      <c r="S68" s="199">
        <v>1.393888888888889</v>
      </c>
      <c r="T68" s="199">
        <v>0</v>
      </c>
      <c r="U68" s="199">
        <v>0</v>
      </c>
      <c r="V68" s="199">
        <v>0</v>
      </c>
      <c r="W68" s="199">
        <v>0</v>
      </c>
      <c r="X68" s="199">
        <v>0</v>
      </c>
      <c r="Y68" s="199">
        <v>0</v>
      </c>
      <c r="Z68" s="199">
        <v>0</v>
      </c>
      <c r="AA68" s="199">
        <v>0</v>
      </c>
      <c r="AB68" s="199">
        <v>0</v>
      </c>
      <c r="AC68" s="199">
        <v>0</v>
      </c>
      <c r="AD68" s="199">
        <v>1E-3</v>
      </c>
      <c r="AE68" s="199">
        <v>5.0000000000000001E-4</v>
      </c>
      <c r="AF68" s="199">
        <v>5.0000000000000001E-4</v>
      </c>
      <c r="AG68" s="199">
        <v>0</v>
      </c>
      <c r="AH68" s="199">
        <v>0</v>
      </c>
      <c r="AI68" s="199">
        <v>0</v>
      </c>
      <c r="AJ68" s="199">
        <v>0</v>
      </c>
      <c r="AK68" s="199">
        <v>9.1</v>
      </c>
      <c r="AL68" s="199">
        <v>0</v>
      </c>
      <c r="AM68" s="199">
        <v>0</v>
      </c>
      <c r="AN68" s="199">
        <v>0</v>
      </c>
      <c r="AO68" s="199">
        <v>0</v>
      </c>
      <c r="AP68" s="199">
        <v>0</v>
      </c>
      <c r="AQ68" s="199">
        <v>0</v>
      </c>
      <c r="AR68" s="199">
        <v>0</v>
      </c>
      <c r="AS68" s="199">
        <v>0</v>
      </c>
      <c r="AT68" s="199">
        <v>0</v>
      </c>
      <c r="AU68" s="199">
        <v>0</v>
      </c>
      <c r="AV68" s="199">
        <v>0</v>
      </c>
      <c r="AW68" s="199">
        <v>0</v>
      </c>
      <c r="AX68" s="199">
        <v>0</v>
      </c>
      <c r="AY68" s="199">
        <v>0</v>
      </c>
      <c r="AZ68" s="199">
        <v>0</v>
      </c>
      <c r="BA68" s="199">
        <v>0</v>
      </c>
      <c r="BB68" s="199">
        <v>0</v>
      </c>
      <c r="BC68" s="199">
        <v>0</v>
      </c>
    </row>
    <row r="69" spans="1:55" hidden="1" outlineLevel="1" x14ac:dyDescent="0.2">
      <c r="A69" s="36"/>
      <c r="B69" s="36"/>
      <c r="C69" s="162" t="str">
        <v>HSDPA salto a: 1.8</v>
      </c>
      <c r="D69"/>
      <c r="F69" s="199">
        <v>0</v>
      </c>
      <c r="G69" s="199">
        <v>0</v>
      </c>
      <c r="H69" s="199">
        <v>0</v>
      </c>
      <c r="I69" s="199">
        <v>0</v>
      </c>
      <c r="J69" s="199">
        <v>0</v>
      </c>
      <c r="K69" s="199">
        <v>0</v>
      </c>
      <c r="L69" s="199">
        <v>0</v>
      </c>
      <c r="M69" s="199">
        <v>0</v>
      </c>
      <c r="N69" s="199">
        <v>0</v>
      </c>
      <c r="O69" s="199">
        <v>0</v>
      </c>
      <c r="P69" s="199">
        <v>0</v>
      </c>
      <c r="Q69" s="199">
        <v>0</v>
      </c>
      <c r="R69" s="199">
        <v>0</v>
      </c>
      <c r="S69" s="199">
        <v>0</v>
      </c>
      <c r="T69" s="199">
        <v>0</v>
      </c>
      <c r="U69" s="199">
        <v>0</v>
      </c>
      <c r="V69" s="199">
        <v>0</v>
      </c>
      <c r="W69" s="199">
        <v>0</v>
      </c>
      <c r="X69" s="199">
        <v>0</v>
      </c>
      <c r="Y69" s="199">
        <v>0</v>
      </c>
      <c r="Z69" s="199">
        <v>0</v>
      </c>
      <c r="AA69" s="199">
        <v>0</v>
      </c>
      <c r="AB69" s="199">
        <v>0</v>
      </c>
      <c r="AC69" s="199">
        <v>0</v>
      </c>
      <c r="AD69" s="199">
        <v>0</v>
      </c>
      <c r="AE69" s="199">
        <v>0</v>
      </c>
      <c r="AF69" s="199">
        <v>1</v>
      </c>
      <c r="AG69" s="199">
        <v>0</v>
      </c>
      <c r="AH69" s="199">
        <v>0</v>
      </c>
      <c r="AI69" s="199">
        <v>0</v>
      </c>
      <c r="AJ69" s="199">
        <v>0</v>
      </c>
      <c r="AK69" s="199">
        <v>0</v>
      </c>
      <c r="AL69" s="199">
        <v>1</v>
      </c>
      <c r="AM69" s="199">
        <v>0</v>
      </c>
      <c r="AN69" s="199">
        <v>0</v>
      </c>
      <c r="AO69" s="199">
        <v>0</v>
      </c>
      <c r="AP69" s="199">
        <v>0</v>
      </c>
      <c r="AQ69" s="199">
        <v>0</v>
      </c>
      <c r="AR69" s="199">
        <v>0</v>
      </c>
      <c r="AS69" s="199">
        <v>0</v>
      </c>
      <c r="AT69" s="199">
        <v>0</v>
      </c>
      <c r="AU69" s="199">
        <v>0</v>
      </c>
      <c r="AV69" s="199">
        <v>0</v>
      </c>
      <c r="AW69" s="199">
        <v>0</v>
      </c>
      <c r="AX69" s="199">
        <v>0</v>
      </c>
      <c r="AY69" s="199">
        <v>0</v>
      </c>
      <c r="AZ69" s="199">
        <v>0</v>
      </c>
      <c r="BA69" s="199">
        <v>0</v>
      </c>
      <c r="BB69" s="199">
        <v>0</v>
      </c>
      <c r="BC69" s="199">
        <v>0</v>
      </c>
    </row>
    <row r="70" spans="1:55" hidden="1" outlineLevel="1" x14ac:dyDescent="0.2">
      <c r="A70" s="36"/>
      <c r="B70" s="36"/>
      <c r="C70" s="162" t="str">
        <v>HSDPA salto a: 3.6</v>
      </c>
      <c r="D70"/>
      <c r="F70" s="199">
        <v>0</v>
      </c>
      <c r="G70" s="199">
        <v>0</v>
      </c>
      <c r="H70" s="199">
        <v>0</v>
      </c>
      <c r="I70" s="199">
        <v>0</v>
      </c>
      <c r="J70" s="199">
        <v>0</v>
      </c>
      <c r="K70" s="199">
        <v>0</v>
      </c>
      <c r="L70" s="199">
        <v>0</v>
      </c>
      <c r="M70" s="199">
        <v>0</v>
      </c>
      <c r="N70" s="199">
        <v>0</v>
      </c>
      <c r="O70" s="199">
        <v>0</v>
      </c>
      <c r="P70" s="199">
        <v>0</v>
      </c>
      <c r="Q70" s="199">
        <v>0</v>
      </c>
      <c r="R70" s="199">
        <v>0</v>
      </c>
      <c r="S70" s="199">
        <v>0</v>
      </c>
      <c r="T70" s="199">
        <v>0</v>
      </c>
      <c r="U70" s="199">
        <v>0</v>
      </c>
      <c r="V70" s="199">
        <v>0</v>
      </c>
      <c r="W70" s="199">
        <v>0</v>
      </c>
      <c r="X70" s="199">
        <v>0</v>
      </c>
      <c r="Y70" s="199">
        <v>0</v>
      </c>
      <c r="Z70" s="199">
        <v>0</v>
      </c>
      <c r="AA70" s="199">
        <v>0</v>
      </c>
      <c r="AB70" s="199">
        <v>0</v>
      </c>
      <c r="AC70" s="199">
        <v>0</v>
      </c>
      <c r="AD70" s="199">
        <v>0</v>
      </c>
      <c r="AE70" s="199">
        <v>0</v>
      </c>
      <c r="AF70" s="199">
        <v>1</v>
      </c>
      <c r="AG70" s="199">
        <v>0</v>
      </c>
      <c r="AH70" s="199">
        <v>0</v>
      </c>
      <c r="AI70" s="199">
        <v>0</v>
      </c>
      <c r="AJ70" s="199">
        <v>0</v>
      </c>
      <c r="AK70" s="199">
        <v>0</v>
      </c>
      <c r="AL70" s="199">
        <v>1</v>
      </c>
      <c r="AM70" s="199">
        <v>0</v>
      </c>
      <c r="AN70" s="199">
        <v>0</v>
      </c>
      <c r="AO70" s="199">
        <v>0</v>
      </c>
      <c r="AP70" s="199">
        <v>0</v>
      </c>
      <c r="AQ70" s="199">
        <v>0</v>
      </c>
      <c r="AR70" s="199">
        <v>0</v>
      </c>
      <c r="AS70" s="199">
        <v>0</v>
      </c>
      <c r="AT70" s="199">
        <v>0</v>
      </c>
      <c r="AU70" s="199">
        <v>0</v>
      </c>
      <c r="AV70" s="199">
        <v>0</v>
      </c>
      <c r="AW70" s="199">
        <v>0</v>
      </c>
      <c r="AX70" s="199">
        <v>0</v>
      </c>
      <c r="AY70" s="199">
        <v>0</v>
      </c>
      <c r="AZ70" s="199">
        <v>0</v>
      </c>
      <c r="BA70" s="199">
        <v>0</v>
      </c>
      <c r="BB70" s="199">
        <v>0</v>
      </c>
      <c r="BC70" s="199">
        <v>0</v>
      </c>
    </row>
    <row r="71" spans="1:55" hidden="1" outlineLevel="1" x14ac:dyDescent="0.2">
      <c r="A71" s="36"/>
      <c r="B71" s="36"/>
      <c r="C71" s="162" t="str">
        <v>HSDPA salto a: 7.2</v>
      </c>
      <c r="D71"/>
      <c r="F71" s="199">
        <v>0</v>
      </c>
      <c r="G71" s="199">
        <v>0</v>
      </c>
      <c r="H71" s="199">
        <v>0</v>
      </c>
      <c r="I71" s="199">
        <v>0</v>
      </c>
      <c r="J71" s="199">
        <v>0</v>
      </c>
      <c r="K71" s="199">
        <v>0</v>
      </c>
      <c r="L71" s="199">
        <v>0</v>
      </c>
      <c r="M71" s="199">
        <v>0</v>
      </c>
      <c r="N71" s="199">
        <v>0</v>
      </c>
      <c r="O71" s="199">
        <v>0</v>
      </c>
      <c r="P71" s="199">
        <v>0</v>
      </c>
      <c r="Q71" s="199">
        <v>0</v>
      </c>
      <c r="R71" s="199">
        <v>0</v>
      </c>
      <c r="S71" s="199">
        <v>0</v>
      </c>
      <c r="T71" s="199">
        <v>0</v>
      </c>
      <c r="U71" s="199">
        <v>0</v>
      </c>
      <c r="V71" s="199">
        <v>0</v>
      </c>
      <c r="W71" s="199">
        <v>0</v>
      </c>
      <c r="X71" s="199">
        <v>0</v>
      </c>
      <c r="Y71" s="199">
        <v>0</v>
      </c>
      <c r="Z71" s="199">
        <v>0</v>
      </c>
      <c r="AA71" s="199">
        <v>0</v>
      </c>
      <c r="AB71" s="199">
        <v>0</v>
      </c>
      <c r="AC71" s="199">
        <v>0</v>
      </c>
      <c r="AD71" s="199">
        <v>0</v>
      </c>
      <c r="AE71" s="199">
        <v>0</v>
      </c>
      <c r="AF71" s="199">
        <v>1</v>
      </c>
      <c r="AG71" s="199">
        <v>0</v>
      </c>
      <c r="AH71" s="199">
        <v>0</v>
      </c>
      <c r="AI71" s="199">
        <v>0</v>
      </c>
      <c r="AJ71" s="199">
        <v>0</v>
      </c>
      <c r="AK71" s="199">
        <v>0</v>
      </c>
      <c r="AL71" s="199">
        <v>1</v>
      </c>
      <c r="AM71" s="199">
        <v>0</v>
      </c>
      <c r="AN71" s="199">
        <v>0</v>
      </c>
      <c r="AO71" s="199">
        <v>0</v>
      </c>
      <c r="AP71" s="199">
        <v>0</v>
      </c>
      <c r="AQ71" s="199">
        <v>0</v>
      </c>
      <c r="AR71" s="199">
        <v>0</v>
      </c>
      <c r="AS71" s="199">
        <v>0</v>
      </c>
      <c r="AT71" s="199">
        <v>0</v>
      </c>
      <c r="AU71" s="199">
        <v>0</v>
      </c>
      <c r="AV71" s="199">
        <v>0</v>
      </c>
      <c r="AW71" s="199">
        <v>0</v>
      </c>
      <c r="AX71" s="199">
        <v>0</v>
      </c>
      <c r="AY71" s="199">
        <v>0</v>
      </c>
      <c r="AZ71" s="199">
        <v>0</v>
      </c>
      <c r="BA71" s="199">
        <v>0</v>
      </c>
      <c r="BB71" s="199">
        <v>0</v>
      </c>
      <c r="BC71" s="199">
        <v>0</v>
      </c>
    </row>
    <row r="72" spans="1:55" hidden="1" outlineLevel="1" x14ac:dyDescent="0.2">
      <c r="A72" s="36"/>
      <c r="B72" s="36"/>
      <c r="C72" s="162" t="str">
        <v>HSDPA salto a: 10.1</v>
      </c>
      <c r="D72"/>
      <c r="F72" s="199">
        <v>0</v>
      </c>
      <c r="G72" s="199">
        <v>0</v>
      </c>
      <c r="H72" s="199">
        <v>0</v>
      </c>
      <c r="I72" s="199">
        <v>0</v>
      </c>
      <c r="J72" s="199">
        <v>0</v>
      </c>
      <c r="K72" s="199">
        <v>0</v>
      </c>
      <c r="L72" s="199">
        <v>0</v>
      </c>
      <c r="M72" s="199">
        <v>0</v>
      </c>
      <c r="N72" s="199">
        <v>0</v>
      </c>
      <c r="O72" s="199">
        <v>0</v>
      </c>
      <c r="P72" s="199">
        <v>0</v>
      </c>
      <c r="Q72" s="199">
        <v>0</v>
      </c>
      <c r="R72" s="199">
        <v>0</v>
      </c>
      <c r="S72" s="199">
        <v>0</v>
      </c>
      <c r="T72" s="199">
        <v>0</v>
      </c>
      <c r="U72" s="199">
        <v>0</v>
      </c>
      <c r="V72" s="199">
        <v>0</v>
      </c>
      <c r="W72" s="199">
        <v>0</v>
      </c>
      <c r="X72" s="199">
        <v>0</v>
      </c>
      <c r="Y72" s="199">
        <v>0</v>
      </c>
      <c r="Z72" s="199">
        <v>0</v>
      </c>
      <c r="AA72" s="199">
        <v>0</v>
      </c>
      <c r="AB72" s="199">
        <v>0</v>
      </c>
      <c r="AC72" s="199">
        <v>0</v>
      </c>
      <c r="AD72" s="199">
        <v>0</v>
      </c>
      <c r="AE72" s="199">
        <v>0</v>
      </c>
      <c r="AF72" s="199">
        <v>1</v>
      </c>
      <c r="AG72" s="199">
        <v>0</v>
      </c>
      <c r="AH72" s="199">
        <v>0</v>
      </c>
      <c r="AI72" s="199">
        <v>0</v>
      </c>
      <c r="AJ72" s="199">
        <v>0</v>
      </c>
      <c r="AK72" s="199">
        <v>0</v>
      </c>
      <c r="AL72" s="199">
        <v>1</v>
      </c>
      <c r="AM72" s="199">
        <v>0</v>
      </c>
      <c r="AN72" s="199">
        <v>0</v>
      </c>
      <c r="AO72" s="199">
        <v>0</v>
      </c>
      <c r="AP72" s="199">
        <v>0</v>
      </c>
      <c r="AQ72" s="199">
        <v>0</v>
      </c>
      <c r="AR72" s="199">
        <v>0</v>
      </c>
      <c r="AS72" s="199">
        <v>0</v>
      </c>
      <c r="AT72" s="199">
        <v>0</v>
      </c>
      <c r="AU72" s="199">
        <v>0</v>
      </c>
      <c r="AV72" s="199">
        <v>0</v>
      </c>
      <c r="AW72" s="199">
        <v>0</v>
      </c>
      <c r="AX72" s="199">
        <v>0</v>
      </c>
      <c r="AY72" s="199">
        <v>0</v>
      </c>
      <c r="AZ72" s="199">
        <v>0</v>
      </c>
      <c r="BA72" s="199">
        <v>0</v>
      </c>
      <c r="BB72" s="199">
        <v>0</v>
      </c>
      <c r="BC72" s="199">
        <v>0</v>
      </c>
    </row>
    <row r="73" spans="1:55" hidden="1" outlineLevel="1" x14ac:dyDescent="0.2">
      <c r="A73" s="36"/>
      <c r="B73" s="36"/>
      <c r="C73" s="162" t="str">
        <v>HSDPA salto a: 14.4</v>
      </c>
      <c r="D73"/>
      <c r="F73" s="199">
        <v>0</v>
      </c>
      <c r="G73" s="199">
        <v>0</v>
      </c>
      <c r="H73" s="199">
        <v>0</v>
      </c>
      <c r="I73" s="199">
        <v>0</v>
      </c>
      <c r="J73" s="199">
        <v>0</v>
      </c>
      <c r="K73" s="199">
        <v>0</v>
      </c>
      <c r="L73" s="199">
        <v>0</v>
      </c>
      <c r="M73" s="199">
        <v>0</v>
      </c>
      <c r="N73" s="199">
        <v>0</v>
      </c>
      <c r="O73" s="199">
        <v>0</v>
      </c>
      <c r="P73" s="199">
        <v>0</v>
      </c>
      <c r="Q73" s="199">
        <v>0</v>
      </c>
      <c r="R73" s="199">
        <v>0</v>
      </c>
      <c r="S73" s="199">
        <v>0</v>
      </c>
      <c r="T73" s="199">
        <v>0</v>
      </c>
      <c r="U73" s="199">
        <v>0</v>
      </c>
      <c r="V73" s="199">
        <v>0</v>
      </c>
      <c r="W73" s="199">
        <v>0</v>
      </c>
      <c r="X73" s="199">
        <v>0</v>
      </c>
      <c r="Y73" s="199">
        <v>0</v>
      </c>
      <c r="Z73" s="199">
        <v>0</v>
      </c>
      <c r="AA73" s="199">
        <v>0</v>
      </c>
      <c r="AB73" s="199">
        <v>0</v>
      </c>
      <c r="AC73" s="199">
        <v>0</v>
      </c>
      <c r="AD73" s="199">
        <v>0</v>
      </c>
      <c r="AE73" s="199">
        <v>0</v>
      </c>
      <c r="AF73" s="199">
        <v>1</v>
      </c>
      <c r="AG73" s="199">
        <v>0</v>
      </c>
      <c r="AH73" s="199">
        <v>0</v>
      </c>
      <c r="AI73" s="199">
        <v>0</v>
      </c>
      <c r="AJ73" s="199">
        <v>0</v>
      </c>
      <c r="AK73" s="199">
        <v>0</v>
      </c>
      <c r="AL73" s="199">
        <v>1</v>
      </c>
      <c r="AM73" s="199">
        <v>0</v>
      </c>
      <c r="AN73" s="199">
        <v>0</v>
      </c>
      <c r="AO73" s="199">
        <v>0</v>
      </c>
      <c r="AP73" s="199">
        <v>0</v>
      </c>
      <c r="AQ73" s="199">
        <v>0</v>
      </c>
      <c r="AR73" s="199">
        <v>0</v>
      </c>
      <c r="AS73" s="199">
        <v>0</v>
      </c>
      <c r="AT73" s="199">
        <v>0</v>
      </c>
      <c r="AU73" s="199">
        <v>0</v>
      </c>
      <c r="AV73" s="199">
        <v>0</v>
      </c>
      <c r="AW73" s="199">
        <v>0</v>
      </c>
      <c r="AX73" s="199">
        <v>0</v>
      </c>
      <c r="AY73" s="199">
        <v>0</v>
      </c>
      <c r="AZ73" s="199">
        <v>0</v>
      </c>
      <c r="BA73" s="199">
        <v>0</v>
      </c>
      <c r="BB73" s="199">
        <v>0</v>
      </c>
      <c r="BC73" s="199">
        <v>0</v>
      </c>
    </row>
    <row r="74" spans="1:55" hidden="1" outlineLevel="1" x14ac:dyDescent="0.2">
      <c r="A74" s="36"/>
      <c r="B74" s="36"/>
      <c r="C74" s="162" t="str">
        <v>HSDPA salto a: 21.1</v>
      </c>
      <c r="D74"/>
      <c r="F74" s="199">
        <v>0</v>
      </c>
      <c r="G74" s="199">
        <v>0</v>
      </c>
      <c r="H74" s="199">
        <v>0</v>
      </c>
      <c r="I74" s="199">
        <v>0</v>
      </c>
      <c r="J74" s="199">
        <v>0</v>
      </c>
      <c r="K74" s="199">
        <v>0</v>
      </c>
      <c r="L74" s="199">
        <v>0</v>
      </c>
      <c r="M74" s="199">
        <v>0</v>
      </c>
      <c r="N74" s="199">
        <v>0</v>
      </c>
      <c r="O74" s="199">
        <v>0</v>
      </c>
      <c r="P74" s="199">
        <v>0</v>
      </c>
      <c r="Q74" s="199">
        <v>0</v>
      </c>
      <c r="R74" s="199">
        <v>0</v>
      </c>
      <c r="S74" s="199">
        <v>0</v>
      </c>
      <c r="T74" s="199">
        <v>0</v>
      </c>
      <c r="U74" s="199">
        <v>0</v>
      </c>
      <c r="V74" s="199">
        <v>0</v>
      </c>
      <c r="W74" s="199">
        <v>0</v>
      </c>
      <c r="X74" s="199">
        <v>0</v>
      </c>
      <c r="Y74" s="199">
        <v>0</v>
      </c>
      <c r="Z74" s="199">
        <v>0</v>
      </c>
      <c r="AA74" s="199">
        <v>0</v>
      </c>
      <c r="AB74" s="199">
        <v>0</v>
      </c>
      <c r="AC74" s="199">
        <v>0</v>
      </c>
      <c r="AD74" s="199">
        <v>0</v>
      </c>
      <c r="AE74" s="199">
        <v>0</v>
      </c>
      <c r="AF74" s="199">
        <v>1</v>
      </c>
      <c r="AG74" s="199">
        <v>0</v>
      </c>
      <c r="AH74" s="199">
        <v>0</v>
      </c>
      <c r="AI74" s="199">
        <v>0</v>
      </c>
      <c r="AJ74" s="199">
        <v>0</v>
      </c>
      <c r="AK74" s="199">
        <v>0</v>
      </c>
      <c r="AL74" s="199">
        <v>1</v>
      </c>
      <c r="AM74" s="199">
        <v>0</v>
      </c>
      <c r="AN74" s="199">
        <v>0</v>
      </c>
      <c r="AO74" s="199">
        <v>0</v>
      </c>
      <c r="AP74" s="199">
        <v>0</v>
      </c>
      <c r="AQ74" s="199">
        <v>0</v>
      </c>
      <c r="AR74" s="199">
        <v>0</v>
      </c>
      <c r="AS74" s="199">
        <v>0</v>
      </c>
      <c r="AT74" s="199">
        <v>0</v>
      </c>
      <c r="AU74" s="199">
        <v>0</v>
      </c>
      <c r="AV74" s="199">
        <v>0</v>
      </c>
      <c r="AW74" s="199">
        <v>0</v>
      </c>
      <c r="AX74" s="199">
        <v>0</v>
      </c>
      <c r="AY74" s="199">
        <v>0</v>
      </c>
      <c r="AZ74" s="199">
        <v>0</v>
      </c>
      <c r="BA74" s="199">
        <v>0</v>
      </c>
      <c r="BB74" s="199">
        <v>0</v>
      </c>
      <c r="BC74" s="199">
        <v>0</v>
      </c>
    </row>
    <row r="75" spans="1:55" hidden="1" outlineLevel="1" x14ac:dyDescent="0.2">
      <c r="A75" s="36"/>
      <c r="B75" s="36"/>
      <c r="C75" s="162" t="str">
        <v>HSUPA salto a: 0.73</v>
      </c>
      <c r="D75"/>
      <c r="F75" s="199">
        <v>0</v>
      </c>
      <c r="G75" s="199">
        <v>0</v>
      </c>
      <c r="H75" s="199">
        <v>0</v>
      </c>
      <c r="I75" s="199">
        <v>0</v>
      </c>
      <c r="J75" s="199">
        <v>0</v>
      </c>
      <c r="K75" s="199">
        <v>0</v>
      </c>
      <c r="L75" s="199">
        <v>0</v>
      </c>
      <c r="M75" s="199">
        <v>0</v>
      </c>
      <c r="N75" s="199">
        <v>0</v>
      </c>
      <c r="O75" s="199">
        <v>0</v>
      </c>
      <c r="P75" s="199">
        <v>0</v>
      </c>
      <c r="Q75" s="199">
        <v>0</v>
      </c>
      <c r="R75" s="199">
        <v>0</v>
      </c>
      <c r="S75" s="199">
        <v>0</v>
      </c>
      <c r="T75" s="199">
        <v>0</v>
      </c>
      <c r="U75" s="199">
        <v>0</v>
      </c>
      <c r="V75" s="199">
        <v>0</v>
      </c>
      <c r="W75" s="199">
        <v>0</v>
      </c>
      <c r="X75" s="199">
        <v>0</v>
      </c>
      <c r="Y75" s="199">
        <v>0</v>
      </c>
      <c r="Z75" s="199">
        <v>0</v>
      </c>
      <c r="AA75" s="199">
        <v>0</v>
      </c>
      <c r="AB75" s="199">
        <v>0</v>
      </c>
      <c r="AC75" s="199">
        <v>0</v>
      </c>
      <c r="AD75" s="199">
        <v>0</v>
      </c>
      <c r="AE75" s="199">
        <v>0</v>
      </c>
      <c r="AF75" s="199">
        <v>0</v>
      </c>
      <c r="AG75" s="199">
        <v>1</v>
      </c>
      <c r="AH75" s="199">
        <v>0</v>
      </c>
      <c r="AI75" s="199">
        <v>0</v>
      </c>
      <c r="AJ75" s="199">
        <v>0</v>
      </c>
      <c r="AK75" s="199">
        <v>0</v>
      </c>
      <c r="AL75" s="199">
        <v>0</v>
      </c>
      <c r="AM75" s="199">
        <v>1</v>
      </c>
      <c r="AN75" s="199">
        <v>0</v>
      </c>
      <c r="AO75" s="199">
        <v>0</v>
      </c>
      <c r="AP75" s="199">
        <v>0</v>
      </c>
      <c r="AQ75" s="199">
        <v>0</v>
      </c>
      <c r="AR75" s="199">
        <v>0</v>
      </c>
      <c r="AS75" s="199">
        <v>0</v>
      </c>
      <c r="AT75" s="199">
        <v>0</v>
      </c>
      <c r="AU75" s="199">
        <v>0</v>
      </c>
      <c r="AV75" s="199">
        <v>0</v>
      </c>
      <c r="AW75" s="199">
        <v>0</v>
      </c>
      <c r="AX75" s="199">
        <v>0</v>
      </c>
      <c r="AY75" s="199">
        <v>0</v>
      </c>
      <c r="AZ75" s="199">
        <v>0</v>
      </c>
      <c r="BA75" s="199">
        <v>0</v>
      </c>
      <c r="BB75" s="199">
        <v>0</v>
      </c>
      <c r="BC75" s="199">
        <v>0</v>
      </c>
    </row>
    <row r="76" spans="1:55" hidden="1" outlineLevel="1" x14ac:dyDescent="0.2">
      <c r="A76" s="36"/>
      <c r="B76" s="36"/>
      <c r="C76" s="162" t="str">
        <v>HSUPA salto a: 1.46</v>
      </c>
      <c r="D76"/>
      <c r="F76" s="199">
        <v>0</v>
      </c>
      <c r="G76" s="199">
        <v>0</v>
      </c>
      <c r="H76" s="199">
        <v>0</v>
      </c>
      <c r="I76" s="199">
        <v>0</v>
      </c>
      <c r="J76" s="199">
        <v>0</v>
      </c>
      <c r="K76" s="199">
        <v>0</v>
      </c>
      <c r="L76" s="199">
        <v>0</v>
      </c>
      <c r="M76" s="199">
        <v>0</v>
      </c>
      <c r="N76" s="199">
        <v>0</v>
      </c>
      <c r="O76" s="199">
        <v>0</v>
      </c>
      <c r="P76" s="199">
        <v>0</v>
      </c>
      <c r="Q76" s="199">
        <v>0</v>
      </c>
      <c r="R76" s="199">
        <v>0</v>
      </c>
      <c r="S76" s="199">
        <v>0</v>
      </c>
      <c r="T76" s="199">
        <v>0</v>
      </c>
      <c r="U76" s="199">
        <v>0</v>
      </c>
      <c r="V76" s="199">
        <v>0</v>
      </c>
      <c r="W76" s="199">
        <v>0</v>
      </c>
      <c r="X76" s="199">
        <v>0</v>
      </c>
      <c r="Y76" s="199">
        <v>0</v>
      </c>
      <c r="Z76" s="199">
        <v>0</v>
      </c>
      <c r="AA76" s="199">
        <v>0</v>
      </c>
      <c r="AB76" s="199">
        <v>0</v>
      </c>
      <c r="AC76" s="199">
        <v>0</v>
      </c>
      <c r="AD76" s="199">
        <v>0</v>
      </c>
      <c r="AE76" s="199">
        <v>0</v>
      </c>
      <c r="AF76" s="199">
        <v>0</v>
      </c>
      <c r="AG76" s="199">
        <v>1</v>
      </c>
      <c r="AH76" s="199">
        <v>0</v>
      </c>
      <c r="AI76" s="199">
        <v>0</v>
      </c>
      <c r="AJ76" s="199">
        <v>0</v>
      </c>
      <c r="AK76" s="199">
        <v>0</v>
      </c>
      <c r="AL76" s="199">
        <v>0</v>
      </c>
      <c r="AM76" s="199">
        <v>1</v>
      </c>
      <c r="AN76" s="199">
        <v>0</v>
      </c>
      <c r="AO76" s="199">
        <v>0</v>
      </c>
      <c r="AP76" s="199">
        <v>0</v>
      </c>
      <c r="AQ76" s="199">
        <v>0</v>
      </c>
      <c r="AR76" s="199">
        <v>0</v>
      </c>
      <c r="AS76" s="199">
        <v>0</v>
      </c>
      <c r="AT76" s="199">
        <v>0</v>
      </c>
      <c r="AU76" s="199">
        <v>0</v>
      </c>
      <c r="AV76" s="199">
        <v>0</v>
      </c>
      <c r="AW76" s="199">
        <v>0</v>
      </c>
      <c r="AX76" s="199">
        <v>0</v>
      </c>
      <c r="AY76" s="199">
        <v>0</v>
      </c>
      <c r="AZ76" s="199">
        <v>0</v>
      </c>
      <c r="BA76" s="199">
        <v>0</v>
      </c>
      <c r="BB76" s="199">
        <v>0</v>
      </c>
      <c r="BC76" s="199">
        <v>0</v>
      </c>
    </row>
    <row r="77" spans="1:55" hidden="1" outlineLevel="1" x14ac:dyDescent="0.2">
      <c r="A77" s="36"/>
      <c r="B77" s="36"/>
      <c r="C77" s="162" t="str">
        <v>HSUPA salto a: 2</v>
      </c>
      <c r="D77"/>
      <c r="F77" s="199">
        <v>0</v>
      </c>
      <c r="G77" s="199">
        <v>0</v>
      </c>
      <c r="H77" s="199">
        <v>0</v>
      </c>
      <c r="I77" s="199">
        <v>0</v>
      </c>
      <c r="J77" s="199">
        <v>0</v>
      </c>
      <c r="K77" s="199">
        <v>0</v>
      </c>
      <c r="L77" s="199">
        <v>0</v>
      </c>
      <c r="M77" s="199">
        <v>0</v>
      </c>
      <c r="N77" s="199">
        <v>0</v>
      </c>
      <c r="O77" s="199">
        <v>0</v>
      </c>
      <c r="P77" s="199">
        <v>0</v>
      </c>
      <c r="Q77" s="199">
        <v>0</v>
      </c>
      <c r="R77" s="199">
        <v>0</v>
      </c>
      <c r="S77" s="199">
        <v>0</v>
      </c>
      <c r="T77" s="199">
        <v>0</v>
      </c>
      <c r="U77" s="199">
        <v>0</v>
      </c>
      <c r="V77" s="199">
        <v>0</v>
      </c>
      <c r="W77" s="199">
        <v>0</v>
      </c>
      <c r="X77" s="199">
        <v>0</v>
      </c>
      <c r="Y77" s="199">
        <v>0</v>
      </c>
      <c r="Z77" s="199">
        <v>0</v>
      </c>
      <c r="AA77" s="199">
        <v>0</v>
      </c>
      <c r="AB77" s="199">
        <v>0</v>
      </c>
      <c r="AC77" s="199">
        <v>0</v>
      </c>
      <c r="AD77" s="199">
        <v>0</v>
      </c>
      <c r="AE77" s="199">
        <v>0</v>
      </c>
      <c r="AF77" s="199">
        <v>0</v>
      </c>
      <c r="AG77" s="199">
        <v>1</v>
      </c>
      <c r="AH77" s="199">
        <v>0</v>
      </c>
      <c r="AI77" s="199">
        <v>0</v>
      </c>
      <c r="AJ77" s="199">
        <v>0</v>
      </c>
      <c r="AK77" s="199">
        <v>0</v>
      </c>
      <c r="AL77" s="199">
        <v>0</v>
      </c>
      <c r="AM77" s="199">
        <v>1</v>
      </c>
      <c r="AN77" s="199">
        <v>0</v>
      </c>
      <c r="AO77" s="199">
        <v>0</v>
      </c>
      <c r="AP77" s="199">
        <v>0</v>
      </c>
      <c r="AQ77" s="199">
        <v>0</v>
      </c>
      <c r="AR77" s="199">
        <v>0</v>
      </c>
      <c r="AS77" s="199">
        <v>0</v>
      </c>
      <c r="AT77" s="199">
        <v>0</v>
      </c>
      <c r="AU77" s="199">
        <v>0</v>
      </c>
      <c r="AV77" s="199">
        <v>0</v>
      </c>
      <c r="AW77" s="199">
        <v>0</v>
      </c>
      <c r="AX77" s="199">
        <v>0</v>
      </c>
      <c r="AY77" s="199">
        <v>0</v>
      </c>
      <c r="AZ77" s="199">
        <v>0</v>
      </c>
      <c r="BA77" s="199">
        <v>0</v>
      </c>
      <c r="BB77" s="199">
        <v>0</v>
      </c>
      <c r="BC77" s="199">
        <v>0</v>
      </c>
    </row>
    <row r="78" spans="1:55" hidden="1" outlineLevel="1" x14ac:dyDescent="0.2">
      <c r="A78" s="36"/>
      <c r="B78" s="36"/>
      <c r="C78" s="162" t="str">
        <v>HSUPA salto a: 2.93</v>
      </c>
      <c r="D78"/>
      <c r="F78" s="199">
        <v>0</v>
      </c>
      <c r="G78" s="199">
        <v>0</v>
      </c>
      <c r="H78" s="199">
        <v>0</v>
      </c>
      <c r="I78" s="199">
        <v>0</v>
      </c>
      <c r="J78" s="199">
        <v>0</v>
      </c>
      <c r="K78" s="199">
        <v>0</v>
      </c>
      <c r="L78" s="199">
        <v>0</v>
      </c>
      <c r="M78" s="199">
        <v>0</v>
      </c>
      <c r="N78" s="199">
        <v>0</v>
      </c>
      <c r="O78" s="199">
        <v>0</v>
      </c>
      <c r="P78" s="199">
        <v>0</v>
      </c>
      <c r="Q78" s="199">
        <v>0</v>
      </c>
      <c r="R78" s="199">
        <v>0</v>
      </c>
      <c r="S78" s="199">
        <v>0</v>
      </c>
      <c r="T78" s="199">
        <v>0</v>
      </c>
      <c r="U78" s="199">
        <v>0</v>
      </c>
      <c r="V78" s="199">
        <v>0</v>
      </c>
      <c r="W78" s="199">
        <v>0</v>
      </c>
      <c r="X78" s="199">
        <v>0</v>
      </c>
      <c r="Y78" s="199">
        <v>0</v>
      </c>
      <c r="Z78" s="199">
        <v>0</v>
      </c>
      <c r="AA78" s="199">
        <v>0</v>
      </c>
      <c r="AB78" s="199">
        <v>0</v>
      </c>
      <c r="AC78" s="199">
        <v>0</v>
      </c>
      <c r="AD78" s="199">
        <v>0</v>
      </c>
      <c r="AE78" s="199">
        <v>0</v>
      </c>
      <c r="AF78" s="199">
        <v>0</v>
      </c>
      <c r="AG78" s="199">
        <v>1</v>
      </c>
      <c r="AH78" s="199">
        <v>0</v>
      </c>
      <c r="AI78" s="199">
        <v>0</v>
      </c>
      <c r="AJ78" s="199">
        <v>0</v>
      </c>
      <c r="AK78" s="199">
        <v>0</v>
      </c>
      <c r="AL78" s="199">
        <v>0</v>
      </c>
      <c r="AM78" s="199">
        <v>1</v>
      </c>
      <c r="AN78" s="199">
        <v>0</v>
      </c>
      <c r="AO78" s="199">
        <v>0</v>
      </c>
      <c r="AP78" s="199">
        <v>0</v>
      </c>
      <c r="AQ78" s="199">
        <v>0</v>
      </c>
      <c r="AR78" s="199">
        <v>0</v>
      </c>
      <c r="AS78" s="199">
        <v>0</v>
      </c>
      <c r="AT78" s="199">
        <v>0</v>
      </c>
      <c r="AU78" s="199">
        <v>0</v>
      </c>
      <c r="AV78" s="199">
        <v>0</v>
      </c>
      <c r="AW78" s="199">
        <v>0</v>
      </c>
      <c r="AX78" s="199">
        <v>0</v>
      </c>
      <c r="AY78" s="199">
        <v>0</v>
      </c>
      <c r="AZ78" s="199">
        <v>0</v>
      </c>
      <c r="BA78" s="199">
        <v>0</v>
      </c>
      <c r="BB78" s="199">
        <v>0</v>
      </c>
      <c r="BC78" s="199">
        <v>0</v>
      </c>
    </row>
    <row r="79" spans="1:55" hidden="1" outlineLevel="1" x14ac:dyDescent="0.2">
      <c r="A79" s="36"/>
      <c r="B79" s="36"/>
      <c r="C79" s="162" t="str">
        <v>HSUPA salto a: 5.76</v>
      </c>
      <c r="D79"/>
      <c r="F79" s="199">
        <v>0</v>
      </c>
      <c r="G79" s="199">
        <v>0</v>
      </c>
      <c r="H79" s="199">
        <v>0</v>
      </c>
      <c r="I79" s="199">
        <v>0</v>
      </c>
      <c r="J79" s="199">
        <v>0</v>
      </c>
      <c r="K79" s="199">
        <v>0</v>
      </c>
      <c r="L79" s="199">
        <v>0</v>
      </c>
      <c r="M79" s="199">
        <v>0</v>
      </c>
      <c r="N79" s="199">
        <v>0</v>
      </c>
      <c r="O79" s="199">
        <v>0</v>
      </c>
      <c r="P79" s="199">
        <v>0</v>
      </c>
      <c r="Q79" s="199">
        <v>0</v>
      </c>
      <c r="R79" s="199">
        <v>0</v>
      </c>
      <c r="S79" s="199">
        <v>0</v>
      </c>
      <c r="T79" s="199">
        <v>0</v>
      </c>
      <c r="U79" s="199">
        <v>0</v>
      </c>
      <c r="V79" s="199">
        <v>0</v>
      </c>
      <c r="W79" s="199">
        <v>0</v>
      </c>
      <c r="X79" s="199">
        <v>0</v>
      </c>
      <c r="Y79" s="199">
        <v>0</v>
      </c>
      <c r="Z79" s="199">
        <v>0</v>
      </c>
      <c r="AA79" s="199">
        <v>0</v>
      </c>
      <c r="AB79" s="199">
        <v>0</v>
      </c>
      <c r="AC79" s="199">
        <v>0</v>
      </c>
      <c r="AD79" s="199">
        <v>0</v>
      </c>
      <c r="AE79" s="199">
        <v>0</v>
      </c>
      <c r="AF79" s="199">
        <v>0</v>
      </c>
      <c r="AG79" s="199">
        <v>1</v>
      </c>
      <c r="AH79" s="199">
        <v>0</v>
      </c>
      <c r="AI79" s="199">
        <v>0</v>
      </c>
      <c r="AJ79" s="199">
        <v>0</v>
      </c>
      <c r="AK79" s="199">
        <v>0</v>
      </c>
      <c r="AL79" s="199">
        <v>0</v>
      </c>
      <c r="AM79" s="199">
        <v>1</v>
      </c>
      <c r="AN79" s="199">
        <v>0</v>
      </c>
      <c r="AO79" s="199">
        <v>0</v>
      </c>
      <c r="AP79" s="199">
        <v>0</v>
      </c>
      <c r="AQ79" s="199">
        <v>0</v>
      </c>
      <c r="AR79" s="199">
        <v>0</v>
      </c>
      <c r="AS79" s="199">
        <v>0</v>
      </c>
      <c r="AT79" s="199">
        <v>0</v>
      </c>
      <c r="AU79" s="199">
        <v>0</v>
      </c>
      <c r="AV79" s="199">
        <v>0</v>
      </c>
      <c r="AW79" s="199">
        <v>0</v>
      </c>
      <c r="AX79" s="199">
        <v>0</v>
      </c>
      <c r="AY79" s="199">
        <v>0</v>
      </c>
      <c r="AZ79" s="199">
        <v>0</v>
      </c>
      <c r="BA79" s="199">
        <v>0</v>
      </c>
      <c r="BB79" s="199">
        <v>0</v>
      </c>
      <c r="BC79" s="199">
        <v>0</v>
      </c>
    </row>
    <row r="80" spans="1:55" hidden="1" outlineLevel="1" x14ac:dyDescent="0.2">
      <c r="A80" s="36"/>
      <c r="B80" s="36"/>
      <c r="C80" s="162" t="str">
        <v>HSUPA salto a: 11.5</v>
      </c>
      <c r="D80"/>
      <c r="F80" s="199">
        <v>0</v>
      </c>
      <c r="G80" s="199">
        <v>0</v>
      </c>
      <c r="H80" s="199">
        <v>0</v>
      </c>
      <c r="I80" s="199">
        <v>0</v>
      </c>
      <c r="J80" s="199">
        <v>0</v>
      </c>
      <c r="K80" s="199">
        <v>0</v>
      </c>
      <c r="L80" s="199">
        <v>0</v>
      </c>
      <c r="M80" s="199">
        <v>0</v>
      </c>
      <c r="N80" s="199">
        <v>0</v>
      </c>
      <c r="O80" s="199">
        <v>0</v>
      </c>
      <c r="P80" s="199">
        <v>0</v>
      </c>
      <c r="Q80" s="199">
        <v>0</v>
      </c>
      <c r="R80" s="199">
        <v>0</v>
      </c>
      <c r="S80" s="199">
        <v>0</v>
      </c>
      <c r="T80" s="199">
        <v>0</v>
      </c>
      <c r="U80" s="199">
        <v>0</v>
      </c>
      <c r="V80" s="199">
        <v>0</v>
      </c>
      <c r="W80" s="199">
        <v>0</v>
      </c>
      <c r="X80" s="199">
        <v>0</v>
      </c>
      <c r="Y80" s="199">
        <v>0</v>
      </c>
      <c r="Z80" s="199">
        <v>0</v>
      </c>
      <c r="AA80" s="199">
        <v>0</v>
      </c>
      <c r="AB80" s="199">
        <v>0</v>
      </c>
      <c r="AC80" s="199">
        <v>0</v>
      </c>
      <c r="AD80" s="199">
        <v>0</v>
      </c>
      <c r="AE80" s="199">
        <v>0</v>
      </c>
      <c r="AF80" s="199">
        <v>0</v>
      </c>
      <c r="AG80" s="199">
        <v>1</v>
      </c>
      <c r="AH80" s="199">
        <v>0</v>
      </c>
      <c r="AI80" s="199">
        <v>0</v>
      </c>
      <c r="AJ80" s="199">
        <v>0</v>
      </c>
      <c r="AK80" s="199">
        <v>0</v>
      </c>
      <c r="AL80" s="199">
        <v>0</v>
      </c>
      <c r="AM80" s="199">
        <v>1</v>
      </c>
      <c r="AN80" s="199">
        <v>0</v>
      </c>
      <c r="AO80" s="199">
        <v>0</v>
      </c>
      <c r="AP80" s="199">
        <v>0</v>
      </c>
      <c r="AQ80" s="199">
        <v>0</v>
      </c>
      <c r="AR80" s="199">
        <v>0</v>
      </c>
      <c r="AS80" s="199">
        <v>0</v>
      </c>
      <c r="AT80" s="199">
        <v>0</v>
      </c>
      <c r="AU80" s="199">
        <v>0</v>
      </c>
      <c r="AV80" s="199">
        <v>0</v>
      </c>
      <c r="AW80" s="199">
        <v>0</v>
      </c>
      <c r="AX80" s="199">
        <v>0</v>
      </c>
      <c r="AY80" s="199">
        <v>0</v>
      </c>
      <c r="AZ80" s="199">
        <v>0</v>
      </c>
      <c r="BA80" s="199">
        <v>0</v>
      </c>
      <c r="BB80" s="199">
        <v>0</v>
      </c>
      <c r="BC80" s="199">
        <v>0</v>
      </c>
    </row>
    <row r="81" spans="1:55" hidden="1" outlineLevel="1" x14ac:dyDescent="0.2">
      <c r="A81" s="36"/>
      <c r="B81" s="36"/>
      <c r="C81" s="162" t="str">
        <v>Asset 21</v>
      </c>
      <c r="D81"/>
      <c r="F81" s="199">
        <v>0</v>
      </c>
      <c r="G81" s="199">
        <v>0</v>
      </c>
      <c r="H81" s="199">
        <v>0</v>
      </c>
      <c r="I81" s="199">
        <v>0</v>
      </c>
      <c r="J81" s="199">
        <v>0</v>
      </c>
      <c r="K81" s="199">
        <v>0</v>
      </c>
      <c r="L81" s="199">
        <v>0</v>
      </c>
      <c r="M81" s="199">
        <v>0</v>
      </c>
      <c r="N81" s="199">
        <v>0</v>
      </c>
      <c r="O81" s="199">
        <v>0</v>
      </c>
      <c r="P81" s="199">
        <v>0</v>
      </c>
      <c r="Q81" s="199">
        <v>0</v>
      </c>
      <c r="R81" s="199">
        <v>0</v>
      </c>
      <c r="S81" s="199">
        <v>0</v>
      </c>
      <c r="T81" s="199">
        <v>0</v>
      </c>
      <c r="U81" s="199">
        <v>0</v>
      </c>
      <c r="V81" s="199">
        <v>0</v>
      </c>
      <c r="W81" s="199">
        <v>0</v>
      </c>
      <c r="X81" s="199">
        <v>0</v>
      </c>
      <c r="Y81" s="199">
        <v>0</v>
      </c>
      <c r="Z81" s="199">
        <v>0</v>
      </c>
      <c r="AA81" s="199">
        <v>0</v>
      </c>
      <c r="AB81" s="199">
        <v>0</v>
      </c>
      <c r="AC81" s="199">
        <v>0</v>
      </c>
      <c r="AD81" s="199">
        <v>0</v>
      </c>
      <c r="AE81" s="199">
        <v>0</v>
      </c>
      <c r="AF81" s="199">
        <v>0</v>
      </c>
      <c r="AG81" s="199">
        <v>0</v>
      </c>
      <c r="AH81" s="199">
        <v>0</v>
      </c>
      <c r="AI81" s="199">
        <v>0</v>
      </c>
      <c r="AJ81" s="199">
        <v>0</v>
      </c>
      <c r="AK81" s="199">
        <v>0</v>
      </c>
      <c r="AL81" s="199">
        <v>0</v>
      </c>
      <c r="AM81" s="199">
        <v>0</v>
      </c>
      <c r="AN81" s="199">
        <v>0</v>
      </c>
      <c r="AO81" s="199">
        <v>0</v>
      </c>
      <c r="AP81" s="199">
        <v>0</v>
      </c>
      <c r="AQ81" s="199">
        <v>0</v>
      </c>
      <c r="AR81" s="199">
        <v>0</v>
      </c>
      <c r="AS81" s="199">
        <v>0</v>
      </c>
      <c r="AT81" s="199">
        <v>0</v>
      </c>
      <c r="AU81" s="199">
        <v>0</v>
      </c>
      <c r="AV81" s="199">
        <v>0</v>
      </c>
      <c r="AW81" s="199">
        <v>0</v>
      </c>
      <c r="AX81" s="199">
        <v>0</v>
      </c>
      <c r="AY81" s="199">
        <v>0</v>
      </c>
      <c r="AZ81" s="199">
        <v>0</v>
      </c>
      <c r="BA81" s="199">
        <v>0</v>
      </c>
      <c r="BB81" s="199">
        <v>0</v>
      </c>
      <c r="BC81" s="199">
        <v>0</v>
      </c>
    </row>
    <row r="82" spans="1:55" hidden="1" outlineLevel="1" x14ac:dyDescent="0.2">
      <c r="A82" s="36"/>
      <c r="B82" s="36"/>
      <c r="C82" s="162" t="str">
        <v>Asset 22</v>
      </c>
      <c r="D82"/>
      <c r="F82" s="199">
        <v>0</v>
      </c>
      <c r="G82" s="199">
        <v>0</v>
      </c>
      <c r="H82" s="199">
        <v>0</v>
      </c>
      <c r="I82" s="199">
        <v>0</v>
      </c>
      <c r="J82" s="199">
        <v>0</v>
      </c>
      <c r="K82" s="199">
        <v>0</v>
      </c>
      <c r="L82" s="199">
        <v>0</v>
      </c>
      <c r="M82" s="199">
        <v>0</v>
      </c>
      <c r="N82" s="199">
        <v>0</v>
      </c>
      <c r="O82" s="199">
        <v>0</v>
      </c>
      <c r="P82" s="199">
        <v>0</v>
      </c>
      <c r="Q82" s="199">
        <v>0</v>
      </c>
      <c r="R82" s="199">
        <v>0</v>
      </c>
      <c r="S82" s="199">
        <v>0</v>
      </c>
      <c r="T82" s="199">
        <v>0</v>
      </c>
      <c r="U82" s="199">
        <v>0</v>
      </c>
      <c r="V82" s="199">
        <v>0</v>
      </c>
      <c r="W82" s="199">
        <v>0</v>
      </c>
      <c r="X82" s="199">
        <v>0</v>
      </c>
      <c r="Y82" s="199">
        <v>0</v>
      </c>
      <c r="Z82" s="199">
        <v>0</v>
      </c>
      <c r="AA82" s="199">
        <v>0</v>
      </c>
      <c r="AB82" s="199">
        <v>0</v>
      </c>
      <c r="AC82" s="199">
        <v>0</v>
      </c>
      <c r="AD82" s="199">
        <v>0</v>
      </c>
      <c r="AE82" s="199">
        <v>0</v>
      </c>
      <c r="AF82" s="199">
        <v>0</v>
      </c>
      <c r="AG82" s="199">
        <v>0</v>
      </c>
      <c r="AH82" s="199">
        <v>0</v>
      </c>
      <c r="AI82" s="199">
        <v>0</v>
      </c>
      <c r="AJ82" s="199">
        <v>0</v>
      </c>
      <c r="AK82" s="199">
        <v>0</v>
      </c>
      <c r="AL82" s="199">
        <v>0</v>
      </c>
      <c r="AM82" s="199">
        <v>0</v>
      </c>
      <c r="AN82" s="199">
        <v>0</v>
      </c>
      <c r="AO82" s="199">
        <v>0</v>
      </c>
      <c r="AP82" s="199">
        <v>0</v>
      </c>
      <c r="AQ82" s="199">
        <v>0</v>
      </c>
      <c r="AR82" s="199">
        <v>0</v>
      </c>
      <c r="AS82" s="199">
        <v>0</v>
      </c>
      <c r="AT82" s="199">
        <v>0</v>
      </c>
      <c r="AU82" s="199">
        <v>0</v>
      </c>
      <c r="AV82" s="199">
        <v>0</v>
      </c>
      <c r="AW82" s="199">
        <v>0</v>
      </c>
      <c r="AX82" s="199">
        <v>0</v>
      </c>
      <c r="AY82" s="199">
        <v>0</v>
      </c>
      <c r="AZ82" s="199">
        <v>0</v>
      </c>
      <c r="BA82" s="199">
        <v>0</v>
      </c>
      <c r="BB82" s="199">
        <v>0</v>
      </c>
      <c r="BC82" s="199">
        <v>0</v>
      </c>
    </row>
    <row r="83" spans="1:55" hidden="1" outlineLevel="1" x14ac:dyDescent="0.2">
      <c r="A83" s="36"/>
      <c r="B83" s="36"/>
      <c r="C83" s="162" t="str">
        <v>Portadora LTE</v>
      </c>
      <c r="D83"/>
      <c r="F83" s="199">
        <v>0</v>
      </c>
      <c r="G83" s="199">
        <v>0</v>
      </c>
      <c r="H83" s="199">
        <v>0</v>
      </c>
      <c r="I83" s="199">
        <v>0</v>
      </c>
      <c r="J83" s="199">
        <v>0</v>
      </c>
      <c r="K83" s="199">
        <v>0</v>
      </c>
      <c r="L83" s="199">
        <v>0</v>
      </c>
      <c r="M83" s="199">
        <v>0</v>
      </c>
      <c r="N83" s="199">
        <v>0</v>
      </c>
      <c r="O83" s="199">
        <v>0</v>
      </c>
      <c r="P83" s="199">
        <v>0</v>
      </c>
      <c r="Q83" s="199">
        <v>0</v>
      </c>
      <c r="R83" s="199">
        <v>0</v>
      </c>
      <c r="S83" s="199">
        <v>0</v>
      </c>
      <c r="T83" s="199">
        <v>2</v>
      </c>
      <c r="U83" s="199">
        <v>1</v>
      </c>
      <c r="V83" s="199">
        <v>1</v>
      </c>
      <c r="W83" s="199">
        <v>1</v>
      </c>
      <c r="X83" s="199">
        <v>1</v>
      </c>
      <c r="Y83" s="199">
        <v>1</v>
      </c>
      <c r="Z83" s="199">
        <v>1</v>
      </c>
      <c r="AA83" s="199">
        <v>0</v>
      </c>
      <c r="AB83" s="199">
        <v>0</v>
      </c>
      <c r="AC83" s="199">
        <v>0</v>
      </c>
      <c r="AD83" s="199">
        <v>0</v>
      </c>
      <c r="AE83" s="199">
        <v>0</v>
      </c>
      <c r="AF83" s="199">
        <v>0</v>
      </c>
      <c r="AG83" s="199">
        <v>2.8318024691358027E-5</v>
      </c>
      <c r="AH83" s="199">
        <v>1.4159012345679013E-5</v>
      </c>
      <c r="AI83" s="199">
        <v>1.4159012345679013E-5</v>
      </c>
      <c r="AJ83" s="199">
        <v>0</v>
      </c>
      <c r="AK83" s="199">
        <v>0</v>
      </c>
      <c r="AL83" s="199">
        <v>0</v>
      </c>
      <c r="AM83" s="199">
        <v>0</v>
      </c>
      <c r="AN83" s="199">
        <v>0.23598353909465022</v>
      </c>
      <c r="AO83" s="199">
        <v>0</v>
      </c>
      <c r="AP83" s="199">
        <v>0</v>
      </c>
      <c r="AQ83" s="199">
        <v>0</v>
      </c>
      <c r="AR83" s="199">
        <v>0</v>
      </c>
      <c r="AS83" s="199">
        <v>0</v>
      </c>
      <c r="AT83" s="199">
        <v>0</v>
      </c>
      <c r="AU83" s="199">
        <v>0</v>
      </c>
      <c r="AV83" s="199">
        <v>0</v>
      </c>
      <c r="AW83" s="199">
        <v>0</v>
      </c>
      <c r="AX83" s="199">
        <v>0</v>
      </c>
      <c r="AY83" s="199">
        <v>0</v>
      </c>
      <c r="AZ83" s="199">
        <v>0</v>
      </c>
      <c r="BA83" s="199">
        <v>0</v>
      </c>
      <c r="BB83" s="199">
        <v>0</v>
      </c>
      <c r="BC83" s="199">
        <v>0</v>
      </c>
    </row>
    <row r="84" spans="1:55" hidden="1" outlineLevel="1" x14ac:dyDescent="0.2">
      <c r="A84" s="36"/>
      <c r="B84" s="36"/>
      <c r="C84" s="162" t="str">
        <v>LTE salto a: 10.8</v>
      </c>
      <c r="D84"/>
      <c r="F84" s="199">
        <v>0</v>
      </c>
      <c r="G84" s="199">
        <v>0</v>
      </c>
      <c r="H84" s="199">
        <v>0</v>
      </c>
      <c r="I84" s="199">
        <v>0</v>
      </c>
      <c r="J84" s="199">
        <v>0</v>
      </c>
      <c r="K84" s="199">
        <v>0</v>
      </c>
      <c r="L84" s="199">
        <v>0</v>
      </c>
      <c r="M84" s="199">
        <v>0</v>
      </c>
      <c r="N84" s="199">
        <v>0</v>
      </c>
      <c r="O84" s="199">
        <v>0</v>
      </c>
      <c r="P84" s="199">
        <v>0</v>
      </c>
      <c r="Q84" s="199">
        <v>0</v>
      </c>
      <c r="R84" s="199">
        <v>0</v>
      </c>
      <c r="S84" s="199">
        <v>0</v>
      </c>
      <c r="T84" s="199">
        <v>2</v>
      </c>
      <c r="U84" s="199">
        <v>1</v>
      </c>
      <c r="V84" s="199">
        <v>1</v>
      </c>
      <c r="W84" s="199">
        <v>1</v>
      </c>
      <c r="X84" s="199">
        <v>1</v>
      </c>
      <c r="Y84" s="199">
        <v>1</v>
      </c>
      <c r="Z84" s="199">
        <v>1</v>
      </c>
      <c r="AA84" s="199">
        <v>0</v>
      </c>
      <c r="AB84" s="199">
        <v>0</v>
      </c>
      <c r="AC84" s="199">
        <v>0</v>
      </c>
      <c r="AD84" s="199">
        <v>0</v>
      </c>
      <c r="AE84" s="199">
        <v>0</v>
      </c>
      <c r="AF84" s="199">
        <v>0</v>
      </c>
      <c r="AG84" s="199">
        <v>2.8318024691358027E-5</v>
      </c>
      <c r="AH84" s="199">
        <v>1.4159012345679013E-5</v>
      </c>
      <c r="AI84" s="199">
        <v>1.4159012345679013E-5</v>
      </c>
      <c r="AJ84" s="199">
        <v>0</v>
      </c>
      <c r="AK84" s="199">
        <v>0</v>
      </c>
      <c r="AL84" s="199">
        <v>0</v>
      </c>
      <c r="AM84" s="199">
        <v>0</v>
      </c>
      <c r="AN84" s="199">
        <v>0.23598353909465022</v>
      </c>
      <c r="AO84" s="199">
        <v>0</v>
      </c>
      <c r="AP84" s="199">
        <v>0</v>
      </c>
      <c r="AQ84" s="199">
        <v>0</v>
      </c>
      <c r="AR84" s="199">
        <v>0</v>
      </c>
      <c r="AS84" s="199">
        <v>0</v>
      </c>
      <c r="AT84" s="199">
        <v>0</v>
      </c>
      <c r="AU84" s="199">
        <v>0</v>
      </c>
      <c r="AV84" s="199">
        <v>0</v>
      </c>
      <c r="AW84" s="199">
        <v>0</v>
      </c>
      <c r="AX84" s="199">
        <v>0</v>
      </c>
      <c r="AY84" s="199">
        <v>0</v>
      </c>
      <c r="AZ84" s="199">
        <v>0</v>
      </c>
      <c r="BA84" s="199">
        <v>0</v>
      </c>
      <c r="BB84" s="199">
        <v>0</v>
      </c>
      <c r="BC84" s="199">
        <v>0</v>
      </c>
    </row>
    <row r="85" spans="1:55" hidden="1" outlineLevel="1" x14ac:dyDescent="0.2">
      <c r="A85" s="36"/>
      <c r="B85" s="36"/>
      <c r="C85" s="162" t="str">
        <v>LTE salto a: 16.2</v>
      </c>
      <c r="D85"/>
      <c r="F85" s="199">
        <v>0</v>
      </c>
      <c r="G85" s="199">
        <v>0</v>
      </c>
      <c r="H85" s="199">
        <v>0</v>
      </c>
      <c r="I85" s="199">
        <v>0</v>
      </c>
      <c r="J85" s="199">
        <v>0</v>
      </c>
      <c r="K85" s="199">
        <v>0</v>
      </c>
      <c r="L85" s="199">
        <v>0</v>
      </c>
      <c r="M85" s="199">
        <v>0</v>
      </c>
      <c r="N85" s="199">
        <v>0</v>
      </c>
      <c r="O85" s="199">
        <v>0</v>
      </c>
      <c r="P85" s="199">
        <v>0</v>
      </c>
      <c r="Q85" s="199">
        <v>0</v>
      </c>
      <c r="R85" s="199">
        <v>0</v>
      </c>
      <c r="S85" s="199">
        <v>0</v>
      </c>
      <c r="T85" s="199">
        <v>2</v>
      </c>
      <c r="U85" s="199">
        <v>1</v>
      </c>
      <c r="V85" s="199">
        <v>1</v>
      </c>
      <c r="W85" s="199">
        <v>1</v>
      </c>
      <c r="X85" s="199">
        <v>1</v>
      </c>
      <c r="Y85" s="199">
        <v>1</v>
      </c>
      <c r="Z85" s="199">
        <v>1</v>
      </c>
      <c r="AA85" s="199">
        <v>0</v>
      </c>
      <c r="AB85" s="199">
        <v>0</v>
      </c>
      <c r="AC85" s="199">
        <v>0</v>
      </c>
      <c r="AD85" s="199">
        <v>0</v>
      </c>
      <c r="AE85" s="199">
        <v>0</v>
      </c>
      <c r="AF85" s="199">
        <v>0</v>
      </c>
      <c r="AG85" s="199">
        <v>2.8318024691358027E-5</v>
      </c>
      <c r="AH85" s="199">
        <v>1.4159012345679013E-5</v>
      </c>
      <c r="AI85" s="199">
        <v>1.4159012345679013E-5</v>
      </c>
      <c r="AJ85" s="199">
        <v>0</v>
      </c>
      <c r="AK85" s="199">
        <v>0</v>
      </c>
      <c r="AL85" s="199">
        <v>0</v>
      </c>
      <c r="AM85" s="199">
        <v>0</v>
      </c>
      <c r="AN85" s="199">
        <v>0.23598353909465022</v>
      </c>
      <c r="AO85" s="199">
        <v>0</v>
      </c>
      <c r="AP85" s="199">
        <v>0</v>
      </c>
      <c r="AQ85" s="199">
        <v>0</v>
      </c>
      <c r="AR85" s="199">
        <v>0</v>
      </c>
      <c r="AS85" s="199">
        <v>0</v>
      </c>
      <c r="AT85" s="199">
        <v>0</v>
      </c>
      <c r="AU85" s="199">
        <v>0</v>
      </c>
      <c r="AV85" s="199">
        <v>0</v>
      </c>
      <c r="AW85" s="199">
        <v>0</v>
      </c>
      <c r="AX85" s="199">
        <v>0</v>
      </c>
      <c r="AY85" s="199">
        <v>0</v>
      </c>
      <c r="AZ85" s="199">
        <v>0</v>
      </c>
      <c r="BA85" s="199">
        <v>0</v>
      </c>
      <c r="BB85" s="199">
        <v>0</v>
      </c>
      <c r="BC85" s="199">
        <v>0</v>
      </c>
    </row>
    <row r="86" spans="1:55" hidden="1" outlineLevel="1" x14ac:dyDescent="0.2">
      <c r="A86" s="36"/>
      <c r="B86" s="36"/>
      <c r="C86" s="162" t="str">
        <v>LTE salto a: 21.6</v>
      </c>
      <c r="D86"/>
      <c r="F86" s="199">
        <v>0</v>
      </c>
      <c r="G86" s="199">
        <v>0</v>
      </c>
      <c r="H86" s="199">
        <v>0</v>
      </c>
      <c r="I86" s="199">
        <v>0</v>
      </c>
      <c r="J86" s="199">
        <v>0</v>
      </c>
      <c r="K86" s="199">
        <v>0</v>
      </c>
      <c r="L86" s="199">
        <v>0</v>
      </c>
      <c r="M86" s="199">
        <v>0</v>
      </c>
      <c r="N86" s="199">
        <v>0</v>
      </c>
      <c r="O86" s="199">
        <v>0</v>
      </c>
      <c r="P86" s="199">
        <v>0</v>
      </c>
      <c r="Q86" s="199">
        <v>0</v>
      </c>
      <c r="R86" s="199">
        <v>0</v>
      </c>
      <c r="S86" s="199">
        <v>0</v>
      </c>
      <c r="T86" s="199">
        <v>2</v>
      </c>
      <c r="U86" s="199">
        <v>1</v>
      </c>
      <c r="V86" s="199">
        <v>1</v>
      </c>
      <c r="W86" s="199">
        <v>1</v>
      </c>
      <c r="X86" s="199">
        <v>1</v>
      </c>
      <c r="Y86" s="199">
        <v>1</v>
      </c>
      <c r="Z86" s="199">
        <v>1</v>
      </c>
      <c r="AA86" s="199">
        <v>0</v>
      </c>
      <c r="AB86" s="199">
        <v>0</v>
      </c>
      <c r="AC86" s="199">
        <v>0</v>
      </c>
      <c r="AD86" s="199">
        <v>0</v>
      </c>
      <c r="AE86" s="199">
        <v>0</v>
      </c>
      <c r="AF86" s="199">
        <v>0</v>
      </c>
      <c r="AG86" s="199">
        <v>2.8318024691358027E-5</v>
      </c>
      <c r="AH86" s="199">
        <v>1.4159012345679013E-5</v>
      </c>
      <c r="AI86" s="199">
        <v>1.4159012345679013E-5</v>
      </c>
      <c r="AJ86" s="199">
        <v>0</v>
      </c>
      <c r="AK86" s="199">
        <v>0</v>
      </c>
      <c r="AL86" s="199">
        <v>0</v>
      </c>
      <c r="AM86" s="199">
        <v>0</v>
      </c>
      <c r="AN86" s="199">
        <v>0.23598353909465022</v>
      </c>
      <c r="AO86" s="199">
        <v>0</v>
      </c>
      <c r="AP86" s="199">
        <v>0</v>
      </c>
      <c r="AQ86" s="199">
        <v>0</v>
      </c>
      <c r="AR86" s="199">
        <v>0</v>
      </c>
      <c r="AS86" s="199">
        <v>0</v>
      </c>
      <c r="AT86" s="199">
        <v>0</v>
      </c>
      <c r="AU86" s="199">
        <v>0</v>
      </c>
      <c r="AV86" s="199">
        <v>0</v>
      </c>
      <c r="AW86" s="199">
        <v>0</v>
      </c>
      <c r="AX86" s="199">
        <v>0</v>
      </c>
      <c r="AY86" s="199">
        <v>0</v>
      </c>
      <c r="AZ86" s="199">
        <v>0</v>
      </c>
      <c r="BA86" s="199">
        <v>0</v>
      </c>
      <c r="BB86" s="199">
        <v>0</v>
      </c>
      <c r="BC86" s="199">
        <v>0</v>
      </c>
    </row>
    <row r="87" spans="1:55" hidden="1" outlineLevel="1" x14ac:dyDescent="0.2">
      <c r="A87" s="36"/>
      <c r="B87" s="36"/>
      <c r="C87" s="162" t="str">
        <v>LTE salto a: 32.4</v>
      </c>
      <c r="D87"/>
      <c r="F87" s="199">
        <v>0</v>
      </c>
      <c r="G87" s="199">
        <v>0</v>
      </c>
      <c r="H87" s="199">
        <v>0</v>
      </c>
      <c r="I87" s="199">
        <v>0</v>
      </c>
      <c r="J87" s="199">
        <v>0</v>
      </c>
      <c r="K87" s="199">
        <v>0</v>
      </c>
      <c r="L87" s="199">
        <v>0</v>
      </c>
      <c r="M87" s="199">
        <v>0</v>
      </c>
      <c r="N87" s="199">
        <v>0</v>
      </c>
      <c r="O87" s="199">
        <v>0</v>
      </c>
      <c r="P87" s="199">
        <v>0</v>
      </c>
      <c r="Q87" s="199">
        <v>0</v>
      </c>
      <c r="R87" s="199">
        <v>0</v>
      </c>
      <c r="S87" s="199">
        <v>0</v>
      </c>
      <c r="T87" s="199">
        <v>2</v>
      </c>
      <c r="U87" s="199">
        <v>1</v>
      </c>
      <c r="V87" s="199">
        <v>1</v>
      </c>
      <c r="W87" s="199">
        <v>1</v>
      </c>
      <c r="X87" s="199">
        <v>1</v>
      </c>
      <c r="Y87" s="199">
        <v>1</v>
      </c>
      <c r="Z87" s="199">
        <v>1</v>
      </c>
      <c r="AA87" s="199">
        <v>0</v>
      </c>
      <c r="AB87" s="199">
        <v>0</v>
      </c>
      <c r="AC87" s="199">
        <v>0</v>
      </c>
      <c r="AD87" s="199">
        <v>0</v>
      </c>
      <c r="AE87" s="199">
        <v>0</v>
      </c>
      <c r="AF87" s="199">
        <v>0</v>
      </c>
      <c r="AG87" s="199">
        <v>2.8318024691358027E-5</v>
      </c>
      <c r="AH87" s="199">
        <v>1.4159012345679013E-5</v>
      </c>
      <c r="AI87" s="199">
        <v>1.4159012345679013E-5</v>
      </c>
      <c r="AJ87" s="199">
        <v>0</v>
      </c>
      <c r="AK87" s="199">
        <v>0</v>
      </c>
      <c r="AL87" s="199">
        <v>0</v>
      </c>
      <c r="AM87" s="199">
        <v>0</v>
      </c>
      <c r="AN87" s="199">
        <v>0.23598353909465022</v>
      </c>
      <c r="AO87" s="199">
        <v>0</v>
      </c>
      <c r="AP87" s="199">
        <v>0</v>
      </c>
      <c r="AQ87" s="199">
        <v>0</v>
      </c>
      <c r="AR87" s="199">
        <v>0</v>
      </c>
      <c r="AS87" s="199">
        <v>0</v>
      </c>
      <c r="AT87" s="199">
        <v>0</v>
      </c>
      <c r="AU87" s="199">
        <v>0</v>
      </c>
      <c r="AV87" s="199">
        <v>0</v>
      </c>
      <c r="AW87" s="199">
        <v>0</v>
      </c>
      <c r="AX87" s="199">
        <v>0</v>
      </c>
      <c r="AY87" s="199">
        <v>0</v>
      </c>
      <c r="AZ87" s="199">
        <v>0</v>
      </c>
      <c r="BA87" s="199">
        <v>0</v>
      </c>
      <c r="BB87" s="199">
        <v>0</v>
      </c>
      <c r="BC87" s="199">
        <v>0</v>
      </c>
    </row>
    <row r="88" spans="1:55" hidden="1" outlineLevel="1" x14ac:dyDescent="0.2">
      <c r="A88" s="36"/>
      <c r="B88" s="36"/>
      <c r="C88" s="162" t="str">
        <v>LTE salto a: 43.2</v>
      </c>
      <c r="D88"/>
      <c r="F88" s="199">
        <v>0</v>
      </c>
      <c r="G88" s="199">
        <v>0</v>
      </c>
      <c r="H88" s="199">
        <v>0</v>
      </c>
      <c r="I88" s="199">
        <v>0</v>
      </c>
      <c r="J88" s="199">
        <v>0</v>
      </c>
      <c r="K88" s="199">
        <v>0</v>
      </c>
      <c r="L88" s="199">
        <v>0</v>
      </c>
      <c r="M88" s="199">
        <v>0</v>
      </c>
      <c r="N88" s="199">
        <v>0</v>
      </c>
      <c r="O88" s="199">
        <v>0</v>
      </c>
      <c r="P88" s="199">
        <v>0</v>
      </c>
      <c r="Q88" s="199">
        <v>0</v>
      </c>
      <c r="R88" s="199">
        <v>0</v>
      </c>
      <c r="S88" s="199">
        <v>0</v>
      </c>
      <c r="T88" s="199">
        <v>2</v>
      </c>
      <c r="U88" s="199">
        <v>1</v>
      </c>
      <c r="V88" s="199">
        <v>1</v>
      </c>
      <c r="W88" s="199">
        <v>1</v>
      </c>
      <c r="X88" s="199">
        <v>1</v>
      </c>
      <c r="Y88" s="199">
        <v>1</v>
      </c>
      <c r="Z88" s="199">
        <v>1</v>
      </c>
      <c r="AA88" s="199">
        <v>0</v>
      </c>
      <c r="AB88" s="199">
        <v>0</v>
      </c>
      <c r="AC88" s="199">
        <v>0</v>
      </c>
      <c r="AD88" s="199">
        <v>0</v>
      </c>
      <c r="AE88" s="199">
        <v>0</v>
      </c>
      <c r="AF88" s="199">
        <v>0</v>
      </c>
      <c r="AG88" s="199">
        <v>2.8318024691358027E-5</v>
      </c>
      <c r="AH88" s="199">
        <v>1.4159012345679013E-5</v>
      </c>
      <c r="AI88" s="199">
        <v>1.4159012345679013E-5</v>
      </c>
      <c r="AJ88" s="199">
        <v>0</v>
      </c>
      <c r="AK88" s="199">
        <v>0</v>
      </c>
      <c r="AL88" s="199">
        <v>0</v>
      </c>
      <c r="AM88" s="199">
        <v>0</v>
      </c>
      <c r="AN88" s="199">
        <v>0.23598353909465022</v>
      </c>
      <c r="AO88" s="199">
        <v>0</v>
      </c>
      <c r="AP88" s="199">
        <v>0</v>
      </c>
      <c r="AQ88" s="199">
        <v>0</v>
      </c>
      <c r="AR88" s="199">
        <v>0</v>
      </c>
      <c r="AS88" s="199">
        <v>0</v>
      </c>
      <c r="AT88" s="199">
        <v>0</v>
      </c>
      <c r="AU88" s="199">
        <v>0</v>
      </c>
      <c r="AV88" s="199">
        <v>0</v>
      </c>
      <c r="AW88" s="199">
        <v>0</v>
      </c>
      <c r="AX88" s="199">
        <v>0</v>
      </c>
      <c r="AY88" s="199">
        <v>0</v>
      </c>
      <c r="AZ88" s="199">
        <v>0</v>
      </c>
      <c r="BA88" s="199">
        <v>0</v>
      </c>
      <c r="BB88" s="199">
        <v>0</v>
      </c>
      <c r="BC88" s="199">
        <v>0</v>
      </c>
    </row>
    <row r="89" spans="1:55" hidden="1" outlineLevel="1" x14ac:dyDescent="0.2">
      <c r="A89" s="36"/>
      <c r="B89" s="36"/>
      <c r="C89" s="162" t="str">
        <v>LTE salto a: 86.4</v>
      </c>
      <c r="D89"/>
      <c r="F89" s="199">
        <v>0</v>
      </c>
      <c r="G89" s="199">
        <v>0</v>
      </c>
      <c r="H89" s="199">
        <v>0</v>
      </c>
      <c r="I89" s="199">
        <v>0</v>
      </c>
      <c r="J89" s="199">
        <v>0</v>
      </c>
      <c r="K89" s="199">
        <v>0</v>
      </c>
      <c r="L89" s="199">
        <v>0</v>
      </c>
      <c r="M89" s="199">
        <v>0</v>
      </c>
      <c r="N89" s="199">
        <v>0</v>
      </c>
      <c r="O89" s="199">
        <v>0</v>
      </c>
      <c r="P89" s="199">
        <v>0</v>
      </c>
      <c r="Q89" s="199">
        <v>0</v>
      </c>
      <c r="R89" s="199">
        <v>0</v>
      </c>
      <c r="S89" s="199">
        <v>0</v>
      </c>
      <c r="T89" s="199">
        <v>2</v>
      </c>
      <c r="U89" s="199">
        <v>1</v>
      </c>
      <c r="V89" s="199">
        <v>1</v>
      </c>
      <c r="W89" s="199">
        <v>1</v>
      </c>
      <c r="X89" s="199">
        <v>1</v>
      </c>
      <c r="Y89" s="199">
        <v>1</v>
      </c>
      <c r="Z89" s="199">
        <v>1</v>
      </c>
      <c r="AA89" s="199">
        <v>0</v>
      </c>
      <c r="AB89" s="199">
        <v>0</v>
      </c>
      <c r="AC89" s="199">
        <v>0</v>
      </c>
      <c r="AD89" s="199">
        <v>0</v>
      </c>
      <c r="AE89" s="199">
        <v>0</v>
      </c>
      <c r="AF89" s="199">
        <v>0</v>
      </c>
      <c r="AG89" s="199">
        <v>2.8318024691358027E-5</v>
      </c>
      <c r="AH89" s="199">
        <v>1.4159012345679013E-5</v>
      </c>
      <c r="AI89" s="199">
        <v>1.4159012345679013E-5</v>
      </c>
      <c r="AJ89" s="199">
        <v>0</v>
      </c>
      <c r="AK89" s="199">
        <v>0</v>
      </c>
      <c r="AL89" s="199">
        <v>0</v>
      </c>
      <c r="AM89" s="199">
        <v>0</v>
      </c>
      <c r="AN89" s="199">
        <v>0.23598353909465022</v>
      </c>
      <c r="AO89" s="199">
        <v>0</v>
      </c>
      <c r="AP89" s="199">
        <v>0</v>
      </c>
      <c r="AQ89" s="199">
        <v>0</v>
      </c>
      <c r="AR89" s="199">
        <v>0</v>
      </c>
      <c r="AS89" s="199">
        <v>0</v>
      </c>
      <c r="AT89" s="199">
        <v>0</v>
      </c>
      <c r="AU89" s="199">
        <v>0</v>
      </c>
      <c r="AV89" s="199">
        <v>0</v>
      </c>
      <c r="AW89" s="199">
        <v>0</v>
      </c>
      <c r="AX89" s="199">
        <v>0</v>
      </c>
      <c r="AY89" s="199">
        <v>0</v>
      </c>
      <c r="AZ89" s="199">
        <v>0</v>
      </c>
      <c r="BA89" s="199">
        <v>0</v>
      </c>
      <c r="BB89" s="199">
        <v>0</v>
      </c>
      <c r="BC89" s="199">
        <v>0</v>
      </c>
    </row>
    <row r="90" spans="1:55" hidden="1" outlineLevel="1" x14ac:dyDescent="0.2">
      <c r="A90" s="36"/>
      <c r="B90" s="36"/>
      <c r="C90" s="162" t="str">
        <v>Estación base Single RAN - macro</v>
      </c>
      <c r="D90"/>
      <c r="F90" s="199">
        <v>2.1784313725490194</v>
      </c>
      <c r="G90" s="199">
        <v>1.0947916666666666</v>
      </c>
      <c r="H90" s="199">
        <v>1.1166666666666667</v>
      </c>
      <c r="I90" s="199">
        <v>1.0722222222222222</v>
      </c>
      <c r="J90" s="199">
        <v>1.0947916666666666</v>
      </c>
      <c r="K90" s="199">
        <v>1.1166666666666667</v>
      </c>
      <c r="L90" s="199">
        <v>1.0722222222222222</v>
      </c>
      <c r="M90" s="199">
        <v>2.8319607843137256</v>
      </c>
      <c r="N90" s="199">
        <v>1.4232291666666665</v>
      </c>
      <c r="O90" s="199">
        <v>1.4516666666666667</v>
      </c>
      <c r="P90" s="199">
        <v>1.393888888888889</v>
      </c>
      <c r="Q90" s="199">
        <v>1.4232291666666665</v>
      </c>
      <c r="R90" s="199">
        <v>1.4516666666666667</v>
      </c>
      <c r="S90" s="199">
        <v>1.393888888888889</v>
      </c>
      <c r="T90" s="199">
        <v>2</v>
      </c>
      <c r="U90" s="199">
        <v>1</v>
      </c>
      <c r="V90" s="199">
        <v>1</v>
      </c>
      <c r="W90" s="199">
        <v>1</v>
      </c>
      <c r="X90" s="199">
        <v>1</v>
      </c>
      <c r="Y90" s="199">
        <v>1</v>
      </c>
      <c r="Z90" s="199">
        <v>1</v>
      </c>
      <c r="AA90" s="199">
        <v>2.6075619295958278E-3</v>
      </c>
      <c r="AB90" s="199">
        <v>1.3037809647979139E-3</v>
      </c>
      <c r="AC90" s="199">
        <v>1.3037809647979139E-3</v>
      </c>
      <c r="AD90" s="199">
        <v>1E-3</v>
      </c>
      <c r="AE90" s="199">
        <v>5.0000000000000001E-4</v>
      </c>
      <c r="AF90" s="199">
        <v>5.0000000000000001E-4</v>
      </c>
      <c r="AG90" s="199">
        <v>2.8318024691358027E-5</v>
      </c>
      <c r="AH90" s="199">
        <v>1.4159012345679013E-5</v>
      </c>
      <c r="AI90" s="199">
        <v>1.4159012345679013E-5</v>
      </c>
      <c r="AJ90" s="199">
        <v>4.4600888888888894</v>
      </c>
      <c r="AK90" s="199">
        <v>9.1</v>
      </c>
      <c r="AL90" s="199">
        <v>0.45295418641390212</v>
      </c>
      <c r="AM90" s="199">
        <v>0</v>
      </c>
      <c r="AN90" s="199">
        <v>0.23598353909465022</v>
      </c>
      <c r="AO90" s="199">
        <v>0</v>
      </c>
      <c r="AP90" s="199">
        <v>0</v>
      </c>
      <c r="AQ90" s="199">
        <v>0</v>
      </c>
      <c r="AR90" s="199">
        <v>0</v>
      </c>
      <c r="AS90" s="199">
        <v>0</v>
      </c>
      <c r="AT90" s="199">
        <v>0</v>
      </c>
      <c r="AU90" s="199">
        <v>0</v>
      </c>
      <c r="AV90" s="199">
        <v>0</v>
      </c>
      <c r="AW90" s="199">
        <v>0</v>
      </c>
      <c r="AX90" s="199">
        <v>0</v>
      </c>
      <c r="AY90" s="199">
        <v>0</v>
      </c>
      <c r="AZ90" s="199">
        <v>0</v>
      </c>
      <c r="BA90" s="199">
        <v>0</v>
      </c>
      <c r="BB90" s="199">
        <v>0</v>
      </c>
      <c r="BC90" s="199">
        <v>0</v>
      </c>
    </row>
    <row r="91" spans="1:55" hidden="1" outlineLevel="1" x14ac:dyDescent="0.2">
      <c r="A91" s="36"/>
      <c r="B91" s="36"/>
      <c r="C91" s="162" t="str">
        <v>Estación base Single RAN - micro</v>
      </c>
      <c r="D91"/>
      <c r="F91" s="199">
        <v>2.1784313725490194</v>
      </c>
      <c r="G91" s="199">
        <v>1.0947916666666666</v>
      </c>
      <c r="H91" s="199">
        <v>1.1166666666666667</v>
      </c>
      <c r="I91" s="199">
        <v>1.0722222222222222</v>
      </c>
      <c r="J91" s="199">
        <v>1.0947916666666666</v>
      </c>
      <c r="K91" s="199">
        <v>1.1166666666666667</v>
      </c>
      <c r="L91" s="199">
        <v>1.0722222222222222</v>
      </c>
      <c r="M91" s="199">
        <v>2.8319607843137256</v>
      </c>
      <c r="N91" s="199">
        <v>1.4232291666666665</v>
      </c>
      <c r="O91" s="199">
        <v>1.4516666666666667</v>
      </c>
      <c r="P91" s="199">
        <v>1.393888888888889</v>
      </c>
      <c r="Q91" s="199">
        <v>1.4232291666666665</v>
      </c>
      <c r="R91" s="199">
        <v>1.4516666666666667</v>
      </c>
      <c r="S91" s="199">
        <v>1.393888888888889</v>
      </c>
      <c r="T91" s="199">
        <v>2</v>
      </c>
      <c r="U91" s="199">
        <v>1</v>
      </c>
      <c r="V91" s="199">
        <v>1</v>
      </c>
      <c r="W91" s="199">
        <v>1</v>
      </c>
      <c r="X91" s="199">
        <v>1</v>
      </c>
      <c r="Y91" s="199">
        <v>1</v>
      </c>
      <c r="Z91" s="199">
        <v>1</v>
      </c>
      <c r="AA91" s="199">
        <v>2.6075619295958278E-3</v>
      </c>
      <c r="AB91" s="199">
        <v>1.3037809647979139E-3</v>
      </c>
      <c r="AC91" s="199">
        <v>1.3037809647979139E-3</v>
      </c>
      <c r="AD91" s="199">
        <v>1E-3</v>
      </c>
      <c r="AE91" s="199">
        <v>5.0000000000000001E-4</v>
      </c>
      <c r="AF91" s="199">
        <v>5.0000000000000001E-4</v>
      </c>
      <c r="AG91" s="199">
        <v>2.8318024691358027E-5</v>
      </c>
      <c r="AH91" s="199">
        <v>1.4159012345679013E-5</v>
      </c>
      <c r="AI91" s="199">
        <v>1.4159012345679013E-5</v>
      </c>
      <c r="AJ91" s="199">
        <v>4.4600888888888894</v>
      </c>
      <c r="AK91" s="199">
        <v>9.1</v>
      </c>
      <c r="AL91" s="199">
        <v>0.45295418641390212</v>
      </c>
      <c r="AM91" s="199">
        <v>0</v>
      </c>
      <c r="AN91" s="199">
        <v>0.23598353909465022</v>
      </c>
      <c r="AO91" s="199">
        <v>0</v>
      </c>
      <c r="AP91" s="199">
        <v>0</v>
      </c>
      <c r="AQ91" s="199">
        <v>0</v>
      </c>
      <c r="AR91" s="199">
        <v>0</v>
      </c>
      <c r="AS91" s="199">
        <v>0</v>
      </c>
      <c r="AT91" s="199">
        <v>0</v>
      </c>
      <c r="AU91" s="199">
        <v>0</v>
      </c>
      <c r="AV91" s="199">
        <v>0</v>
      </c>
      <c r="AW91" s="199">
        <v>0</v>
      </c>
      <c r="AX91" s="199">
        <v>0</v>
      </c>
      <c r="AY91" s="199">
        <v>0</v>
      </c>
      <c r="AZ91" s="199">
        <v>0</v>
      </c>
      <c r="BA91" s="199">
        <v>0</v>
      </c>
      <c r="BB91" s="199">
        <v>0</v>
      </c>
      <c r="BC91" s="199">
        <v>0</v>
      </c>
    </row>
    <row r="92" spans="1:55" hidden="1" outlineLevel="1" x14ac:dyDescent="0.2">
      <c r="A92" s="36"/>
      <c r="B92" s="36"/>
      <c r="C92" s="162" t="str">
        <v>BBU tarjeta 3G en estación base Single RAN</v>
      </c>
      <c r="D92"/>
      <c r="F92" s="199">
        <v>0</v>
      </c>
      <c r="G92" s="199">
        <v>0</v>
      </c>
      <c r="H92" s="199">
        <v>0</v>
      </c>
      <c r="I92" s="199">
        <v>0</v>
      </c>
      <c r="J92" s="199">
        <v>0</v>
      </c>
      <c r="K92" s="199">
        <v>0</v>
      </c>
      <c r="L92" s="199">
        <v>0</v>
      </c>
      <c r="M92" s="199">
        <v>2.8319607843137256</v>
      </c>
      <c r="N92" s="199">
        <v>1.4232291666666665</v>
      </c>
      <c r="O92" s="199">
        <v>1.4516666666666667</v>
      </c>
      <c r="P92" s="199">
        <v>1.393888888888889</v>
      </c>
      <c r="Q92" s="199">
        <v>1.4232291666666665</v>
      </c>
      <c r="R92" s="199">
        <v>1.4516666666666667</v>
      </c>
      <c r="S92" s="199">
        <v>1.393888888888889</v>
      </c>
      <c r="T92" s="199">
        <v>0</v>
      </c>
      <c r="U92" s="199">
        <v>0</v>
      </c>
      <c r="V92" s="199">
        <v>0</v>
      </c>
      <c r="W92" s="199">
        <v>0</v>
      </c>
      <c r="X92" s="199">
        <v>0</v>
      </c>
      <c r="Y92" s="199">
        <v>0</v>
      </c>
      <c r="Z92" s="199">
        <v>0</v>
      </c>
      <c r="AA92" s="199">
        <v>0</v>
      </c>
      <c r="AB92" s="199">
        <v>0</v>
      </c>
      <c r="AC92" s="199">
        <v>0</v>
      </c>
      <c r="AD92" s="199">
        <v>1E-3</v>
      </c>
      <c r="AE92" s="199">
        <v>5.0000000000000001E-4</v>
      </c>
      <c r="AF92" s="199">
        <v>5.0000000000000001E-4</v>
      </c>
      <c r="AG92" s="199">
        <v>0</v>
      </c>
      <c r="AH92" s="199">
        <v>0</v>
      </c>
      <c r="AI92" s="199">
        <v>0</v>
      </c>
      <c r="AJ92" s="199">
        <v>0</v>
      </c>
      <c r="AK92" s="199">
        <v>9.1</v>
      </c>
      <c r="AL92" s="199">
        <v>0.45295418641390212</v>
      </c>
      <c r="AM92" s="199">
        <v>0</v>
      </c>
      <c r="AN92" s="199">
        <v>0</v>
      </c>
      <c r="AO92" s="199">
        <v>0</v>
      </c>
      <c r="AP92" s="199">
        <v>0</v>
      </c>
      <c r="AQ92" s="199">
        <v>0</v>
      </c>
      <c r="AR92" s="199">
        <v>0</v>
      </c>
      <c r="AS92" s="199">
        <v>0</v>
      </c>
      <c r="AT92" s="199">
        <v>0</v>
      </c>
      <c r="AU92" s="199">
        <v>0</v>
      </c>
      <c r="AV92" s="199">
        <v>0</v>
      </c>
      <c r="AW92" s="199">
        <v>0</v>
      </c>
      <c r="AX92" s="199">
        <v>0</v>
      </c>
      <c r="AY92" s="199">
        <v>0</v>
      </c>
      <c r="AZ92" s="199">
        <v>0</v>
      </c>
      <c r="BA92" s="199">
        <v>0</v>
      </c>
      <c r="BB92" s="199">
        <v>0</v>
      </c>
      <c r="BC92" s="199">
        <v>0</v>
      </c>
    </row>
    <row r="93" spans="1:55" hidden="1" outlineLevel="1" x14ac:dyDescent="0.2">
      <c r="A93" s="36"/>
      <c r="B93" s="36"/>
      <c r="C93" s="162" t="str">
        <v>BBU tarjeta 4G en estación base Single RAN</v>
      </c>
      <c r="D93"/>
      <c r="F93" s="199">
        <v>0</v>
      </c>
      <c r="G93" s="199">
        <v>0</v>
      </c>
      <c r="H93" s="199">
        <v>0</v>
      </c>
      <c r="I93" s="199">
        <v>0</v>
      </c>
      <c r="J93" s="199">
        <v>0</v>
      </c>
      <c r="K93" s="199">
        <v>0</v>
      </c>
      <c r="L93" s="199">
        <v>0</v>
      </c>
      <c r="M93" s="199">
        <v>0</v>
      </c>
      <c r="N93" s="199">
        <v>0</v>
      </c>
      <c r="O93" s="199">
        <v>0</v>
      </c>
      <c r="P93" s="199">
        <v>0</v>
      </c>
      <c r="Q93" s="199">
        <v>0</v>
      </c>
      <c r="R93" s="199">
        <v>0</v>
      </c>
      <c r="S93" s="199">
        <v>0</v>
      </c>
      <c r="T93" s="199">
        <v>2</v>
      </c>
      <c r="U93" s="199">
        <v>1</v>
      </c>
      <c r="V93" s="199">
        <v>1</v>
      </c>
      <c r="W93" s="199">
        <v>1</v>
      </c>
      <c r="X93" s="199">
        <v>1</v>
      </c>
      <c r="Y93" s="199">
        <v>1</v>
      </c>
      <c r="Z93" s="199">
        <v>1</v>
      </c>
      <c r="AA93" s="199">
        <v>0</v>
      </c>
      <c r="AB93" s="199">
        <v>0</v>
      </c>
      <c r="AC93" s="199">
        <v>0</v>
      </c>
      <c r="AD93" s="199">
        <v>0</v>
      </c>
      <c r="AE93" s="199">
        <v>0</v>
      </c>
      <c r="AF93" s="199">
        <v>0</v>
      </c>
      <c r="AG93" s="199">
        <v>2.8318024691358027E-5</v>
      </c>
      <c r="AH93" s="199">
        <v>1.4159012345679013E-5</v>
      </c>
      <c r="AI93" s="199">
        <v>1.4159012345679013E-5</v>
      </c>
      <c r="AJ93" s="199">
        <v>0</v>
      </c>
      <c r="AK93" s="199">
        <v>0</v>
      </c>
      <c r="AL93" s="199">
        <v>0</v>
      </c>
      <c r="AM93" s="199">
        <v>0</v>
      </c>
      <c r="AN93" s="199">
        <v>0.23598353909465022</v>
      </c>
      <c r="AO93" s="199">
        <v>0</v>
      </c>
      <c r="AP93" s="199">
        <v>0</v>
      </c>
      <c r="AQ93" s="199">
        <v>0</v>
      </c>
      <c r="AR93" s="199">
        <v>0</v>
      </c>
      <c r="AS93" s="199">
        <v>0</v>
      </c>
      <c r="AT93" s="199">
        <v>0</v>
      </c>
      <c r="AU93" s="199">
        <v>0</v>
      </c>
      <c r="AV93" s="199">
        <v>0</v>
      </c>
      <c r="AW93" s="199">
        <v>0</v>
      </c>
      <c r="AX93" s="199">
        <v>0</v>
      </c>
      <c r="AY93" s="199">
        <v>0</v>
      </c>
      <c r="AZ93" s="199">
        <v>0</v>
      </c>
      <c r="BA93" s="199">
        <v>0</v>
      </c>
      <c r="BB93" s="199">
        <v>0</v>
      </c>
      <c r="BC93" s="199">
        <v>0</v>
      </c>
    </row>
    <row r="94" spans="1:55" hidden="1" outlineLevel="1" x14ac:dyDescent="0.2">
      <c r="A94" s="36"/>
      <c r="B94" s="36"/>
      <c r="C94" s="162" t="str">
        <v>Sitios propios - macro</v>
      </c>
      <c r="D94"/>
      <c r="F94" s="199">
        <v>2.1784313725490194</v>
      </c>
      <c r="G94" s="199">
        <v>1.0947916666666666</v>
      </c>
      <c r="H94" s="199">
        <v>1.1166666666666667</v>
      </c>
      <c r="I94" s="199">
        <v>1.0722222222222222</v>
      </c>
      <c r="J94" s="199">
        <v>1.0947916666666666</v>
      </c>
      <c r="K94" s="199">
        <v>1.1166666666666667</v>
      </c>
      <c r="L94" s="199">
        <v>1.0722222222222222</v>
      </c>
      <c r="M94" s="199">
        <v>2.8319607843137256</v>
      </c>
      <c r="N94" s="199">
        <v>1.4232291666666665</v>
      </c>
      <c r="O94" s="199">
        <v>1.4516666666666667</v>
      </c>
      <c r="P94" s="199">
        <v>1.393888888888889</v>
      </c>
      <c r="Q94" s="199">
        <v>1.4232291666666665</v>
      </c>
      <c r="R94" s="199">
        <v>1.4516666666666667</v>
      </c>
      <c r="S94" s="199">
        <v>1.393888888888889</v>
      </c>
      <c r="T94" s="199">
        <v>2</v>
      </c>
      <c r="U94" s="199">
        <v>1</v>
      </c>
      <c r="V94" s="199">
        <v>1</v>
      </c>
      <c r="W94" s="199">
        <v>1</v>
      </c>
      <c r="X94" s="199">
        <v>1</v>
      </c>
      <c r="Y94" s="199">
        <v>1</v>
      </c>
      <c r="Z94" s="199">
        <v>1</v>
      </c>
      <c r="AA94" s="199">
        <v>2.6075619295958278E-3</v>
      </c>
      <c r="AB94" s="199">
        <v>1.3037809647979139E-3</v>
      </c>
      <c r="AC94" s="199">
        <v>1.3037809647979139E-3</v>
      </c>
      <c r="AD94" s="199">
        <v>1E-3</v>
      </c>
      <c r="AE94" s="199">
        <v>5.0000000000000001E-4</v>
      </c>
      <c r="AF94" s="199">
        <v>5.0000000000000001E-4</v>
      </c>
      <c r="AG94" s="199">
        <v>2.8318024691358027E-5</v>
      </c>
      <c r="AH94" s="199">
        <v>1.4159012345679013E-5</v>
      </c>
      <c r="AI94" s="199">
        <v>1.4159012345679013E-5</v>
      </c>
      <c r="AJ94" s="199">
        <v>4.4600888888888894</v>
      </c>
      <c r="AK94" s="199">
        <v>9.1</v>
      </c>
      <c r="AL94" s="199">
        <v>0.45295418641390212</v>
      </c>
      <c r="AM94" s="199">
        <v>0</v>
      </c>
      <c r="AN94" s="199">
        <v>0.23598353909465022</v>
      </c>
      <c r="AO94" s="199">
        <v>0</v>
      </c>
      <c r="AP94" s="199">
        <v>0</v>
      </c>
      <c r="AQ94" s="199">
        <v>0</v>
      </c>
      <c r="AR94" s="199">
        <v>0</v>
      </c>
      <c r="AS94" s="199">
        <v>0</v>
      </c>
      <c r="AT94" s="199">
        <v>0</v>
      </c>
      <c r="AU94" s="199">
        <v>0</v>
      </c>
      <c r="AV94" s="199">
        <v>0</v>
      </c>
      <c r="AW94" s="199">
        <v>0</v>
      </c>
      <c r="AX94" s="199">
        <v>0</v>
      </c>
      <c r="AY94" s="199">
        <v>0</v>
      </c>
      <c r="AZ94" s="199">
        <v>0</v>
      </c>
      <c r="BA94" s="199">
        <v>0</v>
      </c>
      <c r="BB94" s="199">
        <v>0</v>
      </c>
      <c r="BC94" s="199">
        <v>0</v>
      </c>
    </row>
    <row r="95" spans="1:55" hidden="1" outlineLevel="1" x14ac:dyDescent="0.2">
      <c r="A95" s="36"/>
      <c r="B95" s="36"/>
      <c r="C95" s="162" t="str">
        <v>Sitios propios - micro</v>
      </c>
      <c r="D95"/>
      <c r="F95" s="199">
        <v>2.1784313725490194</v>
      </c>
      <c r="G95" s="199">
        <v>1.0947916666666666</v>
      </c>
      <c r="H95" s="199">
        <v>1.1166666666666667</v>
      </c>
      <c r="I95" s="199">
        <v>1.0722222222222222</v>
      </c>
      <c r="J95" s="199">
        <v>1.0947916666666666</v>
      </c>
      <c r="K95" s="199">
        <v>1.1166666666666667</v>
      </c>
      <c r="L95" s="199">
        <v>1.0722222222222222</v>
      </c>
      <c r="M95" s="199">
        <v>2.8319607843137256</v>
      </c>
      <c r="N95" s="199">
        <v>1.4232291666666665</v>
      </c>
      <c r="O95" s="199">
        <v>1.4516666666666667</v>
      </c>
      <c r="P95" s="199">
        <v>1.393888888888889</v>
      </c>
      <c r="Q95" s="199">
        <v>1.4232291666666665</v>
      </c>
      <c r="R95" s="199">
        <v>1.4516666666666667</v>
      </c>
      <c r="S95" s="199">
        <v>1.393888888888889</v>
      </c>
      <c r="T95" s="199">
        <v>2</v>
      </c>
      <c r="U95" s="199">
        <v>1</v>
      </c>
      <c r="V95" s="199">
        <v>1</v>
      </c>
      <c r="W95" s="199">
        <v>1</v>
      </c>
      <c r="X95" s="199">
        <v>1</v>
      </c>
      <c r="Y95" s="199">
        <v>1</v>
      </c>
      <c r="Z95" s="199">
        <v>1</v>
      </c>
      <c r="AA95" s="199">
        <v>2.6075619295958278E-3</v>
      </c>
      <c r="AB95" s="199">
        <v>1.3037809647979139E-3</v>
      </c>
      <c r="AC95" s="199">
        <v>1.3037809647979139E-3</v>
      </c>
      <c r="AD95" s="199">
        <v>1E-3</v>
      </c>
      <c r="AE95" s="199">
        <v>5.0000000000000001E-4</v>
      </c>
      <c r="AF95" s="199">
        <v>5.0000000000000001E-4</v>
      </c>
      <c r="AG95" s="199">
        <v>2.8318024691358027E-5</v>
      </c>
      <c r="AH95" s="199">
        <v>1.4159012345679013E-5</v>
      </c>
      <c r="AI95" s="199">
        <v>1.4159012345679013E-5</v>
      </c>
      <c r="AJ95" s="199">
        <v>4.4600888888888894</v>
      </c>
      <c r="AK95" s="199">
        <v>9.1</v>
      </c>
      <c r="AL95" s="199">
        <v>0.45295418641390212</v>
      </c>
      <c r="AM95" s="199">
        <v>0</v>
      </c>
      <c r="AN95" s="199">
        <v>0.23598353909465022</v>
      </c>
      <c r="AO95" s="199">
        <v>0</v>
      </c>
      <c r="AP95" s="199">
        <v>0</v>
      </c>
      <c r="AQ95" s="199">
        <v>0</v>
      </c>
      <c r="AR95" s="199">
        <v>0</v>
      </c>
      <c r="AS95" s="199">
        <v>0</v>
      </c>
      <c r="AT95" s="199">
        <v>0</v>
      </c>
      <c r="AU95" s="199">
        <v>0</v>
      </c>
      <c r="AV95" s="199">
        <v>0</v>
      </c>
      <c r="AW95" s="199">
        <v>0</v>
      </c>
      <c r="AX95" s="199">
        <v>0</v>
      </c>
      <c r="AY95" s="199">
        <v>0</v>
      </c>
      <c r="AZ95" s="199">
        <v>0</v>
      </c>
      <c r="BA95" s="199">
        <v>0</v>
      </c>
      <c r="BB95" s="199">
        <v>0</v>
      </c>
      <c r="BC95" s="199">
        <v>0</v>
      </c>
    </row>
    <row r="96" spans="1:55" hidden="1" outlineLevel="1" x14ac:dyDescent="0.2">
      <c r="A96" s="36"/>
      <c r="B96" s="36"/>
      <c r="C96" s="162" t="str">
        <v>Sitios de terceros - macro</v>
      </c>
      <c r="D96"/>
      <c r="F96" s="199">
        <v>2.1784313725490194</v>
      </c>
      <c r="G96" s="199">
        <v>1.0947916666666666</v>
      </c>
      <c r="H96" s="199">
        <v>1.1166666666666667</v>
      </c>
      <c r="I96" s="199">
        <v>1.0722222222222222</v>
      </c>
      <c r="J96" s="199">
        <v>1.0947916666666666</v>
      </c>
      <c r="K96" s="199">
        <v>1.1166666666666667</v>
      </c>
      <c r="L96" s="199">
        <v>1.0722222222222222</v>
      </c>
      <c r="M96" s="199">
        <v>2.8319607843137256</v>
      </c>
      <c r="N96" s="199">
        <v>1.4232291666666665</v>
      </c>
      <c r="O96" s="199">
        <v>1.4516666666666667</v>
      </c>
      <c r="P96" s="199">
        <v>1.393888888888889</v>
      </c>
      <c r="Q96" s="199">
        <v>1.4232291666666665</v>
      </c>
      <c r="R96" s="199">
        <v>1.4516666666666667</v>
      </c>
      <c r="S96" s="199">
        <v>1.393888888888889</v>
      </c>
      <c r="T96" s="199">
        <v>2</v>
      </c>
      <c r="U96" s="199">
        <v>1</v>
      </c>
      <c r="V96" s="199">
        <v>1</v>
      </c>
      <c r="W96" s="199">
        <v>1</v>
      </c>
      <c r="X96" s="199">
        <v>1</v>
      </c>
      <c r="Y96" s="199">
        <v>1</v>
      </c>
      <c r="Z96" s="199">
        <v>1</v>
      </c>
      <c r="AA96" s="199">
        <v>2.6075619295958278E-3</v>
      </c>
      <c r="AB96" s="199">
        <v>1.3037809647979139E-3</v>
      </c>
      <c r="AC96" s="199">
        <v>1.3037809647979139E-3</v>
      </c>
      <c r="AD96" s="199">
        <v>1E-3</v>
      </c>
      <c r="AE96" s="199">
        <v>5.0000000000000001E-4</v>
      </c>
      <c r="AF96" s="199">
        <v>5.0000000000000001E-4</v>
      </c>
      <c r="AG96" s="199">
        <v>2.8318024691358027E-5</v>
      </c>
      <c r="AH96" s="199">
        <v>1.4159012345679013E-5</v>
      </c>
      <c r="AI96" s="199">
        <v>1.4159012345679013E-5</v>
      </c>
      <c r="AJ96" s="199">
        <v>4.4600888888888894</v>
      </c>
      <c r="AK96" s="199">
        <v>9.1</v>
      </c>
      <c r="AL96" s="199">
        <v>0.45295418641390212</v>
      </c>
      <c r="AM96" s="199">
        <v>0</v>
      </c>
      <c r="AN96" s="199">
        <v>0.23598353909465022</v>
      </c>
      <c r="AO96" s="199">
        <v>0</v>
      </c>
      <c r="AP96" s="199">
        <v>0</v>
      </c>
      <c r="AQ96" s="199">
        <v>0</v>
      </c>
      <c r="AR96" s="199">
        <v>0</v>
      </c>
      <c r="AS96" s="199">
        <v>0</v>
      </c>
      <c r="AT96" s="199">
        <v>0</v>
      </c>
      <c r="AU96" s="199">
        <v>0</v>
      </c>
      <c r="AV96" s="199">
        <v>0</v>
      </c>
      <c r="AW96" s="199">
        <v>0</v>
      </c>
      <c r="AX96" s="199">
        <v>0</v>
      </c>
      <c r="AY96" s="199">
        <v>0</v>
      </c>
      <c r="AZ96" s="199">
        <v>0</v>
      </c>
      <c r="BA96" s="199">
        <v>0</v>
      </c>
      <c r="BB96" s="199">
        <v>0</v>
      </c>
      <c r="BC96" s="199">
        <v>0</v>
      </c>
    </row>
    <row r="97" spans="1:55" hidden="1" outlineLevel="1" x14ac:dyDescent="0.2">
      <c r="A97" s="36"/>
      <c r="B97" s="36"/>
      <c r="C97" s="162" t="str">
        <v>Sitios de terceros - micro</v>
      </c>
      <c r="D97"/>
      <c r="F97" s="199">
        <v>2.1784313725490194</v>
      </c>
      <c r="G97" s="199">
        <v>1.0947916666666666</v>
      </c>
      <c r="H97" s="199">
        <v>1.1166666666666667</v>
      </c>
      <c r="I97" s="199">
        <v>1.0722222222222222</v>
      </c>
      <c r="J97" s="199">
        <v>1.0947916666666666</v>
      </c>
      <c r="K97" s="199">
        <v>1.1166666666666667</v>
      </c>
      <c r="L97" s="199">
        <v>1.0722222222222222</v>
      </c>
      <c r="M97" s="199">
        <v>2.8319607843137256</v>
      </c>
      <c r="N97" s="199">
        <v>1.4232291666666665</v>
      </c>
      <c r="O97" s="199">
        <v>1.4516666666666667</v>
      </c>
      <c r="P97" s="199">
        <v>1.393888888888889</v>
      </c>
      <c r="Q97" s="199">
        <v>1.4232291666666665</v>
      </c>
      <c r="R97" s="199">
        <v>1.4516666666666667</v>
      </c>
      <c r="S97" s="199">
        <v>1.393888888888889</v>
      </c>
      <c r="T97" s="199">
        <v>2</v>
      </c>
      <c r="U97" s="199">
        <v>1</v>
      </c>
      <c r="V97" s="199">
        <v>1</v>
      </c>
      <c r="W97" s="199">
        <v>1</v>
      </c>
      <c r="X97" s="199">
        <v>1</v>
      </c>
      <c r="Y97" s="199">
        <v>1</v>
      </c>
      <c r="Z97" s="199">
        <v>1</v>
      </c>
      <c r="AA97" s="199">
        <v>2.6075619295958278E-3</v>
      </c>
      <c r="AB97" s="199">
        <v>1.3037809647979139E-3</v>
      </c>
      <c r="AC97" s="199">
        <v>1.3037809647979139E-3</v>
      </c>
      <c r="AD97" s="199">
        <v>1E-3</v>
      </c>
      <c r="AE97" s="199">
        <v>5.0000000000000001E-4</v>
      </c>
      <c r="AF97" s="199">
        <v>5.0000000000000001E-4</v>
      </c>
      <c r="AG97" s="199">
        <v>2.8318024691358027E-5</v>
      </c>
      <c r="AH97" s="199">
        <v>1.4159012345679013E-5</v>
      </c>
      <c r="AI97" s="199">
        <v>1.4159012345679013E-5</v>
      </c>
      <c r="AJ97" s="199">
        <v>4.4600888888888894</v>
      </c>
      <c r="AK97" s="199">
        <v>9.1</v>
      </c>
      <c r="AL97" s="199">
        <v>0.45295418641390212</v>
      </c>
      <c r="AM97" s="199">
        <v>0</v>
      </c>
      <c r="AN97" s="199">
        <v>0.23598353909465022</v>
      </c>
      <c r="AO97" s="199">
        <v>0</v>
      </c>
      <c r="AP97" s="199">
        <v>0</v>
      </c>
      <c r="AQ97" s="199">
        <v>0</v>
      </c>
      <c r="AR97" s="199">
        <v>0</v>
      </c>
      <c r="AS97" s="199">
        <v>0</v>
      </c>
      <c r="AT97" s="199">
        <v>0</v>
      </c>
      <c r="AU97" s="199">
        <v>0</v>
      </c>
      <c r="AV97" s="199">
        <v>0</v>
      </c>
      <c r="AW97" s="199">
        <v>0</v>
      </c>
      <c r="AX97" s="199">
        <v>0</v>
      </c>
      <c r="AY97" s="199">
        <v>0</v>
      </c>
      <c r="AZ97" s="199">
        <v>0</v>
      </c>
      <c r="BA97" s="199">
        <v>0</v>
      </c>
      <c r="BB97" s="199">
        <v>0</v>
      </c>
      <c r="BC97" s="199">
        <v>0</v>
      </c>
    </row>
    <row r="98" spans="1:55" hidden="1" outlineLevel="1" x14ac:dyDescent="0.2">
      <c r="A98" s="36"/>
      <c r="B98" s="36"/>
      <c r="C98" s="162" t="str">
        <v>LMA: líneas alquiladas TDM: 2.048</v>
      </c>
      <c r="D98"/>
      <c r="F98" s="199">
        <v>0.61906594669117643</v>
      </c>
      <c r="G98" s="199">
        <v>0.31111755371093747</v>
      </c>
      <c r="H98" s="199">
        <v>0.31733398437499999</v>
      </c>
      <c r="I98" s="199">
        <v>0.30470377604166665</v>
      </c>
      <c r="J98" s="199">
        <v>0.31111755371093747</v>
      </c>
      <c r="K98" s="199">
        <v>0.31733398437499999</v>
      </c>
      <c r="L98" s="199">
        <v>0.30470377604166665</v>
      </c>
      <c r="M98" s="199">
        <v>0.74287913602941169</v>
      </c>
      <c r="N98" s="199">
        <v>0.37334106445312498</v>
      </c>
      <c r="O98" s="199">
        <v>0.38080078125</v>
      </c>
      <c r="P98" s="199">
        <v>0.36564453125000002</v>
      </c>
      <c r="Q98" s="199">
        <v>0.37334106445312498</v>
      </c>
      <c r="R98" s="199">
        <v>0.38080078125</v>
      </c>
      <c r="S98" s="199">
        <v>0.36564453125000002</v>
      </c>
      <c r="T98" s="199">
        <v>0.568359375</v>
      </c>
      <c r="U98" s="199">
        <v>0.2841796875</v>
      </c>
      <c r="V98" s="199">
        <v>0.2841796875</v>
      </c>
      <c r="W98" s="199">
        <v>0.2841796875</v>
      </c>
      <c r="X98" s="199">
        <v>0.2841796875</v>
      </c>
      <c r="Y98" s="199">
        <v>0.2841796875</v>
      </c>
      <c r="Z98" s="199">
        <v>0.2841796875</v>
      </c>
      <c r="AA98" s="199">
        <v>7.4101613428943932E-4</v>
      </c>
      <c r="AB98" s="199">
        <v>3.7050806714471966E-4</v>
      </c>
      <c r="AC98" s="199">
        <v>3.7050806714471966E-4</v>
      </c>
      <c r="AD98" s="199">
        <v>2.8417968749999998E-4</v>
      </c>
      <c r="AE98" s="199">
        <v>1.4208984374999999E-4</v>
      </c>
      <c r="AF98" s="199">
        <v>1.4208984374999999E-4</v>
      </c>
      <c r="AG98" s="199">
        <v>8.0474074074074073E-6</v>
      </c>
      <c r="AH98" s="199">
        <v>4.0237037037037036E-6</v>
      </c>
      <c r="AI98" s="199">
        <v>4.0237037037037036E-6</v>
      </c>
      <c r="AJ98" s="199">
        <v>0.7</v>
      </c>
      <c r="AK98" s="199">
        <v>0.75</v>
      </c>
      <c r="AL98" s="199">
        <v>1</v>
      </c>
      <c r="AM98" s="199">
        <v>0</v>
      </c>
      <c r="AN98" s="199">
        <v>0.8</v>
      </c>
      <c r="AO98" s="199">
        <v>0</v>
      </c>
      <c r="AP98" s="199">
        <v>0</v>
      </c>
      <c r="AQ98" s="199">
        <v>0</v>
      </c>
      <c r="AR98" s="199">
        <v>0</v>
      </c>
      <c r="AS98" s="199">
        <v>0</v>
      </c>
      <c r="AT98" s="199">
        <v>0</v>
      </c>
      <c r="AU98" s="199">
        <v>0</v>
      </c>
      <c r="AV98" s="199">
        <v>0</v>
      </c>
      <c r="AW98" s="199">
        <v>0</v>
      </c>
      <c r="AX98" s="199">
        <v>0</v>
      </c>
      <c r="AY98" s="199">
        <v>0</v>
      </c>
      <c r="AZ98" s="199">
        <v>0</v>
      </c>
      <c r="BA98" s="199">
        <v>0</v>
      </c>
      <c r="BB98" s="199">
        <v>0</v>
      </c>
      <c r="BC98" s="199">
        <v>0</v>
      </c>
    </row>
    <row r="99" spans="1:55" hidden="1" outlineLevel="1" x14ac:dyDescent="0.2">
      <c r="A99" s="36"/>
      <c r="B99" s="36"/>
      <c r="C99" s="162" t="str">
        <v>LMA: líneas alquiladas TDM: 8.45</v>
      </c>
      <c r="D99"/>
      <c r="F99" s="199">
        <v>0.61906594669117643</v>
      </c>
      <c r="G99" s="199">
        <v>0.31111755371093747</v>
      </c>
      <c r="H99" s="199">
        <v>0.31733398437499999</v>
      </c>
      <c r="I99" s="199">
        <v>0.30470377604166665</v>
      </c>
      <c r="J99" s="199">
        <v>0.31111755371093747</v>
      </c>
      <c r="K99" s="199">
        <v>0.31733398437499999</v>
      </c>
      <c r="L99" s="199">
        <v>0.30470377604166665</v>
      </c>
      <c r="M99" s="199">
        <v>0.74287913602941169</v>
      </c>
      <c r="N99" s="199">
        <v>0.37334106445312498</v>
      </c>
      <c r="O99" s="199">
        <v>0.38080078125</v>
      </c>
      <c r="P99" s="199">
        <v>0.36564453125000002</v>
      </c>
      <c r="Q99" s="199">
        <v>0.37334106445312498</v>
      </c>
      <c r="R99" s="199">
        <v>0.38080078125</v>
      </c>
      <c r="S99" s="199">
        <v>0.36564453125000002</v>
      </c>
      <c r="T99" s="199">
        <v>0.568359375</v>
      </c>
      <c r="U99" s="199">
        <v>0.2841796875</v>
      </c>
      <c r="V99" s="199">
        <v>0.2841796875</v>
      </c>
      <c r="W99" s="199">
        <v>0.2841796875</v>
      </c>
      <c r="X99" s="199">
        <v>0.2841796875</v>
      </c>
      <c r="Y99" s="199">
        <v>0.2841796875</v>
      </c>
      <c r="Z99" s="199">
        <v>0.2841796875</v>
      </c>
      <c r="AA99" s="199">
        <v>7.4101613428943932E-4</v>
      </c>
      <c r="AB99" s="199">
        <v>3.7050806714471966E-4</v>
      </c>
      <c r="AC99" s="199">
        <v>3.7050806714471966E-4</v>
      </c>
      <c r="AD99" s="199">
        <v>2.8417968749999998E-4</v>
      </c>
      <c r="AE99" s="199">
        <v>1.4208984374999999E-4</v>
      </c>
      <c r="AF99" s="199">
        <v>1.4208984374999999E-4</v>
      </c>
      <c r="AG99" s="199">
        <v>8.0474074074074073E-6</v>
      </c>
      <c r="AH99" s="199">
        <v>4.0237037037037036E-6</v>
      </c>
      <c r="AI99" s="199">
        <v>4.0237037037037036E-6</v>
      </c>
      <c r="AJ99" s="199">
        <v>0.7</v>
      </c>
      <c r="AK99" s="199">
        <v>0.75</v>
      </c>
      <c r="AL99" s="199">
        <v>1</v>
      </c>
      <c r="AM99" s="199">
        <v>0</v>
      </c>
      <c r="AN99" s="199">
        <v>0.8</v>
      </c>
      <c r="AO99" s="199">
        <v>0</v>
      </c>
      <c r="AP99" s="199">
        <v>0</v>
      </c>
      <c r="AQ99" s="199">
        <v>0</v>
      </c>
      <c r="AR99" s="199">
        <v>0</v>
      </c>
      <c r="AS99" s="199">
        <v>0</v>
      </c>
      <c r="AT99" s="199">
        <v>0</v>
      </c>
      <c r="AU99" s="199">
        <v>0</v>
      </c>
      <c r="AV99" s="199">
        <v>0</v>
      </c>
      <c r="AW99" s="199">
        <v>0</v>
      </c>
      <c r="AX99" s="199">
        <v>0</v>
      </c>
      <c r="AY99" s="199">
        <v>0</v>
      </c>
      <c r="AZ99" s="199">
        <v>0</v>
      </c>
      <c r="BA99" s="199">
        <v>0</v>
      </c>
      <c r="BB99" s="199">
        <v>0</v>
      </c>
      <c r="BC99" s="199">
        <v>0</v>
      </c>
    </row>
    <row r="100" spans="1:55" hidden="1" outlineLevel="1" x14ac:dyDescent="0.2">
      <c r="A100" s="36"/>
      <c r="B100" s="36"/>
      <c r="C100" s="162" t="str">
        <v>LMA: líneas alquiladas TDM: 34.37</v>
      </c>
      <c r="D100"/>
      <c r="F100" s="199">
        <v>0.61906594669117643</v>
      </c>
      <c r="G100" s="199">
        <v>0.31111755371093747</v>
      </c>
      <c r="H100" s="199">
        <v>0.31733398437499999</v>
      </c>
      <c r="I100" s="199">
        <v>0.30470377604166665</v>
      </c>
      <c r="J100" s="199">
        <v>0.31111755371093747</v>
      </c>
      <c r="K100" s="199">
        <v>0.31733398437499999</v>
      </c>
      <c r="L100" s="199">
        <v>0.30470377604166665</v>
      </c>
      <c r="M100" s="199">
        <v>0.74287913602941169</v>
      </c>
      <c r="N100" s="199">
        <v>0.37334106445312498</v>
      </c>
      <c r="O100" s="199">
        <v>0.38080078125</v>
      </c>
      <c r="P100" s="199">
        <v>0.36564453125000002</v>
      </c>
      <c r="Q100" s="199">
        <v>0.37334106445312498</v>
      </c>
      <c r="R100" s="199">
        <v>0.38080078125</v>
      </c>
      <c r="S100" s="199">
        <v>0.36564453125000002</v>
      </c>
      <c r="T100" s="199">
        <v>0.568359375</v>
      </c>
      <c r="U100" s="199">
        <v>0.2841796875</v>
      </c>
      <c r="V100" s="199">
        <v>0.2841796875</v>
      </c>
      <c r="W100" s="199">
        <v>0.2841796875</v>
      </c>
      <c r="X100" s="199">
        <v>0.2841796875</v>
      </c>
      <c r="Y100" s="199">
        <v>0.2841796875</v>
      </c>
      <c r="Z100" s="199">
        <v>0.2841796875</v>
      </c>
      <c r="AA100" s="199">
        <v>7.4101613428943932E-4</v>
      </c>
      <c r="AB100" s="199">
        <v>3.7050806714471966E-4</v>
      </c>
      <c r="AC100" s="199">
        <v>3.7050806714471966E-4</v>
      </c>
      <c r="AD100" s="199">
        <v>2.8417968749999998E-4</v>
      </c>
      <c r="AE100" s="199">
        <v>1.4208984374999999E-4</v>
      </c>
      <c r="AF100" s="199">
        <v>1.4208984374999999E-4</v>
      </c>
      <c r="AG100" s="199">
        <v>8.0474074074074073E-6</v>
      </c>
      <c r="AH100" s="199">
        <v>4.0237037037037036E-6</v>
      </c>
      <c r="AI100" s="199">
        <v>4.0237037037037036E-6</v>
      </c>
      <c r="AJ100" s="199">
        <v>0.7</v>
      </c>
      <c r="AK100" s="199">
        <v>0.75</v>
      </c>
      <c r="AL100" s="199">
        <v>1</v>
      </c>
      <c r="AM100" s="199">
        <v>0</v>
      </c>
      <c r="AN100" s="199">
        <v>0.8</v>
      </c>
      <c r="AO100" s="199">
        <v>0</v>
      </c>
      <c r="AP100" s="199">
        <v>0</v>
      </c>
      <c r="AQ100" s="199">
        <v>0</v>
      </c>
      <c r="AR100" s="199">
        <v>0</v>
      </c>
      <c r="AS100" s="199">
        <v>0</v>
      </c>
      <c r="AT100" s="199">
        <v>0</v>
      </c>
      <c r="AU100" s="199">
        <v>0</v>
      </c>
      <c r="AV100" s="199">
        <v>0</v>
      </c>
      <c r="AW100" s="199">
        <v>0</v>
      </c>
      <c r="AX100" s="199">
        <v>0</v>
      </c>
      <c r="AY100" s="199">
        <v>0</v>
      </c>
      <c r="AZ100" s="199">
        <v>0</v>
      </c>
      <c r="BA100" s="199">
        <v>0</v>
      </c>
      <c r="BB100" s="199">
        <v>0</v>
      </c>
      <c r="BC100" s="199">
        <v>0</v>
      </c>
    </row>
    <row r="101" spans="1:55" hidden="1" outlineLevel="1" x14ac:dyDescent="0.2">
      <c r="A101" s="36"/>
      <c r="B101" s="36"/>
      <c r="C101" s="162" t="str">
        <v>LMA: líneas alquiladas Ethernet: 10</v>
      </c>
      <c r="D101"/>
      <c r="F101" s="199">
        <v>0.61906594669117643</v>
      </c>
      <c r="G101" s="199">
        <v>0.31111755371093747</v>
      </c>
      <c r="H101" s="199">
        <v>0.31733398437499999</v>
      </c>
      <c r="I101" s="199">
        <v>0.30470377604166665</v>
      </c>
      <c r="J101" s="199">
        <v>0.31111755371093747</v>
      </c>
      <c r="K101" s="199">
        <v>0.31733398437499999</v>
      </c>
      <c r="L101" s="199">
        <v>0.30470377604166665</v>
      </c>
      <c r="M101" s="199">
        <v>0.74287913602941169</v>
      </c>
      <c r="N101" s="199">
        <v>0.37334106445312498</v>
      </c>
      <c r="O101" s="199">
        <v>0.38080078125</v>
      </c>
      <c r="P101" s="199">
        <v>0.36564453125000002</v>
      </c>
      <c r="Q101" s="199">
        <v>0.37334106445312498</v>
      </c>
      <c r="R101" s="199">
        <v>0.38080078125</v>
      </c>
      <c r="S101" s="199">
        <v>0.36564453125000002</v>
      </c>
      <c r="T101" s="199">
        <v>0.568359375</v>
      </c>
      <c r="U101" s="199">
        <v>0.2841796875</v>
      </c>
      <c r="V101" s="199">
        <v>0.2841796875</v>
      </c>
      <c r="W101" s="199">
        <v>0.2841796875</v>
      </c>
      <c r="X101" s="199">
        <v>0.2841796875</v>
      </c>
      <c r="Y101" s="199">
        <v>0.2841796875</v>
      </c>
      <c r="Z101" s="199">
        <v>0.2841796875</v>
      </c>
      <c r="AA101" s="199">
        <v>7.4101613428943932E-4</v>
      </c>
      <c r="AB101" s="199">
        <v>3.7050806714471966E-4</v>
      </c>
      <c r="AC101" s="199">
        <v>3.7050806714471966E-4</v>
      </c>
      <c r="AD101" s="199">
        <v>2.8417968749999998E-4</v>
      </c>
      <c r="AE101" s="199">
        <v>1.4208984374999999E-4</v>
      </c>
      <c r="AF101" s="199">
        <v>1.4208984374999999E-4</v>
      </c>
      <c r="AG101" s="199">
        <v>8.0474074074074073E-6</v>
      </c>
      <c r="AH101" s="199">
        <v>4.0237037037037036E-6</v>
      </c>
      <c r="AI101" s="199">
        <v>4.0237037037037036E-6</v>
      </c>
      <c r="AJ101" s="199">
        <v>0.7</v>
      </c>
      <c r="AK101" s="199">
        <v>0.75</v>
      </c>
      <c r="AL101" s="199">
        <v>1</v>
      </c>
      <c r="AM101" s="199">
        <v>0</v>
      </c>
      <c r="AN101" s="199">
        <v>0.8</v>
      </c>
      <c r="AO101" s="199">
        <v>0</v>
      </c>
      <c r="AP101" s="199">
        <v>0</v>
      </c>
      <c r="AQ101" s="199">
        <v>0</v>
      </c>
      <c r="AR101" s="199">
        <v>0</v>
      </c>
      <c r="AS101" s="199">
        <v>0</v>
      </c>
      <c r="AT101" s="199">
        <v>0</v>
      </c>
      <c r="AU101" s="199">
        <v>0</v>
      </c>
      <c r="AV101" s="199">
        <v>0</v>
      </c>
      <c r="AW101" s="199">
        <v>0</v>
      </c>
      <c r="AX101" s="199">
        <v>0</v>
      </c>
      <c r="AY101" s="199">
        <v>0</v>
      </c>
      <c r="AZ101" s="199">
        <v>0</v>
      </c>
      <c r="BA101" s="199">
        <v>0</v>
      </c>
      <c r="BB101" s="199">
        <v>0</v>
      </c>
      <c r="BC101" s="199">
        <v>0</v>
      </c>
    </row>
    <row r="102" spans="1:55" hidden="1" outlineLevel="1" x14ac:dyDescent="0.2">
      <c r="A102" s="36"/>
      <c r="B102" s="36"/>
      <c r="C102" s="162" t="str">
        <v>LMA: líneas alquiladas Ethernet: 30</v>
      </c>
      <c r="D102"/>
      <c r="F102" s="199">
        <v>0.61906594669117643</v>
      </c>
      <c r="G102" s="199">
        <v>0.31111755371093747</v>
      </c>
      <c r="H102" s="199">
        <v>0.31733398437499999</v>
      </c>
      <c r="I102" s="199">
        <v>0.30470377604166665</v>
      </c>
      <c r="J102" s="199">
        <v>0.31111755371093747</v>
      </c>
      <c r="K102" s="199">
        <v>0.31733398437499999</v>
      </c>
      <c r="L102" s="199">
        <v>0.30470377604166665</v>
      </c>
      <c r="M102" s="199">
        <v>0.74287913602941169</v>
      </c>
      <c r="N102" s="199">
        <v>0.37334106445312498</v>
      </c>
      <c r="O102" s="199">
        <v>0.38080078125</v>
      </c>
      <c r="P102" s="199">
        <v>0.36564453125000002</v>
      </c>
      <c r="Q102" s="199">
        <v>0.37334106445312498</v>
      </c>
      <c r="R102" s="199">
        <v>0.38080078125</v>
      </c>
      <c r="S102" s="199">
        <v>0.36564453125000002</v>
      </c>
      <c r="T102" s="199">
        <v>0.568359375</v>
      </c>
      <c r="U102" s="199">
        <v>0.2841796875</v>
      </c>
      <c r="V102" s="199">
        <v>0.2841796875</v>
      </c>
      <c r="W102" s="199">
        <v>0.2841796875</v>
      </c>
      <c r="X102" s="199">
        <v>0.2841796875</v>
      </c>
      <c r="Y102" s="199">
        <v>0.2841796875</v>
      </c>
      <c r="Z102" s="199">
        <v>0.2841796875</v>
      </c>
      <c r="AA102" s="199">
        <v>7.4101613428943932E-4</v>
      </c>
      <c r="AB102" s="199">
        <v>3.7050806714471966E-4</v>
      </c>
      <c r="AC102" s="199">
        <v>3.7050806714471966E-4</v>
      </c>
      <c r="AD102" s="199">
        <v>2.8417968749999998E-4</v>
      </c>
      <c r="AE102" s="199">
        <v>1.4208984374999999E-4</v>
      </c>
      <c r="AF102" s="199">
        <v>1.4208984374999999E-4</v>
      </c>
      <c r="AG102" s="199">
        <v>8.0474074074074073E-6</v>
      </c>
      <c r="AH102" s="199">
        <v>4.0237037037037036E-6</v>
      </c>
      <c r="AI102" s="199">
        <v>4.0237037037037036E-6</v>
      </c>
      <c r="AJ102" s="199">
        <v>0.7</v>
      </c>
      <c r="AK102" s="199">
        <v>0.75</v>
      </c>
      <c r="AL102" s="199">
        <v>1</v>
      </c>
      <c r="AM102" s="199">
        <v>0</v>
      </c>
      <c r="AN102" s="199">
        <v>0.8</v>
      </c>
      <c r="AO102" s="199">
        <v>0</v>
      </c>
      <c r="AP102" s="199">
        <v>0</v>
      </c>
      <c r="AQ102" s="199">
        <v>0</v>
      </c>
      <c r="AR102" s="199">
        <v>0</v>
      </c>
      <c r="AS102" s="199">
        <v>0</v>
      </c>
      <c r="AT102" s="199">
        <v>0</v>
      </c>
      <c r="AU102" s="199">
        <v>0</v>
      </c>
      <c r="AV102" s="199">
        <v>0</v>
      </c>
      <c r="AW102" s="199">
        <v>0</v>
      </c>
      <c r="AX102" s="199">
        <v>0</v>
      </c>
      <c r="AY102" s="199">
        <v>0</v>
      </c>
      <c r="AZ102" s="199">
        <v>0</v>
      </c>
      <c r="BA102" s="199">
        <v>0</v>
      </c>
      <c r="BB102" s="199">
        <v>0</v>
      </c>
      <c r="BC102" s="199">
        <v>0</v>
      </c>
    </row>
    <row r="103" spans="1:55" hidden="1" outlineLevel="1" x14ac:dyDescent="0.2">
      <c r="A103" s="36"/>
      <c r="B103" s="36"/>
      <c r="C103" s="162" t="str">
        <v>LMA: líneas alquiladas Ethernet: 100</v>
      </c>
      <c r="D103"/>
      <c r="F103" s="199">
        <v>0.61906594669117643</v>
      </c>
      <c r="G103" s="199">
        <v>0.31111755371093747</v>
      </c>
      <c r="H103" s="199">
        <v>0.31733398437499999</v>
      </c>
      <c r="I103" s="199">
        <v>0.30470377604166665</v>
      </c>
      <c r="J103" s="199">
        <v>0.31111755371093747</v>
      </c>
      <c r="K103" s="199">
        <v>0.31733398437499999</v>
      </c>
      <c r="L103" s="199">
        <v>0.30470377604166665</v>
      </c>
      <c r="M103" s="199">
        <v>0.74287913602941169</v>
      </c>
      <c r="N103" s="199">
        <v>0.37334106445312498</v>
      </c>
      <c r="O103" s="199">
        <v>0.38080078125</v>
      </c>
      <c r="P103" s="199">
        <v>0.36564453125000002</v>
      </c>
      <c r="Q103" s="199">
        <v>0.37334106445312498</v>
      </c>
      <c r="R103" s="199">
        <v>0.38080078125</v>
      </c>
      <c r="S103" s="199">
        <v>0.36564453125000002</v>
      </c>
      <c r="T103" s="199">
        <v>0.568359375</v>
      </c>
      <c r="U103" s="199">
        <v>0.2841796875</v>
      </c>
      <c r="V103" s="199">
        <v>0.2841796875</v>
      </c>
      <c r="W103" s="199">
        <v>0.2841796875</v>
      </c>
      <c r="X103" s="199">
        <v>0.2841796875</v>
      </c>
      <c r="Y103" s="199">
        <v>0.2841796875</v>
      </c>
      <c r="Z103" s="199">
        <v>0.2841796875</v>
      </c>
      <c r="AA103" s="199">
        <v>7.4101613428943932E-4</v>
      </c>
      <c r="AB103" s="199">
        <v>3.7050806714471966E-4</v>
      </c>
      <c r="AC103" s="199">
        <v>3.7050806714471966E-4</v>
      </c>
      <c r="AD103" s="199">
        <v>2.8417968749999998E-4</v>
      </c>
      <c r="AE103" s="199">
        <v>1.4208984374999999E-4</v>
      </c>
      <c r="AF103" s="199">
        <v>1.4208984374999999E-4</v>
      </c>
      <c r="AG103" s="199">
        <v>8.0474074074074073E-6</v>
      </c>
      <c r="AH103" s="199">
        <v>4.0237037037037036E-6</v>
      </c>
      <c r="AI103" s="199">
        <v>4.0237037037037036E-6</v>
      </c>
      <c r="AJ103" s="199">
        <v>0.7</v>
      </c>
      <c r="AK103" s="199">
        <v>0.75</v>
      </c>
      <c r="AL103" s="199">
        <v>1</v>
      </c>
      <c r="AM103" s="199">
        <v>0</v>
      </c>
      <c r="AN103" s="199">
        <v>0.8</v>
      </c>
      <c r="AO103" s="199">
        <v>0</v>
      </c>
      <c r="AP103" s="199">
        <v>0</v>
      </c>
      <c r="AQ103" s="199">
        <v>0</v>
      </c>
      <c r="AR103" s="199">
        <v>0</v>
      </c>
      <c r="AS103" s="199">
        <v>0</v>
      </c>
      <c r="AT103" s="199">
        <v>0</v>
      </c>
      <c r="AU103" s="199">
        <v>0</v>
      </c>
      <c r="AV103" s="199">
        <v>0</v>
      </c>
      <c r="AW103" s="199">
        <v>0</v>
      </c>
      <c r="AX103" s="199">
        <v>0</v>
      </c>
      <c r="AY103" s="199">
        <v>0</v>
      </c>
      <c r="AZ103" s="199">
        <v>0</v>
      </c>
      <c r="BA103" s="199">
        <v>0</v>
      </c>
      <c r="BB103" s="199">
        <v>0</v>
      </c>
      <c r="BC103" s="199">
        <v>0</v>
      </c>
    </row>
    <row r="104" spans="1:55" hidden="1" outlineLevel="1" x14ac:dyDescent="0.2">
      <c r="A104" s="36"/>
      <c r="B104" s="36"/>
      <c r="C104" s="162" t="str">
        <v>LMA: enlace microondas TDM: 2.048</v>
      </c>
      <c r="D104"/>
      <c r="F104" s="199">
        <v>0.61906594669117643</v>
      </c>
      <c r="G104" s="199">
        <v>0.31111755371093747</v>
      </c>
      <c r="H104" s="199">
        <v>0.31733398437499999</v>
      </c>
      <c r="I104" s="199">
        <v>0.30470377604166665</v>
      </c>
      <c r="J104" s="199">
        <v>0.31111755371093747</v>
      </c>
      <c r="K104" s="199">
        <v>0.31733398437499999</v>
      </c>
      <c r="L104" s="199">
        <v>0.30470377604166665</v>
      </c>
      <c r="M104" s="199">
        <v>0.74287913602941169</v>
      </c>
      <c r="N104" s="199">
        <v>0.37334106445312498</v>
      </c>
      <c r="O104" s="199">
        <v>0.38080078125</v>
      </c>
      <c r="P104" s="199">
        <v>0.36564453125000002</v>
      </c>
      <c r="Q104" s="199">
        <v>0.37334106445312498</v>
      </c>
      <c r="R104" s="199">
        <v>0.38080078125</v>
      </c>
      <c r="S104" s="199">
        <v>0.36564453125000002</v>
      </c>
      <c r="T104" s="199">
        <v>0.568359375</v>
      </c>
      <c r="U104" s="199">
        <v>0.2841796875</v>
      </c>
      <c r="V104" s="199">
        <v>0.2841796875</v>
      </c>
      <c r="W104" s="199">
        <v>0.2841796875</v>
      </c>
      <c r="X104" s="199">
        <v>0.2841796875</v>
      </c>
      <c r="Y104" s="199">
        <v>0.2841796875</v>
      </c>
      <c r="Z104" s="199">
        <v>0.2841796875</v>
      </c>
      <c r="AA104" s="199">
        <v>7.4101613428943932E-4</v>
      </c>
      <c r="AB104" s="199">
        <v>3.7050806714471966E-4</v>
      </c>
      <c r="AC104" s="199">
        <v>3.7050806714471966E-4</v>
      </c>
      <c r="AD104" s="199">
        <v>2.8417968749999998E-4</v>
      </c>
      <c r="AE104" s="199">
        <v>1.4208984374999999E-4</v>
      </c>
      <c r="AF104" s="199">
        <v>1.4208984374999999E-4</v>
      </c>
      <c r="AG104" s="199">
        <v>8.0474074074074073E-6</v>
      </c>
      <c r="AH104" s="199">
        <v>4.0237037037037036E-6</v>
      </c>
      <c r="AI104" s="199">
        <v>4.0237037037037036E-6</v>
      </c>
      <c r="AJ104" s="199">
        <v>0.7</v>
      </c>
      <c r="AK104" s="199">
        <v>0.75</v>
      </c>
      <c r="AL104" s="199">
        <v>1</v>
      </c>
      <c r="AM104" s="199">
        <v>0</v>
      </c>
      <c r="AN104" s="199">
        <v>0.8</v>
      </c>
      <c r="AO104" s="199">
        <v>0</v>
      </c>
      <c r="AP104" s="199">
        <v>0</v>
      </c>
      <c r="AQ104" s="199">
        <v>0</v>
      </c>
      <c r="AR104" s="199">
        <v>0</v>
      </c>
      <c r="AS104" s="199">
        <v>0</v>
      </c>
      <c r="AT104" s="199">
        <v>0</v>
      </c>
      <c r="AU104" s="199">
        <v>0</v>
      </c>
      <c r="AV104" s="199">
        <v>0</v>
      </c>
      <c r="AW104" s="199">
        <v>0</v>
      </c>
      <c r="AX104" s="199">
        <v>0</v>
      </c>
      <c r="AY104" s="199">
        <v>0</v>
      </c>
      <c r="AZ104" s="199">
        <v>0</v>
      </c>
      <c r="BA104" s="199">
        <v>0</v>
      </c>
      <c r="BB104" s="199">
        <v>0</v>
      </c>
      <c r="BC104" s="199">
        <v>0</v>
      </c>
    </row>
    <row r="105" spans="1:55" hidden="1" outlineLevel="1" x14ac:dyDescent="0.2">
      <c r="A105" s="36"/>
      <c r="B105" s="36"/>
      <c r="C105" s="162" t="str">
        <v>LMA: enlace microondas TDM: 8.45</v>
      </c>
      <c r="D105"/>
      <c r="F105" s="199">
        <v>0.61906594669117643</v>
      </c>
      <c r="G105" s="199">
        <v>0.31111755371093747</v>
      </c>
      <c r="H105" s="199">
        <v>0.31733398437499999</v>
      </c>
      <c r="I105" s="199">
        <v>0.30470377604166665</v>
      </c>
      <c r="J105" s="199">
        <v>0.31111755371093747</v>
      </c>
      <c r="K105" s="199">
        <v>0.31733398437499999</v>
      </c>
      <c r="L105" s="199">
        <v>0.30470377604166665</v>
      </c>
      <c r="M105" s="199">
        <v>0.74287913602941169</v>
      </c>
      <c r="N105" s="199">
        <v>0.37334106445312498</v>
      </c>
      <c r="O105" s="199">
        <v>0.38080078125</v>
      </c>
      <c r="P105" s="199">
        <v>0.36564453125000002</v>
      </c>
      <c r="Q105" s="199">
        <v>0.37334106445312498</v>
      </c>
      <c r="R105" s="199">
        <v>0.38080078125</v>
      </c>
      <c r="S105" s="199">
        <v>0.36564453125000002</v>
      </c>
      <c r="T105" s="199">
        <v>0.568359375</v>
      </c>
      <c r="U105" s="199">
        <v>0.2841796875</v>
      </c>
      <c r="V105" s="199">
        <v>0.2841796875</v>
      </c>
      <c r="W105" s="199">
        <v>0.2841796875</v>
      </c>
      <c r="X105" s="199">
        <v>0.2841796875</v>
      </c>
      <c r="Y105" s="199">
        <v>0.2841796875</v>
      </c>
      <c r="Z105" s="199">
        <v>0.2841796875</v>
      </c>
      <c r="AA105" s="199">
        <v>7.4101613428943932E-4</v>
      </c>
      <c r="AB105" s="199">
        <v>3.7050806714471966E-4</v>
      </c>
      <c r="AC105" s="199">
        <v>3.7050806714471966E-4</v>
      </c>
      <c r="AD105" s="199">
        <v>2.8417968749999998E-4</v>
      </c>
      <c r="AE105" s="199">
        <v>1.4208984374999999E-4</v>
      </c>
      <c r="AF105" s="199">
        <v>1.4208984374999999E-4</v>
      </c>
      <c r="AG105" s="199">
        <v>8.0474074074074073E-6</v>
      </c>
      <c r="AH105" s="199">
        <v>4.0237037037037036E-6</v>
      </c>
      <c r="AI105" s="199">
        <v>4.0237037037037036E-6</v>
      </c>
      <c r="AJ105" s="199">
        <v>0.7</v>
      </c>
      <c r="AK105" s="199">
        <v>0.75</v>
      </c>
      <c r="AL105" s="199">
        <v>1</v>
      </c>
      <c r="AM105" s="199">
        <v>0</v>
      </c>
      <c r="AN105" s="199">
        <v>0.8</v>
      </c>
      <c r="AO105" s="199">
        <v>0</v>
      </c>
      <c r="AP105" s="199">
        <v>0</v>
      </c>
      <c r="AQ105" s="199">
        <v>0</v>
      </c>
      <c r="AR105" s="199">
        <v>0</v>
      </c>
      <c r="AS105" s="199">
        <v>0</v>
      </c>
      <c r="AT105" s="199">
        <v>0</v>
      </c>
      <c r="AU105" s="199">
        <v>0</v>
      </c>
      <c r="AV105" s="199">
        <v>0</v>
      </c>
      <c r="AW105" s="199">
        <v>0</v>
      </c>
      <c r="AX105" s="199">
        <v>0</v>
      </c>
      <c r="AY105" s="199">
        <v>0</v>
      </c>
      <c r="AZ105" s="199">
        <v>0</v>
      </c>
      <c r="BA105" s="199">
        <v>0</v>
      </c>
      <c r="BB105" s="199">
        <v>0</v>
      </c>
      <c r="BC105" s="199">
        <v>0</v>
      </c>
    </row>
    <row r="106" spans="1:55" hidden="1" outlineLevel="1" x14ac:dyDescent="0.2">
      <c r="A106" s="36"/>
      <c r="B106" s="36"/>
      <c r="C106" s="162" t="str">
        <v>LMA: enlace microondas TDM: 34.37</v>
      </c>
      <c r="D106"/>
      <c r="F106" s="199">
        <v>0.61906594669117643</v>
      </c>
      <c r="G106" s="199">
        <v>0.31111755371093747</v>
      </c>
      <c r="H106" s="199">
        <v>0.31733398437499999</v>
      </c>
      <c r="I106" s="199">
        <v>0.30470377604166665</v>
      </c>
      <c r="J106" s="199">
        <v>0.31111755371093747</v>
      </c>
      <c r="K106" s="199">
        <v>0.31733398437499999</v>
      </c>
      <c r="L106" s="199">
        <v>0.30470377604166665</v>
      </c>
      <c r="M106" s="199">
        <v>0.74287913602941169</v>
      </c>
      <c r="N106" s="199">
        <v>0.37334106445312498</v>
      </c>
      <c r="O106" s="199">
        <v>0.38080078125</v>
      </c>
      <c r="P106" s="199">
        <v>0.36564453125000002</v>
      </c>
      <c r="Q106" s="199">
        <v>0.37334106445312498</v>
      </c>
      <c r="R106" s="199">
        <v>0.38080078125</v>
      </c>
      <c r="S106" s="199">
        <v>0.36564453125000002</v>
      </c>
      <c r="T106" s="199">
        <v>0.568359375</v>
      </c>
      <c r="U106" s="199">
        <v>0.2841796875</v>
      </c>
      <c r="V106" s="199">
        <v>0.2841796875</v>
      </c>
      <c r="W106" s="199">
        <v>0.2841796875</v>
      </c>
      <c r="X106" s="199">
        <v>0.2841796875</v>
      </c>
      <c r="Y106" s="199">
        <v>0.2841796875</v>
      </c>
      <c r="Z106" s="199">
        <v>0.2841796875</v>
      </c>
      <c r="AA106" s="199">
        <v>7.4101613428943932E-4</v>
      </c>
      <c r="AB106" s="199">
        <v>3.7050806714471966E-4</v>
      </c>
      <c r="AC106" s="199">
        <v>3.7050806714471966E-4</v>
      </c>
      <c r="AD106" s="199">
        <v>2.8417968749999998E-4</v>
      </c>
      <c r="AE106" s="199">
        <v>1.4208984374999999E-4</v>
      </c>
      <c r="AF106" s="199">
        <v>1.4208984374999999E-4</v>
      </c>
      <c r="AG106" s="199">
        <v>8.0474074074074073E-6</v>
      </c>
      <c r="AH106" s="199">
        <v>4.0237037037037036E-6</v>
      </c>
      <c r="AI106" s="199">
        <v>4.0237037037037036E-6</v>
      </c>
      <c r="AJ106" s="199">
        <v>0.7</v>
      </c>
      <c r="AK106" s="199">
        <v>0.75</v>
      </c>
      <c r="AL106" s="199">
        <v>1</v>
      </c>
      <c r="AM106" s="199">
        <v>0</v>
      </c>
      <c r="AN106" s="199">
        <v>0.8</v>
      </c>
      <c r="AO106" s="199">
        <v>0</v>
      </c>
      <c r="AP106" s="199">
        <v>0</v>
      </c>
      <c r="AQ106" s="199">
        <v>0</v>
      </c>
      <c r="AR106" s="199">
        <v>0</v>
      </c>
      <c r="AS106" s="199">
        <v>0</v>
      </c>
      <c r="AT106" s="199">
        <v>0</v>
      </c>
      <c r="AU106" s="199">
        <v>0</v>
      </c>
      <c r="AV106" s="199">
        <v>0</v>
      </c>
      <c r="AW106" s="199">
        <v>0</v>
      </c>
      <c r="AX106" s="199">
        <v>0</v>
      </c>
      <c r="AY106" s="199">
        <v>0</v>
      </c>
      <c r="AZ106" s="199">
        <v>0</v>
      </c>
      <c r="BA106" s="199">
        <v>0</v>
      </c>
      <c r="BB106" s="199">
        <v>0</v>
      </c>
      <c r="BC106" s="199">
        <v>0</v>
      </c>
    </row>
    <row r="107" spans="1:55" hidden="1" outlineLevel="1" x14ac:dyDescent="0.2">
      <c r="A107" s="36"/>
      <c r="B107" s="36"/>
      <c r="C107" s="162" t="str">
        <v>LMA: enlace microondas Ethernet: 10</v>
      </c>
      <c r="D107"/>
      <c r="F107" s="199">
        <v>0.61906594669117643</v>
      </c>
      <c r="G107" s="199">
        <v>0.31111755371093747</v>
      </c>
      <c r="H107" s="199">
        <v>0.31733398437499999</v>
      </c>
      <c r="I107" s="199">
        <v>0.30470377604166665</v>
      </c>
      <c r="J107" s="199">
        <v>0.31111755371093747</v>
      </c>
      <c r="K107" s="199">
        <v>0.31733398437499999</v>
      </c>
      <c r="L107" s="199">
        <v>0.30470377604166665</v>
      </c>
      <c r="M107" s="199">
        <v>0.74287913602941169</v>
      </c>
      <c r="N107" s="199">
        <v>0.37334106445312498</v>
      </c>
      <c r="O107" s="199">
        <v>0.38080078125</v>
      </c>
      <c r="P107" s="199">
        <v>0.36564453125000002</v>
      </c>
      <c r="Q107" s="199">
        <v>0.37334106445312498</v>
      </c>
      <c r="R107" s="199">
        <v>0.38080078125</v>
      </c>
      <c r="S107" s="199">
        <v>0.36564453125000002</v>
      </c>
      <c r="T107" s="199">
        <v>0.568359375</v>
      </c>
      <c r="U107" s="199">
        <v>0.2841796875</v>
      </c>
      <c r="V107" s="199">
        <v>0.2841796875</v>
      </c>
      <c r="W107" s="199">
        <v>0.2841796875</v>
      </c>
      <c r="X107" s="199">
        <v>0.2841796875</v>
      </c>
      <c r="Y107" s="199">
        <v>0.2841796875</v>
      </c>
      <c r="Z107" s="199">
        <v>0.2841796875</v>
      </c>
      <c r="AA107" s="199">
        <v>7.4101613428943932E-4</v>
      </c>
      <c r="AB107" s="199">
        <v>3.7050806714471966E-4</v>
      </c>
      <c r="AC107" s="199">
        <v>3.7050806714471966E-4</v>
      </c>
      <c r="AD107" s="199">
        <v>2.8417968749999998E-4</v>
      </c>
      <c r="AE107" s="199">
        <v>1.4208984374999999E-4</v>
      </c>
      <c r="AF107" s="199">
        <v>1.4208984374999999E-4</v>
      </c>
      <c r="AG107" s="199">
        <v>8.0474074074074073E-6</v>
      </c>
      <c r="AH107" s="199">
        <v>4.0237037037037036E-6</v>
      </c>
      <c r="AI107" s="199">
        <v>4.0237037037037036E-6</v>
      </c>
      <c r="AJ107" s="199">
        <v>0.7</v>
      </c>
      <c r="AK107" s="199">
        <v>0.75</v>
      </c>
      <c r="AL107" s="199">
        <v>1</v>
      </c>
      <c r="AM107" s="199">
        <v>0</v>
      </c>
      <c r="AN107" s="199">
        <v>0.8</v>
      </c>
      <c r="AO107" s="199">
        <v>0</v>
      </c>
      <c r="AP107" s="199">
        <v>0</v>
      </c>
      <c r="AQ107" s="199">
        <v>0</v>
      </c>
      <c r="AR107" s="199">
        <v>0</v>
      </c>
      <c r="AS107" s="199">
        <v>0</v>
      </c>
      <c r="AT107" s="199">
        <v>0</v>
      </c>
      <c r="AU107" s="199">
        <v>0</v>
      </c>
      <c r="AV107" s="199">
        <v>0</v>
      </c>
      <c r="AW107" s="199">
        <v>0</v>
      </c>
      <c r="AX107" s="199">
        <v>0</v>
      </c>
      <c r="AY107" s="199">
        <v>0</v>
      </c>
      <c r="AZ107" s="199">
        <v>0</v>
      </c>
      <c r="BA107" s="199">
        <v>0</v>
      </c>
      <c r="BB107" s="199">
        <v>0</v>
      </c>
      <c r="BC107" s="199">
        <v>0</v>
      </c>
    </row>
    <row r="108" spans="1:55" hidden="1" outlineLevel="1" x14ac:dyDescent="0.2">
      <c r="A108" s="36"/>
      <c r="B108" s="36"/>
      <c r="C108" s="162" t="str">
        <v>LMA: enlace microondas Ethernet: 30</v>
      </c>
      <c r="D108"/>
      <c r="F108" s="199">
        <v>0.61906594669117643</v>
      </c>
      <c r="G108" s="199">
        <v>0.31111755371093747</v>
      </c>
      <c r="H108" s="199">
        <v>0.31733398437499999</v>
      </c>
      <c r="I108" s="199">
        <v>0.30470377604166665</v>
      </c>
      <c r="J108" s="199">
        <v>0.31111755371093747</v>
      </c>
      <c r="K108" s="199">
        <v>0.31733398437499999</v>
      </c>
      <c r="L108" s="199">
        <v>0.30470377604166665</v>
      </c>
      <c r="M108" s="199">
        <v>0.74287913602941169</v>
      </c>
      <c r="N108" s="199">
        <v>0.37334106445312498</v>
      </c>
      <c r="O108" s="199">
        <v>0.38080078125</v>
      </c>
      <c r="P108" s="199">
        <v>0.36564453125000002</v>
      </c>
      <c r="Q108" s="199">
        <v>0.37334106445312498</v>
      </c>
      <c r="R108" s="199">
        <v>0.38080078125</v>
      </c>
      <c r="S108" s="199">
        <v>0.36564453125000002</v>
      </c>
      <c r="T108" s="199">
        <v>0.568359375</v>
      </c>
      <c r="U108" s="199">
        <v>0.2841796875</v>
      </c>
      <c r="V108" s="199">
        <v>0.2841796875</v>
      </c>
      <c r="W108" s="199">
        <v>0.2841796875</v>
      </c>
      <c r="X108" s="199">
        <v>0.2841796875</v>
      </c>
      <c r="Y108" s="199">
        <v>0.2841796875</v>
      </c>
      <c r="Z108" s="199">
        <v>0.2841796875</v>
      </c>
      <c r="AA108" s="199">
        <v>7.4101613428943932E-4</v>
      </c>
      <c r="AB108" s="199">
        <v>3.7050806714471966E-4</v>
      </c>
      <c r="AC108" s="199">
        <v>3.7050806714471966E-4</v>
      </c>
      <c r="AD108" s="199">
        <v>2.8417968749999998E-4</v>
      </c>
      <c r="AE108" s="199">
        <v>1.4208984374999999E-4</v>
      </c>
      <c r="AF108" s="199">
        <v>1.4208984374999999E-4</v>
      </c>
      <c r="AG108" s="199">
        <v>8.0474074074074073E-6</v>
      </c>
      <c r="AH108" s="199">
        <v>4.0237037037037036E-6</v>
      </c>
      <c r="AI108" s="199">
        <v>4.0237037037037036E-6</v>
      </c>
      <c r="AJ108" s="199">
        <v>0.7</v>
      </c>
      <c r="AK108" s="199">
        <v>0.75</v>
      </c>
      <c r="AL108" s="199">
        <v>1</v>
      </c>
      <c r="AM108" s="199">
        <v>0</v>
      </c>
      <c r="AN108" s="199">
        <v>0.8</v>
      </c>
      <c r="AO108" s="199">
        <v>0</v>
      </c>
      <c r="AP108" s="199">
        <v>0</v>
      </c>
      <c r="AQ108" s="199">
        <v>0</v>
      </c>
      <c r="AR108" s="199">
        <v>0</v>
      </c>
      <c r="AS108" s="199">
        <v>0</v>
      </c>
      <c r="AT108" s="199">
        <v>0</v>
      </c>
      <c r="AU108" s="199">
        <v>0</v>
      </c>
      <c r="AV108" s="199">
        <v>0</v>
      </c>
      <c r="AW108" s="199">
        <v>0</v>
      </c>
      <c r="AX108" s="199">
        <v>0</v>
      </c>
      <c r="AY108" s="199">
        <v>0</v>
      </c>
      <c r="AZ108" s="199">
        <v>0</v>
      </c>
      <c r="BA108" s="199">
        <v>0</v>
      </c>
      <c r="BB108" s="199">
        <v>0</v>
      </c>
      <c r="BC108" s="199">
        <v>0</v>
      </c>
    </row>
    <row r="109" spans="1:55" hidden="1" outlineLevel="1" x14ac:dyDescent="0.2">
      <c r="A109" s="36"/>
      <c r="B109" s="36"/>
      <c r="C109" s="162" t="str">
        <v>LMA: enlace microondas Ethernet: 100</v>
      </c>
      <c r="D109"/>
      <c r="F109" s="199">
        <v>0.61906594669117643</v>
      </c>
      <c r="G109" s="199">
        <v>0.31111755371093747</v>
      </c>
      <c r="H109" s="199">
        <v>0.31733398437499999</v>
      </c>
      <c r="I109" s="199">
        <v>0.30470377604166665</v>
      </c>
      <c r="J109" s="199">
        <v>0.31111755371093747</v>
      </c>
      <c r="K109" s="199">
        <v>0.31733398437499999</v>
      </c>
      <c r="L109" s="199">
        <v>0.30470377604166665</v>
      </c>
      <c r="M109" s="199">
        <v>0.74287913602941169</v>
      </c>
      <c r="N109" s="199">
        <v>0.37334106445312498</v>
      </c>
      <c r="O109" s="199">
        <v>0.38080078125</v>
      </c>
      <c r="P109" s="199">
        <v>0.36564453125000002</v>
      </c>
      <c r="Q109" s="199">
        <v>0.37334106445312498</v>
      </c>
      <c r="R109" s="199">
        <v>0.38080078125</v>
      </c>
      <c r="S109" s="199">
        <v>0.36564453125000002</v>
      </c>
      <c r="T109" s="199">
        <v>0.568359375</v>
      </c>
      <c r="U109" s="199">
        <v>0.2841796875</v>
      </c>
      <c r="V109" s="199">
        <v>0.2841796875</v>
      </c>
      <c r="W109" s="199">
        <v>0.2841796875</v>
      </c>
      <c r="X109" s="199">
        <v>0.2841796875</v>
      </c>
      <c r="Y109" s="199">
        <v>0.2841796875</v>
      </c>
      <c r="Z109" s="199">
        <v>0.2841796875</v>
      </c>
      <c r="AA109" s="199">
        <v>7.4101613428943932E-4</v>
      </c>
      <c r="AB109" s="199">
        <v>3.7050806714471966E-4</v>
      </c>
      <c r="AC109" s="199">
        <v>3.7050806714471966E-4</v>
      </c>
      <c r="AD109" s="199">
        <v>2.8417968749999998E-4</v>
      </c>
      <c r="AE109" s="199">
        <v>1.4208984374999999E-4</v>
      </c>
      <c r="AF109" s="199">
        <v>1.4208984374999999E-4</v>
      </c>
      <c r="AG109" s="199">
        <v>8.0474074074074073E-6</v>
      </c>
      <c r="AH109" s="199">
        <v>4.0237037037037036E-6</v>
      </c>
      <c r="AI109" s="199">
        <v>4.0237037037037036E-6</v>
      </c>
      <c r="AJ109" s="199">
        <v>0.7</v>
      </c>
      <c r="AK109" s="199">
        <v>0.75</v>
      </c>
      <c r="AL109" s="199">
        <v>1</v>
      </c>
      <c r="AM109" s="199">
        <v>0</v>
      </c>
      <c r="AN109" s="199">
        <v>0.8</v>
      </c>
      <c r="AO109" s="199">
        <v>0</v>
      </c>
      <c r="AP109" s="199">
        <v>0</v>
      </c>
      <c r="AQ109" s="199">
        <v>0</v>
      </c>
      <c r="AR109" s="199">
        <v>0</v>
      </c>
      <c r="AS109" s="199">
        <v>0</v>
      </c>
      <c r="AT109" s="199">
        <v>0</v>
      </c>
      <c r="AU109" s="199">
        <v>0</v>
      </c>
      <c r="AV109" s="199">
        <v>0</v>
      </c>
      <c r="AW109" s="199">
        <v>0</v>
      </c>
      <c r="AX109" s="199">
        <v>0</v>
      </c>
      <c r="AY109" s="199">
        <v>0</v>
      </c>
      <c r="AZ109" s="199">
        <v>0</v>
      </c>
      <c r="BA109" s="199">
        <v>0</v>
      </c>
      <c r="BB109" s="199">
        <v>0</v>
      </c>
      <c r="BC109" s="199">
        <v>0</v>
      </c>
    </row>
    <row r="110" spans="1:55" hidden="1" outlineLevel="1" x14ac:dyDescent="0.2">
      <c r="A110" s="36"/>
      <c r="B110" s="36"/>
      <c r="C110" s="162" t="str">
        <v>LMA: enlace de fibra propia</v>
      </c>
      <c r="D110"/>
      <c r="F110" s="199">
        <v>0.61906594669117643</v>
      </c>
      <c r="G110" s="199">
        <v>0.31111755371093747</v>
      </c>
      <c r="H110" s="199">
        <v>0.31733398437499999</v>
      </c>
      <c r="I110" s="199">
        <v>0.30470377604166665</v>
      </c>
      <c r="J110" s="199">
        <v>0.31111755371093747</v>
      </c>
      <c r="K110" s="199">
        <v>0.31733398437499999</v>
      </c>
      <c r="L110" s="199">
        <v>0.30470377604166665</v>
      </c>
      <c r="M110" s="199">
        <v>0.74287913602941169</v>
      </c>
      <c r="N110" s="199">
        <v>0.37334106445312498</v>
      </c>
      <c r="O110" s="199">
        <v>0.38080078125</v>
      </c>
      <c r="P110" s="199">
        <v>0.36564453125000002</v>
      </c>
      <c r="Q110" s="199">
        <v>0.37334106445312498</v>
      </c>
      <c r="R110" s="199">
        <v>0.38080078125</v>
      </c>
      <c r="S110" s="199">
        <v>0.36564453125000002</v>
      </c>
      <c r="T110" s="199">
        <v>0.568359375</v>
      </c>
      <c r="U110" s="199">
        <v>0.2841796875</v>
      </c>
      <c r="V110" s="199">
        <v>0.2841796875</v>
      </c>
      <c r="W110" s="199">
        <v>0.2841796875</v>
      </c>
      <c r="X110" s="199">
        <v>0.2841796875</v>
      </c>
      <c r="Y110" s="199">
        <v>0.2841796875</v>
      </c>
      <c r="Z110" s="199">
        <v>0.2841796875</v>
      </c>
      <c r="AA110" s="199">
        <v>7.4101613428943932E-4</v>
      </c>
      <c r="AB110" s="199">
        <v>3.7050806714471966E-4</v>
      </c>
      <c r="AC110" s="199">
        <v>3.7050806714471966E-4</v>
      </c>
      <c r="AD110" s="199">
        <v>2.8417968749999998E-4</v>
      </c>
      <c r="AE110" s="199">
        <v>1.4208984374999999E-4</v>
      </c>
      <c r="AF110" s="199">
        <v>1.4208984374999999E-4</v>
      </c>
      <c r="AG110" s="199">
        <v>8.0474074074074073E-6</v>
      </c>
      <c r="AH110" s="199">
        <v>4.0237037037037036E-6</v>
      </c>
      <c r="AI110" s="199">
        <v>4.0237037037037036E-6</v>
      </c>
      <c r="AJ110" s="199">
        <v>0.7</v>
      </c>
      <c r="AK110" s="199">
        <v>0.75</v>
      </c>
      <c r="AL110" s="199">
        <v>1</v>
      </c>
      <c r="AM110" s="199">
        <v>0</v>
      </c>
      <c r="AN110" s="199">
        <v>0.8</v>
      </c>
      <c r="AO110" s="199">
        <v>0</v>
      </c>
      <c r="AP110" s="199">
        <v>0</v>
      </c>
      <c r="AQ110" s="199">
        <v>0</v>
      </c>
      <c r="AR110" s="199">
        <v>0</v>
      </c>
      <c r="AS110" s="199">
        <v>0</v>
      </c>
      <c r="AT110" s="199">
        <v>0</v>
      </c>
      <c r="AU110" s="199">
        <v>0</v>
      </c>
      <c r="AV110" s="199">
        <v>0</v>
      </c>
      <c r="AW110" s="199">
        <v>0</v>
      </c>
      <c r="AX110" s="199">
        <v>0</v>
      </c>
      <c r="AY110" s="199">
        <v>0</v>
      </c>
      <c r="AZ110" s="199">
        <v>0</v>
      </c>
      <c r="BA110" s="199">
        <v>0</v>
      </c>
      <c r="BB110" s="199">
        <v>0</v>
      </c>
      <c r="BC110" s="199">
        <v>0</v>
      </c>
    </row>
    <row r="111" spans="1:55" hidden="1" outlineLevel="1" x14ac:dyDescent="0.2">
      <c r="A111" s="36"/>
      <c r="B111" s="36"/>
      <c r="C111" s="162" t="str">
        <v>Hub to core: línea alquilada TDM:  8.45</v>
      </c>
      <c r="D111"/>
      <c r="F111" s="199">
        <v>0.61906594669117643</v>
      </c>
      <c r="G111" s="199">
        <v>0.31111755371093747</v>
      </c>
      <c r="H111" s="199">
        <v>0.31733398437499999</v>
      </c>
      <c r="I111" s="199">
        <v>0.30470377604166665</v>
      </c>
      <c r="J111" s="199">
        <v>0.31111755371093747</v>
      </c>
      <c r="K111" s="199">
        <v>0.31733398437499999</v>
      </c>
      <c r="L111" s="199">
        <v>0.30470377604166665</v>
      </c>
      <c r="M111" s="199">
        <v>0.74287913602941169</v>
      </c>
      <c r="N111" s="199">
        <v>0.37334106445312498</v>
      </c>
      <c r="O111" s="199">
        <v>0.38080078125</v>
      </c>
      <c r="P111" s="199">
        <v>0.36564453125000002</v>
      </c>
      <c r="Q111" s="199">
        <v>0.37334106445312498</v>
      </c>
      <c r="R111" s="199">
        <v>0.38080078125</v>
      </c>
      <c r="S111" s="199">
        <v>0.36564453125000002</v>
      </c>
      <c r="T111" s="199">
        <v>0.568359375</v>
      </c>
      <c r="U111" s="199">
        <v>0.2841796875</v>
      </c>
      <c r="V111" s="199">
        <v>0.2841796875</v>
      </c>
      <c r="W111" s="199">
        <v>0.2841796875</v>
      </c>
      <c r="X111" s="199">
        <v>0.2841796875</v>
      </c>
      <c r="Y111" s="199">
        <v>0.2841796875</v>
      </c>
      <c r="Z111" s="199">
        <v>0.2841796875</v>
      </c>
      <c r="AA111" s="199">
        <v>7.4101613428943932E-4</v>
      </c>
      <c r="AB111" s="199">
        <v>3.7050806714471966E-4</v>
      </c>
      <c r="AC111" s="199">
        <v>3.7050806714471966E-4</v>
      </c>
      <c r="AD111" s="199">
        <v>2.8417968749999998E-4</v>
      </c>
      <c r="AE111" s="199">
        <v>1.4208984374999999E-4</v>
      </c>
      <c r="AF111" s="199">
        <v>1.4208984374999999E-4</v>
      </c>
      <c r="AG111" s="199">
        <v>8.0474074074074073E-6</v>
      </c>
      <c r="AH111" s="199">
        <v>4.0237037037037036E-6</v>
      </c>
      <c r="AI111" s="199">
        <v>4.0237037037037036E-6</v>
      </c>
      <c r="AJ111" s="199">
        <v>0.7</v>
      </c>
      <c r="AK111" s="199">
        <v>0.75</v>
      </c>
      <c r="AL111" s="199">
        <v>1</v>
      </c>
      <c r="AM111" s="199">
        <v>0</v>
      </c>
      <c r="AN111" s="199">
        <v>0.8</v>
      </c>
      <c r="AO111" s="199">
        <v>0</v>
      </c>
      <c r="AP111" s="199">
        <v>0</v>
      </c>
      <c r="AQ111" s="199">
        <v>0</v>
      </c>
      <c r="AR111" s="199">
        <v>0</v>
      </c>
      <c r="AS111" s="199">
        <v>0</v>
      </c>
      <c r="AT111" s="199">
        <v>0</v>
      </c>
      <c r="AU111" s="199">
        <v>0</v>
      </c>
      <c r="AV111" s="199">
        <v>0</v>
      </c>
      <c r="AW111" s="199">
        <v>0</v>
      </c>
      <c r="AX111" s="199">
        <v>0</v>
      </c>
      <c r="AY111" s="199">
        <v>0</v>
      </c>
      <c r="AZ111" s="199">
        <v>0</v>
      </c>
      <c r="BA111" s="199">
        <v>0</v>
      </c>
      <c r="BB111" s="199">
        <v>0</v>
      </c>
      <c r="BC111" s="199">
        <v>0</v>
      </c>
    </row>
    <row r="112" spans="1:55" hidden="1" outlineLevel="1" x14ac:dyDescent="0.2">
      <c r="A112" s="36"/>
      <c r="B112" s="36"/>
      <c r="C112" s="162" t="str">
        <v>Hub to core: línea alquilada TDM:  34.37</v>
      </c>
      <c r="D112"/>
      <c r="F112" s="199">
        <v>0.61906594669117643</v>
      </c>
      <c r="G112" s="199">
        <v>0.31111755371093747</v>
      </c>
      <c r="H112" s="199">
        <v>0.31733398437499999</v>
      </c>
      <c r="I112" s="199">
        <v>0.30470377604166665</v>
      </c>
      <c r="J112" s="199">
        <v>0.31111755371093747</v>
      </c>
      <c r="K112" s="199">
        <v>0.31733398437499999</v>
      </c>
      <c r="L112" s="199">
        <v>0.30470377604166665</v>
      </c>
      <c r="M112" s="199">
        <v>0.74287913602941169</v>
      </c>
      <c r="N112" s="199">
        <v>0.37334106445312498</v>
      </c>
      <c r="O112" s="199">
        <v>0.38080078125</v>
      </c>
      <c r="P112" s="199">
        <v>0.36564453125000002</v>
      </c>
      <c r="Q112" s="199">
        <v>0.37334106445312498</v>
      </c>
      <c r="R112" s="199">
        <v>0.38080078125</v>
      </c>
      <c r="S112" s="199">
        <v>0.36564453125000002</v>
      </c>
      <c r="T112" s="199">
        <v>0.568359375</v>
      </c>
      <c r="U112" s="199">
        <v>0.2841796875</v>
      </c>
      <c r="V112" s="199">
        <v>0.2841796875</v>
      </c>
      <c r="W112" s="199">
        <v>0.2841796875</v>
      </c>
      <c r="X112" s="199">
        <v>0.2841796875</v>
      </c>
      <c r="Y112" s="199">
        <v>0.2841796875</v>
      </c>
      <c r="Z112" s="199">
        <v>0.2841796875</v>
      </c>
      <c r="AA112" s="199">
        <v>7.4101613428943932E-4</v>
      </c>
      <c r="AB112" s="199">
        <v>3.7050806714471966E-4</v>
      </c>
      <c r="AC112" s="199">
        <v>3.7050806714471966E-4</v>
      </c>
      <c r="AD112" s="199">
        <v>2.8417968749999998E-4</v>
      </c>
      <c r="AE112" s="199">
        <v>1.4208984374999999E-4</v>
      </c>
      <c r="AF112" s="199">
        <v>1.4208984374999999E-4</v>
      </c>
      <c r="AG112" s="199">
        <v>8.0474074074074073E-6</v>
      </c>
      <c r="AH112" s="199">
        <v>4.0237037037037036E-6</v>
      </c>
      <c r="AI112" s="199">
        <v>4.0237037037037036E-6</v>
      </c>
      <c r="AJ112" s="199">
        <v>0.7</v>
      </c>
      <c r="AK112" s="199">
        <v>0.75</v>
      </c>
      <c r="AL112" s="199">
        <v>1</v>
      </c>
      <c r="AM112" s="199">
        <v>0</v>
      </c>
      <c r="AN112" s="199">
        <v>0.8</v>
      </c>
      <c r="AO112" s="199">
        <v>0</v>
      </c>
      <c r="AP112" s="199">
        <v>0</v>
      </c>
      <c r="AQ112" s="199">
        <v>0</v>
      </c>
      <c r="AR112" s="199">
        <v>0</v>
      </c>
      <c r="AS112" s="199">
        <v>0</v>
      </c>
      <c r="AT112" s="199">
        <v>0</v>
      </c>
      <c r="AU112" s="199">
        <v>0</v>
      </c>
      <c r="AV112" s="199">
        <v>0</v>
      </c>
      <c r="AW112" s="199">
        <v>0</v>
      </c>
      <c r="AX112" s="199">
        <v>0</v>
      </c>
      <c r="AY112" s="199">
        <v>0</v>
      </c>
      <c r="AZ112" s="199">
        <v>0</v>
      </c>
      <c r="BA112" s="199">
        <v>0</v>
      </c>
      <c r="BB112" s="199">
        <v>0</v>
      </c>
      <c r="BC112" s="199">
        <v>0</v>
      </c>
    </row>
    <row r="113" spans="1:55" hidden="1" outlineLevel="1" x14ac:dyDescent="0.2">
      <c r="A113" s="36"/>
      <c r="B113" s="36"/>
      <c r="C113" s="162" t="str">
        <v>Hub to core: línea alquilada TDM:  155.52</v>
      </c>
      <c r="D113"/>
      <c r="F113" s="199">
        <v>0.61906594669117643</v>
      </c>
      <c r="G113" s="199">
        <v>0.31111755371093747</v>
      </c>
      <c r="H113" s="199">
        <v>0.31733398437499999</v>
      </c>
      <c r="I113" s="199">
        <v>0.30470377604166665</v>
      </c>
      <c r="J113" s="199">
        <v>0.31111755371093747</v>
      </c>
      <c r="K113" s="199">
        <v>0.31733398437499999</v>
      </c>
      <c r="L113" s="199">
        <v>0.30470377604166665</v>
      </c>
      <c r="M113" s="199">
        <v>0.74287913602941169</v>
      </c>
      <c r="N113" s="199">
        <v>0.37334106445312498</v>
      </c>
      <c r="O113" s="199">
        <v>0.38080078125</v>
      </c>
      <c r="P113" s="199">
        <v>0.36564453125000002</v>
      </c>
      <c r="Q113" s="199">
        <v>0.37334106445312498</v>
      </c>
      <c r="R113" s="199">
        <v>0.38080078125</v>
      </c>
      <c r="S113" s="199">
        <v>0.36564453125000002</v>
      </c>
      <c r="T113" s="199">
        <v>0.568359375</v>
      </c>
      <c r="U113" s="199">
        <v>0.2841796875</v>
      </c>
      <c r="V113" s="199">
        <v>0.2841796875</v>
      </c>
      <c r="W113" s="199">
        <v>0.2841796875</v>
      </c>
      <c r="X113" s="199">
        <v>0.2841796875</v>
      </c>
      <c r="Y113" s="199">
        <v>0.2841796875</v>
      </c>
      <c r="Z113" s="199">
        <v>0.2841796875</v>
      </c>
      <c r="AA113" s="199">
        <v>7.4101613428943932E-4</v>
      </c>
      <c r="AB113" s="199">
        <v>3.7050806714471966E-4</v>
      </c>
      <c r="AC113" s="199">
        <v>3.7050806714471966E-4</v>
      </c>
      <c r="AD113" s="199">
        <v>2.8417968749999998E-4</v>
      </c>
      <c r="AE113" s="199">
        <v>1.4208984374999999E-4</v>
      </c>
      <c r="AF113" s="199">
        <v>1.4208984374999999E-4</v>
      </c>
      <c r="AG113" s="199">
        <v>8.0474074074074073E-6</v>
      </c>
      <c r="AH113" s="199">
        <v>4.0237037037037036E-6</v>
      </c>
      <c r="AI113" s="199">
        <v>4.0237037037037036E-6</v>
      </c>
      <c r="AJ113" s="199">
        <v>0.7</v>
      </c>
      <c r="AK113" s="199">
        <v>0.75</v>
      </c>
      <c r="AL113" s="199">
        <v>1</v>
      </c>
      <c r="AM113" s="199">
        <v>0</v>
      </c>
      <c r="AN113" s="199">
        <v>0.8</v>
      </c>
      <c r="AO113" s="199">
        <v>0</v>
      </c>
      <c r="AP113" s="199">
        <v>0</v>
      </c>
      <c r="AQ113" s="199">
        <v>0</v>
      </c>
      <c r="AR113" s="199">
        <v>0</v>
      </c>
      <c r="AS113" s="199">
        <v>0</v>
      </c>
      <c r="AT113" s="199">
        <v>0</v>
      </c>
      <c r="AU113" s="199">
        <v>0</v>
      </c>
      <c r="AV113" s="199">
        <v>0</v>
      </c>
      <c r="AW113" s="199">
        <v>0</v>
      </c>
      <c r="AX113" s="199">
        <v>0</v>
      </c>
      <c r="AY113" s="199">
        <v>0</v>
      </c>
      <c r="AZ113" s="199">
        <v>0</v>
      </c>
      <c r="BA113" s="199">
        <v>0</v>
      </c>
      <c r="BB113" s="199">
        <v>0</v>
      </c>
      <c r="BC113" s="199">
        <v>0</v>
      </c>
    </row>
    <row r="114" spans="1:55" hidden="1" outlineLevel="1" x14ac:dyDescent="0.2">
      <c r="A114" s="36"/>
      <c r="B114" s="36"/>
      <c r="C114" s="162" t="str">
        <v>Hub to core: línea alquilada Ethernet:  10</v>
      </c>
      <c r="D114"/>
      <c r="F114" s="199">
        <v>0.61906594669117643</v>
      </c>
      <c r="G114" s="199">
        <v>0.31111755371093747</v>
      </c>
      <c r="H114" s="199">
        <v>0.31733398437499999</v>
      </c>
      <c r="I114" s="199">
        <v>0.30470377604166665</v>
      </c>
      <c r="J114" s="199">
        <v>0.31111755371093747</v>
      </c>
      <c r="K114" s="199">
        <v>0.31733398437499999</v>
      </c>
      <c r="L114" s="199">
        <v>0.30470377604166665</v>
      </c>
      <c r="M114" s="199">
        <v>0.74287913602941169</v>
      </c>
      <c r="N114" s="199">
        <v>0.37334106445312498</v>
      </c>
      <c r="O114" s="199">
        <v>0.38080078125</v>
      </c>
      <c r="P114" s="199">
        <v>0.36564453125000002</v>
      </c>
      <c r="Q114" s="199">
        <v>0.37334106445312498</v>
      </c>
      <c r="R114" s="199">
        <v>0.38080078125</v>
      </c>
      <c r="S114" s="199">
        <v>0.36564453125000002</v>
      </c>
      <c r="T114" s="199">
        <v>0.568359375</v>
      </c>
      <c r="U114" s="199">
        <v>0.2841796875</v>
      </c>
      <c r="V114" s="199">
        <v>0.2841796875</v>
      </c>
      <c r="W114" s="199">
        <v>0.2841796875</v>
      </c>
      <c r="X114" s="199">
        <v>0.2841796875</v>
      </c>
      <c r="Y114" s="199">
        <v>0.2841796875</v>
      </c>
      <c r="Z114" s="199">
        <v>0.2841796875</v>
      </c>
      <c r="AA114" s="199">
        <v>7.4101613428943932E-4</v>
      </c>
      <c r="AB114" s="199">
        <v>3.7050806714471966E-4</v>
      </c>
      <c r="AC114" s="199">
        <v>3.7050806714471966E-4</v>
      </c>
      <c r="AD114" s="199">
        <v>2.8417968749999998E-4</v>
      </c>
      <c r="AE114" s="199">
        <v>1.4208984374999999E-4</v>
      </c>
      <c r="AF114" s="199">
        <v>1.4208984374999999E-4</v>
      </c>
      <c r="AG114" s="199">
        <v>8.0474074074074073E-6</v>
      </c>
      <c r="AH114" s="199">
        <v>4.0237037037037036E-6</v>
      </c>
      <c r="AI114" s="199">
        <v>4.0237037037037036E-6</v>
      </c>
      <c r="AJ114" s="199">
        <v>0.7</v>
      </c>
      <c r="AK114" s="199">
        <v>0.75</v>
      </c>
      <c r="AL114" s="199">
        <v>1</v>
      </c>
      <c r="AM114" s="199">
        <v>0</v>
      </c>
      <c r="AN114" s="199">
        <v>0.8</v>
      </c>
      <c r="AO114" s="199">
        <v>0</v>
      </c>
      <c r="AP114" s="199">
        <v>0</v>
      </c>
      <c r="AQ114" s="199">
        <v>0</v>
      </c>
      <c r="AR114" s="199">
        <v>0</v>
      </c>
      <c r="AS114" s="199">
        <v>0</v>
      </c>
      <c r="AT114" s="199">
        <v>0</v>
      </c>
      <c r="AU114" s="199">
        <v>0</v>
      </c>
      <c r="AV114" s="199">
        <v>0</v>
      </c>
      <c r="AW114" s="199">
        <v>0</v>
      </c>
      <c r="AX114" s="199">
        <v>0</v>
      </c>
      <c r="AY114" s="199">
        <v>0</v>
      </c>
      <c r="AZ114" s="199">
        <v>0</v>
      </c>
      <c r="BA114" s="199">
        <v>0</v>
      </c>
      <c r="BB114" s="199">
        <v>0</v>
      </c>
      <c r="BC114" s="199">
        <v>0</v>
      </c>
    </row>
    <row r="115" spans="1:55" hidden="1" outlineLevel="1" x14ac:dyDescent="0.2">
      <c r="A115" s="36"/>
      <c r="B115" s="36"/>
      <c r="C115" s="162" t="str">
        <v>Hub to core: línea alquilada Ethernet:  100</v>
      </c>
      <c r="D115"/>
      <c r="F115" s="199">
        <v>0.61906594669117643</v>
      </c>
      <c r="G115" s="199">
        <v>0.31111755371093747</v>
      </c>
      <c r="H115" s="199">
        <v>0.31733398437499999</v>
      </c>
      <c r="I115" s="199">
        <v>0.30470377604166665</v>
      </c>
      <c r="J115" s="199">
        <v>0.31111755371093747</v>
      </c>
      <c r="K115" s="199">
        <v>0.31733398437499999</v>
      </c>
      <c r="L115" s="199">
        <v>0.30470377604166665</v>
      </c>
      <c r="M115" s="199">
        <v>0.74287913602941169</v>
      </c>
      <c r="N115" s="199">
        <v>0.37334106445312498</v>
      </c>
      <c r="O115" s="199">
        <v>0.38080078125</v>
      </c>
      <c r="P115" s="199">
        <v>0.36564453125000002</v>
      </c>
      <c r="Q115" s="199">
        <v>0.37334106445312498</v>
      </c>
      <c r="R115" s="199">
        <v>0.38080078125</v>
      </c>
      <c r="S115" s="199">
        <v>0.36564453125000002</v>
      </c>
      <c r="T115" s="199">
        <v>0.568359375</v>
      </c>
      <c r="U115" s="199">
        <v>0.2841796875</v>
      </c>
      <c r="V115" s="199">
        <v>0.2841796875</v>
      </c>
      <c r="W115" s="199">
        <v>0.2841796875</v>
      </c>
      <c r="X115" s="199">
        <v>0.2841796875</v>
      </c>
      <c r="Y115" s="199">
        <v>0.2841796875</v>
      </c>
      <c r="Z115" s="199">
        <v>0.2841796875</v>
      </c>
      <c r="AA115" s="199">
        <v>7.4101613428943932E-4</v>
      </c>
      <c r="AB115" s="199">
        <v>3.7050806714471966E-4</v>
      </c>
      <c r="AC115" s="199">
        <v>3.7050806714471966E-4</v>
      </c>
      <c r="AD115" s="199">
        <v>2.8417968749999998E-4</v>
      </c>
      <c r="AE115" s="199">
        <v>1.4208984374999999E-4</v>
      </c>
      <c r="AF115" s="199">
        <v>1.4208984374999999E-4</v>
      </c>
      <c r="AG115" s="199">
        <v>8.0474074074074073E-6</v>
      </c>
      <c r="AH115" s="199">
        <v>4.0237037037037036E-6</v>
      </c>
      <c r="AI115" s="199">
        <v>4.0237037037037036E-6</v>
      </c>
      <c r="AJ115" s="199">
        <v>0.7</v>
      </c>
      <c r="AK115" s="199">
        <v>0.75</v>
      </c>
      <c r="AL115" s="199">
        <v>1</v>
      </c>
      <c r="AM115" s="199">
        <v>0</v>
      </c>
      <c r="AN115" s="199">
        <v>0.8</v>
      </c>
      <c r="AO115" s="199">
        <v>0</v>
      </c>
      <c r="AP115" s="199">
        <v>0</v>
      </c>
      <c r="AQ115" s="199">
        <v>0</v>
      </c>
      <c r="AR115" s="199">
        <v>0</v>
      </c>
      <c r="AS115" s="199">
        <v>0</v>
      </c>
      <c r="AT115" s="199">
        <v>0</v>
      </c>
      <c r="AU115" s="199">
        <v>0</v>
      </c>
      <c r="AV115" s="199">
        <v>0</v>
      </c>
      <c r="AW115" s="199">
        <v>0</v>
      </c>
      <c r="AX115" s="199">
        <v>0</v>
      </c>
      <c r="AY115" s="199">
        <v>0</v>
      </c>
      <c r="AZ115" s="199">
        <v>0</v>
      </c>
      <c r="BA115" s="199">
        <v>0</v>
      </c>
      <c r="BB115" s="199">
        <v>0</v>
      </c>
      <c r="BC115" s="199">
        <v>0</v>
      </c>
    </row>
    <row r="116" spans="1:55" hidden="1" outlineLevel="1" x14ac:dyDescent="0.2">
      <c r="A116" s="36"/>
      <c r="B116" s="36"/>
      <c r="C116" s="162" t="str">
        <v>Hub to core: línea alquilada Ethernet:  1024</v>
      </c>
      <c r="D116"/>
      <c r="F116" s="199">
        <v>0.61906594669117643</v>
      </c>
      <c r="G116" s="199">
        <v>0.31111755371093747</v>
      </c>
      <c r="H116" s="199">
        <v>0.31733398437499999</v>
      </c>
      <c r="I116" s="199">
        <v>0.30470377604166665</v>
      </c>
      <c r="J116" s="199">
        <v>0.31111755371093747</v>
      </c>
      <c r="K116" s="199">
        <v>0.31733398437499999</v>
      </c>
      <c r="L116" s="199">
        <v>0.30470377604166665</v>
      </c>
      <c r="M116" s="199">
        <v>0.74287913602941169</v>
      </c>
      <c r="N116" s="199">
        <v>0.37334106445312498</v>
      </c>
      <c r="O116" s="199">
        <v>0.38080078125</v>
      </c>
      <c r="P116" s="199">
        <v>0.36564453125000002</v>
      </c>
      <c r="Q116" s="199">
        <v>0.37334106445312498</v>
      </c>
      <c r="R116" s="199">
        <v>0.38080078125</v>
      </c>
      <c r="S116" s="199">
        <v>0.36564453125000002</v>
      </c>
      <c r="T116" s="199">
        <v>0.568359375</v>
      </c>
      <c r="U116" s="199">
        <v>0.2841796875</v>
      </c>
      <c r="V116" s="199">
        <v>0.2841796875</v>
      </c>
      <c r="W116" s="199">
        <v>0.2841796875</v>
      </c>
      <c r="X116" s="199">
        <v>0.2841796875</v>
      </c>
      <c r="Y116" s="199">
        <v>0.2841796875</v>
      </c>
      <c r="Z116" s="199">
        <v>0.2841796875</v>
      </c>
      <c r="AA116" s="199">
        <v>7.4101613428943932E-4</v>
      </c>
      <c r="AB116" s="199">
        <v>3.7050806714471966E-4</v>
      </c>
      <c r="AC116" s="199">
        <v>3.7050806714471966E-4</v>
      </c>
      <c r="AD116" s="199">
        <v>2.8417968749999998E-4</v>
      </c>
      <c r="AE116" s="199">
        <v>1.4208984374999999E-4</v>
      </c>
      <c r="AF116" s="199">
        <v>1.4208984374999999E-4</v>
      </c>
      <c r="AG116" s="199">
        <v>8.0474074074074073E-6</v>
      </c>
      <c r="AH116" s="199">
        <v>4.0237037037037036E-6</v>
      </c>
      <c r="AI116" s="199">
        <v>4.0237037037037036E-6</v>
      </c>
      <c r="AJ116" s="199">
        <v>0.7</v>
      </c>
      <c r="AK116" s="199">
        <v>0.75</v>
      </c>
      <c r="AL116" s="199">
        <v>1</v>
      </c>
      <c r="AM116" s="199">
        <v>0</v>
      </c>
      <c r="AN116" s="199">
        <v>0.8</v>
      </c>
      <c r="AO116" s="199">
        <v>0</v>
      </c>
      <c r="AP116" s="199">
        <v>0</v>
      </c>
      <c r="AQ116" s="199">
        <v>0</v>
      </c>
      <c r="AR116" s="199">
        <v>0</v>
      </c>
      <c r="AS116" s="199">
        <v>0</v>
      </c>
      <c r="AT116" s="199">
        <v>0</v>
      </c>
      <c r="AU116" s="199">
        <v>0</v>
      </c>
      <c r="AV116" s="199">
        <v>0</v>
      </c>
      <c r="AW116" s="199">
        <v>0</v>
      </c>
      <c r="AX116" s="199">
        <v>0</v>
      </c>
      <c r="AY116" s="199">
        <v>0</v>
      </c>
      <c r="AZ116" s="199">
        <v>0</v>
      </c>
      <c r="BA116" s="199">
        <v>0</v>
      </c>
      <c r="BB116" s="199">
        <v>0</v>
      </c>
      <c r="BC116" s="199">
        <v>0</v>
      </c>
    </row>
    <row r="117" spans="1:55" hidden="1" outlineLevel="1" x14ac:dyDescent="0.2">
      <c r="A117" s="36"/>
      <c r="B117" s="36"/>
      <c r="C117" s="162" t="str">
        <v>Hub to Core puntos de acceso a anillos: 155.52</v>
      </c>
      <c r="D117"/>
      <c r="F117" s="199">
        <v>0.61906594669117643</v>
      </c>
      <c r="G117" s="199">
        <v>0.31111755371093747</v>
      </c>
      <c r="H117" s="199">
        <v>0.31733398437499999</v>
      </c>
      <c r="I117" s="199">
        <v>0.30470377604166665</v>
      </c>
      <c r="J117" s="199">
        <v>0.31111755371093747</v>
      </c>
      <c r="K117" s="199">
        <v>0.31733398437499999</v>
      </c>
      <c r="L117" s="199">
        <v>0.30470377604166665</v>
      </c>
      <c r="M117" s="199">
        <v>0.74287913602941169</v>
      </c>
      <c r="N117" s="199">
        <v>0.37334106445312498</v>
      </c>
      <c r="O117" s="199">
        <v>0.38080078125</v>
      </c>
      <c r="P117" s="199">
        <v>0.36564453125000002</v>
      </c>
      <c r="Q117" s="199">
        <v>0.37334106445312498</v>
      </c>
      <c r="R117" s="199">
        <v>0.38080078125</v>
      </c>
      <c r="S117" s="199">
        <v>0.36564453125000002</v>
      </c>
      <c r="T117" s="199">
        <v>0.568359375</v>
      </c>
      <c r="U117" s="199">
        <v>0.2841796875</v>
      </c>
      <c r="V117" s="199">
        <v>0.2841796875</v>
      </c>
      <c r="W117" s="199">
        <v>0.2841796875</v>
      </c>
      <c r="X117" s="199">
        <v>0.2841796875</v>
      </c>
      <c r="Y117" s="199">
        <v>0.2841796875</v>
      </c>
      <c r="Z117" s="199">
        <v>0.2841796875</v>
      </c>
      <c r="AA117" s="199">
        <v>7.4101613428943932E-4</v>
      </c>
      <c r="AB117" s="199">
        <v>3.7050806714471966E-4</v>
      </c>
      <c r="AC117" s="199">
        <v>3.7050806714471966E-4</v>
      </c>
      <c r="AD117" s="199">
        <v>2.8417968749999998E-4</v>
      </c>
      <c r="AE117" s="199">
        <v>1.4208984374999999E-4</v>
      </c>
      <c r="AF117" s="199">
        <v>1.4208984374999999E-4</v>
      </c>
      <c r="AG117" s="199">
        <v>8.0474074074074073E-6</v>
      </c>
      <c r="AH117" s="199">
        <v>4.0237037037037036E-6</v>
      </c>
      <c r="AI117" s="199">
        <v>4.0237037037037036E-6</v>
      </c>
      <c r="AJ117" s="199">
        <v>0.7</v>
      </c>
      <c r="AK117" s="199">
        <v>0.75</v>
      </c>
      <c r="AL117" s="199">
        <v>1</v>
      </c>
      <c r="AM117" s="199">
        <v>0</v>
      </c>
      <c r="AN117" s="199">
        <v>0.8</v>
      </c>
      <c r="AO117" s="199">
        <v>0</v>
      </c>
      <c r="AP117" s="199">
        <v>0</v>
      </c>
      <c r="AQ117" s="199">
        <v>0</v>
      </c>
      <c r="AR117" s="199">
        <v>0</v>
      </c>
      <c r="AS117" s="199">
        <v>0</v>
      </c>
      <c r="AT117" s="199">
        <v>0</v>
      </c>
      <c r="AU117" s="199">
        <v>0</v>
      </c>
      <c r="AV117" s="199">
        <v>0</v>
      </c>
      <c r="AW117" s="199">
        <v>0</v>
      </c>
      <c r="AX117" s="199">
        <v>0</v>
      </c>
      <c r="AY117" s="199">
        <v>0</v>
      </c>
      <c r="AZ117" s="199">
        <v>0</v>
      </c>
      <c r="BA117" s="199">
        <v>0</v>
      </c>
      <c r="BB117" s="199">
        <v>0</v>
      </c>
      <c r="BC117" s="199">
        <v>0</v>
      </c>
    </row>
    <row r="118" spans="1:55" hidden="1" outlineLevel="1" x14ac:dyDescent="0.2">
      <c r="A118" s="36"/>
      <c r="B118" s="36"/>
      <c r="C118" s="162" t="str">
        <v>Hub to Core puntos de acceso a anillos: 622.08</v>
      </c>
      <c r="D118"/>
      <c r="F118" s="199">
        <v>0.61906594669117643</v>
      </c>
      <c r="G118" s="199">
        <v>0.31111755371093747</v>
      </c>
      <c r="H118" s="199">
        <v>0.31733398437499999</v>
      </c>
      <c r="I118" s="199">
        <v>0.30470377604166665</v>
      </c>
      <c r="J118" s="199">
        <v>0.31111755371093747</v>
      </c>
      <c r="K118" s="199">
        <v>0.31733398437499999</v>
      </c>
      <c r="L118" s="199">
        <v>0.30470377604166665</v>
      </c>
      <c r="M118" s="199">
        <v>0.74287913602941169</v>
      </c>
      <c r="N118" s="199">
        <v>0.37334106445312498</v>
      </c>
      <c r="O118" s="199">
        <v>0.38080078125</v>
      </c>
      <c r="P118" s="199">
        <v>0.36564453125000002</v>
      </c>
      <c r="Q118" s="199">
        <v>0.37334106445312498</v>
      </c>
      <c r="R118" s="199">
        <v>0.38080078125</v>
      </c>
      <c r="S118" s="199">
        <v>0.36564453125000002</v>
      </c>
      <c r="T118" s="199">
        <v>0.568359375</v>
      </c>
      <c r="U118" s="199">
        <v>0.2841796875</v>
      </c>
      <c r="V118" s="199">
        <v>0.2841796875</v>
      </c>
      <c r="W118" s="199">
        <v>0.2841796875</v>
      </c>
      <c r="X118" s="199">
        <v>0.2841796875</v>
      </c>
      <c r="Y118" s="199">
        <v>0.2841796875</v>
      </c>
      <c r="Z118" s="199">
        <v>0.2841796875</v>
      </c>
      <c r="AA118" s="199">
        <v>7.4101613428943932E-4</v>
      </c>
      <c r="AB118" s="199">
        <v>3.7050806714471966E-4</v>
      </c>
      <c r="AC118" s="199">
        <v>3.7050806714471966E-4</v>
      </c>
      <c r="AD118" s="199">
        <v>2.8417968749999998E-4</v>
      </c>
      <c r="AE118" s="199">
        <v>1.4208984374999999E-4</v>
      </c>
      <c r="AF118" s="199">
        <v>1.4208984374999999E-4</v>
      </c>
      <c r="AG118" s="199">
        <v>8.0474074074074073E-6</v>
      </c>
      <c r="AH118" s="199">
        <v>4.0237037037037036E-6</v>
      </c>
      <c r="AI118" s="199">
        <v>4.0237037037037036E-6</v>
      </c>
      <c r="AJ118" s="199">
        <v>0.7</v>
      </c>
      <c r="AK118" s="199">
        <v>0.75</v>
      </c>
      <c r="AL118" s="199">
        <v>1</v>
      </c>
      <c r="AM118" s="199">
        <v>0</v>
      </c>
      <c r="AN118" s="199">
        <v>0.8</v>
      </c>
      <c r="AO118" s="199">
        <v>0</v>
      </c>
      <c r="AP118" s="199">
        <v>0</v>
      </c>
      <c r="AQ118" s="199">
        <v>0</v>
      </c>
      <c r="AR118" s="199">
        <v>0</v>
      </c>
      <c r="AS118" s="199">
        <v>0</v>
      </c>
      <c r="AT118" s="199">
        <v>0</v>
      </c>
      <c r="AU118" s="199">
        <v>0</v>
      </c>
      <c r="AV118" s="199">
        <v>0</v>
      </c>
      <c r="AW118" s="199">
        <v>0</v>
      </c>
      <c r="AX118" s="199">
        <v>0</v>
      </c>
      <c r="AY118" s="199">
        <v>0</v>
      </c>
      <c r="AZ118" s="199">
        <v>0</v>
      </c>
      <c r="BA118" s="199">
        <v>0</v>
      </c>
      <c r="BB118" s="199">
        <v>0</v>
      </c>
      <c r="BC118" s="199">
        <v>0</v>
      </c>
    </row>
    <row r="119" spans="1:55" hidden="1" outlineLevel="1" x14ac:dyDescent="0.2">
      <c r="A119" s="36"/>
      <c r="B119" s="36"/>
      <c r="C119" s="162" t="str">
        <v>Hub to Core puntos de acceso a anillos: 2488.32</v>
      </c>
      <c r="D119"/>
      <c r="F119" s="199">
        <v>0.61906594669117643</v>
      </c>
      <c r="G119" s="199">
        <v>0.31111755371093747</v>
      </c>
      <c r="H119" s="199">
        <v>0.31733398437499999</v>
      </c>
      <c r="I119" s="199">
        <v>0.30470377604166665</v>
      </c>
      <c r="J119" s="199">
        <v>0.31111755371093747</v>
      </c>
      <c r="K119" s="199">
        <v>0.31733398437499999</v>
      </c>
      <c r="L119" s="199">
        <v>0.30470377604166665</v>
      </c>
      <c r="M119" s="199">
        <v>0.74287913602941169</v>
      </c>
      <c r="N119" s="199">
        <v>0.37334106445312498</v>
      </c>
      <c r="O119" s="199">
        <v>0.38080078125</v>
      </c>
      <c r="P119" s="199">
        <v>0.36564453125000002</v>
      </c>
      <c r="Q119" s="199">
        <v>0.37334106445312498</v>
      </c>
      <c r="R119" s="199">
        <v>0.38080078125</v>
      </c>
      <c r="S119" s="199">
        <v>0.36564453125000002</v>
      </c>
      <c r="T119" s="199">
        <v>0.568359375</v>
      </c>
      <c r="U119" s="199">
        <v>0.2841796875</v>
      </c>
      <c r="V119" s="199">
        <v>0.2841796875</v>
      </c>
      <c r="W119" s="199">
        <v>0.2841796875</v>
      </c>
      <c r="X119" s="199">
        <v>0.2841796875</v>
      </c>
      <c r="Y119" s="199">
        <v>0.2841796875</v>
      </c>
      <c r="Z119" s="199">
        <v>0.2841796875</v>
      </c>
      <c r="AA119" s="199">
        <v>7.4101613428943932E-4</v>
      </c>
      <c r="AB119" s="199">
        <v>3.7050806714471966E-4</v>
      </c>
      <c r="AC119" s="199">
        <v>3.7050806714471966E-4</v>
      </c>
      <c r="AD119" s="199">
        <v>2.8417968749999998E-4</v>
      </c>
      <c r="AE119" s="199">
        <v>1.4208984374999999E-4</v>
      </c>
      <c r="AF119" s="199">
        <v>1.4208984374999999E-4</v>
      </c>
      <c r="AG119" s="199">
        <v>8.0474074074074073E-6</v>
      </c>
      <c r="AH119" s="199">
        <v>4.0237037037037036E-6</v>
      </c>
      <c r="AI119" s="199">
        <v>4.0237037037037036E-6</v>
      </c>
      <c r="AJ119" s="199">
        <v>0.7</v>
      </c>
      <c r="AK119" s="199">
        <v>0.75</v>
      </c>
      <c r="AL119" s="199">
        <v>1</v>
      </c>
      <c r="AM119" s="199">
        <v>0</v>
      </c>
      <c r="AN119" s="199">
        <v>0.8</v>
      </c>
      <c r="AO119" s="199">
        <v>0</v>
      </c>
      <c r="AP119" s="199">
        <v>0</v>
      </c>
      <c r="AQ119" s="199">
        <v>0</v>
      </c>
      <c r="AR119" s="199">
        <v>0</v>
      </c>
      <c r="AS119" s="199">
        <v>0</v>
      </c>
      <c r="AT119" s="199">
        <v>0</v>
      </c>
      <c r="AU119" s="199">
        <v>0</v>
      </c>
      <c r="AV119" s="199">
        <v>0</v>
      </c>
      <c r="AW119" s="199">
        <v>0</v>
      </c>
      <c r="AX119" s="199">
        <v>0</v>
      </c>
      <c r="AY119" s="199">
        <v>0</v>
      </c>
      <c r="AZ119" s="199">
        <v>0</v>
      </c>
      <c r="BA119" s="199">
        <v>0</v>
      </c>
      <c r="BB119" s="199">
        <v>0</v>
      </c>
      <c r="BC119" s="199">
        <v>0</v>
      </c>
    </row>
    <row r="120" spans="1:55" hidden="1" outlineLevel="1" x14ac:dyDescent="0.2">
      <c r="A120" s="36"/>
      <c r="B120" s="36"/>
      <c r="C120" s="162" t="str">
        <v>Hub to Core punto de acceso a anillos: 1024</v>
      </c>
      <c r="D120"/>
      <c r="F120" s="199">
        <v>0.61906594669117643</v>
      </c>
      <c r="G120" s="199">
        <v>0.31111755371093747</v>
      </c>
      <c r="H120" s="199">
        <v>0.31733398437499999</v>
      </c>
      <c r="I120" s="199">
        <v>0.30470377604166665</v>
      </c>
      <c r="J120" s="199">
        <v>0.31111755371093747</v>
      </c>
      <c r="K120" s="199">
        <v>0.31733398437499999</v>
      </c>
      <c r="L120" s="199">
        <v>0.30470377604166665</v>
      </c>
      <c r="M120" s="199">
        <v>0.74287913602941169</v>
      </c>
      <c r="N120" s="199">
        <v>0.37334106445312498</v>
      </c>
      <c r="O120" s="199">
        <v>0.38080078125</v>
      </c>
      <c r="P120" s="199">
        <v>0.36564453125000002</v>
      </c>
      <c r="Q120" s="199">
        <v>0.37334106445312498</v>
      </c>
      <c r="R120" s="199">
        <v>0.38080078125</v>
      </c>
      <c r="S120" s="199">
        <v>0.36564453125000002</v>
      </c>
      <c r="T120" s="199">
        <v>0.568359375</v>
      </c>
      <c r="U120" s="199">
        <v>0.2841796875</v>
      </c>
      <c r="V120" s="199">
        <v>0.2841796875</v>
      </c>
      <c r="W120" s="199">
        <v>0.2841796875</v>
      </c>
      <c r="X120" s="199">
        <v>0.2841796875</v>
      </c>
      <c r="Y120" s="199">
        <v>0.2841796875</v>
      </c>
      <c r="Z120" s="199">
        <v>0.2841796875</v>
      </c>
      <c r="AA120" s="199">
        <v>7.4101613428943932E-4</v>
      </c>
      <c r="AB120" s="199">
        <v>3.7050806714471966E-4</v>
      </c>
      <c r="AC120" s="199">
        <v>3.7050806714471966E-4</v>
      </c>
      <c r="AD120" s="199">
        <v>2.8417968749999998E-4</v>
      </c>
      <c r="AE120" s="199">
        <v>1.4208984374999999E-4</v>
      </c>
      <c r="AF120" s="199">
        <v>1.4208984374999999E-4</v>
      </c>
      <c r="AG120" s="199">
        <v>8.0474074074074073E-6</v>
      </c>
      <c r="AH120" s="199">
        <v>4.0237037037037036E-6</v>
      </c>
      <c r="AI120" s="199">
        <v>4.0237037037037036E-6</v>
      </c>
      <c r="AJ120" s="199">
        <v>0.7</v>
      </c>
      <c r="AK120" s="199">
        <v>0.75</v>
      </c>
      <c r="AL120" s="199">
        <v>1</v>
      </c>
      <c r="AM120" s="199">
        <v>0</v>
      </c>
      <c r="AN120" s="199">
        <v>0.8</v>
      </c>
      <c r="AO120" s="199">
        <v>0</v>
      </c>
      <c r="AP120" s="199">
        <v>0</v>
      </c>
      <c r="AQ120" s="199">
        <v>0</v>
      </c>
      <c r="AR120" s="199">
        <v>0</v>
      </c>
      <c r="AS120" s="199">
        <v>0</v>
      </c>
      <c r="AT120" s="199">
        <v>0</v>
      </c>
      <c r="AU120" s="199">
        <v>0</v>
      </c>
      <c r="AV120" s="199">
        <v>0</v>
      </c>
      <c r="AW120" s="199">
        <v>0</v>
      </c>
      <c r="AX120" s="199">
        <v>0</v>
      </c>
      <c r="AY120" s="199">
        <v>0</v>
      </c>
      <c r="AZ120" s="199">
        <v>0</v>
      </c>
      <c r="BA120" s="199">
        <v>0</v>
      </c>
      <c r="BB120" s="199">
        <v>0</v>
      </c>
      <c r="BC120" s="199">
        <v>0</v>
      </c>
    </row>
    <row r="121" spans="1:55" hidden="1" outlineLevel="1" x14ac:dyDescent="0.2">
      <c r="A121" s="36"/>
      <c r="B121" s="36"/>
      <c r="C121" s="162" t="str">
        <v>Hub to Core punto de acceso a anillos: 2048</v>
      </c>
      <c r="D121"/>
      <c r="F121" s="199">
        <v>0.61906594669117643</v>
      </c>
      <c r="G121" s="199">
        <v>0.31111755371093747</v>
      </c>
      <c r="H121" s="199">
        <v>0.31733398437499999</v>
      </c>
      <c r="I121" s="199">
        <v>0.30470377604166665</v>
      </c>
      <c r="J121" s="199">
        <v>0.31111755371093747</v>
      </c>
      <c r="K121" s="199">
        <v>0.31733398437499999</v>
      </c>
      <c r="L121" s="199">
        <v>0.30470377604166665</v>
      </c>
      <c r="M121" s="199">
        <v>0.74287913602941169</v>
      </c>
      <c r="N121" s="199">
        <v>0.37334106445312498</v>
      </c>
      <c r="O121" s="199">
        <v>0.38080078125</v>
      </c>
      <c r="P121" s="199">
        <v>0.36564453125000002</v>
      </c>
      <c r="Q121" s="199">
        <v>0.37334106445312498</v>
      </c>
      <c r="R121" s="199">
        <v>0.38080078125</v>
      </c>
      <c r="S121" s="199">
        <v>0.36564453125000002</v>
      </c>
      <c r="T121" s="199">
        <v>0.568359375</v>
      </c>
      <c r="U121" s="199">
        <v>0.2841796875</v>
      </c>
      <c r="V121" s="199">
        <v>0.2841796875</v>
      </c>
      <c r="W121" s="199">
        <v>0.2841796875</v>
      </c>
      <c r="X121" s="199">
        <v>0.2841796875</v>
      </c>
      <c r="Y121" s="199">
        <v>0.2841796875</v>
      </c>
      <c r="Z121" s="199">
        <v>0.2841796875</v>
      </c>
      <c r="AA121" s="199">
        <v>7.4101613428943932E-4</v>
      </c>
      <c r="AB121" s="199">
        <v>3.7050806714471966E-4</v>
      </c>
      <c r="AC121" s="199">
        <v>3.7050806714471966E-4</v>
      </c>
      <c r="AD121" s="199">
        <v>2.8417968749999998E-4</v>
      </c>
      <c r="AE121" s="199">
        <v>1.4208984374999999E-4</v>
      </c>
      <c r="AF121" s="199">
        <v>1.4208984374999999E-4</v>
      </c>
      <c r="AG121" s="199">
        <v>8.0474074074074073E-6</v>
      </c>
      <c r="AH121" s="199">
        <v>4.0237037037037036E-6</v>
      </c>
      <c r="AI121" s="199">
        <v>4.0237037037037036E-6</v>
      </c>
      <c r="AJ121" s="199">
        <v>0.7</v>
      </c>
      <c r="AK121" s="199">
        <v>0.75</v>
      </c>
      <c r="AL121" s="199">
        <v>1</v>
      </c>
      <c r="AM121" s="199">
        <v>0</v>
      </c>
      <c r="AN121" s="199">
        <v>0.8</v>
      </c>
      <c r="AO121" s="199">
        <v>0</v>
      </c>
      <c r="AP121" s="199">
        <v>0</v>
      </c>
      <c r="AQ121" s="199">
        <v>0</v>
      </c>
      <c r="AR121" s="199">
        <v>0</v>
      </c>
      <c r="AS121" s="199">
        <v>0</v>
      </c>
      <c r="AT121" s="199">
        <v>0</v>
      </c>
      <c r="AU121" s="199">
        <v>0</v>
      </c>
      <c r="AV121" s="199">
        <v>0</v>
      </c>
      <c r="AW121" s="199">
        <v>0</v>
      </c>
      <c r="AX121" s="199">
        <v>0</v>
      </c>
      <c r="AY121" s="199">
        <v>0</v>
      </c>
      <c r="AZ121" s="199">
        <v>0</v>
      </c>
      <c r="BA121" s="199">
        <v>0</v>
      </c>
      <c r="BB121" s="199">
        <v>0</v>
      </c>
      <c r="BC121" s="199">
        <v>0</v>
      </c>
    </row>
    <row r="122" spans="1:55" hidden="1" outlineLevel="1" x14ac:dyDescent="0.2">
      <c r="A122" s="36"/>
      <c r="B122" s="36"/>
      <c r="C122" s="162" t="str">
        <v>Hub to Core punto de acceso a anillos: 10240</v>
      </c>
      <c r="D122"/>
      <c r="F122" s="199">
        <v>0.61906594669117643</v>
      </c>
      <c r="G122" s="199">
        <v>0.31111755371093747</v>
      </c>
      <c r="H122" s="199">
        <v>0.31733398437499999</v>
      </c>
      <c r="I122" s="199">
        <v>0.30470377604166665</v>
      </c>
      <c r="J122" s="199">
        <v>0.31111755371093747</v>
      </c>
      <c r="K122" s="199">
        <v>0.31733398437499999</v>
      </c>
      <c r="L122" s="199">
        <v>0.30470377604166665</v>
      </c>
      <c r="M122" s="199">
        <v>0.74287913602941169</v>
      </c>
      <c r="N122" s="199">
        <v>0.37334106445312498</v>
      </c>
      <c r="O122" s="199">
        <v>0.38080078125</v>
      </c>
      <c r="P122" s="199">
        <v>0.36564453125000002</v>
      </c>
      <c r="Q122" s="199">
        <v>0.37334106445312498</v>
      </c>
      <c r="R122" s="199">
        <v>0.38080078125</v>
      </c>
      <c r="S122" s="199">
        <v>0.36564453125000002</v>
      </c>
      <c r="T122" s="199">
        <v>0.568359375</v>
      </c>
      <c r="U122" s="199">
        <v>0.2841796875</v>
      </c>
      <c r="V122" s="199">
        <v>0.2841796875</v>
      </c>
      <c r="W122" s="199">
        <v>0.2841796875</v>
      </c>
      <c r="X122" s="199">
        <v>0.2841796875</v>
      </c>
      <c r="Y122" s="199">
        <v>0.2841796875</v>
      </c>
      <c r="Z122" s="199">
        <v>0.2841796875</v>
      </c>
      <c r="AA122" s="199">
        <v>7.4101613428943932E-4</v>
      </c>
      <c r="AB122" s="199">
        <v>3.7050806714471966E-4</v>
      </c>
      <c r="AC122" s="199">
        <v>3.7050806714471966E-4</v>
      </c>
      <c r="AD122" s="199">
        <v>2.8417968749999998E-4</v>
      </c>
      <c r="AE122" s="199">
        <v>1.4208984374999999E-4</v>
      </c>
      <c r="AF122" s="199">
        <v>1.4208984374999999E-4</v>
      </c>
      <c r="AG122" s="199">
        <v>8.0474074074074073E-6</v>
      </c>
      <c r="AH122" s="199">
        <v>4.0237037037037036E-6</v>
      </c>
      <c r="AI122" s="199">
        <v>4.0237037037037036E-6</v>
      </c>
      <c r="AJ122" s="199">
        <v>0.7</v>
      </c>
      <c r="AK122" s="199">
        <v>0.75</v>
      </c>
      <c r="AL122" s="199">
        <v>1</v>
      </c>
      <c r="AM122" s="199">
        <v>0</v>
      </c>
      <c r="AN122" s="199">
        <v>0.8</v>
      </c>
      <c r="AO122" s="199">
        <v>0</v>
      </c>
      <c r="AP122" s="199">
        <v>0</v>
      </c>
      <c r="AQ122" s="199">
        <v>0</v>
      </c>
      <c r="AR122" s="199">
        <v>0</v>
      </c>
      <c r="AS122" s="199">
        <v>0</v>
      </c>
      <c r="AT122" s="199">
        <v>0</v>
      </c>
      <c r="AU122" s="199">
        <v>0</v>
      </c>
      <c r="AV122" s="199">
        <v>0</v>
      </c>
      <c r="AW122" s="199">
        <v>0</v>
      </c>
      <c r="AX122" s="199">
        <v>0</v>
      </c>
      <c r="AY122" s="199">
        <v>0</v>
      </c>
      <c r="AZ122" s="199">
        <v>0</v>
      </c>
      <c r="BA122" s="199">
        <v>0</v>
      </c>
      <c r="BB122" s="199">
        <v>0</v>
      </c>
      <c r="BC122" s="199">
        <v>0</v>
      </c>
    </row>
    <row r="123" spans="1:55" hidden="1" outlineLevel="1" x14ac:dyDescent="0.2">
      <c r="A123" s="36"/>
      <c r="B123" s="36"/>
      <c r="C123" s="162" t="str">
        <v>Hub to Core - longitud de los anillos de fibra</v>
      </c>
      <c r="D123"/>
      <c r="F123" s="199">
        <v>0.61906594669117643</v>
      </c>
      <c r="G123" s="199">
        <v>0.31111755371093747</v>
      </c>
      <c r="H123" s="199">
        <v>0.31733398437499999</v>
      </c>
      <c r="I123" s="199">
        <v>0.30470377604166665</v>
      </c>
      <c r="J123" s="199">
        <v>0.31111755371093747</v>
      </c>
      <c r="K123" s="199">
        <v>0.31733398437499999</v>
      </c>
      <c r="L123" s="199">
        <v>0.30470377604166665</v>
      </c>
      <c r="M123" s="199">
        <v>0.74287913602941169</v>
      </c>
      <c r="N123" s="199">
        <v>0.37334106445312498</v>
      </c>
      <c r="O123" s="199">
        <v>0.38080078125</v>
      </c>
      <c r="P123" s="199">
        <v>0.36564453125000002</v>
      </c>
      <c r="Q123" s="199">
        <v>0.37334106445312498</v>
      </c>
      <c r="R123" s="199">
        <v>0.38080078125</v>
      </c>
      <c r="S123" s="199">
        <v>0.36564453125000002</v>
      </c>
      <c r="T123" s="199">
        <v>0.568359375</v>
      </c>
      <c r="U123" s="199">
        <v>0.2841796875</v>
      </c>
      <c r="V123" s="199">
        <v>0.2841796875</v>
      </c>
      <c r="W123" s="199">
        <v>0.2841796875</v>
      </c>
      <c r="X123" s="199">
        <v>0.2841796875</v>
      </c>
      <c r="Y123" s="199">
        <v>0.2841796875</v>
      </c>
      <c r="Z123" s="199">
        <v>0.2841796875</v>
      </c>
      <c r="AA123" s="199">
        <v>7.4101613428943932E-4</v>
      </c>
      <c r="AB123" s="199">
        <v>3.7050806714471966E-4</v>
      </c>
      <c r="AC123" s="199">
        <v>3.7050806714471966E-4</v>
      </c>
      <c r="AD123" s="199">
        <v>2.8417968749999998E-4</v>
      </c>
      <c r="AE123" s="199">
        <v>1.4208984374999999E-4</v>
      </c>
      <c r="AF123" s="199">
        <v>1.4208984374999999E-4</v>
      </c>
      <c r="AG123" s="199">
        <v>8.0474074074074073E-6</v>
      </c>
      <c r="AH123" s="199">
        <v>4.0237037037037036E-6</v>
      </c>
      <c r="AI123" s="199">
        <v>4.0237037037037036E-6</v>
      </c>
      <c r="AJ123" s="199">
        <v>0.7</v>
      </c>
      <c r="AK123" s="199">
        <v>0.75</v>
      </c>
      <c r="AL123" s="199">
        <v>1</v>
      </c>
      <c r="AM123" s="199">
        <v>0</v>
      </c>
      <c r="AN123" s="199">
        <v>0.8</v>
      </c>
      <c r="AO123" s="199">
        <v>0</v>
      </c>
      <c r="AP123" s="199">
        <v>0</v>
      </c>
      <c r="AQ123" s="199">
        <v>0</v>
      </c>
      <c r="AR123" s="199">
        <v>0</v>
      </c>
      <c r="AS123" s="199">
        <v>0</v>
      </c>
      <c r="AT123" s="199">
        <v>0</v>
      </c>
      <c r="AU123" s="199">
        <v>0</v>
      </c>
      <c r="AV123" s="199">
        <v>0</v>
      </c>
      <c r="AW123" s="199">
        <v>0</v>
      </c>
      <c r="AX123" s="199">
        <v>0</v>
      </c>
      <c r="AY123" s="199">
        <v>0</v>
      </c>
      <c r="AZ123" s="199">
        <v>0</v>
      </c>
      <c r="BA123" s="199">
        <v>0</v>
      </c>
      <c r="BB123" s="199">
        <v>0</v>
      </c>
      <c r="BC123" s="199">
        <v>0</v>
      </c>
    </row>
    <row r="124" spans="1:55" hidden="1" outlineLevel="1" x14ac:dyDescent="0.2">
      <c r="A124" s="36"/>
      <c r="B124" s="36"/>
      <c r="C124" s="162" t="str">
        <v>Sitios BSC remotos</v>
      </c>
      <c r="D124"/>
      <c r="F124" s="199">
        <v>2.1784313725490194</v>
      </c>
      <c r="G124" s="199">
        <v>1.0947916666666666</v>
      </c>
      <c r="H124" s="199">
        <v>1.1166666666666667</v>
      </c>
      <c r="I124" s="199">
        <v>1.0722222222222222</v>
      </c>
      <c r="J124" s="199">
        <v>1.0947916666666666</v>
      </c>
      <c r="K124" s="199">
        <v>1.1166666666666667</v>
      </c>
      <c r="L124" s="199">
        <v>1.0722222222222222</v>
      </c>
      <c r="M124" s="199">
        <v>0</v>
      </c>
      <c r="N124" s="199">
        <v>0</v>
      </c>
      <c r="O124" s="199">
        <v>0</v>
      </c>
      <c r="P124" s="199">
        <v>0</v>
      </c>
      <c r="Q124" s="199">
        <v>0</v>
      </c>
      <c r="R124" s="199">
        <v>0</v>
      </c>
      <c r="S124" s="199">
        <v>0</v>
      </c>
      <c r="T124" s="199">
        <v>0</v>
      </c>
      <c r="U124" s="199">
        <v>0</v>
      </c>
      <c r="V124" s="199">
        <v>0</v>
      </c>
      <c r="W124" s="199">
        <v>0</v>
      </c>
      <c r="X124" s="199">
        <v>0</v>
      </c>
      <c r="Y124" s="199">
        <v>0</v>
      </c>
      <c r="Z124" s="199">
        <v>0</v>
      </c>
      <c r="AA124" s="199">
        <v>0</v>
      </c>
      <c r="AB124" s="199">
        <v>0</v>
      </c>
      <c r="AC124" s="199">
        <v>0</v>
      </c>
      <c r="AD124" s="199">
        <v>0</v>
      </c>
      <c r="AE124" s="199">
        <v>0</v>
      </c>
      <c r="AF124" s="199">
        <v>0</v>
      </c>
      <c r="AG124" s="199">
        <v>0</v>
      </c>
      <c r="AH124" s="199">
        <v>0</v>
      </c>
      <c r="AI124" s="199">
        <v>0</v>
      </c>
      <c r="AJ124" s="199">
        <v>4.4600888888888894</v>
      </c>
      <c r="AK124" s="199">
        <v>0</v>
      </c>
      <c r="AL124" s="199">
        <v>0</v>
      </c>
      <c r="AM124" s="199">
        <v>0</v>
      </c>
      <c r="AN124" s="199">
        <v>0</v>
      </c>
      <c r="AO124" s="199">
        <v>0</v>
      </c>
      <c r="AP124" s="199">
        <v>0</v>
      </c>
      <c r="AQ124" s="199">
        <v>0</v>
      </c>
      <c r="AR124" s="199">
        <v>0</v>
      </c>
      <c r="AS124" s="199">
        <v>0</v>
      </c>
      <c r="AT124" s="199">
        <v>0</v>
      </c>
      <c r="AU124" s="199">
        <v>0</v>
      </c>
      <c r="AV124" s="199">
        <v>0</v>
      </c>
      <c r="AW124" s="199">
        <v>0</v>
      </c>
      <c r="AX124" s="199">
        <v>0</v>
      </c>
      <c r="AY124" s="199">
        <v>0</v>
      </c>
      <c r="AZ124" s="199">
        <v>0</v>
      </c>
      <c r="BA124" s="199">
        <v>0</v>
      </c>
      <c r="BB124" s="199">
        <v>0</v>
      </c>
      <c r="BC124" s="199">
        <v>0</v>
      </c>
    </row>
    <row r="125" spans="1:55" hidden="1" outlineLevel="1" x14ac:dyDescent="0.2">
      <c r="A125" s="36"/>
      <c r="B125" s="36"/>
      <c r="C125" s="162" t="str">
        <v>Sitios RNC remotos</v>
      </c>
      <c r="D125"/>
      <c r="F125" s="199">
        <v>0</v>
      </c>
      <c r="G125" s="199">
        <v>0</v>
      </c>
      <c r="H125" s="199">
        <v>0</v>
      </c>
      <c r="I125" s="199">
        <v>0</v>
      </c>
      <c r="J125" s="199">
        <v>0</v>
      </c>
      <c r="K125" s="199">
        <v>0</v>
      </c>
      <c r="L125" s="199">
        <v>0</v>
      </c>
      <c r="M125" s="199">
        <v>2.8319607843137256</v>
      </c>
      <c r="N125" s="199">
        <v>1.4232291666666665</v>
      </c>
      <c r="O125" s="199">
        <v>1.4516666666666667</v>
      </c>
      <c r="P125" s="199">
        <v>1.393888888888889</v>
      </c>
      <c r="Q125" s="199">
        <v>1.4232291666666665</v>
      </c>
      <c r="R125" s="199">
        <v>1.4516666666666667</v>
      </c>
      <c r="S125" s="199">
        <v>1.393888888888889</v>
      </c>
      <c r="T125" s="199">
        <v>0</v>
      </c>
      <c r="U125" s="199">
        <v>0</v>
      </c>
      <c r="V125" s="199">
        <v>0</v>
      </c>
      <c r="W125" s="199">
        <v>0</v>
      </c>
      <c r="X125" s="199">
        <v>0</v>
      </c>
      <c r="Y125" s="199">
        <v>0</v>
      </c>
      <c r="Z125" s="199">
        <v>0</v>
      </c>
      <c r="AA125" s="199">
        <v>0</v>
      </c>
      <c r="AB125" s="199">
        <v>0</v>
      </c>
      <c r="AC125" s="199">
        <v>0</v>
      </c>
      <c r="AD125" s="199">
        <v>1E-3</v>
      </c>
      <c r="AE125" s="199">
        <v>5.0000000000000001E-4</v>
      </c>
      <c r="AF125" s="199">
        <v>5.0000000000000001E-4</v>
      </c>
      <c r="AG125" s="199">
        <v>0</v>
      </c>
      <c r="AH125" s="199">
        <v>0</v>
      </c>
      <c r="AI125" s="199">
        <v>0</v>
      </c>
      <c r="AJ125" s="199">
        <v>0</v>
      </c>
      <c r="AK125" s="199">
        <v>9.1</v>
      </c>
      <c r="AL125" s="199">
        <v>0.45295418641390212</v>
      </c>
      <c r="AM125" s="199">
        <v>0</v>
      </c>
      <c r="AN125" s="199">
        <v>0</v>
      </c>
      <c r="AO125" s="199">
        <v>0</v>
      </c>
      <c r="AP125" s="199">
        <v>0</v>
      </c>
      <c r="AQ125" s="199">
        <v>0</v>
      </c>
      <c r="AR125" s="199">
        <v>0</v>
      </c>
      <c r="AS125" s="199">
        <v>0</v>
      </c>
      <c r="AT125" s="199">
        <v>0</v>
      </c>
      <c r="AU125" s="199">
        <v>0</v>
      </c>
      <c r="AV125" s="199">
        <v>0</v>
      </c>
      <c r="AW125" s="199">
        <v>0</v>
      </c>
      <c r="AX125" s="199">
        <v>0</v>
      </c>
      <c r="AY125" s="199">
        <v>0</v>
      </c>
      <c r="AZ125" s="199">
        <v>0</v>
      </c>
      <c r="BA125" s="199">
        <v>0</v>
      </c>
      <c r="BB125" s="199">
        <v>0</v>
      </c>
      <c r="BC125" s="199">
        <v>0</v>
      </c>
    </row>
    <row r="126" spans="1:55" hidden="1" outlineLevel="1" x14ac:dyDescent="0.2">
      <c r="A126" s="36"/>
      <c r="B126" s="36"/>
      <c r="C126" s="162" t="str">
        <v>BSC: 2100</v>
      </c>
      <c r="D126"/>
      <c r="F126" s="199">
        <v>2.1784313725490194</v>
      </c>
      <c r="G126" s="199">
        <v>1.0947916666666666</v>
      </c>
      <c r="H126" s="199">
        <v>1.1166666666666667</v>
      </c>
      <c r="I126" s="199">
        <v>1.0722222222222222</v>
      </c>
      <c r="J126" s="199">
        <v>1.0947916666666666</v>
      </c>
      <c r="K126" s="199">
        <v>1.1166666666666667</v>
      </c>
      <c r="L126" s="199">
        <v>1.0722222222222222</v>
      </c>
      <c r="M126" s="199">
        <v>0</v>
      </c>
      <c r="N126" s="199">
        <v>0</v>
      </c>
      <c r="O126" s="199">
        <v>0</v>
      </c>
      <c r="P126" s="199">
        <v>0</v>
      </c>
      <c r="Q126" s="199">
        <v>0</v>
      </c>
      <c r="R126" s="199">
        <v>0</v>
      </c>
      <c r="S126" s="199">
        <v>0</v>
      </c>
      <c r="T126" s="199">
        <v>0</v>
      </c>
      <c r="U126" s="199">
        <v>0</v>
      </c>
      <c r="V126" s="199">
        <v>0</v>
      </c>
      <c r="W126" s="199">
        <v>0</v>
      </c>
      <c r="X126" s="199">
        <v>0</v>
      </c>
      <c r="Y126" s="199">
        <v>0</v>
      </c>
      <c r="Z126" s="199">
        <v>0</v>
      </c>
      <c r="AA126" s="199">
        <v>0</v>
      </c>
      <c r="AB126" s="199">
        <v>0</v>
      </c>
      <c r="AC126" s="199">
        <v>0</v>
      </c>
      <c r="AD126" s="199">
        <v>0</v>
      </c>
      <c r="AE126" s="199">
        <v>0</v>
      </c>
      <c r="AF126" s="199">
        <v>0</v>
      </c>
      <c r="AG126" s="199">
        <v>0</v>
      </c>
      <c r="AH126" s="199">
        <v>0</v>
      </c>
      <c r="AI126" s="199">
        <v>0</v>
      </c>
      <c r="AJ126" s="199">
        <v>4.4600888888888894</v>
      </c>
      <c r="AK126" s="199">
        <v>0</v>
      </c>
      <c r="AL126" s="199">
        <v>0</v>
      </c>
      <c r="AM126" s="199">
        <v>0</v>
      </c>
      <c r="AN126" s="199">
        <v>0</v>
      </c>
      <c r="AO126" s="199">
        <v>0</v>
      </c>
      <c r="AP126" s="199">
        <v>0</v>
      </c>
      <c r="AQ126" s="199">
        <v>0</v>
      </c>
      <c r="AR126" s="199">
        <v>0</v>
      </c>
      <c r="AS126" s="199">
        <v>0</v>
      </c>
      <c r="AT126" s="199">
        <v>0</v>
      </c>
      <c r="AU126" s="199">
        <v>0</v>
      </c>
      <c r="AV126" s="199">
        <v>0</v>
      </c>
      <c r="AW126" s="199">
        <v>0</v>
      </c>
      <c r="AX126" s="199">
        <v>0</v>
      </c>
      <c r="AY126" s="199">
        <v>0</v>
      </c>
      <c r="AZ126" s="199">
        <v>0</v>
      </c>
      <c r="BA126" s="199">
        <v>0</v>
      </c>
      <c r="BB126" s="199">
        <v>0</v>
      </c>
      <c r="BC126" s="199">
        <v>0</v>
      </c>
    </row>
    <row r="127" spans="1:55" hidden="1" outlineLevel="1" x14ac:dyDescent="0.2">
      <c r="A127" s="36"/>
      <c r="B127" s="36"/>
      <c r="C127" s="162" t="str">
        <v>BSC: 4200</v>
      </c>
      <c r="D127"/>
      <c r="F127" s="199">
        <v>2.1784313725490194</v>
      </c>
      <c r="G127" s="199">
        <v>1.0947916666666666</v>
      </c>
      <c r="H127" s="199">
        <v>1.1166666666666667</v>
      </c>
      <c r="I127" s="199">
        <v>1.0722222222222222</v>
      </c>
      <c r="J127" s="199">
        <v>1.0947916666666666</v>
      </c>
      <c r="K127" s="199">
        <v>1.1166666666666667</v>
      </c>
      <c r="L127" s="199">
        <v>1.0722222222222222</v>
      </c>
      <c r="M127" s="199">
        <v>0</v>
      </c>
      <c r="N127" s="199">
        <v>0</v>
      </c>
      <c r="O127" s="199">
        <v>0</v>
      </c>
      <c r="P127" s="199">
        <v>0</v>
      </c>
      <c r="Q127" s="199">
        <v>0</v>
      </c>
      <c r="R127" s="199">
        <v>0</v>
      </c>
      <c r="S127" s="199">
        <v>0</v>
      </c>
      <c r="T127" s="199">
        <v>0</v>
      </c>
      <c r="U127" s="199">
        <v>0</v>
      </c>
      <c r="V127" s="199">
        <v>0</v>
      </c>
      <c r="W127" s="199">
        <v>0</v>
      </c>
      <c r="X127" s="199">
        <v>0</v>
      </c>
      <c r="Y127" s="199">
        <v>0</v>
      </c>
      <c r="Z127" s="199">
        <v>0</v>
      </c>
      <c r="AA127" s="199">
        <v>0</v>
      </c>
      <c r="AB127" s="199">
        <v>0</v>
      </c>
      <c r="AC127" s="199">
        <v>0</v>
      </c>
      <c r="AD127" s="199">
        <v>0</v>
      </c>
      <c r="AE127" s="199">
        <v>0</v>
      </c>
      <c r="AF127" s="199">
        <v>0</v>
      </c>
      <c r="AG127" s="199">
        <v>0</v>
      </c>
      <c r="AH127" s="199">
        <v>0</v>
      </c>
      <c r="AI127" s="199">
        <v>0</v>
      </c>
      <c r="AJ127" s="199">
        <v>4.4600888888888894</v>
      </c>
      <c r="AK127" s="199">
        <v>0</v>
      </c>
      <c r="AL127" s="199">
        <v>0</v>
      </c>
      <c r="AM127" s="199">
        <v>0</v>
      </c>
      <c r="AN127" s="199">
        <v>0</v>
      </c>
      <c r="AO127" s="199">
        <v>0</v>
      </c>
      <c r="AP127" s="199">
        <v>0</v>
      </c>
      <c r="AQ127" s="199">
        <v>0</v>
      </c>
      <c r="AR127" s="199">
        <v>0</v>
      </c>
      <c r="AS127" s="199">
        <v>0</v>
      </c>
      <c r="AT127" s="199">
        <v>0</v>
      </c>
      <c r="AU127" s="199">
        <v>0</v>
      </c>
      <c r="AV127" s="199">
        <v>0</v>
      </c>
      <c r="AW127" s="199">
        <v>0</v>
      </c>
      <c r="AX127" s="199">
        <v>0</v>
      </c>
      <c r="AY127" s="199">
        <v>0</v>
      </c>
      <c r="AZ127" s="199">
        <v>0</v>
      </c>
      <c r="BA127" s="199">
        <v>0</v>
      </c>
      <c r="BB127" s="199">
        <v>0</v>
      </c>
      <c r="BC127" s="199">
        <v>0</v>
      </c>
    </row>
    <row r="128" spans="1:55" hidden="1" outlineLevel="1" x14ac:dyDescent="0.2">
      <c r="A128" s="36"/>
      <c r="B128" s="36"/>
      <c r="C128" s="162" t="str">
        <v>BSC: 8000</v>
      </c>
      <c r="D128"/>
      <c r="F128" s="199">
        <v>2.1784313725490194</v>
      </c>
      <c r="G128" s="199">
        <v>1.0947916666666666</v>
      </c>
      <c r="H128" s="199">
        <v>1.1166666666666667</v>
      </c>
      <c r="I128" s="199">
        <v>1.0722222222222222</v>
      </c>
      <c r="J128" s="199">
        <v>1.0947916666666666</v>
      </c>
      <c r="K128" s="199">
        <v>1.1166666666666667</v>
      </c>
      <c r="L128" s="199">
        <v>1.0722222222222222</v>
      </c>
      <c r="M128" s="199">
        <v>0</v>
      </c>
      <c r="N128" s="199">
        <v>0</v>
      </c>
      <c r="O128" s="199">
        <v>0</v>
      </c>
      <c r="P128" s="199">
        <v>0</v>
      </c>
      <c r="Q128" s="199">
        <v>0</v>
      </c>
      <c r="R128" s="199">
        <v>0</v>
      </c>
      <c r="S128" s="199">
        <v>0</v>
      </c>
      <c r="T128" s="199">
        <v>0</v>
      </c>
      <c r="U128" s="199">
        <v>0</v>
      </c>
      <c r="V128" s="199">
        <v>0</v>
      </c>
      <c r="W128" s="199">
        <v>0</v>
      </c>
      <c r="X128" s="199">
        <v>0</v>
      </c>
      <c r="Y128" s="199">
        <v>0</v>
      </c>
      <c r="Z128" s="199">
        <v>0</v>
      </c>
      <c r="AA128" s="199">
        <v>0</v>
      </c>
      <c r="AB128" s="199">
        <v>0</v>
      </c>
      <c r="AC128" s="199">
        <v>0</v>
      </c>
      <c r="AD128" s="199">
        <v>0</v>
      </c>
      <c r="AE128" s="199">
        <v>0</v>
      </c>
      <c r="AF128" s="199">
        <v>0</v>
      </c>
      <c r="AG128" s="199">
        <v>0</v>
      </c>
      <c r="AH128" s="199">
        <v>0</v>
      </c>
      <c r="AI128" s="199">
        <v>0</v>
      </c>
      <c r="AJ128" s="199">
        <v>4.4600888888888894</v>
      </c>
      <c r="AK128" s="199">
        <v>0</v>
      </c>
      <c r="AL128" s="199">
        <v>0</v>
      </c>
      <c r="AM128" s="199">
        <v>0</v>
      </c>
      <c r="AN128" s="199">
        <v>0</v>
      </c>
      <c r="AO128" s="199">
        <v>0</v>
      </c>
      <c r="AP128" s="199">
        <v>0</v>
      </c>
      <c r="AQ128" s="199">
        <v>0</v>
      </c>
      <c r="AR128" s="199">
        <v>0</v>
      </c>
      <c r="AS128" s="199">
        <v>0</v>
      </c>
      <c r="AT128" s="199">
        <v>0</v>
      </c>
      <c r="AU128" s="199">
        <v>0</v>
      </c>
      <c r="AV128" s="199">
        <v>0</v>
      </c>
      <c r="AW128" s="199">
        <v>0</v>
      </c>
      <c r="AX128" s="199">
        <v>0</v>
      </c>
      <c r="AY128" s="199">
        <v>0</v>
      </c>
      <c r="AZ128" s="199">
        <v>0</v>
      </c>
      <c r="BA128" s="199">
        <v>0</v>
      </c>
      <c r="BB128" s="199">
        <v>0</v>
      </c>
      <c r="BC128" s="199">
        <v>0</v>
      </c>
    </row>
    <row r="129" spans="1:55" hidden="1" outlineLevel="1" x14ac:dyDescent="0.2">
      <c r="A129" s="36"/>
      <c r="B129" s="36"/>
      <c r="C129" s="162" t="str">
        <v>RNC: 1600</v>
      </c>
      <c r="D129"/>
      <c r="F129" s="199">
        <v>0</v>
      </c>
      <c r="G129" s="199">
        <v>0</v>
      </c>
      <c r="H129" s="199">
        <v>0</v>
      </c>
      <c r="I129" s="199">
        <v>0</v>
      </c>
      <c r="J129" s="199">
        <v>0</v>
      </c>
      <c r="K129" s="199">
        <v>0</v>
      </c>
      <c r="L129" s="199">
        <v>0</v>
      </c>
      <c r="M129" s="199">
        <v>2.8319607843137256</v>
      </c>
      <c r="N129" s="199">
        <v>1.4232291666666665</v>
      </c>
      <c r="O129" s="199">
        <v>1.4516666666666667</v>
      </c>
      <c r="P129" s="199">
        <v>1.393888888888889</v>
      </c>
      <c r="Q129" s="199">
        <v>1.4232291666666665</v>
      </c>
      <c r="R129" s="199">
        <v>1.4516666666666667</v>
      </c>
      <c r="S129" s="199">
        <v>1.393888888888889</v>
      </c>
      <c r="T129" s="199">
        <v>0</v>
      </c>
      <c r="U129" s="199">
        <v>0</v>
      </c>
      <c r="V129" s="199">
        <v>0</v>
      </c>
      <c r="W129" s="199">
        <v>0</v>
      </c>
      <c r="X129" s="199">
        <v>0</v>
      </c>
      <c r="Y129" s="199">
        <v>0</v>
      </c>
      <c r="Z129" s="199">
        <v>0</v>
      </c>
      <c r="AA129" s="199">
        <v>0</v>
      </c>
      <c r="AB129" s="199">
        <v>0</v>
      </c>
      <c r="AC129" s="199">
        <v>0</v>
      </c>
      <c r="AD129" s="199">
        <v>1E-3</v>
      </c>
      <c r="AE129" s="199">
        <v>5.0000000000000001E-4</v>
      </c>
      <c r="AF129" s="199">
        <v>5.0000000000000001E-4</v>
      </c>
      <c r="AG129" s="199">
        <v>0</v>
      </c>
      <c r="AH129" s="199">
        <v>0</v>
      </c>
      <c r="AI129" s="199">
        <v>0</v>
      </c>
      <c r="AJ129" s="199">
        <v>0</v>
      </c>
      <c r="AK129" s="199">
        <v>9.1</v>
      </c>
      <c r="AL129" s="199">
        <v>0.45295418641390212</v>
      </c>
      <c r="AM129" s="199">
        <v>0</v>
      </c>
      <c r="AN129" s="199">
        <v>0</v>
      </c>
      <c r="AO129" s="199">
        <v>0</v>
      </c>
      <c r="AP129" s="199">
        <v>0</v>
      </c>
      <c r="AQ129" s="199">
        <v>0</v>
      </c>
      <c r="AR129" s="199">
        <v>0</v>
      </c>
      <c r="AS129" s="199">
        <v>0</v>
      </c>
      <c r="AT129" s="199">
        <v>0</v>
      </c>
      <c r="AU129" s="199">
        <v>0</v>
      </c>
      <c r="AV129" s="199">
        <v>0</v>
      </c>
      <c r="AW129" s="199">
        <v>0</v>
      </c>
      <c r="AX129" s="199">
        <v>0</v>
      </c>
      <c r="AY129" s="199">
        <v>0</v>
      </c>
      <c r="AZ129" s="199">
        <v>0</v>
      </c>
      <c r="BA129" s="199">
        <v>0</v>
      </c>
      <c r="BB129" s="199">
        <v>0</v>
      </c>
      <c r="BC129" s="199">
        <v>0</v>
      </c>
    </row>
    <row r="130" spans="1:55" hidden="1" outlineLevel="1" x14ac:dyDescent="0.2">
      <c r="A130" s="36"/>
      <c r="B130" s="36"/>
      <c r="C130" s="162" t="str">
        <v>RNC: 2600</v>
      </c>
      <c r="D130"/>
      <c r="F130" s="199">
        <v>0</v>
      </c>
      <c r="G130" s="199">
        <v>0</v>
      </c>
      <c r="H130" s="199">
        <v>0</v>
      </c>
      <c r="I130" s="199">
        <v>0</v>
      </c>
      <c r="J130" s="199">
        <v>0</v>
      </c>
      <c r="K130" s="199">
        <v>0</v>
      </c>
      <c r="L130" s="199">
        <v>0</v>
      </c>
      <c r="M130" s="199">
        <v>2.8319607843137256</v>
      </c>
      <c r="N130" s="199">
        <v>1.4232291666666665</v>
      </c>
      <c r="O130" s="199">
        <v>1.4516666666666667</v>
      </c>
      <c r="P130" s="199">
        <v>1.393888888888889</v>
      </c>
      <c r="Q130" s="199">
        <v>1.4232291666666665</v>
      </c>
      <c r="R130" s="199">
        <v>1.4516666666666667</v>
      </c>
      <c r="S130" s="199">
        <v>1.393888888888889</v>
      </c>
      <c r="T130" s="199">
        <v>0</v>
      </c>
      <c r="U130" s="199">
        <v>0</v>
      </c>
      <c r="V130" s="199">
        <v>0</v>
      </c>
      <c r="W130" s="199">
        <v>0</v>
      </c>
      <c r="X130" s="199">
        <v>0</v>
      </c>
      <c r="Y130" s="199">
        <v>0</v>
      </c>
      <c r="Z130" s="199">
        <v>0</v>
      </c>
      <c r="AA130" s="199">
        <v>0</v>
      </c>
      <c r="AB130" s="199">
        <v>0</v>
      </c>
      <c r="AC130" s="199">
        <v>0</v>
      </c>
      <c r="AD130" s="199">
        <v>1E-3</v>
      </c>
      <c r="AE130" s="199">
        <v>5.0000000000000001E-4</v>
      </c>
      <c r="AF130" s="199">
        <v>5.0000000000000001E-4</v>
      </c>
      <c r="AG130" s="199">
        <v>0</v>
      </c>
      <c r="AH130" s="199">
        <v>0</v>
      </c>
      <c r="AI130" s="199">
        <v>0</v>
      </c>
      <c r="AJ130" s="199">
        <v>0</v>
      </c>
      <c r="AK130" s="199">
        <v>9.1</v>
      </c>
      <c r="AL130" s="199">
        <v>0.45295418641390212</v>
      </c>
      <c r="AM130" s="199">
        <v>0</v>
      </c>
      <c r="AN130" s="199">
        <v>0</v>
      </c>
      <c r="AO130" s="199">
        <v>0</v>
      </c>
      <c r="AP130" s="199">
        <v>0</v>
      </c>
      <c r="AQ130" s="199">
        <v>0</v>
      </c>
      <c r="AR130" s="199">
        <v>0</v>
      </c>
      <c r="AS130" s="199">
        <v>0</v>
      </c>
      <c r="AT130" s="199">
        <v>0</v>
      </c>
      <c r="AU130" s="199">
        <v>0</v>
      </c>
      <c r="AV130" s="199">
        <v>0</v>
      </c>
      <c r="AW130" s="199">
        <v>0</v>
      </c>
      <c r="AX130" s="199">
        <v>0</v>
      </c>
      <c r="AY130" s="199">
        <v>0</v>
      </c>
      <c r="AZ130" s="199">
        <v>0</v>
      </c>
      <c r="BA130" s="199">
        <v>0</v>
      </c>
      <c r="BB130" s="199">
        <v>0</v>
      </c>
      <c r="BC130" s="199">
        <v>0</v>
      </c>
    </row>
    <row r="131" spans="1:55" hidden="1" outlineLevel="1" x14ac:dyDescent="0.2">
      <c r="A131" s="36"/>
      <c r="B131" s="36"/>
      <c r="C131" s="162" t="str">
        <v>RNC: 5000</v>
      </c>
      <c r="D131"/>
      <c r="F131" s="199">
        <v>0</v>
      </c>
      <c r="G131" s="199">
        <v>0</v>
      </c>
      <c r="H131" s="199">
        <v>0</v>
      </c>
      <c r="I131" s="199">
        <v>0</v>
      </c>
      <c r="J131" s="199">
        <v>0</v>
      </c>
      <c r="K131" s="199">
        <v>0</v>
      </c>
      <c r="L131" s="199">
        <v>0</v>
      </c>
      <c r="M131" s="199">
        <v>2.8319607843137256</v>
      </c>
      <c r="N131" s="199">
        <v>1.4232291666666665</v>
      </c>
      <c r="O131" s="199">
        <v>1.4516666666666667</v>
      </c>
      <c r="P131" s="199">
        <v>1.393888888888889</v>
      </c>
      <c r="Q131" s="199">
        <v>1.4232291666666665</v>
      </c>
      <c r="R131" s="199">
        <v>1.4516666666666667</v>
      </c>
      <c r="S131" s="199">
        <v>1.393888888888889</v>
      </c>
      <c r="T131" s="199">
        <v>0</v>
      </c>
      <c r="U131" s="199">
        <v>0</v>
      </c>
      <c r="V131" s="199">
        <v>0</v>
      </c>
      <c r="W131" s="199">
        <v>0</v>
      </c>
      <c r="X131" s="199">
        <v>0</v>
      </c>
      <c r="Y131" s="199">
        <v>0</v>
      </c>
      <c r="Z131" s="199">
        <v>0</v>
      </c>
      <c r="AA131" s="199">
        <v>0</v>
      </c>
      <c r="AB131" s="199">
        <v>0</v>
      </c>
      <c r="AC131" s="199">
        <v>0</v>
      </c>
      <c r="AD131" s="199">
        <v>1E-3</v>
      </c>
      <c r="AE131" s="199">
        <v>5.0000000000000001E-4</v>
      </c>
      <c r="AF131" s="199">
        <v>5.0000000000000001E-4</v>
      </c>
      <c r="AG131" s="199">
        <v>0</v>
      </c>
      <c r="AH131" s="199">
        <v>0</v>
      </c>
      <c r="AI131" s="199">
        <v>0</v>
      </c>
      <c r="AJ131" s="199">
        <v>0</v>
      </c>
      <c r="AK131" s="199">
        <v>9.1</v>
      </c>
      <c r="AL131" s="199">
        <v>0.45295418641390212</v>
      </c>
      <c r="AM131" s="199">
        <v>0</v>
      </c>
      <c r="AN131" s="199">
        <v>0</v>
      </c>
      <c r="AO131" s="199">
        <v>0</v>
      </c>
      <c r="AP131" s="199">
        <v>0</v>
      </c>
      <c r="AQ131" s="199">
        <v>0</v>
      </c>
      <c r="AR131" s="199">
        <v>0</v>
      </c>
      <c r="AS131" s="199">
        <v>0</v>
      </c>
      <c r="AT131" s="199">
        <v>0</v>
      </c>
      <c r="AU131" s="199">
        <v>0</v>
      </c>
      <c r="AV131" s="199">
        <v>0</v>
      </c>
      <c r="AW131" s="199">
        <v>0</v>
      </c>
      <c r="AX131" s="199">
        <v>0</v>
      </c>
      <c r="AY131" s="199">
        <v>0</v>
      </c>
      <c r="AZ131" s="199">
        <v>0</v>
      </c>
      <c r="BA131" s="199">
        <v>0</v>
      </c>
      <c r="BB131" s="199">
        <v>0</v>
      </c>
      <c r="BC131" s="199">
        <v>0</v>
      </c>
    </row>
    <row r="132" spans="1:55" hidden="1" outlineLevel="1" x14ac:dyDescent="0.2">
      <c r="A132" s="36"/>
      <c r="B132" s="36"/>
      <c r="C132" s="162" t="str">
        <v>BSC a Core punto de acceso: Voz: 8.45</v>
      </c>
      <c r="D132"/>
      <c r="F132" s="199">
        <v>2.1784313725490194</v>
      </c>
      <c r="G132" s="199">
        <v>1.0947916666666666</v>
      </c>
      <c r="H132" s="199">
        <v>1.1166666666666667</v>
      </c>
      <c r="I132" s="199">
        <v>1.0722222222222222</v>
      </c>
      <c r="J132" s="199">
        <v>1.0947916666666666</v>
      </c>
      <c r="K132" s="199">
        <v>1.1166666666666667</v>
      </c>
      <c r="L132" s="199">
        <v>1.0722222222222222</v>
      </c>
      <c r="M132" s="199">
        <v>0</v>
      </c>
      <c r="N132" s="199">
        <v>0</v>
      </c>
      <c r="O132" s="199">
        <v>0</v>
      </c>
      <c r="P132" s="199">
        <v>0</v>
      </c>
      <c r="Q132" s="199">
        <v>0</v>
      </c>
      <c r="R132" s="199">
        <v>0</v>
      </c>
      <c r="S132" s="199">
        <v>0</v>
      </c>
      <c r="T132" s="199">
        <v>0</v>
      </c>
      <c r="U132" s="199">
        <v>0</v>
      </c>
      <c r="V132" s="199">
        <v>0</v>
      </c>
      <c r="W132" s="199">
        <v>0</v>
      </c>
      <c r="X132" s="199">
        <v>0</v>
      </c>
      <c r="Y132" s="199">
        <v>0</v>
      </c>
      <c r="Z132" s="199">
        <v>0</v>
      </c>
      <c r="AA132" s="199">
        <v>2.6075619295958278E-3</v>
      </c>
      <c r="AB132" s="199">
        <v>1.3037809647979139E-3</v>
      </c>
      <c r="AC132" s="199">
        <v>1.3037809647979139E-3</v>
      </c>
      <c r="AD132" s="199">
        <v>0</v>
      </c>
      <c r="AE132" s="199">
        <v>0</v>
      </c>
      <c r="AF132" s="199">
        <v>0</v>
      </c>
      <c r="AG132" s="199">
        <v>0</v>
      </c>
      <c r="AH132" s="199">
        <v>0</v>
      </c>
      <c r="AI132" s="199">
        <v>0</v>
      </c>
      <c r="AJ132" s="199">
        <v>0</v>
      </c>
      <c r="AK132" s="199">
        <v>0</v>
      </c>
      <c r="AL132" s="199">
        <v>0</v>
      </c>
      <c r="AM132" s="199">
        <v>0</v>
      </c>
      <c r="AN132" s="199">
        <v>0</v>
      </c>
      <c r="AO132" s="199">
        <v>0</v>
      </c>
      <c r="AP132" s="199">
        <v>0</v>
      </c>
      <c r="AQ132" s="199">
        <v>0</v>
      </c>
      <c r="AR132" s="199">
        <v>0</v>
      </c>
      <c r="AS132" s="199">
        <v>0</v>
      </c>
      <c r="AT132" s="199">
        <v>0</v>
      </c>
      <c r="AU132" s="199">
        <v>0</v>
      </c>
      <c r="AV132" s="199">
        <v>0</v>
      </c>
      <c r="AW132" s="199">
        <v>0</v>
      </c>
      <c r="AX132" s="199">
        <v>0</v>
      </c>
      <c r="AY132" s="199">
        <v>0</v>
      </c>
      <c r="AZ132" s="199">
        <v>0</v>
      </c>
      <c r="BA132" s="199">
        <v>0</v>
      </c>
      <c r="BB132" s="199">
        <v>0</v>
      </c>
      <c r="BC132" s="199">
        <v>0</v>
      </c>
    </row>
    <row r="133" spans="1:55" hidden="1" outlineLevel="1" x14ac:dyDescent="0.2">
      <c r="A133" s="36"/>
      <c r="B133" s="36"/>
      <c r="C133" s="162" t="str">
        <v>BSC a Core punto de acceso: Voz: 34.37</v>
      </c>
      <c r="D133"/>
      <c r="F133" s="199">
        <v>2.1784313725490194</v>
      </c>
      <c r="G133" s="199">
        <v>1.0947916666666666</v>
      </c>
      <c r="H133" s="199">
        <v>1.1166666666666667</v>
      </c>
      <c r="I133" s="199">
        <v>1.0722222222222222</v>
      </c>
      <c r="J133" s="199">
        <v>1.0947916666666666</v>
      </c>
      <c r="K133" s="199">
        <v>1.1166666666666667</v>
      </c>
      <c r="L133" s="199">
        <v>1.0722222222222222</v>
      </c>
      <c r="M133" s="199">
        <v>0</v>
      </c>
      <c r="N133" s="199">
        <v>0</v>
      </c>
      <c r="O133" s="199">
        <v>0</v>
      </c>
      <c r="P133" s="199">
        <v>0</v>
      </c>
      <c r="Q133" s="199">
        <v>0</v>
      </c>
      <c r="R133" s="199">
        <v>0</v>
      </c>
      <c r="S133" s="199">
        <v>0</v>
      </c>
      <c r="T133" s="199">
        <v>0</v>
      </c>
      <c r="U133" s="199">
        <v>0</v>
      </c>
      <c r="V133" s="199">
        <v>0</v>
      </c>
      <c r="W133" s="199">
        <v>0</v>
      </c>
      <c r="X133" s="199">
        <v>0</v>
      </c>
      <c r="Y133" s="199">
        <v>0</v>
      </c>
      <c r="Z133" s="199">
        <v>0</v>
      </c>
      <c r="AA133" s="199">
        <v>2.6075619295958278E-3</v>
      </c>
      <c r="AB133" s="199">
        <v>1.3037809647979139E-3</v>
      </c>
      <c r="AC133" s="199">
        <v>1.3037809647979139E-3</v>
      </c>
      <c r="AD133" s="199">
        <v>0</v>
      </c>
      <c r="AE133" s="199">
        <v>0</v>
      </c>
      <c r="AF133" s="199">
        <v>0</v>
      </c>
      <c r="AG133" s="199">
        <v>0</v>
      </c>
      <c r="AH133" s="199">
        <v>0</v>
      </c>
      <c r="AI133" s="199">
        <v>0</v>
      </c>
      <c r="AJ133" s="199">
        <v>0</v>
      </c>
      <c r="AK133" s="199">
        <v>0</v>
      </c>
      <c r="AL133" s="199">
        <v>0</v>
      </c>
      <c r="AM133" s="199">
        <v>0</v>
      </c>
      <c r="AN133" s="199">
        <v>0</v>
      </c>
      <c r="AO133" s="199">
        <v>0</v>
      </c>
      <c r="AP133" s="199">
        <v>0</v>
      </c>
      <c r="AQ133" s="199">
        <v>0</v>
      </c>
      <c r="AR133" s="199">
        <v>0</v>
      </c>
      <c r="AS133" s="199">
        <v>0</v>
      </c>
      <c r="AT133" s="199">
        <v>0</v>
      </c>
      <c r="AU133" s="199">
        <v>0</v>
      </c>
      <c r="AV133" s="199">
        <v>0</v>
      </c>
      <c r="AW133" s="199">
        <v>0</v>
      </c>
      <c r="AX133" s="199">
        <v>0</v>
      </c>
      <c r="AY133" s="199">
        <v>0</v>
      </c>
      <c r="AZ133" s="199">
        <v>0</v>
      </c>
      <c r="BA133" s="199">
        <v>0</v>
      </c>
      <c r="BB133" s="199">
        <v>0</v>
      </c>
      <c r="BC133" s="199">
        <v>0</v>
      </c>
    </row>
    <row r="134" spans="1:55" hidden="1" outlineLevel="1" x14ac:dyDescent="0.2">
      <c r="A134" s="36"/>
      <c r="B134" s="36"/>
      <c r="C134" s="162" t="str">
        <v>BSC a Core punto de acceso: Voz: 155.52</v>
      </c>
      <c r="D134"/>
      <c r="F134" s="199">
        <v>2.1784313725490194</v>
      </c>
      <c r="G134" s="199">
        <v>1.0947916666666666</v>
      </c>
      <c r="H134" s="199">
        <v>1.1166666666666667</v>
      </c>
      <c r="I134" s="199">
        <v>1.0722222222222222</v>
      </c>
      <c r="J134" s="199">
        <v>1.0947916666666666</v>
      </c>
      <c r="K134" s="199">
        <v>1.1166666666666667</v>
      </c>
      <c r="L134" s="199">
        <v>1.0722222222222222</v>
      </c>
      <c r="M134" s="199">
        <v>0</v>
      </c>
      <c r="N134" s="199">
        <v>0</v>
      </c>
      <c r="O134" s="199">
        <v>0</v>
      </c>
      <c r="P134" s="199">
        <v>0</v>
      </c>
      <c r="Q134" s="199">
        <v>0</v>
      </c>
      <c r="R134" s="199">
        <v>0</v>
      </c>
      <c r="S134" s="199">
        <v>0</v>
      </c>
      <c r="T134" s="199">
        <v>0</v>
      </c>
      <c r="U134" s="199">
        <v>0</v>
      </c>
      <c r="V134" s="199">
        <v>0</v>
      </c>
      <c r="W134" s="199">
        <v>0</v>
      </c>
      <c r="X134" s="199">
        <v>0</v>
      </c>
      <c r="Y134" s="199">
        <v>0</v>
      </c>
      <c r="Z134" s="199">
        <v>0</v>
      </c>
      <c r="AA134" s="199">
        <v>2.6075619295958278E-3</v>
      </c>
      <c r="AB134" s="199">
        <v>1.3037809647979139E-3</v>
      </c>
      <c r="AC134" s="199">
        <v>1.3037809647979139E-3</v>
      </c>
      <c r="AD134" s="199">
        <v>0</v>
      </c>
      <c r="AE134" s="199">
        <v>0</v>
      </c>
      <c r="AF134" s="199">
        <v>0</v>
      </c>
      <c r="AG134" s="199">
        <v>0</v>
      </c>
      <c r="AH134" s="199">
        <v>0</v>
      </c>
      <c r="AI134" s="199">
        <v>0</v>
      </c>
      <c r="AJ134" s="199">
        <v>0</v>
      </c>
      <c r="AK134" s="199">
        <v>0</v>
      </c>
      <c r="AL134" s="199">
        <v>0</v>
      </c>
      <c r="AM134" s="199">
        <v>0</v>
      </c>
      <c r="AN134" s="199">
        <v>0</v>
      </c>
      <c r="AO134" s="199">
        <v>0</v>
      </c>
      <c r="AP134" s="199">
        <v>0</v>
      </c>
      <c r="AQ134" s="199">
        <v>0</v>
      </c>
      <c r="AR134" s="199">
        <v>0</v>
      </c>
      <c r="AS134" s="199">
        <v>0</v>
      </c>
      <c r="AT134" s="199">
        <v>0</v>
      </c>
      <c r="AU134" s="199">
        <v>0</v>
      </c>
      <c r="AV134" s="199">
        <v>0</v>
      </c>
      <c r="AW134" s="199">
        <v>0</v>
      </c>
      <c r="AX134" s="199">
        <v>0</v>
      </c>
      <c r="AY134" s="199">
        <v>0</v>
      </c>
      <c r="AZ134" s="199">
        <v>0</v>
      </c>
      <c r="BA134" s="199">
        <v>0</v>
      </c>
      <c r="BB134" s="199">
        <v>0</v>
      </c>
      <c r="BC134" s="199">
        <v>0</v>
      </c>
    </row>
    <row r="135" spans="1:55" hidden="1" outlineLevel="1" x14ac:dyDescent="0.2">
      <c r="A135" s="36"/>
      <c r="B135" s="36"/>
      <c r="C135" s="162" t="str">
        <v>BSC a Core punto de acceso: Voz: 30</v>
      </c>
      <c r="D135"/>
      <c r="F135" s="199">
        <v>2.1784313725490194</v>
      </c>
      <c r="G135" s="199">
        <v>1.0947916666666666</v>
      </c>
      <c r="H135" s="199">
        <v>1.1166666666666667</v>
      </c>
      <c r="I135" s="199">
        <v>1.0722222222222222</v>
      </c>
      <c r="J135" s="199">
        <v>1.0947916666666666</v>
      </c>
      <c r="K135" s="199">
        <v>1.1166666666666667</v>
      </c>
      <c r="L135" s="199">
        <v>1.0722222222222222</v>
      </c>
      <c r="M135" s="199">
        <v>0</v>
      </c>
      <c r="N135" s="199">
        <v>0</v>
      </c>
      <c r="O135" s="199">
        <v>0</v>
      </c>
      <c r="P135" s="199">
        <v>0</v>
      </c>
      <c r="Q135" s="199">
        <v>0</v>
      </c>
      <c r="R135" s="199">
        <v>0</v>
      </c>
      <c r="S135" s="199">
        <v>0</v>
      </c>
      <c r="T135" s="199">
        <v>0</v>
      </c>
      <c r="U135" s="199">
        <v>0</v>
      </c>
      <c r="V135" s="199">
        <v>0</v>
      </c>
      <c r="W135" s="199">
        <v>0</v>
      </c>
      <c r="X135" s="199">
        <v>0</v>
      </c>
      <c r="Y135" s="199">
        <v>0</v>
      </c>
      <c r="Z135" s="199">
        <v>0</v>
      </c>
      <c r="AA135" s="199">
        <v>2.6075619295958278E-3</v>
      </c>
      <c r="AB135" s="199">
        <v>1.3037809647979139E-3</v>
      </c>
      <c r="AC135" s="199">
        <v>1.3037809647979139E-3</v>
      </c>
      <c r="AD135" s="199">
        <v>0</v>
      </c>
      <c r="AE135" s="199">
        <v>0</v>
      </c>
      <c r="AF135" s="199">
        <v>0</v>
      </c>
      <c r="AG135" s="199">
        <v>0</v>
      </c>
      <c r="AH135" s="199">
        <v>0</v>
      </c>
      <c r="AI135" s="199">
        <v>0</v>
      </c>
      <c r="AJ135" s="199">
        <v>0</v>
      </c>
      <c r="AK135" s="199">
        <v>0</v>
      </c>
      <c r="AL135" s="199">
        <v>0</v>
      </c>
      <c r="AM135" s="199">
        <v>0</v>
      </c>
      <c r="AN135" s="199">
        <v>0</v>
      </c>
      <c r="AO135" s="199">
        <v>0</v>
      </c>
      <c r="AP135" s="199">
        <v>0</v>
      </c>
      <c r="AQ135" s="199">
        <v>0</v>
      </c>
      <c r="AR135" s="199">
        <v>0</v>
      </c>
      <c r="AS135" s="199">
        <v>0</v>
      </c>
      <c r="AT135" s="199">
        <v>0</v>
      </c>
      <c r="AU135" s="199">
        <v>0</v>
      </c>
      <c r="AV135" s="199">
        <v>0</v>
      </c>
      <c r="AW135" s="199">
        <v>0</v>
      </c>
      <c r="AX135" s="199">
        <v>0</v>
      </c>
      <c r="AY135" s="199">
        <v>0</v>
      </c>
      <c r="AZ135" s="199">
        <v>0</v>
      </c>
      <c r="BA135" s="199">
        <v>0</v>
      </c>
      <c r="BB135" s="199">
        <v>0</v>
      </c>
      <c r="BC135" s="199">
        <v>0</v>
      </c>
    </row>
    <row r="136" spans="1:55" hidden="1" outlineLevel="1" x14ac:dyDescent="0.2">
      <c r="A136" s="36"/>
      <c r="B136" s="36"/>
      <c r="C136" s="162" t="str">
        <v>BSC a Core punto de acceso: Voz: 100</v>
      </c>
      <c r="D136"/>
      <c r="F136" s="199">
        <v>2.1784313725490194</v>
      </c>
      <c r="G136" s="199">
        <v>1.0947916666666666</v>
      </c>
      <c r="H136" s="199">
        <v>1.1166666666666667</v>
      </c>
      <c r="I136" s="199">
        <v>1.0722222222222222</v>
      </c>
      <c r="J136" s="199">
        <v>1.0947916666666666</v>
      </c>
      <c r="K136" s="199">
        <v>1.1166666666666667</v>
      </c>
      <c r="L136" s="199">
        <v>1.0722222222222222</v>
      </c>
      <c r="M136" s="199">
        <v>0</v>
      </c>
      <c r="N136" s="199">
        <v>0</v>
      </c>
      <c r="O136" s="199">
        <v>0</v>
      </c>
      <c r="P136" s="199">
        <v>0</v>
      </c>
      <c r="Q136" s="199">
        <v>0</v>
      </c>
      <c r="R136" s="199">
        <v>0</v>
      </c>
      <c r="S136" s="199">
        <v>0</v>
      </c>
      <c r="T136" s="199">
        <v>0</v>
      </c>
      <c r="U136" s="199">
        <v>0</v>
      </c>
      <c r="V136" s="199">
        <v>0</v>
      </c>
      <c r="W136" s="199">
        <v>0</v>
      </c>
      <c r="X136" s="199">
        <v>0</v>
      </c>
      <c r="Y136" s="199">
        <v>0</v>
      </c>
      <c r="Z136" s="199">
        <v>0</v>
      </c>
      <c r="AA136" s="199">
        <v>2.6075619295958278E-3</v>
      </c>
      <c r="AB136" s="199">
        <v>1.3037809647979139E-3</v>
      </c>
      <c r="AC136" s="199">
        <v>1.3037809647979139E-3</v>
      </c>
      <c r="AD136" s="199">
        <v>0</v>
      </c>
      <c r="AE136" s="199">
        <v>0</v>
      </c>
      <c r="AF136" s="199">
        <v>0</v>
      </c>
      <c r="AG136" s="199">
        <v>0</v>
      </c>
      <c r="AH136" s="199">
        <v>0</v>
      </c>
      <c r="AI136" s="199">
        <v>0</v>
      </c>
      <c r="AJ136" s="199">
        <v>0</v>
      </c>
      <c r="AK136" s="199">
        <v>0</v>
      </c>
      <c r="AL136" s="199">
        <v>0</v>
      </c>
      <c r="AM136" s="199">
        <v>0</v>
      </c>
      <c r="AN136" s="199">
        <v>0</v>
      </c>
      <c r="AO136" s="199">
        <v>0</v>
      </c>
      <c r="AP136" s="199">
        <v>0</v>
      </c>
      <c r="AQ136" s="199">
        <v>0</v>
      </c>
      <c r="AR136" s="199">
        <v>0</v>
      </c>
      <c r="AS136" s="199">
        <v>0</v>
      </c>
      <c r="AT136" s="199">
        <v>0</v>
      </c>
      <c r="AU136" s="199">
        <v>0</v>
      </c>
      <c r="AV136" s="199">
        <v>0</v>
      </c>
      <c r="AW136" s="199">
        <v>0</v>
      </c>
      <c r="AX136" s="199">
        <v>0</v>
      </c>
      <c r="AY136" s="199">
        <v>0</v>
      </c>
      <c r="AZ136" s="199">
        <v>0</v>
      </c>
      <c r="BA136" s="199">
        <v>0</v>
      </c>
      <c r="BB136" s="199">
        <v>0</v>
      </c>
      <c r="BC136" s="199">
        <v>0</v>
      </c>
    </row>
    <row r="137" spans="1:55" hidden="1" outlineLevel="1" x14ac:dyDescent="0.2">
      <c r="A137" s="36"/>
      <c r="B137" s="36"/>
      <c r="C137" s="162" t="str">
        <v>BSC a Core punto de acceso: Voz: 1024</v>
      </c>
      <c r="D137"/>
      <c r="F137" s="199">
        <v>2.1784313725490194</v>
      </c>
      <c r="G137" s="199">
        <v>1.0947916666666666</v>
      </c>
      <c r="H137" s="199">
        <v>1.1166666666666667</v>
      </c>
      <c r="I137" s="199">
        <v>1.0722222222222222</v>
      </c>
      <c r="J137" s="199">
        <v>1.0947916666666666</v>
      </c>
      <c r="K137" s="199">
        <v>1.1166666666666667</v>
      </c>
      <c r="L137" s="199">
        <v>1.0722222222222222</v>
      </c>
      <c r="M137" s="199">
        <v>0</v>
      </c>
      <c r="N137" s="199">
        <v>0</v>
      </c>
      <c r="O137" s="199">
        <v>0</v>
      </c>
      <c r="P137" s="199">
        <v>0</v>
      </c>
      <c r="Q137" s="199">
        <v>0</v>
      </c>
      <c r="R137" s="199">
        <v>0</v>
      </c>
      <c r="S137" s="199">
        <v>0</v>
      </c>
      <c r="T137" s="199">
        <v>0</v>
      </c>
      <c r="U137" s="199">
        <v>0</v>
      </c>
      <c r="V137" s="199">
        <v>0</v>
      </c>
      <c r="W137" s="199">
        <v>0</v>
      </c>
      <c r="X137" s="199">
        <v>0</v>
      </c>
      <c r="Y137" s="199">
        <v>0</v>
      </c>
      <c r="Z137" s="199">
        <v>0</v>
      </c>
      <c r="AA137" s="199">
        <v>2.6075619295958278E-3</v>
      </c>
      <c r="AB137" s="199">
        <v>1.3037809647979139E-3</v>
      </c>
      <c r="AC137" s="199">
        <v>1.3037809647979139E-3</v>
      </c>
      <c r="AD137" s="199">
        <v>0</v>
      </c>
      <c r="AE137" s="199">
        <v>0</v>
      </c>
      <c r="AF137" s="199">
        <v>0</v>
      </c>
      <c r="AG137" s="199">
        <v>0</v>
      </c>
      <c r="AH137" s="199">
        <v>0</v>
      </c>
      <c r="AI137" s="199">
        <v>0</v>
      </c>
      <c r="AJ137" s="199">
        <v>0</v>
      </c>
      <c r="AK137" s="199">
        <v>0</v>
      </c>
      <c r="AL137" s="199">
        <v>0</v>
      </c>
      <c r="AM137" s="199">
        <v>0</v>
      </c>
      <c r="AN137" s="199">
        <v>0</v>
      </c>
      <c r="AO137" s="199">
        <v>0</v>
      </c>
      <c r="AP137" s="199">
        <v>0</v>
      </c>
      <c r="AQ137" s="199">
        <v>0</v>
      </c>
      <c r="AR137" s="199">
        <v>0</v>
      </c>
      <c r="AS137" s="199">
        <v>0</v>
      </c>
      <c r="AT137" s="199">
        <v>0</v>
      </c>
      <c r="AU137" s="199">
        <v>0</v>
      </c>
      <c r="AV137" s="199">
        <v>0</v>
      </c>
      <c r="AW137" s="199">
        <v>0</v>
      </c>
      <c r="AX137" s="199">
        <v>0</v>
      </c>
      <c r="AY137" s="199">
        <v>0</v>
      </c>
      <c r="AZ137" s="199">
        <v>0</v>
      </c>
      <c r="BA137" s="199">
        <v>0</v>
      </c>
      <c r="BB137" s="199">
        <v>0</v>
      </c>
      <c r="BC137" s="199">
        <v>0</v>
      </c>
    </row>
    <row r="138" spans="1:55" hidden="1" outlineLevel="1" x14ac:dyDescent="0.2">
      <c r="A138" s="36"/>
      <c r="B138" s="36"/>
      <c r="C138" s="162" t="str">
        <v>BSC a Core punto de acceso: Datos: 8.45</v>
      </c>
      <c r="D138"/>
      <c r="F138" s="199">
        <v>0</v>
      </c>
      <c r="G138" s="199">
        <v>0</v>
      </c>
      <c r="H138" s="199">
        <v>0</v>
      </c>
      <c r="I138" s="199">
        <v>0</v>
      </c>
      <c r="J138" s="199">
        <v>0</v>
      </c>
      <c r="K138" s="199">
        <v>0</v>
      </c>
      <c r="L138" s="199">
        <v>0</v>
      </c>
      <c r="M138" s="199">
        <v>0</v>
      </c>
      <c r="N138" s="199">
        <v>0</v>
      </c>
      <c r="O138" s="199">
        <v>0</v>
      </c>
      <c r="P138" s="199">
        <v>0</v>
      </c>
      <c r="Q138" s="199">
        <v>0</v>
      </c>
      <c r="R138" s="199">
        <v>0</v>
      </c>
      <c r="S138" s="199">
        <v>0</v>
      </c>
      <c r="T138" s="199">
        <v>0</v>
      </c>
      <c r="U138" s="199">
        <v>0</v>
      </c>
      <c r="V138" s="199">
        <v>0</v>
      </c>
      <c r="W138" s="199">
        <v>0</v>
      </c>
      <c r="X138" s="199">
        <v>0</v>
      </c>
      <c r="Y138" s="199">
        <v>0</v>
      </c>
      <c r="Z138" s="199">
        <v>0</v>
      </c>
      <c r="AA138" s="199">
        <v>0</v>
      </c>
      <c r="AB138" s="199">
        <v>0</v>
      </c>
      <c r="AC138" s="199">
        <v>0</v>
      </c>
      <c r="AD138" s="199">
        <v>0</v>
      </c>
      <c r="AE138" s="199">
        <v>0</v>
      </c>
      <c r="AF138" s="199">
        <v>0</v>
      </c>
      <c r="AG138" s="199">
        <v>0</v>
      </c>
      <c r="AH138" s="199">
        <v>0</v>
      </c>
      <c r="AI138" s="199">
        <v>0</v>
      </c>
      <c r="AJ138" s="199">
        <v>1</v>
      </c>
      <c r="AK138" s="199">
        <v>0</v>
      </c>
      <c r="AL138" s="199">
        <v>0</v>
      </c>
      <c r="AM138" s="199">
        <v>0</v>
      </c>
      <c r="AN138" s="199">
        <v>0</v>
      </c>
      <c r="AO138" s="199">
        <v>0</v>
      </c>
      <c r="AP138" s="199">
        <v>0</v>
      </c>
      <c r="AQ138" s="199">
        <v>0</v>
      </c>
      <c r="AR138" s="199">
        <v>0</v>
      </c>
      <c r="AS138" s="199">
        <v>0</v>
      </c>
      <c r="AT138" s="199">
        <v>0</v>
      </c>
      <c r="AU138" s="199">
        <v>0</v>
      </c>
      <c r="AV138" s="199">
        <v>0</v>
      </c>
      <c r="AW138" s="199">
        <v>0</v>
      </c>
      <c r="AX138" s="199">
        <v>0</v>
      </c>
      <c r="AY138" s="199">
        <v>0</v>
      </c>
      <c r="AZ138" s="199">
        <v>0</v>
      </c>
      <c r="BA138" s="199">
        <v>0</v>
      </c>
      <c r="BB138" s="199">
        <v>0</v>
      </c>
      <c r="BC138" s="199">
        <v>0</v>
      </c>
    </row>
    <row r="139" spans="1:55" hidden="1" outlineLevel="1" x14ac:dyDescent="0.2">
      <c r="A139" s="36"/>
      <c r="B139" s="36"/>
      <c r="C139" s="162" t="str">
        <v>BSC a Core punto de acceso: Datos: 34.37</v>
      </c>
      <c r="D139"/>
      <c r="F139" s="199">
        <v>0</v>
      </c>
      <c r="G139" s="199">
        <v>0</v>
      </c>
      <c r="H139" s="199">
        <v>0</v>
      </c>
      <c r="I139" s="199">
        <v>0</v>
      </c>
      <c r="J139" s="199">
        <v>0</v>
      </c>
      <c r="K139" s="199">
        <v>0</v>
      </c>
      <c r="L139" s="199">
        <v>0</v>
      </c>
      <c r="M139" s="199">
        <v>0</v>
      </c>
      <c r="N139" s="199">
        <v>0</v>
      </c>
      <c r="O139" s="199">
        <v>0</v>
      </c>
      <c r="P139" s="199">
        <v>0</v>
      </c>
      <c r="Q139" s="199">
        <v>0</v>
      </c>
      <c r="R139" s="199">
        <v>0</v>
      </c>
      <c r="S139" s="199">
        <v>0</v>
      </c>
      <c r="T139" s="199">
        <v>0</v>
      </c>
      <c r="U139" s="199">
        <v>0</v>
      </c>
      <c r="V139" s="199">
        <v>0</v>
      </c>
      <c r="W139" s="199">
        <v>0</v>
      </c>
      <c r="X139" s="199">
        <v>0</v>
      </c>
      <c r="Y139" s="199">
        <v>0</v>
      </c>
      <c r="Z139" s="199">
        <v>0</v>
      </c>
      <c r="AA139" s="199">
        <v>0</v>
      </c>
      <c r="AB139" s="199">
        <v>0</v>
      </c>
      <c r="AC139" s="199">
        <v>0</v>
      </c>
      <c r="AD139" s="199">
        <v>0</v>
      </c>
      <c r="AE139" s="199">
        <v>0</v>
      </c>
      <c r="AF139" s="199">
        <v>0</v>
      </c>
      <c r="AG139" s="199">
        <v>0</v>
      </c>
      <c r="AH139" s="199">
        <v>0</v>
      </c>
      <c r="AI139" s="199">
        <v>0</v>
      </c>
      <c r="AJ139" s="199">
        <v>1</v>
      </c>
      <c r="AK139" s="199">
        <v>0</v>
      </c>
      <c r="AL139" s="199">
        <v>0</v>
      </c>
      <c r="AM139" s="199">
        <v>0</v>
      </c>
      <c r="AN139" s="199">
        <v>0</v>
      </c>
      <c r="AO139" s="199">
        <v>0</v>
      </c>
      <c r="AP139" s="199">
        <v>0</v>
      </c>
      <c r="AQ139" s="199">
        <v>0</v>
      </c>
      <c r="AR139" s="199">
        <v>0</v>
      </c>
      <c r="AS139" s="199">
        <v>0</v>
      </c>
      <c r="AT139" s="199">
        <v>0</v>
      </c>
      <c r="AU139" s="199">
        <v>0</v>
      </c>
      <c r="AV139" s="199">
        <v>0</v>
      </c>
      <c r="AW139" s="199">
        <v>0</v>
      </c>
      <c r="AX139" s="199">
        <v>0</v>
      </c>
      <c r="AY139" s="199">
        <v>0</v>
      </c>
      <c r="AZ139" s="199">
        <v>0</v>
      </c>
      <c r="BA139" s="199">
        <v>0</v>
      </c>
      <c r="BB139" s="199">
        <v>0</v>
      </c>
      <c r="BC139" s="199">
        <v>0</v>
      </c>
    </row>
    <row r="140" spans="1:55" hidden="1" outlineLevel="1" x14ac:dyDescent="0.2">
      <c r="A140" s="36"/>
      <c r="B140" s="36"/>
      <c r="C140" s="162" t="str">
        <v>BSC a Core punto de acceso: Datos: 155.52</v>
      </c>
      <c r="D140"/>
      <c r="F140" s="199">
        <v>0</v>
      </c>
      <c r="G140" s="199">
        <v>0</v>
      </c>
      <c r="H140" s="199">
        <v>0</v>
      </c>
      <c r="I140" s="199">
        <v>0</v>
      </c>
      <c r="J140" s="199">
        <v>0</v>
      </c>
      <c r="K140" s="199">
        <v>0</v>
      </c>
      <c r="L140" s="199">
        <v>0</v>
      </c>
      <c r="M140" s="199">
        <v>0</v>
      </c>
      <c r="N140" s="199">
        <v>0</v>
      </c>
      <c r="O140" s="199">
        <v>0</v>
      </c>
      <c r="P140" s="199">
        <v>0</v>
      </c>
      <c r="Q140" s="199">
        <v>0</v>
      </c>
      <c r="R140" s="199">
        <v>0</v>
      </c>
      <c r="S140" s="199">
        <v>0</v>
      </c>
      <c r="T140" s="199">
        <v>0</v>
      </c>
      <c r="U140" s="199">
        <v>0</v>
      </c>
      <c r="V140" s="199">
        <v>0</v>
      </c>
      <c r="W140" s="199">
        <v>0</v>
      </c>
      <c r="X140" s="199">
        <v>0</v>
      </c>
      <c r="Y140" s="199">
        <v>0</v>
      </c>
      <c r="Z140" s="199">
        <v>0</v>
      </c>
      <c r="AA140" s="199">
        <v>0</v>
      </c>
      <c r="AB140" s="199">
        <v>0</v>
      </c>
      <c r="AC140" s="199">
        <v>0</v>
      </c>
      <c r="AD140" s="199">
        <v>0</v>
      </c>
      <c r="AE140" s="199">
        <v>0</v>
      </c>
      <c r="AF140" s="199">
        <v>0</v>
      </c>
      <c r="AG140" s="199">
        <v>0</v>
      </c>
      <c r="AH140" s="199">
        <v>0</v>
      </c>
      <c r="AI140" s="199">
        <v>0</v>
      </c>
      <c r="AJ140" s="199">
        <v>1</v>
      </c>
      <c r="AK140" s="199">
        <v>0</v>
      </c>
      <c r="AL140" s="199">
        <v>0</v>
      </c>
      <c r="AM140" s="199">
        <v>0</v>
      </c>
      <c r="AN140" s="199">
        <v>0</v>
      </c>
      <c r="AO140" s="199">
        <v>0</v>
      </c>
      <c r="AP140" s="199">
        <v>0</v>
      </c>
      <c r="AQ140" s="199">
        <v>0</v>
      </c>
      <c r="AR140" s="199">
        <v>0</v>
      </c>
      <c r="AS140" s="199">
        <v>0</v>
      </c>
      <c r="AT140" s="199">
        <v>0</v>
      </c>
      <c r="AU140" s="199">
        <v>0</v>
      </c>
      <c r="AV140" s="199">
        <v>0</v>
      </c>
      <c r="AW140" s="199">
        <v>0</v>
      </c>
      <c r="AX140" s="199">
        <v>0</v>
      </c>
      <c r="AY140" s="199">
        <v>0</v>
      </c>
      <c r="AZ140" s="199">
        <v>0</v>
      </c>
      <c r="BA140" s="199">
        <v>0</v>
      </c>
      <c r="BB140" s="199">
        <v>0</v>
      </c>
      <c r="BC140" s="199">
        <v>0</v>
      </c>
    </row>
    <row r="141" spans="1:55" hidden="1" outlineLevel="1" x14ac:dyDescent="0.2">
      <c r="A141" s="36"/>
      <c r="B141" s="36"/>
      <c r="C141" s="162" t="str">
        <v>BSC a Core punto de acceso: Datos: 30</v>
      </c>
      <c r="D141"/>
      <c r="F141" s="199">
        <v>0</v>
      </c>
      <c r="G141" s="199">
        <v>0</v>
      </c>
      <c r="H141" s="199">
        <v>0</v>
      </c>
      <c r="I141" s="199">
        <v>0</v>
      </c>
      <c r="J141" s="199">
        <v>0</v>
      </c>
      <c r="K141" s="199">
        <v>0</v>
      </c>
      <c r="L141" s="199">
        <v>0</v>
      </c>
      <c r="M141" s="199">
        <v>0</v>
      </c>
      <c r="N141" s="199">
        <v>0</v>
      </c>
      <c r="O141" s="199">
        <v>0</v>
      </c>
      <c r="P141" s="199">
        <v>0</v>
      </c>
      <c r="Q141" s="199">
        <v>0</v>
      </c>
      <c r="R141" s="199">
        <v>0</v>
      </c>
      <c r="S141" s="199">
        <v>0</v>
      </c>
      <c r="T141" s="199">
        <v>0</v>
      </c>
      <c r="U141" s="199">
        <v>0</v>
      </c>
      <c r="V141" s="199">
        <v>0</v>
      </c>
      <c r="W141" s="199">
        <v>0</v>
      </c>
      <c r="X141" s="199">
        <v>0</v>
      </c>
      <c r="Y141" s="199">
        <v>0</v>
      </c>
      <c r="Z141" s="199">
        <v>0</v>
      </c>
      <c r="AA141" s="199">
        <v>0</v>
      </c>
      <c r="AB141" s="199">
        <v>0</v>
      </c>
      <c r="AC141" s="199">
        <v>0</v>
      </c>
      <c r="AD141" s="199">
        <v>0</v>
      </c>
      <c r="AE141" s="199">
        <v>0</v>
      </c>
      <c r="AF141" s="199">
        <v>0</v>
      </c>
      <c r="AG141" s="199">
        <v>0</v>
      </c>
      <c r="AH141" s="199">
        <v>0</v>
      </c>
      <c r="AI141" s="199">
        <v>0</v>
      </c>
      <c r="AJ141" s="199">
        <v>1</v>
      </c>
      <c r="AK141" s="199">
        <v>0</v>
      </c>
      <c r="AL141" s="199">
        <v>0</v>
      </c>
      <c r="AM141" s="199">
        <v>0</v>
      </c>
      <c r="AN141" s="199">
        <v>0</v>
      </c>
      <c r="AO141" s="199">
        <v>0</v>
      </c>
      <c r="AP141" s="199">
        <v>0</v>
      </c>
      <c r="AQ141" s="199">
        <v>0</v>
      </c>
      <c r="AR141" s="199">
        <v>0</v>
      </c>
      <c r="AS141" s="199">
        <v>0</v>
      </c>
      <c r="AT141" s="199">
        <v>0</v>
      </c>
      <c r="AU141" s="199">
        <v>0</v>
      </c>
      <c r="AV141" s="199">
        <v>0</v>
      </c>
      <c r="AW141" s="199">
        <v>0</v>
      </c>
      <c r="AX141" s="199">
        <v>0</v>
      </c>
      <c r="AY141" s="199">
        <v>0</v>
      </c>
      <c r="AZ141" s="199">
        <v>0</v>
      </c>
      <c r="BA141" s="199">
        <v>0</v>
      </c>
      <c r="BB141" s="199">
        <v>0</v>
      </c>
      <c r="BC141" s="199">
        <v>0</v>
      </c>
    </row>
    <row r="142" spans="1:55" hidden="1" outlineLevel="1" x14ac:dyDescent="0.2">
      <c r="A142" s="36"/>
      <c r="B142" s="36"/>
      <c r="C142" s="162" t="str">
        <v>BSC a Core punto de acceso: Datos: 100</v>
      </c>
      <c r="D142"/>
      <c r="F142" s="199">
        <v>0</v>
      </c>
      <c r="G142" s="199">
        <v>0</v>
      </c>
      <c r="H142" s="199">
        <v>0</v>
      </c>
      <c r="I142" s="199">
        <v>0</v>
      </c>
      <c r="J142" s="199">
        <v>0</v>
      </c>
      <c r="K142" s="199">
        <v>0</v>
      </c>
      <c r="L142" s="199">
        <v>0</v>
      </c>
      <c r="M142" s="199">
        <v>0</v>
      </c>
      <c r="N142" s="199">
        <v>0</v>
      </c>
      <c r="O142" s="199">
        <v>0</v>
      </c>
      <c r="P142" s="199">
        <v>0</v>
      </c>
      <c r="Q142" s="199">
        <v>0</v>
      </c>
      <c r="R142" s="199">
        <v>0</v>
      </c>
      <c r="S142" s="199">
        <v>0</v>
      </c>
      <c r="T142" s="199">
        <v>0</v>
      </c>
      <c r="U142" s="199">
        <v>0</v>
      </c>
      <c r="V142" s="199">
        <v>0</v>
      </c>
      <c r="W142" s="199">
        <v>0</v>
      </c>
      <c r="X142" s="199">
        <v>0</v>
      </c>
      <c r="Y142" s="199">
        <v>0</v>
      </c>
      <c r="Z142" s="199">
        <v>0</v>
      </c>
      <c r="AA142" s="199">
        <v>0</v>
      </c>
      <c r="AB142" s="199">
        <v>0</v>
      </c>
      <c r="AC142" s="199">
        <v>0</v>
      </c>
      <c r="AD142" s="199">
        <v>0</v>
      </c>
      <c r="AE142" s="199">
        <v>0</v>
      </c>
      <c r="AF142" s="199">
        <v>0</v>
      </c>
      <c r="AG142" s="199">
        <v>0</v>
      </c>
      <c r="AH142" s="199">
        <v>0</v>
      </c>
      <c r="AI142" s="199">
        <v>0</v>
      </c>
      <c r="AJ142" s="199">
        <v>1</v>
      </c>
      <c r="AK142" s="199">
        <v>0</v>
      </c>
      <c r="AL142" s="199">
        <v>0</v>
      </c>
      <c r="AM142" s="199">
        <v>0</v>
      </c>
      <c r="AN142" s="199">
        <v>0</v>
      </c>
      <c r="AO142" s="199">
        <v>0</v>
      </c>
      <c r="AP142" s="199">
        <v>0</v>
      </c>
      <c r="AQ142" s="199">
        <v>0</v>
      </c>
      <c r="AR142" s="199">
        <v>0</v>
      </c>
      <c r="AS142" s="199">
        <v>0</v>
      </c>
      <c r="AT142" s="199">
        <v>0</v>
      </c>
      <c r="AU142" s="199">
        <v>0</v>
      </c>
      <c r="AV142" s="199">
        <v>0</v>
      </c>
      <c r="AW142" s="199">
        <v>0</v>
      </c>
      <c r="AX142" s="199">
        <v>0</v>
      </c>
      <c r="AY142" s="199">
        <v>0</v>
      </c>
      <c r="AZ142" s="199">
        <v>0</v>
      </c>
      <c r="BA142" s="199">
        <v>0</v>
      </c>
      <c r="BB142" s="199">
        <v>0</v>
      </c>
      <c r="BC142" s="199">
        <v>0</v>
      </c>
    </row>
    <row r="143" spans="1:55" hidden="1" outlineLevel="1" x14ac:dyDescent="0.2">
      <c r="A143" s="36"/>
      <c r="B143" s="36"/>
      <c r="C143" s="162" t="str">
        <v>BSC a Core punto de acceso: Datos: 1024</v>
      </c>
      <c r="D143"/>
      <c r="F143" s="199">
        <v>0</v>
      </c>
      <c r="G143" s="199">
        <v>0</v>
      </c>
      <c r="H143" s="199">
        <v>0</v>
      </c>
      <c r="I143" s="199">
        <v>0</v>
      </c>
      <c r="J143" s="199">
        <v>0</v>
      </c>
      <c r="K143" s="199">
        <v>0</v>
      </c>
      <c r="L143" s="199">
        <v>0</v>
      </c>
      <c r="M143" s="199">
        <v>0</v>
      </c>
      <c r="N143" s="199">
        <v>0</v>
      </c>
      <c r="O143" s="199">
        <v>0</v>
      </c>
      <c r="P143" s="199">
        <v>0</v>
      </c>
      <c r="Q143" s="199">
        <v>0</v>
      </c>
      <c r="R143" s="199">
        <v>0</v>
      </c>
      <c r="S143" s="199">
        <v>0</v>
      </c>
      <c r="T143" s="199">
        <v>0</v>
      </c>
      <c r="U143" s="199">
        <v>0</v>
      </c>
      <c r="V143" s="199">
        <v>0</v>
      </c>
      <c r="W143" s="199">
        <v>0</v>
      </c>
      <c r="X143" s="199">
        <v>0</v>
      </c>
      <c r="Y143" s="199">
        <v>0</v>
      </c>
      <c r="Z143" s="199">
        <v>0</v>
      </c>
      <c r="AA143" s="199">
        <v>0</v>
      </c>
      <c r="AB143" s="199">
        <v>0</v>
      </c>
      <c r="AC143" s="199">
        <v>0</v>
      </c>
      <c r="AD143" s="199">
        <v>0</v>
      </c>
      <c r="AE143" s="199">
        <v>0</v>
      </c>
      <c r="AF143" s="199">
        <v>0</v>
      </c>
      <c r="AG143" s="199">
        <v>0</v>
      </c>
      <c r="AH143" s="199">
        <v>0</v>
      </c>
      <c r="AI143" s="199">
        <v>0</v>
      </c>
      <c r="AJ143" s="199">
        <v>1</v>
      </c>
      <c r="AK143" s="199">
        <v>0</v>
      </c>
      <c r="AL143" s="199">
        <v>0</v>
      </c>
      <c r="AM143" s="199">
        <v>0</v>
      </c>
      <c r="AN143" s="199">
        <v>0</v>
      </c>
      <c r="AO143" s="199">
        <v>0</v>
      </c>
      <c r="AP143" s="199">
        <v>0</v>
      </c>
      <c r="AQ143" s="199">
        <v>0</v>
      </c>
      <c r="AR143" s="199">
        <v>0</v>
      </c>
      <c r="AS143" s="199">
        <v>0</v>
      </c>
      <c r="AT143" s="199">
        <v>0</v>
      </c>
      <c r="AU143" s="199">
        <v>0</v>
      </c>
      <c r="AV143" s="199">
        <v>0</v>
      </c>
      <c r="AW143" s="199">
        <v>0</v>
      </c>
      <c r="AX143" s="199">
        <v>0</v>
      </c>
      <c r="AY143" s="199">
        <v>0</v>
      </c>
      <c r="AZ143" s="199">
        <v>0</v>
      </c>
      <c r="BA143" s="199">
        <v>0</v>
      </c>
      <c r="BB143" s="199">
        <v>0</v>
      </c>
      <c r="BC143" s="199">
        <v>0</v>
      </c>
    </row>
    <row r="144" spans="1:55" hidden="1" outlineLevel="1" x14ac:dyDescent="0.2">
      <c r="A144" s="36"/>
      <c r="B144" s="36"/>
      <c r="C144" s="162" t="str">
        <v>RNC a Core punto de acceso: Voz: 34.4</v>
      </c>
      <c r="D144"/>
      <c r="F144" s="199">
        <v>0</v>
      </c>
      <c r="G144" s="199">
        <v>0</v>
      </c>
      <c r="H144" s="199">
        <v>0</v>
      </c>
      <c r="I144" s="199">
        <v>0</v>
      </c>
      <c r="J144" s="199">
        <v>0</v>
      </c>
      <c r="K144" s="199">
        <v>0</v>
      </c>
      <c r="L144" s="199">
        <v>0</v>
      </c>
      <c r="M144" s="199">
        <v>2.8319607843137256</v>
      </c>
      <c r="N144" s="199">
        <v>1.4232291666666665</v>
      </c>
      <c r="O144" s="199">
        <v>1.4516666666666667</v>
      </c>
      <c r="P144" s="199">
        <v>1.393888888888889</v>
      </c>
      <c r="Q144" s="199">
        <v>1.4232291666666665</v>
      </c>
      <c r="R144" s="199">
        <v>1.4516666666666667</v>
      </c>
      <c r="S144" s="199">
        <v>1.393888888888889</v>
      </c>
      <c r="T144" s="199">
        <v>0</v>
      </c>
      <c r="U144" s="199">
        <v>0</v>
      </c>
      <c r="V144" s="199">
        <v>0</v>
      </c>
      <c r="W144" s="199">
        <v>0</v>
      </c>
      <c r="X144" s="199">
        <v>0</v>
      </c>
      <c r="Y144" s="199">
        <v>0</v>
      </c>
      <c r="Z144" s="199">
        <v>0</v>
      </c>
      <c r="AA144" s="199">
        <v>0</v>
      </c>
      <c r="AB144" s="199">
        <v>0</v>
      </c>
      <c r="AC144" s="199">
        <v>0</v>
      </c>
      <c r="AD144" s="199">
        <v>1E-3</v>
      </c>
      <c r="AE144" s="199">
        <v>5.0000000000000001E-4</v>
      </c>
      <c r="AF144" s="199">
        <v>5.0000000000000001E-4</v>
      </c>
      <c r="AG144" s="199">
        <v>0</v>
      </c>
      <c r="AH144" s="199">
        <v>0</v>
      </c>
      <c r="AI144" s="199">
        <v>0</v>
      </c>
      <c r="AJ144" s="199">
        <v>0</v>
      </c>
      <c r="AK144" s="199">
        <v>0</v>
      </c>
      <c r="AL144" s="199">
        <v>0</v>
      </c>
      <c r="AM144" s="199">
        <v>0</v>
      </c>
      <c r="AN144" s="199">
        <v>0</v>
      </c>
      <c r="AO144" s="199">
        <v>0</v>
      </c>
      <c r="AP144" s="199">
        <v>0</v>
      </c>
      <c r="AQ144" s="199">
        <v>0</v>
      </c>
      <c r="AR144" s="199">
        <v>0</v>
      </c>
      <c r="AS144" s="199">
        <v>0</v>
      </c>
      <c r="AT144" s="199">
        <v>0</v>
      </c>
      <c r="AU144" s="199">
        <v>0</v>
      </c>
      <c r="AV144" s="199">
        <v>0</v>
      </c>
      <c r="AW144" s="199">
        <v>0</v>
      </c>
      <c r="AX144" s="199">
        <v>0</v>
      </c>
      <c r="AY144" s="199">
        <v>0</v>
      </c>
      <c r="AZ144" s="199">
        <v>0</v>
      </c>
      <c r="BA144" s="199">
        <v>0</v>
      </c>
      <c r="BB144" s="199">
        <v>0</v>
      </c>
      <c r="BC144" s="199">
        <v>0</v>
      </c>
    </row>
    <row r="145" spans="1:55" hidden="1" outlineLevel="1" x14ac:dyDescent="0.2">
      <c r="A145" s="36"/>
      <c r="B145" s="36"/>
      <c r="C145" s="162" t="str">
        <v>RNC a Core punto de acceso: Voz: 155.52</v>
      </c>
      <c r="D145"/>
      <c r="F145" s="199">
        <v>0</v>
      </c>
      <c r="G145" s="199">
        <v>0</v>
      </c>
      <c r="H145" s="199">
        <v>0</v>
      </c>
      <c r="I145" s="199">
        <v>0</v>
      </c>
      <c r="J145" s="199">
        <v>0</v>
      </c>
      <c r="K145" s="199">
        <v>0</v>
      </c>
      <c r="L145" s="199">
        <v>0</v>
      </c>
      <c r="M145" s="199">
        <v>2.8319607843137256</v>
      </c>
      <c r="N145" s="199">
        <v>1.4232291666666665</v>
      </c>
      <c r="O145" s="199">
        <v>1.4516666666666667</v>
      </c>
      <c r="P145" s="199">
        <v>1.393888888888889</v>
      </c>
      <c r="Q145" s="199">
        <v>1.4232291666666665</v>
      </c>
      <c r="R145" s="199">
        <v>1.4516666666666667</v>
      </c>
      <c r="S145" s="199">
        <v>1.393888888888889</v>
      </c>
      <c r="T145" s="199">
        <v>0</v>
      </c>
      <c r="U145" s="199">
        <v>0</v>
      </c>
      <c r="V145" s="199">
        <v>0</v>
      </c>
      <c r="W145" s="199">
        <v>0</v>
      </c>
      <c r="X145" s="199">
        <v>0</v>
      </c>
      <c r="Y145" s="199">
        <v>0</v>
      </c>
      <c r="Z145" s="199">
        <v>0</v>
      </c>
      <c r="AA145" s="199">
        <v>0</v>
      </c>
      <c r="AB145" s="199">
        <v>0</v>
      </c>
      <c r="AC145" s="199">
        <v>0</v>
      </c>
      <c r="AD145" s="199">
        <v>1E-3</v>
      </c>
      <c r="AE145" s="199">
        <v>5.0000000000000001E-4</v>
      </c>
      <c r="AF145" s="199">
        <v>5.0000000000000001E-4</v>
      </c>
      <c r="AG145" s="199">
        <v>0</v>
      </c>
      <c r="AH145" s="199">
        <v>0</v>
      </c>
      <c r="AI145" s="199">
        <v>0</v>
      </c>
      <c r="AJ145" s="199">
        <v>0</v>
      </c>
      <c r="AK145" s="199">
        <v>0</v>
      </c>
      <c r="AL145" s="199">
        <v>0</v>
      </c>
      <c r="AM145" s="199">
        <v>0</v>
      </c>
      <c r="AN145" s="199">
        <v>0</v>
      </c>
      <c r="AO145" s="199">
        <v>0</v>
      </c>
      <c r="AP145" s="199">
        <v>0</v>
      </c>
      <c r="AQ145" s="199">
        <v>0</v>
      </c>
      <c r="AR145" s="199">
        <v>0</v>
      </c>
      <c r="AS145" s="199">
        <v>0</v>
      </c>
      <c r="AT145" s="199">
        <v>0</v>
      </c>
      <c r="AU145" s="199">
        <v>0</v>
      </c>
      <c r="AV145" s="199">
        <v>0</v>
      </c>
      <c r="AW145" s="199">
        <v>0</v>
      </c>
      <c r="AX145" s="199">
        <v>0</v>
      </c>
      <c r="AY145" s="199">
        <v>0</v>
      </c>
      <c r="AZ145" s="199">
        <v>0</v>
      </c>
      <c r="BA145" s="199">
        <v>0</v>
      </c>
      <c r="BB145" s="199">
        <v>0</v>
      </c>
      <c r="BC145" s="199">
        <v>0</v>
      </c>
    </row>
    <row r="146" spans="1:55" hidden="1" outlineLevel="1" x14ac:dyDescent="0.2">
      <c r="A146" s="36"/>
      <c r="B146" s="36"/>
      <c r="C146" s="162" t="str">
        <v>RNC a Core punto de acceso: Voz: 622.08</v>
      </c>
      <c r="D146"/>
      <c r="F146" s="199">
        <v>0</v>
      </c>
      <c r="G146" s="199">
        <v>0</v>
      </c>
      <c r="H146" s="199">
        <v>0</v>
      </c>
      <c r="I146" s="199">
        <v>0</v>
      </c>
      <c r="J146" s="199">
        <v>0</v>
      </c>
      <c r="K146" s="199">
        <v>0</v>
      </c>
      <c r="L146" s="199">
        <v>0</v>
      </c>
      <c r="M146" s="199">
        <v>2.8319607843137256</v>
      </c>
      <c r="N146" s="199">
        <v>1.4232291666666665</v>
      </c>
      <c r="O146" s="199">
        <v>1.4516666666666667</v>
      </c>
      <c r="P146" s="199">
        <v>1.393888888888889</v>
      </c>
      <c r="Q146" s="199">
        <v>1.4232291666666665</v>
      </c>
      <c r="R146" s="199">
        <v>1.4516666666666667</v>
      </c>
      <c r="S146" s="199">
        <v>1.393888888888889</v>
      </c>
      <c r="T146" s="199">
        <v>0</v>
      </c>
      <c r="U146" s="199">
        <v>0</v>
      </c>
      <c r="V146" s="199">
        <v>0</v>
      </c>
      <c r="W146" s="199">
        <v>0</v>
      </c>
      <c r="X146" s="199">
        <v>0</v>
      </c>
      <c r="Y146" s="199">
        <v>0</v>
      </c>
      <c r="Z146" s="199">
        <v>0</v>
      </c>
      <c r="AA146" s="199">
        <v>0</v>
      </c>
      <c r="AB146" s="199">
        <v>0</v>
      </c>
      <c r="AC146" s="199">
        <v>0</v>
      </c>
      <c r="AD146" s="199">
        <v>1E-3</v>
      </c>
      <c r="AE146" s="199">
        <v>5.0000000000000001E-4</v>
      </c>
      <c r="AF146" s="199">
        <v>5.0000000000000001E-4</v>
      </c>
      <c r="AG146" s="199">
        <v>0</v>
      </c>
      <c r="AH146" s="199">
        <v>0</v>
      </c>
      <c r="AI146" s="199">
        <v>0</v>
      </c>
      <c r="AJ146" s="199">
        <v>0</v>
      </c>
      <c r="AK146" s="199">
        <v>0</v>
      </c>
      <c r="AL146" s="199">
        <v>0</v>
      </c>
      <c r="AM146" s="199">
        <v>0</v>
      </c>
      <c r="AN146" s="199">
        <v>0</v>
      </c>
      <c r="AO146" s="199">
        <v>0</v>
      </c>
      <c r="AP146" s="199">
        <v>0</v>
      </c>
      <c r="AQ146" s="199">
        <v>0</v>
      </c>
      <c r="AR146" s="199">
        <v>0</v>
      </c>
      <c r="AS146" s="199">
        <v>0</v>
      </c>
      <c r="AT146" s="199">
        <v>0</v>
      </c>
      <c r="AU146" s="199">
        <v>0</v>
      </c>
      <c r="AV146" s="199">
        <v>0</v>
      </c>
      <c r="AW146" s="199">
        <v>0</v>
      </c>
      <c r="AX146" s="199">
        <v>0</v>
      </c>
      <c r="AY146" s="199">
        <v>0</v>
      </c>
      <c r="AZ146" s="199">
        <v>0</v>
      </c>
      <c r="BA146" s="199">
        <v>0</v>
      </c>
      <c r="BB146" s="199">
        <v>0</v>
      </c>
      <c r="BC146" s="199">
        <v>0</v>
      </c>
    </row>
    <row r="147" spans="1:55" hidden="1" outlineLevel="1" x14ac:dyDescent="0.2">
      <c r="A147" s="36"/>
      <c r="B147" s="36"/>
      <c r="C147" s="162" t="str">
        <v>RNC a Core punto de acceso: Voz 100</v>
      </c>
      <c r="D147"/>
      <c r="F147" s="199">
        <v>0</v>
      </c>
      <c r="G147" s="199">
        <v>0</v>
      </c>
      <c r="H147" s="199">
        <v>0</v>
      </c>
      <c r="I147" s="199">
        <v>0</v>
      </c>
      <c r="J147" s="199">
        <v>0</v>
      </c>
      <c r="K147" s="199">
        <v>0</v>
      </c>
      <c r="L147" s="199">
        <v>0</v>
      </c>
      <c r="M147" s="199">
        <v>2.8319607843137256</v>
      </c>
      <c r="N147" s="199">
        <v>1.4232291666666665</v>
      </c>
      <c r="O147" s="199">
        <v>1.4516666666666667</v>
      </c>
      <c r="P147" s="199">
        <v>1.393888888888889</v>
      </c>
      <c r="Q147" s="199">
        <v>1.4232291666666665</v>
      </c>
      <c r="R147" s="199">
        <v>1.4516666666666667</v>
      </c>
      <c r="S147" s="199">
        <v>1.393888888888889</v>
      </c>
      <c r="T147" s="199">
        <v>0</v>
      </c>
      <c r="U147" s="199">
        <v>0</v>
      </c>
      <c r="V147" s="199">
        <v>0</v>
      </c>
      <c r="W147" s="199">
        <v>0</v>
      </c>
      <c r="X147" s="199">
        <v>0</v>
      </c>
      <c r="Y147" s="199">
        <v>0</v>
      </c>
      <c r="Z147" s="199">
        <v>0</v>
      </c>
      <c r="AA147" s="199">
        <v>0</v>
      </c>
      <c r="AB147" s="199">
        <v>0</v>
      </c>
      <c r="AC147" s="199">
        <v>0</v>
      </c>
      <c r="AD147" s="199">
        <v>1E-3</v>
      </c>
      <c r="AE147" s="199">
        <v>5.0000000000000001E-4</v>
      </c>
      <c r="AF147" s="199">
        <v>5.0000000000000001E-4</v>
      </c>
      <c r="AG147" s="199">
        <v>0</v>
      </c>
      <c r="AH147" s="199">
        <v>0</v>
      </c>
      <c r="AI147" s="199">
        <v>0</v>
      </c>
      <c r="AJ147" s="199">
        <v>0</v>
      </c>
      <c r="AK147" s="199">
        <v>0</v>
      </c>
      <c r="AL147" s="199">
        <v>0</v>
      </c>
      <c r="AM147" s="199">
        <v>0</v>
      </c>
      <c r="AN147" s="199">
        <v>0</v>
      </c>
      <c r="AO147" s="199">
        <v>0</v>
      </c>
      <c r="AP147" s="199">
        <v>0</v>
      </c>
      <c r="AQ147" s="199">
        <v>0</v>
      </c>
      <c r="AR147" s="199">
        <v>0</v>
      </c>
      <c r="AS147" s="199">
        <v>0</v>
      </c>
      <c r="AT147" s="199">
        <v>0</v>
      </c>
      <c r="AU147" s="199">
        <v>0</v>
      </c>
      <c r="AV147" s="199">
        <v>0</v>
      </c>
      <c r="AW147" s="199">
        <v>0</v>
      </c>
      <c r="AX147" s="199">
        <v>0</v>
      </c>
      <c r="AY147" s="199">
        <v>0</v>
      </c>
      <c r="AZ147" s="199">
        <v>0</v>
      </c>
      <c r="BA147" s="199">
        <v>0</v>
      </c>
      <c r="BB147" s="199">
        <v>0</v>
      </c>
      <c r="BC147" s="199">
        <v>0</v>
      </c>
    </row>
    <row r="148" spans="1:55" hidden="1" outlineLevel="1" x14ac:dyDescent="0.2">
      <c r="A148" s="36"/>
      <c r="B148" s="36"/>
      <c r="C148" s="162" t="str">
        <v>RNC a Core punto de acceso: Voz 1024</v>
      </c>
      <c r="D148"/>
      <c r="F148" s="199">
        <v>0</v>
      </c>
      <c r="G148" s="199">
        <v>0</v>
      </c>
      <c r="H148" s="199">
        <v>0</v>
      </c>
      <c r="I148" s="199">
        <v>0</v>
      </c>
      <c r="J148" s="199">
        <v>0</v>
      </c>
      <c r="K148" s="199">
        <v>0</v>
      </c>
      <c r="L148" s="199">
        <v>0</v>
      </c>
      <c r="M148" s="199">
        <v>2.8319607843137256</v>
      </c>
      <c r="N148" s="199">
        <v>1.4232291666666665</v>
      </c>
      <c r="O148" s="199">
        <v>1.4516666666666667</v>
      </c>
      <c r="P148" s="199">
        <v>1.393888888888889</v>
      </c>
      <c r="Q148" s="199">
        <v>1.4232291666666665</v>
      </c>
      <c r="R148" s="199">
        <v>1.4516666666666667</v>
      </c>
      <c r="S148" s="199">
        <v>1.393888888888889</v>
      </c>
      <c r="T148" s="199">
        <v>0</v>
      </c>
      <c r="U148" s="199">
        <v>0</v>
      </c>
      <c r="V148" s="199">
        <v>0</v>
      </c>
      <c r="W148" s="199">
        <v>0</v>
      </c>
      <c r="X148" s="199">
        <v>0</v>
      </c>
      <c r="Y148" s="199">
        <v>0</v>
      </c>
      <c r="Z148" s="199">
        <v>0</v>
      </c>
      <c r="AA148" s="199">
        <v>0</v>
      </c>
      <c r="AB148" s="199">
        <v>0</v>
      </c>
      <c r="AC148" s="199">
        <v>0</v>
      </c>
      <c r="AD148" s="199">
        <v>1E-3</v>
      </c>
      <c r="AE148" s="199">
        <v>5.0000000000000001E-4</v>
      </c>
      <c r="AF148" s="199">
        <v>5.0000000000000001E-4</v>
      </c>
      <c r="AG148" s="199">
        <v>0</v>
      </c>
      <c r="AH148" s="199">
        <v>0</v>
      </c>
      <c r="AI148" s="199">
        <v>0</v>
      </c>
      <c r="AJ148" s="199">
        <v>0</v>
      </c>
      <c r="AK148" s="199">
        <v>0</v>
      </c>
      <c r="AL148" s="199">
        <v>0</v>
      </c>
      <c r="AM148" s="199">
        <v>0</v>
      </c>
      <c r="AN148" s="199">
        <v>0</v>
      </c>
      <c r="AO148" s="199">
        <v>0</v>
      </c>
      <c r="AP148" s="199">
        <v>0</v>
      </c>
      <c r="AQ148" s="199">
        <v>0</v>
      </c>
      <c r="AR148" s="199">
        <v>0</v>
      </c>
      <c r="AS148" s="199">
        <v>0</v>
      </c>
      <c r="AT148" s="199">
        <v>0</v>
      </c>
      <c r="AU148" s="199">
        <v>0</v>
      </c>
      <c r="AV148" s="199">
        <v>0</v>
      </c>
      <c r="AW148" s="199">
        <v>0</v>
      </c>
      <c r="AX148" s="199">
        <v>0</v>
      </c>
      <c r="AY148" s="199">
        <v>0</v>
      </c>
      <c r="AZ148" s="199">
        <v>0</v>
      </c>
      <c r="BA148" s="199">
        <v>0</v>
      </c>
      <c r="BB148" s="199">
        <v>0</v>
      </c>
      <c r="BC148" s="199">
        <v>0</v>
      </c>
    </row>
    <row r="149" spans="1:55" hidden="1" outlineLevel="1" x14ac:dyDescent="0.2">
      <c r="A149" s="36"/>
      <c r="B149" s="36"/>
      <c r="C149" s="162" t="str">
        <v>RNC a Core punto de acceso: Voz 2488</v>
      </c>
      <c r="D149"/>
      <c r="F149" s="199">
        <v>0</v>
      </c>
      <c r="G149" s="199">
        <v>0</v>
      </c>
      <c r="H149" s="199">
        <v>0</v>
      </c>
      <c r="I149" s="199">
        <v>0</v>
      </c>
      <c r="J149" s="199">
        <v>0</v>
      </c>
      <c r="K149" s="199">
        <v>0</v>
      </c>
      <c r="L149" s="199">
        <v>0</v>
      </c>
      <c r="M149" s="199">
        <v>2.8319607843137256</v>
      </c>
      <c r="N149" s="199">
        <v>1.4232291666666665</v>
      </c>
      <c r="O149" s="199">
        <v>1.4516666666666667</v>
      </c>
      <c r="P149" s="199">
        <v>1.393888888888889</v>
      </c>
      <c r="Q149" s="199">
        <v>1.4232291666666665</v>
      </c>
      <c r="R149" s="199">
        <v>1.4516666666666667</v>
      </c>
      <c r="S149" s="199">
        <v>1.393888888888889</v>
      </c>
      <c r="T149" s="199">
        <v>0</v>
      </c>
      <c r="U149" s="199">
        <v>0</v>
      </c>
      <c r="V149" s="199">
        <v>0</v>
      </c>
      <c r="W149" s="199">
        <v>0</v>
      </c>
      <c r="X149" s="199">
        <v>0</v>
      </c>
      <c r="Y149" s="199">
        <v>0</v>
      </c>
      <c r="Z149" s="199">
        <v>0</v>
      </c>
      <c r="AA149" s="199">
        <v>0</v>
      </c>
      <c r="AB149" s="199">
        <v>0</v>
      </c>
      <c r="AC149" s="199">
        <v>0</v>
      </c>
      <c r="AD149" s="199">
        <v>1E-3</v>
      </c>
      <c r="AE149" s="199">
        <v>5.0000000000000001E-4</v>
      </c>
      <c r="AF149" s="199">
        <v>5.0000000000000001E-4</v>
      </c>
      <c r="AG149" s="199">
        <v>0</v>
      </c>
      <c r="AH149" s="199">
        <v>0</v>
      </c>
      <c r="AI149" s="199">
        <v>0</v>
      </c>
      <c r="AJ149" s="199">
        <v>0</v>
      </c>
      <c r="AK149" s="199">
        <v>0</v>
      </c>
      <c r="AL149" s="199">
        <v>0</v>
      </c>
      <c r="AM149" s="199">
        <v>0</v>
      </c>
      <c r="AN149" s="199">
        <v>0</v>
      </c>
      <c r="AO149" s="199">
        <v>0</v>
      </c>
      <c r="AP149" s="199">
        <v>0</v>
      </c>
      <c r="AQ149" s="199">
        <v>0</v>
      </c>
      <c r="AR149" s="199">
        <v>0</v>
      </c>
      <c r="AS149" s="199">
        <v>0</v>
      </c>
      <c r="AT149" s="199">
        <v>0</v>
      </c>
      <c r="AU149" s="199">
        <v>0</v>
      </c>
      <c r="AV149" s="199">
        <v>0</v>
      </c>
      <c r="AW149" s="199">
        <v>0</v>
      </c>
      <c r="AX149" s="199">
        <v>0</v>
      </c>
      <c r="AY149" s="199">
        <v>0</v>
      </c>
      <c r="AZ149" s="199">
        <v>0</v>
      </c>
      <c r="BA149" s="199">
        <v>0</v>
      </c>
      <c r="BB149" s="199">
        <v>0</v>
      </c>
      <c r="BC149" s="199">
        <v>0</v>
      </c>
    </row>
    <row r="150" spans="1:55" hidden="1" outlineLevel="1" x14ac:dyDescent="0.2">
      <c r="A150" s="36"/>
      <c r="B150" s="36"/>
      <c r="C150" s="162" t="str">
        <v>RNC a Core punto de acceso: Datos: 34.4</v>
      </c>
      <c r="D150"/>
      <c r="F150" s="199">
        <v>0</v>
      </c>
      <c r="G150" s="199">
        <v>0</v>
      </c>
      <c r="H150" s="199">
        <v>0</v>
      </c>
      <c r="I150" s="199">
        <v>0</v>
      </c>
      <c r="J150" s="199">
        <v>0</v>
      </c>
      <c r="K150" s="199">
        <v>0</v>
      </c>
      <c r="L150" s="199">
        <v>0</v>
      </c>
      <c r="M150" s="199">
        <v>0</v>
      </c>
      <c r="N150" s="199">
        <v>0</v>
      </c>
      <c r="O150" s="199">
        <v>0</v>
      </c>
      <c r="P150" s="199">
        <v>0</v>
      </c>
      <c r="Q150" s="199">
        <v>0</v>
      </c>
      <c r="R150" s="199">
        <v>0</v>
      </c>
      <c r="S150" s="199">
        <v>0</v>
      </c>
      <c r="T150" s="199">
        <v>0</v>
      </c>
      <c r="U150" s="199">
        <v>0</v>
      </c>
      <c r="V150" s="199">
        <v>0</v>
      </c>
      <c r="W150" s="199">
        <v>0</v>
      </c>
      <c r="X150" s="199">
        <v>0</v>
      </c>
      <c r="Y150" s="199">
        <v>0</v>
      </c>
      <c r="Z150" s="199">
        <v>0</v>
      </c>
      <c r="AA150" s="199">
        <v>0</v>
      </c>
      <c r="AB150" s="199">
        <v>0</v>
      </c>
      <c r="AC150" s="199">
        <v>0</v>
      </c>
      <c r="AD150" s="199">
        <v>0</v>
      </c>
      <c r="AE150" s="199">
        <v>0</v>
      </c>
      <c r="AF150" s="199">
        <v>0</v>
      </c>
      <c r="AG150" s="199">
        <v>0</v>
      </c>
      <c r="AH150" s="199">
        <v>0</v>
      </c>
      <c r="AI150" s="199">
        <v>0</v>
      </c>
      <c r="AJ150" s="199">
        <v>0</v>
      </c>
      <c r="AK150" s="199">
        <v>1</v>
      </c>
      <c r="AL150" s="199">
        <v>1</v>
      </c>
      <c r="AM150" s="199">
        <v>1</v>
      </c>
      <c r="AN150" s="199">
        <v>0</v>
      </c>
      <c r="AO150" s="199">
        <v>0</v>
      </c>
      <c r="AP150" s="199">
        <v>0</v>
      </c>
      <c r="AQ150" s="199">
        <v>0</v>
      </c>
      <c r="AR150" s="199">
        <v>0</v>
      </c>
      <c r="AS150" s="199">
        <v>0</v>
      </c>
      <c r="AT150" s="199">
        <v>0</v>
      </c>
      <c r="AU150" s="199">
        <v>0</v>
      </c>
      <c r="AV150" s="199">
        <v>0</v>
      </c>
      <c r="AW150" s="199">
        <v>0</v>
      </c>
      <c r="AX150" s="199">
        <v>0</v>
      </c>
      <c r="AY150" s="199">
        <v>0</v>
      </c>
      <c r="AZ150" s="199">
        <v>0</v>
      </c>
      <c r="BA150" s="199">
        <v>0</v>
      </c>
      <c r="BB150" s="199">
        <v>0</v>
      </c>
      <c r="BC150" s="199">
        <v>0</v>
      </c>
    </row>
    <row r="151" spans="1:55" hidden="1" outlineLevel="1" x14ac:dyDescent="0.2">
      <c r="A151" s="36"/>
      <c r="B151" s="36"/>
      <c r="C151" s="162" t="str">
        <v>RNC a Core punto de acceso: Datos: 155.52</v>
      </c>
      <c r="D151"/>
      <c r="F151" s="199">
        <v>0</v>
      </c>
      <c r="G151" s="199">
        <v>0</v>
      </c>
      <c r="H151" s="199">
        <v>0</v>
      </c>
      <c r="I151" s="199">
        <v>0</v>
      </c>
      <c r="J151" s="199">
        <v>0</v>
      </c>
      <c r="K151" s="199">
        <v>0</v>
      </c>
      <c r="L151" s="199">
        <v>0</v>
      </c>
      <c r="M151" s="199">
        <v>0</v>
      </c>
      <c r="N151" s="199">
        <v>0</v>
      </c>
      <c r="O151" s="199">
        <v>0</v>
      </c>
      <c r="P151" s="199">
        <v>0</v>
      </c>
      <c r="Q151" s="199">
        <v>0</v>
      </c>
      <c r="R151" s="199">
        <v>0</v>
      </c>
      <c r="S151" s="199">
        <v>0</v>
      </c>
      <c r="T151" s="199">
        <v>0</v>
      </c>
      <c r="U151" s="199">
        <v>0</v>
      </c>
      <c r="V151" s="199">
        <v>0</v>
      </c>
      <c r="W151" s="199">
        <v>0</v>
      </c>
      <c r="X151" s="199">
        <v>0</v>
      </c>
      <c r="Y151" s="199">
        <v>0</v>
      </c>
      <c r="Z151" s="199">
        <v>0</v>
      </c>
      <c r="AA151" s="199">
        <v>0</v>
      </c>
      <c r="AB151" s="199">
        <v>0</v>
      </c>
      <c r="AC151" s="199">
        <v>0</v>
      </c>
      <c r="AD151" s="199">
        <v>0</v>
      </c>
      <c r="AE151" s="199">
        <v>0</v>
      </c>
      <c r="AF151" s="199">
        <v>0</v>
      </c>
      <c r="AG151" s="199">
        <v>0</v>
      </c>
      <c r="AH151" s="199">
        <v>0</v>
      </c>
      <c r="AI151" s="199">
        <v>0</v>
      </c>
      <c r="AJ151" s="199">
        <v>0</v>
      </c>
      <c r="AK151" s="199">
        <v>1</v>
      </c>
      <c r="AL151" s="199">
        <v>1</v>
      </c>
      <c r="AM151" s="199">
        <v>1</v>
      </c>
      <c r="AN151" s="199">
        <v>0</v>
      </c>
      <c r="AO151" s="199">
        <v>0</v>
      </c>
      <c r="AP151" s="199">
        <v>0</v>
      </c>
      <c r="AQ151" s="199">
        <v>0</v>
      </c>
      <c r="AR151" s="199">
        <v>0</v>
      </c>
      <c r="AS151" s="199">
        <v>0</v>
      </c>
      <c r="AT151" s="199">
        <v>0</v>
      </c>
      <c r="AU151" s="199">
        <v>0</v>
      </c>
      <c r="AV151" s="199">
        <v>0</v>
      </c>
      <c r="AW151" s="199">
        <v>0</v>
      </c>
      <c r="AX151" s="199">
        <v>0</v>
      </c>
      <c r="AY151" s="199">
        <v>0</v>
      </c>
      <c r="AZ151" s="199">
        <v>0</v>
      </c>
      <c r="BA151" s="199">
        <v>0</v>
      </c>
      <c r="BB151" s="199">
        <v>0</v>
      </c>
      <c r="BC151" s="199">
        <v>0</v>
      </c>
    </row>
    <row r="152" spans="1:55" hidden="1" outlineLevel="1" x14ac:dyDescent="0.2">
      <c r="A152" s="36"/>
      <c r="B152" s="36"/>
      <c r="C152" s="162" t="str">
        <v>RNC a Core punto de acceso: Datos: 622.08</v>
      </c>
      <c r="D152"/>
      <c r="F152" s="199">
        <v>0</v>
      </c>
      <c r="G152" s="199">
        <v>0</v>
      </c>
      <c r="H152" s="199">
        <v>0</v>
      </c>
      <c r="I152" s="199">
        <v>0</v>
      </c>
      <c r="J152" s="199">
        <v>0</v>
      </c>
      <c r="K152" s="199">
        <v>0</v>
      </c>
      <c r="L152" s="199">
        <v>0</v>
      </c>
      <c r="M152" s="199">
        <v>0</v>
      </c>
      <c r="N152" s="199">
        <v>0</v>
      </c>
      <c r="O152" s="199">
        <v>0</v>
      </c>
      <c r="P152" s="199">
        <v>0</v>
      </c>
      <c r="Q152" s="199">
        <v>0</v>
      </c>
      <c r="R152" s="199">
        <v>0</v>
      </c>
      <c r="S152" s="199">
        <v>0</v>
      </c>
      <c r="T152" s="199">
        <v>0</v>
      </c>
      <c r="U152" s="199">
        <v>0</v>
      </c>
      <c r="V152" s="199">
        <v>0</v>
      </c>
      <c r="W152" s="199">
        <v>0</v>
      </c>
      <c r="X152" s="199">
        <v>0</v>
      </c>
      <c r="Y152" s="199">
        <v>0</v>
      </c>
      <c r="Z152" s="199">
        <v>0</v>
      </c>
      <c r="AA152" s="199">
        <v>0</v>
      </c>
      <c r="AB152" s="199">
        <v>0</v>
      </c>
      <c r="AC152" s="199">
        <v>0</v>
      </c>
      <c r="AD152" s="199">
        <v>0</v>
      </c>
      <c r="AE152" s="199">
        <v>0</v>
      </c>
      <c r="AF152" s="199">
        <v>0</v>
      </c>
      <c r="AG152" s="199">
        <v>0</v>
      </c>
      <c r="AH152" s="199">
        <v>0</v>
      </c>
      <c r="AI152" s="199">
        <v>0</v>
      </c>
      <c r="AJ152" s="199">
        <v>0</v>
      </c>
      <c r="AK152" s="199">
        <v>1</v>
      </c>
      <c r="AL152" s="199">
        <v>1</v>
      </c>
      <c r="AM152" s="199">
        <v>1</v>
      </c>
      <c r="AN152" s="199">
        <v>0</v>
      </c>
      <c r="AO152" s="199">
        <v>0</v>
      </c>
      <c r="AP152" s="199">
        <v>0</v>
      </c>
      <c r="AQ152" s="199">
        <v>0</v>
      </c>
      <c r="AR152" s="199">
        <v>0</v>
      </c>
      <c r="AS152" s="199">
        <v>0</v>
      </c>
      <c r="AT152" s="199">
        <v>0</v>
      </c>
      <c r="AU152" s="199">
        <v>0</v>
      </c>
      <c r="AV152" s="199">
        <v>0</v>
      </c>
      <c r="AW152" s="199">
        <v>0</v>
      </c>
      <c r="AX152" s="199">
        <v>0</v>
      </c>
      <c r="AY152" s="199">
        <v>0</v>
      </c>
      <c r="AZ152" s="199">
        <v>0</v>
      </c>
      <c r="BA152" s="199">
        <v>0</v>
      </c>
      <c r="BB152" s="199">
        <v>0</v>
      </c>
      <c r="BC152" s="199">
        <v>0</v>
      </c>
    </row>
    <row r="153" spans="1:55" hidden="1" outlineLevel="1" x14ac:dyDescent="0.2">
      <c r="A153" s="36"/>
      <c r="B153" s="36"/>
      <c r="C153" s="162" t="str">
        <v>RNC a Core punto de acceso: Datos: 100</v>
      </c>
      <c r="D153"/>
      <c r="F153" s="199">
        <v>0</v>
      </c>
      <c r="G153" s="199">
        <v>0</v>
      </c>
      <c r="H153" s="199">
        <v>0</v>
      </c>
      <c r="I153" s="199">
        <v>0</v>
      </c>
      <c r="J153" s="199">
        <v>0</v>
      </c>
      <c r="K153" s="199">
        <v>0</v>
      </c>
      <c r="L153" s="199">
        <v>0</v>
      </c>
      <c r="M153" s="199">
        <v>0</v>
      </c>
      <c r="N153" s="199">
        <v>0</v>
      </c>
      <c r="O153" s="199">
        <v>0</v>
      </c>
      <c r="P153" s="199">
        <v>0</v>
      </c>
      <c r="Q153" s="199">
        <v>0</v>
      </c>
      <c r="R153" s="199">
        <v>0</v>
      </c>
      <c r="S153" s="199">
        <v>0</v>
      </c>
      <c r="T153" s="199">
        <v>0</v>
      </c>
      <c r="U153" s="199">
        <v>0</v>
      </c>
      <c r="V153" s="199">
        <v>0</v>
      </c>
      <c r="W153" s="199">
        <v>0</v>
      </c>
      <c r="X153" s="199">
        <v>0</v>
      </c>
      <c r="Y153" s="199">
        <v>0</v>
      </c>
      <c r="Z153" s="199">
        <v>0</v>
      </c>
      <c r="AA153" s="199">
        <v>0</v>
      </c>
      <c r="AB153" s="199">
        <v>0</v>
      </c>
      <c r="AC153" s="199">
        <v>0</v>
      </c>
      <c r="AD153" s="199">
        <v>0</v>
      </c>
      <c r="AE153" s="199">
        <v>0</v>
      </c>
      <c r="AF153" s="199">
        <v>0</v>
      </c>
      <c r="AG153" s="199">
        <v>0</v>
      </c>
      <c r="AH153" s="199">
        <v>0</v>
      </c>
      <c r="AI153" s="199">
        <v>0</v>
      </c>
      <c r="AJ153" s="199">
        <v>0</v>
      </c>
      <c r="AK153" s="199">
        <v>1</v>
      </c>
      <c r="AL153" s="199">
        <v>1</v>
      </c>
      <c r="AM153" s="199">
        <v>1</v>
      </c>
      <c r="AN153" s="199">
        <v>0</v>
      </c>
      <c r="AO153" s="199">
        <v>0</v>
      </c>
      <c r="AP153" s="199">
        <v>0</v>
      </c>
      <c r="AQ153" s="199">
        <v>0</v>
      </c>
      <c r="AR153" s="199">
        <v>0</v>
      </c>
      <c r="AS153" s="199">
        <v>0</v>
      </c>
      <c r="AT153" s="199">
        <v>0</v>
      </c>
      <c r="AU153" s="199">
        <v>0</v>
      </c>
      <c r="AV153" s="199">
        <v>0</v>
      </c>
      <c r="AW153" s="199">
        <v>0</v>
      </c>
      <c r="AX153" s="199">
        <v>0</v>
      </c>
      <c r="AY153" s="199">
        <v>0</v>
      </c>
      <c r="AZ153" s="199">
        <v>0</v>
      </c>
      <c r="BA153" s="199">
        <v>0</v>
      </c>
      <c r="BB153" s="199">
        <v>0</v>
      </c>
      <c r="BC153" s="199">
        <v>0</v>
      </c>
    </row>
    <row r="154" spans="1:55" hidden="1" outlineLevel="1" x14ac:dyDescent="0.2">
      <c r="A154" s="36"/>
      <c r="B154" s="36"/>
      <c r="C154" s="162" t="str">
        <v>RNC a Core punto de acceso: Datos: 1024</v>
      </c>
      <c r="D154"/>
      <c r="F154" s="199">
        <v>0</v>
      </c>
      <c r="G154" s="199">
        <v>0</v>
      </c>
      <c r="H154" s="199">
        <v>0</v>
      </c>
      <c r="I154" s="199">
        <v>0</v>
      </c>
      <c r="J154" s="199">
        <v>0</v>
      </c>
      <c r="K154" s="199">
        <v>0</v>
      </c>
      <c r="L154" s="199">
        <v>0</v>
      </c>
      <c r="M154" s="199">
        <v>0</v>
      </c>
      <c r="N154" s="199">
        <v>0</v>
      </c>
      <c r="O154" s="199">
        <v>0</v>
      </c>
      <c r="P154" s="199">
        <v>0</v>
      </c>
      <c r="Q154" s="199">
        <v>0</v>
      </c>
      <c r="R154" s="199">
        <v>0</v>
      </c>
      <c r="S154" s="199">
        <v>0</v>
      </c>
      <c r="T154" s="199">
        <v>0</v>
      </c>
      <c r="U154" s="199">
        <v>0</v>
      </c>
      <c r="V154" s="199">
        <v>0</v>
      </c>
      <c r="W154" s="199">
        <v>0</v>
      </c>
      <c r="X154" s="199">
        <v>0</v>
      </c>
      <c r="Y154" s="199">
        <v>0</v>
      </c>
      <c r="Z154" s="199">
        <v>0</v>
      </c>
      <c r="AA154" s="199">
        <v>0</v>
      </c>
      <c r="AB154" s="199">
        <v>0</v>
      </c>
      <c r="AC154" s="199">
        <v>0</v>
      </c>
      <c r="AD154" s="199">
        <v>0</v>
      </c>
      <c r="AE154" s="199">
        <v>0</v>
      </c>
      <c r="AF154" s="199">
        <v>0</v>
      </c>
      <c r="AG154" s="199">
        <v>0</v>
      </c>
      <c r="AH154" s="199">
        <v>0</v>
      </c>
      <c r="AI154" s="199">
        <v>0</v>
      </c>
      <c r="AJ154" s="199">
        <v>0</v>
      </c>
      <c r="AK154" s="199">
        <v>1</v>
      </c>
      <c r="AL154" s="199">
        <v>1</v>
      </c>
      <c r="AM154" s="199">
        <v>1</v>
      </c>
      <c r="AN154" s="199">
        <v>0</v>
      </c>
      <c r="AO154" s="199">
        <v>0</v>
      </c>
      <c r="AP154" s="199">
        <v>0</v>
      </c>
      <c r="AQ154" s="199">
        <v>0</v>
      </c>
      <c r="AR154" s="199">
        <v>0</v>
      </c>
      <c r="AS154" s="199">
        <v>0</v>
      </c>
      <c r="AT154" s="199">
        <v>0</v>
      </c>
      <c r="AU154" s="199">
        <v>0</v>
      </c>
      <c r="AV154" s="199">
        <v>0</v>
      </c>
      <c r="AW154" s="199">
        <v>0</v>
      </c>
      <c r="AX154" s="199">
        <v>0</v>
      </c>
      <c r="AY154" s="199">
        <v>0</v>
      </c>
      <c r="AZ154" s="199">
        <v>0</v>
      </c>
      <c r="BA154" s="199">
        <v>0</v>
      </c>
      <c r="BB154" s="199">
        <v>0</v>
      </c>
      <c r="BC154" s="199">
        <v>0</v>
      </c>
    </row>
    <row r="155" spans="1:55" hidden="1" outlineLevel="1" x14ac:dyDescent="0.2">
      <c r="A155" s="36"/>
      <c r="B155" s="36"/>
      <c r="C155" s="162" t="str">
        <v>RNC a Core punto de acceso: Datos: 2488</v>
      </c>
      <c r="D155"/>
      <c r="F155" s="199">
        <v>0</v>
      </c>
      <c r="G155" s="199">
        <v>0</v>
      </c>
      <c r="H155" s="199">
        <v>0</v>
      </c>
      <c r="I155" s="199">
        <v>0</v>
      </c>
      <c r="J155" s="199">
        <v>0</v>
      </c>
      <c r="K155" s="199">
        <v>0</v>
      </c>
      <c r="L155" s="199">
        <v>0</v>
      </c>
      <c r="M155" s="199">
        <v>0</v>
      </c>
      <c r="N155" s="199">
        <v>0</v>
      </c>
      <c r="O155" s="199">
        <v>0</v>
      </c>
      <c r="P155" s="199">
        <v>0</v>
      </c>
      <c r="Q155" s="199">
        <v>0</v>
      </c>
      <c r="R155" s="199">
        <v>0</v>
      </c>
      <c r="S155" s="199">
        <v>0</v>
      </c>
      <c r="T155" s="199">
        <v>0</v>
      </c>
      <c r="U155" s="199">
        <v>0</v>
      </c>
      <c r="V155" s="199">
        <v>0</v>
      </c>
      <c r="W155" s="199">
        <v>0</v>
      </c>
      <c r="X155" s="199">
        <v>0</v>
      </c>
      <c r="Y155" s="199">
        <v>0</v>
      </c>
      <c r="Z155" s="199">
        <v>0</v>
      </c>
      <c r="AA155" s="199">
        <v>0</v>
      </c>
      <c r="AB155" s="199">
        <v>0</v>
      </c>
      <c r="AC155" s="199">
        <v>0</v>
      </c>
      <c r="AD155" s="199">
        <v>0</v>
      </c>
      <c r="AE155" s="199">
        <v>0</v>
      </c>
      <c r="AF155" s="199">
        <v>0</v>
      </c>
      <c r="AG155" s="199">
        <v>0</v>
      </c>
      <c r="AH155" s="199">
        <v>0</v>
      </c>
      <c r="AI155" s="199">
        <v>0</v>
      </c>
      <c r="AJ155" s="199">
        <v>0</v>
      </c>
      <c r="AK155" s="199">
        <v>1</v>
      </c>
      <c r="AL155" s="199">
        <v>1</v>
      </c>
      <c r="AM155" s="199">
        <v>1</v>
      </c>
      <c r="AN155" s="199">
        <v>0</v>
      </c>
      <c r="AO155" s="199">
        <v>0</v>
      </c>
      <c r="AP155" s="199">
        <v>0</v>
      </c>
      <c r="AQ155" s="199">
        <v>0</v>
      </c>
      <c r="AR155" s="199">
        <v>0</v>
      </c>
      <c r="AS155" s="199">
        <v>0</v>
      </c>
      <c r="AT155" s="199">
        <v>0</v>
      </c>
      <c r="AU155" s="199">
        <v>0</v>
      </c>
      <c r="AV155" s="199">
        <v>0</v>
      </c>
      <c r="AW155" s="199">
        <v>0</v>
      </c>
      <c r="AX155" s="199">
        <v>0</v>
      </c>
      <c r="AY155" s="199">
        <v>0</v>
      </c>
      <c r="AZ155" s="199">
        <v>0</v>
      </c>
      <c r="BA155" s="199">
        <v>0</v>
      </c>
      <c r="BB155" s="199">
        <v>0</v>
      </c>
      <c r="BC155" s="199">
        <v>0</v>
      </c>
    </row>
    <row r="156" spans="1:55" hidden="1" outlineLevel="1" x14ac:dyDescent="0.2">
      <c r="A156" s="36"/>
      <c r="B156" s="36"/>
      <c r="C156" s="162" t="str">
        <v>BSC a Core líneas alquiladas: Voz: 8.45</v>
      </c>
      <c r="D156"/>
      <c r="F156" s="199">
        <v>2.1784313725490194</v>
      </c>
      <c r="G156" s="199">
        <v>1.0947916666666666</v>
      </c>
      <c r="H156" s="199">
        <v>1.1166666666666667</v>
      </c>
      <c r="I156" s="199">
        <v>1.0722222222222222</v>
      </c>
      <c r="J156" s="199">
        <v>1.0947916666666666</v>
      </c>
      <c r="K156" s="199">
        <v>1.1166666666666667</v>
      </c>
      <c r="L156" s="199">
        <v>1.0722222222222222</v>
      </c>
      <c r="M156" s="199">
        <v>0</v>
      </c>
      <c r="N156" s="199">
        <v>0</v>
      </c>
      <c r="O156" s="199">
        <v>0</v>
      </c>
      <c r="P156" s="199">
        <v>0</v>
      </c>
      <c r="Q156" s="199">
        <v>0</v>
      </c>
      <c r="R156" s="199">
        <v>0</v>
      </c>
      <c r="S156" s="199">
        <v>0</v>
      </c>
      <c r="T156" s="199">
        <v>0</v>
      </c>
      <c r="U156" s="199">
        <v>0</v>
      </c>
      <c r="V156" s="199">
        <v>0</v>
      </c>
      <c r="W156" s="199">
        <v>0</v>
      </c>
      <c r="X156" s="199">
        <v>0</v>
      </c>
      <c r="Y156" s="199">
        <v>0</v>
      </c>
      <c r="Z156" s="199">
        <v>0</v>
      </c>
      <c r="AA156" s="199">
        <v>2.6075619295958278E-3</v>
      </c>
      <c r="AB156" s="199">
        <v>1.3037809647979139E-3</v>
      </c>
      <c r="AC156" s="199">
        <v>1.3037809647979139E-3</v>
      </c>
      <c r="AD156" s="199">
        <v>0</v>
      </c>
      <c r="AE156" s="199">
        <v>0</v>
      </c>
      <c r="AF156" s="199">
        <v>0</v>
      </c>
      <c r="AG156" s="199">
        <v>0</v>
      </c>
      <c r="AH156" s="199">
        <v>0</v>
      </c>
      <c r="AI156" s="199">
        <v>0</v>
      </c>
      <c r="AJ156" s="199">
        <v>0</v>
      </c>
      <c r="AK156" s="199">
        <v>0</v>
      </c>
      <c r="AL156" s="199">
        <v>0</v>
      </c>
      <c r="AM156" s="199">
        <v>0</v>
      </c>
      <c r="AN156" s="199">
        <v>0</v>
      </c>
      <c r="AO156" s="199">
        <v>0</v>
      </c>
      <c r="AP156" s="199">
        <v>0</v>
      </c>
      <c r="AQ156" s="199">
        <v>0</v>
      </c>
      <c r="AR156" s="199">
        <v>0</v>
      </c>
      <c r="AS156" s="199">
        <v>0</v>
      </c>
      <c r="AT156" s="199">
        <v>0</v>
      </c>
      <c r="AU156" s="199">
        <v>0</v>
      </c>
      <c r="AV156" s="199">
        <v>0</v>
      </c>
      <c r="AW156" s="199">
        <v>0</v>
      </c>
      <c r="AX156" s="199">
        <v>0</v>
      </c>
      <c r="AY156" s="199">
        <v>0</v>
      </c>
      <c r="AZ156" s="199">
        <v>0</v>
      </c>
      <c r="BA156" s="199">
        <v>0</v>
      </c>
      <c r="BB156" s="199">
        <v>0</v>
      </c>
      <c r="BC156" s="199">
        <v>0</v>
      </c>
    </row>
    <row r="157" spans="1:55" hidden="1" outlineLevel="1" x14ac:dyDescent="0.2">
      <c r="A157" s="36"/>
      <c r="B157" s="36"/>
      <c r="C157" s="162" t="str">
        <v>BSC a Core líneas alquiladas: Voz: 34.37</v>
      </c>
      <c r="D157"/>
      <c r="F157" s="199">
        <v>2.1784313725490194</v>
      </c>
      <c r="G157" s="199">
        <v>1.0947916666666666</v>
      </c>
      <c r="H157" s="199">
        <v>1.1166666666666667</v>
      </c>
      <c r="I157" s="199">
        <v>1.0722222222222222</v>
      </c>
      <c r="J157" s="199">
        <v>1.0947916666666666</v>
      </c>
      <c r="K157" s="199">
        <v>1.1166666666666667</v>
      </c>
      <c r="L157" s="199">
        <v>1.0722222222222222</v>
      </c>
      <c r="M157" s="199">
        <v>0</v>
      </c>
      <c r="N157" s="199">
        <v>0</v>
      </c>
      <c r="O157" s="199">
        <v>0</v>
      </c>
      <c r="P157" s="199">
        <v>0</v>
      </c>
      <c r="Q157" s="199">
        <v>0</v>
      </c>
      <c r="R157" s="199">
        <v>0</v>
      </c>
      <c r="S157" s="199">
        <v>0</v>
      </c>
      <c r="T157" s="199">
        <v>0</v>
      </c>
      <c r="U157" s="199">
        <v>0</v>
      </c>
      <c r="V157" s="199">
        <v>0</v>
      </c>
      <c r="W157" s="199">
        <v>0</v>
      </c>
      <c r="X157" s="199">
        <v>0</v>
      </c>
      <c r="Y157" s="199">
        <v>0</v>
      </c>
      <c r="Z157" s="199">
        <v>0</v>
      </c>
      <c r="AA157" s="199">
        <v>2.6075619295958278E-3</v>
      </c>
      <c r="AB157" s="199">
        <v>1.3037809647979139E-3</v>
      </c>
      <c r="AC157" s="199">
        <v>1.3037809647979139E-3</v>
      </c>
      <c r="AD157" s="199">
        <v>0</v>
      </c>
      <c r="AE157" s="199">
        <v>0</v>
      </c>
      <c r="AF157" s="199">
        <v>0</v>
      </c>
      <c r="AG157" s="199">
        <v>0</v>
      </c>
      <c r="AH157" s="199">
        <v>0</v>
      </c>
      <c r="AI157" s="199">
        <v>0</v>
      </c>
      <c r="AJ157" s="199">
        <v>0</v>
      </c>
      <c r="AK157" s="199">
        <v>0</v>
      </c>
      <c r="AL157" s="199">
        <v>0</v>
      </c>
      <c r="AM157" s="199">
        <v>0</v>
      </c>
      <c r="AN157" s="199">
        <v>0</v>
      </c>
      <c r="AO157" s="199">
        <v>0</v>
      </c>
      <c r="AP157" s="199">
        <v>0</v>
      </c>
      <c r="AQ157" s="199">
        <v>0</v>
      </c>
      <c r="AR157" s="199">
        <v>0</v>
      </c>
      <c r="AS157" s="199">
        <v>0</v>
      </c>
      <c r="AT157" s="199">
        <v>0</v>
      </c>
      <c r="AU157" s="199">
        <v>0</v>
      </c>
      <c r="AV157" s="199">
        <v>0</v>
      </c>
      <c r="AW157" s="199">
        <v>0</v>
      </c>
      <c r="AX157" s="199">
        <v>0</v>
      </c>
      <c r="AY157" s="199">
        <v>0</v>
      </c>
      <c r="AZ157" s="199">
        <v>0</v>
      </c>
      <c r="BA157" s="199">
        <v>0</v>
      </c>
      <c r="BB157" s="199">
        <v>0</v>
      </c>
      <c r="BC157" s="199">
        <v>0</v>
      </c>
    </row>
    <row r="158" spans="1:55" hidden="1" outlineLevel="1" x14ac:dyDescent="0.2">
      <c r="A158" s="36"/>
      <c r="B158" s="36"/>
      <c r="C158" s="162" t="str">
        <v>BSC a Core líneas alquiladas: Voz: 155.52</v>
      </c>
      <c r="D158"/>
      <c r="F158" s="199">
        <v>2.1784313725490194</v>
      </c>
      <c r="G158" s="199">
        <v>1.0947916666666666</v>
      </c>
      <c r="H158" s="199">
        <v>1.1166666666666667</v>
      </c>
      <c r="I158" s="199">
        <v>1.0722222222222222</v>
      </c>
      <c r="J158" s="199">
        <v>1.0947916666666666</v>
      </c>
      <c r="K158" s="199">
        <v>1.1166666666666667</v>
      </c>
      <c r="L158" s="199">
        <v>1.0722222222222222</v>
      </c>
      <c r="M158" s="199">
        <v>0</v>
      </c>
      <c r="N158" s="199">
        <v>0</v>
      </c>
      <c r="O158" s="199">
        <v>0</v>
      </c>
      <c r="P158" s="199">
        <v>0</v>
      </c>
      <c r="Q158" s="199">
        <v>0</v>
      </c>
      <c r="R158" s="199">
        <v>0</v>
      </c>
      <c r="S158" s="199">
        <v>0</v>
      </c>
      <c r="T158" s="199">
        <v>0</v>
      </c>
      <c r="U158" s="199">
        <v>0</v>
      </c>
      <c r="V158" s="199">
        <v>0</v>
      </c>
      <c r="W158" s="199">
        <v>0</v>
      </c>
      <c r="X158" s="199">
        <v>0</v>
      </c>
      <c r="Y158" s="199">
        <v>0</v>
      </c>
      <c r="Z158" s="199">
        <v>0</v>
      </c>
      <c r="AA158" s="199">
        <v>2.6075619295958278E-3</v>
      </c>
      <c r="AB158" s="199">
        <v>1.3037809647979139E-3</v>
      </c>
      <c r="AC158" s="199">
        <v>1.3037809647979139E-3</v>
      </c>
      <c r="AD158" s="199">
        <v>0</v>
      </c>
      <c r="AE158" s="199">
        <v>0</v>
      </c>
      <c r="AF158" s="199">
        <v>0</v>
      </c>
      <c r="AG158" s="199">
        <v>0</v>
      </c>
      <c r="AH158" s="199">
        <v>0</v>
      </c>
      <c r="AI158" s="199">
        <v>0</v>
      </c>
      <c r="AJ158" s="199">
        <v>0</v>
      </c>
      <c r="AK158" s="199">
        <v>0</v>
      </c>
      <c r="AL158" s="199">
        <v>0</v>
      </c>
      <c r="AM158" s="199">
        <v>0</v>
      </c>
      <c r="AN158" s="199">
        <v>0</v>
      </c>
      <c r="AO158" s="199">
        <v>0</v>
      </c>
      <c r="AP158" s="199">
        <v>0</v>
      </c>
      <c r="AQ158" s="199">
        <v>0</v>
      </c>
      <c r="AR158" s="199">
        <v>0</v>
      </c>
      <c r="AS158" s="199">
        <v>0</v>
      </c>
      <c r="AT158" s="199">
        <v>0</v>
      </c>
      <c r="AU158" s="199">
        <v>0</v>
      </c>
      <c r="AV158" s="199">
        <v>0</v>
      </c>
      <c r="AW158" s="199">
        <v>0</v>
      </c>
      <c r="AX158" s="199">
        <v>0</v>
      </c>
      <c r="AY158" s="199">
        <v>0</v>
      </c>
      <c r="AZ158" s="199">
        <v>0</v>
      </c>
      <c r="BA158" s="199">
        <v>0</v>
      </c>
      <c r="BB158" s="199">
        <v>0</v>
      </c>
      <c r="BC158" s="199">
        <v>0</v>
      </c>
    </row>
    <row r="159" spans="1:55" hidden="1" outlineLevel="1" x14ac:dyDescent="0.2">
      <c r="A159" s="36"/>
      <c r="B159" s="36"/>
      <c r="C159" s="162" t="str">
        <v>BSC a Core líneas alquiladas: Voz: 30</v>
      </c>
      <c r="D159"/>
      <c r="F159" s="199">
        <v>2.1784313725490194</v>
      </c>
      <c r="G159" s="199">
        <v>1.0947916666666666</v>
      </c>
      <c r="H159" s="199">
        <v>1.1166666666666667</v>
      </c>
      <c r="I159" s="199">
        <v>1.0722222222222222</v>
      </c>
      <c r="J159" s="199">
        <v>1.0947916666666666</v>
      </c>
      <c r="K159" s="199">
        <v>1.1166666666666667</v>
      </c>
      <c r="L159" s="199">
        <v>1.0722222222222222</v>
      </c>
      <c r="M159" s="199">
        <v>0</v>
      </c>
      <c r="N159" s="199">
        <v>0</v>
      </c>
      <c r="O159" s="199">
        <v>0</v>
      </c>
      <c r="P159" s="199">
        <v>0</v>
      </c>
      <c r="Q159" s="199">
        <v>0</v>
      </c>
      <c r="R159" s="199">
        <v>0</v>
      </c>
      <c r="S159" s="199">
        <v>0</v>
      </c>
      <c r="T159" s="199">
        <v>0</v>
      </c>
      <c r="U159" s="199">
        <v>0</v>
      </c>
      <c r="V159" s="199">
        <v>0</v>
      </c>
      <c r="W159" s="199">
        <v>0</v>
      </c>
      <c r="X159" s="199">
        <v>0</v>
      </c>
      <c r="Y159" s="199">
        <v>0</v>
      </c>
      <c r="Z159" s="199">
        <v>0</v>
      </c>
      <c r="AA159" s="199">
        <v>2.6075619295958278E-3</v>
      </c>
      <c r="AB159" s="199">
        <v>1.3037809647979139E-3</v>
      </c>
      <c r="AC159" s="199">
        <v>1.3037809647979139E-3</v>
      </c>
      <c r="AD159" s="199">
        <v>0</v>
      </c>
      <c r="AE159" s="199">
        <v>0</v>
      </c>
      <c r="AF159" s="199">
        <v>0</v>
      </c>
      <c r="AG159" s="199">
        <v>0</v>
      </c>
      <c r="AH159" s="199">
        <v>0</v>
      </c>
      <c r="AI159" s="199">
        <v>0</v>
      </c>
      <c r="AJ159" s="199">
        <v>0</v>
      </c>
      <c r="AK159" s="199">
        <v>0</v>
      </c>
      <c r="AL159" s="199">
        <v>0</v>
      </c>
      <c r="AM159" s="199">
        <v>0</v>
      </c>
      <c r="AN159" s="199">
        <v>0</v>
      </c>
      <c r="AO159" s="199">
        <v>0</v>
      </c>
      <c r="AP159" s="199">
        <v>0</v>
      </c>
      <c r="AQ159" s="199">
        <v>0</v>
      </c>
      <c r="AR159" s="199">
        <v>0</v>
      </c>
      <c r="AS159" s="199">
        <v>0</v>
      </c>
      <c r="AT159" s="199">
        <v>0</v>
      </c>
      <c r="AU159" s="199">
        <v>0</v>
      </c>
      <c r="AV159" s="199">
        <v>0</v>
      </c>
      <c r="AW159" s="199">
        <v>0</v>
      </c>
      <c r="AX159" s="199">
        <v>0</v>
      </c>
      <c r="AY159" s="199">
        <v>0</v>
      </c>
      <c r="AZ159" s="199">
        <v>0</v>
      </c>
      <c r="BA159" s="199">
        <v>0</v>
      </c>
      <c r="BB159" s="199">
        <v>0</v>
      </c>
      <c r="BC159" s="199">
        <v>0</v>
      </c>
    </row>
    <row r="160" spans="1:55" hidden="1" outlineLevel="1" x14ac:dyDescent="0.2">
      <c r="A160" s="36"/>
      <c r="B160" s="36"/>
      <c r="C160" s="162" t="str">
        <v>BSC a Core líneas alquiladas: Voz: 100</v>
      </c>
      <c r="D160"/>
      <c r="F160" s="199">
        <v>2.1784313725490194</v>
      </c>
      <c r="G160" s="199">
        <v>1.0947916666666666</v>
      </c>
      <c r="H160" s="199">
        <v>1.1166666666666667</v>
      </c>
      <c r="I160" s="199">
        <v>1.0722222222222222</v>
      </c>
      <c r="J160" s="199">
        <v>1.0947916666666666</v>
      </c>
      <c r="K160" s="199">
        <v>1.1166666666666667</v>
      </c>
      <c r="L160" s="199">
        <v>1.0722222222222222</v>
      </c>
      <c r="M160" s="199">
        <v>0</v>
      </c>
      <c r="N160" s="199">
        <v>0</v>
      </c>
      <c r="O160" s="199">
        <v>0</v>
      </c>
      <c r="P160" s="199">
        <v>0</v>
      </c>
      <c r="Q160" s="199">
        <v>0</v>
      </c>
      <c r="R160" s="199">
        <v>0</v>
      </c>
      <c r="S160" s="199">
        <v>0</v>
      </c>
      <c r="T160" s="199">
        <v>0</v>
      </c>
      <c r="U160" s="199">
        <v>0</v>
      </c>
      <c r="V160" s="199">
        <v>0</v>
      </c>
      <c r="W160" s="199">
        <v>0</v>
      </c>
      <c r="X160" s="199">
        <v>0</v>
      </c>
      <c r="Y160" s="199">
        <v>0</v>
      </c>
      <c r="Z160" s="199">
        <v>0</v>
      </c>
      <c r="AA160" s="199">
        <v>2.6075619295958278E-3</v>
      </c>
      <c r="AB160" s="199">
        <v>1.3037809647979139E-3</v>
      </c>
      <c r="AC160" s="199">
        <v>1.3037809647979139E-3</v>
      </c>
      <c r="AD160" s="199">
        <v>0</v>
      </c>
      <c r="AE160" s="199">
        <v>0</v>
      </c>
      <c r="AF160" s="199">
        <v>0</v>
      </c>
      <c r="AG160" s="199">
        <v>0</v>
      </c>
      <c r="AH160" s="199">
        <v>0</v>
      </c>
      <c r="AI160" s="199">
        <v>0</v>
      </c>
      <c r="AJ160" s="199">
        <v>0</v>
      </c>
      <c r="AK160" s="199">
        <v>0</v>
      </c>
      <c r="AL160" s="199">
        <v>0</v>
      </c>
      <c r="AM160" s="199">
        <v>0</v>
      </c>
      <c r="AN160" s="199">
        <v>0</v>
      </c>
      <c r="AO160" s="199">
        <v>0</v>
      </c>
      <c r="AP160" s="199">
        <v>0</v>
      </c>
      <c r="AQ160" s="199">
        <v>0</v>
      </c>
      <c r="AR160" s="199">
        <v>0</v>
      </c>
      <c r="AS160" s="199">
        <v>0</v>
      </c>
      <c r="AT160" s="199">
        <v>0</v>
      </c>
      <c r="AU160" s="199">
        <v>0</v>
      </c>
      <c r="AV160" s="199">
        <v>0</v>
      </c>
      <c r="AW160" s="199">
        <v>0</v>
      </c>
      <c r="AX160" s="199">
        <v>0</v>
      </c>
      <c r="AY160" s="199">
        <v>0</v>
      </c>
      <c r="AZ160" s="199">
        <v>0</v>
      </c>
      <c r="BA160" s="199">
        <v>0</v>
      </c>
      <c r="BB160" s="199">
        <v>0</v>
      </c>
      <c r="BC160" s="199">
        <v>0</v>
      </c>
    </row>
    <row r="161" spans="1:55" s="86" customFormat="1" hidden="1" outlineLevel="1" x14ac:dyDescent="0.2">
      <c r="A161" s="36"/>
      <c r="B161" s="36"/>
      <c r="C161" s="162" t="str">
        <v>BSC a Core líneas alquiladas: Voz: 1024</v>
      </c>
      <c r="D161" s="81"/>
      <c r="F161" s="199">
        <v>2.1784313725490194</v>
      </c>
      <c r="G161" s="199">
        <v>1.0947916666666666</v>
      </c>
      <c r="H161" s="199">
        <v>1.1166666666666667</v>
      </c>
      <c r="I161" s="199">
        <v>1.0722222222222222</v>
      </c>
      <c r="J161" s="199">
        <v>1.0947916666666666</v>
      </c>
      <c r="K161" s="199">
        <v>1.1166666666666667</v>
      </c>
      <c r="L161" s="199">
        <v>1.0722222222222222</v>
      </c>
      <c r="M161" s="199">
        <v>0</v>
      </c>
      <c r="N161" s="199">
        <v>0</v>
      </c>
      <c r="O161" s="199">
        <v>0</v>
      </c>
      <c r="P161" s="199">
        <v>0</v>
      </c>
      <c r="Q161" s="199">
        <v>0</v>
      </c>
      <c r="R161" s="199">
        <v>0</v>
      </c>
      <c r="S161" s="199">
        <v>0</v>
      </c>
      <c r="T161" s="199">
        <v>0</v>
      </c>
      <c r="U161" s="199">
        <v>0</v>
      </c>
      <c r="V161" s="199">
        <v>0</v>
      </c>
      <c r="W161" s="199">
        <v>0</v>
      </c>
      <c r="X161" s="199">
        <v>0</v>
      </c>
      <c r="Y161" s="199">
        <v>0</v>
      </c>
      <c r="Z161" s="199">
        <v>0</v>
      </c>
      <c r="AA161" s="199">
        <v>2.6075619295958278E-3</v>
      </c>
      <c r="AB161" s="199">
        <v>1.3037809647979139E-3</v>
      </c>
      <c r="AC161" s="199">
        <v>1.3037809647979139E-3</v>
      </c>
      <c r="AD161" s="199">
        <v>0</v>
      </c>
      <c r="AE161" s="199">
        <v>0</v>
      </c>
      <c r="AF161" s="199">
        <v>0</v>
      </c>
      <c r="AG161" s="199">
        <v>0</v>
      </c>
      <c r="AH161" s="199">
        <v>0</v>
      </c>
      <c r="AI161" s="199">
        <v>0</v>
      </c>
      <c r="AJ161" s="199">
        <v>0</v>
      </c>
      <c r="AK161" s="199">
        <v>0</v>
      </c>
      <c r="AL161" s="199">
        <v>0</v>
      </c>
      <c r="AM161" s="199">
        <v>0</v>
      </c>
      <c r="AN161" s="199">
        <v>0</v>
      </c>
      <c r="AO161" s="199">
        <v>0</v>
      </c>
      <c r="AP161" s="199">
        <v>0</v>
      </c>
      <c r="AQ161" s="199">
        <v>0</v>
      </c>
      <c r="AR161" s="199">
        <v>0</v>
      </c>
      <c r="AS161" s="199">
        <v>0</v>
      </c>
      <c r="AT161" s="199">
        <v>0</v>
      </c>
      <c r="AU161" s="199">
        <v>0</v>
      </c>
      <c r="AV161" s="199">
        <v>0</v>
      </c>
      <c r="AW161" s="199">
        <v>0</v>
      </c>
      <c r="AX161" s="199">
        <v>0</v>
      </c>
      <c r="AY161" s="199">
        <v>0</v>
      </c>
      <c r="AZ161" s="199">
        <v>0</v>
      </c>
      <c r="BA161" s="199">
        <v>0</v>
      </c>
      <c r="BB161" s="199">
        <v>0</v>
      </c>
      <c r="BC161" s="199">
        <v>0</v>
      </c>
    </row>
    <row r="162" spans="1:55" s="86" customFormat="1" hidden="1" outlineLevel="1" x14ac:dyDescent="0.2">
      <c r="A162" s="36"/>
      <c r="B162" s="36"/>
      <c r="C162" s="162" t="str">
        <v>BSC a Core líneas alquiladas: Datos: 8.45</v>
      </c>
      <c r="D162" s="81"/>
      <c r="F162" s="199">
        <v>0</v>
      </c>
      <c r="G162" s="199">
        <v>0</v>
      </c>
      <c r="H162" s="199">
        <v>0</v>
      </c>
      <c r="I162" s="199">
        <v>0</v>
      </c>
      <c r="J162" s="199">
        <v>0</v>
      </c>
      <c r="K162" s="199">
        <v>0</v>
      </c>
      <c r="L162" s="199">
        <v>0</v>
      </c>
      <c r="M162" s="199">
        <v>0</v>
      </c>
      <c r="N162" s="199">
        <v>0</v>
      </c>
      <c r="O162" s="199">
        <v>0</v>
      </c>
      <c r="P162" s="199">
        <v>0</v>
      </c>
      <c r="Q162" s="199">
        <v>0</v>
      </c>
      <c r="R162" s="199">
        <v>0</v>
      </c>
      <c r="S162" s="199">
        <v>0</v>
      </c>
      <c r="T162" s="199">
        <v>0</v>
      </c>
      <c r="U162" s="199">
        <v>0</v>
      </c>
      <c r="V162" s="199">
        <v>0</v>
      </c>
      <c r="W162" s="199">
        <v>0</v>
      </c>
      <c r="X162" s="199">
        <v>0</v>
      </c>
      <c r="Y162" s="199">
        <v>0</v>
      </c>
      <c r="Z162" s="199">
        <v>0</v>
      </c>
      <c r="AA162" s="199">
        <v>0</v>
      </c>
      <c r="AB162" s="199">
        <v>0</v>
      </c>
      <c r="AC162" s="199">
        <v>0</v>
      </c>
      <c r="AD162" s="199">
        <v>0</v>
      </c>
      <c r="AE162" s="199">
        <v>0</v>
      </c>
      <c r="AF162" s="199">
        <v>0</v>
      </c>
      <c r="AG162" s="199">
        <v>0</v>
      </c>
      <c r="AH162" s="199">
        <v>0</v>
      </c>
      <c r="AI162" s="199">
        <v>0</v>
      </c>
      <c r="AJ162" s="199">
        <v>1</v>
      </c>
      <c r="AK162" s="199">
        <v>0</v>
      </c>
      <c r="AL162" s="199">
        <v>0</v>
      </c>
      <c r="AM162" s="199">
        <v>0</v>
      </c>
      <c r="AN162" s="199">
        <v>0</v>
      </c>
      <c r="AO162" s="199">
        <v>0</v>
      </c>
      <c r="AP162" s="199">
        <v>0</v>
      </c>
      <c r="AQ162" s="199">
        <v>0</v>
      </c>
      <c r="AR162" s="199">
        <v>0</v>
      </c>
      <c r="AS162" s="199">
        <v>0</v>
      </c>
      <c r="AT162" s="199">
        <v>0</v>
      </c>
      <c r="AU162" s="199">
        <v>0</v>
      </c>
      <c r="AV162" s="199">
        <v>0</v>
      </c>
      <c r="AW162" s="199">
        <v>0</v>
      </c>
      <c r="AX162" s="199">
        <v>0</v>
      </c>
      <c r="AY162" s="199">
        <v>0</v>
      </c>
      <c r="AZ162" s="199">
        <v>0</v>
      </c>
      <c r="BA162" s="199">
        <v>0</v>
      </c>
      <c r="BB162" s="199">
        <v>0</v>
      </c>
      <c r="BC162" s="199">
        <v>0</v>
      </c>
    </row>
    <row r="163" spans="1:55" s="86" customFormat="1" hidden="1" outlineLevel="1" x14ac:dyDescent="0.2">
      <c r="A163" s="36"/>
      <c r="B163" s="36"/>
      <c r="C163" s="162" t="str">
        <v>BSC a Core líneas alquiladas: Datos: 34.37</v>
      </c>
      <c r="D163" s="81"/>
      <c r="F163" s="199">
        <v>0</v>
      </c>
      <c r="G163" s="199">
        <v>0</v>
      </c>
      <c r="H163" s="199">
        <v>0</v>
      </c>
      <c r="I163" s="199">
        <v>0</v>
      </c>
      <c r="J163" s="199">
        <v>0</v>
      </c>
      <c r="K163" s="199">
        <v>0</v>
      </c>
      <c r="L163" s="199">
        <v>0</v>
      </c>
      <c r="M163" s="199">
        <v>0</v>
      </c>
      <c r="N163" s="199">
        <v>0</v>
      </c>
      <c r="O163" s="199">
        <v>0</v>
      </c>
      <c r="P163" s="199">
        <v>0</v>
      </c>
      <c r="Q163" s="199">
        <v>0</v>
      </c>
      <c r="R163" s="199">
        <v>0</v>
      </c>
      <c r="S163" s="199">
        <v>0</v>
      </c>
      <c r="T163" s="199">
        <v>0</v>
      </c>
      <c r="U163" s="199">
        <v>0</v>
      </c>
      <c r="V163" s="199">
        <v>0</v>
      </c>
      <c r="W163" s="199">
        <v>0</v>
      </c>
      <c r="X163" s="199">
        <v>0</v>
      </c>
      <c r="Y163" s="199">
        <v>0</v>
      </c>
      <c r="Z163" s="199">
        <v>0</v>
      </c>
      <c r="AA163" s="199">
        <v>0</v>
      </c>
      <c r="AB163" s="199">
        <v>0</v>
      </c>
      <c r="AC163" s="199">
        <v>0</v>
      </c>
      <c r="AD163" s="199">
        <v>0</v>
      </c>
      <c r="AE163" s="199">
        <v>0</v>
      </c>
      <c r="AF163" s="199">
        <v>0</v>
      </c>
      <c r="AG163" s="199">
        <v>0</v>
      </c>
      <c r="AH163" s="199">
        <v>0</v>
      </c>
      <c r="AI163" s="199">
        <v>0</v>
      </c>
      <c r="AJ163" s="199">
        <v>1</v>
      </c>
      <c r="AK163" s="199">
        <v>0</v>
      </c>
      <c r="AL163" s="199">
        <v>0</v>
      </c>
      <c r="AM163" s="199">
        <v>0</v>
      </c>
      <c r="AN163" s="199">
        <v>0</v>
      </c>
      <c r="AO163" s="199">
        <v>0</v>
      </c>
      <c r="AP163" s="199">
        <v>0</v>
      </c>
      <c r="AQ163" s="199">
        <v>0</v>
      </c>
      <c r="AR163" s="199">
        <v>0</v>
      </c>
      <c r="AS163" s="199">
        <v>0</v>
      </c>
      <c r="AT163" s="199">
        <v>0</v>
      </c>
      <c r="AU163" s="199">
        <v>0</v>
      </c>
      <c r="AV163" s="199">
        <v>0</v>
      </c>
      <c r="AW163" s="199">
        <v>0</v>
      </c>
      <c r="AX163" s="199">
        <v>0</v>
      </c>
      <c r="AY163" s="199">
        <v>0</v>
      </c>
      <c r="AZ163" s="199">
        <v>0</v>
      </c>
      <c r="BA163" s="199">
        <v>0</v>
      </c>
      <c r="BB163" s="199">
        <v>0</v>
      </c>
      <c r="BC163" s="199">
        <v>0</v>
      </c>
    </row>
    <row r="164" spans="1:55" s="86" customFormat="1" hidden="1" outlineLevel="1" x14ac:dyDescent="0.2">
      <c r="A164" s="36"/>
      <c r="B164" s="36"/>
      <c r="C164" s="162" t="str">
        <v>BSC a Core líneas alquiladas: Datos: 155.52</v>
      </c>
      <c r="D164" s="81"/>
      <c r="F164" s="199">
        <v>0</v>
      </c>
      <c r="G164" s="199">
        <v>0</v>
      </c>
      <c r="H164" s="199">
        <v>0</v>
      </c>
      <c r="I164" s="199">
        <v>0</v>
      </c>
      <c r="J164" s="199">
        <v>0</v>
      </c>
      <c r="K164" s="199">
        <v>0</v>
      </c>
      <c r="L164" s="199">
        <v>0</v>
      </c>
      <c r="M164" s="199">
        <v>0</v>
      </c>
      <c r="N164" s="199">
        <v>0</v>
      </c>
      <c r="O164" s="199">
        <v>0</v>
      </c>
      <c r="P164" s="199">
        <v>0</v>
      </c>
      <c r="Q164" s="199">
        <v>0</v>
      </c>
      <c r="R164" s="199">
        <v>0</v>
      </c>
      <c r="S164" s="199">
        <v>0</v>
      </c>
      <c r="T164" s="199">
        <v>0</v>
      </c>
      <c r="U164" s="199">
        <v>0</v>
      </c>
      <c r="V164" s="199">
        <v>0</v>
      </c>
      <c r="W164" s="199">
        <v>0</v>
      </c>
      <c r="X164" s="199">
        <v>0</v>
      </c>
      <c r="Y164" s="199">
        <v>0</v>
      </c>
      <c r="Z164" s="199">
        <v>0</v>
      </c>
      <c r="AA164" s="199">
        <v>0</v>
      </c>
      <c r="AB164" s="199">
        <v>0</v>
      </c>
      <c r="AC164" s="199">
        <v>0</v>
      </c>
      <c r="AD164" s="199">
        <v>0</v>
      </c>
      <c r="AE164" s="199">
        <v>0</v>
      </c>
      <c r="AF164" s="199">
        <v>0</v>
      </c>
      <c r="AG164" s="199">
        <v>0</v>
      </c>
      <c r="AH164" s="199">
        <v>0</v>
      </c>
      <c r="AI164" s="199">
        <v>0</v>
      </c>
      <c r="AJ164" s="199">
        <v>1</v>
      </c>
      <c r="AK164" s="199">
        <v>0</v>
      </c>
      <c r="AL164" s="199">
        <v>0</v>
      </c>
      <c r="AM164" s="199">
        <v>0</v>
      </c>
      <c r="AN164" s="199">
        <v>0</v>
      </c>
      <c r="AO164" s="199">
        <v>0</v>
      </c>
      <c r="AP164" s="199">
        <v>0</v>
      </c>
      <c r="AQ164" s="199">
        <v>0</v>
      </c>
      <c r="AR164" s="199">
        <v>0</v>
      </c>
      <c r="AS164" s="199">
        <v>0</v>
      </c>
      <c r="AT164" s="199">
        <v>0</v>
      </c>
      <c r="AU164" s="199">
        <v>0</v>
      </c>
      <c r="AV164" s="199">
        <v>0</v>
      </c>
      <c r="AW164" s="199">
        <v>0</v>
      </c>
      <c r="AX164" s="199">
        <v>0</v>
      </c>
      <c r="AY164" s="199">
        <v>0</v>
      </c>
      <c r="AZ164" s="199">
        <v>0</v>
      </c>
      <c r="BA164" s="199">
        <v>0</v>
      </c>
      <c r="BB164" s="199">
        <v>0</v>
      </c>
      <c r="BC164" s="199">
        <v>0</v>
      </c>
    </row>
    <row r="165" spans="1:55" s="86" customFormat="1" hidden="1" outlineLevel="1" x14ac:dyDescent="0.2">
      <c r="A165" s="36"/>
      <c r="B165" s="36"/>
      <c r="C165" s="162" t="str">
        <v>BSC a Core líneas alquiladas: Datos: 30</v>
      </c>
      <c r="D165" s="81"/>
      <c r="F165" s="199">
        <v>0</v>
      </c>
      <c r="G165" s="199">
        <v>0</v>
      </c>
      <c r="H165" s="199">
        <v>0</v>
      </c>
      <c r="I165" s="199">
        <v>0</v>
      </c>
      <c r="J165" s="199">
        <v>0</v>
      </c>
      <c r="K165" s="199">
        <v>0</v>
      </c>
      <c r="L165" s="199">
        <v>0</v>
      </c>
      <c r="M165" s="199">
        <v>0</v>
      </c>
      <c r="N165" s="199">
        <v>0</v>
      </c>
      <c r="O165" s="199">
        <v>0</v>
      </c>
      <c r="P165" s="199">
        <v>0</v>
      </c>
      <c r="Q165" s="199">
        <v>0</v>
      </c>
      <c r="R165" s="199">
        <v>0</v>
      </c>
      <c r="S165" s="199">
        <v>0</v>
      </c>
      <c r="T165" s="199">
        <v>0</v>
      </c>
      <c r="U165" s="199">
        <v>0</v>
      </c>
      <c r="V165" s="199">
        <v>0</v>
      </c>
      <c r="W165" s="199">
        <v>0</v>
      </c>
      <c r="X165" s="199">
        <v>0</v>
      </c>
      <c r="Y165" s="199">
        <v>0</v>
      </c>
      <c r="Z165" s="199">
        <v>0</v>
      </c>
      <c r="AA165" s="199">
        <v>0</v>
      </c>
      <c r="AB165" s="199">
        <v>0</v>
      </c>
      <c r="AC165" s="199">
        <v>0</v>
      </c>
      <c r="AD165" s="199">
        <v>0</v>
      </c>
      <c r="AE165" s="199">
        <v>0</v>
      </c>
      <c r="AF165" s="199">
        <v>0</v>
      </c>
      <c r="AG165" s="199">
        <v>0</v>
      </c>
      <c r="AH165" s="199">
        <v>0</v>
      </c>
      <c r="AI165" s="199">
        <v>0</v>
      </c>
      <c r="AJ165" s="199">
        <v>1</v>
      </c>
      <c r="AK165" s="199">
        <v>0</v>
      </c>
      <c r="AL165" s="199">
        <v>0</v>
      </c>
      <c r="AM165" s="199">
        <v>0</v>
      </c>
      <c r="AN165" s="199">
        <v>0</v>
      </c>
      <c r="AO165" s="199">
        <v>0</v>
      </c>
      <c r="AP165" s="199">
        <v>0</v>
      </c>
      <c r="AQ165" s="199">
        <v>0</v>
      </c>
      <c r="AR165" s="199">
        <v>0</v>
      </c>
      <c r="AS165" s="199">
        <v>0</v>
      </c>
      <c r="AT165" s="199">
        <v>0</v>
      </c>
      <c r="AU165" s="199">
        <v>0</v>
      </c>
      <c r="AV165" s="199">
        <v>0</v>
      </c>
      <c r="AW165" s="199">
        <v>0</v>
      </c>
      <c r="AX165" s="199">
        <v>0</v>
      </c>
      <c r="AY165" s="199">
        <v>0</v>
      </c>
      <c r="AZ165" s="199">
        <v>0</v>
      </c>
      <c r="BA165" s="199">
        <v>0</v>
      </c>
      <c r="BB165" s="199">
        <v>0</v>
      </c>
      <c r="BC165" s="199">
        <v>0</v>
      </c>
    </row>
    <row r="166" spans="1:55" s="86" customFormat="1" hidden="1" outlineLevel="1" x14ac:dyDescent="0.2">
      <c r="A166" s="36"/>
      <c r="B166" s="36"/>
      <c r="C166" s="162" t="str">
        <v>BSC a Core líneas alquiladas: Datos: 100</v>
      </c>
      <c r="D166" s="81"/>
      <c r="F166" s="199">
        <v>0</v>
      </c>
      <c r="G166" s="199">
        <v>0</v>
      </c>
      <c r="H166" s="199">
        <v>0</v>
      </c>
      <c r="I166" s="199">
        <v>0</v>
      </c>
      <c r="J166" s="199">
        <v>0</v>
      </c>
      <c r="K166" s="199">
        <v>0</v>
      </c>
      <c r="L166" s="199">
        <v>0</v>
      </c>
      <c r="M166" s="199">
        <v>0</v>
      </c>
      <c r="N166" s="199">
        <v>0</v>
      </c>
      <c r="O166" s="199">
        <v>0</v>
      </c>
      <c r="P166" s="199">
        <v>0</v>
      </c>
      <c r="Q166" s="199">
        <v>0</v>
      </c>
      <c r="R166" s="199">
        <v>0</v>
      </c>
      <c r="S166" s="199">
        <v>0</v>
      </c>
      <c r="T166" s="199">
        <v>0</v>
      </c>
      <c r="U166" s="199">
        <v>0</v>
      </c>
      <c r="V166" s="199">
        <v>0</v>
      </c>
      <c r="W166" s="199">
        <v>0</v>
      </c>
      <c r="X166" s="199">
        <v>0</v>
      </c>
      <c r="Y166" s="199">
        <v>0</v>
      </c>
      <c r="Z166" s="199">
        <v>0</v>
      </c>
      <c r="AA166" s="199">
        <v>0</v>
      </c>
      <c r="AB166" s="199">
        <v>0</v>
      </c>
      <c r="AC166" s="199">
        <v>0</v>
      </c>
      <c r="AD166" s="199">
        <v>0</v>
      </c>
      <c r="AE166" s="199">
        <v>0</v>
      </c>
      <c r="AF166" s="199">
        <v>0</v>
      </c>
      <c r="AG166" s="199">
        <v>0</v>
      </c>
      <c r="AH166" s="199">
        <v>0</v>
      </c>
      <c r="AI166" s="199">
        <v>0</v>
      </c>
      <c r="AJ166" s="199">
        <v>1</v>
      </c>
      <c r="AK166" s="199">
        <v>0</v>
      </c>
      <c r="AL166" s="199">
        <v>0</v>
      </c>
      <c r="AM166" s="199">
        <v>0</v>
      </c>
      <c r="AN166" s="199">
        <v>0</v>
      </c>
      <c r="AO166" s="199">
        <v>0</v>
      </c>
      <c r="AP166" s="199">
        <v>0</v>
      </c>
      <c r="AQ166" s="199">
        <v>0</v>
      </c>
      <c r="AR166" s="199">
        <v>0</v>
      </c>
      <c r="AS166" s="199">
        <v>0</v>
      </c>
      <c r="AT166" s="199">
        <v>0</v>
      </c>
      <c r="AU166" s="199">
        <v>0</v>
      </c>
      <c r="AV166" s="199">
        <v>0</v>
      </c>
      <c r="AW166" s="199">
        <v>0</v>
      </c>
      <c r="AX166" s="199">
        <v>0</v>
      </c>
      <c r="AY166" s="199">
        <v>0</v>
      </c>
      <c r="AZ166" s="199">
        <v>0</v>
      </c>
      <c r="BA166" s="199">
        <v>0</v>
      </c>
      <c r="BB166" s="199">
        <v>0</v>
      </c>
      <c r="BC166" s="199">
        <v>0</v>
      </c>
    </row>
    <row r="167" spans="1:55" s="86" customFormat="1" hidden="1" outlineLevel="1" x14ac:dyDescent="0.2">
      <c r="A167" s="36"/>
      <c r="B167" s="36"/>
      <c r="C167" s="162" t="str">
        <v>BSC a Core líneas alquiladas: Datos: 1024</v>
      </c>
      <c r="D167" s="81"/>
      <c r="F167" s="199">
        <v>0</v>
      </c>
      <c r="G167" s="199">
        <v>0</v>
      </c>
      <c r="H167" s="199">
        <v>0</v>
      </c>
      <c r="I167" s="199">
        <v>0</v>
      </c>
      <c r="J167" s="199">
        <v>0</v>
      </c>
      <c r="K167" s="199">
        <v>0</v>
      </c>
      <c r="L167" s="199">
        <v>0</v>
      </c>
      <c r="M167" s="199">
        <v>0</v>
      </c>
      <c r="N167" s="199">
        <v>0</v>
      </c>
      <c r="O167" s="199">
        <v>0</v>
      </c>
      <c r="P167" s="199">
        <v>0</v>
      </c>
      <c r="Q167" s="199">
        <v>0</v>
      </c>
      <c r="R167" s="199">
        <v>0</v>
      </c>
      <c r="S167" s="199">
        <v>0</v>
      </c>
      <c r="T167" s="199">
        <v>0</v>
      </c>
      <c r="U167" s="199">
        <v>0</v>
      </c>
      <c r="V167" s="199">
        <v>0</v>
      </c>
      <c r="W167" s="199">
        <v>0</v>
      </c>
      <c r="X167" s="199">
        <v>0</v>
      </c>
      <c r="Y167" s="199">
        <v>0</v>
      </c>
      <c r="Z167" s="199">
        <v>0</v>
      </c>
      <c r="AA167" s="199">
        <v>0</v>
      </c>
      <c r="AB167" s="199">
        <v>0</v>
      </c>
      <c r="AC167" s="199">
        <v>0</v>
      </c>
      <c r="AD167" s="199">
        <v>0</v>
      </c>
      <c r="AE167" s="199">
        <v>0</v>
      </c>
      <c r="AF167" s="199">
        <v>0</v>
      </c>
      <c r="AG167" s="199">
        <v>0</v>
      </c>
      <c r="AH167" s="199">
        <v>0</v>
      </c>
      <c r="AI167" s="199">
        <v>0</v>
      </c>
      <c r="AJ167" s="199">
        <v>1</v>
      </c>
      <c r="AK167" s="199">
        <v>0</v>
      </c>
      <c r="AL167" s="199">
        <v>0</v>
      </c>
      <c r="AM167" s="199">
        <v>0</v>
      </c>
      <c r="AN167" s="199">
        <v>0</v>
      </c>
      <c r="AO167" s="199">
        <v>0</v>
      </c>
      <c r="AP167" s="199">
        <v>0</v>
      </c>
      <c r="AQ167" s="199">
        <v>0</v>
      </c>
      <c r="AR167" s="199">
        <v>0</v>
      </c>
      <c r="AS167" s="199">
        <v>0</v>
      </c>
      <c r="AT167" s="199">
        <v>0</v>
      </c>
      <c r="AU167" s="199">
        <v>0</v>
      </c>
      <c r="AV167" s="199">
        <v>0</v>
      </c>
      <c r="AW167" s="199">
        <v>0</v>
      </c>
      <c r="AX167" s="199">
        <v>0</v>
      </c>
      <c r="AY167" s="199">
        <v>0</v>
      </c>
      <c r="AZ167" s="199">
        <v>0</v>
      </c>
      <c r="BA167" s="199">
        <v>0</v>
      </c>
      <c r="BB167" s="199">
        <v>0</v>
      </c>
      <c r="BC167" s="199">
        <v>0</v>
      </c>
    </row>
    <row r="168" spans="1:55" s="86" customFormat="1" hidden="1" outlineLevel="1" x14ac:dyDescent="0.2">
      <c r="A168" s="36"/>
      <c r="B168" s="36"/>
      <c r="C168" s="162" t="str">
        <v>RNC a Core líneas alquiladas: Voz: 34.4</v>
      </c>
      <c r="D168" s="81"/>
      <c r="F168" s="199">
        <v>0</v>
      </c>
      <c r="G168" s="199">
        <v>0</v>
      </c>
      <c r="H168" s="199">
        <v>0</v>
      </c>
      <c r="I168" s="199">
        <v>0</v>
      </c>
      <c r="J168" s="199">
        <v>0</v>
      </c>
      <c r="K168" s="199">
        <v>0</v>
      </c>
      <c r="L168" s="199">
        <v>0</v>
      </c>
      <c r="M168" s="199">
        <v>2.8319607843137256</v>
      </c>
      <c r="N168" s="199">
        <v>1.4232291666666665</v>
      </c>
      <c r="O168" s="199">
        <v>1.4516666666666667</v>
      </c>
      <c r="P168" s="199">
        <v>1.393888888888889</v>
      </c>
      <c r="Q168" s="199">
        <v>1.4232291666666665</v>
      </c>
      <c r="R168" s="199">
        <v>1.4516666666666667</v>
      </c>
      <c r="S168" s="199">
        <v>1.393888888888889</v>
      </c>
      <c r="T168" s="199">
        <v>0</v>
      </c>
      <c r="U168" s="199">
        <v>0</v>
      </c>
      <c r="V168" s="199">
        <v>0</v>
      </c>
      <c r="W168" s="199">
        <v>0</v>
      </c>
      <c r="X168" s="199">
        <v>0</v>
      </c>
      <c r="Y168" s="199">
        <v>0</v>
      </c>
      <c r="Z168" s="199">
        <v>0</v>
      </c>
      <c r="AA168" s="199">
        <v>0</v>
      </c>
      <c r="AB168" s="199">
        <v>0</v>
      </c>
      <c r="AC168" s="199">
        <v>0</v>
      </c>
      <c r="AD168" s="199">
        <v>1E-3</v>
      </c>
      <c r="AE168" s="199">
        <v>5.0000000000000001E-4</v>
      </c>
      <c r="AF168" s="199">
        <v>5.0000000000000001E-4</v>
      </c>
      <c r="AG168" s="199">
        <v>0</v>
      </c>
      <c r="AH168" s="199">
        <v>0</v>
      </c>
      <c r="AI168" s="199">
        <v>0</v>
      </c>
      <c r="AJ168" s="199">
        <v>0</v>
      </c>
      <c r="AK168" s="199">
        <v>0</v>
      </c>
      <c r="AL168" s="199">
        <v>0</v>
      </c>
      <c r="AM168" s="199">
        <v>0</v>
      </c>
      <c r="AN168" s="199">
        <v>0</v>
      </c>
      <c r="AO168" s="199">
        <v>0</v>
      </c>
      <c r="AP168" s="199">
        <v>0</v>
      </c>
      <c r="AQ168" s="199">
        <v>0</v>
      </c>
      <c r="AR168" s="199">
        <v>0</v>
      </c>
      <c r="AS168" s="199">
        <v>0</v>
      </c>
      <c r="AT168" s="199">
        <v>0</v>
      </c>
      <c r="AU168" s="199">
        <v>0</v>
      </c>
      <c r="AV168" s="199">
        <v>0</v>
      </c>
      <c r="AW168" s="199">
        <v>0</v>
      </c>
      <c r="AX168" s="199">
        <v>0</v>
      </c>
      <c r="AY168" s="199">
        <v>0</v>
      </c>
      <c r="AZ168" s="199">
        <v>0</v>
      </c>
      <c r="BA168" s="199">
        <v>0</v>
      </c>
      <c r="BB168" s="199">
        <v>0</v>
      </c>
      <c r="BC168" s="199">
        <v>0</v>
      </c>
    </row>
    <row r="169" spans="1:55" s="86" customFormat="1" hidden="1" outlineLevel="1" x14ac:dyDescent="0.2">
      <c r="A169" s="36"/>
      <c r="B169" s="36"/>
      <c r="C169" s="162" t="str">
        <v>RNC a Core líneas alquiladas: Voz: 155.52</v>
      </c>
      <c r="D169" s="81"/>
      <c r="F169" s="199">
        <v>0</v>
      </c>
      <c r="G169" s="199">
        <v>0</v>
      </c>
      <c r="H169" s="199">
        <v>0</v>
      </c>
      <c r="I169" s="199">
        <v>0</v>
      </c>
      <c r="J169" s="199">
        <v>0</v>
      </c>
      <c r="K169" s="199">
        <v>0</v>
      </c>
      <c r="L169" s="199">
        <v>0</v>
      </c>
      <c r="M169" s="199">
        <v>2.8319607843137256</v>
      </c>
      <c r="N169" s="199">
        <v>1.4232291666666665</v>
      </c>
      <c r="O169" s="199">
        <v>1.4516666666666667</v>
      </c>
      <c r="P169" s="199">
        <v>1.393888888888889</v>
      </c>
      <c r="Q169" s="199">
        <v>1.4232291666666665</v>
      </c>
      <c r="R169" s="199">
        <v>1.4516666666666667</v>
      </c>
      <c r="S169" s="199">
        <v>1.393888888888889</v>
      </c>
      <c r="T169" s="199">
        <v>0</v>
      </c>
      <c r="U169" s="199">
        <v>0</v>
      </c>
      <c r="V169" s="199">
        <v>0</v>
      </c>
      <c r="W169" s="199">
        <v>0</v>
      </c>
      <c r="X169" s="199">
        <v>0</v>
      </c>
      <c r="Y169" s="199">
        <v>0</v>
      </c>
      <c r="Z169" s="199">
        <v>0</v>
      </c>
      <c r="AA169" s="199">
        <v>0</v>
      </c>
      <c r="AB169" s="199">
        <v>0</v>
      </c>
      <c r="AC169" s="199">
        <v>0</v>
      </c>
      <c r="AD169" s="199">
        <v>1E-3</v>
      </c>
      <c r="AE169" s="199">
        <v>5.0000000000000001E-4</v>
      </c>
      <c r="AF169" s="199">
        <v>5.0000000000000001E-4</v>
      </c>
      <c r="AG169" s="199">
        <v>0</v>
      </c>
      <c r="AH169" s="199">
        <v>0</v>
      </c>
      <c r="AI169" s="199">
        <v>0</v>
      </c>
      <c r="AJ169" s="199">
        <v>0</v>
      </c>
      <c r="AK169" s="199">
        <v>0</v>
      </c>
      <c r="AL169" s="199">
        <v>0</v>
      </c>
      <c r="AM169" s="199">
        <v>0</v>
      </c>
      <c r="AN169" s="199">
        <v>0</v>
      </c>
      <c r="AO169" s="199">
        <v>0</v>
      </c>
      <c r="AP169" s="199">
        <v>0</v>
      </c>
      <c r="AQ169" s="199">
        <v>0</v>
      </c>
      <c r="AR169" s="199">
        <v>0</v>
      </c>
      <c r="AS169" s="199">
        <v>0</v>
      </c>
      <c r="AT169" s="199">
        <v>0</v>
      </c>
      <c r="AU169" s="199">
        <v>0</v>
      </c>
      <c r="AV169" s="199">
        <v>0</v>
      </c>
      <c r="AW169" s="199">
        <v>0</v>
      </c>
      <c r="AX169" s="199">
        <v>0</v>
      </c>
      <c r="AY169" s="199">
        <v>0</v>
      </c>
      <c r="AZ169" s="199">
        <v>0</v>
      </c>
      <c r="BA169" s="199">
        <v>0</v>
      </c>
      <c r="BB169" s="199">
        <v>0</v>
      </c>
      <c r="BC169" s="199">
        <v>0</v>
      </c>
    </row>
    <row r="170" spans="1:55" s="86" customFormat="1" hidden="1" outlineLevel="1" x14ac:dyDescent="0.2">
      <c r="A170" s="36"/>
      <c r="B170" s="36"/>
      <c r="C170" s="162" t="str">
        <v>RNC a Core líneas alquiladas: Voz: 622.08</v>
      </c>
      <c r="D170" s="81"/>
      <c r="F170" s="199">
        <v>0</v>
      </c>
      <c r="G170" s="199">
        <v>0</v>
      </c>
      <c r="H170" s="199">
        <v>0</v>
      </c>
      <c r="I170" s="199">
        <v>0</v>
      </c>
      <c r="J170" s="199">
        <v>0</v>
      </c>
      <c r="K170" s="199">
        <v>0</v>
      </c>
      <c r="L170" s="199">
        <v>0</v>
      </c>
      <c r="M170" s="199">
        <v>2.8319607843137256</v>
      </c>
      <c r="N170" s="199">
        <v>1.4232291666666665</v>
      </c>
      <c r="O170" s="199">
        <v>1.4516666666666667</v>
      </c>
      <c r="P170" s="199">
        <v>1.393888888888889</v>
      </c>
      <c r="Q170" s="199">
        <v>1.4232291666666665</v>
      </c>
      <c r="R170" s="199">
        <v>1.4516666666666667</v>
      </c>
      <c r="S170" s="199">
        <v>1.393888888888889</v>
      </c>
      <c r="T170" s="199">
        <v>0</v>
      </c>
      <c r="U170" s="199">
        <v>0</v>
      </c>
      <c r="V170" s="199">
        <v>0</v>
      </c>
      <c r="W170" s="199">
        <v>0</v>
      </c>
      <c r="X170" s="199">
        <v>0</v>
      </c>
      <c r="Y170" s="199">
        <v>0</v>
      </c>
      <c r="Z170" s="199">
        <v>0</v>
      </c>
      <c r="AA170" s="199">
        <v>0</v>
      </c>
      <c r="AB170" s="199">
        <v>0</v>
      </c>
      <c r="AC170" s="199">
        <v>0</v>
      </c>
      <c r="AD170" s="199">
        <v>1E-3</v>
      </c>
      <c r="AE170" s="199">
        <v>5.0000000000000001E-4</v>
      </c>
      <c r="AF170" s="199">
        <v>5.0000000000000001E-4</v>
      </c>
      <c r="AG170" s="199">
        <v>0</v>
      </c>
      <c r="AH170" s="199">
        <v>0</v>
      </c>
      <c r="AI170" s="199">
        <v>0</v>
      </c>
      <c r="AJ170" s="199">
        <v>0</v>
      </c>
      <c r="AK170" s="199">
        <v>0</v>
      </c>
      <c r="AL170" s="199">
        <v>0</v>
      </c>
      <c r="AM170" s="199">
        <v>0</v>
      </c>
      <c r="AN170" s="199">
        <v>0</v>
      </c>
      <c r="AO170" s="199">
        <v>0</v>
      </c>
      <c r="AP170" s="199">
        <v>0</v>
      </c>
      <c r="AQ170" s="199">
        <v>0</v>
      </c>
      <c r="AR170" s="199">
        <v>0</v>
      </c>
      <c r="AS170" s="199">
        <v>0</v>
      </c>
      <c r="AT170" s="199">
        <v>0</v>
      </c>
      <c r="AU170" s="199">
        <v>0</v>
      </c>
      <c r="AV170" s="199">
        <v>0</v>
      </c>
      <c r="AW170" s="199">
        <v>0</v>
      </c>
      <c r="AX170" s="199">
        <v>0</v>
      </c>
      <c r="AY170" s="199">
        <v>0</v>
      </c>
      <c r="AZ170" s="199">
        <v>0</v>
      </c>
      <c r="BA170" s="199">
        <v>0</v>
      </c>
      <c r="BB170" s="199">
        <v>0</v>
      </c>
      <c r="BC170" s="199">
        <v>0</v>
      </c>
    </row>
    <row r="171" spans="1:55" s="86" customFormat="1" hidden="1" outlineLevel="1" x14ac:dyDescent="0.2">
      <c r="A171" s="36"/>
      <c r="B171" s="36"/>
      <c r="C171" s="162" t="str">
        <v>RNC a Core líneas alquiladas: Voz: 100</v>
      </c>
      <c r="D171" s="81"/>
      <c r="F171" s="199">
        <v>0</v>
      </c>
      <c r="G171" s="199">
        <v>0</v>
      </c>
      <c r="H171" s="199">
        <v>0</v>
      </c>
      <c r="I171" s="199">
        <v>0</v>
      </c>
      <c r="J171" s="199">
        <v>0</v>
      </c>
      <c r="K171" s="199">
        <v>0</v>
      </c>
      <c r="L171" s="199">
        <v>0</v>
      </c>
      <c r="M171" s="199">
        <v>2.8319607843137256</v>
      </c>
      <c r="N171" s="199">
        <v>1.4232291666666665</v>
      </c>
      <c r="O171" s="199">
        <v>1.4516666666666667</v>
      </c>
      <c r="P171" s="199">
        <v>1.393888888888889</v>
      </c>
      <c r="Q171" s="199">
        <v>1.4232291666666665</v>
      </c>
      <c r="R171" s="199">
        <v>1.4516666666666667</v>
      </c>
      <c r="S171" s="199">
        <v>1.393888888888889</v>
      </c>
      <c r="T171" s="199">
        <v>0</v>
      </c>
      <c r="U171" s="199">
        <v>0</v>
      </c>
      <c r="V171" s="199">
        <v>0</v>
      </c>
      <c r="W171" s="199">
        <v>0</v>
      </c>
      <c r="X171" s="199">
        <v>0</v>
      </c>
      <c r="Y171" s="199">
        <v>0</v>
      </c>
      <c r="Z171" s="199">
        <v>0</v>
      </c>
      <c r="AA171" s="199">
        <v>0</v>
      </c>
      <c r="AB171" s="199">
        <v>0</v>
      </c>
      <c r="AC171" s="199">
        <v>0</v>
      </c>
      <c r="AD171" s="199">
        <v>1E-3</v>
      </c>
      <c r="AE171" s="199">
        <v>5.0000000000000001E-4</v>
      </c>
      <c r="AF171" s="199">
        <v>5.0000000000000001E-4</v>
      </c>
      <c r="AG171" s="199">
        <v>0</v>
      </c>
      <c r="AH171" s="199">
        <v>0</v>
      </c>
      <c r="AI171" s="199">
        <v>0</v>
      </c>
      <c r="AJ171" s="199">
        <v>0</v>
      </c>
      <c r="AK171" s="199">
        <v>0</v>
      </c>
      <c r="AL171" s="199">
        <v>0</v>
      </c>
      <c r="AM171" s="199">
        <v>0</v>
      </c>
      <c r="AN171" s="199">
        <v>0</v>
      </c>
      <c r="AO171" s="199">
        <v>0</v>
      </c>
      <c r="AP171" s="199">
        <v>0</v>
      </c>
      <c r="AQ171" s="199">
        <v>0</v>
      </c>
      <c r="AR171" s="199">
        <v>0</v>
      </c>
      <c r="AS171" s="199">
        <v>0</v>
      </c>
      <c r="AT171" s="199">
        <v>0</v>
      </c>
      <c r="AU171" s="199">
        <v>0</v>
      </c>
      <c r="AV171" s="199">
        <v>0</v>
      </c>
      <c r="AW171" s="199">
        <v>0</v>
      </c>
      <c r="AX171" s="199">
        <v>0</v>
      </c>
      <c r="AY171" s="199">
        <v>0</v>
      </c>
      <c r="AZ171" s="199">
        <v>0</v>
      </c>
      <c r="BA171" s="199">
        <v>0</v>
      </c>
      <c r="BB171" s="199">
        <v>0</v>
      </c>
      <c r="BC171" s="199">
        <v>0</v>
      </c>
    </row>
    <row r="172" spans="1:55" s="86" customFormat="1" hidden="1" outlineLevel="1" x14ac:dyDescent="0.2">
      <c r="A172" s="36"/>
      <c r="B172" s="36"/>
      <c r="C172" s="162" t="str">
        <v>RNC a Core líneas alquiladas: Voz: 1024</v>
      </c>
      <c r="D172" s="81"/>
      <c r="F172" s="199">
        <v>0</v>
      </c>
      <c r="G172" s="199">
        <v>0</v>
      </c>
      <c r="H172" s="199">
        <v>0</v>
      </c>
      <c r="I172" s="199">
        <v>0</v>
      </c>
      <c r="J172" s="199">
        <v>0</v>
      </c>
      <c r="K172" s="199">
        <v>0</v>
      </c>
      <c r="L172" s="199">
        <v>0</v>
      </c>
      <c r="M172" s="199">
        <v>2.8319607843137256</v>
      </c>
      <c r="N172" s="199">
        <v>1.4232291666666665</v>
      </c>
      <c r="O172" s="199">
        <v>1.4516666666666667</v>
      </c>
      <c r="P172" s="199">
        <v>1.393888888888889</v>
      </c>
      <c r="Q172" s="199">
        <v>1.4232291666666665</v>
      </c>
      <c r="R172" s="199">
        <v>1.4516666666666667</v>
      </c>
      <c r="S172" s="199">
        <v>1.393888888888889</v>
      </c>
      <c r="T172" s="199">
        <v>0</v>
      </c>
      <c r="U172" s="199">
        <v>0</v>
      </c>
      <c r="V172" s="199">
        <v>0</v>
      </c>
      <c r="W172" s="199">
        <v>0</v>
      </c>
      <c r="X172" s="199">
        <v>0</v>
      </c>
      <c r="Y172" s="199">
        <v>0</v>
      </c>
      <c r="Z172" s="199">
        <v>0</v>
      </c>
      <c r="AA172" s="199">
        <v>0</v>
      </c>
      <c r="AB172" s="199">
        <v>0</v>
      </c>
      <c r="AC172" s="199">
        <v>0</v>
      </c>
      <c r="AD172" s="199">
        <v>1E-3</v>
      </c>
      <c r="AE172" s="199">
        <v>5.0000000000000001E-4</v>
      </c>
      <c r="AF172" s="199">
        <v>5.0000000000000001E-4</v>
      </c>
      <c r="AG172" s="199">
        <v>0</v>
      </c>
      <c r="AH172" s="199">
        <v>0</v>
      </c>
      <c r="AI172" s="199">
        <v>0</v>
      </c>
      <c r="AJ172" s="199">
        <v>0</v>
      </c>
      <c r="AK172" s="199">
        <v>0</v>
      </c>
      <c r="AL172" s="199">
        <v>0</v>
      </c>
      <c r="AM172" s="199">
        <v>0</v>
      </c>
      <c r="AN172" s="199">
        <v>0</v>
      </c>
      <c r="AO172" s="199">
        <v>0</v>
      </c>
      <c r="AP172" s="199">
        <v>0</v>
      </c>
      <c r="AQ172" s="199">
        <v>0</v>
      </c>
      <c r="AR172" s="199">
        <v>0</v>
      </c>
      <c r="AS172" s="199">
        <v>0</v>
      </c>
      <c r="AT172" s="199">
        <v>0</v>
      </c>
      <c r="AU172" s="199">
        <v>0</v>
      </c>
      <c r="AV172" s="199">
        <v>0</v>
      </c>
      <c r="AW172" s="199">
        <v>0</v>
      </c>
      <c r="AX172" s="199">
        <v>0</v>
      </c>
      <c r="AY172" s="199">
        <v>0</v>
      </c>
      <c r="AZ172" s="199">
        <v>0</v>
      </c>
      <c r="BA172" s="199">
        <v>0</v>
      </c>
      <c r="BB172" s="199">
        <v>0</v>
      </c>
      <c r="BC172" s="199">
        <v>0</v>
      </c>
    </row>
    <row r="173" spans="1:55" s="86" customFormat="1" hidden="1" outlineLevel="1" x14ac:dyDescent="0.2">
      <c r="A173" s="36"/>
      <c r="B173" s="36"/>
      <c r="C173" s="162" t="str">
        <v>RNC a Core líneas alquiladas: Voz: 2488</v>
      </c>
      <c r="D173" s="81"/>
      <c r="F173" s="199">
        <v>0</v>
      </c>
      <c r="G173" s="199">
        <v>0</v>
      </c>
      <c r="H173" s="199">
        <v>0</v>
      </c>
      <c r="I173" s="199">
        <v>0</v>
      </c>
      <c r="J173" s="199">
        <v>0</v>
      </c>
      <c r="K173" s="199">
        <v>0</v>
      </c>
      <c r="L173" s="199">
        <v>0</v>
      </c>
      <c r="M173" s="199">
        <v>2.8319607843137256</v>
      </c>
      <c r="N173" s="199">
        <v>1.4232291666666665</v>
      </c>
      <c r="O173" s="199">
        <v>1.4516666666666667</v>
      </c>
      <c r="P173" s="199">
        <v>1.393888888888889</v>
      </c>
      <c r="Q173" s="199">
        <v>1.4232291666666665</v>
      </c>
      <c r="R173" s="199">
        <v>1.4516666666666667</v>
      </c>
      <c r="S173" s="199">
        <v>1.393888888888889</v>
      </c>
      <c r="T173" s="199">
        <v>0</v>
      </c>
      <c r="U173" s="199">
        <v>0</v>
      </c>
      <c r="V173" s="199">
        <v>0</v>
      </c>
      <c r="W173" s="199">
        <v>0</v>
      </c>
      <c r="X173" s="199">
        <v>0</v>
      </c>
      <c r="Y173" s="199">
        <v>0</v>
      </c>
      <c r="Z173" s="199">
        <v>0</v>
      </c>
      <c r="AA173" s="199">
        <v>0</v>
      </c>
      <c r="AB173" s="199">
        <v>0</v>
      </c>
      <c r="AC173" s="199">
        <v>0</v>
      </c>
      <c r="AD173" s="199">
        <v>1E-3</v>
      </c>
      <c r="AE173" s="199">
        <v>5.0000000000000001E-4</v>
      </c>
      <c r="AF173" s="199">
        <v>5.0000000000000001E-4</v>
      </c>
      <c r="AG173" s="199">
        <v>0</v>
      </c>
      <c r="AH173" s="199">
        <v>0</v>
      </c>
      <c r="AI173" s="199">
        <v>0</v>
      </c>
      <c r="AJ173" s="199">
        <v>0</v>
      </c>
      <c r="AK173" s="199">
        <v>0</v>
      </c>
      <c r="AL173" s="199">
        <v>0</v>
      </c>
      <c r="AM173" s="199">
        <v>0</v>
      </c>
      <c r="AN173" s="199">
        <v>0</v>
      </c>
      <c r="AO173" s="199">
        <v>0</v>
      </c>
      <c r="AP173" s="199">
        <v>0</v>
      </c>
      <c r="AQ173" s="199">
        <v>0</v>
      </c>
      <c r="AR173" s="199">
        <v>0</v>
      </c>
      <c r="AS173" s="199">
        <v>0</v>
      </c>
      <c r="AT173" s="199">
        <v>0</v>
      </c>
      <c r="AU173" s="199">
        <v>0</v>
      </c>
      <c r="AV173" s="199">
        <v>0</v>
      </c>
      <c r="AW173" s="199">
        <v>0</v>
      </c>
      <c r="AX173" s="199">
        <v>0</v>
      </c>
      <c r="AY173" s="199">
        <v>0</v>
      </c>
      <c r="AZ173" s="199">
        <v>0</v>
      </c>
      <c r="BA173" s="199">
        <v>0</v>
      </c>
      <c r="BB173" s="199">
        <v>0</v>
      </c>
      <c r="BC173" s="199">
        <v>0</v>
      </c>
    </row>
    <row r="174" spans="1:55" s="86" customFormat="1" hidden="1" outlineLevel="1" x14ac:dyDescent="0.2">
      <c r="A174" s="36"/>
      <c r="B174" s="36"/>
      <c r="C174" s="162" t="str">
        <v>RNC a Core líneas alquiladas: Datos: 34.4</v>
      </c>
      <c r="D174" s="81"/>
      <c r="F174" s="199">
        <v>0</v>
      </c>
      <c r="G174" s="199">
        <v>0</v>
      </c>
      <c r="H174" s="199">
        <v>0</v>
      </c>
      <c r="I174" s="199">
        <v>0</v>
      </c>
      <c r="J174" s="199">
        <v>0</v>
      </c>
      <c r="K174" s="199">
        <v>0</v>
      </c>
      <c r="L174" s="199">
        <v>0</v>
      </c>
      <c r="M174" s="199">
        <v>0</v>
      </c>
      <c r="N174" s="199">
        <v>0</v>
      </c>
      <c r="O174" s="199">
        <v>0</v>
      </c>
      <c r="P174" s="199">
        <v>0</v>
      </c>
      <c r="Q174" s="199">
        <v>0</v>
      </c>
      <c r="R174" s="199">
        <v>0</v>
      </c>
      <c r="S174" s="199">
        <v>0</v>
      </c>
      <c r="T174" s="199">
        <v>0</v>
      </c>
      <c r="U174" s="199">
        <v>0</v>
      </c>
      <c r="V174" s="199">
        <v>0</v>
      </c>
      <c r="W174" s="199">
        <v>0</v>
      </c>
      <c r="X174" s="199">
        <v>0</v>
      </c>
      <c r="Y174" s="199">
        <v>0</v>
      </c>
      <c r="Z174" s="199">
        <v>0</v>
      </c>
      <c r="AA174" s="199">
        <v>0</v>
      </c>
      <c r="AB174" s="199">
        <v>0</v>
      </c>
      <c r="AC174" s="199">
        <v>0</v>
      </c>
      <c r="AD174" s="199">
        <v>0</v>
      </c>
      <c r="AE174" s="199">
        <v>0</v>
      </c>
      <c r="AF174" s="199">
        <v>0</v>
      </c>
      <c r="AG174" s="199">
        <v>0</v>
      </c>
      <c r="AH174" s="199">
        <v>0</v>
      </c>
      <c r="AI174" s="199">
        <v>0</v>
      </c>
      <c r="AJ174" s="199">
        <v>0</v>
      </c>
      <c r="AK174" s="199">
        <v>1</v>
      </c>
      <c r="AL174" s="199">
        <v>1</v>
      </c>
      <c r="AM174" s="199">
        <v>1</v>
      </c>
      <c r="AN174" s="199">
        <v>0</v>
      </c>
      <c r="AO174" s="199">
        <v>0</v>
      </c>
      <c r="AP174" s="199">
        <v>0</v>
      </c>
      <c r="AQ174" s="199">
        <v>0</v>
      </c>
      <c r="AR174" s="199">
        <v>0</v>
      </c>
      <c r="AS174" s="199">
        <v>0</v>
      </c>
      <c r="AT174" s="199">
        <v>0</v>
      </c>
      <c r="AU174" s="199">
        <v>0</v>
      </c>
      <c r="AV174" s="199">
        <v>0</v>
      </c>
      <c r="AW174" s="199">
        <v>0</v>
      </c>
      <c r="AX174" s="199">
        <v>0</v>
      </c>
      <c r="AY174" s="199">
        <v>0</v>
      </c>
      <c r="AZ174" s="199">
        <v>0</v>
      </c>
      <c r="BA174" s="199">
        <v>0</v>
      </c>
      <c r="BB174" s="199">
        <v>0</v>
      </c>
      <c r="BC174" s="199">
        <v>0</v>
      </c>
    </row>
    <row r="175" spans="1:55" s="86" customFormat="1" hidden="1" outlineLevel="1" x14ac:dyDescent="0.2">
      <c r="A175" s="36"/>
      <c r="B175" s="36"/>
      <c r="C175" s="162" t="str">
        <v>RNC a Core líneas alquiladas: Datos: 155.52</v>
      </c>
      <c r="D175" s="81"/>
      <c r="F175" s="199">
        <v>0</v>
      </c>
      <c r="G175" s="199">
        <v>0</v>
      </c>
      <c r="H175" s="199">
        <v>0</v>
      </c>
      <c r="I175" s="199">
        <v>0</v>
      </c>
      <c r="J175" s="199">
        <v>0</v>
      </c>
      <c r="K175" s="199">
        <v>0</v>
      </c>
      <c r="L175" s="199">
        <v>0</v>
      </c>
      <c r="M175" s="199">
        <v>0</v>
      </c>
      <c r="N175" s="199">
        <v>0</v>
      </c>
      <c r="O175" s="199">
        <v>0</v>
      </c>
      <c r="P175" s="199">
        <v>0</v>
      </c>
      <c r="Q175" s="199">
        <v>0</v>
      </c>
      <c r="R175" s="199">
        <v>0</v>
      </c>
      <c r="S175" s="199">
        <v>0</v>
      </c>
      <c r="T175" s="199">
        <v>0</v>
      </c>
      <c r="U175" s="199">
        <v>0</v>
      </c>
      <c r="V175" s="199">
        <v>0</v>
      </c>
      <c r="W175" s="199">
        <v>0</v>
      </c>
      <c r="X175" s="199">
        <v>0</v>
      </c>
      <c r="Y175" s="199">
        <v>0</v>
      </c>
      <c r="Z175" s="199">
        <v>0</v>
      </c>
      <c r="AA175" s="199">
        <v>0</v>
      </c>
      <c r="AB175" s="199">
        <v>0</v>
      </c>
      <c r="AC175" s="199">
        <v>0</v>
      </c>
      <c r="AD175" s="199">
        <v>0</v>
      </c>
      <c r="AE175" s="199">
        <v>0</v>
      </c>
      <c r="AF175" s="199">
        <v>0</v>
      </c>
      <c r="AG175" s="199">
        <v>0</v>
      </c>
      <c r="AH175" s="199">
        <v>0</v>
      </c>
      <c r="AI175" s="199">
        <v>0</v>
      </c>
      <c r="AJ175" s="199">
        <v>0</v>
      </c>
      <c r="AK175" s="199">
        <v>1</v>
      </c>
      <c r="AL175" s="199">
        <v>1</v>
      </c>
      <c r="AM175" s="199">
        <v>1</v>
      </c>
      <c r="AN175" s="199">
        <v>0</v>
      </c>
      <c r="AO175" s="199">
        <v>0</v>
      </c>
      <c r="AP175" s="199">
        <v>0</v>
      </c>
      <c r="AQ175" s="199">
        <v>0</v>
      </c>
      <c r="AR175" s="199">
        <v>0</v>
      </c>
      <c r="AS175" s="199">
        <v>0</v>
      </c>
      <c r="AT175" s="199">
        <v>0</v>
      </c>
      <c r="AU175" s="199">
        <v>0</v>
      </c>
      <c r="AV175" s="199">
        <v>0</v>
      </c>
      <c r="AW175" s="199">
        <v>0</v>
      </c>
      <c r="AX175" s="199">
        <v>0</v>
      </c>
      <c r="AY175" s="199">
        <v>0</v>
      </c>
      <c r="AZ175" s="199">
        <v>0</v>
      </c>
      <c r="BA175" s="199">
        <v>0</v>
      </c>
      <c r="BB175" s="199">
        <v>0</v>
      </c>
      <c r="BC175" s="199">
        <v>0</v>
      </c>
    </row>
    <row r="176" spans="1:55" s="86" customFormat="1" hidden="1" outlineLevel="1" x14ac:dyDescent="0.2">
      <c r="A176" s="36"/>
      <c r="B176" s="36"/>
      <c r="C176" s="162" t="str">
        <v>RNC a Core líneas alquiladas: Datos: 622.08</v>
      </c>
      <c r="D176" s="81"/>
      <c r="F176" s="199">
        <v>0</v>
      </c>
      <c r="G176" s="199">
        <v>0</v>
      </c>
      <c r="H176" s="199">
        <v>0</v>
      </c>
      <c r="I176" s="199">
        <v>0</v>
      </c>
      <c r="J176" s="199">
        <v>0</v>
      </c>
      <c r="K176" s="199">
        <v>0</v>
      </c>
      <c r="L176" s="199">
        <v>0</v>
      </c>
      <c r="M176" s="199">
        <v>0</v>
      </c>
      <c r="N176" s="199">
        <v>0</v>
      </c>
      <c r="O176" s="199">
        <v>0</v>
      </c>
      <c r="P176" s="199">
        <v>0</v>
      </c>
      <c r="Q176" s="199">
        <v>0</v>
      </c>
      <c r="R176" s="199">
        <v>0</v>
      </c>
      <c r="S176" s="199">
        <v>0</v>
      </c>
      <c r="T176" s="199">
        <v>0</v>
      </c>
      <c r="U176" s="199">
        <v>0</v>
      </c>
      <c r="V176" s="199">
        <v>0</v>
      </c>
      <c r="W176" s="199">
        <v>0</v>
      </c>
      <c r="X176" s="199">
        <v>0</v>
      </c>
      <c r="Y176" s="199">
        <v>0</v>
      </c>
      <c r="Z176" s="199">
        <v>0</v>
      </c>
      <c r="AA176" s="199">
        <v>0</v>
      </c>
      <c r="AB176" s="199">
        <v>0</v>
      </c>
      <c r="AC176" s="199">
        <v>0</v>
      </c>
      <c r="AD176" s="199">
        <v>0</v>
      </c>
      <c r="AE176" s="199">
        <v>0</v>
      </c>
      <c r="AF176" s="199">
        <v>0</v>
      </c>
      <c r="AG176" s="199">
        <v>0</v>
      </c>
      <c r="AH176" s="199">
        <v>0</v>
      </c>
      <c r="AI176" s="199">
        <v>0</v>
      </c>
      <c r="AJ176" s="199">
        <v>0</v>
      </c>
      <c r="AK176" s="199">
        <v>1</v>
      </c>
      <c r="AL176" s="199">
        <v>1</v>
      </c>
      <c r="AM176" s="199">
        <v>1</v>
      </c>
      <c r="AN176" s="199">
        <v>0</v>
      </c>
      <c r="AO176" s="199">
        <v>0</v>
      </c>
      <c r="AP176" s="199">
        <v>0</v>
      </c>
      <c r="AQ176" s="199">
        <v>0</v>
      </c>
      <c r="AR176" s="199">
        <v>0</v>
      </c>
      <c r="AS176" s="199">
        <v>0</v>
      </c>
      <c r="AT176" s="199">
        <v>0</v>
      </c>
      <c r="AU176" s="199">
        <v>0</v>
      </c>
      <c r="AV176" s="199">
        <v>0</v>
      </c>
      <c r="AW176" s="199">
        <v>0</v>
      </c>
      <c r="AX176" s="199">
        <v>0</v>
      </c>
      <c r="AY176" s="199">
        <v>0</v>
      </c>
      <c r="AZ176" s="199">
        <v>0</v>
      </c>
      <c r="BA176" s="199">
        <v>0</v>
      </c>
      <c r="BB176" s="199">
        <v>0</v>
      </c>
      <c r="BC176" s="199">
        <v>0</v>
      </c>
    </row>
    <row r="177" spans="1:55" s="86" customFormat="1" hidden="1" outlineLevel="1" x14ac:dyDescent="0.2">
      <c r="A177" s="36"/>
      <c r="B177" s="36"/>
      <c r="C177" s="162" t="str">
        <v>RNC a Core líneas alquiladas: Datos: 100</v>
      </c>
      <c r="D177" s="81"/>
      <c r="F177" s="199">
        <v>0</v>
      </c>
      <c r="G177" s="199">
        <v>0</v>
      </c>
      <c r="H177" s="199">
        <v>0</v>
      </c>
      <c r="I177" s="199">
        <v>0</v>
      </c>
      <c r="J177" s="199">
        <v>0</v>
      </c>
      <c r="K177" s="199">
        <v>0</v>
      </c>
      <c r="L177" s="199">
        <v>0</v>
      </c>
      <c r="M177" s="199">
        <v>0</v>
      </c>
      <c r="N177" s="199">
        <v>0</v>
      </c>
      <c r="O177" s="199">
        <v>0</v>
      </c>
      <c r="P177" s="199">
        <v>0</v>
      </c>
      <c r="Q177" s="199">
        <v>0</v>
      </c>
      <c r="R177" s="199">
        <v>0</v>
      </c>
      <c r="S177" s="199">
        <v>0</v>
      </c>
      <c r="T177" s="199">
        <v>0</v>
      </c>
      <c r="U177" s="199">
        <v>0</v>
      </c>
      <c r="V177" s="199">
        <v>0</v>
      </c>
      <c r="W177" s="199">
        <v>0</v>
      </c>
      <c r="X177" s="199">
        <v>0</v>
      </c>
      <c r="Y177" s="199">
        <v>0</v>
      </c>
      <c r="Z177" s="199">
        <v>0</v>
      </c>
      <c r="AA177" s="199">
        <v>0</v>
      </c>
      <c r="AB177" s="199">
        <v>0</v>
      </c>
      <c r="AC177" s="199">
        <v>0</v>
      </c>
      <c r="AD177" s="199">
        <v>0</v>
      </c>
      <c r="AE177" s="199">
        <v>0</v>
      </c>
      <c r="AF177" s="199">
        <v>0</v>
      </c>
      <c r="AG177" s="199">
        <v>0</v>
      </c>
      <c r="AH177" s="199">
        <v>0</v>
      </c>
      <c r="AI177" s="199">
        <v>0</v>
      </c>
      <c r="AJ177" s="199">
        <v>0</v>
      </c>
      <c r="AK177" s="199">
        <v>1</v>
      </c>
      <c r="AL177" s="199">
        <v>1</v>
      </c>
      <c r="AM177" s="199">
        <v>1</v>
      </c>
      <c r="AN177" s="199">
        <v>0</v>
      </c>
      <c r="AO177" s="199">
        <v>0</v>
      </c>
      <c r="AP177" s="199">
        <v>0</v>
      </c>
      <c r="AQ177" s="199">
        <v>0</v>
      </c>
      <c r="AR177" s="199">
        <v>0</v>
      </c>
      <c r="AS177" s="199">
        <v>0</v>
      </c>
      <c r="AT177" s="199">
        <v>0</v>
      </c>
      <c r="AU177" s="199">
        <v>0</v>
      </c>
      <c r="AV177" s="199">
        <v>0</v>
      </c>
      <c r="AW177" s="199">
        <v>0</v>
      </c>
      <c r="AX177" s="199">
        <v>0</v>
      </c>
      <c r="AY177" s="199">
        <v>0</v>
      </c>
      <c r="AZ177" s="199">
        <v>0</v>
      </c>
      <c r="BA177" s="199">
        <v>0</v>
      </c>
      <c r="BB177" s="199">
        <v>0</v>
      </c>
      <c r="BC177" s="199">
        <v>0</v>
      </c>
    </row>
    <row r="178" spans="1:55" s="86" customFormat="1" hidden="1" outlineLevel="1" x14ac:dyDescent="0.2">
      <c r="A178" s="36"/>
      <c r="B178" s="36"/>
      <c r="C178" s="162" t="str">
        <v>RNC a Core líneas alquiladas: Datos: 1024</v>
      </c>
      <c r="D178" s="81"/>
      <c r="F178" s="199">
        <v>0</v>
      </c>
      <c r="G178" s="199">
        <v>0</v>
      </c>
      <c r="H178" s="199">
        <v>0</v>
      </c>
      <c r="I178" s="199">
        <v>0</v>
      </c>
      <c r="J178" s="199">
        <v>0</v>
      </c>
      <c r="K178" s="199">
        <v>0</v>
      </c>
      <c r="L178" s="199">
        <v>0</v>
      </c>
      <c r="M178" s="199">
        <v>0</v>
      </c>
      <c r="N178" s="199">
        <v>0</v>
      </c>
      <c r="O178" s="199">
        <v>0</v>
      </c>
      <c r="P178" s="199">
        <v>0</v>
      </c>
      <c r="Q178" s="199">
        <v>0</v>
      </c>
      <c r="R178" s="199">
        <v>0</v>
      </c>
      <c r="S178" s="199">
        <v>0</v>
      </c>
      <c r="T178" s="199">
        <v>0</v>
      </c>
      <c r="U178" s="199">
        <v>0</v>
      </c>
      <c r="V178" s="199">
        <v>0</v>
      </c>
      <c r="W178" s="199">
        <v>0</v>
      </c>
      <c r="X178" s="199">
        <v>0</v>
      </c>
      <c r="Y178" s="199">
        <v>0</v>
      </c>
      <c r="Z178" s="199">
        <v>0</v>
      </c>
      <c r="AA178" s="199">
        <v>0</v>
      </c>
      <c r="AB178" s="199">
        <v>0</v>
      </c>
      <c r="AC178" s="199">
        <v>0</v>
      </c>
      <c r="AD178" s="199">
        <v>0</v>
      </c>
      <c r="AE178" s="199">
        <v>0</v>
      </c>
      <c r="AF178" s="199">
        <v>0</v>
      </c>
      <c r="AG178" s="199">
        <v>0</v>
      </c>
      <c r="AH178" s="199">
        <v>0</v>
      </c>
      <c r="AI178" s="199">
        <v>0</v>
      </c>
      <c r="AJ178" s="199">
        <v>0</v>
      </c>
      <c r="AK178" s="199">
        <v>1</v>
      </c>
      <c r="AL178" s="199">
        <v>1</v>
      </c>
      <c r="AM178" s="199">
        <v>1</v>
      </c>
      <c r="AN178" s="199">
        <v>0</v>
      </c>
      <c r="AO178" s="199">
        <v>0</v>
      </c>
      <c r="AP178" s="199">
        <v>0</v>
      </c>
      <c r="AQ178" s="199">
        <v>0</v>
      </c>
      <c r="AR178" s="199">
        <v>0</v>
      </c>
      <c r="AS178" s="199">
        <v>0</v>
      </c>
      <c r="AT178" s="199">
        <v>0</v>
      </c>
      <c r="AU178" s="199">
        <v>0</v>
      </c>
      <c r="AV178" s="199">
        <v>0</v>
      </c>
      <c r="AW178" s="199">
        <v>0</v>
      </c>
      <c r="AX178" s="199">
        <v>0</v>
      </c>
      <c r="AY178" s="199">
        <v>0</v>
      </c>
      <c r="AZ178" s="199">
        <v>0</v>
      </c>
      <c r="BA178" s="199">
        <v>0</v>
      </c>
      <c r="BB178" s="199">
        <v>0</v>
      </c>
      <c r="BC178" s="199">
        <v>0</v>
      </c>
    </row>
    <row r="179" spans="1:55" s="86" customFormat="1" hidden="1" outlineLevel="1" x14ac:dyDescent="0.2">
      <c r="A179" s="36"/>
      <c r="B179" s="36"/>
      <c r="C179" s="162" t="str">
        <v>RNC a Core líneas alquiladas: Datos: 2488</v>
      </c>
      <c r="D179" s="81"/>
      <c r="F179" s="199">
        <v>0</v>
      </c>
      <c r="G179" s="199">
        <v>0</v>
      </c>
      <c r="H179" s="199">
        <v>0</v>
      </c>
      <c r="I179" s="199">
        <v>0</v>
      </c>
      <c r="J179" s="199">
        <v>0</v>
      </c>
      <c r="K179" s="199">
        <v>0</v>
      </c>
      <c r="L179" s="199">
        <v>0</v>
      </c>
      <c r="M179" s="199">
        <v>0</v>
      </c>
      <c r="N179" s="199">
        <v>0</v>
      </c>
      <c r="O179" s="199">
        <v>0</v>
      </c>
      <c r="P179" s="199">
        <v>0</v>
      </c>
      <c r="Q179" s="199">
        <v>0</v>
      </c>
      <c r="R179" s="199">
        <v>0</v>
      </c>
      <c r="S179" s="199">
        <v>0</v>
      </c>
      <c r="T179" s="199">
        <v>0</v>
      </c>
      <c r="U179" s="199">
        <v>0</v>
      </c>
      <c r="V179" s="199">
        <v>0</v>
      </c>
      <c r="W179" s="199">
        <v>0</v>
      </c>
      <c r="X179" s="199">
        <v>0</v>
      </c>
      <c r="Y179" s="199">
        <v>0</v>
      </c>
      <c r="Z179" s="199">
        <v>0</v>
      </c>
      <c r="AA179" s="199">
        <v>0</v>
      </c>
      <c r="AB179" s="199">
        <v>0</v>
      </c>
      <c r="AC179" s="199">
        <v>0</v>
      </c>
      <c r="AD179" s="199">
        <v>0</v>
      </c>
      <c r="AE179" s="199">
        <v>0</v>
      </c>
      <c r="AF179" s="199">
        <v>0</v>
      </c>
      <c r="AG179" s="199">
        <v>0</v>
      </c>
      <c r="AH179" s="199">
        <v>0</v>
      </c>
      <c r="AI179" s="199">
        <v>0</v>
      </c>
      <c r="AJ179" s="199">
        <v>0</v>
      </c>
      <c r="AK179" s="199">
        <v>1</v>
      </c>
      <c r="AL179" s="199">
        <v>1</v>
      </c>
      <c r="AM179" s="199">
        <v>1</v>
      </c>
      <c r="AN179" s="199">
        <v>0</v>
      </c>
      <c r="AO179" s="199">
        <v>0</v>
      </c>
      <c r="AP179" s="199">
        <v>0</v>
      </c>
      <c r="AQ179" s="199">
        <v>0</v>
      </c>
      <c r="AR179" s="199">
        <v>0</v>
      </c>
      <c r="AS179" s="199">
        <v>0</v>
      </c>
      <c r="AT179" s="199">
        <v>0</v>
      </c>
      <c r="AU179" s="199">
        <v>0</v>
      </c>
      <c r="AV179" s="199">
        <v>0</v>
      </c>
      <c r="AW179" s="199">
        <v>0</v>
      </c>
      <c r="AX179" s="199">
        <v>0</v>
      </c>
      <c r="AY179" s="199">
        <v>0</v>
      </c>
      <c r="AZ179" s="199">
        <v>0</v>
      </c>
      <c r="BA179" s="199">
        <v>0</v>
      </c>
      <c r="BB179" s="199">
        <v>0</v>
      </c>
      <c r="BC179" s="199">
        <v>0</v>
      </c>
    </row>
    <row r="180" spans="1:55" s="86" customFormat="1" hidden="1" outlineLevel="1" x14ac:dyDescent="0.2">
      <c r="A180" s="36"/>
      <c r="B180" s="36"/>
      <c r="C180" s="162" t="str">
        <v>Core a core: líneas alquiladas, TDM:  155</v>
      </c>
      <c r="D180" s="81"/>
      <c r="F180" s="199">
        <v>0.15476648667279411</v>
      </c>
      <c r="G180" s="199">
        <v>4.6667633056640616E-2</v>
      </c>
      <c r="H180" s="199">
        <v>4.760009765625E-2</v>
      </c>
      <c r="I180" s="199">
        <v>4.5705566406249995E-2</v>
      </c>
      <c r="J180" s="199">
        <v>4.6667633056640616E-2</v>
      </c>
      <c r="K180" s="199">
        <v>4.760009765625E-2</v>
      </c>
      <c r="L180" s="199">
        <v>4.5705566406249995E-2</v>
      </c>
      <c r="M180" s="199">
        <v>0.18571978400735292</v>
      </c>
      <c r="N180" s="199">
        <v>5.6001159667968745E-2</v>
      </c>
      <c r="O180" s="199">
        <v>5.71201171875E-2</v>
      </c>
      <c r="P180" s="199">
        <v>5.4846679687500004E-2</v>
      </c>
      <c r="Q180" s="199">
        <v>5.6001159667968745E-2</v>
      </c>
      <c r="R180" s="199">
        <v>5.71201171875E-2</v>
      </c>
      <c r="S180" s="199">
        <v>5.4846679687500004E-2</v>
      </c>
      <c r="T180" s="199">
        <v>0.14208984375</v>
      </c>
      <c r="U180" s="199">
        <v>4.2626953124999999E-2</v>
      </c>
      <c r="V180" s="199">
        <v>4.2626953124999999E-2</v>
      </c>
      <c r="W180" s="199">
        <v>4.2626953124999999E-2</v>
      </c>
      <c r="X180" s="199">
        <v>4.2626953124999999E-2</v>
      </c>
      <c r="Y180" s="199">
        <v>4.2626953124999999E-2</v>
      </c>
      <c r="Z180" s="199">
        <v>4.2626953124999999E-2</v>
      </c>
      <c r="AA180" s="199">
        <v>1.8525403357235983E-4</v>
      </c>
      <c r="AB180" s="199">
        <v>5.5576210071707945E-5</v>
      </c>
      <c r="AC180" s="199">
        <v>5.5576210071707945E-5</v>
      </c>
      <c r="AD180" s="199">
        <v>7.1044921874999995E-5</v>
      </c>
      <c r="AE180" s="199">
        <v>2.1313476562499997E-5</v>
      </c>
      <c r="AF180" s="199">
        <v>2.1313476562499997E-5</v>
      </c>
      <c r="AG180" s="199">
        <v>2.0118518518518518E-6</v>
      </c>
      <c r="AH180" s="199">
        <v>6.0355555555555552E-7</v>
      </c>
      <c r="AI180" s="199">
        <v>6.0355555555555552E-7</v>
      </c>
      <c r="AJ180" s="199">
        <v>0.105</v>
      </c>
      <c r="AK180" s="199">
        <v>0.11249999999999999</v>
      </c>
      <c r="AL180" s="199">
        <v>0.15</v>
      </c>
      <c r="AM180" s="199">
        <v>0</v>
      </c>
      <c r="AN180" s="199">
        <v>0.12</v>
      </c>
      <c r="AO180" s="199">
        <v>0</v>
      </c>
      <c r="AP180" s="199">
        <v>0</v>
      </c>
      <c r="AQ180" s="199">
        <v>0</v>
      </c>
      <c r="AR180" s="199">
        <v>0</v>
      </c>
      <c r="AS180" s="199">
        <v>0</v>
      </c>
      <c r="AT180" s="199">
        <v>0</v>
      </c>
      <c r="AU180" s="199">
        <v>0</v>
      </c>
      <c r="AV180" s="199">
        <v>0</v>
      </c>
      <c r="AW180" s="199">
        <v>0</v>
      </c>
      <c r="AX180" s="199">
        <v>0</v>
      </c>
      <c r="AY180" s="199">
        <v>0</v>
      </c>
      <c r="AZ180" s="199">
        <v>0</v>
      </c>
      <c r="BA180" s="199">
        <v>0</v>
      </c>
      <c r="BB180" s="199">
        <v>0</v>
      </c>
      <c r="BC180" s="199">
        <v>0</v>
      </c>
    </row>
    <row r="181" spans="1:55" s="86" customFormat="1" hidden="1" outlineLevel="1" x14ac:dyDescent="0.2">
      <c r="A181" s="36"/>
      <c r="B181" s="36"/>
      <c r="C181" s="162" t="str">
        <v>Core a core: líneas alquiladas, TDM:  622</v>
      </c>
      <c r="D181" s="81"/>
      <c r="F181" s="199">
        <v>0.15476648667279411</v>
      </c>
      <c r="G181" s="199">
        <v>4.6667633056640616E-2</v>
      </c>
      <c r="H181" s="199">
        <v>4.760009765625E-2</v>
      </c>
      <c r="I181" s="199">
        <v>4.5705566406249995E-2</v>
      </c>
      <c r="J181" s="199">
        <v>4.6667633056640616E-2</v>
      </c>
      <c r="K181" s="199">
        <v>4.760009765625E-2</v>
      </c>
      <c r="L181" s="199">
        <v>4.5705566406249995E-2</v>
      </c>
      <c r="M181" s="199">
        <v>0.18571978400735292</v>
      </c>
      <c r="N181" s="199">
        <v>5.6001159667968745E-2</v>
      </c>
      <c r="O181" s="199">
        <v>5.71201171875E-2</v>
      </c>
      <c r="P181" s="199">
        <v>5.4846679687500004E-2</v>
      </c>
      <c r="Q181" s="199">
        <v>5.6001159667968745E-2</v>
      </c>
      <c r="R181" s="199">
        <v>5.71201171875E-2</v>
      </c>
      <c r="S181" s="199">
        <v>5.4846679687500004E-2</v>
      </c>
      <c r="T181" s="199">
        <v>0.14208984375</v>
      </c>
      <c r="U181" s="199">
        <v>4.2626953124999999E-2</v>
      </c>
      <c r="V181" s="199">
        <v>4.2626953124999999E-2</v>
      </c>
      <c r="W181" s="199">
        <v>4.2626953124999999E-2</v>
      </c>
      <c r="X181" s="199">
        <v>4.2626953124999999E-2</v>
      </c>
      <c r="Y181" s="199">
        <v>4.2626953124999999E-2</v>
      </c>
      <c r="Z181" s="199">
        <v>4.2626953124999999E-2</v>
      </c>
      <c r="AA181" s="199">
        <v>1.8525403357235983E-4</v>
      </c>
      <c r="AB181" s="199">
        <v>5.5576210071707945E-5</v>
      </c>
      <c r="AC181" s="199">
        <v>5.5576210071707945E-5</v>
      </c>
      <c r="AD181" s="199">
        <v>7.1044921874999995E-5</v>
      </c>
      <c r="AE181" s="199">
        <v>2.1313476562499997E-5</v>
      </c>
      <c r="AF181" s="199">
        <v>2.1313476562499997E-5</v>
      </c>
      <c r="AG181" s="199">
        <v>2.0118518518518518E-6</v>
      </c>
      <c r="AH181" s="199">
        <v>6.0355555555555552E-7</v>
      </c>
      <c r="AI181" s="199">
        <v>6.0355555555555552E-7</v>
      </c>
      <c r="AJ181" s="199">
        <v>0.105</v>
      </c>
      <c r="AK181" s="199">
        <v>0.11249999999999999</v>
      </c>
      <c r="AL181" s="199">
        <v>0.15</v>
      </c>
      <c r="AM181" s="199">
        <v>0</v>
      </c>
      <c r="AN181" s="199">
        <v>0.12</v>
      </c>
      <c r="AO181" s="199">
        <v>0</v>
      </c>
      <c r="AP181" s="199">
        <v>0</v>
      </c>
      <c r="AQ181" s="199">
        <v>0</v>
      </c>
      <c r="AR181" s="199">
        <v>0</v>
      </c>
      <c r="AS181" s="199">
        <v>0</v>
      </c>
      <c r="AT181" s="199">
        <v>0</v>
      </c>
      <c r="AU181" s="199">
        <v>0</v>
      </c>
      <c r="AV181" s="199">
        <v>0</v>
      </c>
      <c r="AW181" s="199">
        <v>0</v>
      </c>
      <c r="AX181" s="199">
        <v>0</v>
      </c>
      <c r="AY181" s="199">
        <v>0</v>
      </c>
      <c r="AZ181" s="199">
        <v>0</v>
      </c>
      <c r="BA181" s="199">
        <v>0</v>
      </c>
      <c r="BB181" s="199">
        <v>0</v>
      </c>
      <c r="BC181" s="199">
        <v>0</v>
      </c>
    </row>
    <row r="182" spans="1:55" s="86" customFormat="1" hidden="1" outlineLevel="1" x14ac:dyDescent="0.2">
      <c r="A182" s="36"/>
      <c r="B182" s="36"/>
      <c r="C182" s="162" t="str">
        <v>Core a core: líneas alquiladas, TDM:  2488</v>
      </c>
      <c r="D182" s="81"/>
      <c r="F182" s="199">
        <v>0.15476648667279411</v>
      </c>
      <c r="G182" s="199">
        <v>4.6667633056640616E-2</v>
      </c>
      <c r="H182" s="199">
        <v>4.760009765625E-2</v>
      </c>
      <c r="I182" s="199">
        <v>4.5705566406249995E-2</v>
      </c>
      <c r="J182" s="199">
        <v>4.6667633056640616E-2</v>
      </c>
      <c r="K182" s="199">
        <v>4.760009765625E-2</v>
      </c>
      <c r="L182" s="199">
        <v>4.5705566406249995E-2</v>
      </c>
      <c r="M182" s="199">
        <v>0.18571978400735292</v>
      </c>
      <c r="N182" s="199">
        <v>5.6001159667968745E-2</v>
      </c>
      <c r="O182" s="199">
        <v>5.71201171875E-2</v>
      </c>
      <c r="P182" s="199">
        <v>5.4846679687500004E-2</v>
      </c>
      <c r="Q182" s="199">
        <v>5.6001159667968745E-2</v>
      </c>
      <c r="R182" s="199">
        <v>5.71201171875E-2</v>
      </c>
      <c r="S182" s="199">
        <v>5.4846679687500004E-2</v>
      </c>
      <c r="T182" s="199">
        <v>0.14208984375</v>
      </c>
      <c r="U182" s="199">
        <v>4.2626953124999999E-2</v>
      </c>
      <c r="V182" s="199">
        <v>4.2626953124999999E-2</v>
      </c>
      <c r="W182" s="199">
        <v>4.2626953124999999E-2</v>
      </c>
      <c r="X182" s="199">
        <v>4.2626953124999999E-2</v>
      </c>
      <c r="Y182" s="199">
        <v>4.2626953124999999E-2</v>
      </c>
      <c r="Z182" s="199">
        <v>4.2626953124999999E-2</v>
      </c>
      <c r="AA182" s="199">
        <v>1.8525403357235983E-4</v>
      </c>
      <c r="AB182" s="199">
        <v>5.5576210071707945E-5</v>
      </c>
      <c r="AC182" s="199">
        <v>5.5576210071707945E-5</v>
      </c>
      <c r="AD182" s="199">
        <v>7.1044921874999995E-5</v>
      </c>
      <c r="AE182" s="199">
        <v>2.1313476562499997E-5</v>
      </c>
      <c r="AF182" s="199">
        <v>2.1313476562499997E-5</v>
      </c>
      <c r="AG182" s="199">
        <v>2.0118518518518518E-6</v>
      </c>
      <c r="AH182" s="199">
        <v>6.0355555555555552E-7</v>
      </c>
      <c r="AI182" s="199">
        <v>6.0355555555555552E-7</v>
      </c>
      <c r="AJ182" s="199">
        <v>0.105</v>
      </c>
      <c r="AK182" s="199">
        <v>0.11249999999999999</v>
      </c>
      <c r="AL182" s="199">
        <v>0.15</v>
      </c>
      <c r="AM182" s="199">
        <v>0</v>
      </c>
      <c r="AN182" s="199">
        <v>0.12</v>
      </c>
      <c r="AO182" s="199">
        <v>0</v>
      </c>
      <c r="AP182" s="199">
        <v>0</v>
      </c>
      <c r="AQ182" s="199">
        <v>0</v>
      </c>
      <c r="AR182" s="199">
        <v>0</v>
      </c>
      <c r="AS182" s="199">
        <v>0</v>
      </c>
      <c r="AT182" s="199">
        <v>0</v>
      </c>
      <c r="AU182" s="199">
        <v>0</v>
      </c>
      <c r="AV182" s="199">
        <v>0</v>
      </c>
      <c r="AW182" s="199">
        <v>0</v>
      </c>
      <c r="AX182" s="199">
        <v>0</v>
      </c>
      <c r="AY182" s="199">
        <v>0</v>
      </c>
      <c r="AZ182" s="199">
        <v>0</v>
      </c>
      <c r="BA182" s="199">
        <v>0</v>
      </c>
      <c r="BB182" s="199">
        <v>0</v>
      </c>
      <c r="BC182" s="199">
        <v>0</v>
      </c>
    </row>
    <row r="183" spans="1:55" s="86" customFormat="1" hidden="1" outlineLevel="1" x14ac:dyDescent="0.2">
      <c r="A183" s="36"/>
      <c r="B183" s="36"/>
      <c r="C183" s="162" t="str">
        <v>Core a core: líneas alquiladas, Ethernet:  1000</v>
      </c>
      <c r="D183" s="81"/>
      <c r="F183" s="199">
        <v>0.15476648667279411</v>
      </c>
      <c r="G183" s="199">
        <v>4.6667633056640616E-2</v>
      </c>
      <c r="H183" s="199">
        <v>4.760009765625E-2</v>
      </c>
      <c r="I183" s="199">
        <v>4.5705566406249995E-2</v>
      </c>
      <c r="J183" s="199">
        <v>4.6667633056640616E-2</v>
      </c>
      <c r="K183" s="199">
        <v>4.760009765625E-2</v>
      </c>
      <c r="L183" s="199">
        <v>4.5705566406249995E-2</v>
      </c>
      <c r="M183" s="199">
        <v>0.18571978400735292</v>
      </c>
      <c r="N183" s="199">
        <v>5.6001159667968745E-2</v>
      </c>
      <c r="O183" s="199">
        <v>5.71201171875E-2</v>
      </c>
      <c r="P183" s="199">
        <v>5.4846679687500004E-2</v>
      </c>
      <c r="Q183" s="199">
        <v>5.6001159667968745E-2</v>
      </c>
      <c r="R183" s="199">
        <v>5.71201171875E-2</v>
      </c>
      <c r="S183" s="199">
        <v>5.4846679687500004E-2</v>
      </c>
      <c r="T183" s="199">
        <v>0.14208984375</v>
      </c>
      <c r="U183" s="199">
        <v>4.2626953124999999E-2</v>
      </c>
      <c r="V183" s="199">
        <v>4.2626953124999999E-2</v>
      </c>
      <c r="W183" s="199">
        <v>4.2626953124999999E-2</v>
      </c>
      <c r="X183" s="199">
        <v>4.2626953124999999E-2</v>
      </c>
      <c r="Y183" s="199">
        <v>4.2626953124999999E-2</v>
      </c>
      <c r="Z183" s="199">
        <v>4.2626953124999999E-2</v>
      </c>
      <c r="AA183" s="199">
        <v>1.8525403357235983E-4</v>
      </c>
      <c r="AB183" s="199">
        <v>5.5576210071707945E-5</v>
      </c>
      <c r="AC183" s="199">
        <v>5.5576210071707945E-5</v>
      </c>
      <c r="AD183" s="199">
        <v>7.1044921874999995E-5</v>
      </c>
      <c r="AE183" s="199">
        <v>2.1313476562499997E-5</v>
      </c>
      <c r="AF183" s="199">
        <v>2.1313476562499997E-5</v>
      </c>
      <c r="AG183" s="199">
        <v>2.0118518518518518E-6</v>
      </c>
      <c r="AH183" s="199">
        <v>6.0355555555555552E-7</v>
      </c>
      <c r="AI183" s="199">
        <v>6.0355555555555552E-7</v>
      </c>
      <c r="AJ183" s="199">
        <v>0.105</v>
      </c>
      <c r="AK183" s="199">
        <v>0.11249999999999999</v>
      </c>
      <c r="AL183" s="199">
        <v>0.15</v>
      </c>
      <c r="AM183" s="199">
        <v>0</v>
      </c>
      <c r="AN183" s="199">
        <v>0.12</v>
      </c>
      <c r="AO183" s="199">
        <v>0</v>
      </c>
      <c r="AP183" s="199">
        <v>0</v>
      </c>
      <c r="AQ183" s="199">
        <v>0</v>
      </c>
      <c r="AR183" s="199">
        <v>0</v>
      </c>
      <c r="AS183" s="199">
        <v>0</v>
      </c>
      <c r="AT183" s="199">
        <v>0</v>
      </c>
      <c r="AU183" s="199">
        <v>0</v>
      </c>
      <c r="AV183" s="199">
        <v>0</v>
      </c>
      <c r="AW183" s="199">
        <v>0</v>
      </c>
      <c r="AX183" s="199">
        <v>0</v>
      </c>
      <c r="AY183" s="199">
        <v>0</v>
      </c>
      <c r="AZ183" s="199">
        <v>0</v>
      </c>
      <c r="BA183" s="199">
        <v>0</v>
      </c>
      <c r="BB183" s="199">
        <v>0</v>
      </c>
      <c r="BC183" s="199">
        <v>0</v>
      </c>
    </row>
    <row r="184" spans="1:55" s="86" customFormat="1" hidden="1" outlineLevel="1" x14ac:dyDescent="0.2">
      <c r="A184" s="36"/>
      <c r="B184" s="36"/>
      <c r="C184" s="162" t="str">
        <v>Core a core: líneas alquiladas, Ethernet:  2500</v>
      </c>
      <c r="D184" s="81"/>
      <c r="F184" s="199">
        <v>0.15476648667279411</v>
      </c>
      <c r="G184" s="199">
        <v>4.6667633056640616E-2</v>
      </c>
      <c r="H184" s="199">
        <v>4.760009765625E-2</v>
      </c>
      <c r="I184" s="199">
        <v>4.5705566406249995E-2</v>
      </c>
      <c r="J184" s="199">
        <v>4.6667633056640616E-2</v>
      </c>
      <c r="K184" s="199">
        <v>4.760009765625E-2</v>
      </c>
      <c r="L184" s="199">
        <v>4.5705566406249995E-2</v>
      </c>
      <c r="M184" s="199">
        <v>0.18571978400735292</v>
      </c>
      <c r="N184" s="199">
        <v>5.6001159667968745E-2</v>
      </c>
      <c r="O184" s="199">
        <v>5.71201171875E-2</v>
      </c>
      <c r="P184" s="199">
        <v>5.4846679687500004E-2</v>
      </c>
      <c r="Q184" s="199">
        <v>5.6001159667968745E-2</v>
      </c>
      <c r="R184" s="199">
        <v>5.71201171875E-2</v>
      </c>
      <c r="S184" s="199">
        <v>5.4846679687500004E-2</v>
      </c>
      <c r="T184" s="199">
        <v>0.14208984375</v>
      </c>
      <c r="U184" s="199">
        <v>4.2626953124999999E-2</v>
      </c>
      <c r="V184" s="199">
        <v>4.2626953124999999E-2</v>
      </c>
      <c r="W184" s="199">
        <v>4.2626953124999999E-2</v>
      </c>
      <c r="X184" s="199">
        <v>4.2626953124999999E-2</v>
      </c>
      <c r="Y184" s="199">
        <v>4.2626953124999999E-2</v>
      </c>
      <c r="Z184" s="199">
        <v>4.2626953124999999E-2</v>
      </c>
      <c r="AA184" s="199">
        <v>1.8525403357235983E-4</v>
      </c>
      <c r="AB184" s="199">
        <v>5.5576210071707945E-5</v>
      </c>
      <c r="AC184" s="199">
        <v>5.5576210071707945E-5</v>
      </c>
      <c r="AD184" s="199">
        <v>7.1044921874999995E-5</v>
      </c>
      <c r="AE184" s="199">
        <v>2.1313476562499997E-5</v>
      </c>
      <c r="AF184" s="199">
        <v>2.1313476562499997E-5</v>
      </c>
      <c r="AG184" s="199">
        <v>2.0118518518518518E-6</v>
      </c>
      <c r="AH184" s="199">
        <v>6.0355555555555552E-7</v>
      </c>
      <c r="AI184" s="199">
        <v>6.0355555555555552E-7</v>
      </c>
      <c r="AJ184" s="199">
        <v>0.105</v>
      </c>
      <c r="AK184" s="199">
        <v>0.11249999999999999</v>
      </c>
      <c r="AL184" s="199">
        <v>0.15</v>
      </c>
      <c r="AM184" s="199">
        <v>0</v>
      </c>
      <c r="AN184" s="199">
        <v>0.12</v>
      </c>
      <c r="AO184" s="199">
        <v>0</v>
      </c>
      <c r="AP184" s="199">
        <v>0</v>
      </c>
      <c r="AQ184" s="199">
        <v>0</v>
      </c>
      <c r="AR184" s="199">
        <v>0</v>
      </c>
      <c r="AS184" s="199">
        <v>0</v>
      </c>
      <c r="AT184" s="199">
        <v>0</v>
      </c>
      <c r="AU184" s="199">
        <v>0</v>
      </c>
      <c r="AV184" s="199">
        <v>0</v>
      </c>
      <c r="AW184" s="199">
        <v>0</v>
      </c>
      <c r="AX184" s="199">
        <v>0</v>
      </c>
      <c r="AY184" s="199">
        <v>0</v>
      </c>
      <c r="AZ184" s="199">
        <v>0</v>
      </c>
      <c r="BA184" s="199">
        <v>0</v>
      </c>
      <c r="BB184" s="199">
        <v>0</v>
      </c>
      <c r="BC184" s="199">
        <v>0</v>
      </c>
    </row>
    <row r="185" spans="1:55" s="86" customFormat="1" hidden="1" outlineLevel="1" x14ac:dyDescent="0.2">
      <c r="A185" s="36"/>
      <c r="B185" s="36"/>
      <c r="C185" s="162" t="str">
        <v>Core a core: líneas alquiladas, Ethernet:  10000</v>
      </c>
      <c r="D185" s="81"/>
      <c r="F185" s="199">
        <v>0.15476648667279411</v>
      </c>
      <c r="G185" s="199">
        <v>4.6667633056640616E-2</v>
      </c>
      <c r="H185" s="199">
        <v>4.760009765625E-2</v>
      </c>
      <c r="I185" s="199">
        <v>4.5705566406249995E-2</v>
      </c>
      <c r="J185" s="199">
        <v>4.6667633056640616E-2</v>
      </c>
      <c r="K185" s="199">
        <v>4.760009765625E-2</v>
      </c>
      <c r="L185" s="199">
        <v>4.5705566406249995E-2</v>
      </c>
      <c r="M185" s="199">
        <v>0.18571978400735292</v>
      </c>
      <c r="N185" s="199">
        <v>5.6001159667968745E-2</v>
      </c>
      <c r="O185" s="199">
        <v>5.71201171875E-2</v>
      </c>
      <c r="P185" s="199">
        <v>5.4846679687500004E-2</v>
      </c>
      <c r="Q185" s="199">
        <v>5.6001159667968745E-2</v>
      </c>
      <c r="R185" s="199">
        <v>5.71201171875E-2</v>
      </c>
      <c r="S185" s="199">
        <v>5.4846679687500004E-2</v>
      </c>
      <c r="T185" s="199">
        <v>0.14208984375</v>
      </c>
      <c r="U185" s="199">
        <v>4.2626953124999999E-2</v>
      </c>
      <c r="V185" s="199">
        <v>4.2626953124999999E-2</v>
      </c>
      <c r="W185" s="199">
        <v>4.2626953124999999E-2</v>
      </c>
      <c r="X185" s="199">
        <v>4.2626953124999999E-2</v>
      </c>
      <c r="Y185" s="199">
        <v>4.2626953124999999E-2</v>
      </c>
      <c r="Z185" s="199">
        <v>4.2626953124999999E-2</v>
      </c>
      <c r="AA185" s="199">
        <v>1.8525403357235983E-4</v>
      </c>
      <c r="AB185" s="199">
        <v>5.5576210071707945E-5</v>
      </c>
      <c r="AC185" s="199">
        <v>5.5576210071707945E-5</v>
      </c>
      <c r="AD185" s="199">
        <v>7.1044921874999995E-5</v>
      </c>
      <c r="AE185" s="199">
        <v>2.1313476562499997E-5</v>
      </c>
      <c r="AF185" s="199">
        <v>2.1313476562499997E-5</v>
      </c>
      <c r="AG185" s="199">
        <v>2.0118518518518518E-6</v>
      </c>
      <c r="AH185" s="199">
        <v>6.0355555555555552E-7</v>
      </c>
      <c r="AI185" s="199">
        <v>6.0355555555555552E-7</v>
      </c>
      <c r="AJ185" s="199">
        <v>0.105</v>
      </c>
      <c r="AK185" s="199">
        <v>0.11249999999999999</v>
      </c>
      <c r="AL185" s="199">
        <v>0.15</v>
      </c>
      <c r="AM185" s="199">
        <v>0</v>
      </c>
      <c r="AN185" s="199">
        <v>0.12</v>
      </c>
      <c r="AO185" s="199">
        <v>0</v>
      </c>
      <c r="AP185" s="199">
        <v>0</v>
      </c>
      <c r="AQ185" s="199">
        <v>0</v>
      </c>
      <c r="AR185" s="199">
        <v>0</v>
      </c>
      <c r="AS185" s="199">
        <v>0</v>
      </c>
      <c r="AT185" s="199">
        <v>0</v>
      </c>
      <c r="AU185" s="199">
        <v>0</v>
      </c>
      <c r="AV185" s="199">
        <v>0</v>
      </c>
      <c r="AW185" s="199">
        <v>0</v>
      </c>
      <c r="AX185" s="199">
        <v>0</v>
      </c>
      <c r="AY185" s="199">
        <v>0</v>
      </c>
      <c r="AZ185" s="199">
        <v>0</v>
      </c>
      <c r="BA185" s="199">
        <v>0</v>
      </c>
      <c r="BB185" s="199">
        <v>0</v>
      </c>
      <c r="BC185" s="199">
        <v>0</v>
      </c>
    </row>
    <row r="186" spans="1:55" s="86" customFormat="1" hidden="1" outlineLevel="1" x14ac:dyDescent="0.2">
      <c r="A186" s="36"/>
      <c r="B186" s="36"/>
      <c r="C186" s="162" t="str">
        <v>Anillo core, puntos de acceso (ADM/multiplexadores): 155</v>
      </c>
      <c r="D186" s="81"/>
      <c r="F186" s="199">
        <v>0.15476648667279411</v>
      </c>
      <c r="G186" s="199">
        <v>4.6667633056640616E-2</v>
      </c>
      <c r="H186" s="199">
        <v>4.760009765625E-2</v>
      </c>
      <c r="I186" s="199">
        <v>4.5705566406249995E-2</v>
      </c>
      <c r="J186" s="199">
        <v>4.6667633056640616E-2</v>
      </c>
      <c r="K186" s="199">
        <v>4.760009765625E-2</v>
      </c>
      <c r="L186" s="199">
        <v>4.5705566406249995E-2</v>
      </c>
      <c r="M186" s="199">
        <v>0.18571978400735292</v>
      </c>
      <c r="N186" s="199">
        <v>5.6001159667968745E-2</v>
      </c>
      <c r="O186" s="199">
        <v>5.71201171875E-2</v>
      </c>
      <c r="P186" s="199">
        <v>5.4846679687500004E-2</v>
      </c>
      <c r="Q186" s="199">
        <v>5.6001159667968745E-2</v>
      </c>
      <c r="R186" s="199">
        <v>5.71201171875E-2</v>
      </c>
      <c r="S186" s="199">
        <v>5.4846679687500004E-2</v>
      </c>
      <c r="T186" s="199">
        <v>0.14208984375</v>
      </c>
      <c r="U186" s="199">
        <v>4.2626953124999999E-2</v>
      </c>
      <c r="V186" s="199">
        <v>4.2626953124999999E-2</v>
      </c>
      <c r="W186" s="199">
        <v>4.2626953124999999E-2</v>
      </c>
      <c r="X186" s="199">
        <v>4.2626953124999999E-2</v>
      </c>
      <c r="Y186" s="199">
        <v>4.2626953124999999E-2</v>
      </c>
      <c r="Z186" s="199">
        <v>4.2626953124999999E-2</v>
      </c>
      <c r="AA186" s="199">
        <v>1.8525403357235983E-4</v>
      </c>
      <c r="AB186" s="199">
        <v>5.5576210071707945E-5</v>
      </c>
      <c r="AC186" s="199">
        <v>5.5576210071707945E-5</v>
      </c>
      <c r="AD186" s="199">
        <v>7.1044921874999995E-5</v>
      </c>
      <c r="AE186" s="199">
        <v>2.1313476562499997E-5</v>
      </c>
      <c r="AF186" s="199">
        <v>2.1313476562499997E-5</v>
      </c>
      <c r="AG186" s="199">
        <v>2.0118518518518518E-6</v>
      </c>
      <c r="AH186" s="199">
        <v>6.0355555555555552E-7</v>
      </c>
      <c r="AI186" s="199">
        <v>6.0355555555555552E-7</v>
      </c>
      <c r="AJ186" s="199">
        <v>0.105</v>
      </c>
      <c r="AK186" s="199">
        <v>0.11249999999999999</v>
      </c>
      <c r="AL186" s="199">
        <v>0.15</v>
      </c>
      <c r="AM186" s="199">
        <v>0</v>
      </c>
      <c r="AN186" s="199">
        <v>0.12</v>
      </c>
      <c r="AO186" s="199">
        <v>0</v>
      </c>
      <c r="AP186" s="199">
        <v>0</v>
      </c>
      <c r="AQ186" s="199">
        <v>0</v>
      </c>
      <c r="AR186" s="199">
        <v>0</v>
      </c>
      <c r="AS186" s="199">
        <v>0</v>
      </c>
      <c r="AT186" s="199">
        <v>0</v>
      </c>
      <c r="AU186" s="199">
        <v>0</v>
      </c>
      <c r="AV186" s="199">
        <v>0</v>
      </c>
      <c r="AW186" s="199">
        <v>0</v>
      </c>
      <c r="AX186" s="199">
        <v>0</v>
      </c>
      <c r="AY186" s="199">
        <v>0</v>
      </c>
      <c r="AZ186" s="199">
        <v>0</v>
      </c>
      <c r="BA186" s="199">
        <v>0</v>
      </c>
      <c r="BB186" s="199">
        <v>0</v>
      </c>
      <c r="BC186" s="199">
        <v>0</v>
      </c>
    </row>
    <row r="187" spans="1:55" s="86" customFormat="1" hidden="1" outlineLevel="1" x14ac:dyDescent="0.2">
      <c r="A187" s="36"/>
      <c r="B187" s="36"/>
      <c r="C187" s="162" t="str">
        <v>Anillo core, puntos de acceso (ADM/multiplexadores): 622</v>
      </c>
      <c r="D187" s="81"/>
      <c r="F187" s="199">
        <v>0.15476648667279411</v>
      </c>
      <c r="G187" s="199">
        <v>4.6667633056640616E-2</v>
      </c>
      <c r="H187" s="199">
        <v>4.760009765625E-2</v>
      </c>
      <c r="I187" s="199">
        <v>4.5705566406249995E-2</v>
      </c>
      <c r="J187" s="199">
        <v>4.6667633056640616E-2</v>
      </c>
      <c r="K187" s="199">
        <v>4.760009765625E-2</v>
      </c>
      <c r="L187" s="199">
        <v>4.5705566406249995E-2</v>
      </c>
      <c r="M187" s="199">
        <v>0.18571978400735292</v>
      </c>
      <c r="N187" s="199">
        <v>5.6001159667968745E-2</v>
      </c>
      <c r="O187" s="199">
        <v>5.71201171875E-2</v>
      </c>
      <c r="P187" s="199">
        <v>5.4846679687500004E-2</v>
      </c>
      <c r="Q187" s="199">
        <v>5.6001159667968745E-2</v>
      </c>
      <c r="R187" s="199">
        <v>5.71201171875E-2</v>
      </c>
      <c r="S187" s="199">
        <v>5.4846679687500004E-2</v>
      </c>
      <c r="T187" s="199">
        <v>0.14208984375</v>
      </c>
      <c r="U187" s="199">
        <v>4.2626953124999999E-2</v>
      </c>
      <c r="V187" s="199">
        <v>4.2626953124999999E-2</v>
      </c>
      <c r="W187" s="199">
        <v>4.2626953124999999E-2</v>
      </c>
      <c r="X187" s="199">
        <v>4.2626953124999999E-2</v>
      </c>
      <c r="Y187" s="199">
        <v>4.2626953124999999E-2</v>
      </c>
      <c r="Z187" s="199">
        <v>4.2626953124999999E-2</v>
      </c>
      <c r="AA187" s="199">
        <v>1.8525403357235983E-4</v>
      </c>
      <c r="AB187" s="199">
        <v>5.5576210071707945E-5</v>
      </c>
      <c r="AC187" s="199">
        <v>5.5576210071707945E-5</v>
      </c>
      <c r="AD187" s="199">
        <v>7.1044921874999995E-5</v>
      </c>
      <c r="AE187" s="199">
        <v>2.1313476562499997E-5</v>
      </c>
      <c r="AF187" s="199">
        <v>2.1313476562499997E-5</v>
      </c>
      <c r="AG187" s="199">
        <v>2.0118518518518518E-6</v>
      </c>
      <c r="AH187" s="199">
        <v>6.0355555555555552E-7</v>
      </c>
      <c r="AI187" s="199">
        <v>6.0355555555555552E-7</v>
      </c>
      <c r="AJ187" s="199">
        <v>0.105</v>
      </c>
      <c r="AK187" s="199">
        <v>0.11249999999999999</v>
      </c>
      <c r="AL187" s="199">
        <v>0.15</v>
      </c>
      <c r="AM187" s="199">
        <v>0</v>
      </c>
      <c r="AN187" s="199">
        <v>0.12</v>
      </c>
      <c r="AO187" s="199">
        <v>0</v>
      </c>
      <c r="AP187" s="199">
        <v>0</v>
      </c>
      <c r="AQ187" s="199">
        <v>0</v>
      </c>
      <c r="AR187" s="199">
        <v>0</v>
      </c>
      <c r="AS187" s="199">
        <v>0</v>
      </c>
      <c r="AT187" s="199">
        <v>0</v>
      </c>
      <c r="AU187" s="199">
        <v>0</v>
      </c>
      <c r="AV187" s="199">
        <v>0</v>
      </c>
      <c r="AW187" s="199">
        <v>0</v>
      </c>
      <c r="AX187" s="199">
        <v>0</v>
      </c>
      <c r="AY187" s="199">
        <v>0</v>
      </c>
      <c r="AZ187" s="199">
        <v>0</v>
      </c>
      <c r="BA187" s="199">
        <v>0</v>
      </c>
      <c r="BB187" s="199">
        <v>0</v>
      </c>
      <c r="BC187" s="199">
        <v>0</v>
      </c>
    </row>
    <row r="188" spans="1:55" s="86" customFormat="1" hidden="1" outlineLevel="1" x14ac:dyDescent="0.2">
      <c r="A188" s="36"/>
      <c r="B188" s="36"/>
      <c r="C188" s="162" t="str">
        <v>Anillo core, puntos de acceso (ADM/multiplexadores): 2488</v>
      </c>
      <c r="D188" s="81"/>
      <c r="F188" s="199">
        <v>0.15476648667279411</v>
      </c>
      <c r="G188" s="199">
        <v>4.6667633056640616E-2</v>
      </c>
      <c r="H188" s="199">
        <v>4.760009765625E-2</v>
      </c>
      <c r="I188" s="199">
        <v>4.5705566406249995E-2</v>
      </c>
      <c r="J188" s="199">
        <v>4.6667633056640616E-2</v>
      </c>
      <c r="K188" s="199">
        <v>4.760009765625E-2</v>
      </c>
      <c r="L188" s="199">
        <v>4.5705566406249995E-2</v>
      </c>
      <c r="M188" s="199">
        <v>0.18571978400735292</v>
      </c>
      <c r="N188" s="199">
        <v>5.6001159667968745E-2</v>
      </c>
      <c r="O188" s="199">
        <v>5.71201171875E-2</v>
      </c>
      <c r="P188" s="199">
        <v>5.4846679687500004E-2</v>
      </c>
      <c r="Q188" s="199">
        <v>5.6001159667968745E-2</v>
      </c>
      <c r="R188" s="199">
        <v>5.71201171875E-2</v>
      </c>
      <c r="S188" s="199">
        <v>5.4846679687500004E-2</v>
      </c>
      <c r="T188" s="199">
        <v>0.14208984375</v>
      </c>
      <c r="U188" s="199">
        <v>4.2626953124999999E-2</v>
      </c>
      <c r="V188" s="199">
        <v>4.2626953124999999E-2</v>
      </c>
      <c r="W188" s="199">
        <v>4.2626953124999999E-2</v>
      </c>
      <c r="X188" s="199">
        <v>4.2626953124999999E-2</v>
      </c>
      <c r="Y188" s="199">
        <v>4.2626953124999999E-2</v>
      </c>
      <c r="Z188" s="199">
        <v>4.2626953124999999E-2</v>
      </c>
      <c r="AA188" s="199">
        <v>1.8525403357235983E-4</v>
      </c>
      <c r="AB188" s="199">
        <v>5.5576210071707945E-5</v>
      </c>
      <c r="AC188" s="199">
        <v>5.5576210071707945E-5</v>
      </c>
      <c r="AD188" s="199">
        <v>7.1044921874999995E-5</v>
      </c>
      <c r="AE188" s="199">
        <v>2.1313476562499997E-5</v>
      </c>
      <c r="AF188" s="199">
        <v>2.1313476562499997E-5</v>
      </c>
      <c r="AG188" s="199">
        <v>2.0118518518518518E-6</v>
      </c>
      <c r="AH188" s="199">
        <v>6.0355555555555552E-7</v>
      </c>
      <c r="AI188" s="199">
        <v>6.0355555555555552E-7</v>
      </c>
      <c r="AJ188" s="199">
        <v>0.105</v>
      </c>
      <c r="AK188" s="199">
        <v>0.11249999999999999</v>
      </c>
      <c r="AL188" s="199">
        <v>0.15</v>
      </c>
      <c r="AM188" s="199">
        <v>0</v>
      </c>
      <c r="AN188" s="199">
        <v>0.12</v>
      </c>
      <c r="AO188" s="199">
        <v>0</v>
      </c>
      <c r="AP188" s="199">
        <v>0</v>
      </c>
      <c r="AQ188" s="199">
        <v>0</v>
      </c>
      <c r="AR188" s="199">
        <v>0</v>
      </c>
      <c r="AS188" s="199">
        <v>0</v>
      </c>
      <c r="AT188" s="199">
        <v>0</v>
      </c>
      <c r="AU188" s="199">
        <v>0</v>
      </c>
      <c r="AV188" s="199">
        <v>0</v>
      </c>
      <c r="AW188" s="199">
        <v>0</v>
      </c>
      <c r="AX188" s="199">
        <v>0</v>
      </c>
      <c r="AY188" s="199">
        <v>0</v>
      </c>
      <c r="AZ188" s="199">
        <v>0</v>
      </c>
      <c r="BA188" s="199">
        <v>0</v>
      </c>
      <c r="BB188" s="199">
        <v>0</v>
      </c>
      <c r="BC188" s="199">
        <v>0</v>
      </c>
    </row>
    <row r="189" spans="1:55" s="86" customFormat="1" hidden="1" outlineLevel="1" x14ac:dyDescent="0.2">
      <c r="A189" s="36"/>
      <c r="B189" s="36"/>
      <c r="C189" s="162" t="str">
        <v>Anillo core, puntos de acceso (ADM/multiplexadores): 9952</v>
      </c>
      <c r="D189" s="81"/>
      <c r="F189" s="199">
        <v>0.15476648667279411</v>
      </c>
      <c r="G189" s="199">
        <v>4.6667633056640616E-2</v>
      </c>
      <c r="H189" s="199">
        <v>4.760009765625E-2</v>
      </c>
      <c r="I189" s="199">
        <v>4.5705566406249995E-2</v>
      </c>
      <c r="J189" s="199">
        <v>4.6667633056640616E-2</v>
      </c>
      <c r="K189" s="199">
        <v>4.760009765625E-2</v>
      </c>
      <c r="L189" s="199">
        <v>4.5705566406249995E-2</v>
      </c>
      <c r="M189" s="199">
        <v>0.18571978400735292</v>
      </c>
      <c r="N189" s="199">
        <v>5.6001159667968745E-2</v>
      </c>
      <c r="O189" s="199">
        <v>5.71201171875E-2</v>
      </c>
      <c r="P189" s="199">
        <v>5.4846679687500004E-2</v>
      </c>
      <c r="Q189" s="199">
        <v>5.6001159667968745E-2</v>
      </c>
      <c r="R189" s="199">
        <v>5.71201171875E-2</v>
      </c>
      <c r="S189" s="199">
        <v>5.4846679687500004E-2</v>
      </c>
      <c r="T189" s="199">
        <v>0.14208984375</v>
      </c>
      <c r="U189" s="199">
        <v>4.2626953124999999E-2</v>
      </c>
      <c r="V189" s="199">
        <v>4.2626953124999999E-2</v>
      </c>
      <c r="W189" s="199">
        <v>4.2626953124999999E-2</v>
      </c>
      <c r="X189" s="199">
        <v>4.2626953124999999E-2</v>
      </c>
      <c r="Y189" s="199">
        <v>4.2626953124999999E-2</v>
      </c>
      <c r="Z189" s="199">
        <v>4.2626953124999999E-2</v>
      </c>
      <c r="AA189" s="199">
        <v>1.8525403357235983E-4</v>
      </c>
      <c r="AB189" s="199">
        <v>5.5576210071707945E-5</v>
      </c>
      <c r="AC189" s="199">
        <v>5.5576210071707945E-5</v>
      </c>
      <c r="AD189" s="199">
        <v>7.1044921874999995E-5</v>
      </c>
      <c r="AE189" s="199">
        <v>2.1313476562499997E-5</v>
      </c>
      <c r="AF189" s="199">
        <v>2.1313476562499997E-5</v>
      </c>
      <c r="AG189" s="199">
        <v>2.0118518518518518E-6</v>
      </c>
      <c r="AH189" s="199">
        <v>6.0355555555555552E-7</v>
      </c>
      <c r="AI189" s="199">
        <v>6.0355555555555552E-7</v>
      </c>
      <c r="AJ189" s="199">
        <v>0.105</v>
      </c>
      <c r="AK189" s="199">
        <v>0.11249999999999999</v>
      </c>
      <c r="AL189" s="199">
        <v>0.15</v>
      </c>
      <c r="AM189" s="199">
        <v>0</v>
      </c>
      <c r="AN189" s="199">
        <v>0.12</v>
      </c>
      <c r="AO189" s="199">
        <v>0</v>
      </c>
      <c r="AP189" s="199">
        <v>0</v>
      </c>
      <c r="AQ189" s="199">
        <v>0</v>
      </c>
      <c r="AR189" s="199">
        <v>0</v>
      </c>
      <c r="AS189" s="199">
        <v>0</v>
      </c>
      <c r="AT189" s="199">
        <v>0</v>
      </c>
      <c r="AU189" s="199">
        <v>0</v>
      </c>
      <c r="AV189" s="199">
        <v>0</v>
      </c>
      <c r="AW189" s="199">
        <v>0</v>
      </c>
      <c r="AX189" s="199">
        <v>0</v>
      </c>
      <c r="AY189" s="199">
        <v>0</v>
      </c>
      <c r="AZ189" s="199">
        <v>0</v>
      </c>
      <c r="BA189" s="199">
        <v>0</v>
      </c>
      <c r="BB189" s="199">
        <v>0</v>
      </c>
      <c r="BC189" s="199">
        <v>0</v>
      </c>
    </row>
    <row r="190" spans="1:55" s="86" customFormat="1" hidden="1" outlineLevel="1" x14ac:dyDescent="0.2">
      <c r="A190" s="36"/>
      <c r="B190" s="36"/>
      <c r="C190" s="162" t="str">
        <v>Anillo core, puntos de acceso (ADM/multiplexadores): 1000</v>
      </c>
      <c r="D190" s="81"/>
      <c r="F190" s="199">
        <v>0.15476648667279411</v>
      </c>
      <c r="G190" s="199">
        <v>4.6667633056640616E-2</v>
      </c>
      <c r="H190" s="199">
        <v>4.760009765625E-2</v>
      </c>
      <c r="I190" s="199">
        <v>4.5705566406249995E-2</v>
      </c>
      <c r="J190" s="199">
        <v>4.6667633056640616E-2</v>
      </c>
      <c r="K190" s="199">
        <v>4.760009765625E-2</v>
      </c>
      <c r="L190" s="199">
        <v>4.5705566406249995E-2</v>
      </c>
      <c r="M190" s="199">
        <v>0.18571978400735292</v>
      </c>
      <c r="N190" s="199">
        <v>5.6001159667968745E-2</v>
      </c>
      <c r="O190" s="199">
        <v>5.71201171875E-2</v>
      </c>
      <c r="P190" s="199">
        <v>5.4846679687500004E-2</v>
      </c>
      <c r="Q190" s="199">
        <v>5.6001159667968745E-2</v>
      </c>
      <c r="R190" s="199">
        <v>5.71201171875E-2</v>
      </c>
      <c r="S190" s="199">
        <v>5.4846679687500004E-2</v>
      </c>
      <c r="T190" s="199">
        <v>0.14208984375</v>
      </c>
      <c r="U190" s="199">
        <v>4.2626953124999999E-2</v>
      </c>
      <c r="V190" s="199">
        <v>4.2626953124999999E-2</v>
      </c>
      <c r="W190" s="199">
        <v>4.2626953124999999E-2</v>
      </c>
      <c r="X190" s="199">
        <v>4.2626953124999999E-2</v>
      </c>
      <c r="Y190" s="199">
        <v>4.2626953124999999E-2</v>
      </c>
      <c r="Z190" s="199">
        <v>4.2626953124999999E-2</v>
      </c>
      <c r="AA190" s="199">
        <v>1.8525403357235983E-4</v>
      </c>
      <c r="AB190" s="199">
        <v>5.5576210071707945E-5</v>
      </c>
      <c r="AC190" s="199">
        <v>5.5576210071707945E-5</v>
      </c>
      <c r="AD190" s="199">
        <v>7.1044921874999995E-5</v>
      </c>
      <c r="AE190" s="199">
        <v>2.1313476562499997E-5</v>
      </c>
      <c r="AF190" s="199">
        <v>2.1313476562499997E-5</v>
      </c>
      <c r="AG190" s="199">
        <v>2.0118518518518518E-6</v>
      </c>
      <c r="AH190" s="199">
        <v>6.0355555555555552E-7</v>
      </c>
      <c r="AI190" s="199">
        <v>6.0355555555555552E-7</v>
      </c>
      <c r="AJ190" s="199">
        <v>0.105</v>
      </c>
      <c r="AK190" s="199">
        <v>0.11249999999999999</v>
      </c>
      <c r="AL190" s="199">
        <v>0.15</v>
      </c>
      <c r="AM190" s="199">
        <v>0</v>
      </c>
      <c r="AN190" s="199">
        <v>0.12</v>
      </c>
      <c r="AO190" s="199">
        <v>0</v>
      </c>
      <c r="AP190" s="199">
        <v>0</v>
      </c>
      <c r="AQ190" s="199">
        <v>0</v>
      </c>
      <c r="AR190" s="199">
        <v>0</v>
      </c>
      <c r="AS190" s="199">
        <v>0</v>
      </c>
      <c r="AT190" s="199">
        <v>0</v>
      </c>
      <c r="AU190" s="199">
        <v>0</v>
      </c>
      <c r="AV190" s="199">
        <v>0</v>
      </c>
      <c r="AW190" s="199">
        <v>0</v>
      </c>
      <c r="AX190" s="199">
        <v>0</v>
      </c>
      <c r="AY190" s="199">
        <v>0</v>
      </c>
      <c r="AZ190" s="199">
        <v>0</v>
      </c>
      <c r="BA190" s="199">
        <v>0</v>
      </c>
      <c r="BB190" s="199">
        <v>0</v>
      </c>
      <c r="BC190" s="199">
        <v>0</v>
      </c>
    </row>
    <row r="191" spans="1:55" s="86" customFormat="1" hidden="1" outlineLevel="1" x14ac:dyDescent="0.2">
      <c r="A191" s="36"/>
      <c r="B191" s="36"/>
      <c r="C191" s="162" t="str">
        <v>Anillo core, puntos de acceso (ADM/multiplexadores): 2500</v>
      </c>
      <c r="D191" s="81"/>
      <c r="F191" s="199">
        <v>0.15476648667279411</v>
      </c>
      <c r="G191" s="199">
        <v>4.6667633056640616E-2</v>
      </c>
      <c r="H191" s="199">
        <v>4.760009765625E-2</v>
      </c>
      <c r="I191" s="199">
        <v>4.5705566406249995E-2</v>
      </c>
      <c r="J191" s="199">
        <v>4.6667633056640616E-2</v>
      </c>
      <c r="K191" s="199">
        <v>4.760009765625E-2</v>
      </c>
      <c r="L191" s="199">
        <v>4.5705566406249995E-2</v>
      </c>
      <c r="M191" s="199">
        <v>0.18571978400735292</v>
      </c>
      <c r="N191" s="199">
        <v>5.6001159667968745E-2</v>
      </c>
      <c r="O191" s="199">
        <v>5.71201171875E-2</v>
      </c>
      <c r="P191" s="199">
        <v>5.4846679687500004E-2</v>
      </c>
      <c r="Q191" s="199">
        <v>5.6001159667968745E-2</v>
      </c>
      <c r="R191" s="199">
        <v>5.71201171875E-2</v>
      </c>
      <c r="S191" s="199">
        <v>5.4846679687500004E-2</v>
      </c>
      <c r="T191" s="199">
        <v>0.14208984375</v>
      </c>
      <c r="U191" s="199">
        <v>4.2626953124999999E-2</v>
      </c>
      <c r="V191" s="199">
        <v>4.2626953124999999E-2</v>
      </c>
      <c r="W191" s="199">
        <v>4.2626953124999999E-2</v>
      </c>
      <c r="X191" s="199">
        <v>4.2626953124999999E-2</v>
      </c>
      <c r="Y191" s="199">
        <v>4.2626953124999999E-2</v>
      </c>
      <c r="Z191" s="199">
        <v>4.2626953124999999E-2</v>
      </c>
      <c r="AA191" s="199">
        <v>1.8525403357235983E-4</v>
      </c>
      <c r="AB191" s="199">
        <v>5.5576210071707945E-5</v>
      </c>
      <c r="AC191" s="199">
        <v>5.5576210071707945E-5</v>
      </c>
      <c r="AD191" s="199">
        <v>7.1044921874999995E-5</v>
      </c>
      <c r="AE191" s="199">
        <v>2.1313476562499997E-5</v>
      </c>
      <c r="AF191" s="199">
        <v>2.1313476562499997E-5</v>
      </c>
      <c r="AG191" s="199">
        <v>2.0118518518518518E-6</v>
      </c>
      <c r="AH191" s="199">
        <v>6.0355555555555552E-7</v>
      </c>
      <c r="AI191" s="199">
        <v>6.0355555555555552E-7</v>
      </c>
      <c r="AJ191" s="199">
        <v>0.105</v>
      </c>
      <c r="AK191" s="199">
        <v>0.11249999999999999</v>
      </c>
      <c r="AL191" s="199">
        <v>0.15</v>
      </c>
      <c r="AM191" s="199">
        <v>0</v>
      </c>
      <c r="AN191" s="199">
        <v>0.12</v>
      </c>
      <c r="AO191" s="199">
        <v>0</v>
      </c>
      <c r="AP191" s="199">
        <v>0</v>
      </c>
      <c r="AQ191" s="199">
        <v>0</v>
      </c>
      <c r="AR191" s="199">
        <v>0</v>
      </c>
      <c r="AS191" s="199">
        <v>0</v>
      </c>
      <c r="AT191" s="199">
        <v>0</v>
      </c>
      <c r="AU191" s="199">
        <v>0</v>
      </c>
      <c r="AV191" s="199">
        <v>0</v>
      </c>
      <c r="AW191" s="199">
        <v>0</v>
      </c>
      <c r="AX191" s="199">
        <v>0</v>
      </c>
      <c r="AY191" s="199">
        <v>0</v>
      </c>
      <c r="AZ191" s="199">
        <v>0</v>
      </c>
      <c r="BA191" s="199">
        <v>0</v>
      </c>
      <c r="BB191" s="199">
        <v>0</v>
      </c>
      <c r="BC191" s="199">
        <v>0</v>
      </c>
    </row>
    <row r="192" spans="1:55" s="86" customFormat="1" hidden="1" outlineLevel="1" x14ac:dyDescent="0.2">
      <c r="A192" s="36"/>
      <c r="B192" s="36"/>
      <c r="C192" s="162" t="str">
        <v>Anillo core, puntos de acceso (ADM/multiplexadores): 10000</v>
      </c>
      <c r="D192" s="81"/>
      <c r="F192" s="199">
        <v>0.15476648667279411</v>
      </c>
      <c r="G192" s="199">
        <v>4.6667633056640616E-2</v>
      </c>
      <c r="H192" s="199">
        <v>4.760009765625E-2</v>
      </c>
      <c r="I192" s="199">
        <v>4.5705566406249995E-2</v>
      </c>
      <c r="J192" s="199">
        <v>4.6667633056640616E-2</v>
      </c>
      <c r="K192" s="199">
        <v>4.760009765625E-2</v>
      </c>
      <c r="L192" s="199">
        <v>4.5705566406249995E-2</v>
      </c>
      <c r="M192" s="199">
        <v>0.18571978400735292</v>
      </c>
      <c r="N192" s="199">
        <v>5.6001159667968745E-2</v>
      </c>
      <c r="O192" s="199">
        <v>5.71201171875E-2</v>
      </c>
      <c r="P192" s="199">
        <v>5.4846679687500004E-2</v>
      </c>
      <c r="Q192" s="199">
        <v>5.6001159667968745E-2</v>
      </c>
      <c r="R192" s="199">
        <v>5.71201171875E-2</v>
      </c>
      <c r="S192" s="199">
        <v>5.4846679687500004E-2</v>
      </c>
      <c r="T192" s="199">
        <v>0.14208984375</v>
      </c>
      <c r="U192" s="199">
        <v>4.2626953124999999E-2</v>
      </c>
      <c r="V192" s="199">
        <v>4.2626953124999999E-2</v>
      </c>
      <c r="W192" s="199">
        <v>4.2626953124999999E-2</v>
      </c>
      <c r="X192" s="199">
        <v>4.2626953124999999E-2</v>
      </c>
      <c r="Y192" s="199">
        <v>4.2626953124999999E-2</v>
      </c>
      <c r="Z192" s="199">
        <v>4.2626953124999999E-2</v>
      </c>
      <c r="AA192" s="199">
        <v>1.8525403357235983E-4</v>
      </c>
      <c r="AB192" s="199">
        <v>5.5576210071707945E-5</v>
      </c>
      <c r="AC192" s="199">
        <v>5.5576210071707945E-5</v>
      </c>
      <c r="AD192" s="199">
        <v>7.1044921874999995E-5</v>
      </c>
      <c r="AE192" s="199">
        <v>2.1313476562499997E-5</v>
      </c>
      <c r="AF192" s="199">
        <v>2.1313476562499997E-5</v>
      </c>
      <c r="AG192" s="199">
        <v>2.0118518518518518E-6</v>
      </c>
      <c r="AH192" s="199">
        <v>6.0355555555555552E-7</v>
      </c>
      <c r="AI192" s="199">
        <v>6.0355555555555552E-7</v>
      </c>
      <c r="AJ192" s="199">
        <v>0.105</v>
      </c>
      <c r="AK192" s="199">
        <v>0.11249999999999999</v>
      </c>
      <c r="AL192" s="199">
        <v>0.15</v>
      </c>
      <c r="AM192" s="199">
        <v>0</v>
      </c>
      <c r="AN192" s="199">
        <v>0.12</v>
      </c>
      <c r="AO192" s="199">
        <v>0</v>
      </c>
      <c r="AP192" s="199">
        <v>0</v>
      </c>
      <c r="AQ192" s="199">
        <v>0</v>
      </c>
      <c r="AR192" s="199">
        <v>0</v>
      </c>
      <c r="AS192" s="199">
        <v>0</v>
      </c>
      <c r="AT192" s="199">
        <v>0</v>
      </c>
      <c r="AU192" s="199">
        <v>0</v>
      </c>
      <c r="AV192" s="199">
        <v>0</v>
      </c>
      <c r="AW192" s="199">
        <v>0</v>
      </c>
      <c r="AX192" s="199">
        <v>0</v>
      </c>
      <c r="AY192" s="199">
        <v>0</v>
      </c>
      <c r="AZ192" s="199">
        <v>0</v>
      </c>
      <c r="BA192" s="199">
        <v>0</v>
      </c>
      <c r="BB192" s="199">
        <v>0</v>
      </c>
      <c r="BC192" s="199">
        <v>0</v>
      </c>
    </row>
    <row r="193" spans="1:55" s="86" customFormat="1" hidden="1" outlineLevel="1" x14ac:dyDescent="0.2">
      <c r="A193" s="36"/>
      <c r="B193" s="36"/>
      <c r="C193" s="162" t="str">
        <v>Anillo core, puntos de acceso (ADM/multiplexadores): 40000</v>
      </c>
      <c r="D193" s="81"/>
      <c r="F193" s="199">
        <v>0.15476648667279411</v>
      </c>
      <c r="G193" s="199">
        <v>4.6667633056640616E-2</v>
      </c>
      <c r="H193" s="199">
        <v>4.760009765625E-2</v>
      </c>
      <c r="I193" s="199">
        <v>4.5705566406249995E-2</v>
      </c>
      <c r="J193" s="199">
        <v>4.6667633056640616E-2</v>
      </c>
      <c r="K193" s="199">
        <v>4.760009765625E-2</v>
      </c>
      <c r="L193" s="199">
        <v>4.5705566406249995E-2</v>
      </c>
      <c r="M193" s="199">
        <v>0.18571978400735292</v>
      </c>
      <c r="N193" s="199">
        <v>5.6001159667968745E-2</v>
      </c>
      <c r="O193" s="199">
        <v>5.71201171875E-2</v>
      </c>
      <c r="P193" s="199">
        <v>5.4846679687500004E-2</v>
      </c>
      <c r="Q193" s="199">
        <v>5.6001159667968745E-2</v>
      </c>
      <c r="R193" s="199">
        <v>5.71201171875E-2</v>
      </c>
      <c r="S193" s="199">
        <v>5.4846679687500004E-2</v>
      </c>
      <c r="T193" s="199">
        <v>0.14208984375</v>
      </c>
      <c r="U193" s="199">
        <v>4.2626953124999999E-2</v>
      </c>
      <c r="V193" s="199">
        <v>4.2626953124999999E-2</v>
      </c>
      <c r="W193" s="199">
        <v>4.2626953124999999E-2</v>
      </c>
      <c r="X193" s="199">
        <v>4.2626953124999999E-2</v>
      </c>
      <c r="Y193" s="199">
        <v>4.2626953124999999E-2</v>
      </c>
      <c r="Z193" s="199">
        <v>4.2626953124999999E-2</v>
      </c>
      <c r="AA193" s="199">
        <v>1.8525403357235983E-4</v>
      </c>
      <c r="AB193" s="199">
        <v>5.5576210071707945E-5</v>
      </c>
      <c r="AC193" s="199">
        <v>5.5576210071707945E-5</v>
      </c>
      <c r="AD193" s="199">
        <v>7.1044921874999995E-5</v>
      </c>
      <c r="AE193" s="199">
        <v>2.1313476562499997E-5</v>
      </c>
      <c r="AF193" s="199">
        <v>2.1313476562499997E-5</v>
      </c>
      <c r="AG193" s="199">
        <v>2.0118518518518518E-6</v>
      </c>
      <c r="AH193" s="199">
        <v>6.0355555555555552E-7</v>
      </c>
      <c r="AI193" s="199">
        <v>6.0355555555555552E-7</v>
      </c>
      <c r="AJ193" s="199">
        <v>0.105</v>
      </c>
      <c r="AK193" s="199">
        <v>0.11249999999999999</v>
      </c>
      <c r="AL193" s="199">
        <v>0.15</v>
      </c>
      <c r="AM193" s="199">
        <v>0</v>
      </c>
      <c r="AN193" s="199">
        <v>0.12</v>
      </c>
      <c r="AO193" s="199">
        <v>0</v>
      </c>
      <c r="AP193" s="199">
        <v>0</v>
      </c>
      <c r="AQ193" s="199">
        <v>0</v>
      </c>
      <c r="AR193" s="199">
        <v>0</v>
      </c>
      <c r="AS193" s="199">
        <v>0</v>
      </c>
      <c r="AT193" s="199">
        <v>0</v>
      </c>
      <c r="AU193" s="199">
        <v>0</v>
      </c>
      <c r="AV193" s="199">
        <v>0</v>
      </c>
      <c r="AW193" s="199">
        <v>0</v>
      </c>
      <c r="AX193" s="199">
        <v>0</v>
      </c>
      <c r="AY193" s="199">
        <v>0</v>
      </c>
      <c r="AZ193" s="199">
        <v>0</v>
      </c>
      <c r="BA193" s="199">
        <v>0</v>
      </c>
      <c r="BB193" s="199">
        <v>0</v>
      </c>
      <c r="BC193" s="199">
        <v>0</v>
      </c>
    </row>
    <row r="194" spans="1:55" s="86" customFormat="1" hidden="1" outlineLevel="1" x14ac:dyDescent="0.2">
      <c r="A194" s="36"/>
      <c r="B194" s="36"/>
      <c r="C194" s="162" t="str">
        <v>Fibra en la red core (km)</v>
      </c>
      <c r="D194" s="81"/>
      <c r="F194" s="199">
        <v>0.15476648667279411</v>
      </c>
      <c r="G194" s="199">
        <v>4.6667633056640616E-2</v>
      </c>
      <c r="H194" s="199">
        <v>4.760009765625E-2</v>
      </c>
      <c r="I194" s="199">
        <v>4.5705566406249995E-2</v>
      </c>
      <c r="J194" s="199">
        <v>4.6667633056640616E-2</v>
      </c>
      <c r="K194" s="199">
        <v>4.760009765625E-2</v>
      </c>
      <c r="L194" s="199">
        <v>4.5705566406249995E-2</v>
      </c>
      <c r="M194" s="199">
        <v>0.18571978400735292</v>
      </c>
      <c r="N194" s="199">
        <v>5.6001159667968745E-2</v>
      </c>
      <c r="O194" s="199">
        <v>5.71201171875E-2</v>
      </c>
      <c r="P194" s="199">
        <v>5.4846679687500004E-2</v>
      </c>
      <c r="Q194" s="199">
        <v>5.6001159667968745E-2</v>
      </c>
      <c r="R194" s="199">
        <v>5.71201171875E-2</v>
      </c>
      <c r="S194" s="199">
        <v>5.4846679687500004E-2</v>
      </c>
      <c r="T194" s="199">
        <v>0.14208984375</v>
      </c>
      <c r="U194" s="199">
        <v>4.2626953124999999E-2</v>
      </c>
      <c r="V194" s="199">
        <v>4.2626953124999999E-2</v>
      </c>
      <c r="W194" s="199">
        <v>4.2626953124999999E-2</v>
      </c>
      <c r="X194" s="199">
        <v>4.2626953124999999E-2</v>
      </c>
      <c r="Y194" s="199">
        <v>4.2626953124999999E-2</v>
      </c>
      <c r="Z194" s="199">
        <v>4.2626953124999999E-2</v>
      </c>
      <c r="AA194" s="199">
        <v>1.8525403357235983E-4</v>
      </c>
      <c r="AB194" s="199">
        <v>5.5576210071707945E-5</v>
      </c>
      <c r="AC194" s="199">
        <v>5.5576210071707945E-5</v>
      </c>
      <c r="AD194" s="199">
        <v>7.1044921874999995E-5</v>
      </c>
      <c r="AE194" s="199">
        <v>2.1313476562499997E-5</v>
      </c>
      <c r="AF194" s="199">
        <v>2.1313476562499997E-5</v>
      </c>
      <c r="AG194" s="199">
        <v>2.0118518518518518E-6</v>
      </c>
      <c r="AH194" s="199">
        <v>6.0355555555555552E-7</v>
      </c>
      <c r="AI194" s="199">
        <v>6.0355555555555552E-7</v>
      </c>
      <c r="AJ194" s="199">
        <v>0.105</v>
      </c>
      <c r="AK194" s="199">
        <v>0.11249999999999999</v>
      </c>
      <c r="AL194" s="199">
        <v>0.15</v>
      </c>
      <c r="AM194" s="199">
        <v>0</v>
      </c>
      <c r="AN194" s="199">
        <v>0.12</v>
      </c>
      <c r="AO194" s="199">
        <v>0</v>
      </c>
      <c r="AP194" s="199">
        <v>0</v>
      </c>
      <c r="AQ194" s="199">
        <v>0</v>
      </c>
      <c r="AR194" s="199">
        <v>0</v>
      </c>
      <c r="AS194" s="199">
        <v>0</v>
      </c>
      <c r="AT194" s="199">
        <v>0</v>
      </c>
      <c r="AU194" s="199">
        <v>0</v>
      </c>
      <c r="AV194" s="199">
        <v>0</v>
      </c>
      <c r="AW194" s="199">
        <v>0</v>
      </c>
      <c r="AX194" s="199">
        <v>0</v>
      </c>
      <c r="AY194" s="199">
        <v>0</v>
      </c>
      <c r="AZ194" s="199">
        <v>0</v>
      </c>
      <c r="BA194" s="199">
        <v>0</v>
      </c>
      <c r="BB194" s="199">
        <v>0</v>
      </c>
      <c r="BC194" s="199">
        <v>0</v>
      </c>
    </row>
    <row r="195" spans="1:55" s="86" customFormat="1" hidden="1" outlineLevel="1" x14ac:dyDescent="0.2">
      <c r="A195" s="36"/>
      <c r="B195" s="36"/>
      <c r="C195" s="162" t="str">
        <v>Salto MW core a core</v>
      </c>
      <c r="D195" s="81"/>
      <c r="F195" s="199">
        <v>0.15476648667279411</v>
      </c>
      <c r="G195" s="199">
        <v>4.6667633056640616E-2</v>
      </c>
      <c r="H195" s="199">
        <v>4.760009765625E-2</v>
      </c>
      <c r="I195" s="199">
        <v>4.5705566406249995E-2</v>
      </c>
      <c r="J195" s="199">
        <v>4.6667633056640616E-2</v>
      </c>
      <c r="K195" s="199">
        <v>4.760009765625E-2</v>
      </c>
      <c r="L195" s="199">
        <v>4.5705566406249995E-2</v>
      </c>
      <c r="M195" s="199">
        <v>0.18571978400735292</v>
      </c>
      <c r="N195" s="199">
        <v>5.6001159667968745E-2</v>
      </c>
      <c r="O195" s="199">
        <v>5.71201171875E-2</v>
      </c>
      <c r="P195" s="199">
        <v>5.4846679687500004E-2</v>
      </c>
      <c r="Q195" s="199">
        <v>5.6001159667968745E-2</v>
      </c>
      <c r="R195" s="199">
        <v>5.71201171875E-2</v>
      </c>
      <c r="S195" s="199">
        <v>5.4846679687500004E-2</v>
      </c>
      <c r="T195" s="199">
        <v>0.14208984375</v>
      </c>
      <c r="U195" s="199">
        <v>4.2626953124999999E-2</v>
      </c>
      <c r="V195" s="199">
        <v>4.2626953124999999E-2</v>
      </c>
      <c r="W195" s="199">
        <v>4.2626953124999999E-2</v>
      </c>
      <c r="X195" s="199">
        <v>4.2626953124999999E-2</v>
      </c>
      <c r="Y195" s="199">
        <v>4.2626953124999999E-2</v>
      </c>
      <c r="Z195" s="199">
        <v>4.2626953124999999E-2</v>
      </c>
      <c r="AA195" s="199">
        <v>1.8525403357235983E-4</v>
      </c>
      <c r="AB195" s="199">
        <v>5.5576210071707945E-5</v>
      </c>
      <c r="AC195" s="199">
        <v>5.5576210071707945E-5</v>
      </c>
      <c r="AD195" s="199">
        <v>7.1044921874999995E-5</v>
      </c>
      <c r="AE195" s="199">
        <v>2.1313476562499997E-5</v>
      </c>
      <c r="AF195" s="199">
        <v>2.1313476562499997E-5</v>
      </c>
      <c r="AG195" s="199">
        <v>2.0118518518518518E-6</v>
      </c>
      <c r="AH195" s="199">
        <v>6.0355555555555552E-7</v>
      </c>
      <c r="AI195" s="199">
        <v>6.0355555555555552E-7</v>
      </c>
      <c r="AJ195" s="199">
        <v>0.105</v>
      </c>
      <c r="AK195" s="199">
        <v>0.11249999999999999</v>
      </c>
      <c r="AL195" s="199">
        <v>0.15</v>
      </c>
      <c r="AM195" s="199">
        <v>0</v>
      </c>
      <c r="AN195" s="199">
        <v>0.12</v>
      </c>
      <c r="AO195" s="199">
        <v>0</v>
      </c>
      <c r="AP195" s="199">
        <v>0</v>
      </c>
      <c r="AQ195" s="199">
        <v>0</v>
      </c>
      <c r="AR195" s="199">
        <v>0</v>
      </c>
      <c r="AS195" s="199">
        <v>0</v>
      </c>
      <c r="AT195" s="199">
        <v>0</v>
      </c>
      <c r="AU195" s="199">
        <v>0</v>
      </c>
      <c r="AV195" s="199">
        <v>0</v>
      </c>
      <c r="AW195" s="199">
        <v>0</v>
      </c>
      <c r="AX195" s="199">
        <v>0</v>
      </c>
      <c r="AY195" s="199">
        <v>0</v>
      </c>
      <c r="AZ195" s="199">
        <v>0</v>
      </c>
      <c r="BA195" s="199">
        <v>0</v>
      </c>
      <c r="BB195" s="199">
        <v>0</v>
      </c>
      <c r="BC195" s="199">
        <v>0</v>
      </c>
    </row>
    <row r="196" spans="1:55" s="86" customFormat="1" hidden="1" outlineLevel="1" x14ac:dyDescent="0.2">
      <c r="A196" s="36"/>
      <c r="B196" s="36"/>
      <c r="C196" s="162" t="str">
        <v>Main switching/core sites</v>
      </c>
      <c r="D196" s="81"/>
      <c r="F196" s="199">
        <v>0</v>
      </c>
      <c r="G196" s="199">
        <v>0</v>
      </c>
      <c r="H196" s="199">
        <v>0</v>
      </c>
      <c r="I196" s="199">
        <v>0</v>
      </c>
      <c r="J196" s="199">
        <v>0</v>
      </c>
      <c r="K196" s="199">
        <v>0</v>
      </c>
      <c r="L196" s="199">
        <v>0</v>
      </c>
      <c r="M196" s="199">
        <v>0</v>
      </c>
      <c r="N196" s="199">
        <v>0</v>
      </c>
      <c r="O196" s="199">
        <v>0</v>
      </c>
      <c r="P196" s="199">
        <v>0</v>
      </c>
      <c r="Q196" s="199">
        <v>0</v>
      </c>
      <c r="R196" s="199">
        <v>0</v>
      </c>
      <c r="S196" s="199">
        <v>0</v>
      </c>
      <c r="T196" s="199">
        <v>0</v>
      </c>
      <c r="U196" s="199">
        <v>0</v>
      </c>
      <c r="V196" s="199">
        <v>0</v>
      </c>
      <c r="W196" s="199">
        <v>0</v>
      </c>
      <c r="X196" s="199">
        <v>0</v>
      </c>
      <c r="Y196" s="199">
        <v>0</v>
      </c>
      <c r="Z196" s="199">
        <v>0</v>
      </c>
      <c r="AA196" s="199">
        <v>0</v>
      </c>
      <c r="AB196" s="199">
        <v>0</v>
      </c>
      <c r="AC196" s="199">
        <v>0</v>
      </c>
      <c r="AD196" s="199">
        <v>0</v>
      </c>
      <c r="AE196" s="199">
        <v>0</v>
      </c>
      <c r="AF196" s="199">
        <v>0</v>
      </c>
      <c r="AG196" s="199">
        <v>0</v>
      </c>
      <c r="AH196" s="199">
        <v>0</v>
      </c>
      <c r="AI196" s="199">
        <v>0</v>
      </c>
      <c r="AJ196" s="199">
        <v>0</v>
      </c>
      <c r="AK196" s="199">
        <v>0</v>
      </c>
      <c r="AL196" s="199">
        <v>0</v>
      </c>
      <c r="AM196" s="199">
        <v>0</v>
      </c>
      <c r="AN196" s="199">
        <v>0</v>
      </c>
      <c r="AO196" s="199">
        <v>0</v>
      </c>
      <c r="AP196" s="199">
        <v>1</v>
      </c>
      <c r="AQ196" s="199">
        <v>1</v>
      </c>
      <c r="AR196" s="199">
        <v>0</v>
      </c>
      <c r="AS196" s="199">
        <v>0</v>
      </c>
      <c r="AT196" s="199">
        <v>0</v>
      </c>
      <c r="AU196" s="199">
        <v>0</v>
      </c>
      <c r="AV196" s="199">
        <v>0</v>
      </c>
      <c r="AW196" s="199">
        <v>0</v>
      </c>
      <c r="AX196" s="199">
        <v>0</v>
      </c>
      <c r="AY196" s="199">
        <v>0</v>
      </c>
      <c r="AZ196" s="199">
        <v>0</v>
      </c>
      <c r="BA196" s="199">
        <v>0</v>
      </c>
      <c r="BB196" s="199">
        <v>0</v>
      </c>
      <c r="BC196" s="199">
        <v>0</v>
      </c>
    </row>
    <row r="197" spans="1:55" s="86" customFormat="1" hidden="1" outlineLevel="1" x14ac:dyDescent="0.2">
      <c r="A197" s="36"/>
      <c r="B197" s="36"/>
      <c r="C197" s="162" t="str">
        <v>Asset spare</v>
      </c>
      <c r="D197" s="81"/>
      <c r="F197" s="199">
        <v>0</v>
      </c>
      <c r="G197" s="199">
        <v>0</v>
      </c>
      <c r="H197" s="199">
        <v>0</v>
      </c>
      <c r="I197" s="199">
        <v>0</v>
      </c>
      <c r="J197" s="199">
        <v>0</v>
      </c>
      <c r="K197" s="199">
        <v>0</v>
      </c>
      <c r="L197" s="199">
        <v>0</v>
      </c>
      <c r="M197" s="199">
        <v>0</v>
      </c>
      <c r="N197" s="199">
        <v>0</v>
      </c>
      <c r="O197" s="199">
        <v>0</v>
      </c>
      <c r="P197" s="199">
        <v>0</v>
      </c>
      <c r="Q197" s="199">
        <v>0</v>
      </c>
      <c r="R197" s="199">
        <v>0</v>
      </c>
      <c r="S197" s="199">
        <v>0</v>
      </c>
      <c r="T197" s="199">
        <v>0</v>
      </c>
      <c r="U197" s="199">
        <v>0</v>
      </c>
      <c r="V197" s="199">
        <v>0</v>
      </c>
      <c r="W197" s="199">
        <v>0</v>
      </c>
      <c r="X197" s="199">
        <v>0</v>
      </c>
      <c r="Y197" s="199">
        <v>0</v>
      </c>
      <c r="Z197" s="199">
        <v>0</v>
      </c>
      <c r="AA197" s="199">
        <v>0</v>
      </c>
      <c r="AB197" s="199">
        <v>0</v>
      </c>
      <c r="AC197" s="199">
        <v>0</v>
      </c>
      <c r="AD197" s="199">
        <v>0</v>
      </c>
      <c r="AE197" s="199">
        <v>0</v>
      </c>
      <c r="AF197" s="199">
        <v>0</v>
      </c>
      <c r="AG197" s="199">
        <v>0</v>
      </c>
      <c r="AH197" s="199">
        <v>0</v>
      </c>
      <c r="AI197" s="199">
        <v>0</v>
      </c>
      <c r="AJ197" s="199">
        <v>0</v>
      </c>
      <c r="AK197" s="199">
        <v>0</v>
      </c>
      <c r="AL197" s="199">
        <v>0</v>
      </c>
      <c r="AM197" s="199">
        <v>0</v>
      </c>
      <c r="AN197" s="199">
        <v>0</v>
      </c>
      <c r="AO197" s="199">
        <v>0</v>
      </c>
      <c r="AP197" s="199">
        <v>0</v>
      </c>
      <c r="AQ197" s="199">
        <v>0</v>
      </c>
      <c r="AR197" s="199">
        <v>0</v>
      </c>
      <c r="AS197" s="199">
        <v>0</v>
      </c>
      <c r="AT197" s="199">
        <v>0</v>
      </c>
      <c r="AU197" s="199">
        <v>0</v>
      </c>
      <c r="AV197" s="199">
        <v>0</v>
      </c>
      <c r="AW197" s="199">
        <v>0</v>
      </c>
      <c r="AX197" s="199">
        <v>0</v>
      </c>
      <c r="AY197" s="199">
        <v>0</v>
      </c>
      <c r="AZ197" s="199">
        <v>0</v>
      </c>
      <c r="BA197" s="199">
        <v>0</v>
      </c>
      <c r="BB197" s="199">
        <v>0</v>
      </c>
      <c r="BC197" s="199">
        <v>0</v>
      </c>
    </row>
    <row r="198" spans="1:55" s="86" customFormat="1" hidden="1" outlineLevel="1" x14ac:dyDescent="0.2">
      <c r="A198" s="36"/>
      <c r="B198" s="36"/>
      <c r="C198" s="162" t="str">
        <v>MSS</v>
      </c>
      <c r="D198" s="81"/>
      <c r="F198" s="199">
        <v>7</v>
      </c>
      <c r="G198" s="199">
        <v>2</v>
      </c>
      <c r="H198" s="199">
        <v>2</v>
      </c>
      <c r="I198" s="199">
        <v>2</v>
      </c>
      <c r="J198" s="199">
        <v>5</v>
      </c>
      <c r="K198" s="199">
        <v>5</v>
      </c>
      <c r="L198" s="199">
        <v>5</v>
      </c>
      <c r="M198" s="199">
        <v>7</v>
      </c>
      <c r="N198" s="199">
        <v>2</v>
      </c>
      <c r="O198" s="199">
        <v>2</v>
      </c>
      <c r="P198" s="199">
        <v>2</v>
      </c>
      <c r="Q198" s="199">
        <v>5</v>
      </c>
      <c r="R198" s="199">
        <v>5</v>
      </c>
      <c r="S198" s="199">
        <v>5</v>
      </c>
      <c r="T198" s="199">
        <v>0</v>
      </c>
      <c r="U198" s="199">
        <v>0</v>
      </c>
      <c r="V198" s="199">
        <v>0</v>
      </c>
      <c r="W198" s="199">
        <v>0</v>
      </c>
      <c r="X198" s="199">
        <v>0</v>
      </c>
      <c r="Y198" s="199">
        <v>0</v>
      </c>
      <c r="Z198" s="199">
        <v>0</v>
      </c>
      <c r="AA198" s="199">
        <v>1</v>
      </c>
      <c r="AB198" s="199">
        <v>1</v>
      </c>
      <c r="AC198" s="199">
        <v>1</v>
      </c>
      <c r="AD198" s="199">
        <v>1</v>
      </c>
      <c r="AE198" s="199">
        <v>1</v>
      </c>
      <c r="AF198" s="199">
        <v>1</v>
      </c>
      <c r="AG198" s="199">
        <v>0</v>
      </c>
      <c r="AH198" s="199">
        <v>0</v>
      </c>
      <c r="AI198" s="199">
        <v>0</v>
      </c>
      <c r="AJ198" s="199">
        <v>0</v>
      </c>
      <c r="AK198" s="199">
        <v>0</v>
      </c>
      <c r="AL198" s="199">
        <v>0</v>
      </c>
      <c r="AM198" s="199">
        <v>0</v>
      </c>
      <c r="AN198" s="199">
        <v>0</v>
      </c>
      <c r="AO198" s="199">
        <v>0</v>
      </c>
      <c r="AP198" s="199">
        <v>0</v>
      </c>
      <c r="AQ198" s="199">
        <v>0</v>
      </c>
      <c r="AR198" s="199">
        <v>0</v>
      </c>
      <c r="AS198" s="199">
        <v>0</v>
      </c>
      <c r="AT198" s="199">
        <v>0</v>
      </c>
      <c r="AU198" s="199">
        <v>0</v>
      </c>
      <c r="AV198" s="199">
        <v>0</v>
      </c>
      <c r="AW198" s="199">
        <v>0</v>
      </c>
      <c r="AX198" s="199">
        <v>0</v>
      </c>
      <c r="AY198" s="199">
        <v>0</v>
      </c>
      <c r="AZ198" s="199">
        <v>0</v>
      </c>
      <c r="BA198" s="199">
        <v>0</v>
      </c>
      <c r="BB198" s="199">
        <v>0</v>
      </c>
      <c r="BC198" s="199">
        <v>0</v>
      </c>
    </row>
    <row r="199" spans="1:55" s="86" customFormat="1" hidden="1" outlineLevel="1" x14ac:dyDescent="0.2">
      <c r="A199" s="36"/>
      <c r="B199" s="36"/>
      <c r="C199" s="162" t="str">
        <v>MGW</v>
      </c>
      <c r="D199" s="81"/>
      <c r="F199" s="199">
        <v>2.1784313725490194</v>
      </c>
      <c r="G199" s="199">
        <v>1.0947916666666666</v>
      </c>
      <c r="H199" s="199">
        <v>1.1166666666666667</v>
      </c>
      <c r="I199" s="199">
        <v>1.0722222222222222</v>
      </c>
      <c r="J199" s="199">
        <v>1.0947916666666666</v>
      </c>
      <c r="K199" s="199">
        <v>1.1166666666666667</v>
      </c>
      <c r="L199" s="199">
        <v>1.0722222222222222</v>
      </c>
      <c r="M199" s="199">
        <v>2.8319607843137256</v>
      </c>
      <c r="N199" s="199">
        <v>1.4232291666666665</v>
      </c>
      <c r="O199" s="199">
        <v>1.4516666666666667</v>
      </c>
      <c r="P199" s="199">
        <v>1.393888888888889</v>
      </c>
      <c r="Q199" s="199">
        <v>1.4232291666666665</v>
      </c>
      <c r="R199" s="199">
        <v>1.4516666666666667</v>
      </c>
      <c r="S199" s="199">
        <v>1.393888888888889</v>
      </c>
      <c r="T199" s="199">
        <v>0</v>
      </c>
      <c r="U199" s="199">
        <v>0</v>
      </c>
      <c r="V199" s="199">
        <v>0</v>
      </c>
      <c r="W199" s="199">
        <v>0</v>
      </c>
      <c r="X199" s="199">
        <v>0</v>
      </c>
      <c r="Y199" s="199">
        <v>0</v>
      </c>
      <c r="Z199" s="199">
        <v>0</v>
      </c>
      <c r="AA199" s="199">
        <v>0</v>
      </c>
      <c r="AB199" s="199">
        <v>0</v>
      </c>
      <c r="AC199" s="199">
        <v>0</v>
      </c>
      <c r="AD199" s="199">
        <v>0</v>
      </c>
      <c r="AE199" s="199">
        <v>0</v>
      </c>
      <c r="AF199" s="199">
        <v>0</v>
      </c>
      <c r="AG199" s="199">
        <v>0</v>
      </c>
      <c r="AH199" s="199">
        <v>0</v>
      </c>
      <c r="AI199" s="199">
        <v>0</v>
      </c>
      <c r="AJ199" s="199">
        <v>0</v>
      </c>
      <c r="AK199" s="199">
        <v>0</v>
      </c>
      <c r="AL199" s="199">
        <v>0</v>
      </c>
      <c r="AM199" s="199">
        <v>0</v>
      </c>
      <c r="AN199" s="199">
        <v>0</v>
      </c>
      <c r="AO199" s="199">
        <v>0</v>
      </c>
      <c r="AP199" s="199">
        <v>0</v>
      </c>
      <c r="AQ199" s="199">
        <v>0</v>
      </c>
      <c r="AR199" s="199">
        <v>0</v>
      </c>
      <c r="AS199" s="199">
        <v>0</v>
      </c>
      <c r="AT199" s="199">
        <v>0</v>
      </c>
      <c r="AU199" s="199">
        <v>0</v>
      </c>
      <c r="AV199" s="199">
        <v>0</v>
      </c>
      <c r="AW199" s="199">
        <v>0</v>
      </c>
      <c r="AX199" s="199">
        <v>0</v>
      </c>
      <c r="AY199" s="199">
        <v>0</v>
      </c>
      <c r="AZ199" s="199">
        <v>0</v>
      </c>
      <c r="BA199" s="199">
        <v>0</v>
      </c>
      <c r="BB199" s="199">
        <v>0</v>
      </c>
      <c r="BC199" s="199">
        <v>0</v>
      </c>
    </row>
    <row r="200" spans="1:55" s="86" customFormat="1" hidden="1" outlineLevel="1" x14ac:dyDescent="0.2">
      <c r="A200" s="36"/>
      <c r="B200" s="36"/>
      <c r="C200" s="162" t="str">
        <v>SGSN</v>
      </c>
      <c r="D200" s="81"/>
      <c r="F200" s="199">
        <v>0</v>
      </c>
      <c r="G200" s="199">
        <v>0</v>
      </c>
      <c r="H200" s="199">
        <v>0</v>
      </c>
      <c r="I200" s="199">
        <v>0</v>
      </c>
      <c r="J200" s="199">
        <v>0</v>
      </c>
      <c r="K200" s="199">
        <v>0</v>
      </c>
      <c r="L200" s="199">
        <v>0</v>
      </c>
      <c r="M200" s="199">
        <v>0</v>
      </c>
      <c r="N200" s="199">
        <v>0</v>
      </c>
      <c r="O200" s="199">
        <v>0</v>
      </c>
      <c r="P200" s="199">
        <v>0</v>
      </c>
      <c r="Q200" s="199">
        <v>0</v>
      </c>
      <c r="R200" s="199">
        <v>0</v>
      </c>
      <c r="S200" s="199">
        <v>0</v>
      </c>
      <c r="T200" s="199">
        <v>0</v>
      </c>
      <c r="U200" s="199">
        <v>0</v>
      </c>
      <c r="V200" s="199">
        <v>0</v>
      </c>
      <c r="W200" s="199">
        <v>0</v>
      </c>
      <c r="X200" s="199">
        <v>0</v>
      </c>
      <c r="Y200" s="199">
        <v>0</v>
      </c>
      <c r="Z200" s="199">
        <v>0</v>
      </c>
      <c r="AA200" s="199">
        <v>0</v>
      </c>
      <c r="AB200" s="199">
        <v>0</v>
      </c>
      <c r="AC200" s="199">
        <v>0</v>
      </c>
      <c r="AD200" s="199">
        <v>1</v>
      </c>
      <c r="AE200" s="199">
        <v>1</v>
      </c>
      <c r="AF200" s="199">
        <v>1</v>
      </c>
      <c r="AG200" s="199">
        <v>1</v>
      </c>
      <c r="AH200" s="199">
        <v>0</v>
      </c>
      <c r="AI200" s="199">
        <v>0</v>
      </c>
      <c r="AJ200" s="199">
        <v>1</v>
      </c>
      <c r="AK200" s="199">
        <v>1</v>
      </c>
      <c r="AL200" s="199">
        <v>1</v>
      </c>
      <c r="AM200" s="199">
        <v>1</v>
      </c>
      <c r="AN200" s="199">
        <v>0</v>
      </c>
      <c r="AO200" s="199">
        <v>0</v>
      </c>
      <c r="AP200" s="199">
        <v>0</v>
      </c>
      <c r="AQ200" s="199">
        <v>0</v>
      </c>
      <c r="AR200" s="199">
        <v>0</v>
      </c>
      <c r="AS200" s="199">
        <v>0</v>
      </c>
      <c r="AT200" s="199">
        <v>0</v>
      </c>
      <c r="AU200" s="199">
        <v>0</v>
      </c>
      <c r="AV200" s="199">
        <v>0</v>
      </c>
      <c r="AW200" s="199">
        <v>0</v>
      </c>
      <c r="AX200" s="199">
        <v>0</v>
      </c>
      <c r="AY200" s="199">
        <v>0</v>
      </c>
      <c r="AZ200" s="199">
        <v>0</v>
      </c>
      <c r="BA200" s="199">
        <v>0</v>
      </c>
      <c r="BB200" s="199">
        <v>0</v>
      </c>
      <c r="BC200" s="199">
        <v>0</v>
      </c>
    </row>
    <row r="201" spans="1:55" s="86" customFormat="1" hidden="1" outlineLevel="1" x14ac:dyDescent="0.2">
      <c r="A201" s="36"/>
      <c r="B201" s="36"/>
      <c r="C201" s="162" t="str">
        <v>GGSN</v>
      </c>
      <c r="D201" s="81"/>
      <c r="F201" s="199">
        <v>0</v>
      </c>
      <c r="G201" s="199">
        <v>0</v>
      </c>
      <c r="H201" s="199">
        <v>0</v>
      </c>
      <c r="I201" s="199">
        <v>0</v>
      </c>
      <c r="J201" s="199">
        <v>0</v>
      </c>
      <c r="K201" s="199">
        <v>0</v>
      </c>
      <c r="L201" s="199">
        <v>0</v>
      </c>
      <c r="M201" s="199">
        <v>0</v>
      </c>
      <c r="N201" s="199">
        <v>0</v>
      </c>
      <c r="O201" s="199">
        <v>0</v>
      </c>
      <c r="P201" s="199">
        <v>0</v>
      </c>
      <c r="Q201" s="199">
        <v>0</v>
      </c>
      <c r="R201" s="199">
        <v>0</v>
      </c>
      <c r="S201" s="199">
        <v>0</v>
      </c>
      <c r="T201" s="199">
        <v>0</v>
      </c>
      <c r="U201" s="199">
        <v>0</v>
      </c>
      <c r="V201" s="199">
        <v>0</v>
      </c>
      <c r="W201" s="199">
        <v>0</v>
      </c>
      <c r="X201" s="199">
        <v>0</v>
      </c>
      <c r="Y201" s="199">
        <v>0</v>
      </c>
      <c r="Z201" s="199">
        <v>0</v>
      </c>
      <c r="AA201" s="199">
        <v>0</v>
      </c>
      <c r="AB201" s="199">
        <v>0</v>
      </c>
      <c r="AC201" s="199">
        <v>0</v>
      </c>
      <c r="AD201" s="199">
        <v>1</v>
      </c>
      <c r="AE201" s="199">
        <v>1</v>
      </c>
      <c r="AF201" s="199">
        <v>1</v>
      </c>
      <c r="AG201" s="199">
        <v>1</v>
      </c>
      <c r="AH201" s="199">
        <v>0</v>
      </c>
      <c r="AI201" s="199">
        <v>0</v>
      </c>
      <c r="AJ201" s="199">
        <v>1</v>
      </c>
      <c r="AK201" s="199">
        <v>1</v>
      </c>
      <c r="AL201" s="199">
        <v>1</v>
      </c>
      <c r="AM201" s="199">
        <v>1</v>
      </c>
      <c r="AN201" s="199">
        <v>0</v>
      </c>
      <c r="AO201" s="199">
        <v>0</v>
      </c>
      <c r="AP201" s="199">
        <v>0</v>
      </c>
      <c r="AQ201" s="199">
        <v>0</v>
      </c>
      <c r="AR201" s="199">
        <v>0</v>
      </c>
      <c r="AS201" s="199">
        <v>0</v>
      </c>
      <c r="AT201" s="199">
        <v>0</v>
      </c>
      <c r="AU201" s="199">
        <v>0</v>
      </c>
      <c r="AV201" s="199">
        <v>0</v>
      </c>
      <c r="AW201" s="199">
        <v>0</v>
      </c>
      <c r="AX201" s="199">
        <v>0</v>
      </c>
      <c r="AY201" s="199">
        <v>0</v>
      </c>
      <c r="AZ201" s="199">
        <v>0</v>
      </c>
      <c r="BA201" s="199">
        <v>0</v>
      </c>
      <c r="BB201" s="199">
        <v>0</v>
      </c>
      <c r="BC201" s="199">
        <v>0</v>
      </c>
    </row>
    <row r="202" spans="1:55" s="86" customFormat="1" hidden="1" outlineLevel="1" x14ac:dyDescent="0.2">
      <c r="A202" s="36"/>
      <c r="B202" s="36"/>
      <c r="C202" s="162" t="str">
        <v>LTE MME</v>
      </c>
      <c r="D202" s="81"/>
      <c r="F202" s="199">
        <v>0</v>
      </c>
      <c r="G202" s="199">
        <v>0</v>
      </c>
      <c r="H202" s="199">
        <v>0</v>
      </c>
      <c r="I202" s="199">
        <v>0</v>
      </c>
      <c r="J202" s="199">
        <v>0</v>
      </c>
      <c r="K202" s="199">
        <v>0</v>
      </c>
      <c r="L202" s="199">
        <v>0</v>
      </c>
      <c r="M202" s="199">
        <v>0</v>
      </c>
      <c r="N202" s="199">
        <v>0</v>
      </c>
      <c r="O202" s="199">
        <v>0</v>
      </c>
      <c r="P202" s="199">
        <v>0</v>
      </c>
      <c r="Q202" s="199">
        <v>0</v>
      </c>
      <c r="R202" s="199">
        <v>0</v>
      </c>
      <c r="S202" s="199">
        <v>0</v>
      </c>
      <c r="T202" s="199">
        <v>2</v>
      </c>
      <c r="U202" s="199">
        <v>1</v>
      </c>
      <c r="V202" s="199">
        <v>1</v>
      </c>
      <c r="W202" s="199">
        <v>1</v>
      </c>
      <c r="X202" s="199">
        <v>1</v>
      </c>
      <c r="Y202" s="199">
        <v>1</v>
      </c>
      <c r="Z202" s="199">
        <v>1</v>
      </c>
      <c r="AA202" s="199">
        <v>0</v>
      </c>
      <c r="AB202" s="199">
        <v>0</v>
      </c>
      <c r="AC202" s="199">
        <v>0</v>
      </c>
      <c r="AD202" s="199">
        <v>0</v>
      </c>
      <c r="AE202" s="199">
        <v>0</v>
      </c>
      <c r="AF202" s="199">
        <v>0</v>
      </c>
      <c r="AG202" s="199">
        <v>2.8318024691358027E-5</v>
      </c>
      <c r="AH202" s="199">
        <v>1.4159012345679013E-5</v>
      </c>
      <c r="AI202" s="199">
        <v>1.4159012345679013E-5</v>
      </c>
      <c r="AJ202" s="199">
        <v>0</v>
      </c>
      <c r="AK202" s="199">
        <v>0</v>
      </c>
      <c r="AL202" s="199">
        <v>0</v>
      </c>
      <c r="AM202" s="199">
        <v>0</v>
      </c>
      <c r="AN202" s="199">
        <v>0.23598353909465022</v>
      </c>
      <c r="AO202" s="199">
        <v>0</v>
      </c>
      <c r="AP202" s="199">
        <v>0</v>
      </c>
      <c r="AQ202" s="199">
        <v>0</v>
      </c>
      <c r="AR202" s="199">
        <v>0</v>
      </c>
      <c r="AS202" s="199">
        <v>0</v>
      </c>
      <c r="AT202" s="199">
        <v>0</v>
      </c>
      <c r="AU202" s="199">
        <v>0</v>
      </c>
      <c r="AV202" s="199">
        <v>0</v>
      </c>
      <c r="AW202" s="199">
        <v>0</v>
      </c>
      <c r="AX202" s="199">
        <v>0</v>
      </c>
      <c r="AY202" s="199">
        <v>0</v>
      </c>
      <c r="AZ202" s="199">
        <v>0</v>
      </c>
      <c r="BA202" s="199">
        <v>0</v>
      </c>
      <c r="BB202" s="199">
        <v>0</v>
      </c>
      <c r="BC202" s="199">
        <v>0</v>
      </c>
    </row>
    <row r="203" spans="1:55" s="86" customFormat="1" hidden="1" outlineLevel="1" x14ac:dyDescent="0.2">
      <c r="A203" s="36"/>
      <c r="B203" s="36"/>
      <c r="C203" s="162" t="str">
        <v>LTE SGW</v>
      </c>
      <c r="D203" s="81"/>
      <c r="F203" s="199">
        <v>0</v>
      </c>
      <c r="G203" s="199">
        <v>0</v>
      </c>
      <c r="H203" s="199">
        <v>0</v>
      </c>
      <c r="I203" s="199">
        <v>0</v>
      </c>
      <c r="J203" s="199">
        <v>0</v>
      </c>
      <c r="K203" s="199">
        <v>0</v>
      </c>
      <c r="L203" s="199">
        <v>0</v>
      </c>
      <c r="M203" s="199">
        <v>0</v>
      </c>
      <c r="N203" s="199">
        <v>0</v>
      </c>
      <c r="O203" s="199">
        <v>0</v>
      </c>
      <c r="P203" s="199">
        <v>0</v>
      </c>
      <c r="Q203" s="199">
        <v>0</v>
      </c>
      <c r="R203" s="199">
        <v>0</v>
      </c>
      <c r="S203" s="199">
        <v>0</v>
      </c>
      <c r="T203" s="199">
        <v>2</v>
      </c>
      <c r="U203" s="199">
        <v>1</v>
      </c>
      <c r="V203" s="199">
        <v>1</v>
      </c>
      <c r="W203" s="199">
        <v>1</v>
      </c>
      <c r="X203" s="199">
        <v>1</v>
      </c>
      <c r="Y203" s="199">
        <v>1</v>
      </c>
      <c r="Z203" s="199">
        <v>1</v>
      </c>
      <c r="AA203" s="199">
        <v>0</v>
      </c>
      <c r="AB203" s="199">
        <v>0</v>
      </c>
      <c r="AC203" s="199">
        <v>0</v>
      </c>
      <c r="AD203" s="199">
        <v>0</v>
      </c>
      <c r="AE203" s="199">
        <v>0</v>
      </c>
      <c r="AF203" s="199">
        <v>0</v>
      </c>
      <c r="AG203" s="199">
        <v>2.8318024691358027E-5</v>
      </c>
      <c r="AH203" s="199">
        <v>1.4159012345679013E-5</v>
      </c>
      <c r="AI203" s="199">
        <v>1.4159012345679013E-5</v>
      </c>
      <c r="AJ203" s="199">
        <v>0</v>
      </c>
      <c r="AK203" s="199">
        <v>0</v>
      </c>
      <c r="AL203" s="199">
        <v>0</v>
      </c>
      <c r="AM203" s="199">
        <v>0</v>
      </c>
      <c r="AN203" s="199">
        <v>0.23598353909465022</v>
      </c>
      <c r="AO203" s="199">
        <v>0</v>
      </c>
      <c r="AP203" s="199">
        <v>0</v>
      </c>
      <c r="AQ203" s="199">
        <v>0</v>
      </c>
      <c r="AR203" s="199">
        <v>0</v>
      </c>
      <c r="AS203" s="199">
        <v>0</v>
      </c>
      <c r="AT203" s="199">
        <v>0</v>
      </c>
      <c r="AU203" s="199">
        <v>0</v>
      </c>
      <c r="AV203" s="199">
        <v>0</v>
      </c>
      <c r="AW203" s="199">
        <v>0</v>
      </c>
      <c r="AX203" s="199">
        <v>0</v>
      </c>
      <c r="AY203" s="199">
        <v>0</v>
      </c>
      <c r="AZ203" s="199">
        <v>0</v>
      </c>
      <c r="BA203" s="199">
        <v>0</v>
      </c>
      <c r="BB203" s="199">
        <v>0</v>
      </c>
      <c r="BC203" s="199">
        <v>0</v>
      </c>
    </row>
    <row r="204" spans="1:55" s="86" customFormat="1" hidden="1" outlineLevel="1" x14ac:dyDescent="0.2">
      <c r="A204" s="36"/>
      <c r="B204" s="36"/>
      <c r="C204" s="162" t="str">
        <v>HLR</v>
      </c>
      <c r="D204" s="81"/>
      <c r="F204" s="199">
        <v>0</v>
      </c>
      <c r="G204" s="199">
        <v>0</v>
      </c>
      <c r="H204" s="199">
        <v>0</v>
      </c>
      <c r="I204" s="199">
        <v>0</v>
      </c>
      <c r="J204" s="199">
        <v>0</v>
      </c>
      <c r="K204" s="199">
        <v>0</v>
      </c>
      <c r="L204" s="199">
        <v>0</v>
      </c>
      <c r="M204" s="199">
        <v>0</v>
      </c>
      <c r="N204" s="199">
        <v>0</v>
      </c>
      <c r="O204" s="199">
        <v>0</v>
      </c>
      <c r="P204" s="199">
        <v>0</v>
      </c>
      <c r="Q204" s="199">
        <v>0</v>
      </c>
      <c r="R204" s="199">
        <v>0</v>
      </c>
      <c r="S204" s="199">
        <v>0</v>
      </c>
      <c r="T204" s="199">
        <v>0</v>
      </c>
      <c r="U204" s="199">
        <v>0</v>
      </c>
      <c r="V204" s="199">
        <v>0</v>
      </c>
      <c r="W204" s="199">
        <v>0</v>
      </c>
      <c r="X204" s="199">
        <v>0</v>
      </c>
      <c r="Y204" s="199">
        <v>0</v>
      </c>
      <c r="Z204" s="199">
        <v>0</v>
      </c>
      <c r="AA204" s="199">
        <v>0</v>
      </c>
      <c r="AB204" s="199">
        <v>0</v>
      </c>
      <c r="AC204" s="199">
        <v>0</v>
      </c>
      <c r="AD204" s="199">
        <v>0</v>
      </c>
      <c r="AE204" s="199">
        <v>0</v>
      </c>
      <c r="AF204" s="199">
        <v>0</v>
      </c>
      <c r="AG204" s="199">
        <v>0</v>
      </c>
      <c r="AH204" s="199">
        <v>0</v>
      </c>
      <c r="AI204" s="199">
        <v>0</v>
      </c>
      <c r="AJ204" s="199">
        <v>0</v>
      </c>
      <c r="AK204" s="199">
        <v>0</v>
      </c>
      <c r="AL204" s="199">
        <v>0</v>
      </c>
      <c r="AM204" s="199">
        <v>0</v>
      </c>
      <c r="AN204" s="199">
        <v>0</v>
      </c>
      <c r="AO204" s="199">
        <v>0</v>
      </c>
      <c r="AP204" s="199">
        <v>1</v>
      </c>
      <c r="AQ204" s="199">
        <v>1</v>
      </c>
      <c r="AR204" s="199">
        <v>0</v>
      </c>
      <c r="AS204" s="199">
        <v>0</v>
      </c>
      <c r="AT204" s="199">
        <v>0</v>
      </c>
      <c r="AU204" s="199">
        <v>0</v>
      </c>
      <c r="AV204" s="199">
        <v>0</v>
      </c>
      <c r="AW204" s="199">
        <v>0</v>
      </c>
      <c r="AX204" s="199">
        <v>0</v>
      </c>
      <c r="AY204" s="199">
        <v>0</v>
      </c>
      <c r="AZ204" s="199">
        <v>0</v>
      </c>
      <c r="BA204" s="199">
        <v>0</v>
      </c>
      <c r="BB204" s="199">
        <v>0</v>
      </c>
      <c r="BC204" s="199">
        <v>0</v>
      </c>
    </row>
    <row r="205" spans="1:55" s="86" customFormat="1" hidden="1" outlineLevel="1" x14ac:dyDescent="0.2">
      <c r="A205" s="36"/>
      <c r="B205" s="36"/>
      <c r="C205" s="162" t="str">
        <v>AUC</v>
      </c>
      <c r="D205" s="81"/>
      <c r="F205" s="199">
        <v>0</v>
      </c>
      <c r="G205" s="199">
        <v>0</v>
      </c>
      <c r="H205" s="199">
        <v>0</v>
      </c>
      <c r="I205" s="199">
        <v>0</v>
      </c>
      <c r="J205" s="199">
        <v>0</v>
      </c>
      <c r="K205" s="199">
        <v>0</v>
      </c>
      <c r="L205" s="199">
        <v>0</v>
      </c>
      <c r="M205" s="199">
        <v>0</v>
      </c>
      <c r="N205" s="199">
        <v>0</v>
      </c>
      <c r="O205" s="199">
        <v>0</v>
      </c>
      <c r="P205" s="199">
        <v>0</v>
      </c>
      <c r="Q205" s="199">
        <v>0</v>
      </c>
      <c r="R205" s="199">
        <v>0</v>
      </c>
      <c r="S205" s="199">
        <v>0</v>
      </c>
      <c r="T205" s="199">
        <v>0</v>
      </c>
      <c r="U205" s="199">
        <v>0</v>
      </c>
      <c r="V205" s="199">
        <v>0</v>
      </c>
      <c r="W205" s="199">
        <v>0</v>
      </c>
      <c r="X205" s="199">
        <v>0</v>
      </c>
      <c r="Y205" s="199">
        <v>0</v>
      </c>
      <c r="Z205" s="199">
        <v>0</v>
      </c>
      <c r="AA205" s="199">
        <v>0</v>
      </c>
      <c r="AB205" s="199">
        <v>0</v>
      </c>
      <c r="AC205" s="199">
        <v>0</v>
      </c>
      <c r="AD205" s="199">
        <v>0</v>
      </c>
      <c r="AE205" s="199">
        <v>0</v>
      </c>
      <c r="AF205" s="199">
        <v>0</v>
      </c>
      <c r="AG205" s="199">
        <v>0</v>
      </c>
      <c r="AH205" s="199">
        <v>0</v>
      </c>
      <c r="AI205" s="199">
        <v>0</v>
      </c>
      <c r="AJ205" s="199">
        <v>0</v>
      </c>
      <c r="AK205" s="199">
        <v>0</v>
      </c>
      <c r="AL205" s="199">
        <v>0</v>
      </c>
      <c r="AM205" s="199">
        <v>0</v>
      </c>
      <c r="AN205" s="199">
        <v>0</v>
      </c>
      <c r="AO205" s="199">
        <v>0</v>
      </c>
      <c r="AP205" s="199">
        <v>1</v>
      </c>
      <c r="AQ205" s="199">
        <v>1</v>
      </c>
      <c r="AR205" s="199">
        <v>0</v>
      </c>
      <c r="AS205" s="199">
        <v>0</v>
      </c>
      <c r="AT205" s="199">
        <v>0</v>
      </c>
      <c r="AU205" s="199">
        <v>0</v>
      </c>
      <c r="AV205" s="199">
        <v>0</v>
      </c>
      <c r="AW205" s="199">
        <v>0</v>
      </c>
      <c r="AX205" s="199">
        <v>0</v>
      </c>
      <c r="AY205" s="199">
        <v>0</v>
      </c>
      <c r="AZ205" s="199">
        <v>0</v>
      </c>
      <c r="BA205" s="199">
        <v>0</v>
      </c>
      <c r="BB205" s="199">
        <v>0</v>
      </c>
      <c r="BC205" s="199">
        <v>0</v>
      </c>
    </row>
    <row r="206" spans="1:55" s="86" customFormat="1" hidden="1" outlineLevel="1" x14ac:dyDescent="0.2">
      <c r="A206" s="36"/>
      <c r="B206" s="36"/>
      <c r="C206" s="162" t="str">
        <v>EIR</v>
      </c>
      <c r="D206" s="81"/>
      <c r="F206" s="199">
        <v>0</v>
      </c>
      <c r="G206" s="199">
        <v>0</v>
      </c>
      <c r="H206" s="199">
        <v>0</v>
      </c>
      <c r="I206" s="199">
        <v>0</v>
      </c>
      <c r="J206" s="199">
        <v>0</v>
      </c>
      <c r="K206" s="199">
        <v>0</v>
      </c>
      <c r="L206" s="199">
        <v>0</v>
      </c>
      <c r="M206" s="199">
        <v>0</v>
      </c>
      <c r="N206" s="199">
        <v>0</v>
      </c>
      <c r="O206" s="199">
        <v>0</v>
      </c>
      <c r="P206" s="199">
        <v>0</v>
      </c>
      <c r="Q206" s="199">
        <v>0</v>
      </c>
      <c r="R206" s="199">
        <v>0</v>
      </c>
      <c r="S206" s="199">
        <v>0</v>
      </c>
      <c r="T206" s="199">
        <v>0</v>
      </c>
      <c r="U206" s="199">
        <v>0</v>
      </c>
      <c r="V206" s="199">
        <v>0</v>
      </c>
      <c r="W206" s="199">
        <v>0</v>
      </c>
      <c r="X206" s="199">
        <v>0</v>
      </c>
      <c r="Y206" s="199">
        <v>0</v>
      </c>
      <c r="Z206" s="199">
        <v>0</v>
      </c>
      <c r="AA206" s="199">
        <v>0</v>
      </c>
      <c r="AB206" s="199">
        <v>0</v>
      </c>
      <c r="AC206" s="199">
        <v>0</v>
      </c>
      <c r="AD206" s="199">
        <v>0</v>
      </c>
      <c r="AE206" s="199">
        <v>0</v>
      </c>
      <c r="AF206" s="199">
        <v>0</v>
      </c>
      <c r="AG206" s="199">
        <v>0</v>
      </c>
      <c r="AH206" s="199">
        <v>0</v>
      </c>
      <c r="AI206" s="199">
        <v>0</v>
      </c>
      <c r="AJ206" s="199">
        <v>0</v>
      </c>
      <c r="AK206" s="199">
        <v>0</v>
      </c>
      <c r="AL206" s="199">
        <v>0</v>
      </c>
      <c r="AM206" s="199">
        <v>0</v>
      </c>
      <c r="AN206" s="199">
        <v>0</v>
      </c>
      <c r="AO206" s="199">
        <v>0</v>
      </c>
      <c r="AP206" s="199">
        <v>1</v>
      </c>
      <c r="AQ206" s="199">
        <v>1</v>
      </c>
      <c r="AR206" s="199">
        <v>0</v>
      </c>
      <c r="AS206" s="199">
        <v>0</v>
      </c>
      <c r="AT206" s="199">
        <v>0</v>
      </c>
      <c r="AU206" s="199">
        <v>0</v>
      </c>
      <c r="AV206" s="199">
        <v>0</v>
      </c>
      <c r="AW206" s="199">
        <v>0</v>
      </c>
      <c r="AX206" s="199">
        <v>0</v>
      </c>
      <c r="AY206" s="199">
        <v>0</v>
      </c>
      <c r="AZ206" s="199">
        <v>0</v>
      </c>
      <c r="BA206" s="199">
        <v>0</v>
      </c>
      <c r="BB206" s="199">
        <v>0</v>
      </c>
      <c r="BC206" s="199">
        <v>0</v>
      </c>
    </row>
    <row r="207" spans="1:55" s="86" customFormat="1" hidden="1" outlineLevel="1" x14ac:dyDescent="0.2">
      <c r="A207" s="36"/>
      <c r="B207" s="36"/>
      <c r="C207" s="162" t="str">
        <v>IN (SCP+SMP)</v>
      </c>
      <c r="D207" s="81"/>
      <c r="F207" s="199">
        <v>2</v>
      </c>
      <c r="G207" s="199">
        <v>1</v>
      </c>
      <c r="H207" s="199">
        <v>1</v>
      </c>
      <c r="I207" s="199">
        <v>1</v>
      </c>
      <c r="J207" s="199">
        <v>1</v>
      </c>
      <c r="K207" s="199">
        <v>1</v>
      </c>
      <c r="L207" s="199">
        <v>1</v>
      </c>
      <c r="M207" s="199">
        <v>2</v>
      </c>
      <c r="N207" s="199">
        <v>1</v>
      </c>
      <c r="O207" s="199">
        <v>1</v>
      </c>
      <c r="P207" s="199">
        <v>1</v>
      </c>
      <c r="Q207" s="199">
        <v>1</v>
      </c>
      <c r="R207" s="199">
        <v>1</v>
      </c>
      <c r="S207" s="199">
        <v>1</v>
      </c>
      <c r="T207" s="199">
        <v>2</v>
      </c>
      <c r="U207" s="199">
        <v>1</v>
      </c>
      <c r="V207" s="199">
        <v>1</v>
      </c>
      <c r="W207" s="199">
        <v>1</v>
      </c>
      <c r="X207" s="199">
        <v>1</v>
      </c>
      <c r="Y207" s="199">
        <v>1</v>
      </c>
      <c r="Z207" s="199">
        <v>1</v>
      </c>
      <c r="AA207" s="199">
        <v>0</v>
      </c>
      <c r="AB207" s="199">
        <v>0</v>
      </c>
      <c r="AC207" s="199">
        <v>0</v>
      </c>
      <c r="AD207" s="199">
        <v>0</v>
      </c>
      <c r="AE207" s="199">
        <v>0</v>
      </c>
      <c r="AF207" s="199">
        <v>0</v>
      </c>
      <c r="AG207" s="199">
        <v>0</v>
      </c>
      <c r="AH207" s="199">
        <v>0</v>
      </c>
      <c r="AI207" s="199">
        <v>0</v>
      </c>
      <c r="AJ207" s="199">
        <v>0</v>
      </c>
      <c r="AK207" s="199">
        <v>0</v>
      </c>
      <c r="AL207" s="199">
        <v>0</v>
      </c>
      <c r="AM207" s="199">
        <v>0</v>
      </c>
      <c r="AN207" s="199">
        <v>0</v>
      </c>
      <c r="AO207" s="199">
        <v>0</v>
      </c>
      <c r="AP207" s="199">
        <v>0</v>
      </c>
      <c r="AQ207" s="199">
        <v>0</v>
      </c>
      <c r="AR207" s="199">
        <v>0</v>
      </c>
      <c r="AS207" s="199">
        <v>0</v>
      </c>
      <c r="AT207" s="199">
        <v>0</v>
      </c>
      <c r="AU207" s="199">
        <v>0</v>
      </c>
      <c r="AV207" s="199">
        <v>0</v>
      </c>
      <c r="AW207" s="199">
        <v>0</v>
      </c>
      <c r="AX207" s="199">
        <v>0</v>
      </c>
      <c r="AY207" s="199">
        <v>0</v>
      </c>
      <c r="AZ207" s="199">
        <v>0</v>
      </c>
      <c r="BA207" s="199">
        <v>0</v>
      </c>
      <c r="BB207" s="199">
        <v>0</v>
      </c>
      <c r="BC207" s="199">
        <v>0</v>
      </c>
    </row>
    <row r="208" spans="1:55" s="86" customFormat="1" hidden="1" outlineLevel="1" x14ac:dyDescent="0.2">
      <c r="A208" s="36"/>
      <c r="B208" s="36"/>
      <c r="C208" s="162" t="str">
        <v>Asset spare</v>
      </c>
      <c r="D208" s="81"/>
      <c r="F208" s="199">
        <v>0</v>
      </c>
      <c r="G208" s="199">
        <v>0</v>
      </c>
      <c r="H208" s="199">
        <v>0</v>
      </c>
      <c r="I208" s="199">
        <v>0</v>
      </c>
      <c r="J208" s="199">
        <v>0</v>
      </c>
      <c r="K208" s="199">
        <v>0</v>
      </c>
      <c r="L208" s="199">
        <v>0</v>
      </c>
      <c r="M208" s="199">
        <v>0</v>
      </c>
      <c r="N208" s="199">
        <v>0</v>
      </c>
      <c r="O208" s="199">
        <v>0</v>
      </c>
      <c r="P208" s="199">
        <v>0</v>
      </c>
      <c r="Q208" s="199">
        <v>0</v>
      </c>
      <c r="R208" s="199">
        <v>0</v>
      </c>
      <c r="S208" s="199">
        <v>0</v>
      </c>
      <c r="T208" s="199">
        <v>0</v>
      </c>
      <c r="U208" s="199">
        <v>0</v>
      </c>
      <c r="V208" s="199">
        <v>0</v>
      </c>
      <c r="W208" s="199">
        <v>0</v>
      </c>
      <c r="X208" s="199">
        <v>0</v>
      </c>
      <c r="Y208" s="199">
        <v>0</v>
      </c>
      <c r="Z208" s="199">
        <v>0</v>
      </c>
      <c r="AA208" s="199">
        <v>0</v>
      </c>
      <c r="AB208" s="199">
        <v>0</v>
      </c>
      <c r="AC208" s="199">
        <v>0</v>
      </c>
      <c r="AD208" s="199">
        <v>0</v>
      </c>
      <c r="AE208" s="199">
        <v>0</v>
      </c>
      <c r="AF208" s="199">
        <v>0</v>
      </c>
      <c r="AG208" s="199">
        <v>0</v>
      </c>
      <c r="AH208" s="199">
        <v>0</v>
      </c>
      <c r="AI208" s="199">
        <v>0</v>
      </c>
      <c r="AJ208" s="199">
        <v>0</v>
      </c>
      <c r="AK208" s="199">
        <v>0</v>
      </c>
      <c r="AL208" s="199">
        <v>0</v>
      </c>
      <c r="AM208" s="199">
        <v>0</v>
      </c>
      <c r="AN208" s="199">
        <v>0</v>
      </c>
      <c r="AO208" s="199">
        <v>0</v>
      </c>
      <c r="AP208" s="199">
        <v>0</v>
      </c>
      <c r="AQ208" s="199">
        <v>0</v>
      </c>
      <c r="AR208" s="199">
        <v>0</v>
      </c>
      <c r="AS208" s="199">
        <v>0</v>
      </c>
      <c r="AT208" s="199">
        <v>0</v>
      </c>
      <c r="AU208" s="199">
        <v>0</v>
      </c>
      <c r="AV208" s="199">
        <v>0</v>
      </c>
      <c r="AW208" s="199">
        <v>0</v>
      </c>
      <c r="AX208" s="199">
        <v>0</v>
      </c>
      <c r="AY208" s="199">
        <v>0</v>
      </c>
      <c r="AZ208" s="199">
        <v>0</v>
      </c>
      <c r="BA208" s="199">
        <v>0</v>
      </c>
      <c r="BB208" s="199">
        <v>0</v>
      </c>
      <c r="BC208" s="199">
        <v>0</v>
      </c>
    </row>
    <row r="209" spans="1:55" s="86" customFormat="1" hidden="1" outlineLevel="1" x14ac:dyDescent="0.2">
      <c r="A209" s="36"/>
      <c r="B209" s="36"/>
      <c r="C209" s="162" t="str">
        <v>Asset spare</v>
      </c>
      <c r="D209" s="81"/>
      <c r="F209" s="199">
        <v>0</v>
      </c>
      <c r="G209" s="199">
        <v>0</v>
      </c>
      <c r="H209" s="199">
        <v>0</v>
      </c>
      <c r="I209" s="199">
        <v>0</v>
      </c>
      <c r="J209" s="199">
        <v>0</v>
      </c>
      <c r="K209" s="199">
        <v>0</v>
      </c>
      <c r="L209" s="199">
        <v>0</v>
      </c>
      <c r="M209" s="199">
        <v>0</v>
      </c>
      <c r="N209" s="199">
        <v>0</v>
      </c>
      <c r="O209" s="199">
        <v>0</v>
      </c>
      <c r="P209" s="199">
        <v>0</v>
      </c>
      <c r="Q209" s="199">
        <v>0</v>
      </c>
      <c r="R209" s="199">
        <v>0</v>
      </c>
      <c r="S209" s="199">
        <v>0</v>
      </c>
      <c r="T209" s="199">
        <v>0</v>
      </c>
      <c r="U209" s="199">
        <v>0</v>
      </c>
      <c r="V209" s="199">
        <v>0</v>
      </c>
      <c r="W209" s="199">
        <v>0</v>
      </c>
      <c r="X209" s="199">
        <v>0</v>
      </c>
      <c r="Y209" s="199">
        <v>0</v>
      </c>
      <c r="Z209" s="199">
        <v>0</v>
      </c>
      <c r="AA209" s="199">
        <v>0</v>
      </c>
      <c r="AB209" s="199">
        <v>0</v>
      </c>
      <c r="AC209" s="199">
        <v>0</v>
      </c>
      <c r="AD209" s="199">
        <v>0</v>
      </c>
      <c r="AE209" s="199">
        <v>0</v>
      </c>
      <c r="AF209" s="199">
        <v>0</v>
      </c>
      <c r="AG209" s="199">
        <v>0</v>
      </c>
      <c r="AH209" s="199">
        <v>0</v>
      </c>
      <c r="AI209" s="199">
        <v>0</v>
      </c>
      <c r="AJ209" s="199">
        <v>0</v>
      </c>
      <c r="AK209" s="199">
        <v>0</v>
      </c>
      <c r="AL209" s="199">
        <v>0</v>
      </c>
      <c r="AM209" s="199">
        <v>0</v>
      </c>
      <c r="AN209" s="199">
        <v>0</v>
      </c>
      <c r="AO209" s="199">
        <v>0</v>
      </c>
      <c r="AP209" s="199">
        <v>0</v>
      </c>
      <c r="AQ209" s="199">
        <v>0</v>
      </c>
      <c r="AR209" s="199">
        <v>0</v>
      </c>
      <c r="AS209" s="199">
        <v>0</v>
      </c>
      <c r="AT209" s="199">
        <v>0</v>
      </c>
      <c r="AU209" s="199">
        <v>0</v>
      </c>
      <c r="AV209" s="199">
        <v>0</v>
      </c>
      <c r="AW209" s="199">
        <v>0</v>
      </c>
      <c r="AX209" s="199">
        <v>0</v>
      </c>
      <c r="AY209" s="199">
        <v>0</v>
      </c>
      <c r="AZ209" s="199">
        <v>0</v>
      </c>
      <c r="BA209" s="199">
        <v>0</v>
      </c>
      <c r="BB209" s="199">
        <v>0</v>
      </c>
      <c r="BC209" s="199">
        <v>0</v>
      </c>
    </row>
    <row r="210" spans="1:55" s="86" customFormat="1" hidden="1" outlineLevel="1" x14ac:dyDescent="0.2">
      <c r="A210" s="36"/>
      <c r="B210" s="36"/>
      <c r="C210" s="162" t="str">
        <v>SMSC</v>
      </c>
      <c r="D210" s="81"/>
      <c r="F210" s="199">
        <v>0</v>
      </c>
      <c r="G210" s="199">
        <v>0</v>
      </c>
      <c r="H210" s="199">
        <v>0</v>
      </c>
      <c r="I210" s="199">
        <v>0</v>
      </c>
      <c r="J210" s="199">
        <v>0</v>
      </c>
      <c r="K210" s="199">
        <v>0</v>
      </c>
      <c r="L210" s="199">
        <v>0</v>
      </c>
      <c r="M210" s="199">
        <v>0</v>
      </c>
      <c r="N210" s="199">
        <v>0</v>
      </c>
      <c r="O210" s="199">
        <v>0</v>
      </c>
      <c r="P210" s="199">
        <v>0</v>
      </c>
      <c r="Q210" s="199">
        <v>0</v>
      </c>
      <c r="R210" s="199">
        <v>0</v>
      </c>
      <c r="S210" s="199">
        <v>0</v>
      </c>
      <c r="T210" s="199">
        <v>0</v>
      </c>
      <c r="U210" s="199">
        <v>0</v>
      </c>
      <c r="V210" s="199">
        <v>0</v>
      </c>
      <c r="W210" s="199">
        <v>0</v>
      </c>
      <c r="X210" s="199">
        <v>0</v>
      </c>
      <c r="Y210" s="199">
        <v>0</v>
      </c>
      <c r="Z210" s="199">
        <v>0</v>
      </c>
      <c r="AA210" s="199">
        <v>1</v>
      </c>
      <c r="AB210" s="199">
        <v>1</v>
      </c>
      <c r="AC210" s="199">
        <v>0</v>
      </c>
      <c r="AD210" s="199">
        <v>1</v>
      </c>
      <c r="AE210" s="199">
        <v>1</v>
      </c>
      <c r="AF210" s="199">
        <v>0</v>
      </c>
      <c r="AG210" s="199">
        <v>1</v>
      </c>
      <c r="AH210" s="199">
        <v>1</v>
      </c>
      <c r="AI210" s="199">
        <v>0</v>
      </c>
      <c r="AJ210" s="199">
        <v>0</v>
      </c>
      <c r="AK210" s="199">
        <v>0</v>
      </c>
      <c r="AL210" s="199">
        <v>0</v>
      </c>
      <c r="AM210" s="199">
        <v>0</v>
      </c>
      <c r="AN210" s="199">
        <v>0</v>
      </c>
      <c r="AO210" s="199">
        <v>0</v>
      </c>
      <c r="AP210" s="199">
        <v>0</v>
      </c>
      <c r="AQ210" s="199">
        <v>0</v>
      </c>
      <c r="AR210" s="199">
        <v>0</v>
      </c>
      <c r="AS210" s="199">
        <v>0</v>
      </c>
      <c r="AT210" s="199">
        <v>0</v>
      </c>
      <c r="AU210" s="199">
        <v>0</v>
      </c>
      <c r="AV210" s="199">
        <v>0</v>
      </c>
      <c r="AW210" s="199">
        <v>0</v>
      </c>
      <c r="AX210" s="199">
        <v>0</v>
      </c>
      <c r="AY210" s="199">
        <v>0</v>
      </c>
      <c r="AZ210" s="199">
        <v>0</v>
      </c>
      <c r="BA210" s="199">
        <v>0</v>
      </c>
      <c r="BB210" s="199">
        <v>0</v>
      </c>
      <c r="BC210" s="199">
        <v>0</v>
      </c>
    </row>
    <row r="211" spans="1:55" s="86" customFormat="1" hidden="1" outlineLevel="1" x14ac:dyDescent="0.2">
      <c r="A211" s="36"/>
      <c r="B211" s="36"/>
      <c r="C211" s="162" t="str">
        <v>MMSC</v>
      </c>
      <c r="D211" s="81"/>
      <c r="F211" s="199">
        <v>0</v>
      </c>
      <c r="G211" s="199">
        <v>0</v>
      </c>
      <c r="H211" s="199">
        <v>0</v>
      </c>
      <c r="I211" s="199">
        <v>0</v>
      </c>
      <c r="J211" s="199">
        <v>0</v>
      </c>
      <c r="K211" s="199">
        <v>0</v>
      </c>
      <c r="L211" s="199">
        <v>0</v>
      </c>
      <c r="M211" s="199">
        <v>0</v>
      </c>
      <c r="N211" s="199">
        <v>0</v>
      </c>
      <c r="O211" s="199">
        <v>0</v>
      </c>
      <c r="P211" s="199">
        <v>0</v>
      </c>
      <c r="Q211" s="199">
        <v>0</v>
      </c>
      <c r="R211" s="199">
        <v>0</v>
      </c>
      <c r="S211" s="199">
        <v>0</v>
      </c>
      <c r="T211" s="199">
        <v>0</v>
      </c>
      <c r="U211" s="199">
        <v>0</v>
      </c>
      <c r="V211" s="199">
        <v>0</v>
      </c>
      <c r="W211" s="199">
        <v>0</v>
      </c>
      <c r="X211" s="199">
        <v>0</v>
      </c>
      <c r="Y211" s="199">
        <v>0</v>
      </c>
      <c r="Z211" s="199">
        <v>0</v>
      </c>
      <c r="AA211" s="199">
        <v>1</v>
      </c>
      <c r="AB211" s="199">
        <v>1</v>
      </c>
      <c r="AC211" s="199">
        <v>0</v>
      </c>
      <c r="AD211" s="199">
        <v>1</v>
      </c>
      <c r="AE211" s="199">
        <v>1</v>
      </c>
      <c r="AF211" s="199">
        <v>0</v>
      </c>
      <c r="AG211" s="199">
        <v>1</v>
      </c>
      <c r="AH211" s="199">
        <v>1</v>
      </c>
      <c r="AI211" s="199">
        <v>0</v>
      </c>
      <c r="AJ211" s="199">
        <v>0</v>
      </c>
      <c r="AK211" s="199">
        <v>0</v>
      </c>
      <c r="AL211" s="199">
        <v>0</v>
      </c>
      <c r="AM211" s="199">
        <v>0</v>
      </c>
      <c r="AN211" s="199">
        <v>0</v>
      </c>
      <c r="AO211" s="199">
        <v>0</v>
      </c>
      <c r="AP211" s="199">
        <v>0</v>
      </c>
      <c r="AQ211" s="199">
        <v>0</v>
      </c>
      <c r="AR211" s="199">
        <v>0</v>
      </c>
      <c r="AS211" s="199">
        <v>0</v>
      </c>
      <c r="AT211" s="199">
        <v>0</v>
      </c>
      <c r="AU211" s="199">
        <v>0</v>
      </c>
      <c r="AV211" s="199">
        <v>0</v>
      </c>
      <c r="AW211" s="199">
        <v>0</v>
      </c>
      <c r="AX211" s="199">
        <v>0</v>
      </c>
      <c r="AY211" s="199">
        <v>0</v>
      </c>
      <c r="AZ211" s="199">
        <v>0</v>
      </c>
      <c r="BA211" s="199">
        <v>0</v>
      </c>
      <c r="BB211" s="199">
        <v>0</v>
      </c>
      <c r="BC211" s="199">
        <v>0</v>
      </c>
    </row>
    <row r="212" spans="1:55" s="86" customFormat="1" hidden="1" outlineLevel="1" x14ac:dyDescent="0.2">
      <c r="A212" s="36"/>
      <c r="B212" s="36"/>
      <c r="C212" s="162" t="str">
        <v>Asset spare</v>
      </c>
      <c r="D212" s="81"/>
      <c r="F212" s="199">
        <v>0</v>
      </c>
      <c r="G212" s="199">
        <v>0</v>
      </c>
      <c r="H212" s="199">
        <v>0</v>
      </c>
      <c r="I212" s="199">
        <v>0</v>
      </c>
      <c r="J212" s="199">
        <v>0</v>
      </c>
      <c r="K212" s="199">
        <v>0</v>
      </c>
      <c r="L212" s="199">
        <v>0</v>
      </c>
      <c r="M212" s="199">
        <v>0</v>
      </c>
      <c r="N212" s="199">
        <v>0</v>
      </c>
      <c r="O212" s="199">
        <v>0</v>
      </c>
      <c r="P212" s="199">
        <v>0</v>
      </c>
      <c r="Q212" s="199">
        <v>0</v>
      </c>
      <c r="R212" s="199">
        <v>0</v>
      </c>
      <c r="S212" s="199">
        <v>0</v>
      </c>
      <c r="T212" s="199">
        <v>0</v>
      </c>
      <c r="U212" s="199">
        <v>0</v>
      </c>
      <c r="V212" s="199">
        <v>0</v>
      </c>
      <c r="W212" s="199">
        <v>0</v>
      </c>
      <c r="X212" s="199">
        <v>0</v>
      </c>
      <c r="Y212" s="199">
        <v>0</v>
      </c>
      <c r="Z212" s="199">
        <v>0</v>
      </c>
      <c r="AA212" s="199">
        <v>0</v>
      </c>
      <c r="AB212" s="199">
        <v>0</v>
      </c>
      <c r="AC212" s="199">
        <v>0</v>
      </c>
      <c r="AD212" s="199">
        <v>0</v>
      </c>
      <c r="AE212" s="199">
        <v>0</v>
      </c>
      <c r="AF212" s="199">
        <v>0</v>
      </c>
      <c r="AG212" s="199">
        <v>0</v>
      </c>
      <c r="AH212" s="199">
        <v>0</v>
      </c>
      <c r="AI212" s="199">
        <v>0</v>
      </c>
      <c r="AJ212" s="199">
        <v>0</v>
      </c>
      <c r="AK212" s="199">
        <v>0</v>
      </c>
      <c r="AL212" s="199">
        <v>0</v>
      </c>
      <c r="AM212" s="199">
        <v>0</v>
      </c>
      <c r="AN212" s="199">
        <v>0</v>
      </c>
      <c r="AO212" s="199">
        <v>0</v>
      </c>
      <c r="AP212" s="199">
        <v>0</v>
      </c>
      <c r="AQ212" s="199">
        <v>0</v>
      </c>
      <c r="AR212" s="199">
        <v>0</v>
      </c>
      <c r="AS212" s="199">
        <v>0</v>
      </c>
      <c r="AT212" s="199">
        <v>0</v>
      </c>
      <c r="AU212" s="199">
        <v>0</v>
      </c>
      <c r="AV212" s="199">
        <v>0</v>
      </c>
      <c r="AW212" s="199">
        <v>0</v>
      </c>
      <c r="AX212" s="199">
        <v>0</v>
      </c>
      <c r="AY212" s="199">
        <v>0</v>
      </c>
      <c r="AZ212" s="199">
        <v>0</v>
      </c>
      <c r="BA212" s="199">
        <v>0</v>
      </c>
      <c r="BB212" s="199">
        <v>0</v>
      </c>
      <c r="BC212" s="199">
        <v>0</v>
      </c>
    </row>
    <row r="213" spans="1:55" s="86" customFormat="1" hidden="1" outlineLevel="1" x14ac:dyDescent="0.2">
      <c r="A213" s="36"/>
      <c r="B213" s="36"/>
      <c r="C213" s="162" t="str">
        <v>MSC/MGW STM1 ports for voice traffic</v>
      </c>
      <c r="D213" s="81"/>
      <c r="F213" s="199">
        <v>1</v>
      </c>
      <c r="G213" s="199">
        <v>1</v>
      </c>
      <c r="H213" s="199">
        <v>1</v>
      </c>
      <c r="I213" s="199">
        <v>1</v>
      </c>
      <c r="J213" s="199">
        <v>1</v>
      </c>
      <c r="K213" s="199">
        <v>1</v>
      </c>
      <c r="L213" s="199">
        <v>1</v>
      </c>
      <c r="M213" s="199">
        <v>1</v>
      </c>
      <c r="N213" s="199">
        <v>1</v>
      </c>
      <c r="O213" s="199">
        <v>1</v>
      </c>
      <c r="P213" s="199">
        <v>1</v>
      </c>
      <c r="Q213" s="199">
        <v>1</v>
      </c>
      <c r="R213" s="199">
        <v>1</v>
      </c>
      <c r="S213" s="199">
        <v>1</v>
      </c>
      <c r="T213" s="199">
        <v>1</v>
      </c>
      <c r="U213" s="199">
        <v>1</v>
      </c>
      <c r="V213" s="199">
        <v>1</v>
      </c>
      <c r="W213" s="199">
        <v>1</v>
      </c>
      <c r="X213" s="199">
        <v>1</v>
      </c>
      <c r="Y213" s="199">
        <v>1</v>
      </c>
      <c r="Z213" s="199">
        <v>1</v>
      </c>
      <c r="AA213" s="199">
        <v>0</v>
      </c>
      <c r="AB213" s="199">
        <v>0</v>
      </c>
      <c r="AC213" s="199">
        <v>0</v>
      </c>
      <c r="AD213" s="199">
        <v>0</v>
      </c>
      <c r="AE213" s="199">
        <v>0</v>
      </c>
      <c r="AF213" s="199">
        <v>0</v>
      </c>
      <c r="AG213" s="199">
        <v>0</v>
      </c>
      <c r="AH213" s="199">
        <v>0</v>
      </c>
      <c r="AI213" s="199">
        <v>0</v>
      </c>
      <c r="AJ213" s="199">
        <v>0</v>
      </c>
      <c r="AK213" s="199">
        <v>0</v>
      </c>
      <c r="AL213" s="199">
        <v>0</v>
      </c>
      <c r="AM213" s="199">
        <v>0</v>
      </c>
      <c r="AN213" s="199">
        <v>0</v>
      </c>
      <c r="AO213" s="199">
        <v>0</v>
      </c>
      <c r="AP213" s="199">
        <v>0</v>
      </c>
      <c r="AQ213" s="199">
        <v>0</v>
      </c>
      <c r="AR213" s="199">
        <v>0</v>
      </c>
      <c r="AS213" s="199">
        <v>0</v>
      </c>
      <c r="AT213" s="199">
        <v>0</v>
      </c>
      <c r="AU213" s="199">
        <v>0</v>
      </c>
      <c r="AV213" s="199">
        <v>0</v>
      </c>
      <c r="AW213" s="199">
        <v>0</v>
      </c>
      <c r="AX213" s="199">
        <v>0</v>
      </c>
      <c r="AY213" s="199">
        <v>0</v>
      </c>
      <c r="AZ213" s="199">
        <v>0</v>
      </c>
      <c r="BA213" s="199">
        <v>0</v>
      </c>
      <c r="BB213" s="199">
        <v>0</v>
      </c>
      <c r="BC213" s="199">
        <v>0</v>
      </c>
    </row>
    <row r="214" spans="1:55" s="86" customFormat="1" hidden="1" outlineLevel="1" x14ac:dyDescent="0.2">
      <c r="A214" s="36"/>
      <c r="B214" s="36"/>
      <c r="C214" s="162" t="str">
        <v>PoI STM1 Gateway</v>
      </c>
      <c r="D214" s="81"/>
      <c r="F214" s="199">
        <v>0</v>
      </c>
      <c r="G214" s="199">
        <v>1</v>
      </c>
      <c r="H214" s="199">
        <v>1</v>
      </c>
      <c r="I214" s="199">
        <v>1</v>
      </c>
      <c r="J214" s="199">
        <v>1</v>
      </c>
      <c r="K214" s="199">
        <v>1</v>
      </c>
      <c r="L214" s="199">
        <v>1</v>
      </c>
      <c r="M214" s="199">
        <v>0</v>
      </c>
      <c r="N214" s="199">
        <v>1</v>
      </c>
      <c r="O214" s="199">
        <v>1</v>
      </c>
      <c r="P214" s="199">
        <v>1</v>
      </c>
      <c r="Q214" s="199">
        <v>1</v>
      </c>
      <c r="R214" s="199">
        <v>1</v>
      </c>
      <c r="S214" s="199">
        <v>1</v>
      </c>
      <c r="T214" s="199">
        <v>0</v>
      </c>
      <c r="U214" s="199">
        <v>1</v>
      </c>
      <c r="V214" s="199">
        <v>1</v>
      </c>
      <c r="W214" s="199">
        <v>1</v>
      </c>
      <c r="X214" s="199">
        <v>1</v>
      </c>
      <c r="Y214" s="199">
        <v>1</v>
      </c>
      <c r="Z214" s="199">
        <v>1</v>
      </c>
      <c r="AA214" s="199">
        <v>0</v>
      </c>
      <c r="AB214" s="199">
        <v>0</v>
      </c>
      <c r="AC214" s="199">
        <v>0</v>
      </c>
      <c r="AD214" s="199">
        <v>0</v>
      </c>
      <c r="AE214" s="199">
        <v>0</v>
      </c>
      <c r="AF214" s="199">
        <v>0</v>
      </c>
      <c r="AG214" s="199">
        <v>0</v>
      </c>
      <c r="AH214" s="199">
        <v>0</v>
      </c>
      <c r="AI214" s="199">
        <v>0</v>
      </c>
      <c r="AJ214" s="199">
        <v>0</v>
      </c>
      <c r="AK214" s="199">
        <v>0</v>
      </c>
      <c r="AL214" s="199">
        <v>0</v>
      </c>
      <c r="AM214" s="199">
        <v>0</v>
      </c>
      <c r="AN214" s="199">
        <v>0</v>
      </c>
      <c r="AO214" s="199">
        <v>0</v>
      </c>
      <c r="AP214" s="199">
        <v>0</v>
      </c>
      <c r="AQ214" s="199">
        <v>0</v>
      </c>
      <c r="AR214" s="199">
        <v>0</v>
      </c>
      <c r="AS214" s="199">
        <v>0</v>
      </c>
      <c r="AT214" s="199">
        <v>0</v>
      </c>
      <c r="AU214" s="199">
        <v>0</v>
      </c>
      <c r="AV214" s="199">
        <v>0</v>
      </c>
      <c r="AW214" s="199">
        <v>0</v>
      </c>
      <c r="AX214" s="199">
        <v>0</v>
      </c>
      <c r="AY214" s="199">
        <v>0</v>
      </c>
      <c r="AZ214" s="199">
        <v>0</v>
      </c>
      <c r="BA214" s="199">
        <v>0</v>
      </c>
      <c r="BB214" s="199">
        <v>0</v>
      </c>
      <c r="BC214" s="199">
        <v>0</v>
      </c>
    </row>
    <row r="215" spans="1:55" s="86" customFormat="1" hidden="1" outlineLevel="1" x14ac:dyDescent="0.2">
      <c r="A215" s="36"/>
      <c r="B215" s="36"/>
      <c r="C215" s="162" t="str">
        <v>I-SBC</v>
      </c>
      <c r="D215" s="81"/>
      <c r="F215" s="199">
        <v>0</v>
      </c>
      <c r="G215" s="199">
        <v>1</v>
      </c>
      <c r="H215" s="199">
        <v>1</v>
      </c>
      <c r="I215" s="199">
        <v>1</v>
      </c>
      <c r="J215" s="199">
        <v>1</v>
      </c>
      <c r="K215" s="199">
        <v>1</v>
      </c>
      <c r="L215" s="199">
        <v>1</v>
      </c>
      <c r="M215" s="199">
        <v>0</v>
      </c>
      <c r="N215" s="199">
        <v>1</v>
      </c>
      <c r="O215" s="199">
        <v>1</v>
      </c>
      <c r="P215" s="199">
        <v>1</v>
      </c>
      <c r="Q215" s="199">
        <v>1</v>
      </c>
      <c r="R215" s="199">
        <v>1</v>
      </c>
      <c r="S215" s="199">
        <v>1</v>
      </c>
      <c r="T215" s="199">
        <v>0</v>
      </c>
      <c r="U215" s="199">
        <v>1</v>
      </c>
      <c r="V215" s="199">
        <v>1</v>
      </c>
      <c r="W215" s="199">
        <v>1</v>
      </c>
      <c r="X215" s="199">
        <v>1</v>
      </c>
      <c r="Y215" s="199">
        <v>1</v>
      </c>
      <c r="Z215" s="199">
        <v>1</v>
      </c>
      <c r="AA215" s="199">
        <v>0</v>
      </c>
      <c r="AB215" s="199">
        <v>0</v>
      </c>
      <c r="AC215" s="199">
        <v>0</v>
      </c>
      <c r="AD215" s="199">
        <v>0</v>
      </c>
      <c r="AE215" s="199">
        <v>0</v>
      </c>
      <c r="AF215" s="199">
        <v>0</v>
      </c>
      <c r="AG215" s="199">
        <v>0</v>
      </c>
      <c r="AH215" s="199">
        <v>0</v>
      </c>
      <c r="AI215" s="199">
        <v>0</v>
      </c>
      <c r="AJ215" s="199">
        <v>0</v>
      </c>
      <c r="AK215" s="199">
        <v>0</v>
      </c>
      <c r="AL215" s="199">
        <v>0</v>
      </c>
      <c r="AM215" s="199">
        <v>0</v>
      </c>
      <c r="AN215" s="199">
        <v>0</v>
      </c>
      <c r="AO215" s="199">
        <v>0</v>
      </c>
      <c r="AP215" s="199">
        <v>0</v>
      </c>
      <c r="AQ215" s="199">
        <v>0</v>
      </c>
      <c r="AR215" s="199">
        <v>0</v>
      </c>
      <c r="AS215" s="199">
        <v>0</v>
      </c>
      <c r="AT215" s="199">
        <v>0</v>
      </c>
      <c r="AU215" s="199">
        <v>0</v>
      </c>
      <c r="AV215" s="199">
        <v>0</v>
      </c>
      <c r="AW215" s="199">
        <v>0</v>
      </c>
      <c r="AX215" s="199">
        <v>0</v>
      </c>
      <c r="AY215" s="199">
        <v>0</v>
      </c>
      <c r="AZ215" s="199">
        <v>0</v>
      </c>
      <c r="BA215" s="199">
        <v>0</v>
      </c>
      <c r="BB215" s="199">
        <v>0</v>
      </c>
      <c r="BC215" s="199">
        <v>0</v>
      </c>
    </row>
    <row r="216" spans="1:55" s="86" customFormat="1" hidden="1" outlineLevel="1" x14ac:dyDescent="0.2">
      <c r="A216" s="36"/>
      <c r="B216" s="36"/>
      <c r="C216" s="162" t="str">
        <v>Asset spare</v>
      </c>
      <c r="D216" s="81"/>
      <c r="F216" s="199">
        <v>0</v>
      </c>
      <c r="G216" s="199">
        <v>0</v>
      </c>
      <c r="H216" s="199">
        <v>0</v>
      </c>
      <c r="I216" s="199">
        <v>0</v>
      </c>
      <c r="J216" s="199">
        <v>0</v>
      </c>
      <c r="K216" s="199">
        <v>0</v>
      </c>
      <c r="L216" s="199">
        <v>0</v>
      </c>
      <c r="M216" s="199">
        <v>0</v>
      </c>
      <c r="N216" s="199">
        <v>0</v>
      </c>
      <c r="O216" s="199">
        <v>0</v>
      </c>
      <c r="P216" s="199">
        <v>0</v>
      </c>
      <c r="Q216" s="199">
        <v>0</v>
      </c>
      <c r="R216" s="199">
        <v>0</v>
      </c>
      <c r="S216" s="199">
        <v>0</v>
      </c>
      <c r="T216" s="199">
        <v>0</v>
      </c>
      <c r="U216" s="199">
        <v>0</v>
      </c>
      <c r="V216" s="199">
        <v>0</v>
      </c>
      <c r="W216" s="199">
        <v>0</v>
      </c>
      <c r="X216" s="199">
        <v>0</v>
      </c>
      <c r="Y216" s="199">
        <v>0</v>
      </c>
      <c r="Z216" s="199">
        <v>0</v>
      </c>
      <c r="AA216" s="199">
        <v>0</v>
      </c>
      <c r="AB216" s="199">
        <v>0</v>
      </c>
      <c r="AC216" s="199">
        <v>0</v>
      </c>
      <c r="AD216" s="199">
        <v>0</v>
      </c>
      <c r="AE216" s="199">
        <v>0</v>
      </c>
      <c r="AF216" s="199">
        <v>0</v>
      </c>
      <c r="AG216" s="199">
        <v>0</v>
      </c>
      <c r="AH216" s="199">
        <v>0</v>
      </c>
      <c r="AI216" s="199">
        <v>0</v>
      </c>
      <c r="AJ216" s="199">
        <v>0</v>
      </c>
      <c r="AK216" s="199">
        <v>0</v>
      </c>
      <c r="AL216" s="199">
        <v>0</v>
      </c>
      <c r="AM216" s="199">
        <v>0</v>
      </c>
      <c r="AN216" s="199">
        <v>0</v>
      </c>
      <c r="AO216" s="199">
        <v>0</v>
      </c>
      <c r="AP216" s="199">
        <v>0</v>
      </c>
      <c r="AQ216" s="199">
        <v>0</v>
      </c>
      <c r="AR216" s="199">
        <v>0</v>
      </c>
      <c r="AS216" s="199">
        <v>0</v>
      </c>
      <c r="AT216" s="199">
        <v>0</v>
      </c>
      <c r="AU216" s="199">
        <v>0</v>
      </c>
      <c r="AV216" s="199">
        <v>0</v>
      </c>
      <c r="AW216" s="199">
        <v>0</v>
      </c>
      <c r="AX216" s="199">
        <v>0</v>
      </c>
      <c r="AY216" s="199">
        <v>0</v>
      </c>
      <c r="AZ216" s="199">
        <v>0</v>
      </c>
      <c r="BA216" s="199">
        <v>0</v>
      </c>
      <c r="BB216" s="199">
        <v>0</v>
      </c>
      <c r="BC216" s="199">
        <v>0</v>
      </c>
    </row>
    <row r="217" spans="1:55" s="86" customFormat="1" hidden="1" outlineLevel="1" x14ac:dyDescent="0.2">
      <c r="A217" s="36"/>
      <c r="B217" s="36"/>
      <c r="C217" s="162" t="str">
        <v>MSS software</v>
      </c>
      <c r="D217" s="81"/>
      <c r="F217" s="199">
        <v>7</v>
      </c>
      <c r="G217" s="199">
        <v>2</v>
      </c>
      <c r="H217" s="199">
        <v>2</v>
      </c>
      <c r="I217" s="199">
        <v>2</v>
      </c>
      <c r="J217" s="199">
        <v>5</v>
      </c>
      <c r="K217" s="199">
        <v>5</v>
      </c>
      <c r="L217" s="199">
        <v>5</v>
      </c>
      <c r="M217" s="199">
        <v>7</v>
      </c>
      <c r="N217" s="199">
        <v>2</v>
      </c>
      <c r="O217" s="199">
        <v>2</v>
      </c>
      <c r="P217" s="199">
        <v>2</v>
      </c>
      <c r="Q217" s="199">
        <v>5</v>
      </c>
      <c r="R217" s="199">
        <v>5</v>
      </c>
      <c r="S217" s="199">
        <v>5</v>
      </c>
      <c r="T217" s="199">
        <v>0</v>
      </c>
      <c r="U217" s="199">
        <v>0</v>
      </c>
      <c r="V217" s="199">
        <v>0</v>
      </c>
      <c r="W217" s="199">
        <v>0</v>
      </c>
      <c r="X217" s="199">
        <v>0</v>
      </c>
      <c r="Y217" s="199">
        <v>0</v>
      </c>
      <c r="Z217" s="199">
        <v>0</v>
      </c>
      <c r="AA217" s="199">
        <v>1</v>
      </c>
      <c r="AB217" s="199">
        <v>1</v>
      </c>
      <c r="AC217" s="199">
        <v>1</v>
      </c>
      <c r="AD217" s="199">
        <v>1</v>
      </c>
      <c r="AE217" s="199">
        <v>1</v>
      </c>
      <c r="AF217" s="199">
        <v>1</v>
      </c>
      <c r="AG217" s="199">
        <v>0</v>
      </c>
      <c r="AH217" s="199">
        <v>0</v>
      </c>
      <c r="AI217" s="199">
        <v>0</v>
      </c>
      <c r="AJ217" s="199">
        <v>0</v>
      </c>
      <c r="AK217" s="199">
        <v>0</v>
      </c>
      <c r="AL217" s="199">
        <v>0</v>
      </c>
      <c r="AM217" s="199">
        <v>0</v>
      </c>
      <c r="AN217" s="199">
        <v>0</v>
      </c>
      <c r="AO217" s="199">
        <v>0</v>
      </c>
      <c r="AP217" s="199">
        <v>0</v>
      </c>
      <c r="AQ217" s="199">
        <v>0</v>
      </c>
      <c r="AR217" s="199">
        <v>0</v>
      </c>
      <c r="AS217" s="199">
        <v>0</v>
      </c>
      <c r="AT217" s="199">
        <v>0</v>
      </c>
      <c r="AU217" s="199">
        <v>0</v>
      </c>
      <c r="AV217" s="199">
        <v>0</v>
      </c>
      <c r="AW217" s="199">
        <v>0</v>
      </c>
      <c r="AX217" s="199">
        <v>0</v>
      </c>
      <c r="AY217" s="199">
        <v>0</v>
      </c>
      <c r="AZ217" s="199">
        <v>0</v>
      </c>
      <c r="BA217" s="199">
        <v>0</v>
      </c>
      <c r="BB217" s="199">
        <v>0</v>
      </c>
      <c r="BC217" s="199">
        <v>0</v>
      </c>
    </row>
    <row r="218" spans="1:55" s="86" customFormat="1" hidden="1" outlineLevel="1" x14ac:dyDescent="0.2">
      <c r="A218" s="36"/>
      <c r="B218" s="36"/>
      <c r="C218" s="162" t="str">
        <v>SGSN software</v>
      </c>
      <c r="D218" s="81"/>
      <c r="F218" s="199">
        <v>0</v>
      </c>
      <c r="G218" s="199">
        <v>0</v>
      </c>
      <c r="H218" s="199">
        <v>0</v>
      </c>
      <c r="I218" s="199">
        <v>0</v>
      </c>
      <c r="J218" s="199">
        <v>0</v>
      </c>
      <c r="K218" s="199">
        <v>0</v>
      </c>
      <c r="L218" s="199">
        <v>0</v>
      </c>
      <c r="M218" s="199">
        <v>0</v>
      </c>
      <c r="N218" s="199">
        <v>0</v>
      </c>
      <c r="O218" s="199">
        <v>0</v>
      </c>
      <c r="P218" s="199">
        <v>0</v>
      </c>
      <c r="Q218" s="199">
        <v>0</v>
      </c>
      <c r="R218" s="199">
        <v>0</v>
      </c>
      <c r="S218" s="199">
        <v>0</v>
      </c>
      <c r="T218" s="199">
        <v>0</v>
      </c>
      <c r="U218" s="199">
        <v>0</v>
      </c>
      <c r="V218" s="199">
        <v>0</v>
      </c>
      <c r="W218" s="199">
        <v>0</v>
      </c>
      <c r="X218" s="199">
        <v>0</v>
      </c>
      <c r="Y218" s="199">
        <v>0</v>
      </c>
      <c r="Z218" s="199">
        <v>0</v>
      </c>
      <c r="AA218" s="199">
        <v>0</v>
      </c>
      <c r="AB218" s="199">
        <v>0</v>
      </c>
      <c r="AC218" s="199">
        <v>0</v>
      </c>
      <c r="AD218" s="199">
        <v>1</v>
      </c>
      <c r="AE218" s="199">
        <v>1</v>
      </c>
      <c r="AF218" s="199">
        <v>1</v>
      </c>
      <c r="AG218" s="199">
        <v>1</v>
      </c>
      <c r="AH218" s="199">
        <v>0</v>
      </c>
      <c r="AI218" s="199">
        <v>0</v>
      </c>
      <c r="AJ218" s="199">
        <v>1</v>
      </c>
      <c r="AK218" s="199">
        <v>1</v>
      </c>
      <c r="AL218" s="199">
        <v>1</v>
      </c>
      <c r="AM218" s="199">
        <v>1</v>
      </c>
      <c r="AN218" s="199">
        <v>0</v>
      </c>
      <c r="AO218" s="199">
        <v>0</v>
      </c>
      <c r="AP218" s="199">
        <v>0</v>
      </c>
      <c r="AQ218" s="199">
        <v>0</v>
      </c>
      <c r="AR218" s="199">
        <v>0</v>
      </c>
      <c r="AS218" s="199">
        <v>0</v>
      </c>
      <c r="AT218" s="199">
        <v>0</v>
      </c>
      <c r="AU218" s="199">
        <v>0</v>
      </c>
      <c r="AV218" s="199">
        <v>0</v>
      </c>
      <c r="AW218" s="199">
        <v>0</v>
      </c>
      <c r="AX218" s="199">
        <v>0</v>
      </c>
      <c r="AY218" s="199">
        <v>0</v>
      </c>
      <c r="AZ218" s="199">
        <v>0</v>
      </c>
      <c r="BA218" s="199">
        <v>0</v>
      </c>
      <c r="BB218" s="199">
        <v>0</v>
      </c>
      <c r="BC218" s="199">
        <v>0</v>
      </c>
    </row>
    <row r="219" spans="1:55" s="86" customFormat="1" hidden="1" outlineLevel="1" x14ac:dyDescent="0.2">
      <c r="A219" s="36"/>
      <c r="B219" s="36"/>
      <c r="C219" s="162" t="str">
        <v>GGSN software</v>
      </c>
      <c r="D219" s="81"/>
      <c r="F219" s="199">
        <v>0</v>
      </c>
      <c r="G219" s="199">
        <v>0</v>
      </c>
      <c r="H219" s="199">
        <v>0</v>
      </c>
      <c r="I219" s="199">
        <v>0</v>
      </c>
      <c r="J219" s="199">
        <v>0</v>
      </c>
      <c r="K219" s="199">
        <v>0</v>
      </c>
      <c r="L219" s="199">
        <v>0</v>
      </c>
      <c r="M219" s="199">
        <v>0</v>
      </c>
      <c r="N219" s="199">
        <v>0</v>
      </c>
      <c r="O219" s="199">
        <v>0</v>
      </c>
      <c r="P219" s="199">
        <v>0</v>
      </c>
      <c r="Q219" s="199">
        <v>0</v>
      </c>
      <c r="R219" s="199">
        <v>0</v>
      </c>
      <c r="S219" s="199">
        <v>0</v>
      </c>
      <c r="T219" s="199">
        <v>0</v>
      </c>
      <c r="U219" s="199">
        <v>0</v>
      </c>
      <c r="V219" s="199">
        <v>0</v>
      </c>
      <c r="W219" s="199">
        <v>0</v>
      </c>
      <c r="X219" s="199">
        <v>0</v>
      </c>
      <c r="Y219" s="199">
        <v>0</v>
      </c>
      <c r="Z219" s="199">
        <v>0</v>
      </c>
      <c r="AA219" s="199">
        <v>0</v>
      </c>
      <c r="AB219" s="199">
        <v>0</v>
      </c>
      <c r="AC219" s="199">
        <v>0</v>
      </c>
      <c r="AD219" s="199">
        <v>1</v>
      </c>
      <c r="AE219" s="199">
        <v>1</v>
      </c>
      <c r="AF219" s="199">
        <v>1</v>
      </c>
      <c r="AG219" s="199">
        <v>1</v>
      </c>
      <c r="AH219" s="199">
        <v>0</v>
      </c>
      <c r="AI219" s="199">
        <v>0</v>
      </c>
      <c r="AJ219" s="199">
        <v>1</v>
      </c>
      <c r="AK219" s="199">
        <v>1</v>
      </c>
      <c r="AL219" s="199">
        <v>1</v>
      </c>
      <c r="AM219" s="199">
        <v>1</v>
      </c>
      <c r="AN219" s="199">
        <v>0</v>
      </c>
      <c r="AO219" s="199">
        <v>0</v>
      </c>
      <c r="AP219" s="199">
        <v>0</v>
      </c>
      <c r="AQ219" s="199">
        <v>0</v>
      </c>
      <c r="AR219" s="199">
        <v>0</v>
      </c>
      <c r="AS219" s="199">
        <v>0</v>
      </c>
      <c r="AT219" s="199">
        <v>0</v>
      </c>
      <c r="AU219" s="199">
        <v>0</v>
      </c>
      <c r="AV219" s="199">
        <v>0</v>
      </c>
      <c r="AW219" s="199">
        <v>0</v>
      </c>
      <c r="AX219" s="199">
        <v>0</v>
      </c>
      <c r="AY219" s="199">
        <v>0</v>
      </c>
      <c r="AZ219" s="199">
        <v>0</v>
      </c>
      <c r="BA219" s="199">
        <v>0</v>
      </c>
      <c r="BB219" s="199">
        <v>0</v>
      </c>
      <c r="BC219" s="199">
        <v>0</v>
      </c>
    </row>
    <row r="220" spans="1:55" s="86" customFormat="1" hidden="1" outlineLevel="1" x14ac:dyDescent="0.2">
      <c r="A220" s="36"/>
      <c r="B220" s="36"/>
      <c r="C220" s="162" t="str">
        <v>MME software</v>
      </c>
      <c r="D220" s="81"/>
      <c r="F220" s="199">
        <v>0</v>
      </c>
      <c r="G220" s="199">
        <v>0</v>
      </c>
      <c r="H220" s="199">
        <v>0</v>
      </c>
      <c r="I220" s="199">
        <v>0</v>
      </c>
      <c r="J220" s="199">
        <v>0</v>
      </c>
      <c r="K220" s="199">
        <v>0</v>
      </c>
      <c r="L220" s="199">
        <v>0</v>
      </c>
      <c r="M220" s="199">
        <v>0</v>
      </c>
      <c r="N220" s="199">
        <v>0</v>
      </c>
      <c r="O220" s="199">
        <v>0</v>
      </c>
      <c r="P220" s="199">
        <v>0</v>
      </c>
      <c r="Q220" s="199">
        <v>0</v>
      </c>
      <c r="R220" s="199">
        <v>0</v>
      </c>
      <c r="S220" s="199">
        <v>0</v>
      </c>
      <c r="T220" s="199">
        <v>2</v>
      </c>
      <c r="U220" s="199">
        <v>1</v>
      </c>
      <c r="V220" s="199">
        <v>1</v>
      </c>
      <c r="W220" s="199">
        <v>1</v>
      </c>
      <c r="X220" s="199">
        <v>1</v>
      </c>
      <c r="Y220" s="199">
        <v>1</v>
      </c>
      <c r="Z220" s="199">
        <v>1</v>
      </c>
      <c r="AA220" s="199">
        <v>0</v>
      </c>
      <c r="AB220" s="199">
        <v>0</v>
      </c>
      <c r="AC220" s="199">
        <v>0</v>
      </c>
      <c r="AD220" s="199">
        <v>0</v>
      </c>
      <c r="AE220" s="199">
        <v>0</v>
      </c>
      <c r="AF220" s="199">
        <v>0</v>
      </c>
      <c r="AG220" s="199">
        <v>2.8318024691358027E-5</v>
      </c>
      <c r="AH220" s="199">
        <v>1.4159012345679013E-5</v>
      </c>
      <c r="AI220" s="199">
        <v>1.4159012345679013E-5</v>
      </c>
      <c r="AJ220" s="199">
        <v>0</v>
      </c>
      <c r="AK220" s="199">
        <v>0</v>
      </c>
      <c r="AL220" s="199">
        <v>0</v>
      </c>
      <c r="AM220" s="199">
        <v>0</v>
      </c>
      <c r="AN220" s="199">
        <v>0.23598353909465022</v>
      </c>
      <c r="AO220" s="199">
        <v>0</v>
      </c>
      <c r="AP220" s="199">
        <v>0</v>
      </c>
      <c r="AQ220" s="199">
        <v>0</v>
      </c>
      <c r="AR220" s="199">
        <v>0</v>
      </c>
      <c r="AS220" s="199">
        <v>0</v>
      </c>
      <c r="AT220" s="199">
        <v>0</v>
      </c>
      <c r="AU220" s="199">
        <v>0</v>
      </c>
      <c r="AV220" s="199">
        <v>0</v>
      </c>
      <c r="AW220" s="199">
        <v>0</v>
      </c>
      <c r="AX220" s="199">
        <v>0</v>
      </c>
      <c r="AY220" s="199">
        <v>0</v>
      </c>
      <c r="AZ220" s="199">
        <v>0</v>
      </c>
      <c r="BA220" s="199">
        <v>0</v>
      </c>
      <c r="BB220" s="199">
        <v>0</v>
      </c>
      <c r="BC220" s="199">
        <v>0</v>
      </c>
    </row>
    <row r="221" spans="1:55" s="86" customFormat="1" hidden="1" outlineLevel="1" x14ac:dyDescent="0.2">
      <c r="A221" s="36"/>
      <c r="B221" s="36"/>
      <c r="C221" s="162" t="str">
        <v>SGW software</v>
      </c>
      <c r="D221" s="81"/>
      <c r="F221" s="199">
        <v>0</v>
      </c>
      <c r="G221" s="199">
        <v>0</v>
      </c>
      <c r="H221" s="199">
        <v>0</v>
      </c>
      <c r="I221" s="199">
        <v>0</v>
      </c>
      <c r="J221" s="199">
        <v>0</v>
      </c>
      <c r="K221" s="199">
        <v>0</v>
      </c>
      <c r="L221" s="199">
        <v>0</v>
      </c>
      <c r="M221" s="199">
        <v>0</v>
      </c>
      <c r="N221" s="199">
        <v>0</v>
      </c>
      <c r="O221" s="199">
        <v>0</v>
      </c>
      <c r="P221" s="199">
        <v>0</v>
      </c>
      <c r="Q221" s="199">
        <v>0</v>
      </c>
      <c r="R221" s="199">
        <v>0</v>
      </c>
      <c r="S221" s="199">
        <v>0</v>
      </c>
      <c r="T221" s="199">
        <v>2</v>
      </c>
      <c r="U221" s="199">
        <v>1</v>
      </c>
      <c r="V221" s="199">
        <v>1</v>
      </c>
      <c r="W221" s="199">
        <v>1</v>
      </c>
      <c r="X221" s="199">
        <v>1</v>
      </c>
      <c r="Y221" s="199">
        <v>1</v>
      </c>
      <c r="Z221" s="199">
        <v>1</v>
      </c>
      <c r="AA221" s="199">
        <v>0</v>
      </c>
      <c r="AB221" s="199">
        <v>0</v>
      </c>
      <c r="AC221" s="199">
        <v>0</v>
      </c>
      <c r="AD221" s="199">
        <v>0</v>
      </c>
      <c r="AE221" s="199">
        <v>0</v>
      </c>
      <c r="AF221" s="199">
        <v>0</v>
      </c>
      <c r="AG221" s="199">
        <v>2.8318024691358027E-5</v>
      </c>
      <c r="AH221" s="199">
        <v>1.4159012345679013E-5</v>
      </c>
      <c r="AI221" s="199">
        <v>1.4159012345679013E-5</v>
      </c>
      <c r="AJ221" s="199">
        <v>0</v>
      </c>
      <c r="AK221" s="199">
        <v>0</v>
      </c>
      <c r="AL221" s="199">
        <v>0</v>
      </c>
      <c r="AM221" s="199">
        <v>0</v>
      </c>
      <c r="AN221" s="199">
        <v>0.23598353909465022</v>
      </c>
      <c r="AO221" s="199">
        <v>0</v>
      </c>
      <c r="AP221" s="199">
        <v>0</v>
      </c>
      <c r="AQ221" s="199">
        <v>0</v>
      </c>
      <c r="AR221" s="199">
        <v>0</v>
      </c>
      <c r="AS221" s="199">
        <v>0</v>
      </c>
      <c r="AT221" s="199">
        <v>0</v>
      </c>
      <c r="AU221" s="199">
        <v>0</v>
      </c>
      <c r="AV221" s="199">
        <v>0</v>
      </c>
      <c r="AW221" s="199">
        <v>0</v>
      </c>
      <c r="AX221" s="199">
        <v>0</v>
      </c>
      <c r="AY221" s="199">
        <v>0</v>
      </c>
      <c r="AZ221" s="199">
        <v>0</v>
      </c>
      <c r="BA221" s="199">
        <v>0</v>
      </c>
      <c r="BB221" s="199">
        <v>0</v>
      </c>
      <c r="BC221" s="199">
        <v>0</v>
      </c>
    </row>
    <row r="222" spans="1:55" s="86" customFormat="1" hidden="1" outlineLevel="1" x14ac:dyDescent="0.2">
      <c r="A222" s="36"/>
      <c r="B222" s="36"/>
      <c r="C222" s="162" t="str">
        <v>HLR software</v>
      </c>
      <c r="D222" s="81"/>
      <c r="F222" s="199">
        <v>0</v>
      </c>
      <c r="G222" s="199">
        <v>0</v>
      </c>
      <c r="H222" s="199">
        <v>0</v>
      </c>
      <c r="I222" s="199">
        <v>0</v>
      </c>
      <c r="J222" s="199">
        <v>0</v>
      </c>
      <c r="K222" s="199">
        <v>0</v>
      </c>
      <c r="L222" s="199">
        <v>0</v>
      </c>
      <c r="M222" s="199">
        <v>0</v>
      </c>
      <c r="N222" s="199">
        <v>0</v>
      </c>
      <c r="O222" s="199">
        <v>0</v>
      </c>
      <c r="P222" s="199">
        <v>0</v>
      </c>
      <c r="Q222" s="199">
        <v>0</v>
      </c>
      <c r="R222" s="199">
        <v>0</v>
      </c>
      <c r="S222" s="199">
        <v>0</v>
      </c>
      <c r="T222" s="199">
        <v>0</v>
      </c>
      <c r="U222" s="199">
        <v>0</v>
      </c>
      <c r="V222" s="199">
        <v>0</v>
      </c>
      <c r="W222" s="199">
        <v>0</v>
      </c>
      <c r="X222" s="199">
        <v>0</v>
      </c>
      <c r="Y222" s="199">
        <v>0</v>
      </c>
      <c r="Z222" s="199">
        <v>0</v>
      </c>
      <c r="AA222" s="199">
        <v>0</v>
      </c>
      <c r="AB222" s="199">
        <v>0</v>
      </c>
      <c r="AC222" s="199">
        <v>0</v>
      </c>
      <c r="AD222" s="199">
        <v>0</v>
      </c>
      <c r="AE222" s="199">
        <v>0</v>
      </c>
      <c r="AF222" s="199">
        <v>0</v>
      </c>
      <c r="AG222" s="199">
        <v>0</v>
      </c>
      <c r="AH222" s="199">
        <v>0</v>
      </c>
      <c r="AI222" s="199">
        <v>0</v>
      </c>
      <c r="AJ222" s="199">
        <v>0</v>
      </c>
      <c r="AK222" s="199">
        <v>0</v>
      </c>
      <c r="AL222" s="199">
        <v>0</v>
      </c>
      <c r="AM222" s="199">
        <v>0</v>
      </c>
      <c r="AN222" s="199">
        <v>0</v>
      </c>
      <c r="AO222" s="199">
        <v>0</v>
      </c>
      <c r="AP222" s="199">
        <v>1</v>
      </c>
      <c r="AQ222" s="199">
        <v>1</v>
      </c>
      <c r="AR222" s="199">
        <v>0</v>
      </c>
      <c r="AS222" s="199">
        <v>0</v>
      </c>
      <c r="AT222" s="199">
        <v>0</v>
      </c>
      <c r="AU222" s="199">
        <v>0</v>
      </c>
      <c r="AV222" s="199">
        <v>0</v>
      </c>
      <c r="AW222" s="199">
        <v>0</v>
      </c>
      <c r="AX222" s="199">
        <v>0</v>
      </c>
      <c r="AY222" s="199">
        <v>0</v>
      </c>
      <c r="AZ222" s="199">
        <v>0</v>
      </c>
      <c r="BA222" s="199">
        <v>0</v>
      </c>
      <c r="BB222" s="199">
        <v>0</v>
      </c>
      <c r="BC222" s="199">
        <v>0</v>
      </c>
    </row>
    <row r="223" spans="1:55" s="86" customFormat="1" hidden="1" outlineLevel="1" x14ac:dyDescent="0.2">
      <c r="A223" s="36"/>
      <c r="B223" s="36"/>
      <c r="C223" s="162" t="str">
        <v>Call server – hardware</v>
      </c>
      <c r="D223" s="81"/>
      <c r="F223" s="199">
        <v>0</v>
      </c>
      <c r="G223" s="199">
        <v>0</v>
      </c>
      <c r="H223" s="199">
        <v>0</v>
      </c>
      <c r="I223" s="199">
        <v>0</v>
      </c>
      <c r="J223" s="199">
        <v>0</v>
      </c>
      <c r="K223" s="199">
        <v>0</v>
      </c>
      <c r="L223" s="199">
        <v>0</v>
      </c>
      <c r="M223" s="199">
        <v>0</v>
      </c>
      <c r="N223" s="199">
        <v>0</v>
      </c>
      <c r="O223" s="199">
        <v>0</v>
      </c>
      <c r="P223" s="199">
        <v>0</v>
      </c>
      <c r="Q223" s="199">
        <v>0</v>
      </c>
      <c r="R223" s="199">
        <v>0</v>
      </c>
      <c r="S223" s="199">
        <v>0</v>
      </c>
      <c r="T223" s="199">
        <v>2</v>
      </c>
      <c r="U223" s="199">
        <v>1</v>
      </c>
      <c r="V223" s="199">
        <v>1</v>
      </c>
      <c r="W223" s="199">
        <v>1</v>
      </c>
      <c r="X223" s="199">
        <v>1</v>
      </c>
      <c r="Y223" s="199">
        <v>1</v>
      </c>
      <c r="Z223" s="199">
        <v>1</v>
      </c>
      <c r="AA223" s="199">
        <v>0</v>
      </c>
      <c r="AB223" s="199">
        <v>0</v>
      </c>
      <c r="AC223" s="199">
        <v>0</v>
      </c>
      <c r="AD223" s="199">
        <v>0</v>
      </c>
      <c r="AE223" s="199">
        <v>0</v>
      </c>
      <c r="AF223" s="199">
        <v>0</v>
      </c>
      <c r="AG223" s="199">
        <v>0</v>
      </c>
      <c r="AH223" s="199">
        <v>0</v>
      </c>
      <c r="AI223" s="199">
        <v>0</v>
      </c>
      <c r="AJ223" s="199">
        <v>0</v>
      </c>
      <c r="AK223" s="199">
        <v>0</v>
      </c>
      <c r="AL223" s="199">
        <v>0</v>
      </c>
      <c r="AM223" s="199">
        <v>0</v>
      </c>
      <c r="AN223" s="199">
        <v>0</v>
      </c>
      <c r="AO223" s="199">
        <v>0</v>
      </c>
      <c r="AP223" s="199">
        <v>0</v>
      </c>
      <c r="AQ223" s="199">
        <v>0</v>
      </c>
      <c r="AR223" s="199">
        <v>0</v>
      </c>
      <c r="AS223" s="199">
        <v>0</v>
      </c>
      <c r="AT223" s="199">
        <v>0</v>
      </c>
      <c r="AU223" s="199">
        <v>0</v>
      </c>
      <c r="AV223" s="199">
        <v>0</v>
      </c>
      <c r="AW223" s="199">
        <v>0</v>
      </c>
      <c r="AX223" s="199">
        <v>0</v>
      </c>
      <c r="AY223" s="199">
        <v>0</v>
      </c>
      <c r="AZ223" s="199">
        <v>0</v>
      </c>
      <c r="BA223" s="199">
        <v>0</v>
      </c>
      <c r="BB223" s="199">
        <v>0</v>
      </c>
      <c r="BC223" s="199">
        <v>0</v>
      </c>
    </row>
    <row r="224" spans="1:55" s="86" customFormat="1" hidden="1" outlineLevel="1" x14ac:dyDescent="0.2">
      <c r="A224" s="36"/>
      <c r="B224" s="36"/>
      <c r="C224" s="162" t="str">
        <v>Call server – software</v>
      </c>
      <c r="D224" s="81"/>
      <c r="F224" s="199">
        <v>0</v>
      </c>
      <c r="G224" s="199">
        <v>0</v>
      </c>
      <c r="H224" s="199">
        <v>0</v>
      </c>
      <c r="I224" s="199">
        <v>0</v>
      </c>
      <c r="J224" s="199">
        <v>0</v>
      </c>
      <c r="K224" s="199">
        <v>0</v>
      </c>
      <c r="L224" s="199">
        <v>0</v>
      </c>
      <c r="M224" s="199">
        <v>0</v>
      </c>
      <c r="N224" s="199">
        <v>0</v>
      </c>
      <c r="O224" s="199">
        <v>0</v>
      </c>
      <c r="P224" s="199">
        <v>0</v>
      </c>
      <c r="Q224" s="199">
        <v>0</v>
      </c>
      <c r="R224" s="199">
        <v>0</v>
      </c>
      <c r="S224" s="199">
        <v>0</v>
      </c>
      <c r="T224" s="199">
        <v>2</v>
      </c>
      <c r="U224" s="199">
        <v>1</v>
      </c>
      <c r="V224" s="199">
        <v>1</v>
      </c>
      <c r="W224" s="199">
        <v>1</v>
      </c>
      <c r="X224" s="199">
        <v>1</v>
      </c>
      <c r="Y224" s="199">
        <v>1</v>
      </c>
      <c r="Z224" s="199">
        <v>1</v>
      </c>
      <c r="AA224" s="199">
        <v>0</v>
      </c>
      <c r="AB224" s="199">
        <v>0</v>
      </c>
      <c r="AC224" s="199">
        <v>0</v>
      </c>
      <c r="AD224" s="199">
        <v>0</v>
      </c>
      <c r="AE224" s="199">
        <v>0</v>
      </c>
      <c r="AF224" s="199">
        <v>0</v>
      </c>
      <c r="AG224" s="199">
        <v>0</v>
      </c>
      <c r="AH224" s="199">
        <v>0</v>
      </c>
      <c r="AI224" s="199">
        <v>0</v>
      </c>
      <c r="AJ224" s="199">
        <v>0</v>
      </c>
      <c r="AK224" s="199">
        <v>0</v>
      </c>
      <c r="AL224" s="199">
        <v>0</v>
      </c>
      <c r="AM224" s="199">
        <v>0</v>
      </c>
      <c r="AN224" s="199">
        <v>0</v>
      </c>
      <c r="AO224" s="199">
        <v>0</v>
      </c>
      <c r="AP224" s="199">
        <v>0</v>
      </c>
      <c r="AQ224" s="199">
        <v>0</v>
      </c>
      <c r="AR224" s="199">
        <v>0</v>
      </c>
      <c r="AS224" s="199">
        <v>0</v>
      </c>
      <c r="AT224" s="199">
        <v>0</v>
      </c>
      <c r="AU224" s="199">
        <v>0</v>
      </c>
      <c r="AV224" s="199">
        <v>0</v>
      </c>
      <c r="AW224" s="199">
        <v>0</v>
      </c>
      <c r="AX224" s="199">
        <v>0</v>
      </c>
      <c r="AY224" s="199">
        <v>0</v>
      </c>
      <c r="AZ224" s="199">
        <v>0</v>
      </c>
      <c r="BA224" s="199">
        <v>0</v>
      </c>
      <c r="BB224" s="199">
        <v>0</v>
      </c>
      <c r="BC224" s="199">
        <v>0</v>
      </c>
    </row>
    <row r="225" spans="1:55" s="86" customFormat="1" hidden="1" outlineLevel="1" x14ac:dyDescent="0.2">
      <c r="A225" s="36"/>
      <c r="B225" s="36"/>
      <c r="C225" s="162" t="str">
        <v>Telephony Application Server (TAS)</v>
      </c>
      <c r="D225" s="81"/>
      <c r="F225" s="199">
        <v>0</v>
      </c>
      <c r="G225" s="199">
        <v>0</v>
      </c>
      <c r="H225" s="199">
        <v>0</v>
      </c>
      <c r="I225" s="199">
        <v>0</v>
      </c>
      <c r="J225" s="199">
        <v>0</v>
      </c>
      <c r="K225" s="199">
        <v>0</v>
      </c>
      <c r="L225" s="199">
        <v>0</v>
      </c>
      <c r="M225" s="199">
        <v>0</v>
      </c>
      <c r="N225" s="199">
        <v>0</v>
      </c>
      <c r="O225" s="199">
        <v>0</v>
      </c>
      <c r="P225" s="199">
        <v>0</v>
      </c>
      <c r="Q225" s="199">
        <v>0</v>
      </c>
      <c r="R225" s="199">
        <v>0</v>
      </c>
      <c r="S225" s="199">
        <v>0</v>
      </c>
      <c r="T225" s="199">
        <v>2</v>
      </c>
      <c r="U225" s="199">
        <v>1</v>
      </c>
      <c r="V225" s="199">
        <v>1</v>
      </c>
      <c r="W225" s="199">
        <v>1</v>
      </c>
      <c r="X225" s="199">
        <v>1</v>
      </c>
      <c r="Y225" s="199">
        <v>1</v>
      </c>
      <c r="Z225" s="199">
        <v>1</v>
      </c>
      <c r="AA225" s="199">
        <v>0</v>
      </c>
      <c r="AB225" s="199">
        <v>0</v>
      </c>
      <c r="AC225" s="199">
        <v>0</v>
      </c>
      <c r="AD225" s="199">
        <v>0</v>
      </c>
      <c r="AE225" s="199">
        <v>0</v>
      </c>
      <c r="AF225" s="199">
        <v>0</v>
      </c>
      <c r="AG225" s="199">
        <v>0</v>
      </c>
      <c r="AH225" s="199">
        <v>0</v>
      </c>
      <c r="AI225" s="199">
        <v>0</v>
      </c>
      <c r="AJ225" s="199">
        <v>0</v>
      </c>
      <c r="AK225" s="199">
        <v>0</v>
      </c>
      <c r="AL225" s="199">
        <v>0</v>
      </c>
      <c r="AM225" s="199">
        <v>0</v>
      </c>
      <c r="AN225" s="199">
        <v>0</v>
      </c>
      <c r="AO225" s="199">
        <v>0</v>
      </c>
      <c r="AP225" s="199">
        <v>0</v>
      </c>
      <c r="AQ225" s="199">
        <v>0</v>
      </c>
      <c r="AR225" s="199">
        <v>0</v>
      </c>
      <c r="AS225" s="199">
        <v>0</v>
      </c>
      <c r="AT225" s="199">
        <v>0</v>
      </c>
      <c r="AU225" s="199">
        <v>0</v>
      </c>
      <c r="AV225" s="199">
        <v>0</v>
      </c>
      <c r="AW225" s="199">
        <v>0</v>
      </c>
      <c r="AX225" s="199">
        <v>0</v>
      </c>
      <c r="AY225" s="199">
        <v>0</v>
      </c>
      <c r="AZ225" s="199">
        <v>0</v>
      </c>
      <c r="BA225" s="199">
        <v>0</v>
      </c>
      <c r="BB225" s="199">
        <v>0</v>
      </c>
      <c r="BC225" s="199">
        <v>0</v>
      </c>
    </row>
    <row r="226" spans="1:55" s="86" customFormat="1" hidden="1" outlineLevel="1" x14ac:dyDescent="0.2">
      <c r="A226" s="36"/>
      <c r="B226" s="36"/>
      <c r="C226" s="162" t="str">
        <v>Session border controller (SBC) – hardware</v>
      </c>
      <c r="D226" s="81"/>
      <c r="F226" s="199">
        <v>0</v>
      </c>
      <c r="G226" s="199">
        <v>0</v>
      </c>
      <c r="H226" s="199">
        <v>0</v>
      </c>
      <c r="I226" s="199">
        <v>0</v>
      </c>
      <c r="J226" s="199">
        <v>0</v>
      </c>
      <c r="K226" s="199">
        <v>0</v>
      </c>
      <c r="L226" s="199">
        <v>0</v>
      </c>
      <c r="M226" s="199">
        <v>0</v>
      </c>
      <c r="N226" s="199">
        <v>0</v>
      </c>
      <c r="O226" s="199">
        <v>0</v>
      </c>
      <c r="P226" s="199">
        <v>0</v>
      </c>
      <c r="Q226" s="199">
        <v>0</v>
      </c>
      <c r="R226" s="199">
        <v>0</v>
      </c>
      <c r="S226" s="199">
        <v>0</v>
      </c>
      <c r="T226" s="199">
        <v>2</v>
      </c>
      <c r="U226" s="199">
        <v>1</v>
      </c>
      <c r="V226" s="199">
        <v>1</v>
      </c>
      <c r="W226" s="199">
        <v>1</v>
      </c>
      <c r="X226" s="199">
        <v>1</v>
      </c>
      <c r="Y226" s="199">
        <v>1</v>
      </c>
      <c r="Z226" s="199">
        <v>1</v>
      </c>
      <c r="AA226" s="199">
        <v>0</v>
      </c>
      <c r="AB226" s="199">
        <v>0</v>
      </c>
      <c r="AC226" s="199">
        <v>0</v>
      </c>
      <c r="AD226" s="199">
        <v>0</v>
      </c>
      <c r="AE226" s="199">
        <v>0</v>
      </c>
      <c r="AF226" s="199">
        <v>0</v>
      </c>
      <c r="AG226" s="199">
        <v>0</v>
      </c>
      <c r="AH226" s="199">
        <v>0</v>
      </c>
      <c r="AI226" s="199">
        <v>0</v>
      </c>
      <c r="AJ226" s="199">
        <v>0</v>
      </c>
      <c r="AK226" s="199">
        <v>0</v>
      </c>
      <c r="AL226" s="199">
        <v>0</v>
      </c>
      <c r="AM226" s="199">
        <v>0</v>
      </c>
      <c r="AN226" s="199">
        <v>0</v>
      </c>
      <c r="AO226" s="199">
        <v>0</v>
      </c>
      <c r="AP226" s="199">
        <v>0</v>
      </c>
      <c r="AQ226" s="199">
        <v>0</v>
      </c>
      <c r="AR226" s="199">
        <v>0</v>
      </c>
      <c r="AS226" s="199">
        <v>0</v>
      </c>
      <c r="AT226" s="199">
        <v>0</v>
      </c>
      <c r="AU226" s="199">
        <v>0</v>
      </c>
      <c r="AV226" s="199">
        <v>0</v>
      </c>
      <c r="AW226" s="199">
        <v>0</v>
      </c>
      <c r="AX226" s="199">
        <v>0</v>
      </c>
      <c r="AY226" s="199">
        <v>0</v>
      </c>
      <c r="AZ226" s="199">
        <v>0</v>
      </c>
      <c r="BA226" s="199">
        <v>0</v>
      </c>
      <c r="BB226" s="199">
        <v>0</v>
      </c>
      <c r="BC226" s="199">
        <v>0</v>
      </c>
    </row>
    <row r="227" spans="1:55" s="86" customFormat="1" hidden="1" outlineLevel="1" x14ac:dyDescent="0.2">
      <c r="A227" s="36"/>
      <c r="B227" s="36"/>
      <c r="C227" s="162" t="str">
        <v>Session border controller (SBC) – software</v>
      </c>
      <c r="D227" s="81"/>
      <c r="F227" s="199">
        <v>0</v>
      </c>
      <c r="G227" s="199">
        <v>0</v>
      </c>
      <c r="H227" s="199">
        <v>0</v>
      </c>
      <c r="I227" s="199">
        <v>0</v>
      </c>
      <c r="J227" s="199">
        <v>0</v>
      </c>
      <c r="K227" s="199">
        <v>0</v>
      </c>
      <c r="L227" s="199">
        <v>0</v>
      </c>
      <c r="M227" s="199">
        <v>0</v>
      </c>
      <c r="N227" s="199">
        <v>0</v>
      </c>
      <c r="O227" s="199">
        <v>0</v>
      </c>
      <c r="P227" s="199">
        <v>0</v>
      </c>
      <c r="Q227" s="199">
        <v>0</v>
      </c>
      <c r="R227" s="199">
        <v>0</v>
      </c>
      <c r="S227" s="199">
        <v>0</v>
      </c>
      <c r="T227" s="199">
        <v>2</v>
      </c>
      <c r="U227" s="199">
        <v>1</v>
      </c>
      <c r="V227" s="199">
        <v>1</v>
      </c>
      <c r="W227" s="199">
        <v>1</v>
      </c>
      <c r="X227" s="199">
        <v>1</v>
      </c>
      <c r="Y227" s="199">
        <v>1</v>
      </c>
      <c r="Z227" s="199">
        <v>1</v>
      </c>
      <c r="AA227" s="199">
        <v>0</v>
      </c>
      <c r="AB227" s="199">
        <v>0</v>
      </c>
      <c r="AC227" s="199">
        <v>0</v>
      </c>
      <c r="AD227" s="199">
        <v>0</v>
      </c>
      <c r="AE227" s="199">
        <v>0</v>
      </c>
      <c r="AF227" s="199">
        <v>0</v>
      </c>
      <c r="AG227" s="199">
        <v>0</v>
      </c>
      <c r="AH227" s="199">
        <v>0</v>
      </c>
      <c r="AI227" s="199">
        <v>0</v>
      </c>
      <c r="AJ227" s="199">
        <v>0</v>
      </c>
      <c r="AK227" s="199">
        <v>0</v>
      </c>
      <c r="AL227" s="199">
        <v>0</v>
      </c>
      <c r="AM227" s="199">
        <v>0</v>
      </c>
      <c r="AN227" s="199">
        <v>0</v>
      </c>
      <c r="AO227" s="199">
        <v>0</v>
      </c>
      <c r="AP227" s="199">
        <v>0</v>
      </c>
      <c r="AQ227" s="199">
        <v>0</v>
      </c>
      <c r="AR227" s="199">
        <v>0</v>
      </c>
      <c r="AS227" s="199">
        <v>0</v>
      </c>
      <c r="AT227" s="199">
        <v>0</v>
      </c>
      <c r="AU227" s="199">
        <v>0</v>
      </c>
      <c r="AV227" s="199">
        <v>0</v>
      </c>
      <c r="AW227" s="199">
        <v>0</v>
      </c>
      <c r="AX227" s="199">
        <v>0</v>
      </c>
      <c r="AY227" s="199">
        <v>0</v>
      </c>
      <c r="AZ227" s="199">
        <v>0</v>
      </c>
      <c r="BA227" s="199">
        <v>0</v>
      </c>
      <c r="BB227" s="199">
        <v>0</v>
      </c>
      <c r="BC227" s="199">
        <v>0</v>
      </c>
    </row>
    <row r="228" spans="1:55" s="86" customFormat="1" hidden="1" outlineLevel="1" x14ac:dyDescent="0.2">
      <c r="A228" s="36"/>
      <c r="B228" s="36"/>
      <c r="C228" s="162" t="str">
        <v>PCC</v>
      </c>
      <c r="D228" s="81"/>
      <c r="F228" s="199">
        <v>0</v>
      </c>
      <c r="G228" s="199">
        <v>0</v>
      </c>
      <c r="H228" s="199">
        <v>0</v>
      </c>
      <c r="I228" s="199">
        <v>0</v>
      </c>
      <c r="J228" s="199">
        <v>0</v>
      </c>
      <c r="K228" s="199">
        <v>0</v>
      </c>
      <c r="L228" s="199">
        <v>0</v>
      </c>
      <c r="M228" s="199">
        <v>0</v>
      </c>
      <c r="N228" s="199">
        <v>0</v>
      </c>
      <c r="O228" s="199">
        <v>0</v>
      </c>
      <c r="P228" s="199">
        <v>0</v>
      </c>
      <c r="Q228" s="199">
        <v>0</v>
      </c>
      <c r="R228" s="199">
        <v>0</v>
      </c>
      <c r="S228" s="199">
        <v>0</v>
      </c>
      <c r="T228" s="199">
        <v>2</v>
      </c>
      <c r="U228" s="199">
        <v>1</v>
      </c>
      <c r="V228" s="199">
        <v>1</v>
      </c>
      <c r="W228" s="199">
        <v>1</v>
      </c>
      <c r="X228" s="199">
        <v>1</v>
      </c>
      <c r="Y228" s="199">
        <v>1</v>
      </c>
      <c r="Z228" s="199">
        <v>1</v>
      </c>
      <c r="AA228" s="199">
        <v>0</v>
      </c>
      <c r="AB228" s="199">
        <v>0</v>
      </c>
      <c r="AC228" s="199">
        <v>0</v>
      </c>
      <c r="AD228" s="199">
        <v>0</v>
      </c>
      <c r="AE228" s="199">
        <v>0</v>
      </c>
      <c r="AF228" s="199">
        <v>0</v>
      </c>
      <c r="AG228" s="199">
        <v>0</v>
      </c>
      <c r="AH228" s="199">
        <v>0</v>
      </c>
      <c r="AI228" s="199">
        <v>0</v>
      </c>
      <c r="AJ228" s="199">
        <v>0</v>
      </c>
      <c r="AK228" s="199">
        <v>0</v>
      </c>
      <c r="AL228" s="199">
        <v>0</v>
      </c>
      <c r="AM228" s="199">
        <v>0</v>
      </c>
      <c r="AN228" s="199">
        <v>0</v>
      </c>
      <c r="AO228" s="199">
        <v>0</v>
      </c>
      <c r="AP228" s="199">
        <v>0</v>
      </c>
      <c r="AQ228" s="199">
        <v>0</v>
      </c>
      <c r="AR228" s="199">
        <v>0</v>
      </c>
      <c r="AS228" s="199">
        <v>0</v>
      </c>
      <c r="AT228" s="199">
        <v>0</v>
      </c>
      <c r="AU228" s="199">
        <v>0</v>
      </c>
      <c r="AV228" s="199">
        <v>0</v>
      </c>
      <c r="AW228" s="199">
        <v>0</v>
      </c>
      <c r="AX228" s="199">
        <v>0</v>
      </c>
      <c r="AY228" s="199">
        <v>0</v>
      </c>
      <c r="AZ228" s="199">
        <v>0</v>
      </c>
      <c r="BA228" s="199">
        <v>0</v>
      </c>
      <c r="BB228" s="199">
        <v>0</v>
      </c>
      <c r="BC228" s="199">
        <v>0</v>
      </c>
    </row>
    <row r="229" spans="1:55" s="86" customFormat="1" hidden="1" outlineLevel="1" x14ac:dyDescent="0.2">
      <c r="A229" s="36"/>
      <c r="B229" s="36"/>
      <c r="C229" s="162" t="str">
        <v>MGCF</v>
      </c>
      <c r="D229" s="81"/>
      <c r="F229" s="199">
        <v>0</v>
      </c>
      <c r="G229" s="199">
        <v>0</v>
      </c>
      <c r="H229" s="199">
        <v>0</v>
      </c>
      <c r="I229" s="199">
        <v>0</v>
      </c>
      <c r="J229" s="199">
        <v>0</v>
      </c>
      <c r="K229" s="199">
        <v>0</v>
      </c>
      <c r="L229" s="199">
        <v>0</v>
      </c>
      <c r="M229" s="199">
        <v>0</v>
      </c>
      <c r="N229" s="199">
        <v>0</v>
      </c>
      <c r="O229" s="199">
        <v>0</v>
      </c>
      <c r="P229" s="199">
        <v>0</v>
      </c>
      <c r="Q229" s="199">
        <v>0</v>
      </c>
      <c r="R229" s="199">
        <v>0</v>
      </c>
      <c r="S229" s="199">
        <v>0</v>
      </c>
      <c r="T229" s="199">
        <v>2</v>
      </c>
      <c r="U229" s="199">
        <v>1</v>
      </c>
      <c r="V229" s="199">
        <v>1</v>
      </c>
      <c r="W229" s="199">
        <v>1</v>
      </c>
      <c r="X229" s="199">
        <v>1</v>
      </c>
      <c r="Y229" s="199">
        <v>1</v>
      </c>
      <c r="Z229" s="199">
        <v>1</v>
      </c>
      <c r="AA229" s="199">
        <v>0</v>
      </c>
      <c r="AB229" s="199">
        <v>0</v>
      </c>
      <c r="AC229" s="199">
        <v>0</v>
      </c>
      <c r="AD229" s="199">
        <v>0</v>
      </c>
      <c r="AE229" s="199">
        <v>0</v>
      </c>
      <c r="AF229" s="199">
        <v>0</v>
      </c>
      <c r="AG229" s="199">
        <v>0</v>
      </c>
      <c r="AH229" s="199">
        <v>0</v>
      </c>
      <c r="AI229" s="199">
        <v>0</v>
      </c>
      <c r="AJ229" s="199">
        <v>0</v>
      </c>
      <c r="AK229" s="199">
        <v>0</v>
      </c>
      <c r="AL229" s="199">
        <v>0</v>
      </c>
      <c r="AM229" s="199">
        <v>0</v>
      </c>
      <c r="AN229" s="199">
        <v>0</v>
      </c>
      <c r="AO229" s="199">
        <v>0</v>
      </c>
      <c r="AP229" s="199">
        <v>0</v>
      </c>
      <c r="AQ229" s="199">
        <v>0</v>
      </c>
      <c r="AR229" s="199">
        <v>0</v>
      </c>
      <c r="AS229" s="199">
        <v>0</v>
      </c>
      <c r="AT229" s="199">
        <v>0</v>
      </c>
      <c r="AU229" s="199">
        <v>0</v>
      </c>
      <c r="AV229" s="199">
        <v>0</v>
      </c>
      <c r="AW229" s="199">
        <v>0</v>
      </c>
      <c r="AX229" s="199">
        <v>0</v>
      </c>
      <c r="AY229" s="199">
        <v>0</v>
      </c>
      <c r="AZ229" s="199">
        <v>0</v>
      </c>
      <c r="BA229" s="199">
        <v>0</v>
      </c>
      <c r="BB229" s="199">
        <v>0</v>
      </c>
      <c r="BC229" s="199">
        <v>0</v>
      </c>
    </row>
    <row r="230" spans="1:55" s="86" customFormat="1" hidden="1" outlineLevel="1" x14ac:dyDescent="0.2">
      <c r="A230" s="36"/>
      <c r="B230" s="36"/>
      <c r="C230" s="162" t="str">
        <v>Puertos BSC - sitios E1</v>
      </c>
      <c r="D230" s="81"/>
      <c r="F230" s="199">
        <v>2.1784313725490194</v>
      </c>
      <c r="G230" s="199">
        <v>1.0947916666666666</v>
      </c>
      <c r="H230" s="199">
        <v>1.1166666666666667</v>
      </c>
      <c r="I230" s="199">
        <v>1.0722222222222222</v>
      </c>
      <c r="J230" s="199">
        <v>1.0947916666666666</v>
      </c>
      <c r="K230" s="199">
        <v>1.1166666666666667</v>
      </c>
      <c r="L230" s="199">
        <v>1.0722222222222222</v>
      </c>
      <c r="M230" s="199">
        <v>0</v>
      </c>
      <c r="N230" s="199">
        <v>0</v>
      </c>
      <c r="O230" s="199">
        <v>0</v>
      </c>
      <c r="P230" s="199">
        <v>0</v>
      </c>
      <c r="Q230" s="199">
        <v>0</v>
      </c>
      <c r="R230" s="199">
        <v>0</v>
      </c>
      <c r="S230" s="199">
        <v>0</v>
      </c>
      <c r="T230" s="199">
        <v>0</v>
      </c>
      <c r="U230" s="199">
        <v>0</v>
      </c>
      <c r="V230" s="199">
        <v>0</v>
      </c>
      <c r="W230" s="199">
        <v>0</v>
      </c>
      <c r="X230" s="199">
        <v>0</v>
      </c>
      <c r="Y230" s="199">
        <v>0</v>
      </c>
      <c r="Z230" s="199">
        <v>0</v>
      </c>
      <c r="AA230" s="199">
        <v>0</v>
      </c>
      <c r="AB230" s="199">
        <v>0</v>
      </c>
      <c r="AC230" s="199">
        <v>0</v>
      </c>
      <c r="AD230" s="199">
        <v>0</v>
      </c>
      <c r="AE230" s="199">
        <v>0</v>
      </c>
      <c r="AF230" s="199">
        <v>0</v>
      </c>
      <c r="AG230" s="199">
        <v>0</v>
      </c>
      <c r="AH230" s="199">
        <v>0</v>
      </c>
      <c r="AI230" s="199">
        <v>0</v>
      </c>
      <c r="AJ230" s="199">
        <v>4.4600888888888894</v>
      </c>
      <c r="AK230" s="199">
        <v>0</v>
      </c>
      <c r="AL230" s="199">
        <v>0</v>
      </c>
      <c r="AM230" s="199">
        <v>0</v>
      </c>
      <c r="AN230" s="199">
        <v>0</v>
      </c>
      <c r="AO230" s="199">
        <v>0</v>
      </c>
      <c r="AP230" s="199">
        <v>0</v>
      </c>
      <c r="AQ230" s="199">
        <v>0</v>
      </c>
      <c r="AR230" s="199">
        <v>0</v>
      </c>
      <c r="AS230" s="199">
        <v>0</v>
      </c>
      <c r="AT230" s="199">
        <v>0</v>
      </c>
      <c r="AU230" s="199">
        <v>0</v>
      </c>
      <c r="AV230" s="199">
        <v>0</v>
      </c>
      <c r="AW230" s="199">
        <v>0</v>
      </c>
      <c r="AX230" s="199">
        <v>0</v>
      </c>
      <c r="AY230" s="199">
        <v>0</v>
      </c>
      <c r="AZ230" s="199">
        <v>0</v>
      </c>
      <c r="BA230" s="199">
        <v>0</v>
      </c>
      <c r="BB230" s="199">
        <v>0</v>
      </c>
      <c r="BC230" s="199">
        <v>0</v>
      </c>
    </row>
    <row r="231" spans="1:55" s="86" customFormat="1" hidden="1" outlineLevel="1" x14ac:dyDescent="0.2">
      <c r="A231" s="36"/>
      <c r="B231" s="36"/>
      <c r="C231" s="162" t="str">
        <v>Puertos BSC - sitios 10M</v>
      </c>
      <c r="D231" s="81"/>
      <c r="F231" s="199">
        <v>2.1784313725490194</v>
      </c>
      <c r="G231" s="199">
        <v>1.0947916666666666</v>
      </c>
      <c r="H231" s="199">
        <v>1.1166666666666667</v>
      </c>
      <c r="I231" s="199">
        <v>1.0722222222222222</v>
      </c>
      <c r="J231" s="199">
        <v>1.0947916666666666</v>
      </c>
      <c r="K231" s="199">
        <v>1.1166666666666667</v>
      </c>
      <c r="L231" s="199">
        <v>1.0722222222222222</v>
      </c>
      <c r="M231" s="199">
        <v>0</v>
      </c>
      <c r="N231" s="199">
        <v>0</v>
      </c>
      <c r="O231" s="199">
        <v>0</v>
      </c>
      <c r="P231" s="199">
        <v>0</v>
      </c>
      <c r="Q231" s="199">
        <v>0</v>
      </c>
      <c r="R231" s="199">
        <v>0</v>
      </c>
      <c r="S231" s="199">
        <v>0</v>
      </c>
      <c r="T231" s="199">
        <v>0</v>
      </c>
      <c r="U231" s="199">
        <v>0</v>
      </c>
      <c r="V231" s="199">
        <v>0</v>
      </c>
      <c r="W231" s="199">
        <v>0</v>
      </c>
      <c r="X231" s="199">
        <v>0</v>
      </c>
      <c r="Y231" s="199">
        <v>0</v>
      </c>
      <c r="Z231" s="199">
        <v>0</v>
      </c>
      <c r="AA231" s="199">
        <v>0</v>
      </c>
      <c r="AB231" s="199">
        <v>0</v>
      </c>
      <c r="AC231" s="199">
        <v>0</v>
      </c>
      <c r="AD231" s="199">
        <v>0</v>
      </c>
      <c r="AE231" s="199">
        <v>0</v>
      </c>
      <c r="AF231" s="199">
        <v>0</v>
      </c>
      <c r="AG231" s="199">
        <v>0</v>
      </c>
      <c r="AH231" s="199">
        <v>0</v>
      </c>
      <c r="AI231" s="199">
        <v>0</v>
      </c>
      <c r="AJ231" s="199">
        <v>4.4600888888888894</v>
      </c>
      <c r="AK231" s="199">
        <v>0</v>
      </c>
      <c r="AL231" s="199">
        <v>0</v>
      </c>
      <c r="AM231" s="199">
        <v>0</v>
      </c>
      <c r="AN231" s="199">
        <v>0</v>
      </c>
      <c r="AO231" s="199">
        <v>0</v>
      </c>
      <c r="AP231" s="199">
        <v>0</v>
      </c>
      <c r="AQ231" s="199">
        <v>0</v>
      </c>
      <c r="AR231" s="199">
        <v>0</v>
      </c>
      <c r="AS231" s="199">
        <v>0</v>
      </c>
      <c r="AT231" s="199">
        <v>0</v>
      </c>
      <c r="AU231" s="199">
        <v>0</v>
      </c>
      <c r="AV231" s="199">
        <v>0</v>
      </c>
      <c r="AW231" s="199">
        <v>0</v>
      </c>
      <c r="AX231" s="199">
        <v>0</v>
      </c>
      <c r="AY231" s="199">
        <v>0</v>
      </c>
      <c r="AZ231" s="199">
        <v>0</v>
      </c>
      <c r="BA231" s="199">
        <v>0</v>
      </c>
      <c r="BB231" s="199">
        <v>0</v>
      </c>
      <c r="BC231" s="199">
        <v>0</v>
      </c>
    </row>
    <row r="232" spans="1:55" s="86" customFormat="1" hidden="1" outlineLevel="1" x14ac:dyDescent="0.2">
      <c r="A232" s="36"/>
      <c r="B232" s="36"/>
      <c r="C232" s="162" t="str">
        <v>Puertos RNC - sitios E1 para voz</v>
      </c>
      <c r="D232" s="81"/>
      <c r="F232" s="199">
        <v>0</v>
      </c>
      <c r="G232" s="199">
        <v>0</v>
      </c>
      <c r="H232" s="199">
        <v>0</v>
      </c>
      <c r="I232" s="199">
        <v>0</v>
      </c>
      <c r="J232" s="199">
        <v>0</v>
      </c>
      <c r="K232" s="199">
        <v>0</v>
      </c>
      <c r="L232" s="199">
        <v>0</v>
      </c>
      <c r="M232" s="199">
        <v>2.8319607843137256</v>
      </c>
      <c r="N232" s="199">
        <v>1.4232291666666665</v>
      </c>
      <c r="O232" s="199">
        <v>1.4516666666666667</v>
      </c>
      <c r="P232" s="199">
        <v>1.393888888888889</v>
      </c>
      <c r="Q232" s="199">
        <v>1.4232291666666665</v>
      </c>
      <c r="R232" s="199">
        <v>1.4516666666666667</v>
      </c>
      <c r="S232" s="199">
        <v>1.393888888888889</v>
      </c>
      <c r="T232" s="199">
        <v>0</v>
      </c>
      <c r="U232" s="199">
        <v>0</v>
      </c>
      <c r="V232" s="199">
        <v>0</v>
      </c>
      <c r="W232" s="199">
        <v>0</v>
      </c>
      <c r="X232" s="199">
        <v>0</v>
      </c>
      <c r="Y232" s="199">
        <v>0</v>
      </c>
      <c r="Z232" s="199">
        <v>0</v>
      </c>
      <c r="AA232" s="199">
        <v>0</v>
      </c>
      <c r="AB232" s="199">
        <v>0</v>
      </c>
      <c r="AC232" s="199">
        <v>0</v>
      </c>
      <c r="AD232" s="199">
        <v>1E-3</v>
      </c>
      <c r="AE232" s="199">
        <v>5.0000000000000001E-4</v>
      </c>
      <c r="AF232" s="199">
        <v>5.0000000000000001E-4</v>
      </c>
      <c r="AG232" s="199">
        <v>0</v>
      </c>
      <c r="AH232" s="199">
        <v>0</v>
      </c>
      <c r="AI232" s="199">
        <v>0</v>
      </c>
      <c r="AJ232" s="199">
        <v>0</v>
      </c>
      <c r="AK232" s="199">
        <v>9.1</v>
      </c>
      <c r="AL232" s="199">
        <v>0</v>
      </c>
      <c r="AM232" s="199">
        <v>0</v>
      </c>
      <c r="AN232" s="199">
        <v>0</v>
      </c>
      <c r="AO232" s="199">
        <v>0</v>
      </c>
      <c r="AP232" s="199">
        <v>0</v>
      </c>
      <c r="AQ232" s="199">
        <v>0</v>
      </c>
      <c r="AR232" s="199">
        <v>0</v>
      </c>
      <c r="AS232" s="199">
        <v>0</v>
      </c>
      <c r="AT232" s="199">
        <v>0</v>
      </c>
      <c r="AU232" s="199">
        <v>0</v>
      </c>
      <c r="AV232" s="199">
        <v>0</v>
      </c>
      <c r="AW232" s="199">
        <v>0</v>
      </c>
      <c r="AX232" s="199">
        <v>0</v>
      </c>
      <c r="AY232" s="199">
        <v>0</v>
      </c>
      <c r="AZ232" s="199">
        <v>0</v>
      </c>
      <c r="BA232" s="199">
        <v>0</v>
      </c>
      <c r="BB232" s="199">
        <v>0</v>
      </c>
      <c r="BC232" s="199">
        <v>0</v>
      </c>
    </row>
    <row r="233" spans="1:55" s="86" customFormat="1" hidden="1" outlineLevel="1" x14ac:dyDescent="0.2">
      <c r="A233" s="36"/>
      <c r="B233" s="36"/>
      <c r="C233" s="162" t="str">
        <v>Puertos RNC - sitios 10M para voz</v>
      </c>
      <c r="D233" s="81"/>
      <c r="F233" s="199">
        <v>0</v>
      </c>
      <c r="G233" s="199">
        <v>0</v>
      </c>
      <c r="H233" s="199">
        <v>0</v>
      </c>
      <c r="I233" s="199">
        <v>0</v>
      </c>
      <c r="J233" s="199">
        <v>0</v>
      </c>
      <c r="K233" s="199">
        <v>0</v>
      </c>
      <c r="L233" s="199">
        <v>0</v>
      </c>
      <c r="M233" s="199">
        <v>2.8319607843137256</v>
      </c>
      <c r="N233" s="199">
        <v>1.4232291666666665</v>
      </c>
      <c r="O233" s="199">
        <v>1.4516666666666667</v>
      </c>
      <c r="P233" s="199">
        <v>1.393888888888889</v>
      </c>
      <c r="Q233" s="199">
        <v>1.4232291666666665</v>
      </c>
      <c r="R233" s="199">
        <v>1.4516666666666667</v>
      </c>
      <c r="S233" s="199">
        <v>1.393888888888889</v>
      </c>
      <c r="T233" s="199">
        <v>0</v>
      </c>
      <c r="U233" s="199">
        <v>0</v>
      </c>
      <c r="V233" s="199">
        <v>0</v>
      </c>
      <c r="W233" s="199">
        <v>0</v>
      </c>
      <c r="X233" s="199">
        <v>0</v>
      </c>
      <c r="Y233" s="199">
        <v>0</v>
      </c>
      <c r="Z233" s="199">
        <v>0</v>
      </c>
      <c r="AA233" s="199">
        <v>0</v>
      </c>
      <c r="AB233" s="199">
        <v>0</v>
      </c>
      <c r="AC233" s="199">
        <v>0</v>
      </c>
      <c r="AD233" s="199">
        <v>1E-3</v>
      </c>
      <c r="AE233" s="199">
        <v>5.0000000000000001E-4</v>
      </c>
      <c r="AF233" s="199">
        <v>5.0000000000000001E-4</v>
      </c>
      <c r="AG233" s="199">
        <v>0</v>
      </c>
      <c r="AH233" s="199">
        <v>0</v>
      </c>
      <c r="AI233" s="199">
        <v>0</v>
      </c>
      <c r="AJ233" s="199">
        <v>0</v>
      </c>
      <c r="AK233" s="199">
        <v>9.1</v>
      </c>
      <c r="AL233" s="199">
        <v>0</v>
      </c>
      <c r="AM233" s="199">
        <v>0</v>
      </c>
      <c r="AN233" s="199">
        <v>0</v>
      </c>
      <c r="AO233" s="199">
        <v>0</v>
      </c>
      <c r="AP233" s="199">
        <v>0</v>
      </c>
      <c r="AQ233" s="199">
        <v>0</v>
      </c>
      <c r="AR233" s="199">
        <v>0</v>
      </c>
      <c r="AS233" s="199">
        <v>0</v>
      </c>
      <c r="AT233" s="199">
        <v>0</v>
      </c>
      <c r="AU233" s="199">
        <v>0</v>
      </c>
      <c r="AV233" s="199">
        <v>0</v>
      </c>
      <c r="AW233" s="199">
        <v>0</v>
      </c>
      <c r="AX233" s="199">
        <v>0</v>
      </c>
      <c r="AY233" s="199">
        <v>0</v>
      </c>
      <c r="AZ233" s="199">
        <v>0</v>
      </c>
      <c r="BA233" s="199">
        <v>0</v>
      </c>
      <c r="BB233" s="199">
        <v>0</v>
      </c>
      <c r="BC233" s="199">
        <v>0</v>
      </c>
    </row>
    <row r="234" spans="1:55" s="86" customFormat="1" hidden="1" outlineLevel="1" x14ac:dyDescent="0.2">
      <c r="A234" s="36"/>
      <c r="B234" s="36"/>
      <c r="C234" s="162" t="str">
        <v>Puertos RNC - sitios E1 para datos</v>
      </c>
      <c r="D234" s="81"/>
      <c r="F234" s="199">
        <v>0</v>
      </c>
      <c r="G234" s="199">
        <v>0</v>
      </c>
      <c r="H234" s="199">
        <v>0</v>
      </c>
      <c r="I234" s="199">
        <v>0</v>
      </c>
      <c r="J234" s="199">
        <v>0</v>
      </c>
      <c r="K234" s="199">
        <v>0</v>
      </c>
      <c r="L234" s="199">
        <v>0</v>
      </c>
      <c r="M234" s="199">
        <v>0</v>
      </c>
      <c r="N234" s="199">
        <v>0</v>
      </c>
      <c r="O234" s="199">
        <v>0</v>
      </c>
      <c r="P234" s="199">
        <v>0</v>
      </c>
      <c r="Q234" s="199">
        <v>0</v>
      </c>
      <c r="R234" s="199">
        <v>0</v>
      </c>
      <c r="S234" s="199">
        <v>0</v>
      </c>
      <c r="T234" s="199">
        <v>0</v>
      </c>
      <c r="U234" s="199">
        <v>0</v>
      </c>
      <c r="V234" s="199">
        <v>0</v>
      </c>
      <c r="W234" s="199">
        <v>0</v>
      </c>
      <c r="X234" s="199">
        <v>0</v>
      </c>
      <c r="Y234" s="199">
        <v>0</v>
      </c>
      <c r="Z234" s="199">
        <v>0</v>
      </c>
      <c r="AA234" s="199">
        <v>0</v>
      </c>
      <c r="AB234" s="199">
        <v>0</v>
      </c>
      <c r="AC234" s="199">
        <v>0</v>
      </c>
      <c r="AD234" s="199">
        <v>0</v>
      </c>
      <c r="AE234" s="199">
        <v>0</v>
      </c>
      <c r="AF234" s="199">
        <v>1</v>
      </c>
      <c r="AG234" s="199">
        <v>0</v>
      </c>
      <c r="AH234" s="199">
        <v>0</v>
      </c>
      <c r="AI234" s="199">
        <v>0</v>
      </c>
      <c r="AJ234" s="199">
        <v>0</v>
      </c>
      <c r="AK234" s="199">
        <v>0</v>
      </c>
      <c r="AL234" s="199">
        <v>1</v>
      </c>
      <c r="AM234" s="199">
        <v>0</v>
      </c>
      <c r="AN234" s="199">
        <v>0</v>
      </c>
      <c r="AO234" s="199">
        <v>0</v>
      </c>
      <c r="AP234" s="199">
        <v>0</v>
      </c>
      <c r="AQ234" s="199">
        <v>0</v>
      </c>
      <c r="AR234" s="199">
        <v>0</v>
      </c>
      <c r="AS234" s="199">
        <v>0</v>
      </c>
      <c r="AT234" s="199">
        <v>0</v>
      </c>
      <c r="AU234" s="199">
        <v>0</v>
      </c>
      <c r="AV234" s="199">
        <v>0</v>
      </c>
      <c r="AW234" s="199">
        <v>0</v>
      </c>
      <c r="AX234" s="199">
        <v>0</v>
      </c>
      <c r="AY234" s="199">
        <v>0</v>
      </c>
      <c r="AZ234" s="199">
        <v>0</v>
      </c>
      <c r="BA234" s="199">
        <v>0</v>
      </c>
      <c r="BB234" s="199">
        <v>0</v>
      </c>
      <c r="BC234" s="199">
        <v>0</v>
      </c>
    </row>
    <row r="235" spans="1:55" s="86" customFormat="1" hidden="1" outlineLevel="1" x14ac:dyDescent="0.2">
      <c r="A235" s="36"/>
      <c r="B235" s="36"/>
      <c r="C235" s="162" t="str">
        <v>Puertos RNC - sitios 10M para datos</v>
      </c>
      <c r="D235" s="81"/>
      <c r="F235" s="199">
        <v>0</v>
      </c>
      <c r="G235" s="199">
        <v>0</v>
      </c>
      <c r="H235" s="199">
        <v>0</v>
      </c>
      <c r="I235" s="199">
        <v>0</v>
      </c>
      <c r="J235" s="199">
        <v>0</v>
      </c>
      <c r="K235" s="199">
        <v>0</v>
      </c>
      <c r="L235" s="199">
        <v>0</v>
      </c>
      <c r="M235" s="199">
        <v>0</v>
      </c>
      <c r="N235" s="199">
        <v>0</v>
      </c>
      <c r="O235" s="199">
        <v>0</v>
      </c>
      <c r="P235" s="199">
        <v>0</v>
      </c>
      <c r="Q235" s="199">
        <v>0</v>
      </c>
      <c r="R235" s="199">
        <v>0</v>
      </c>
      <c r="S235" s="199">
        <v>0</v>
      </c>
      <c r="T235" s="199">
        <v>0</v>
      </c>
      <c r="U235" s="199">
        <v>0</v>
      </c>
      <c r="V235" s="199">
        <v>0</v>
      </c>
      <c r="W235" s="199">
        <v>0</v>
      </c>
      <c r="X235" s="199">
        <v>0</v>
      </c>
      <c r="Y235" s="199">
        <v>0</v>
      </c>
      <c r="Z235" s="199">
        <v>0</v>
      </c>
      <c r="AA235" s="199">
        <v>0</v>
      </c>
      <c r="AB235" s="199">
        <v>0</v>
      </c>
      <c r="AC235" s="199">
        <v>0</v>
      </c>
      <c r="AD235" s="199">
        <v>0</v>
      </c>
      <c r="AE235" s="199">
        <v>0</v>
      </c>
      <c r="AF235" s="199">
        <v>1</v>
      </c>
      <c r="AG235" s="199">
        <v>0</v>
      </c>
      <c r="AH235" s="199">
        <v>0</v>
      </c>
      <c r="AI235" s="199">
        <v>0</v>
      </c>
      <c r="AJ235" s="199">
        <v>0</v>
      </c>
      <c r="AK235" s="199">
        <v>0</v>
      </c>
      <c r="AL235" s="199">
        <v>1</v>
      </c>
      <c r="AM235" s="199">
        <v>0</v>
      </c>
      <c r="AN235" s="199">
        <v>0</v>
      </c>
      <c r="AO235" s="199">
        <v>0</v>
      </c>
      <c r="AP235" s="199">
        <v>0</v>
      </c>
      <c r="AQ235" s="199">
        <v>0</v>
      </c>
      <c r="AR235" s="199">
        <v>0</v>
      </c>
      <c r="AS235" s="199">
        <v>0</v>
      </c>
      <c r="AT235" s="199">
        <v>0</v>
      </c>
      <c r="AU235" s="199">
        <v>0</v>
      </c>
      <c r="AV235" s="199">
        <v>0</v>
      </c>
      <c r="AW235" s="199">
        <v>0</v>
      </c>
      <c r="AX235" s="199">
        <v>0</v>
      </c>
      <c r="AY235" s="199">
        <v>0</v>
      </c>
      <c r="AZ235" s="199">
        <v>0</v>
      </c>
      <c r="BA235" s="199">
        <v>0</v>
      </c>
      <c r="BB235" s="199">
        <v>0</v>
      </c>
      <c r="BC235" s="199">
        <v>0</v>
      </c>
    </row>
    <row r="236" spans="1:55" s="86" customFormat="1" hidden="1" outlineLevel="1" x14ac:dyDescent="0.2">
      <c r="A236" s="36"/>
      <c r="B236" s="36"/>
      <c r="C236" s="162" t="str">
        <v>Puertos BSC a Core: Voz: 8.45</v>
      </c>
      <c r="D236" s="81"/>
      <c r="F236" s="199">
        <v>2.1784313725490194</v>
      </c>
      <c r="G236" s="199">
        <v>1.0947916666666666</v>
      </c>
      <c r="H236" s="199">
        <v>1.1166666666666667</v>
      </c>
      <c r="I236" s="199">
        <v>1.0722222222222222</v>
      </c>
      <c r="J236" s="199">
        <v>1.0947916666666666</v>
      </c>
      <c r="K236" s="199">
        <v>1.1166666666666667</v>
      </c>
      <c r="L236" s="199">
        <v>1.0722222222222222</v>
      </c>
      <c r="M236" s="199">
        <v>0</v>
      </c>
      <c r="N236" s="199">
        <v>0</v>
      </c>
      <c r="O236" s="199">
        <v>0</v>
      </c>
      <c r="P236" s="199">
        <v>0</v>
      </c>
      <c r="Q236" s="199">
        <v>0</v>
      </c>
      <c r="R236" s="199">
        <v>0</v>
      </c>
      <c r="S236" s="199">
        <v>0</v>
      </c>
      <c r="T236" s="199">
        <v>0</v>
      </c>
      <c r="U236" s="199">
        <v>0</v>
      </c>
      <c r="V236" s="199">
        <v>0</v>
      </c>
      <c r="W236" s="199">
        <v>0</v>
      </c>
      <c r="X236" s="199">
        <v>0</v>
      </c>
      <c r="Y236" s="199">
        <v>0</v>
      </c>
      <c r="Z236" s="199">
        <v>0</v>
      </c>
      <c r="AA236" s="199">
        <v>2.6075619295958278E-3</v>
      </c>
      <c r="AB236" s="199">
        <v>1.3037809647979139E-3</v>
      </c>
      <c r="AC236" s="199">
        <v>1.3037809647979139E-3</v>
      </c>
      <c r="AD236" s="199">
        <v>0</v>
      </c>
      <c r="AE236" s="199">
        <v>0</v>
      </c>
      <c r="AF236" s="199">
        <v>0</v>
      </c>
      <c r="AG236" s="199">
        <v>0</v>
      </c>
      <c r="AH236" s="199">
        <v>0</v>
      </c>
      <c r="AI236" s="199">
        <v>0</v>
      </c>
      <c r="AJ236" s="199">
        <v>0</v>
      </c>
      <c r="AK236" s="199">
        <v>0</v>
      </c>
      <c r="AL236" s="199">
        <v>0</v>
      </c>
      <c r="AM236" s="199">
        <v>0</v>
      </c>
      <c r="AN236" s="199">
        <v>0</v>
      </c>
      <c r="AO236" s="199">
        <v>0</v>
      </c>
      <c r="AP236" s="199">
        <v>0</v>
      </c>
      <c r="AQ236" s="199">
        <v>0</v>
      </c>
      <c r="AR236" s="199">
        <v>0</v>
      </c>
      <c r="AS236" s="199">
        <v>0</v>
      </c>
      <c r="AT236" s="199">
        <v>0</v>
      </c>
      <c r="AU236" s="199">
        <v>0</v>
      </c>
      <c r="AV236" s="199">
        <v>0</v>
      </c>
      <c r="AW236" s="199">
        <v>0</v>
      </c>
      <c r="AX236" s="199">
        <v>0</v>
      </c>
      <c r="AY236" s="199">
        <v>0</v>
      </c>
      <c r="AZ236" s="199">
        <v>0</v>
      </c>
      <c r="BA236" s="199">
        <v>0</v>
      </c>
      <c r="BB236" s="199">
        <v>0</v>
      </c>
      <c r="BC236" s="199">
        <v>0</v>
      </c>
    </row>
    <row r="237" spans="1:55" s="86" customFormat="1" hidden="1" outlineLevel="1" x14ac:dyDescent="0.2">
      <c r="A237" s="36"/>
      <c r="B237" s="36"/>
      <c r="C237" s="162" t="str">
        <v>Puertos BSC a Core: Voz: 34.37</v>
      </c>
      <c r="D237" s="81"/>
      <c r="F237" s="199">
        <v>2.1784313725490194</v>
      </c>
      <c r="G237" s="199">
        <v>1.0947916666666666</v>
      </c>
      <c r="H237" s="199">
        <v>1.1166666666666667</v>
      </c>
      <c r="I237" s="199">
        <v>1.0722222222222222</v>
      </c>
      <c r="J237" s="199">
        <v>1.0947916666666666</v>
      </c>
      <c r="K237" s="199">
        <v>1.1166666666666667</v>
      </c>
      <c r="L237" s="199">
        <v>1.0722222222222222</v>
      </c>
      <c r="M237" s="199">
        <v>0</v>
      </c>
      <c r="N237" s="199">
        <v>0</v>
      </c>
      <c r="O237" s="199">
        <v>0</v>
      </c>
      <c r="P237" s="199">
        <v>0</v>
      </c>
      <c r="Q237" s="199">
        <v>0</v>
      </c>
      <c r="R237" s="199">
        <v>0</v>
      </c>
      <c r="S237" s="199">
        <v>0</v>
      </c>
      <c r="T237" s="199">
        <v>0</v>
      </c>
      <c r="U237" s="199">
        <v>0</v>
      </c>
      <c r="V237" s="199">
        <v>0</v>
      </c>
      <c r="W237" s="199">
        <v>0</v>
      </c>
      <c r="X237" s="199">
        <v>0</v>
      </c>
      <c r="Y237" s="199">
        <v>0</v>
      </c>
      <c r="Z237" s="199">
        <v>0</v>
      </c>
      <c r="AA237" s="199">
        <v>2.6075619295958278E-3</v>
      </c>
      <c r="AB237" s="199">
        <v>1.3037809647979139E-3</v>
      </c>
      <c r="AC237" s="199">
        <v>1.3037809647979139E-3</v>
      </c>
      <c r="AD237" s="199">
        <v>0</v>
      </c>
      <c r="AE237" s="199">
        <v>0</v>
      </c>
      <c r="AF237" s="199">
        <v>0</v>
      </c>
      <c r="AG237" s="199">
        <v>0</v>
      </c>
      <c r="AH237" s="199">
        <v>0</v>
      </c>
      <c r="AI237" s="199">
        <v>0</v>
      </c>
      <c r="AJ237" s="199">
        <v>0</v>
      </c>
      <c r="AK237" s="199">
        <v>0</v>
      </c>
      <c r="AL237" s="199">
        <v>0</v>
      </c>
      <c r="AM237" s="199">
        <v>0</v>
      </c>
      <c r="AN237" s="199">
        <v>0</v>
      </c>
      <c r="AO237" s="199">
        <v>0</v>
      </c>
      <c r="AP237" s="199">
        <v>0</v>
      </c>
      <c r="AQ237" s="199">
        <v>0</v>
      </c>
      <c r="AR237" s="199">
        <v>0</v>
      </c>
      <c r="AS237" s="199">
        <v>0</v>
      </c>
      <c r="AT237" s="199">
        <v>0</v>
      </c>
      <c r="AU237" s="199">
        <v>0</v>
      </c>
      <c r="AV237" s="199">
        <v>0</v>
      </c>
      <c r="AW237" s="199">
        <v>0</v>
      </c>
      <c r="AX237" s="199">
        <v>0</v>
      </c>
      <c r="AY237" s="199">
        <v>0</v>
      </c>
      <c r="AZ237" s="199">
        <v>0</v>
      </c>
      <c r="BA237" s="199">
        <v>0</v>
      </c>
      <c r="BB237" s="199">
        <v>0</v>
      </c>
      <c r="BC237" s="199">
        <v>0</v>
      </c>
    </row>
    <row r="238" spans="1:55" s="86" customFormat="1" hidden="1" outlineLevel="1" x14ac:dyDescent="0.2">
      <c r="A238" s="36"/>
      <c r="B238" s="36"/>
      <c r="C238" s="162" t="str">
        <v>Puertos BSC a Core: Voz: 155.52</v>
      </c>
      <c r="D238" s="81"/>
      <c r="F238" s="199">
        <v>2.1784313725490194</v>
      </c>
      <c r="G238" s="199">
        <v>1.0947916666666666</v>
      </c>
      <c r="H238" s="199">
        <v>1.1166666666666667</v>
      </c>
      <c r="I238" s="199">
        <v>1.0722222222222222</v>
      </c>
      <c r="J238" s="199">
        <v>1.0947916666666666</v>
      </c>
      <c r="K238" s="199">
        <v>1.1166666666666667</v>
      </c>
      <c r="L238" s="199">
        <v>1.0722222222222222</v>
      </c>
      <c r="M238" s="199">
        <v>0</v>
      </c>
      <c r="N238" s="199">
        <v>0</v>
      </c>
      <c r="O238" s="199">
        <v>0</v>
      </c>
      <c r="P238" s="199">
        <v>0</v>
      </c>
      <c r="Q238" s="199">
        <v>0</v>
      </c>
      <c r="R238" s="199">
        <v>0</v>
      </c>
      <c r="S238" s="199">
        <v>0</v>
      </c>
      <c r="T238" s="199">
        <v>0</v>
      </c>
      <c r="U238" s="199">
        <v>0</v>
      </c>
      <c r="V238" s="199">
        <v>0</v>
      </c>
      <c r="W238" s="199">
        <v>0</v>
      </c>
      <c r="X238" s="199">
        <v>0</v>
      </c>
      <c r="Y238" s="199">
        <v>0</v>
      </c>
      <c r="Z238" s="199">
        <v>0</v>
      </c>
      <c r="AA238" s="199">
        <v>2.6075619295958278E-3</v>
      </c>
      <c r="AB238" s="199">
        <v>1.3037809647979139E-3</v>
      </c>
      <c r="AC238" s="199">
        <v>1.3037809647979139E-3</v>
      </c>
      <c r="AD238" s="199">
        <v>0</v>
      </c>
      <c r="AE238" s="199">
        <v>0</v>
      </c>
      <c r="AF238" s="199">
        <v>0</v>
      </c>
      <c r="AG238" s="199">
        <v>0</v>
      </c>
      <c r="AH238" s="199">
        <v>0</v>
      </c>
      <c r="AI238" s="199">
        <v>0</v>
      </c>
      <c r="AJ238" s="199">
        <v>0</v>
      </c>
      <c r="AK238" s="199">
        <v>0</v>
      </c>
      <c r="AL238" s="199">
        <v>0</v>
      </c>
      <c r="AM238" s="199">
        <v>0</v>
      </c>
      <c r="AN238" s="199">
        <v>0</v>
      </c>
      <c r="AO238" s="199">
        <v>0</v>
      </c>
      <c r="AP238" s="199">
        <v>0</v>
      </c>
      <c r="AQ238" s="199">
        <v>0</v>
      </c>
      <c r="AR238" s="199">
        <v>0</v>
      </c>
      <c r="AS238" s="199">
        <v>0</v>
      </c>
      <c r="AT238" s="199">
        <v>0</v>
      </c>
      <c r="AU238" s="199">
        <v>0</v>
      </c>
      <c r="AV238" s="199">
        <v>0</v>
      </c>
      <c r="AW238" s="199">
        <v>0</v>
      </c>
      <c r="AX238" s="199">
        <v>0</v>
      </c>
      <c r="AY238" s="199">
        <v>0</v>
      </c>
      <c r="AZ238" s="199">
        <v>0</v>
      </c>
      <c r="BA238" s="199">
        <v>0</v>
      </c>
      <c r="BB238" s="199">
        <v>0</v>
      </c>
      <c r="BC238" s="199">
        <v>0</v>
      </c>
    </row>
    <row r="239" spans="1:55" s="86" customFormat="1" hidden="1" outlineLevel="1" x14ac:dyDescent="0.2">
      <c r="A239" s="36"/>
      <c r="B239" s="36"/>
      <c r="C239" s="162" t="str">
        <v>Puertos BSC a Core: Voz: 30</v>
      </c>
      <c r="D239" s="81"/>
      <c r="F239" s="199">
        <v>2.1784313725490194</v>
      </c>
      <c r="G239" s="199">
        <v>1.0947916666666666</v>
      </c>
      <c r="H239" s="199">
        <v>1.1166666666666667</v>
      </c>
      <c r="I239" s="199">
        <v>1.0722222222222222</v>
      </c>
      <c r="J239" s="199">
        <v>1.0947916666666666</v>
      </c>
      <c r="K239" s="199">
        <v>1.1166666666666667</v>
      </c>
      <c r="L239" s="199">
        <v>1.0722222222222222</v>
      </c>
      <c r="M239" s="199">
        <v>0</v>
      </c>
      <c r="N239" s="199">
        <v>0</v>
      </c>
      <c r="O239" s="199">
        <v>0</v>
      </c>
      <c r="P239" s="199">
        <v>0</v>
      </c>
      <c r="Q239" s="199">
        <v>0</v>
      </c>
      <c r="R239" s="199">
        <v>0</v>
      </c>
      <c r="S239" s="199">
        <v>0</v>
      </c>
      <c r="T239" s="199">
        <v>0</v>
      </c>
      <c r="U239" s="199">
        <v>0</v>
      </c>
      <c r="V239" s="199">
        <v>0</v>
      </c>
      <c r="W239" s="199">
        <v>0</v>
      </c>
      <c r="X239" s="199">
        <v>0</v>
      </c>
      <c r="Y239" s="199">
        <v>0</v>
      </c>
      <c r="Z239" s="199">
        <v>0</v>
      </c>
      <c r="AA239" s="199">
        <v>2.6075619295958278E-3</v>
      </c>
      <c r="AB239" s="199">
        <v>1.3037809647979139E-3</v>
      </c>
      <c r="AC239" s="199">
        <v>1.3037809647979139E-3</v>
      </c>
      <c r="AD239" s="199">
        <v>0</v>
      </c>
      <c r="AE239" s="199">
        <v>0</v>
      </c>
      <c r="AF239" s="199">
        <v>0</v>
      </c>
      <c r="AG239" s="199">
        <v>0</v>
      </c>
      <c r="AH239" s="199">
        <v>0</v>
      </c>
      <c r="AI239" s="199">
        <v>0</v>
      </c>
      <c r="AJ239" s="199">
        <v>0</v>
      </c>
      <c r="AK239" s="199">
        <v>0</v>
      </c>
      <c r="AL239" s="199">
        <v>0</v>
      </c>
      <c r="AM239" s="199">
        <v>0</v>
      </c>
      <c r="AN239" s="199">
        <v>0</v>
      </c>
      <c r="AO239" s="199">
        <v>0</v>
      </c>
      <c r="AP239" s="199">
        <v>0</v>
      </c>
      <c r="AQ239" s="199">
        <v>0</v>
      </c>
      <c r="AR239" s="199">
        <v>0</v>
      </c>
      <c r="AS239" s="199">
        <v>0</v>
      </c>
      <c r="AT239" s="199">
        <v>0</v>
      </c>
      <c r="AU239" s="199">
        <v>0</v>
      </c>
      <c r="AV239" s="199">
        <v>0</v>
      </c>
      <c r="AW239" s="199">
        <v>0</v>
      </c>
      <c r="AX239" s="199">
        <v>0</v>
      </c>
      <c r="AY239" s="199">
        <v>0</v>
      </c>
      <c r="AZ239" s="199">
        <v>0</v>
      </c>
      <c r="BA239" s="199">
        <v>0</v>
      </c>
      <c r="BB239" s="199">
        <v>0</v>
      </c>
      <c r="BC239" s="199">
        <v>0</v>
      </c>
    </row>
    <row r="240" spans="1:55" s="86" customFormat="1" hidden="1" outlineLevel="1" x14ac:dyDescent="0.2">
      <c r="A240" s="36"/>
      <c r="B240" s="36"/>
      <c r="C240" s="162" t="str">
        <v>Puertos BSC a Core: Voz: 100</v>
      </c>
      <c r="D240" s="81"/>
      <c r="F240" s="199">
        <v>2.1784313725490194</v>
      </c>
      <c r="G240" s="199">
        <v>1.0947916666666666</v>
      </c>
      <c r="H240" s="199">
        <v>1.1166666666666667</v>
      </c>
      <c r="I240" s="199">
        <v>1.0722222222222222</v>
      </c>
      <c r="J240" s="199">
        <v>1.0947916666666666</v>
      </c>
      <c r="K240" s="199">
        <v>1.1166666666666667</v>
      </c>
      <c r="L240" s="199">
        <v>1.0722222222222222</v>
      </c>
      <c r="M240" s="199">
        <v>0</v>
      </c>
      <c r="N240" s="199">
        <v>0</v>
      </c>
      <c r="O240" s="199">
        <v>0</v>
      </c>
      <c r="P240" s="199">
        <v>0</v>
      </c>
      <c r="Q240" s="199">
        <v>0</v>
      </c>
      <c r="R240" s="199">
        <v>0</v>
      </c>
      <c r="S240" s="199">
        <v>0</v>
      </c>
      <c r="T240" s="199">
        <v>0</v>
      </c>
      <c r="U240" s="199">
        <v>0</v>
      </c>
      <c r="V240" s="199">
        <v>0</v>
      </c>
      <c r="W240" s="199">
        <v>0</v>
      </c>
      <c r="X240" s="199">
        <v>0</v>
      </c>
      <c r="Y240" s="199">
        <v>0</v>
      </c>
      <c r="Z240" s="199">
        <v>0</v>
      </c>
      <c r="AA240" s="199">
        <v>2.6075619295958278E-3</v>
      </c>
      <c r="AB240" s="199">
        <v>1.3037809647979139E-3</v>
      </c>
      <c r="AC240" s="199">
        <v>1.3037809647979139E-3</v>
      </c>
      <c r="AD240" s="199">
        <v>0</v>
      </c>
      <c r="AE240" s="199">
        <v>0</v>
      </c>
      <c r="AF240" s="199">
        <v>0</v>
      </c>
      <c r="AG240" s="199">
        <v>0</v>
      </c>
      <c r="AH240" s="199">
        <v>0</v>
      </c>
      <c r="AI240" s="199">
        <v>0</v>
      </c>
      <c r="AJ240" s="199">
        <v>0</v>
      </c>
      <c r="AK240" s="199">
        <v>0</v>
      </c>
      <c r="AL240" s="199">
        <v>0</v>
      </c>
      <c r="AM240" s="199">
        <v>0</v>
      </c>
      <c r="AN240" s="199">
        <v>0</v>
      </c>
      <c r="AO240" s="199">
        <v>0</v>
      </c>
      <c r="AP240" s="199">
        <v>0</v>
      </c>
      <c r="AQ240" s="199">
        <v>0</v>
      </c>
      <c r="AR240" s="199">
        <v>0</v>
      </c>
      <c r="AS240" s="199">
        <v>0</v>
      </c>
      <c r="AT240" s="199">
        <v>0</v>
      </c>
      <c r="AU240" s="199">
        <v>0</v>
      </c>
      <c r="AV240" s="199">
        <v>0</v>
      </c>
      <c r="AW240" s="199">
        <v>0</v>
      </c>
      <c r="AX240" s="199">
        <v>0</v>
      </c>
      <c r="AY240" s="199">
        <v>0</v>
      </c>
      <c r="AZ240" s="199">
        <v>0</v>
      </c>
      <c r="BA240" s="199">
        <v>0</v>
      </c>
      <c r="BB240" s="199">
        <v>0</v>
      </c>
      <c r="BC240" s="199">
        <v>0</v>
      </c>
    </row>
    <row r="241" spans="1:55" s="86" customFormat="1" hidden="1" outlineLevel="1" x14ac:dyDescent="0.2">
      <c r="A241" s="36"/>
      <c r="B241" s="36"/>
      <c r="C241" s="162" t="str">
        <v>Puertos BSC a Core: Voz: 1024</v>
      </c>
      <c r="D241" s="81"/>
      <c r="F241" s="199">
        <v>2.1784313725490194</v>
      </c>
      <c r="G241" s="199">
        <v>1.0947916666666666</v>
      </c>
      <c r="H241" s="199">
        <v>1.1166666666666667</v>
      </c>
      <c r="I241" s="199">
        <v>1.0722222222222222</v>
      </c>
      <c r="J241" s="199">
        <v>1.0947916666666666</v>
      </c>
      <c r="K241" s="199">
        <v>1.1166666666666667</v>
      </c>
      <c r="L241" s="199">
        <v>1.0722222222222222</v>
      </c>
      <c r="M241" s="199">
        <v>0</v>
      </c>
      <c r="N241" s="199">
        <v>0</v>
      </c>
      <c r="O241" s="199">
        <v>0</v>
      </c>
      <c r="P241" s="199">
        <v>0</v>
      </c>
      <c r="Q241" s="199">
        <v>0</v>
      </c>
      <c r="R241" s="199">
        <v>0</v>
      </c>
      <c r="S241" s="199">
        <v>0</v>
      </c>
      <c r="T241" s="199">
        <v>0</v>
      </c>
      <c r="U241" s="199">
        <v>0</v>
      </c>
      <c r="V241" s="199">
        <v>0</v>
      </c>
      <c r="W241" s="199">
        <v>0</v>
      </c>
      <c r="X241" s="199">
        <v>0</v>
      </c>
      <c r="Y241" s="199">
        <v>0</v>
      </c>
      <c r="Z241" s="199">
        <v>0</v>
      </c>
      <c r="AA241" s="199">
        <v>2.6075619295958278E-3</v>
      </c>
      <c r="AB241" s="199">
        <v>1.3037809647979139E-3</v>
      </c>
      <c r="AC241" s="199">
        <v>1.3037809647979139E-3</v>
      </c>
      <c r="AD241" s="199">
        <v>0</v>
      </c>
      <c r="AE241" s="199">
        <v>0</v>
      </c>
      <c r="AF241" s="199">
        <v>0</v>
      </c>
      <c r="AG241" s="199">
        <v>0</v>
      </c>
      <c r="AH241" s="199">
        <v>0</v>
      </c>
      <c r="AI241" s="199">
        <v>0</v>
      </c>
      <c r="AJ241" s="199">
        <v>0</v>
      </c>
      <c r="AK241" s="199">
        <v>0</v>
      </c>
      <c r="AL241" s="199">
        <v>0</v>
      </c>
      <c r="AM241" s="199">
        <v>0</v>
      </c>
      <c r="AN241" s="199">
        <v>0</v>
      </c>
      <c r="AO241" s="199">
        <v>0</v>
      </c>
      <c r="AP241" s="199">
        <v>0</v>
      </c>
      <c r="AQ241" s="199">
        <v>0</v>
      </c>
      <c r="AR241" s="199">
        <v>0</v>
      </c>
      <c r="AS241" s="199">
        <v>0</v>
      </c>
      <c r="AT241" s="199">
        <v>0</v>
      </c>
      <c r="AU241" s="199">
        <v>0</v>
      </c>
      <c r="AV241" s="199">
        <v>0</v>
      </c>
      <c r="AW241" s="199">
        <v>0</v>
      </c>
      <c r="AX241" s="199">
        <v>0</v>
      </c>
      <c r="AY241" s="199">
        <v>0</v>
      </c>
      <c r="AZ241" s="199">
        <v>0</v>
      </c>
      <c r="BA241" s="199">
        <v>0</v>
      </c>
      <c r="BB241" s="199">
        <v>0</v>
      </c>
      <c r="BC241" s="199">
        <v>0</v>
      </c>
    </row>
    <row r="242" spans="1:55" s="86" customFormat="1" hidden="1" outlineLevel="1" x14ac:dyDescent="0.2">
      <c r="A242" s="36"/>
      <c r="B242" s="36"/>
      <c r="C242" s="162" t="str">
        <v>Puertos BSC a Core: Datos: 8.45</v>
      </c>
      <c r="D242" s="81"/>
      <c r="F242" s="199">
        <v>0</v>
      </c>
      <c r="G242" s="199">
        <v>0</v>
      </c>
      <c r="H242" s="199">
        <v>0</v>
      </c>
      <c r="I242" s="199">
        <v>0</v>
      </c>
      <c r="J242" s="199">
        <v>0</v>
      </c>
      <c r="K242" s="199">
        <v>0</v>
      </c>
      <c r="L242" s="199">
        <v>0</v>
      </c>
      <c r="M242" s="199">
        <v>0</v>
      </c>
      <c r="N242" s="199">
        <v>0</v>
      </c>
      <c r="O242" s="199">
        <v>0</v>
      </c>
      <c r="P242" s="199">
        <v>0</v>
      </c>
      <c r="Q242" s="199">
        <v>0</v>
      </c>
      <c r="R242" s="199">
        <v>0</v>
      </c>
      <c r="S242" s="199">
        <v>0</v>
      </c>
      <c r="T242" s="199">
        <v>0</v>
      </c>
      <c r="U242" s="199">
        <v>0</v>
      </c>
      <c r="V242" s="199">
        <v>0</v>
      </c>
      <c r="W242" s="199">
        <v>0</v>
      </c>
      <c r="X242" s="199">
        <v>0</v>
      </c>
      <c r="Y242" s="199">
        <v>0</v>
      </c>
      <c r="Z242" s="199">
        <v>0</v>
      </c>
      <c r="AA242" s="199">
        <v>0</v>
      </c>
      <c r="AB242" s="199">
        <v>0</v>
      </c>
      <c r="AC242" s="199">
        <v>0</v>
      </c>
      <c r="AD242" s="199">
        <v>0</v>
      </c>
      <c r="AE242" s="199">
        <v>0</v>
      </c>
      <c r="AF242" s="199">
        <v>0</v>
      </c>
      <c r="AG242" s="199">
        <v>0</v>
      </c>
      <c r="AH242" s="199">
        <v>0</v>
      </c>
      <c r="AI242" s="199">
        <v>0</v>
      </c>
      <c r="AJ242" s="199">
        <v>1</v>
      </c>
      <c r="AK242" s="199">
        <v>0</v>
      </c>
      <c r="AL242" s="199">
        <v>0</v>
      </c>
      <c r="AM242" s="199">
        <v>0</v>
      </c>
      <c r="AN242" s="199">
        <v>0</v>
      </c>
      <c r="AO242" s="199">
        <v>0</v>
      </c>
      <c r="AP242" s="199">
        <v>0</v>
      </c>
      <c r="AQ242" s="199">
        <v>0</v>
      </c>
      <c r="AR242" s="199">
        <v>0</v>
      </c>
      <c r="AS242" s="199">
        <v>0</v>
      </c>
      <c r="AT242" s="199">
        <v>0</v>
      </c>
      <c r="AU242" s="199">
        <v>0</v>
      </c>
      <c r="AV242" s="199">
        <v>0</v>
      </c>
      <c r="AW242" s="199">
        <v>0</v>
      </c>
      <c r="AX242" s="199">
        <v>0</v>
      </c>
      <c r="AY242" s="199">
        <v>0</v>
      </c>
      <c r="AZ242" s="199">
        <v>0</v>
      </c>
      <c r="BA242" s="199">
        <v>0</v>
      </c>
      <c r="BB242" s="199">
        <v>0</v>
      </c>
      <c r="BC242" s="199">
        <v>0</v>
      </c>
    </row>
    <row r="243" spans="1:55" s="86" customFormat="1" hidden="1" outlineLevel="1" x14ac:dyDescent="0.2">
      <c r="A243" s="36"/>
      <c r="B243" s="36"/>
      <c r="C243" s="162" t="str">
        <v>Puertos BSC a Core: Datos: 34.37</v>
      </c>
      <c r="D243" s="81"/>
      <c r="F243" s="199">
        <v>0</v>
      </c>
      <c r="G243" s="199">
        <v>0</v>
      </c>
      <c r="H243" s="199">
        <v>0</v>
      </c>
      <c r="I243" s="199">
        <v>0</v>
      </c>
      <c r="J243" s="199">
        <v>0</v>
      </c>
      <c r="K243" s="199">
        <v>0</v>
      </c>
      <c r="L243" s="199">
        <v>0</v>
      </c>
      <c r="M243" s="199">
        <v>0</v>
      </c>
      <c r="N243" s="199">
        <v>0</v>
      </c>
      <c r="O243" s="199">
        <v>0</v>
      </c>
      <c r="P243" s="199">
        <v>0</v>
      </c>
      <c r="Q243" s="199">
        <v>0</v>
      </c>
      <c r="R243" s="199">
        <v>0</v>
      </c>
      <c r="S243" s="199">
        <v>0</v>
      </c>
      <c r="T243" s="199">
        <v>0</v>
      </c>
      <c r="U243" s="199">
        <v>0</v>
      </c>
      <c r="V243" s="199">
        <v>0</v>
      </c>
      <c r="W243" s="199">
        <v>0</v>
      </c>
      <c r="X243" s="199">
        <v>0</v>
      </c>
      <c r="Y243" s="199">
        <v>0</v>
      </c>
      <c r="Z243" s="199">
        <v>0</v>
      </c>
      <c r="AA243" s="199">
        <v>0</v>
      </c>
      <c r="AB243" s="199">
        <v>0</v>
      </c>
      <c r="AC243" s="199">
        <v>0</v>
      </c>
      <c r="AD243" s="199">
        <v>0</v>
      </c>
      <c r="AE243" s="199">
        <v>0</v>
      </c>
      <c r="AF243" s="199">
        <v>0</v>
      </c>
      <c r="AG243" s="199">
        <v>0</v>
      </c>
      <c r="AH243" s="199">
        <v>0</v>
      </c>
      <c r="AI243" s="199">
        <v>0</v>
      </c>
      <c r="AJ243" s="199">
        <v>1</v>
      </c>
      <c r="AK243" s="199">
        <v>0</v>
      </c>
      <c r="AL243" s="199">
        <v>0</v>
      </c>
      <c r="AM243" s="199">
        <v>0</v>
      </c>
      <c r="AN243" s="199">
        <v>0</v>
      </c>
      <c r="AO243" s="199">
        <v>0</v>
      </c>
      <c r="AP243" s="199">
        <v>0</v>
      </c>
      <c r="AQ243" s="199">
        <v>0</v>
      </c>
      <c r="AR243" s="199">
        <v>0</v>
      </c>
      <c r="AS243" s="199">
        <v>0</v>
      </c>
      <c r="AT243" s="199">
        <v>0</v>
      </c>
      <c r="AU243" s="199">
        <v>0</v>
      </c>
      <c r="AV243" s="199">
        <v>0</v>
      </c>
      <c r="AW243" s="199">
        <v>0</v>
      </c>
      <c r="AX243" s="199">
        <v>0</v>
      </c>
      <c r="AY243" s="199">
        <v>0</v>
      </c>
      <c r="AZ243" s="199">
        <v>0</v>
      </c>
      <c r="BA243" s="199">
        <v>0</v>
      </c>
      <c r="BB243" s="199">
        <v>0</v>
      </c>
      <c r="BC243" s="199">
        <v>0</v>
      </c>
    </row>
    <row r="244" spans="1:55" s="86" customFormat="1" hidden="1" outlineLevel="1" x14ac:dyDescent="0.2">
      <c r="A244" s="36"/>
      <c r="B244" s="36"/>
      <c r="C244" s="162" t="str">
        <v>Puertos BSC a Core: Datos: 155.52</v>
      </c>
      <c r="D244" s="81"/>
      <c r="F244" s="199">
        <v>0</v>
      </c>
      <c r="G244" s="199">
        <v>0</v>
      </c>
      <c r="H244" s="199">
        <v>0</v>
      </c>
      <c r="I244" s="199">
        <v>0</v>
      </c>
      <c r="J244" s="199">
        <v>0</v>
      </c>
      <c r="K244" s="199">
        <v>0</v>
      </c>
      <c r="L244" s="199">
        <v>0</v>
      </c>
      <c r="M244" s="199">
        <v>0</v>
      </c>
      <c r="N244" s="199">
        <v>0</v>
      </c>
      <c r="O244" s="199">
        <v>0</v>
      </c>
      <c r="P244" s="199">
        <v>0</v>
      </c>
      <c r="Q244" s="199">
        <v>0</v>
      </c>
      <c r="R244" s="199">
        <v>0</v>
      </c>
      <c r="S244" s="199">
        <v>0</v>
      </c>
      <c r="T244" s="199">
        <v>0</v>
      </c>
      <c r="U244" s="199">
        <v>0</v>
      </c>
      <c r="V244" s="199">
        <v>0</v>
      </c>
      <c r="W244" s="199">
        <v>0</v>
      </c>
      <c r="X244" s="199">
        <v>0</v>
      </c>
      <c r="Y244" s="199">
        <v>0</v>
      </c>
      <c r="Z244" s="199">
        <v>0</v>
      </c>
      <c r="AA244" s="199">
        <v>0</v>
      </c>
      <c r="AB244" s="199">
        <v>0</v>
      </c>
      <c r="AC244" s="199">
        <v>0</v>
      </c>
      <c r="AD244" s="199">
        <v>0</v>
      </c>
      <c r="AE244" s="199">
        <v>0</v>
      </c>
      <c r="AF244" s="199">
        <v>0</v>
      </c>
      <c r="AG244" s="199">
        <v>0</v>
      </c>
      <c r="AH244" s="199">
        <v>0</v>
      </c>
      <c r="AI244" s="199">
        <v>0</v>
      </c>
      <c r="AJ244" s="199">
        <v>1</v>
      </c>
      <c r="AK244" s="199">
        <v>0</v>
      </c>
      <c r="AL244" s="199">
        <v>0</v>
      </c>
      <c r="AM244" s="199">
        <v>0</v>
      </c>
      <c r="AN244" s="199">
        <v>0</v>
      </c>
      <c r="AO244" s="199">
        <v>0</v>
      </c>
      <c r="AP244" s="199">
        <v>0</v>
      </c>
      <c r="AQ244" s="199">
        <v>0</v>
      </c>
      <c r="AR244" s="199">
        <v>0</v>
      </c>
      <c r="AS244" s="199">
        <v>0</v>
      </c>
      <c r="AT244" s="199">
        <v>0</v>
      </c>
      <c r="AU244" s="199">
        <v>0</v>
      </c>
      <c r="AV244" s="199">
        <v>0</v>
      </c>
      <c r="AW244" s="199">
        <v>0</v>
      </c>
      <c r="AX244" s="199">
        <v>0</v>
      </c>
      <c r="AY244" s="199">
        <v>0</v>
      </c>
      <c r="AZ244" s="199">
        <v>0</v>
      </c>
      <c r="BA244" s="199">
        <v>0</v>
      </c>
      <c r="BB244" s="199">
        <v>0</v>
      </c>
      <c r="BC244" s="199">
        <v>0</v>
      </c>
    </row>
    <row r="245" spans="1:55" s="86" customFormat="1" hidden="1" outlineLevel="1" x14ac:dyDescent="0.2">
      <c r="A245" s="36"/>
      <c r="B245" s="36"/>
      <c r="C245" s="162" t="str">
        <v>Puertos BSC a Core: Datos: 30</v>
      </c>
      <c r="D245" s="81"/>
      <c r="F245" s="199">
        <v>0</v>
      </c>
      <c r="G245" s="199">
        <v>0</v>
      </c>
      <c r="H245" s="199">
        <v>0</v>
      </c>
      <c r="I245" s="199">
        <v>0</v>
      </c>
      <c r="J245" s="199">
        <v>0</v>
      </c>
      <c r="K245" s="199">
        <v>0</v>
      </c>
      <c r="L245" s="199">
        <v>0</v>
      </c>
      <c r="M245" s="199">
        <v>0</v>
      </c>
      <c r="N245" s="199">
        <v>0</v>
      </c>
      <c r="O245" s="199">
        <v>0</v>
      </c>
      <c r="P245" s="199">
        <v>0</v>
      </c>
      <c r="Q245" s="199">
        <v>0</v>
      </c>
      <c r="R245" s="199">
        <v>0</v>
      </c>
      <c r="S245" s="199">
        <v>0</v>
      </c>
      <c r="T245" s="199">
        <v>0</v>
      </c>
      <c r="U245" s="199">
        <v>0</v>
      </c>
      <c r="V245" s="199">
        <v>0</v>
      </c>
      <c r="W245" s="199">
        <v>0</v>
      </c>
      <c r="X245" s="199">
        <v>0</v>
      </c>
      <c r="Y245" s="199">
        <v>0</v>
      </c>
      <c r="Z245" s="199">
        <v>0</v>
      </c>
      <c r="AA245" s="199">
        <v>0</v>
      </c>
      <c r="AB245" s="199">
        <v>0</v>
      </c>
      <c r="AC245" s="199">
        <v>0</v>
      </c>
      <c r="AD245" s="199">
        <v>0</v>
      </c>
      <c r="AE245" s="199">
        <v>0</v>
      </c>
      <c r="AF245" s="199">
        <v>0</v>
      </c>
      <c r="AG245" s="199">
        <v>0</v>
      </c>
      <c r="AH245" s="199">
        <v>0</v>
      </c>
      <c r="AI245" s="199">
        <v>0</v>
      </c>
      <c r="AJ245" s="199">
        <v>1</v>
      </c>
      <c r="AK245" s="199">
        <v>0</v>
      </c>
      <c r="AL245" s="199">
        <v>0</v>
      </c>
      <c r="AM245" s="199">
        <v>0</v>
      </c>
      <c r="AN245" s="199">
        <v>0</v>
      </c>
      <c r="AO245" s="199">
        <v>0</v>
      </c>
      <c r="AP245" s="199">
        <v>0</v>
      </c>
      <c r="AQ245" s="199">
        <v>0</v>
      </c>
      <c r="AR245" s="199">
        <v>0</v>
      </c>
      <c r="AS245" s="199">
        <v>0</v>
      </c>
      <c r="AT245" s="199">
        <v>0</v>
      </c>
      <c r="AU245" s="199">
        <v>0</v>
      </c>
      <c r="AV245" s="199">
        <v>0</v>
      </c>
      <c r="AW245" s="199">
        <v>0</v>
      </c>
      <c r="AX245" s="199">
        <v>0</v>
      </c>
      <c r="AY245" s="199">
        <v>0</v>
      </c>
      <c r="AZ245" s="199">
        <v>0</v>
      </c>
      <c r="BA245" s="199">
        <v>0</v>
      </c>
      <c r="BB245" s="199">
        <v>0</v>
      </c>
      <c r="BC245" s="199">
        <v>0</v>
      </c>
    </row>
    <row r="246" spans="1:55" s="86" customFormat="1" hidden="1" outlineLevel="1" x14ac:dyDescent="0.2">
      <c r="A246" s="36"/>
      <c r="B246" s="36"/>
      <c r="C246" s="162" t="str">
        <v>Puertos BSC a Core: Datos: 100</v>
      </c>
      <c r="D246" s="81"/>
      <c r="F246" s="199">
        <v>0</v>
      </c>
      <c r="G246" s="199">
        <v>0</v>
      </c>
      <c r="H246" s="199">
        <v>0</v>
      </c>
      <c r="I246" s="199">
        <v>0</v>
      </c>
      <c r="J246" s="199">
        <v>0</v>
      </c>
      <c r="K246" s="199">
        <v>0</v>
      </c>
      <c r="L246" s="199">
        <v>0</v>
      </c>
      <c r="M246" s="199">
        <v>0</v>
      </c>
      <c r="N246" s="199">
        <v>0</v>
      </c>
      <c r="O246" s="199">
        <v>0</v>
      </c>
      <c r="P246" s="199">
        <v>0</v>
      </c>
      <c r="Q246" s="199">
        <v>0</v>
      </c>
      <c r="R246" s="199">
        <v>0</v>
      </c>
      <c r="S246" s="199">
        <v>0</v>
      </c>
      <c r="T246" s="199">
        <v>0</v>
      </c>
      <c r="U246" s="199">
        <v>0</v>
      </c>
      <c r="V246" s="199">
        <v>0</v>
      </c>
      <c r="W246" s="199">
        <v>0</v>
      </c>
      <c r="X246" s="199">
        <v>0</v>
      </c>
      <c r="Y246" s="199">
        <v>0</v>
      </c>
      <c r="Z246" s="199">
        <v>0</v>
      </c>
      <c r="AA246" s="199">
        <v>0</v>
      </c>
      <c r="AB246" s="199">
        <v>0</v>
      </c>
      <c r="AC246" s="199">
        <v>0</v>
      </c>
      <c r="AD246" s="199">
        <v>0</v>
      </c>
      <c r="AE246" s="199">
        <v>0</v>
      </c>
      <c r="AF246" s="199">
        <v>0</v>
      </c>
      <c r="AG246" s="199">
        <v>0</v>
      </c>
      <c r="AH246" s="199">
        <v>0</v>
      </c>
      <c r="AI246" s="199">
        <v>0</v>
      </c>
      <c r="AJ246" s="199">
        <v>1</v>
      </c>
      <c r="AK246" s="199">
        <v>0</v>
      </c>
      <c r="AL246" s="199">
        <v>0</v>
      </c>
      <c r="AM246" s="199">
        <v>0</v>
      </c>
      <c r="AN246" s="199">
        <v>0</v>
      </c>
      <c r="AO246" s="199">
        <v>0</v>
      </c>
      <c r="AP246" s="199">
        <v>0</v>
      </c>
      <c r="AQ246" s="199">
        <v>0</v>
      </c>
      <c r="AR246" s="199">
        <v>0</v>
      </c>
      <c r="AS246" s="199">
        <v>0</v>
      </c>
      <c r="AT246" s="199">
        <v>0</v>
      </c>
      <c r="AU246" s="199">
        <v>0</v>
      </c>
      <c r="AV246" s="199">
        <v>0</v>
      </c>
      <c r="AW246" s="199">
        <v>0</v>
      </c>
      <c r="AX246" s="199">
        <v>0</v>
      </c>
      <c r="AY246" s="199">
        <v>0</v>
      </c>
      <c r="AZ246" s="199">
        <v>0</v>
      </c>
      <c r="BA246" s="199">
        <v>0</v>
      </c>
      <c r="BB246" s="199">
        <v>0</v>
      </c>
      <c r="BC246" s="199">
        <v>0</v>
      </c>
    </row>
    <row r="247" spans="1:55" s="86" customFormat="1" hidden="1" outlineLevel="1" x14ac:dyDescent="0.2">
      <c r="A247" s="36"/>
      <c r="B247" s="36"/>
      <c r="C247" s="162" t="str">
        <v>Puertos BSC a Core: Datos: 1024</v>
      </c>
      <c r="D247" s="81"/>
      <c r="F247" s="199">
        <v>0</v>
      </c>
      <c r="G247" s="199">
        <v>0</v>
      </c>
      <c r="H247" s="199">
        <v>0</v>
      </c>
      <c r="I247" s="199">
        <v>0</v>
      </c>
      <c r="J247" s="199">
        <v>0</v>
      </c>
      <c r="K247" s="199">
        <v>0</v>
      </c>
      <c r="L247" s="199">
        <v>0</v>
      </c>
      <c r="M247" s="199">
        <v>0</v>
      </c>
      <c r="N247" s="199">
        <v>0</v>
      </c>
      <c r="O247" s="199">
        <v>0</v>
      </c>
      <c r="P247" s="199">
        <v>0</v>
      </c>
      <c r="Q247" s="199">
        <v>0</v>
      </c>
      <c r="R247" s="199">
        <v>0</v>
      </c>
      <c r="S247" s="199">
        <v>0</v>
      </c>
      <c r="T247" s="199">
        <v>0</v>
      </c>
      <c r="U247" s="199">
        <v>0</v>
      </c>
      <c r="V247" s="199">
        <v>0</v>
      </c>
      <c r="W247" s="199">
        <v>0</v>
      </c>
      <c r="X247" s="199">
        <v>0</v>
      </c>
      <c r="Y247" s="199">
        <v>0</v>
      </c>
      <c r="Z247" s="199">
        <v>0</v>
      </c>
      <c r="AA247" s="199">
        <v>0</v>
      </c>
      <c r="AB247" s="199">
        <v>0</v>
      </c>
      <c r="AC247" s="199">
        <v>0</v>
      </c>
      <c r="AD247" s="199">
        <v>0</v>
      </c>
      <c r="AE247" s="199">
        <v>0</v>
      </c>
      <c r="AF247" s="199">
        <v>0</v>
      </c>
      <c r="AG247" s="199">
        <v>0</v>
      </c>
      <c r="AH247" s="199">
        <v>0</v>
      </c>
      <c r="AI247" s="199">
        <v>0</v>
      </c>
      <c r="AJ247" s="199">
        <v>1</v>
      </c>
      <c r="AK247" s="199">
        <v>0</v>
      </c>
      <c r="AL247" s="199">
        <v>0</v>
      </c>
      <c r="AM247" s="199">
        <v>0</v>
      </c>
      <c r="AN247" s="199">
        <v>0</v>
      </c>
      <c r="AO247" s="199">
        <v>0</v>
      </c>
      <c r="AP247" s="199">
        <v>0</v>
      </c>
      <c r="AQ247" s="199">
        <v>0</v>
      </c>
      <c r="AR247" s="199">
        <v>0</v>
      </c>
      <c r="AS247" s="199">
        <v>0</v>
      </c>
      <c r="AT247" s="199">
        <v>0</v>
      </c>
      <c r="AU247" s="199">
        <v>0</v>
      </c>
      <c r="AV247" s="199">
        <v>0</v>
      </c>
      <c r="AW247" s="199">
        <v>0</v>
      </c>
      <c r="AX247" s="199">
        <v>0</v>
      </c>
      <c r="AY247" s="199">
        <v>0</v>
      </c>
      <c r="AZ247" s="199">
        <v>0</v>
      </c>
      <c r="BA247" s="199">
        <v>0</v>
      </c>
      <c r="BB247" s="199">
        <v>0</v>
      </c>
      <c r="BC247" s="199">
        <v>0</v>
      </c>
    </row>
    <row r="248" spans="1:55" s="86" customFormat="1" hidden="1" outlineLevel="1" x14ac:dyDescent="0.2">
      <c r="A248" s="36"/>
      <c r="B248" s="36"/>
      <c r="C248" s="162" t="str">
        <v>Puertos RNC a Core: Voz: 34.4</v>
      </c>
      <c r="D248" s="81"/>
      <c r="F248" s="199">
        <v>0</v>
      </c>
      <c r="G248" s="199">
        <v>0</v>
      </c>
      <c r="H248" s="199">
        <v>0</v>
      </c>
      <c r="I248" s="199">
        <v>0</v>
      </c>
      <c r="J248" s="199">
        <v>0</v>
      </c>
      <c r="K248" s="199">
        <v>0</v>
      </c>
      <c r="L248" s="199">
        <v>0</v>
      </c>
      <c r="M248" s="199">
        <v>2.8319607843137256</v>
      </c>
      <c r="N248" s="199">
        <v>1.4232291666666665</v>
      </c>
      <c r="O248" s="199">
        <v>1.4516666666666667</v>
      </c>
      <c r="P248" s="199">
        <v>1.393888888888889</v>
      </c>
      <c r="Q248" s="199">
        <v>1.4232291666666665</v>
      </c>
      <c r="R248" s="199">
        <v>1.4516666666666667</v>
      </c>
      <c r="S248" s="199">
        <v>1.393888888888889</v>
      </c>
      <c r="T248" s="199">
        <v>0</v>
      </c>
      <c r="U248" s="199">
        <v>0</v>
      </c>
      <c r="V248" s="199">
        <v>0</v>
      </c>
      <c r="W248" s="199">
        <v>0</v>
      </c>
      <c r="X248" s="199">
        <v>0</v>
      </c>
      <c r="Y248" s="199">
        <v>0</v>
      </c>
      <c r="Z248" s="199">
        <v>0</v>
      </c>
      <c r="AA248" s="199">
        <v>0</v>
      </c>
      <c r="AB248" s="199">
        <v>0</v>
      </c>
      <c r="AC248" s="199">
        <v>0</v>
      </c>
      <c r="AD248" s="199">
        <v>1E-3</v>
      </c>
      <c r="AE248" s="199">
        <v>5.0000000000000001E-4</v>
      </c>
      <c r="AF248" s="199">
        <v>5.0000000000000001E-4</v>
      </c>
      <c r="AG248" s="199">
        <v>0</v>
      </c>
      <c r="AH248" s="199">
        <v>0</v>
      </c>
      <c r="AI248" s="199">
        <v>0</v>
      </c>
      <c r="AJ248" s="199">
        <v>0</v>
      </c>
      <c r="AK248" s="199">
        <v>0</v>
      </c>
      <c r="AL248" s="199">
        <v>0</v>
      </c>
      <c r="AM248" s="199">
        <v>0</v>
      </c>
      <c r="AN248" s="199">
        <v>0</v>
      </c>
      <c r="AO248" s="199">
        <v>0</v>
      </c>
      <c r="AP248" s="199">
        <v>0</v>
      </c>
      <c r="AQ248" s="199">
        <v>0</v>
      </c>
      <c r="AR248" s="199">
        <v>0</v>
      </c>
      <c r="AS248" s="199">
        <v>0</v>
      </c>
      <c r="AT248" s="199">
        <v>0</v>
      </c>
      <c r="AU248" s="199">
        <v>0</v>
      </c>
      <c r="AV248" s="199">
        <v>0</v>
      </c>
      <c r="AW248" s="199">
        <v>0</v>
      </c>
      <c r="AX248" s="199">
        <v>0</v>
      </c>
      <c r="AY248" s="199">
        <v>0</v>
      </c>
      <c r="AZ248" s="199">
        <v>0</v>
      </c>
      <c r="BA248" s="199">
        <v>0</v>
      </c>
      <c r="BB248" s="199">
        <v>0</v>
      </c>
      <c r="BC248" s="199">
        <v>0</v>
      </c>
    </row>
    <row r="249" spans="1:55" s="86" customFormat="1" hidden="1" outlineLevel="1" x14ac:dyDescent="0.2">
      <c r="A249" s="36"/>
      <c r="B249" s="36"/>
      <c r="C249" s="162" t="str">
        <v>Puertos RNC a Core: Voz: 155.52</v>
      </c>
      <c r="D249" s="81"/>
      <c r="F249" s="199">
        <v>0</v>
      </c>
      <c r="G249" s="199">
        <v>0</v>
      </c>
      <c r="H249" s="199">
        <v>0</v>
      </c>
      <c r="I249" s="199">
        <v>0</v>
      </c>
      <c r="J249" s="199">
        <v>0</v>
      </c>
      <c r="K249" s="199">
        <v>0</v>
      </c>
      <c r="L249" s="199">
        <v>0</v>
      </c>
      <c r="M249" s="199">
        <v>2.8319607843137256</v>
      </c>
      <c r="N249" s="199">
        <v>1.4232291666666665</v>
      </c>
      <c r="O249" s="199">
        <v>1.4516666666666667</v>
      </c>
      <c r="P249" s="199">
        <v>1.393888888888889</v>
      </c>
      <c r="Q249" s="199">
        <v>1.4232291666666665</v>
      </c>
      <c r="R249" s="199">
        <v>1.4516666666666667</v>
      </c>
      <c r="S249" s="199">
        <v>1.393888888888889</v>
      </c>
      <c r="T249" s="199">
        <v>0</v>
      </c>
      <c r="U249" s="199">
        <v>0</v>
      </c>
      <c r="V249" s="199">
        <v>0</v>
      </c>
      <c r="W249" s="199">
        <v>0</v>
      </c>
      <c r="X249" s="199">
        <v>0</v>
      </c>
      <c r="Y249" s="199">
        <v>0</v>
      </c>
      <c r="Z249" s="199">
        <v>0</v>
      </c>
      <c r="AA249" s="199">
        <v>0</v>
      </c>
      <c r="AB249" s="199">
        <v>0</v>
      </c>
      <c r="AC249" s="199">
        <v>0</v>
      </c>
      <c r="AD249" s="199">
        <v>1E-3</v>
      </c>
      <c r="AE249" s="199">
        <v>5.0000000000000001E-4</v>
      </c>
      <c r="AF249" s="199">
        <v>5.0000000000000001E-4</v>
      </c>
      <c r="AG249" s="199">
        <v>0</v>
      </c>
      <c r="AH249" s="199">
        <v>0</v>
      </c>
      <c r="AI249" s="199">
        <v>0</v>
      </c>
      <c r="AJ249" s="199">
        <v>0</v>
      </c>
      <c r="AK249" s="199">
        <v>0</v>
      </c>
      <c r="AL249" s="199">
        <v>0</v>
      </c>
      <c r="AM249" s="199">
        <v>0</v>
      </c>
      <c r="AN249" s="199">
        <v>0</v>
      </c>
      <c r="AO249" s="199">
        <v>0</v>
      </c>
      <c r="AP249" s="199">
        <v>0</v>
      </c>
      <c r="AQ249" s="199">
        <v>0</v>
      </c>
      <c r="AR249" s="199">
        <v>0</v>
      </c>
      <c r="AS249" s="199">
        <v>0</v>
      </c>
      <c r="AT249" s="199">
        <v>0</v>
      </c>
      <c r="AU249" s="199">
        <v>0</v>
      </c>
      <c r="AV249" s="199">
        <v>0</v>
      </c>
      <c r="AW249" s="199">
        <v>0</v>
      </c>
      <c r="AX249" s="199">
        <v>0</v>
      </c>
      <c r="AY249" s="199">
        <v>0</v>
      </c>
      <c r="AZ249" s="199">
        <v>0</v>
      </c>
      <c r="BA249" s="199">
        <v>0</v>
      </c>
      <c r="BB249" s="199">
        <v>0</v>
      </c>
      <c r="BC249" s="199">
        <v>0</v>
      </c>
    </row>
    <row r="250" spans="1:55" s="86" customFormat="1" hidden="1" outlineLevel="1" x14ac:dyDescent="0.2">
      <c r="A250" s="36"/>
      <c r="B250" s="36"/>
      <c r="C250" s="162" t="str">
        <v>Puertos RNC a Core: Voz: 622.08</v>
      </c>
      <c r="D250" s="81"/>
      <c r="F250" s="199">
        <v>0</v>
      </c>
      <c r="G250" s="199">
        <v>0</v>
      </c>
      <c r="H250" s="199">
        <v>0</v>
      </c>
      <c r="I250" s="199">
        <v>0</v>
      </c>
      <c r="J250" s="199">
        <v>0</v>
      </c>
      <c r="K250" s="199">
        <v>0</v>
      </c>
      <c r="L250" s="199">
        <v>0</v>
      </c>
      <c r="M250" s="199">
        <v>2.8319607843137256</v>
      </c>
      <c r="N250" s="199">
        <v>1.4232291666666665</v>
      </c>
      <c r="O250" s="199">
        <v>1.4516666666666667</v>
      </c>
      <c r="P250" s="199">
        <v>1.393888888888889</v>
      </c>
      <c r="Q250" s="199">
        <v>1.4232291666666665</v>
      </c>
      <c r="R250" s="199">
        <v>1.4516666666666667</v>
      </c>
      <c r="S250" s="199">
        <v>1.393888888888889</v>
      </c>
      <c r="T250" s="199">
        <v>0</v>
      </c>
      <c r="U250" s="199">
        <v>0</v>
      </c>
      <c r="V250" s="199">
        <v>0</v>
      </c>
      <c r="W250" s="199">
        <v>0</v>
      </c>
      <c r="X250" s="199">
        <v>0</v>
      </c>
      <c r="Y250" s="199">
        <v>0</v>
      </c>
      <c r="Z250" s="199">
        <v>0</v>
      </c>
      <c r="AA250" s="199">
        <v>0</v>
      </c>
      <c r="AB250" s="199">
        <v>0</v>
      </c>
      <c r="AC250" s="199">
        <v>0</v>
      </c>
      <c r="AD250" s="199">
        <v>1E-3</v>
      </c>
      <c r="AE250" s="199">
        <v>5.0000000000000001E-4</v>
      </c>
      <c r="AF250" s="199">
        <v>5.0000000000000001E-4</v>
      </c>
      <c r="AG250" s="199">
        <v>0</v>
      </c>
      <c r="AH250" s="199">
        <v>0</v>
      </c>
      <c r="AI250" s="199">
        <v>0</v>
      </c>
      <c r="AJ250" s="199">
        <v>0</v>
      </c>
      <c r="AK250" s="199">
        <v>0</v>
      </c>
      <c r="AL250" s="199">
        <v>0</v>
      </c>
      <c r="AM250" s="199">
        <v>0</v>
      </c>
      <c r="AN250" s="199">
        <v>0</v>
      </c>
      <c r="AO250" s="199">
        <v>0</v>
      </c>
      <c r="AP250" s="199">
        <v>0</v>
      </c>
      <c r="AQ250" s="199">
        <v>0</v>
      </c>
      <c r="AR250" s="199">
        <v>0</v>
      </c>
      <c r="AS250" s="199">
        <v>0</v>
      </c>
      <c r="AT250" s="199">
        <v>0</v>
      </c>
      <c r="AU250" s="199">
        <v>0</v>
      </c>
      <c r="AV250" s="199">
        <v>0</v>
      </c>
      <c r="AW250" s="199">
        <v>0</v>
      </c>
      <c r="AX250" s="199">
        <v>0</v>
      </c>
      <c r="AY250" s="199">
        <v>0</v>
      </c>
      <c r="AZ250" s="199">
        <v>0</v>
      </c>
      <c r="BA250" s="199">
        <v>0</v>
      </c>
      <c r="BB250" s="199">
        <v>0</v>
      </c>
      <c r="BC250" s="199">
        <v>0</v>
      </c>
    </row>
    <row r="251" spans="1:55" s="86" customFormat="1" hidden="1" outlineLevel="1" x14ac:dyDescent="0.2">
      <c r="A251" s="36"/>
      <c r="B251" s="36"/>
      <c r="C251" s="162" t="str">
        <v>Puertos RNC a Core: Voz: 100</v>
      </c>
      <c r="D251" s="81"/>
      <c r="F251" s="199">
        <v>0</v>
      </c>
      <c r="G251" s="199">
        <v>0</v>
      </c>
      <c r="H251" s="199">
        <v>0</v>
      </c>
      <c r="I251" s="199">
        <v>0</v>
      </c>
      <c r="J251" s="199">
        <v>0</v>
      </c>
      <c r="K251" s="199">
        <v>0</v>
      </c>
      <c r="L251" s="199">
        <v>0</v>
      </c>
      <c r="M251" s="199">
        <v>2.8319607843137256</v>
      </c>
      <c r="N251" s="199">
        <v>1.4232291666666665</v>
      </c>
      <c r="O251" s="199">
        <v>1.4516666666666667</v>
      </c>
      <c r="P251" s="199">
        <v>1.393888888888889</v>
      </c>
      <c r="Q251" s="199">
        <v>1.4232291666666665</v>
      </c>
      <c r="R251" s="199">
        <v>1.4516666666666667</v>
      </c>
      <c r="S251" s="199">
        <v>1.393888888888889</v>
      </c>
      <c r="T251" s="199">
        <v>0</v>
      </c>
      <c r="U251" s="199">
        <v>0</v>
      </c>
      <c r="V251" s="199">
        <v>0</v>
      </c>
      <c r="W251" s="199">
        <v>0</v>
      </c>
      <c r="X251" s="199">
        <v>0</v>
      </c>
      <c r="Y251" s="199">
        <v>0</v>
      </c>
      <c r="Z251" s="199">
        <v>0</v>
      </c>
      <c r="AA251" s="199">
        <v>0</v>
      </c>
      <c r="AB251" s="199">
        <v>0</v>
      </c>
      <c r="AC251" s="199">
        <v>0</v>
      </c>
      <c r="AD251" s="199">
        <v>1E-3</v>
      </c>
      <c r="AE251" s="199">
        <v>5.0000000000000001E-4</v>
      </c>
      <c r="AF251" s="199">
        <v>5.0000000000000001E-4</v>
      </c>
      <c r="AG251" s="199">
        <v>0</v>
      </c>
      <c r="AH251" s="199">
        <v>0</v>
      </c>
      <c r="AI251" s="199">
        <v>0</v>
      </c>
      <c r="AJ251" s="199">
        <v>0</v>
      </c>
      <c r="AK251" s="199">
        <v>0</v>
      </c>
      <c r="AL251" s="199">
        <v>0</v>
      </c>
      <c r="AM251" s="199">
        <v>0</v>
      </c>
      <c r="AN251" s="199">
        <v>0</v>
      </c>
      <c r="AO251" s="199">
        <v>0</v>
      </c>
      <c r="AP251" s="199">
        <v>0</v>
      </c>
      <c r="AQ251" s="199">
        <v>0</v>
      </c>
      <c r="AR251" s="199">
        <v>0</v>
      </c>
      <c r="AS251" s="199">
        <v>0</v>
      </c>
      <c r="AT251" s="199">
        <v>0</v>
      </c>
      <c r="AU251" s="199">
        <v>0</v>
      </c>
      <c r="AV251" s="199">
        <v>0</v>
      </c>
      <c r="AW251" s="199">
        <v>0</v>
      </c>
      <c r="AX251" s="199">
        <v>0</v>
      </c>
      <c r="AY251" s="199">
        <v>0</v>
      </c>
      <c r="AZ251" s="199">
        <v>0</v>
      </c>
      <c r="BA251" s="199">
        <v>0</v>
      </c>
      <c r="BB251" s="199">
        <v>0</v>
      </c>
      <c r="BC251" s="199">
        <v>0</v>
      </c>
    </row>
    <row r="252" spans="1:55" s="86" customFormat="1" hidden="1" outlineLevel="1" x14ac:dyDescent="0.2">
      <c r="A252" s="36"/>
      <c r="B252" s="36"/>
      <c r="C252" s="162" t="str">
        <v>Puertos RNC a Core: Voz: 1024</v>
      </c>
      <c r="D252" s="81"/>
      <c r="F252" s="199">
        <v>0</v>
      </c>
      <c r="G252" s="199">
        <v>0</v>
      </c>
      <c r="H252" s="199">
        <v>0</v>
      </c>
      <c r="I252" s="199">
        <v>0</v>
      </c>
      <c r="J252" s="199">
        <v>0</v>
      </c>
      <c r="K252" s="199">
        <v>0</v>
      </c>
      <c r="L252" s="199">
        <v>0</v>
      </c>
      <c r="M252" s="199">
        <v>2.8319607843137256</v>
      </c>
      <c r="N252" s="199">
        <v>1.4232291666666665</v>
      </c>
      <c r="O252" s="199">
        <v>1.4516666666666667</v>
      </c>
      <c r="P252" s="199">
        <v>1.393888888888889</v>
      </c>
      <c r="Q252" s="199">
        <v>1.4232291666666665</v>
      </c>
      <c r="R252" s="199">
        <v>1.4516666666666667</v>
      </c>
      <c r="S252" s="199">
        <v>1.393888888888889</v>
      </c>
      <c r="T252" s="199">
        <v>0</v>
      </c>
      <c r="U252" s="199">
        <v>0</v>
      </c>
      <c r="V252" s="199">
        <v>0</v>
      </c>
      <c r="W252" s="199">
        <v>0</v>
      </c>
      <c r="X252" s="199">
        <v>0</v>
      </c>
      <c r="Y252" s="199">
        <v>0</v>
      </c>
      <c r="Z252" s="199">
        <v>0</v>
      </c>
      <c r="AA252" s="199">
        <v>0</v>
      </c>
      <c r="AB252" s="199">
        <v>0</v>
      </c>
      <c r="AC252" s="199">
        <v>0</v>
      </c>
      <c r="AD252" s="199">
        <v>1E-3</v>
      </c>
      <c r="AE252" s="199">
        <v>5.0000000000000001E-4</v>
      </c>
      <c r="AF252" s="199">
        <v>5.0000000000000001E-4</v>
      </c>
      <c r="AG252" s="199">
        <v>0</v>
      </c>
      <c r="AH252" s="199">
        <v>0</v>
      </c>
      <c r="AI252" s="199">
        <v>0</v>
      </c>
      <c r="AJ252" s="199">
        <v>0</v>
      </c>
      <c r="AK252" s="199">
        <v>0</v>
      </c>
      <c r="AL252" s="199">
        <v>0</v>
      </c>
      <c r="AM252" s="199">
        <v>0</v>
      </c>
      <c r="AN252" s="199">
        <v>0</v>
      </c>
      <c r="AO252" s="199">
        <v>0</v>
      </c>
      <c r="AP252" s="199">
        <v>0</v>
      </c>
      <c r="AQ252" s="199">
        <v>0</v>
      </c>
      <c r="AR252" s="199">
        <v>0</v>
      </c>
      <c r="AS252" s="199">
        <v>0</v>
      </c>
      <c r="AT252" s="199">
        <v>0</v>
      </c>
      <c r="AU252" s="199">
        <v>0</v>
      </c>
      <c r="AV252" s="199">
        <v>0</v>
      </c>
      <c r="AW252" s="199">
        <v>0</v>
      </c>
      <c r="AX252" s="199">
        <v>0</v>
      </c>
      <c r="AY252" s="199">
        <v>0</v>
      </c>
      <c r="AZ252" s="199">
        <v>0</v>
      </c>
      <c r="BA252" s="199">
        <v>0</v>
      </c>
      <c r="BB252" s="199">
        <v>0</v>
      </c>
      <c r="BC252" s="199">
        <v>0</v>
      </c>
    </row>
    <row r="253" spans="1:55" s="86" customFormat="1" hidden="1" outlineLevel="1" x14ac:dyDescent="0.2">
      <c r="A253" s="36"/>
      <c r="B253" s="36"/>
      <c r="C253" s="162" t="str">
        <v>Puertos RNC a Core: Voz: 2488</v>
      </c>
      <c r="D253" s="81"/>
      <c r="F253" s="199">
        <v>0</v>
      </c>
      <c r="G253" s="199">
        <v>0</v>
      </c>
      <c r="H253" s="199">
        <v>0</v>
      </c>
      <c r="I253" s="199">
        <v>0</v>
      </c>
      <c r="J253" s="199">
        <v>0</v>
      </c>
      <c r="K253" s="199">
        <v>0</v>
      </c>
      <c r="L253" s="199">
        <v>0</v>
      </c>
      <c r="M253" s="199">
        <v>2.8319607843137256</v>
      </c>
      <c r="N253" s="199">
        <v>1.4232291666666665</v>
      </c>
      <c r="O253" s="199">
        <v>1.4516666666666667</v>
      </c>
      <c r="P253" s="199">
        <v>1.393888888888889</v>
      </c>
      <c r="Q253" s="199">
        <v>1.4232291666666665</v>
      </c>
      <c r="R253" s="199">
        <v>1.4516666666666667</v>
      </c>
      <c r="S253" s="199">
        <v>1.393888888888889</v>
      </c>
      <c r="T253" s="199">
        <v>0</v>
      </c>
      <c r="U253" s="199">
        <v>0</v>
      </c>
      <c r="V253" s="199">
        <v>0</v>
      </c>
      <c r="W253" s="199">
        <v>0</v>
      </c>
      <c r="X253" s="199">
        <v>0</v>
      </c>
      <c r="Y253" s="199">
        <v>0</v>
      </c>
      <c r="Z253" s="199">
        <v>0</v>
      </c>
      <c r="AA253" s="199">
        <v>0</v>
      </c>
      <c r="AB253" s="199">
        <v>0</v>
      </c>
      <c r="AC253" s="199">
        <v>0</v>
      </c>
      <c r="AD253" s="199">
        <v>1E-3</v>
      </c>
      <c r="AE253" s="199">
        <v>5.0000000000000001E-4</v>
      </c>
      <c r="AF253" s="199">
        <v>5.0000000000000001E-4</v>
      </c>
      <c r="AG253" s="199">
        <v>0</v>
      </c>
      <c r="AH253" s="199">
        <v>0</v>
      </c>
      <c r="AI253" s="199">
        <v>0</v>
      </c>
      <c r="AJ253" s="199">
        <v>0</v>
      </c>
      <c r="AK253" s="199">
        <v>0</v>
      </c>
      <c r="AL253" s="199">
        <v>0</v>
      </c>
      <c r="AM253" s="199">
        <v>0</v>
      </c>
      <c r="AN253" s="199">
        <v>0</v>
      </c>
      <c r="AO253" s="199">
        <v>0</v>
      </c>
      <c r="AP253" s="199">
        <v>0</v>
      </c>
      <c r="AQ253" s="199">
        <v>0</v>
      </c>
      <c r="AR253" s="199">
        <v>0</v>
      </c>
      <c r="AS253" s="199">
        <v>0</v>
      </c>
      <c r="AT253" s="199">
        <v>0</v>
      </c>
      <c r="AU253" s="199">
        <v>0</v>
      </c>
      <c r="AV253" s="199">
        <v>0</v>
      </c>
      <c r="AW253" s="199">
        <v>0</v>
      </c>
      <c r="AX253" s="199">
        <v>0</v>
      </c>
      <c r="AY253" s="199">
        <v>0</v>
      </c>
      <c r="AZ253" s="199">
        <v>0</v>
      </c>
      <c r="BA253" s="199">
        <v>0</v>
      </c>
      <c r="BB253" s="199">
        <v>0</v>
      </c>
      <c r="BC253" s="199">
        <v>0</v>
      </c>
    </row>
    <row r="254" spans="1:55" s="86" customFormat="1" hidden="1" outlineLevel="1" x14ac:dyDescent="0.2">
      <c r="A254" s="36"/>
      <c r="B254" s="36"/>
      <c r="C254" s="162" t="str">
        <v>Puertos RNC a Core: Datos: 34.4</v>
      </c>
      <c r="D254" s="81"/>
      <c r="F254" s="199">
        <v>0</v>
      </c>
      <c r="G254" s="199">
        <v>0</v>
      </c>
      <c r="H254" s="199">
        <v>0</v>
      </c>
      <c r="I254" s="199">
        <v>0</v>
      </c>
      <c r="J254" s="199">
        <v>0</v>
      </c>
      <c r="K254" s="199">
        <v>0</v>
      </c>
      <c r="L254" s="199">
        <v>0</v>
      </c>
      <c r="M254" s="199">
        <v>0</v>
      </c>
      <c r="N254" s="199">
        <v>0</v>
      </c>
      <c r="O254" s="199">
        <v>0</v>
      </c>
      <c r="P254" s="199">
        <v>0</v>
      </c>
      <c r="Q254" s="199">
        <v>0</v>
      </c>
      <c r="R254" s="199">
        <v>0</v>
      </c>
      <c r="S254" s="199">
        <v>0</v>
      </c>
      <c r="T254" s="199">
        <v>0</v>
      </c>
      <c r="U254" s="199">
        <v>0</v>
      </c>
      <c r="V254" s="199">
        <v>0</v>
      </c>
      <c r="W254" s="199">
        <v>0</v>
      </c>
      <c r="X254" s="199">
        <v>0</v>
      </c>
      <c r="Y254" s="199">
        <v>0</v>
      </c>
      <c r="Z254" s="199">
        <v>0</v>
      </c>
      <c r="AA254" s="199">
        <v>0</v>
      </c>
      <c r="AB254" s="199">
        <v>0</v>
      </c>
      <c r="AC254" s="199">
        <v>0</v>
      </c>
      <c r="AD254" s="199">
        <v>0</v>
      </c>
      <c r="AE254" s="199">
        <v>0</v>
      </c>
      <c r="AF254" s="199">
        <v>0</v>
      </c>
      <c r="AG254" s="199">
        <v>0</v>
      </c>
      <c r="AH254" s="199">
        <v>0</v>
      </c>
      <c r="AI254" s="199">
        <v>0</v>
      </c>
      <c r="AJ254" s="199">
        <v>0</v>
      </c>
      <c r="AK254" s="199">
        <v>1</v>
      </c>
      <c r="AL254" s="199">
        <v>1</v>
      </c>
      <c r="AM254" s="199">
        <v>1</v>
      </c>
      <c r="AN254" s="199">
        <v>0</v>
      </c>
      <c r="AO254" s="199">
        <v>0</v>
      </c>
      <c r="AP254" s="199">
        <v>0</v>
      </c>
      <c r="AQ254" s="199">
        <v>0</v>
      </c>
      <c r="AR254" s="199">
        <v>0</v>
      </c>
      <c r="AS254" s="199">
        <v>0</v>
      </c>
      <c r="AT254" s="199">
        <v>0</v>
      </c>
      <c r="AU254" s="199">
        <v>0</v>
      </c>
      <c r="AV254" s="199">
        <v>0</v>
      </c>
      <c r="AW254" s="199">
        <v>0</v>
      </c>
      <c r="AX254" s="199">
        <v>0</v>
      </c>
      <c r="AY254" s="199">
        <v>0</v>
      </c>
      <c r="AZ254" s="199">
        <v>0</v>
      </c>
      <c r="BA254" s="199">
        <v>0</v>
      </c>
      <c r="BB254" s="199">
        <v>0</v>
      </c>
      <c r="BC254" s="199">
        <v>0</v>
      </c>
    </row>
    <row r="255" spans="1:55" s="86" customFormat="1" hidden="1" outlineLevel="1" x14ac:dyDescent="0.2">
      <c r="A255" s="36"/>
      <c r="B255" s="36"/>
      <c r="C255" s="162" t="str">
        <v>Puertos RNC a Core: Datos: 155.52</v>
      </c>
      <c r="D255" s="81"/>
      <c r="F255" s="199">
        <v>0</v>
      </c>
      <c r="G255" s="199">
        <v>0</v>
      </c>
      <c r="H255" s="199">
        <v>0</v>
      </c>
      <c r="I255" s="199">
        <v>0</v>
      </c>
      <c r="J255" s="199">
        <v>0</v>
      </c>
      <c r="K255" s="199">
        <v>0</v>
      </c>
      <c r="L255" s="199">
        <v>0</v>
      </c>
      <c r="M255" s="199">
        <v>0</v>
      </c>
      <c r="N255" s="199">
        <v>0</v>
      </c>
      <c r="O255" s="199">
        <v>0</v>
      </c>
      <c r="P255" s="199">
        <v>0</v>
      </c>
      <c r="Q255" s="199">
        <v>0</v>
      </c>
      <c r="R255" s="199">
        <v>0</v>
      </c>
      <c r="S255" s="199">
        <v>0</v>
      </c>
      <c r="T255" s="199">
        <v>0</v>
      </c>
      <c r="U255" s="199">
        <v>0</v>
      </c>
      <c r="V255" s="199">
        <v>0</v>
      </c>
      <c r="W255" s="199">
        <v>0</v>
      </c>
      <c r="X255" s="199">
        <v>0</v>
      </c>
      <c r="Y255" s="199">
        <v>0</v>
      </c>
      <c r="Z255" s="199">
        <v>0</v>
      </c>
      <c r="AA255" s="199">
        <v>0</v>
      </c>
      <c r="AB255" s="199">
        <v>0</v>
      </c>
      <c r="AC255" s="199">
        <v>0</v>
      </c>
      <c r="AD255" s="199">
        <v>0</v>
      </c>
      <c r="AE255" s="199">
        <v>0</v>
      </c>
      <c r="AF255" s="199">
        <v>0</v>
      </c>
      <c r="AG255" s="199">
        <v>0</v>
      </c>
      <c r="AH255" s="199">
        <v>0</v>
      </c>
      <c r="AI255" s="199">
        <v>0</v>
      </c>
      <c r="AJ255" s="199">
        <v>0</v>
      </c>
      <c r="AK255" s="199">
        <v>1</v>
      </c>
      <c r="AL255" s="199">
        <v>1</v>
      </c>
      <c r="AM255" s="199">
        <v>1</v>
      </c>
      <c r="AN255" s="199">
        <v>0</v>
      </c>
      <c r="AO255" s="199">
        <v>0</v>
      </c>
      <c r="AP255" s="199">
        <v>0</v>
      </c>
      <c r="AQ255" s="199">
        <v>0</v>
      </c>
      <c r="AR255" s="199">
        <v>0</v>
      </c>
      <c r="AS255" s="199">
        <v>0</v>
      </c>
      <c r="AT255" s="199">
        <v>0</v>
      </c>
      <c r="AU255" s="199">
        <v>0</v>
      </c>
      <c r="AV255" s="199">
        <v>0</v>
      </c>
      <c r="AW255" s="199">
        <v>0</v>
      </c>
      <c r="AX255" s="199">
        <v>0</v>
      </c>
      <c r="AY255" s="199">
        <v>0</v>
      </c>
      <c r="AZ255" s="199">
        <v>0</v>
      </c>
      <c r="BA255" s="199">
        <v>0</v>
      </c>
      <c r="BB255" s="199">
        <v>0</v>
      </c>
      <c r="BC255" s="199">
        <v>0</v>
      </c>
    </row>
    <row r="256" spans="1:55" s="86" customFormat="1" hidden="1" outlineLevel="1" x14ac:dyDescent="0.2">
      <c r="A256" s="36"/>
      <c r="B256" s="36"/>
      <c r="C256" s="162" t="str">
        <v>Puertos RNC a Core: Datos: 622.08</v>
      </c>
      <c r="D256" s="81"/>
      <c r="F256" s="199">
        <v>0</v>
      </c>
      <c r="G256" s="199">
        <v>0</v>
      </c>
      <c r="H256" s="199">
        <v>0</v>
      </c>
      <c r="I256" s="199">
        <v>0</v>
      </c>
      <c r="J256" s="199">
        <v>0</v>
      </c>
      <c r="K256" s="199">
        <v>0</v>
      </c>
      <c r="L256" s="199">
        <v>0</v>
      </c>
      <c r="M256" s="199">
        <v>0</v>
      </c>
      <c r="N256" s="199">
        <v>0</v>
      </c>
      <c r="O256" s="199">
        <v>0</v>
      </c>
      <c r="P256" s="199">
        <v>0</v>
      </c>
      <c r="Q256" s="199">
        <v>0</v>
      </c>
      <c r="R256" s="199">
        <v>0</v>
      </c>
      <c r="S256" s="199">
        <v>0</v>
      </c>
      <c r="T256" s="199">
        <v>0</v>
      </c>
      <c r="U256" s="199">
        <v>0</v>
      </c>
      <c r="V256" s="199">
        <v>0</v>
      </c>
      <c r="W256" s="199">
        <v>0</v>
      </c>
      <c r="X256" s="199">
        <v>0</v>
      </c>
      <c r="Y256" s="199">
        <v>0</v>
      </c>
      <c r="Z256" s="199">
        <v>0</v>
      </c>
      <c r="AA256" s="199">
        <v>0</v>
      </c>
      <c r="AB256" s="199">
        <v>0</v>
      </c>
      <c r="AC256" s="199">
        <v>0</v>
      </c>
      <c r="AD256" s="199">
        <v>0</v>
      </c>
      <c r="AE256" s="199">
        <v>0</v>
      </c>
      <c r="AF256" s="199">
        <v>0</v>
      </c>
      <c r="AG256" s="199">
        <v>0</v>
      </c>
      <c r="AH256" s="199">
        <v>0</v>
      </c>
      <c r="AI256" s="199">
        <v>0</v>
      </c>
      <c r="AJ256" s="199">
        <v>0</v>
      </c>
      <c r="AK256" s="199">
        <v>1</v>
      </c>
      <c r="AL256" s="199">
        <v>1</v>
      </c>
      <c r="AM256" s="199">
        <v>1</v>
      </c>
      <c r="AN256" s="199">
        <v>0</v>
      </c>
      <c r="AO256" s="199">
        <v>0</v>
      </c>
      <c r="AP256" s="199">
        <v>0</v>
      </c>
      <c r="AQ256" s="199">
        <v>0</v>
      </c>
      <c r="AR256" s="199">
        <v>0</v>
      </c>
      <c r="AS256" s="199">
        <v>0</v>
      </c>
      <c r="AT256" s="199">
        <v>0</v>
      </c>
      <c r="AU256" s="199">
        <v>0</v>
      </c>
      <c r="AV256" s="199">
        <v>0</v>
      </c>
      <c r="AW256" s="199">
        <v>0</v>
      </c>
      <c r="AX256" s="199">
        <v>0</v>
      </c>
      <c r="AY256" s="199">
        <v>0</v>
      </c>
      <c r="AZ256" s="199">
        <v>0</v>
      </c>
      <c r="BA256" s="199">
        <v>0</v>
      </c>
      <c r="BB256" s="199">
        <v>0</v>
      </c>
      <c r="BC256" s="199">
        <v>0</v>
      </c>
    </row>
    <row r="257" spans="1:60" s="86" customFormat="1" hidden="1" outlineLevel="1" x14ac:dyDescent="0.2">
      <c r="A257" s="36"/>
      <c r="B257" s="36"/>
      <c r="C257" s="162" t="str">
        <v>Puertos RNC a Core: Datos: 100</v>
      </c>
      <c r="D257" s="81"/>
      <c r="F257" s="199">
        <v>0</v>
      </c>
      <c r="G257" s="199">
        <v>0</v>
      </c>
      <c r="H257" s="199">
        <v>0</v>
      </c>
      <c r="I257" s="199">
        <v>0</v>
      </c>
      <c r="J257" s="199">
        <v>0</v>
      </c>
      <c r="K257" s="199">
        <v>0</v>
      </c>
      <c r="L257" s="199">
        <v>0</v>
      </c>
      <c r="M257" s="199">
        <v>0</v>
      </c>
      <c r="N257" s="199">
        <v>0</v>
      </c>
      <c r="O257" s="199">
        <v>0</v>
      </c>
      <c r="P257" s="199">
        <v>0</v>
      </c>
      <c r="Q257" s="199">
        <v>0</v>
      </c>
      <c r="R257" s="199">
        <v>0</v>
      </c>
      <c r="S257" s="199">
        <v>0</v>
      </c>
      <c r="T257" s="199">
        <v>0</v>
      </c>
      <c r="U257" s="199">
        <v>0</v>
      </c>
      <c r="V257" s="199">
        <v>0</v>
      </c>
      <c r="W257" s="199">
        <v>0</v>
      </c>
      <c r="X257" s="199">
        <v>0</v>
      </c>
      <c r="Y257" s="199">
        <v>0</v>
      </c>
      <c r="Z257" s="199">
        <v>0</v>
      </c>
      <c r="AA257" s="199">
        <v>0</v>
      </c>
      <c r="AB257" s="199">
        <v>0</v>
      </c>
      <c r="AC257" s="199">
        <v>0</v>
      </c>
      <c r="AD257" s="199">
        <v>0</v>
      </c>
      <c r="AE257" s="199">
        <v>0</v>
      </c>
      <c r="AF257" s="199">
        <v>0</v>
      </c>
      <c r="AG257" s="199">
        <v>0</v>
      </c>
      <c r="AH257" s="199">
        <v>0</v>
      </c>
      <c r="AI257" s="199">
        <v>0</v>
      </c>
      <c r="AJ257" s="199">
        <v>0</v>
      </c>
      <c r="AK257" s="199">
        <v>1</v>
      </c>
      <c r="AL257" s="199">
        <v>1</v>
      </c>
      <c r="AM257" s="199">
        <v>1</v>
      </c>
      <c r="AN257" s="199">
        <v>0</v>
      </c>
      <c r="AO257" s="199">
        <v>0</v>
      </c>
      <c r="AP257" s="199">
        <v>0</v>
      </c>
      <c r="AQ257" s="199">
        <v>0</v>
      </c>
      <c r="AR257" s="199">
        <v>0</v>
      </c>
      <c r="AS257" s="199">
        <v>0</v>
      </c>
      <c r="AT257" s="199">
        <v>0</v>
      </c>
      <c r="AU257" s="199">
        <v>0</v>
      </c>
      <c r="AV257" s="199">
        <v>0</v>
      </c>
      <c r="AW257" s="199">
        <v>0</v>
      </c>
      <c r="AX257" s="199">
        <v>0</v>
      </c>
      <c r="AY257" s="199">
        <v>0</v>
      </c>
      <c r="AZ257" s="199">
        <v>0</v>
      </c>
      <c r="BA257" s="199">
        <v>0</v>
      </c>
      <c r="BB257" s="199">
        <v>0</v>
      </c>
      <c r="BC257" s="199">
        <v>0</v>
      </c>
    </row>
    <row r="258" spans="1:60" s="86" customFormat="1" hidden="1" outlineLevel="1" x14ac:dyDescent="0.2">
      <c r="A258" s="36"/>
      <c r="B258" s="36"/>
      <c r="C258" s="162" t="str">
        <v>Puertos RNC a Core: Datos: 1024</v>
      </c>
      <c r="D258" s="81"/>
      <c r="F258" s="199">
        <v>0</v>
      </c>
      <c r="G258" s="199">
        <v>0</v>
      </c>
      <c r="H258" s="199">
        <v>0</v>
      </c>
      <c r="I258" s="199">
        <v>0</v>
      </c>
      <c r="J258" s="199">
        <v>0</v>
      </c>
      <c r="K258" s="199">
        <v>0</v>
      </c>
      <c r="L258" s="199">
        <v>0</v>
      </c>
      <c r="M258" s="199">
        <v>0</v>
      </c>
      <c r="N258" s="199">
        <v>0</v>
      </c>
      <c r="O258" s="199">
        <v>0</v>
      </c>
      <c r="P258" s="199">
        <v>0</v>
      </c>
      <c r="Q258" s="199">
        <v>0</v>
      </c>
      <c r="R258" s="199">
        <v>0</v>
      </c>
      <c r="S258" s="199">
        <v>0</v>
      </c>
      <c r="T258" s="199">
        <v>0</v>
      </c>
      <c r="U258" s="199">
        <v>0</v>
      </c>
      <c r="V258" s="199">
        <v>0</v>
      </c>
      <c r="W258" s="199">
        <v>0</v>
      </c>
      <c r="X258" s="199">
        <v>0</v>
      </c>
      <c r="Y258" s="199">
        <v>0</v>
      </c>
      <c r="Z258" s="199">
        <v>0</v>
      </c>
      <c r="AA258" s="199">
        <v>0</v>
      </c>
      <c r="AB258" s="199">
        <v>0</v>
      </c>
      <c r="AC258" s="199">
        <v>0</v>
      </c>
      <c r="AD258" s="199">
        <v>0</v>
      </c>
      <c r="AE258" s="199">
        <v>0</v>
      </c>
      <c r="AF258" s="199">
        <v>0</v>
      </c>
      <c r="AG258" s="199">
        <v>0</v>
      </c>
      <c r="AH258" s="199">
        <v>0</v>
      </c>
      <c r="AI258" s="199">
        <v>0</v>
      </c>
      <c r="AJ258" s="199">
        <v>0</v>
      </c>
      <c r="AK258" s="199">
        <v>1</v>
      </c>
      <c r="AL258" s="199">
        <v>1</v>
      </c>
      <c r="AM258" s="199">
        <v>1</v>
      </c>
      <c r="AN258" s="199">
        <v>0</v>
      </c>
      <c r="AO258" s="199">
        <v>0</v>
      </c>
      <c r="AP258" s="199">
        <v>0</v>
      </c>
      <c r="AQ258" s="199">
        <v>0</v>
      </c>
      <c r="AR258" s="199">
        <v>0</v>
      </c>
      <c r="AS258" s="199">
        <v>0</v>
      </c>
      <c r="AT258" s="199">
        <v>0</v>
      </c>
      <c r="AU258" s="199">
        <v>0</v>
      </c>
      <c r="AV258" s="199">
        <v>0</v>
      </c>
      <c r="AW258" s="199">
        <v>0</v>
      </c>
      <c r="AX258" s="199">
        <v>0</v>
      </c>
      <c r="AY258" s="199">
        <v>0</v>
      </c>
      <c r="AZ258" s="199">
        <v>0</v>
      </c>
      <c r="BA258" s="199">
        <v>0</v>
      </c>
      <c r="BB258" s="199">
        <v>0</v>
      </c>
      <c r="BC258" s="199">
        <v>0</v>
      </c>
    </row>
    <row r="259" spans="1:60" s="86" customFormat="1" hidden="1" outlineLevel="1" x14ac:dyDescent="0.2">
      <c r="A259" s="36"/>
      <c r="B259" s="36"/>
      <c r="C259" s="162" t="str">
        <v>Puertos RNC a Core: Datos: 2488</v>
      </c>
      <c r="D259" s="81"/>
      <c r="F259" s="199">
        <v>0</v>
      </c>
      <c r="G259" s="199">
        <v>0</v>
      </c>
      <c r="H259" s="199">
        <v>0</v>
      </c>
      <c r="I259" s="199">
        <v>0</v>
      </c>
      <c r="J259" s="199">
        <v>0</v>
      </c>
      <c r="K259" s="199">
        <v>0</v>
      </c>
      <c r="L259" s="199">
        <v>0</v>
      </c>
      <c r="M259" s="199">
        <v>0</v>
      </c>
      <c r="N259" s="199">
        <v>0</v>
      </c>
      <c r="O259" s="199">
        <v>0</v>
      </c>
      <c r="P259" s="199">
        <v>0</v>
      </c>
      <c r="Q259" s="199">
        <v>0</v>
      </c>
      <c r="R259" s="199">
        <v>0</v>
      </c>
      <c r="S259" s="199">
        <v>0</v>
      </c>
      <c r="T259" s="199">
        <v>0</v>
      </c>
      <c r="U259" s="199">
        <v>0</v>
      </c>
      <c r="V259" s="199">
        <v>0</v>
      </c>
      <c r="W259" s="199">
        <v>0</v>
      </c>
      <c r="X259" s="199">
        <v>0</v>
      </c>
      <c r="Y259" s="199">
        <v>0</v>
      </c>
      <c r="Z259" s="199">
        <v>0</v>
      </c>
      <c r="AA259" s="199">
        <v>0</v>
      </c>
      <c r="AB259" s="199">
        <v>0</v>
      </c>
      <c r="AC259" s="199">
        <v>0</v>
      </c>
      <c r="AD259" s="199">
        <v>0</v>
      </c>
      <c r="AE259" s="199">
        <v>0</v>
      </c>
      <c r="AF259" s="199">
        <v>0</v>
      </c>
      <c r="AG259" s="199">
        <v>0</v>
      </c>
      <c r="AH259" s="199">
        <v>0</v>
      </c>
      <c r="AI259" s="199">
        <v>0</v>
      </c>
      <c r="AJ259" s="199">
        <v>0</v>
      </c>
      <c r="AK259" s="199">
        <v>1</v>
      </c>
      <c r="AL259" s="199">
        <v>1</v>
      </c>
      <c r="AM259" s="199">
        <v>1</v>
      </c>
      <c r="AN259" s="199">
        <v>0</v>
      </c>
      <c r="AO259" s="199">
        <v>0</v>
      </c>
      <c r="AP259" s="199">
        <v>0</v>
      </c>
      <c r="AQ259" s="199">
        <v>0</v>
      </c>
      <c r="AR259" s="199">
        <v>0</v>
      </c>
      <c r="AS259" s="199">
        <v>0</v>
      </c>
      <c r="AT259" s="199">
        <v>0</v>
      </c>
      <c r="AU259" s="199">
        <v>0</v>
      </c>
      <c r="AV259" s="199">
        <v>0</v>
      </c>
      <c r="AW259" s="199">
        <v>0</v>
      </c>
      <c r="AX259" s="199">
        <v>0</v>
      </c>
      <c r="AY259" s="199">
        <v>0</v>
      </c>
      <c r="AZ259" s="199">
        <v>0</v>
      </c>
      <c r="BA259" s="199">
        <v>0</v>
      </c>
      <c r="BB259" s="199">
        <v>0</v>
      </c>
      <c r="BC259" s="199">
        <v>0</v>
      </c>
    </row>
    <row r="260" spans="1:60" s="86" customFormat="1" collapsed="1" x14ac:dyDescent="0.2">
      <c r="A260" s="36"/>
      <c r="B260" s="36"/>
      <c r="C260" s="162" t="str">
        <v>Canon de espectro</v>
      </c>
      <c r="D260" s="81"/>
      <c r="F260" s="199">
        <v>2.1784313725490194</v>
      </c>
      <c r="G260" s="199">
        <v>1.0947916666666666</v>
      </c>
      <c r="H260" s="199">
        <v>1.1166666666666667</v>
      </c>
      <c r="I260" s="199">
        <v>1.0722222222222222</v>
      </c>
      <c r="J260" s="199">
        <v>1.0947916666666666</v>
      </c>
      <c r="K260" s="199">
        <v>1.1166666666666667</v>
      </c>
      <c r="L260" s="199">
        <v>1.0722222222222222</v>
      </c>
      <c r="M260" s="199">
        <v>2.8319607843137256</v>
      </c>
      <c r="N260" s="199">
        <v>1.4232291666666665</v>
      </c>
      <c r="O260" s="199">
        <v>1.4516666666666667</v>
      </c>
      <c r="P260" s="199">
        <v>1.393888888888889</v>
      </c>
      <c r="Q260" s="199">
        <v>1.4232291666666665</v>
      </c>
      <c r="R260" s="199">
        <v>1.4516666666666667</v>
      </c>
      <c r="S260" s="199">
        <v>1.393888888888889</v>
      </c>
      <c r="T260" s="199">
        <v>2</v>
      </c>
      <c r="U260" s="199">
        <v>1</v>
      </c>
      <c r="V260" s="199">
        <v>1</v>
      </c>
      <c r="W260" s="199">
        <v>1</v>
      </c>
      <c r="X260" s="199">
        <v>1</v>
      </c>
      <c r="Y260" s="199">
        <v>1</v>
      </c>
      <c r="Z260" s="199">
        <v>1</v>
      </c>
      <c r="AA260" s="199">
        <v>2.6075619295958278E-3</v>
      </c>
      <c r="AB260" s="199">
        <v>1.3037809647979139E-3</v>
      </c>
      <c r="AC260" s="199">
        <v>1.3037809647979139E-3</v>
      </c>
      <c r="AD260" s="199">
        <v>1E-3</v>
      </c>
      <c r="AE260" s="199">
        <v>5.0000000000000001E-4</v>
      </c>
      <c r="AF260" s="199">
        <v>5.0000000000000001E-4</v>
      </c>
      <c r="AG260" s="199">
        <v>2.8318024691358027E-5</v>
      </c>
      <c r="AH260" s="199">
        <v>1.4159012345679013E-5</v>
      </c>
      <c r="AI260" s="199">
        <v>1.4159012345679013E-5</v>
      </c>
      <c r="AJ260" s="199">
        <v>4.4600888888888894</v>
      </c>
      <c r="AK260" s="199">
        <v>9.1</v>
      </c>
      <c r="AL260" s="199">
        <v>0.45295418641390212</v>
      </c>
      <c r="AM260" s="199">
        <v>0</v>
      </c>
      <c r="AN260" s="199">
        <v>0.23598353909465022</v>
      </c>
      <c r="AO260" s="199">
        <v>0</v>
      </c>
      <c r="AP260" s="199">
        <v>0</v>
      </c>
      <c r="AQ260" s="199">
        <v>0</v>
      </c>
      <c r="AR260" s="199">
        <v>0</v>
      </c>
      <c r="AS260" s="199">
        <v>0</v>
      </c>
      <c r="AT260" s="199">
        <v>0</v>
      </c>
      <c r="AU260" s="199">
        <v>0</v>
      </c>
      <c r="AV260" s="199">
        <v>0</v>
      </c>
      <c r="AW260" s="199">
        <v>0</v>
      </c>
      <c r="AX260" s="199">
        <v>0</v>
      </c>
      <c r="AY260" s="199">
        <v>0</v>
      </c>
      <c r="AZ260" s="199">
        <v>0</v>
      </c>
      <c r="BA260" s="199">
        <v>0</v>
      </c>
      <c r="BB260" s="199">
        <v>0</v>
      </c>
      <c r="BC260" s="199">
        <v>0</v>
      </c>
    </row>
    <row r="261" spans="1:60" x14ac:dyDescent="0.2">
      <c r="A261"/>
      <c r="B261"/>
      <c r="C261"/>
      <c r="D261"/>
      <c r="E261"/>
      <c r="F261"/>
      <c r="G261"/>
      <c r="H261"/>
      <c r="I261"/>
      <c r="J261"/>
      <c r="K261"/>
      <c r="L261"/>
      <c r="M261"/>
    </row>
    <row r="262" spans="1:60" x14ac:dyDescent="0.2">
      <c r="A262"/>
      <c r="B262"/>
      <c r="C262"/>
      <c r="D262"/>
      <c r="E262"/>
      <c r="F262"/>
      <c r="G262"/>
      <c r="H262"/>
      <c r="I262"/>
      <c r="J262"/>
      <c r="K262"/>
      <c r="L262"/>
    </row>
    <row r="263" spans="1:60" ht="15.75" x14ac:dyDescent="0.2">
      <c r="A263" s="171" t="s">
        <v>967</v>
      </c>
      <c r="B263" s="171"/>
      <c r="C263" s="171"/>
      <c r="D263" s="171"/>
      <c r="E263" s="171"/>
      <c r="F263" s="171"/>
      <c r="G263" s="171"/>
      <c r="H263" s="171"/>
      <c r="I263" s="171"/>
      <c r="J263" s="171"/>
      <c r="K263" s="171"/>
      <c r="L263" s="171"/>
      <c r="M263" s="171"/>
      <c r="N263" s="171"/>
      <c r="O263" s="171"/>
      <c r="P263" s="171"/>
      <c r="Q263" s="171"/>
      <c r="R263" s="171"/>
      <c r="S263" s="171"/>
      <c r="T263" s="171"/>
      <c r="U263" s="171"/>
      <c r="V263" s="171"/>
      <c r="W263" s="171"/>
      <c r="X263" s="171"/>
      <c r="Y263" s="171"/>
      <c r="Z263" s="171"/>
      <c r="AA263" s="171"/>
      <c r="AB263" s="171"/>
      <c r="AC263" s="171"/>
      <c r="AD263" s="171"/>
      <c r="AE263" s="171"/>
      <c r="AF263" s="171"/>
      <c r="AG263" s="171"/>
      <c r="AH263" s="171"/>
      <c r="AI263" s="171"/>
      <c r="AJ263" s="171"/>
      <c r="AK263" s="171"/>
      <c r="AL263" s="171"/>
      <c r="AM263" s="171"/>
      <c r="AN263" s="171"/>
      <c r="AO263" s="171"/>
      <c r="AP263" s="171"/>
      <c r="AQ263" s="171"/>
      <c r="AR263" s="171"/>
      <c r="AS263" s="171"/>
      <c r="AT263" s="171"/>
      <c r="AU263" s="171"/>
      <c r="AV263" s="171"/>
      <c r="AW263" s="171"/>
      <c r="AX263" s="171"/>
      <c r="AY263" s="171"/>
      <c r="AZ263" s="171"/>
      <c r="BA263" s="171"/>
      <c r="BB263" s="171"/>
      <c r="BC263" s="171"/>
      <c r="BD263" s="171"/>
    </row>
    <row r="264" spans="1:60" x14ac:dyDescent="0.2">
      <c r="B264" s="66"/>
      <c r="C264"/>
      <c r="D264"/>
      <c r="E264"/>
      <c r="F264"/>
      <c r="G264"/>
      <c r="H264"/>
      <c r="I264"/>
      <c r="J264"/>
      <c r="K264" s="81"/>
      <c r="L264" s="81"/>
      <c r="M264"/>
      <c r="N264"/>
      <c r="BA264" s="86"/>
      <c r="BB264" s="86"/>
      <c r="BC264" s="86"/>
      <c r="BD264" s="86"/>
      <c r="BE264" s="86"/>
      <c r="BF264" s="86"/>
    </row>
    <row r="265" spans="1:60" x14ac:dyDescent="0.2">
      <c r="A265"/>
      <c r="B265"/>
      <c r="C265"/>
      <c r="D265"/>
      <c r="E265"/>
      <c r="F265" s="66" t="s">
        <v>453</v>
      </c>
      <c r="G265"/>
      <c r="H265"/>
      <c r="I265"/>
      <c r="J265" s="81"/>
      <c r="K265" s="81"/>
      <c r="L265" s="81"/>
      <c r="M265" s="81"/>
      <c r="N265"/>
      <c r="BA265" s="86"/>
      <c r="BB265" s="86"/>
      <c r="BC265" s="86"/>
      <c r="BD265" s="86"/>
      <c r="BE265" s="86"/>
      <c r="BF265" s="86"/>
    </row>
    <row r="266" spans="1:60" ht="132" x14ac:dyDescent="0.2">
      <c r="A266"/>
      <c r="B266"/>
      <c r="C266" s="734" t="s">
        <v>968</v>
      </c>
      <c r="D266" s="4"/>
      <c r="E266" s="4"/>
      <c r="F266" s="734" t="s">
        <v>969</v>
      </c>
      <c r="G266" s="4"/>
      <c r="H266" s="734" t="s">
        <v>970</v>
      </c>
      <c r="I266"/>
      <c r="J266" s="734" t="s">
        <v>1583</v>
      </c>
      <c r="K266" s="734" t="s">
        <v>1982</v>
      </c>
      <c r="L266" s="734" t="s">
        <v>1981</v>
      </c>
      <c r="M266" s="734" t="s">
        <v>1584</v>
      </c>
      <c r="N266" s="734" t="s">
        <v>971</v>
      </c>
      <c r="O266" s="734" t="s">
        <v>993</v>
      </c>
      <c r="P266" s="737"/>
      <c r="Q266" s="734" t="s">
        <v>972</v>
      </c>
      <c r="R266" s="734" t="s">
        <v>1984</v>
      </c>
      <c r="S266" s="734" t="s">
        <v>1983</v>
      </c>
      <c r="T266" s="734" t="s">
        <v>973</v>
      </c>
      <c r="U266" s="734" t="s">
        <v>974</v>
      </c>
      <c r="BC266" s="86"/>
      <c r="BD266" s="86"/>
      <c r="BE266" s="86"/>
      <c r="BF266" s="86"/>
      <c r="BG266" s="86"/>
      <c r="BH266" s="86"/>
    </row>
    <row r="267" spans="1:60" x14ac:dyDescent="0.2">
      <c r="A267"/>
      <c r="B267"/>
      <c r="C267" s="162" t="str">
        <f t="array" ref="C267:C466">Assets.list</f>
        <v>Asset 1</v>
      </c>
      <c r="D267" s="162" t="str">
        <f t="array" ref="D267:D466">Assets.routeing.factor</f>
        <v>Sin enrutamiento</v>
      </c>
      <c r="E267"/>
      <c r="F267" s="64">
        <f t="array" ref="F267">SUMPRODUCT(TRANSPOSE($F$6:$F$55),F61:BC61)</f>
        <v>0</v>
      </c>
      <c r="G267"/>
      <c r="H267" s="163">
        <f t="array" ref="H267:H466">Annual.cost.by.element</f>
        <v>0</v>
      </c>
      <c r="I267"/>
      <c r="J267" s="192">
        <f t="array" ref="J267:J466">IF(D267:D466=RF.subscribers,H267:H466,0)</f>
        <v>0</v>
      </c>
      <c r="K267" s="735">
        <f t="array" ref="K267:K466">IF(D267:D466=RF.subscribers,0,Network.depreciation.by.element*(1+$J$467/($H$467-$J$467)))</f>
        <v>0</v>
      </c>
      <c r="L267" s="735">
        <f t="array" ref="L267:L466">IF(D267:D466=RF.subscribers,0,Network.opex.by.element*(1+$J$467/($H$467-$J$467)))</f>
        <v>0</v>
      </c>
      <c r="M267" s="192">
        <f t="array" ref="M267:M466">IF(D267:D466=RF.subscribers,0,H267:H466*(1+$J$467/($H$467-$J$467)))</f>
        <v>0</v>
      </c>
      <c r="N267" s="67">
        <f t="array" ref="N267:N466">H267:H466*CTRL.common.costs.markup</f>
        <v>0</v>
      </c>
      <c r="O267" s="64">
        <f t="array" ref="O267:O466">M267:M466+N267:N466</f>
        <v>0</v>
      </c>
      <c r="Q267" s="75">
        <f t="array" ref="Q267:Q466">IF(Network.element.output=0,0,M267:M466/Network.element.output)</f>
        <v>0</v>
      </c>
      <c r="R267" s="61">
        <f t="shared" ref="R267:R298" si="0">IF(Network.element.output=0,0,$K$267:$K$466/Network.element.output)</f>
        <v>0</v>
      </c>
      <c r="S267" s="61">
        <f t="shared" ref="S267:S298" si="1">IF(Network.element.output=0,0,$L$267:$L$466/Network.element.output)</f>
        <v>0</v>
      </c>
      <c r="T267" s="61">
        <f t="array" ref="T267:T466">IF(Network.element.output=0,0,N267:N466/Network.element.output)</f>
        <v>0</v>
      </c>
      <c r="U267" s="61">
        <f t="array" ref="U267:U466">IF(Network.element.output=0,0,O267:O466/Network.element.output)</f>
        <v>0</v>
      </c>
      <c r="BA267" s="86"/>
      <c r="BB267" s="86"/>
      <c r="BC267" s="86"/>
      <c r="BD267" s="86"/>
      <c r="BE267" s="86"/>
      <c r="BF267" s="86"/>
    </row>
    <row r="268" spans="1:60" hidden="1" outlineLevel="1" x14ac:dyDescent="0.2">
      <c r="A268"/>
      <c r="B268"/>
      <c r="C268" s="162" t="str">
        <v>Asset 2</v>
      </c>
      <c r="D268" s="162" t="str">
        <v>Sin enrutamiento</v>
      </c>
      <c r="E268"/>
      <c r="F268" s="64">
        <f t="array" ref="F268">SUMPRODUCT(TRANSPOSE($F$6:$F$55),F62:BC62)</f>
        <v>0</v>
      </c>
      <c r="G268"/>
      <c r="H268" s="163">
        <v>0</v>
      </c>
      <c r="I268"/>
      <c r="J268" s="192">
        <v>0</v>
      </c>
      <c r="K268" s="735">
        <v>0</v>
      </c>
      <c r="L268" s="735">
        <v>0</v>
      </c>
      <c r="M268" s="192">
        <v>0</v>
      </c>
      <c r="N268" s="67">
        <v>0</v>
      </c>
      <c r="O268" s="64">
        <v>0</v>
      </c>
      <c r="Q268" s="75">
        <v>0</v>
      </c>
      <c r="R268" s="61">
        <f t="shared" si="0"/>
        <v>0</v>
      </c>
      <c r="S268" s="61">
        <f t="shared" si="1"/>
        <v>0</v>
      </c>
      <c r="T268" s="61">
        <v>0</v>
      </c>
      <c r="U268" s="61">
        <v>0</v>
      </c>
      <c r="BA268" s="86"/>
      <c r="BB268" s="86"/>
      <c r="BC268" s="86"/>
      <c r="BD268" s="86"/>
      <c r="BE268" s="86"/>
      <c r="BF268" s="86"/>
    </row>
    <row r="269" spans="1:60" hidden="1" outlineLevel="1" x14ac:dyDescent="0.2">
      <c r="A269"/>
      <c r="B269"/>
      <c r="C269" s="162" t="str">
        <v>Asset 3</v>
      </c>
      <c r="D269" s="162" t="str">
        <v>Sin enrutamiento</v>
      </c>
      <c r="E269"/>
      <c r="F269" s="64">
        <f t="array" ref="F269">SUMPRODUCT(TRANSPOSE($F$6:$F$55),F63:BC63)</f>
        <v>0</v>
      </c>
      <c r="G269"/>
      <c r="H269" s="163">
        <v>0</v>
      </c>
      <c r="I269"/>
      <c r="J269" s="192">
        <v>0</v>
      </c>
      <c r="K269" s="735">
        <v>0</v>
      </c>
      <c r="L269" s="735">
        <v>0</v>
      </c>
      <c r="M269" s="192">
        <v>0</v>
      </c>
      <c r="N269" s="67">
        <v>0</v>
      </c>
      <c r="O269" s="64">
        <v>0</v>
      </c>
      <c r="Q269" s="75">
        <v>0</v>
      </c>
      <c r="R269" s="61">
        <f t="shared" si="0"/>
        <v>0</v>
      </c>
      <c r="S269" s="61">
        <f t="shared" si="1"/>
        <v>0</v>
      </c>
      <c r="T269" s="61">
        <v>0</v>
      </c>
      <c r="U269" s="61">
        <v>0</v>
      </c>
      <c r="BA269" s="86"/>
      <c r="BB269" s="86"/>
      <c r="BC269" s="86"/>
      <c r="BD269" s="86"/>
      <c r="BE269" s="86"/>
      <c r="BF269" s="86"/>
    </row>
    <row r="270" spans="1:60" hidden="1" outlineLevel="1" x14ac:dyDescent="0.2">
      <c r="A270"/>
      <c r="B270"/>
      <c r="C270" s="162" t="str">
        <v>TRX</v>
      </c>
      <c r="D270" s="162" t="str">
        <v>Minutos radio equivalentes GSM</v>
      </c>
      <c r="E270"/>
      <c r="F270" s="64">
        <f t="array" ref="F270">SUMPRODUCT(TRANSPOSE($F$6:$F$55),F64:BC64)</f>
        <v>150086252934.07236</v>
      </c>
      <c r="G270"/>
      <c r="H270" s="163">
        <v>15136242.478633106</v>
      </c>
      <c r="I270"/>
      <c r="J270" s="192">
        <v>0</v>
      </c>
      <c r="K270" s="735">
        <v>10696204.758439915</v>
      </c>
      <c r="L270" s="735">
        <v>4590371.9113964504</v>
      </c>
      <c r="M270" s="192">
        <v>15286576.669836367</v>
      </c>
      <c r="N270" s="67">
        <v>756812.12393165531</v>
      </c>
      <c r="O270" s="64">
        <v>16043388.793768022</v>
      </c>
      <c r="Q270" s="75">
        <v>1.0185194427201287E-4</v>
      </c>
      <c r="R270" s="61">
        <f t="shared" si="0"/>
        <v>7.1267051774144725E-5</v>
      </c>
      <c r="S270" s="61">
        <f t="shared" si="1"/>
        <v>3.0584892497868142E-5</v>
      </c>
      <c r="T270" s="61">
        <v>5.0425146150067218E-6</v>
      </c>
      <c r="U270" s="61">
        <v>1.0689445888701959E-4</v>
      </c>
      <c r="BA270" s="86"/>
      <c r="BB270" s="86"/>
      <c r="BC270" s="86"/>
      <c r="BD270" s="86"/>
      <c r="BE270" s="86"/>
      <c r="BF270" s="86"/>
    </row>
    <row r="271" spans="1:60" hidden="1" outlineLevel="1" x14ac:dyDescent="0.2">
      <c r="A271"/>
      <c r="B271"/>
      <c r="C271" s="162" t="str">
        <v>Asset 4</v>
      </c>
      <c r="D271" s="162" t="str">
        <v>Sin enrutamiento</v>
      </c>
      <c r="E271"/>
      <c r="F271" s="64">
        <f t="array" ref="F271">SUMPRODUCT(TRANSPOSE($F$6:$F$55),F65:BC65)</f>
        <v>0</v>
      </c>
      <c r="G271"/>
      <c r="H271" s="163">
        <v>0</v>
      </c>
      <c r="I271"/>
      <c r="J271" s="192">
        <v>0</v>
      </c>
      <c r="K271" s="735">
        <v>0</v>
      </c>
      <c r="L271" s="735">
        <v>0</v>
      </c>
      <c r="M271" s="192">
        <v>0</v>
      </c>
      <c r="N271" s="67">
        <v>0</v>
      </c>
      <c r="O271" s="64">
        <v>0</v>
      </c>
      <c r="Q271" s="75">
        <v>0</v>
      </c>
      <c r="R271" s="61">
        <f t="shared" si="0"/>
        <v>0</v>
      </c>
      <c r="S271" s="61">
        <f t="shared" si="1"/>
        <v>0</v>
      </c>
      <c r="T271" s="61">
        <v>0</v>
      </c>
      <c r="U271" s="61">
        <v>0</v>
      </c>
      <c r="BA271" s="86"/>
      <c r="BB271" s="86"/>
      <c r="BC271" s="86"/>
      <c r="BD271" s="86"/>
      <c r="BE271" s="86"/>
      <c r="BF271" s="86"/>
    </row>
    <row r="272" spans="1:60" hidden="1" outlineLevel="1" x14ac:dyDescent="0.2">
      <c r="A272"/>
      <c r="B272"/>
      <c r="C272" s="162" t="str">
        <v>Asset 5</v>
      </c>
      <c r="D272" s="162" t="str">
        <v>Sin enrutamiento</v>
      </c>
      <c r="E272"/>
      <c r="F272" s="64">
        <f t="array" ref="F272">SUMPRODUCT(TRANSPOSE($F$6:$F$55),F66:BC66)</f>
        <v>0</v>
      </c>
      <c r="G272"/>
      <c r="H272" s="163">
        <v>0</v>
      </c>
      <c r="I272"/>
      <c r="J272" s="192">
        <v>0</v>
      </c>
      <c r="K272" s="735">
        <v>0</v>
      </c>
      <c r="L272" s="735">
        <v>0</v>
      </c>
      <c r="M272" s="192">
        <v>0</v>
      </c>
      <c r="N272" s="67">
        <v>0</v>
      </c>
      <c r="O272" s="64">
        <v>0</v>
      </c>
      <c r="Q272" s="75">
        <v>0</v>
      </c>
      <c r="R272" s="61">
        <f t="shared" si="0"/>
        <v>0</v>
      </c>
      <c r="S272" s="61">
        <f t="shared" si="1"/>
        <v>0</v>
      </c>
      <c r="T272" s="61">
        <v>0</v>
      </c>
      <c r="U272" s="61">
        <v>0</v>
      </c>
      <c r="BA272" s="86"/>
      <c r="BB272" s="86"/>
      <c r="BC272" s="86"/>
      <c r="BD272" s="86"/>
      <c r="BE272" s="86"/>
      <c r="BF272" s="86"/>
    </row>
    <row r="273" spans="1:58" hidden="1" outlineLevel="1" x14ac:dyDescent="0.2">
      <c r="A273"/>
      <c r="B273"/>
      <c r="C273" s="162" t="str">
        <v>Portadora 3G</v>
      </c>
      <c r="D273" s="162" t="str">
        <v>Minutos radio equivalentes UMTS R99</v>
      </c>
      <c r="E273"/>
      <c r="F273" s="64">
        <f t="array" ref="F273">SUMPRODUCT(TRANSPOSE($F$6:$F$55),F67:BC67)</f>
        <v>60353449643.51181</v>
      </c>
      <c r="G273"/>
      <c r="H273" s="163">
        <v>16620065.947222359</v>
      </c>
      <c r="I273"/>
      <c r="J273" s="192">
        <v>0</v>
      </c>
      <c r="K273" s="735">
        <v>11744766.161166761</v>
      </c>
      <c r="L273" s="735">
        <v>5040371.4130097516</v>
      </c>
      <c r="M273" s="192">
        <v>16785137.574176513</v>
      </c>
      <c r="N273" s="67">
        <v>831003.29736111802</v>
      </c>
      <c r="O273" s="64">
        <v>17616140.87153763</v>
      </c>
      <c r="Q273" s="75">
        <v>2.7811397150156054E-4</v>
      </c>
      <c r="R273" s="61">
        <f t="shared" si="0"/>
        <v>1.9459974915335036E-4</v>
      </c>
      <c r="S273" s="61">
        <f t="shared" si="1"/>
        <v>8.3514222348210184E-5</v>
      </c>
      <c r="T273" s="61">
        <v>1.3768944480714593E-5</v>
      </c>
      <c r="U273" s="61">
        <v>2.9188291598227509E-4</v>
      </c>
      <c r="BA273" s="86"/>
      <c r="BB273" s="86"/>
      <c r="BC273" s="86"/>
      <c r="BD273" s="86"/>
      <c r="BE273" s="86"/>
      <c r="BF273" s="86"/>
    </row>
    <row r="274" spans="1:58" hidden="1" outlineLevel="1" x14ac:dyDescent="0.2">
      <c r="A274"/>
      <c r="B274"/>
      <c r="C274" s="162" t="str">
        <v>Channel kit</v>
      </c>
      <c r="D274" s="162" t="str">
        <v>Minutos radio equivalentes UMTS R99</v>
      </c>
      <c r="E274"/>
      <c r="F274" s="64">
        <f t="array" ref="F274">SUMPRODUCT(TRANSPOSE($F$6:$F$55),F68:BC68)</f>
        <v>60353449643.51181</v>
      </c>
      <c r="G274"/>
      <c r="H274" s="163">
        <v>3301253.1159439189</v>
      </c>
      <c r="I274"/>
      <c r="J274" s="192">
        <v>0</v>
      </c>
      <c r="K274" s="735">
        <v>2651334.9312576852</v>
      </c>
      <c r="L274" s="735">
        <v>682706.45547690406</v>
      </c>
      <c r="M274" s="192">
        <v>3334041.3867345895</v>
      </c>
      <c r="N274" s="67">
        <v>165062.65579719597</v>
      </c>
      <c r="O274" s="64">
        <v>3499104.0425317856</v>
      </c>
      <c r="Q274" s="75">
        <v>5.5241935737355312E-5</v>
      </c>
      <c r="R274" s="61">
        <f t="shared" si="0"/>
        <v>4.3930130703684015E-5</v>
      </c>
      <c r="S274" s="61">
        <f t="shared" si="1"/>
        <v>1.1311805033671297E-5</v>
      </c>
      <c r="T274" s="61">
        <v>2.7349332436201639E-6</v>
      </c>
      <c r="U274" s="61">
        <v>5.7976868980975483E-5</v>
      </c>
      <c r="BA274" s="86"/>
      <c r="BB274" s="86"/>
      <c r="BC274" s="86"/>
      <c r="BD274" s="86"/>
      <c r="BE274" s="86"/>
      <c r="BF274" s="86"/>
    </row>
    <row r="275" spans="1:58" hidden="1" outlineLevel="1" x14ac:dyDescent="0.2">
      <c r="A275"/>
      <c r="B275"/>
      <c r="C275" s="162" t="str">
        <v>HSDPA salto a: 1.8</v>
      </c>
      <c r="D275" s="162" t="str">
        <v>Tráfico radio HSDPA</v>
      </c>
      <c r="E275"/>
      <c r="F275" s="64">
        <f t="array" ref="F275">SUMPRODUCT(TRANSPOSE($F$6:$F$55),F69:BC69)</f>
        <v>61805506865.947121</v>
      </c>
      <c r="G275"/>
      <c r="H275" s="163">
        <v>1347844.9222184164</v>
      </c>
      <c r="I275"/>
      <c r="J275" s="192">
        <v>0</v>
      </c>
      <c r="K275" s="735">
        <v>715972.87311971339</v>
      </c>
      <c r="L275" s="735">
        <v>645258.93666575698</v>
      </c>
      <c r="M275" s="192">
        <v>1361231.8097854704</v>
      </c>
      <c r="N275" s="67">
        <v>67392.246110920823</v>
      </c>
      <c r="O275" s="64">
        <v>1428624.0558963912</v>
      </c>
      <c r="Q275" s="75">
        <v>2.2024442138107696E-5</v>
      </c>
      <c r="R275" s="61">
        <f t="shared" si="0"/>
        <v>1.1584289320248124E-5</v>
      </c>
      <c r="S275" s="61">
        <f t="shared" si="1"/>
        <v>1.0440152817859573E-5</v>
      </c>
      <c r="T275" s="61">
        <v>1.090392256746491E-6</v>
      </c>
      <c r="U275" s="61">
        <v>2.3114834394854187E-5</v>
      </c>
      <c r="BA275" s="86"/>
      <c r="BB275" s="86"/>
      <c r="BC275" s="86"/>
      <c r="BD275" s="86"/>
      <c r="BE275" s="86"/>
      <c r="BF275" s="86"/>
    </row>
    <row r="276" spans="1:58" hidden="1" outlineLevel="1" x14ac:dyDescent="0.2">
      <c r="A276"/>
      <c r="B276"/>
      <c r="C276" s="162" t="str">
        <v>HSDPA salto a: 3.6</v>
      </c>
      <c r="D276" s="162" t="str">
        <v>Tráfico radio HSDPA</v>
      </c>
      <c r="E276"/>
      <c r="F276" s="64">
        <f t="array" ref="F276">SUMPRODUCT(TRANSPOSE($F$6:$F$55),F70:BC70)</f>
        <v>61805506865.947121</v>
      </c>
      <c r="G276"/>
      <c r="H276" s="163">
        <v>1347844.9222184164</v>
      </c>
      <c r="I276"/>
      <c r="J276" s="192">
        <v>0</v>
      </c>
      <c r="K276" s="735">
        <v>715972.87311971339</v>
      </c>
      <c r="L276" s="735">
        <v>645258.93666575698</v>
      </c>
      <c r="M276" s="192">
        <v>1361231.8097854704</v>
      </c>
      <c r="N276" s="67">
        <v>67392.246110920823</v>
      </c>
      <c r="O276" s="64">
        <v>1428624.0558963912</v>
      </c>
      <c r="Q276" s="75">
        <v>2.2024442138107696E-5</v>
      </c>
      <c r="R276" s="61">
        <f t="shared" si="0"/>
        <v>1.1584289320248124E-5</v>
      </c>
      <c r="S276" s="61">
        <f t="shared" si="1"/>
        <v>1.0440152817859573E-5</v>
      </c>
      <c r="T276" s="61">
        <v>1.090392256746491E-6</v>
      </c>
      <c r="U276" s="61">
        <v>2.3114834394854187E-5</v>
      </c>
      <c r="BA276" s="86"/>
      <c r="BB276" s="86"/>
      <c r="BC276" s="86"/>
      <c r="BD276" s="86"/>
      <c r="BE276" s="86"/>
      <c r="BF276" s="86"/>
    </row>
    <row r="277" spans="1:58" hidden="1" outlineLevel="1" x14ac:dyDescent="0.2">
      <c r="A277"/>
      <c r="B277"/>
      <c r="C277" s="162" t="str">
        <v>HSDPA salto a: 7.2</v>
      </c>
      <c r="D277" s="162" t="str">
        <v>Tráfico radio HSDPA</v>
      </c>
      <c r="E277"/>
      <c r="F277" s="64">
        <f t="array" ref="F277">SUMPRODUCT(TRANSPOSE($F$6:$F$55),F71:BC71)</f>
        <v>61805506865.947121</v>
      </c>
      <c r="G277"/>
      <c r="H277" s="163">
        <v>1776704.6701970035</v>
      </c>
      <c r="I277"/>
      <c r="J277" s="192">
        <v>0</v>
      </c>
      <c r="K277" s="735">
        <v>943782.42365780415</v>
      </c>
      <c r="L277" s="735">
        <v>850568.59833213431</v>
      </c>
      <c r="M277" s="192">
        <v>1794351.0219899383</v>
      </c>
      <c r="N277" s="67">
        <v>88835.233509850179</v>
      </c>
      <c r="O277" s="64">
        <v>1883186.2554997886</v>
      </c>
      <c r="Q277" s="75">
        <v>2.9032219182051058E-5</v>
      </c>
      <c r="R277" s="61">
        <f t="shared" si="0"/>
        <v>1.5270199558508893E-5</v>
      </c>
      <c r="S277" s="61">
        <f t="shared" si="1"/>
        <v>1.3762019623542166E-5</v>
      </c>
      <c r="T277" s="61">
        <v>1.4373352475294655E-6</v>
      </c>
      <c r="U277" s="61">
        <v>3.0469554429580523E-5</v>
      </c>
      <c r="BA277" s="86"/>
      <c r="BB277" s="86"/>
      <c r="BC277" s="86"/>
      <c r="BD277" s="86"/>
      <c r="BE277" s="86"/>
      <c r="BF277" s="86"/>
    </row>
    <row r="278" spans="1:58" hidden="1" outlineLevel="1" x14ac:dyDescent="0.2">
      <c r="A278"/>
      <c r="B278"/>
      <c r="C278" s="162" t="str">
        <v>HSDPA salto a: 10.1</v>
      </c>
      <c r="D278" s="162" t="str">
        <v>Tráfico radio HSDPA</v>
      </c>
      <c r="E278"/>
      <c r="F278" s="64">
        <f t="array" ref="F278">SUMPRODUCT(TRANSPOSE($F$6:$F$55),F72:BC72)</f>
        <v>61805506865.947121</v>
      </c>
      <c r="G278"/>
      <c r="H278" s="163">
        <v>2597664.7591845845</v>
      </c>
      <c r="I278"/>
      <c r="J278" s="192">
        <v>0</v>
      </c>
      <c r="K278" s="735">
        <v>1379874.9918307206</v>
      </c>
      <c r="L278" s="735">
        <v>1243589.9506649135</v>
      </c>
      <c r="M278" s="192">
        <v>2623464.9424956338</v>
      </c>
      <c r="N278" s="67">
        <v>129883.23795922923</v>
      </c>
      <c r="O278" s="64">
        <v>2753348.1804548632</v>
      </c>
      <c r="Q278" s="75">
        <v>4.2447106666171198E-5</v>
      </c>
      <c r="R278" s="61">
        <f t="shared" si="0"/>
        <v>2.2326084871750936E-5</v>
      </c>
      <c r="S278" s="61">
        <f t="shared" si="1"/>
        <v>2.0121021794420268E-5</v>
      </c>
      <c r="T278" s="61">
        <v>2.1014832584568736E-6</v>
      </c>
      <c r="U278" s="61">
        <v>4.4548589924628076E-5</v>
      </c>
      <c r="BA278" s="86"/>
      <c r="BB278" s="86"/>
      <c r="BC278" s="86"/>
      <c r="BD278" s="86"/>
      <c r="BE278" s="86"/>
      <c r="BF278" s="86"/>
    </row>
    <row r="279" spans="1:58" hidden="1" outlineLevel="1" x14ac:dyDescent="0.2">
      <c r="A279"/>
      <c r="B279"/>
      <c r="C279" s="162" t="str">
        <v>HSDPA salto a: 14.4</v>
      </c>
      <c r="D279" s="162" t="str">
        <v>Tráfico radio HSDPA</v>
      </c>
      <c r="E279"/>
      <c r="F279" s="64">
        <f t="array" ref="F279">SUMPRODUCT(TRANSPOSE($F$6:$F$55),F73:BC73)</f>
        <v>61805506865.947121</v>
      </c>
      <c r="G279"/>
      <c r="H279" s="163">
        <v>3675940.6969593177</v>
      </c>
      <c r="I279"/>
      <c r="J279" s="192">
        <v>0</v>
      </c>
      <c r="K279" s="735">
        <v>1952653.2903264912</v>
      </c>
      <c r="L279" s="735">
        <v>1759797.099997519</v>
      </c>
      <c r="M279" s="192">
        <v>3712450.3903240105</v>
      </c>
      <c r="N279" s="67">
        <v>183797.0348479659</v>
      </c>
      <c r="O279" s="64">
        <v>3896247.4251719764</v>
      </c>
      <c r="Q279" s="75">
        <v>6.006666037665736E-5</v>
      </c>
      <c r="R279" s="61">
        <f t="shared" si="0"/>
        <v>3.1593516327949431E-5</v>
      </c>
      <c r="S279" s="61">
        <f t="shared" si="1"/>
        <v>2.8473144048707925E-5</v>
      </c>
      <c r="T279" s="61">
        <v>2.9737970638540666E-6</v>
      </c>
      <c r="U279" s="61">
        <v>6.3040457440511434E-5</v>
      </c>
      <c r="BA279" s="86"/>
      <c r="BB279" s="86"/>
      <c r="BC279" s="86"/>
      <c r="BD279" s="86"/>
      <c r="BE279" s="86"/>
      <c r="BF279" s="86"/>
    </row>
    <row r="280" spans="1:58" hidden="1" outlineLevel="1" x14ac:dyDescent="0.2">
      <c r="A280"/>
      <c r="B280"/>
      <c r="C280" s="162" t="str">
        <v>HSDPA salto a: 21.1</v>
      </c>
      <c r="D280" s="162" t="str">
        <v>Tráfico radio HSDPA</v>
      </c>
      <c r="E280"/>
      <c r="F280" s="64">
        <f t="array" ref="F280">SUMPRODUCT(TRANSPOSE($F$6:$F$55),F74:BC74)</f>
        <v>61805506865.947121</v>
      </c>
      <c r="G280"/>
      <c r="H280" s="163">
        <v>4166066.1232205601</v>
      </c>
      <c r="I280"/>
      <c r="J280" s="192">
        <v>0</v>
      </c>
      <c r="K280" s="735">
        <v>2213007.0623700232</v>
      </c>
      <c r="L280" s="735">
        <v>1994436.7133305217</v>
      </c>
      <c r="M280" s="192">
        <v>4207443.7757005449</v>
      </c>
      <c r="N280" s="67">
        <v>208303.30616102801</v>
      </c>
      <c r="O280" s="64">
        <v>4415747.0818615733</v>
      </c>
      <c r="Q280" s="75">
        <v>6.8075548426878334E-5</v>
      </c>
      <c r="R280" s="61">
        <f t="shared" si="0"/>
        <v>3.5805985171676022E-5</v>
      </c>
      <c r="S280" s="61">
        <f t="shared" si="1"/>
        <v>3.2269563255202318E-5</v>
      </c>
      <c r="T280" s="61">
        <v>3.3703033390346086E-6</v>
      </c>
      <c r="U280" s="61">
        <v>7.144585176591296E-5</v>
      </c>
      <c r="BA280" s="86"/>
      <c r="BB280" s="86"/>
      <c r="BC280" s="86"/>
      <c r="BD280" s="86"/>
      <c r="BE280" s="86"/>
      <c r="BF280" s="86"/>
    </row>
    <row r="281" spans="1:58" hidden="1" outlineLevel="1" x14ac:dyDescent="0.2">
      <c r="A281"/>
      <c r="B281"/>
      <c r="C281" s="162" t="str">
        <v>HSUPA salto a: 0.73</v>
      </c>
      <c r="D281" s="162" t="str">
        <v>Tráfico radio HSUPA</v>
      </c>
      <c r="E281"/>
      <c r="F281" s="64">
        <f t="array" ref="F281">SUMPRODUCT(TRANSPOSE($F$6:$F$55),F75:BC75)</f>
        <v>15186115271.953714</v>
      </c>
      <c r="G281"/>
      <c r="H281" s="163">
        <v>381537.07054050901</v>
      </c>
      <c r="I281"/>
      <c r="J281" s="192">
        <v>0</v>
      </c>
      <c r="K281" s="735">
        <v>247336.08344135559</v>
      </c>
      <c r="L281" s="735">
        <v>137990.43926964674</v>
      </c>
      <c r="M281" s="192">
        <v>385326.52271100233</v>
      </c>
      <c r="N281" s="67">
        <v>19076.853527025451</v>
      </c>
      <c r="O281" s="64">
        <v>404403.37623802776</v>
      </c>
      <c r="Q281" s="75">
        <v>2.5373607127995253E-5</v>
      </c>
      <c r="R281" s="61">
        <f t="shared" si="0"/>
        <v>1.6286988410929892E-5</v>
      </c>
      <c r="S281" s="61">
        <f t="shared" si="1"/>
        <v>9.08661871706536E-6</v>
      </c>
      <c r="T281" s="61">
        <v>1.2562036561290496E-6</v>
      </c>
      <c r="U281" s="61">
        <v>2.6629810784124299E-5</v>
      </c>
      <c r="BA281" s="86"/>
      <c r="BB281" s="86"/>
      <c r="BC281" s="86"/>
      <c r="BD281" s="86"/>
      <c r="BE281" s="86"/>
      <c r="BF281" s="86"/>
    </row>
    <row r="282" spans="1:58" hidden="1" outlineLevel="1" x14ac:dyDescent="0.2">
      <c r="A282"/>
      <c r="B282"/>
      <c r="C282" s="162" t="str">
        <v>HSUPA salto a: 1.46</v>
      </c>
      <c r="D282" s="162" t="str">
        <v>Tráfico radio HSUPA</v>
      </c>
      <c r="E282"/>
      <c r="F282" s="64">
        <f t="array" ref="F282">SUMPRODUCT(TRANSPOSE($F$6:$F$55),F76:BC76)</f>
        <v>15186115271.953714</v>
      </c>
      <c r="G282"/>
      <c r="H282" s="163">
        <v>40161.796899000947</v>
      </c>
      <c r="I282"/>
      <c r="J282" s="192">
        <v>0</v>
      </c>
      <c r="K282" s="735">
        <v>26035.377204353215</v>
      </c>
      <c r="L282" s="735">
        <v>14525.309396804922</v>
      </c>
      <c r="M282" s="192">
        <v>40560.686601158137</v>
      </c>
      <c r="N282" s="67">
        <v>2008.0898449500473</v>
      </c>
      <c r="O282" s="64">
        <v>42568.776446108182</v>
      </c>
      <c r="Q282" s="75">
        <v>2.6709060134731842E-6</v>
      </c>
      <c r="R282" s="61">
        <f t="shared" si="0"/>
        <v>1.714419832729462E-6</v>
      </c>
      <c r="S282" s="61">
        <f t="shared" si="1"/>
        <v>9.5648618074372237E-7</v>
      </c>
      <c r="T282" s="61">
        <v>1.3223196380305784E-7</v>
      </c>
      <c r="U282" s="61">
        <v>2.8031379772762419E-6</v>
      </c>
      <c r="BA282" s="86"/>
      <c r="BB282" s="86"/>
      <c r="BC282" s="86"/>
      <c r="BD282" s="86"/>
      <c r="BE282" s="86"/>
      <c r="BF282" s="86"/>
    </row>
    <row r="283" spans="1:58" hidden="1" outlineLevel="1" x14ac:dyDescent="0.2">
      <c r="A283"/>
      <c r="B283"/>
      <c r="C283" s="162" t="str">
        <v>HSUPA salto a: 2</v>
      </c>
      <c r="D283" s="162" t="str">
        <v>Tráfico radio HSUPA</v>
      </c>
      <c r="E283"/>
      <c r="F283" s="64">
        <f t="array" ref="F283">SUMPRODUCT(TRANSPOSE($F$6:$F$55),F77:BC77)</f>
        <v>15186115271.953714</v>
      </c>
      <c r="G283"/>
      <c r="H283" s="163">
        <v>40161.796899000947</v>
      </c>
      <c r="I283"/>
      <c r="J283" s="192">
        <v>0</v>
      </c>
      <c r="K283" s="735">
        <v>26035.377204353215</v>
      </c>
      <c r="L283" s="735">
        <v>14525.309396804922</v>
      </c>
      <c r="M283" s="192">
        <v>40560.686601158137</v>
      </c>
      <c r="N283" s="67">
        <v>2008.0898449500473</v>
      </c>
      <c r="O283" s="64">
        <v>42568.776446108182</v>
      </c>
      <c r="Q283" s="75">
        <v>2.6709060134731842E-6</v>
      </c>
      <c r="R283" s="61">
        <f t="shared" si="0"/>
        <v>1.714419832729462E-6</v>
      </c>
      <c r="S283" s="61">
        <f t="shared" si="1"/>
        <v>9.5648618074372237E-7</v>
      </c>
      <c r="T283" s="61">
        <v>1.3223196380305784E-7</v>
      </c>
      <c r="U283" s="61">
        <v>2.8031379772762419E-6</v>
      </c>
      <c r="BA283" s="86"/>
      <c r="BB283" s="86"/>
      <c r="BC283" s="86"/>
      <c r="BD283" s="86"/>
      <c r="BE283" s="86"/>
      <c r="BF283" s="86"/>
    </row>
    <row r="284" spans="1:58" hidden="1" outlineLevel="1" x14ac:dyDescent="0.2">
      <c r="A284"/>
      <c r="B284"/>
      <c r="C284" s="162" t="str">
        <v>HSUPA salto a: 2.93</v>
      </c>
      <c r="D284" s="162" t="str">
        <v>Tráfico radio HSUPA</v>
      </c>
      <c r="E284"/>
      <c r="F284" s="64">
        <f t="array" ref="F284">SUMPRODUCT(TRANSPOSE($F$6:$F$55),F78:BC78)</f>
        <v>15186115271.953714</v>
      </c>
      <c r="G284"/>
      <c r="H284" s="163">
        <v>40161.796899000947</v>
      </c>
      <c r="I284"/>
      <c r="J284" s="192">
        <v>0</v>
      </c>
      <c r="K284" s="735">
        <v>26035.377204353215</v>
      </c>
      <c r="L284" s="735">
        <v>14525.309396804922</v>
      </c>
      <c r="M284" s="192">
        <v>40560.686601158137</v>
      </c>
      <c r="N284" s="67">
        <v>2008.0898449500473</v>
      </c>
      <c r="O284" s="64">
        <v>42568.776446108182</v>
      </c>
      <c r="Q284" s="75">
        <v>2.6709060134731842E-6</v>
      </c>
      <c r="R284" s="61">
        <f t="shared" si="0"/>
        <v>1.714419832729462E-6</v>
      </c>
      <c r="S284" s="61">
        <f t="shared" si="1"/>
        <v>9.5648618074372237E-7</v>
      </c>
      <c r="T284" s="61">
        <v>1.3223196380305784E-7</v>
      </c>
      <c r="U284" s="61">
        <v>2.8031379772762419E-6</v>
      </c>
      <c r="BA284" s="86"/>
      <c r="BB284" s="86"/>
      <c r="BC284" s="86"/>
      <c r="BD284" s="86"/>
      <c r="BE284" s="86"/>
      <c r="BF284" s="86"/>
    </row>
    <row r="285" spans="1:58" hidden="1" outlineLevel="1" x14ac:dyDescent="0.2">
      <c r="A285"/>
      <c r="B285"/>
      <c r="C285" s="162" t="str">
        <v>HSUPA salto a: 5.76</v>
      </c>
      <c r="D285" s="162" t="str">
        <v>Tráfico radio HSUPA</v>
      </c>
      <c r="E285"/>
      <c r="F285" s="64">
        <f t="array" ref="F285">SUMPRODUCT(TRANSPOSE($F$6:$F$55),F79:BC79)</f>
        <v>15186115271.953714</v>
      </c>
      <c r="G285"/>
      <c r="H285" s="163">
        <v>40161.796899000947</v>
      </c>
      <c r="I285"/>
      <c r="J285" s="192">
        <v>0</v>
      </c>
      <c r="K285" s="735">
        <v>26035.377204353215</v>
      </c>
      <c r="L285" s="735">
        <v>14525.309396804922</v>
      </c>
      <c r="M285" s="192">
        <v>40560.686601158137</v>
      </c>
      <c r="N285" s="67">
        <v>2008.0898449500473</v>
      </c>
      <c r="O285" s="64">
        <v>42568.776446108182</v>
      </c>
      <c r="Q285" s="75">
        <v>2.6709060134731842E-6</v>
      </c>
      <c r="R285" s="61">
        <f t="shared" si="0"/>
        <v>1.714419832729462E-6</v>
      </c>
      <c r="S285" s="61">
        <f t="shared" si="1"/>
        <v>9.5648618074372237E-7</v>
      </c>
      <c r="T285" s="61">
        <v>1.3223196380305784E-7</v>
      </c>
      <c r="U285" s="61">
        <v>2.8031379772762419E-6</v>
      </c>
      <c r="BA285" s="86"/>
      <c r="BB285" s="86"/>
      <c r="BC285" s="86"/>
      <c r="BD285" s="86"/>
      <c r="BE285" s="86"/>
      <c r="BF285" s="86"/>
    </row>
    <row r="286" spans="1:58" hidden="1" outlineLevel="1" x14ac:dyDescent="0.2">
      <c r="A286"/>
      <c r="B286"/>
      <c r="C286" s="162" t="str">
        <v>HSUPA salto a: 11.5</v>
      </c>
      <c r="D286" s="162" t="str">
        <v>Tráfico radio HSUPA</v>
      </c>
      <c r="E286"/>
      <c r="F286" s="64">
        <f t="array" ref="F286">SUMPRODUCT(TRANSPOSE($F$6:$F$55),F80:BC80)</f>
        <v>15186115271.953714</v>
      </c>
      <c r="G286"/>
      <c r="H286" s="163">
        <v>0</v>
      </c>
      <c r="I286"/>
      <c r="J286" s="192">
        <v>0</v>
      </c>
      <c r="K286" s="735">
        <v>0</v>
      </c>
      <c r="L286" s="735">
        <v>0</v>
      </c>
      <c r="M286" s="192">
        <v>0</v>
      </c>
      <c r="N286" s="67">
        <v>0</v>
      </c>
      <c r="O286" s="64">
        <v>0</v>
      </c>
      <c r="Q286" s="75">
        <v>0</v>
      </c>
      <c r="R286" s="61">
        <f t="shared" si="0"/>
        <v>0</v>
      </c>
      <c r="S286" s="61">
        <f t="shared" si="1"/>
        <v>0</v>
      </c>
      <c r="T286" s="61">
        <v>0</v>
      </c>
      <c r="U286" s="61">
        <v>0</v>
      </c>
      <c r="BA286" s="86"/>
      <c r="BB286" s="86"/>
      <c r="BC286" s="86"/>
      <c r="BD286" s="86"/>
      <c r="BE286" s="86"/>
      <c r="BF286" s="86"/>
    </row>
    <row r="287" spans="1:58" hidden="1" outlineLevel="1" x14ac:dyDescent="0.2">
      <c r="A287"/>
      <c r="B287"/>
      <c r="C287" s="162" t="str">
        <v>Asset 21</v>
      </c>
      <c r="D287" s="162" t="str">
        <v>Sin enrutamiento</v>
      </c>
      <c r="E287"/>
      <c r="F287" s="64">
        <f t="array" ref="F287">SUMPRODUCT(TRANSPOSE($F$6:$F$55),F81:BC81)</f>
        <v>0</v>
      </c>
      <c r="G287"/>
      <c r="H287" s="163">
        <v>0</v>
      </c>
      <c r="I287"/>
      <c r="J287" s="192">
        <v>0</v>
      </c>
      <c r="K287" s="735">
        <v>0</v>
      </c>
      <c r="L287" s="735">
        <v>0</v>
      </c>
      <c r="M287" s="192">
        <v>0</v>
      </c>
      <c r="N287" s="67">
        <v>0</v>
      </c>
      <c r="O287" s="64">
        <v>0</v>
      </c>
      <c r="Q287" s="75">
        <v>0</v>
      </c>
      <c r="R287" s="61">
        <f t="shared" si="0"/>
        <v>0</v>
      </c>
      <c r="S287" s="61">
        <f t="shared" si="1"/>
        <v>0</v>
      </c>
      <c r="T287" s="61">
        <v>0</v>
      </c>
      <c r="U287" s="61">
        <v>0</v>
      </c>
      <c r="BA287" s="86"/>
      <c r="BB287" s="86"/>
      <c r="BC287" s="86"/>
      <c r="BD287" s="86"/>
      <c r="BE287" s="86"/>
      <c r="BF287" s="86"/>
    </row>
    <row r="288" spans="1:58" hidden="1" outlineLevel="1" x14ac:dyDescent="0.2">
      <c r="A288"/>
      <c r="B288"/>
      <c r="C288" s="162" t="str">
        <v>Asset 22</v>
      </c>
      <c r="D288" s="162" t="str">
        <v>Sin enrutamiento</v>
      </c>
      <c r="E288"/>
      <c r="F288" s="64">
        <f t="array" ref="F288">SUMPRODUCT(TRANSPOSE($F$6:$F$55),F82:BC82)</f>
        <v>0</v>
      </c>
      <c r="G288"/>
      <c r="H288" s="163">
        <v>0</v>
      </c>
      <c r="I288"/>
      <c r="J288" s="192">
        <v>0</v>
      </c>
      <c r="K288" s="735">
        <v>0</v>
      </c>
      <c r="L288" s="735">
        <v>0</v>
      </c>
      <c r="M288" s="192">
        <v>0</v>
      </c>
      <c r="N288" s="67">
        <v>0</v>
      </c>
      <c r="O288" s="64">
        <v>0</v>
      </c>
      <c r="Q288" s="75">
        <v>0</v>
      </c>
      <c r="R288" s="61">
        <f t="shared" si="0"/>
        <v>0</v>
      </c>
      <c r="S288" s="61">
        <f t="shared" si="1"/>
        <v>0</v>
      </c>
      <c r="T288" s="61">
        <v>0</v>
      </c>
      <c r="U288" s="61">
        <v>0</v>
      </c>
      <c r="BA288" s="86"/>
      <c r="BB288" s="86"/>
      <c r="BC288" s="86"/>
      <c r="BD288" s="86"/>
      <c r="BE288" s="86"/>
      <c r="BF288" s="86"/>
    </row>
    <row r="289" spans="1:58" hidden="1" outlineLevel="1" x14ac:dyDescent="0.2">
      <c r="A289"/>
      <c r="B289"/>
      <c r="C289" s="162" t="str">
        <v>Portadora LTE</v>
      </c>
      <c r="D289" s="162" t="str">
        <v>Tráfico radio LTE</v>
      </c>
      <c r="E289"/>
      <c r="F289" s="64">
        <f t="array" ref="F289">SUMPRODUCT(TRANSPOSE($F$6:$F$55),F83:BC83)</f>
        <v>10970428245.8417</v>
      </c>
      <c r="G289"/>
      <c r="H289" s="163">
        <v>13821065.219601035</v>
      </c>
      <c r="I289"/>
      <c r="J289" s="192">
        <v>0</v>
      </c>
      <c r="K289" s="735">
        <v>7511275.1749914605</v>
      </c>
      <c r="L289" s="735">
        <v>6447061.8057014914</v>
      </c>
      <c r="M289" s="192">
        <v>13958336.980692951</v>
      </c>
      <c r="N289" s="67">
        <v>691053.26098005183</v>
      </c>
      <c r="O289" s="64">
        <v>14649390.241673002</v>
      </c>
      <c r="Q289" s="75">
        <v>1.2723602641477379E-3</v>
      </c>
      <c r="R289" s="61">
        <f t="shared" si="0"/>
        <v>6.8468386162031378E-4</v>
      </c>
      <c r="S289" s="61">
        <f t="shared" si="1"/>
        <v>5.8767640252742424E-4</v>
      </c>
      <c r="T289" s="61">
        <v>6.2992368711038517E-5</v>
      </c>
      <c r="U289" s="61">
        <v>1.3353526328587764E-3</v>
      </c>
      <c r="BA289" s="86"/>
      <c r="BB289" s="86"/>
      <c r="BC289" s="86"/>
      <c r="BD289" s="86"/>
      <c r="BE289" s="86"/>
      <c r="BF289" s="86"/>
    </row>
    <row r="290" spans="1:58" hidden="1" outlineLevel="1" x14ac:dyDescent="0.2">
      <c r="A290"/>
      <c r="B290"/>
      <c r="C290" s="162" t="str">
        <v>LTE salto a: 10.8</v>
      </c>
      <c r="D290" s="162" t="str">
        <v>Tráfico radio LTE</v>
      </c>
      <c r="E290"/>
      <c r="F290" s="64">
        <f t="array" ref="F290">SUMPRODUCT(TRANSPOSE($F$6:$F$55),F84:BC84)</f>
        <v>10970428245.8417</v>
      </c>
      <c r="G290"/>
      <c r="H290" s="163">
        <v>8646629.8391495384</v>
      </c>
      <c r="I290"/>
      <c r="J290" s="192">
        <v>0</v>
      </c>
      <c r="K290" s="735">
        <v>5177414.6741905427</v>
      </c>
      <c r="L290" s="735">
        <v>3555094.0814296794</v>
      </c>
      <c r="M290" s="192">
        <v>8732508.7556202207</v>
      </c>
      <c r="N290" s="67">
        <v>432331.49195747694</v>
      </c>
      <c r="O290" s="64">
        <v>9164840.247577697</v>
      </c>
      <c r="Q290" s="75">
        <v>7.9600436372483877E-4</v>
      </c>
      <c r="R290" s="61">
        <f t="shared" si="0"/>
        <v>4.7194280461685919E-4</v>
      </c>
      <c r="S290" s="61">
        <f t="shared" si="1"/>
        <v>3.2406155910797964E-4</v>
      </c>
      <c r="T290" s="61">
        <v>3.9408807228774377E-5</v>
      </c>
      <c r="U290" s="61">
        <v>8.3541317095361305E-4</v>
      </c>
      <c r="BA290" s="86"/>
      <c r="BB290" s="86"/>
      <c r="BC290" s="86"/>
      <c r="BD290" s="86"/>
      <c r="BE290" s="86"/>
      <c r="BF290" s="86"/>
    </row>
    <row r="291" spans="1:58" hidden="1" outlineLevel="1" x14ac:dyDescent="0.2">
      <c r="A291"/>
      <c r="B291"/>
      <c r="C291" s="162" t="str">
        <v>LTE salto a: 16.2</v>
      </c>
      <c r="D291" s="162" t="str">
        <v>Tráfico radio LTE</v>
      </c>
      <c r="E291"/>
      <c r="F291" s="64">
        <f t="array" ref="F291">SUMPRODUCT(TRANSPOSE($F$6:$F$55),F85:BC85)</f>
        <v>10970428245.8417</v>
      </c>
      <c r="G291"/>
      <c r="H291" s="163">
        <v>6944184.5858454853</v>
      </c>
      <c r="I291"/>
      <c r="J291" s="192">
        <v>0</v>
      </c>
      <c r="K291" s="735">
        <v>4158027.3290131302</v>
      </c>
      <c r="L291" s="735">
        <v>2855127.3710963745</v>
      </c>
      <c r="M291" s="192">
        <v>7013154.7001095051</v>
      </c>
      <c r="N291" s="67">
        <v>347209.22929227428</v>
      </c>
      <c r="O291" s="64">
        <v>7360363.9294017795</v>
      </c>
      <c r="Q291" s="75">
        <v>6.3927811594481881E-4</v>
      </c>
      <c r="R291" s="61">
        <f t="shared" si="0"/>
        <v>3.7902142339695948E-4</v>
      </c>
      <c r="S291" s="61">
        <f t="shared" si="1"/>
        <v>2.6025669254785928E-4</v>
      </c>
      <c r="T291" s="61">
        <v>3.1649560209637456E-5</v>
      </c>
      <c r="U291" s="61">
        <v>6.709276761544563E-4</v>
      </c>
      <c r="BA291" s="86"/>
      <c r="BB291" s="86"/>
      <c r="BC291" s="86"/>
      <c r="BD291" s="86"/>
      <c r="BE291" s="86"/>
      <c r="BF291" s="86"/>
    </row>
    <row r="292" spans="1:58" hidden="1" outlineLevel="1" x14ac:dyDescent="0.2">
      <c r="A292"/>
      <c r="B292"/>
      <c r="C292" s="162" t="str">
        <v>LTE salto a: 21.6</v>
      </c>
      <c r="D292" s="162" t="str">
        <v>Tráfico radio LTE</v>
      </c>
      <c r="E292"/>
      <c r="F292" s="64">
        <f t="array" ref="F292">SUMPRODUCT(TRANSPOSE($F$6:$F$55),F86:BC86)</f>
        <v>10970428245.8417</v>
      </c>
      <c r="G292"/>
      <c r="H292" s="163">
        <v>7168190.5402275976</v>
      </c>
      <c r="I292"/>
      <c r="J292" s="192">
        <v>0</v>
      </c>
      <c r="K292" s="735">
        <v>4292157.2428522632</v>
      </c>
      <c r="L292" s="735">
        <v>2947228.2540349672</v>
      </c>
      <c r="M292" s="192">
        <v>7239385.4968872303</v>
      </c>
      <c r="N292" s="67">
        <v>358409.52701137989</v>
      </c>
      <c r="O292" s="64">
        <v>7597795.0238986099</v>
      </c>
      <c r="Q292" s="75">
        <v>6.5989999065271614E-4</v>
      </c>
      <c r="R292" s="61">
        <f t="shared" si="0"/>
        <v>3.912479209258936E-4</v>
      </c>
      <c r="S292" s="61">
        <f t="shared" si="1"/>
        <v>2.6865206972682249E-4</v>
      </c>
      <c r="T292" s="61">
        <v>3.2670513764787052E-5</v>
      </c>
      <c r="U292" s="61">
        <v>6.9257050441750309E-4</v>
      </c>
      <c r="BA292" s="86"/>
      <c r="BB292" s="86"/>
      <c r="BC292" s="86"/>
      <c r="BD292" s="86"/>
      <c r="BE292" s="86"/>
      <c r="BF292" s="86"/>
    </row>
    <row r="293" spans="1:58" hidden="1" outlineLevel="1" x14ac:dyDescent="0.2">
      <c r="A293"/>
      <c r="B293"/>
      <c r="C293" s="162" t="str">
        <v>LTE salto a: 32.4</v>
      </c>
      <c r="D293" s="162" t="str">
        <v>Tráfico radio LTE</v>
      </c>
      <c r="E293"/>
      <c r="F293" s="64">
        <f t="array" ref="F293">SUMPRODUCT(TRANSPOSE($F$6:$F$55),F87:BC87)</f>
        <v>10970428245.8417</v>
      </c>
      <c r="G293"/>
      <c r="H293" s="163">
        <v>7168190.5402275976</v>
      </c>
      <c r="I293"/>
      <c r="J293" s="192">
        <v>0</v>
      </c>
      <c r="K293" s="735">
        <v>4292157.2428522632</v>
      </c>
      <c r="L293" s="735">
        <v>2947228.2540349672</v>
      </c>
      <c r="M293" s="192">
        <v>7239385.4968872303</v>
      </c>
      <c r="N293" s="67">
        <v>358409.52701137989</v>
      </c>
      <c r="O293" s="64">
        <v>7597795.0238986099</v>
      </c>
      <c r="Q293" s="75">
        <v>6.5989999065271614E-4</v>
      </c>
      <c r="R293" s="61">
        <f t="shared" si="0"/>
        <v>3.912479209258936E-4</v>
      </c>
      <c r="S293" s="61">
        <f t="shared" si="1"/>
        <v>2.6865206972682249E-4</v>
      </c>
      <c r="T293" s="61">
        <v>3.2670513764787052E-5</v>
      </c>
      <c r="U293" s="61">
        <v>6.9257050441750309E-4</v>
      </c>
      <c r="BA293" s="86"/>
      <c r="BB293" s="86"/>
      <c r="BC293" s="86"/>
      <c r="BD293" s="86"/>
      <c r="BE293" s="86"/>
      <c r="BF293" s="86"/>
    </row>
    <row r="294" spans="1:58" hidden="1" outlineLevel="1" x14ac:dyDescent="0.2">
      <c r="A294"/>
      <c r="B294"/>
      <c r="C294" s="162" t="str">
        <v>LTE salto a: 43.2</v>
      </c>
      <c r="D294" s="162" t="str">
        <v>Tráfico radio LTE</v>
      </c>
      <c r="E294"/>
      <c r="F294" s="64">
        <f t="array" ref="F294">SUMPRODUCT(TRANSPOSE($F$6:$F$55),F88:BC88)</f>
        <v>10970428245.8417</v>
      </c>
      <c r="G294"/>
      <c r="H294" s="163">
        <v>0</v>
      </c>
      <c r="I294"/>
      <c r="J294" s="192">
        <v>0</v>
      </c>
      <c r="K294" s="735">
        <v>0</v>
      </c>
      <c r="L294" s="735">
        <v>0</v>
      </c>
      <c r="M294" s="192">
        <v>0</v>
      </c>
      <c r="N294" s="67">
        <v>0</v>
      </c>
      <c r="O294" s="64">
        <v>0</v>
      </c>
      <c r="Q294" s="75">
        <v>0</v>
      </c>
      <c r="R294" s="61">
        <f t="shared" si="0"/>
        <v>0</v>
      </c>
      <c r="S294" s="61">
        <f t="shared" si="1"/>
        <v>0</v>
      </c>
      <c r="T294" s="61">
        <v>0</v>
      </c>
      <c r="U294" s="61">
        <v>0</v>
      </c>
      <c r="BA294" s="86"/>
      <c r="BB294" s="86"/>
      <c r="BC294" s="86"/>
      <c r="BD294" s="86"/>
      <c r="BE294" s="86"/>
      <c r="BF294" s="86"/>
    </row>
    <row r="295" spans="1:58" hidden="1" outlineLevel="1" x14ac:dyDescent="0.2">
      <c r="A295"/>
      <c r="B295"/>
      <c r="C295" s="162" t="str">
        <v>LTE salto a: 86.4</v>
      </c>
      <c r="D295" s="162" t="str">
        <v>Tráfico radio LTE</v>
      </c>
      <c r="E295"/>
      <c r="F295" s="64">
        <f t="array" ref="F295">SUMPRODUCT(TRANSPOSE($F$6:$F$55),F89:BC89)</f>
        <v>10970428245.8417</v>
      </c>
      <c r="G295"/>
      <c r="H295" s="163">
        <v>0</v>
      </c>
      <c r="I295"/>
      <c r="J295" s="192">
        <v>0</v>
      </c>
      <c r="K295" s="735">
        <v>0</v>
      </c>
      <c r="L295" s="735">
        <v>0</v>
      </c>
      <c r="M295" s="192">
        <v>0</v>
      </c>
      <c r="N295" s="67">
        <v>0</v>
      </c>
      <c r="O295" s="64">
        <v>0</v>
      </c>
      <c r="Q295" s="75">
        <v>0</v>
      </c>
      <c r="R295" s="61">
        <f t="shared" si="0"/>
        <v>0</v>
      </c>
      <c r="S295" s="61">
        <f t="shared" si="1"/>
        <v>0</v>
      </c>
      <c r="T295" s="61">
        <v>0</v>
      </c>
      <c r="U295" s="61">
        <v>0</v>
      </c>
      <c r="BA295" s="86"/>
      <c r="BB295" s="86"/>
      <c r="BC295" s="86"/>
      <c r="BD295" s="86"/>
      <c r="BE295" s="86"/>
      <c r="BF295" s="86"/>
    </row>
    <row r="296" spans="1:58" hidden="1" outlineLevel="1" x14ac:dyDescent="0.2">
      <c r="A296"/>
      <c r="B296"/>
      <c r="C296" s="162" t="str">
        <v>Estación base Single RAN - macro</v>
      </c>
      <c r="D296" s="162" t="str">
        <v>Minutos radio equivalentes</v>
      </c>
      <c r="E296"/>
      <c r="F296" s="64">
        <f t="array" ref="F296">SUMPRODUCT(TRANSPOSE($F$6:$F$55),F90:BC90)</f>
        <v>248926774301.56345</v>
      </c>
      <c r="G296"/>
      <c r="H296" s="163">
        <v>126286333.90538505</v>
      </c>
      <c r="I296"/>
      <c r="J296" s="192">
        <v>0</v>
      </c>
      <c r="K296" s="735">
        <v>71488093.564521238</v>
      </c>
      <c r="L296" s="735">
        <v>56052524.810374066</v>
      </c>
      <c r="M296" s="192">
        <v>127540618.3748953</v>
      </c>
      <c r="N296" s="67">
        <v>6314316.6952692531</v>
      </c>
      <c r="O296" s="64">
        <v>133854935.07016456</v>
      </c>
      <c r="Q296" s="75">
        <v>5.1236199373389077E-4</v>
      </c>
      <c r="R296" s="61">
        <f t="shared" si="0"/>
        <v>2.8718523254520089E-4</v>
      </c>
      <c r="S296" s="61">
        <f t="shared" si="1"/>
        <v>2.2517676118868991E-4</v>
      </c>
      <c r="T296" s="61">
        <v>2.536616124555467E-5</v>
      </c>
      <c r="U296" s="61">
        <v>5.3772815497944552E-4</v>
      </c>
      <c r="BA296" s="86"/>
      <c r="BB296" s="86"/>
      <c r="BC296" s="86"/>
      <c r="BD296" s="86"/>
      <c r="BE296" s="86"/>
      <c r="BF296" s="86"/>
    </row>
    <row r="297" spans="1:58" hidden="1" outlineLevel="1" x14ac:dyDescent="0.2">
      <c r="A297"/>
      <c r="B297"/>
      <c r="C297" s="162" t="str">
        <v>Estación base Single RAN - micro</v>
      </c>
      <c r="D297" s="162" t="str">
        <v>Minutos radio equivalentes</v>
      </c>
      <c r="E297"/>
      <c r="F297" s="64">
        <f t="array" ref="F297">SUMPRODUCT(TRANSPOSE($F$6:$F$55),F91:BC91)</f>
        <v>248926774301.56345</v>
      </c>
      <c r="G297"/>
      <c r="H297" s="163">
        <v>2754712.1233621817</v>
      </c>
      <c r="I297"/>
      <c r="J297" s="192">
        <v>0</v>
      </c>
      <c r="K297" s="735">
        <v>1559385.8173583362</v>
      </c>
      <c r="L297" s="735">
        <v>1222686.2944321542</v>
      </c>
      <c r="M297" s="192">
        <v>2782072.1117904899</v>
      </c>
      <c r="N297" s="67">
        <v>137735.60616810908</v>
      </c>
      <c r="O297" s="64">
        <v>2919807.7179585989</v>
      </c>
      <c r="Q297" s="75">
        <v>1.1176267075313226E-5</v>
      </c>
      <c r="R297" s="61">
        <f t="shared" si="0"/>
        <v>6.2644358837398955E-6</v>
      </c>
      <c r="S297" s="61">
        <f t="shared" si="1"/>
        <v>4.9118311915733315E-6</v>
      </c>
      <c r="T297" s="61">
        <v>5.5331776404754546E-7</v>
      </c>
      <c r="U297" s="61">
        <v>1.172958483936077E-5</v>
      </c>
      <c r="BA297" s="86"/>
      <c r="BB297" s="86"/>
      <c r="BC297" s="86"/>
      <c r="BD297" s="86"/>
      <c r="BE297" s="86"/>
      <c r="BF297" s="86"/>
    </row>
    <row r="298" spans="1:58" hidden="1" outlineLevel="1" x14ac:dyDescent="0.2">
      <c r="A298"/>
      <c r="B298"/>
      <c r="C298" s="162" t="str">
        <v>BBU tarjeta 3G en estación base Single RAN</v>
      </c>
      <c r="D298" s="162" t="str">
        <v>Minutos radio equivalentes UMTS+HSPA</v>
      </c>
      <c r="E298"/>
      <c r="F298" s="64">
        <f t="array" ref="F298">SUMPRODUCT(TRANSPOSE($F$6:$F$55),F92:BC92)</f>
        <v>87867907594.693939</v>
      </c>
      <c r="G298"/>
      <c r="H298" s="163">
        <v>12557383.160123561</v>
      </c>
      <c r="I298"/>
      <c r="J298" s="192">
        <v>0</v>
      </c>
      <c r="K298" s="735">
        <v>8873823.3217704426</v>
      </c>
      <c r="L298" s="735">
        <v>3808280.6231629234</v>
      </c>
      <c r="M298" s="192">
        <v>12682103.944933366</v>
      </c>
      <c r="N298" s="67">
        <v>627869.1580061781</v>
      </c>
      <c r="O298" s="64">
        <v>13309973.102939544</v>
      </c>
      <c r="Q298" s="75">
        <v>1.4433146631227163E-4</v>
      </c>
      <c r="R298" s="61">
        <f t="shared" si="0"/>
        <v>1.0099049316961662E-4</v>
      </c>
      <c r="S298" s="61">
        <f t="shared" si="1"/>
        <v>4.3340973142655022E-5</v>
      </c>
      <c r="T298" s="61">
        <v>7.1456027028927809E-6</v>
      </c>
      <c r="U298" s="61">
        <v>1.5147706901516442E-4</v>
      </c>
      <c r="BA298" s="86"/>
      <c r="BB298" s="86"/>
      <c r="BC298" s="86"/>
      <c r="BD298" s="86"/>
      <c r="BE298" s="86"/>
      <c r="BF298" s="86"/>
    </row>
    <row r="299" spans="1:58" hidden="1" outlineLevel="1" x14ac:dyDescent="0.2">
      <c r="A299"/>
      <c r="B299"/>
      <c r="C299" s="162" t="str">
        <v>BBU tarjeta 4G en estación base Single RAN</v>
      </c>
      <c r="D299" s="162" t="str">
        <v>Tráfico radio LTE</v>
      </c>
      <c r="E299"/>
      <c r="F299" s="64">
        <f t="array" ref="F299">SUMPRODUCT(TRANSPOSE($F$6:$F$55),F93:BC93)</f>
        <v>10970428245.8417</v>
      </c>
      <c r="G299"/>
      <c r="H299" s="163">
        <v>17841931.494729526</v>
      </c>
      <c r="I299"/>
      <c r="J299" s="192">
        <v>0</v>
      </c>
      <c r="K299" s="735">
        <v>12608211.900878523</v>
      </c>
      <c r="L299" s="735">
        <v>5410926.8726423234</v>
      </c>
      <c r="M299" s="192">
        <v>18019138.773520846</v>
      </c>
      <c r="N299" s="67">
        <v>892096.57473647641</v>
      </c>
      <c r="O299" s="64">
        <v>18911235.348257322</v>
      </c>
      <c r="Q299" s="75">
        <v>1.6425191769839007E-3</v>
      </c>
      <c r="R299" s="61">
        <f t="shared" ref="R299:R330" si="2">IF(Network.element.output=0,0,$K$267:$K$466/Network.element.output)</f>
        <v>1.1492907677198125E-3</v>
      </c>
      <c r="S299" s="61">
        <f t="shared" ref="S299:S330" si="3">IF(Network.element.output=0,0,$L$267:$L$466/Network.element.output)</f>
        <v>4.9322840926408818E-4</v>
      </c>
      <c r="T299" s="61">
        <v>8.1318299955575782E-5</v>
      </c>
      <c r="U299" s="61">
        <v>1.7238374769394764E-3</v>
      </c>
      <c r="BA299" s="86"/>
      <c r="BB299" s="86"/>
      <c r="BC299" s="86"/>
      <c r="BD299" s="86"/>
      <c r="BE299" s="86"/>
      <c r="BF299" s="86"/>
    </row>
    <row r="300" spans="1:58" hidden="1" outlineLevel="1" x14ac:dyDescent="0.2">
      <c r="A300"/>
      <c r="B300"/>
      <c r="C300" s="162" t="str">
        <v>Sitios propios - macro</v>
      </c>
      <c r="D300" s="162" t="str">
        <v>Minutos radio equivalentes</v>
      </c>
      <c r="E300"/>
      <c r="F300" s="64">
        <f t="array" ref="F300">SUMPRODUCT(TRANSPOSE($F$6:$F$55),F94:BC94)</f>
        <v>248926774301.56345</v>
      </c>
      <c r="G300"/>
      <c r="H300" s="163">
        <v>75877932.630440325</v>
      </c>
      <c r="I300"/>
      <c r="J300" s="192">
        <v>0</v>
      </c>
      <c r="K300" s="735">
        <v>41164688.5205599</v>
      </c>
      <c r="L300" s="735">
        <v>35466868.904691637</v>
      </c>
      <c r="M300" s="192">
        <v>76631557.425251544</v>
      </c>
      <c r="N300" s="67">
        <v>3793896.6315220166</v>
      </c>
      <c r="O300" s="64">
        <v>80425454.056773558</v>
      </c>
      <c r="Q300" s="75">
        <v>3.0784779034020624E-4</v>
      </c>
      <c r="R300" s="61">
        <f t="shared" si="2"/>
        <v>1.6536866568917473E-4</v>
      </c>
      <c r="S300" s="61">
        <f t="shared" si="3"/>
        <v>1.4247912465103148E-4</v>
      </c>
      <c r="T300" s="61">
        <v>1.5241014720762355E-5</v>
      </c>
      <c r="U300" s="61">
        <v>3.2308880506096859E-4</v>
      </c>
      <c r="BA300" s="86"/>
      <c r="BB300" s="86"/>
      <c r="BC300" s="86"/>
      <c r="BD300" s="86"/>
      <c r="BE300" s="86"/>
      <c r="BF300" s="86"/>
    </row>
    <row r="301" spans="1:58" hidden="1" outlineLevel="1" x14ac:dyDescent="0.2">
      <c r="A301"/>
      <c r="B301"/>
      <c r="C301" s="162" t="str">
        <v>Sitios propios - micro</v>
      </c>
      <c r="D301" s="162" t="str">
        <v>Minutos radio equivalentes</v>
      </c>
      <c r="E301"/>
      <c r="F301" s="64">
        <f t="array" ref="F301">SUMPRODUCT(TRANSPOSE($F$6:$F$55),F95:BC95)</f>
        <v>248926774301.56345</v>
      </c>
      <c r="G301"/>
      <c r="H301" s="163">
        <v>1450210.0336805449</v>
      </c>
      <c r="I301"/>
      <c r="J301" s="192">
        <v>0</v>
      </c>
      <c r="K301" s="735">
        <v>786756.33687337977</v>
      </c>
      <c r="L301" s="735">
        <v>677857.2816331865</v>
      </c>
      <c r="M301" s="192">
        <v>1464613.6185065662</v>
      </c>
      <c r="N301" s="67">
        <v>72510.501684027244</v>
      </c>
      <c r="O301" s="64">
        <v>1537124.1201905934</v>
      </c>
      <c r="Q301" s="75">
        <v>5.8837126806305435E-6</v>
      </c>
      <c r="R301" s="61">
        <f t="shared" si="2"/>
        <v>3.1605934680222879E-6</v>
      </c>
      <c r="S301" s="61">
        <f t="shared" si="3"/>
        <v>2.7231192126082561E-6</v>
      </c>
      <c r="T301" s="61">
        <v>2.9129249711075301E-7</v>
      </c>
      <c r="U301" s="61">
        <v>6.1750051777412968E-6</v>
      </c>
      <c r="BA301" s="86"/>
      <c r="BB301" s="86"/>
      <c r="BC301" s="86"/>
      <c r="BD301" s="86"/>
      <c r="BE301" s="86"/>
      <c r="BF301" s="86"/>
    </row>
    <row r="302" spans="1:58" hidden="1" outlineLevel="1" x14ac:dyDescent="0.2">
      <c r="A302"/>
      <c r="B302"/>
      <c r="C302" s="162" t="str">
        <v>Sitios de terceros - macro</v>
      </c>
      <c r="D302" s="162" t="str">
        <v>Minutos radio equivalentes</v>
      </c>
      <c r="E302"/>
      <c r="F302" s="64">
        <f t="array" ref="F302">SUMPRODUCT(TRANSPOSE($F$6:$F$55),F96:BC96)</f>
        <v>248926774301.56345</v>
      </c>
      <c r="G302"/>
      <c r="H302" s="163">
        <v>11606992.008364677</v>
      </c>
      <c r="I302"/>
      <c r="J302" s="192">
        <v>0</v>
      </c>
      <c r="K302" s="735">
        <v>4304643.2573038433</v>
      </c>
      <c r="L302" s="735">
        <v>7417630.1862217346</v>
      </c>
      <c r="M302" s="192">
        <v>11722273.443525579</v>
      </c>
      <c r="N302" s="67">
        <v>580349.60041823389</v>
      </c>
      <c r="O302" s="64">
        <v>12302623.043943813</v>
      </c>
      <c r="Q302" s="75">
        <v>4.709125194112136E-5</v>
      </c>
      <c r="R302" s="61">
        <f t="shared" si="2"/>
        <v>1.7292809378909817E-5</v>
      </c>
      <c r="S302" s="61">
        <f t="shared" si="3"/>
        <v>2.9798442562211543E-5</v>
      </c>
      <c r="T302" s="61">
        <v>2.3314069048882897E-6</v>
      </c>
      <c r="U302" s="61">
        <v>4.9422658846009652E-5</v>
      </c>
      <c r="BA302" s="86"/>
      <c r="BB302" s="86"/>
      <c r="BC302" s="86"/>
      <c r="BD302" s="86"/>
      <c r="BE302" s="86"/>
      <c r="BF302" s="86"/>
    </row>
    <row r="303" spans="1:58" hidden="1" outlineLevel="1" x14ac:dyDescent="0.2">
      <c r="A303"/>
      <c r="B303"/>
      <c r="C303" s="162" t="str">
        <v>Sitios de terceros - micro</v>
      </c>
      <c r="D303" s="162" t="str">
        <v>Minutos radio equivalentes</v>
      </c>
      <c r="E303"/>
      <c r="F303" s="64">
        <f t="array" ref="F303">SUMPRODUCT(TRANSPOSE($F$6:$F$55),F97:BC97)</f>
        <v>248926774301.56345</v>
      </c>
      <c r="G303"/>
      <c r="H303" s="163">
        <v>14304.320453854574</v>
      </c>
      <c r="I303"/>
      <c r="J303" s="192">
        <v>0</v>
      </c>
      <c r="K303" s="735">
        <v>4257.3394852455594</v>
      </c>
      <c r="L303" s="735">
        <v>10189.052453601285</v>
      </c>
      <c r="M303" s="192">
        <v>14446.391938846844</v>
      </c>
      <c r="N303" s="67">
        <v>715.21602269272876</v>
      </c>
      <c r="O303" s="64">
        <v>15161.607961539572</v>
      </c>
      <c r="Q303" s="75">
        <v>5.803470510305853E-8</v>
      </c>
      <c r="R303" s="61">
        <f t="shared" si="2"/>
        <v>1.7102778506614105E-8</v>
      </c>
      <c r="S303" s="61">
        <f t="shared" si="3"/>
        <v>4.0931926596444432E-8</v>
      </c>
      <c r="T303" s="61">
        <v>2.8731984524343577E-9</v>
      </c>
      <c r="U303" s="61">
        <v>6.0907903555492886E-8</v>
      </c>
      <c r="BA303" s="86"/>
      <c r="BB303" s="86"/>
      <c r="BC303" s="86"/>
      <c r="BD303" s="86"/>
      <c r="BE303" s="86"/>
      <c r="BF303" s="86"/>
    </row>
    <row r="304" spans="1:58" hidden="1" outlineLevel="1" x14ac:dyDescent="0.2">
      <c r="A304"/>
      <c r="B304"/>
      <c r="C304" s="162" t="str">
        <v>LMA: líneas alquiladas TDM: 2.048</v>
      </c>
      <c r="D304" s="162" t="str">
        <v>LMA PCM Mbytes de tráfico</v>
      </c>
      <c r="E304"/>
      <c r="F304" s="64">
        <f t="array" ref="F304">SUMPRODUCT(TRANSPOSE($F$6:$F$55),F98:BC98)</f>
        <v>136295149112.58957</v>
      </c>
      <c r="G304"/>
      <c r="H304" s="163">
        <v>543.56497024936334</v>
      </c>
      <c r="I304"/>
      <c r="J304" s="192">
        <v>0</v>
      </c>
      <c r="K304" s="735">
        <v>15.811335868087541</v>
      </c>
      <c r="L304" s="735">
        <v>533.1523586871408</v>
      </c>
      <c r="M304" s="192">
        <v>548.96369455522836</v>
      </c>
      <c r="N304" s="67">
        <v>27.178248512468169</v>
      </c>
      <c r="O304" s="64">
        <v>576.1419430676965</v>
      </c>
      <c r="Q304" s="75">
        <v>4.0277566599361869E-9</v>
      </c>
      <c r="R304" s="61">
        <f t="shared" si="2"/>
        <v>1.1600806023570394E-10</v>
      </c>
      <c r="S304" s="61">
        <f t="shared" si="3"/>
        <v>3.9117485997004835E-9</v>
      </c>
      <c r="T304" s="61">
        <v>1.9940730605178755E-10</v>
      </c>
      <c r="U304" s="61">
        <v>4.2271639659879749E-9</v>
      </c>
      <c r="BA304" s="86"/>
      <c r="BB304" s="86"/>
      <c r="BC304" s="86"/>
      <c r="BD304" s="86"/>
      <c r="BE304" s="86"/>
      <c r="BF304" s="86"/>
    </row>
    <row r="305" spans="1:58" hidden="1" outlineLevel="1" x14ac:dyDescent="0.2">
      <c r="A305"/>
      <c r="B305"/>
      <c r="C305" s="162" t="str">
        <v>LMA: líneas alquiladas TDM: 8.45</v>
      </c>
      <c r="D305" s="162" t="str">
        <v>LMA PCM Mbytes de tráfico</v>
      </c>
      <c r="E305"/>
      <c r="F305" s="64">
        <f t="array" ref="F305">SUMPRODUCT(TRANSPOSE($F$6:$F$55),F99:BC99)</f>
        <v>136295149112.58957</v>
      </c>
      <c r="G305"/>
      <c r="H305" s="163">
        <v>12930.703869210083</v>
      </c>
      <c r="I305"/>
      <c r="J305" s="192">
        <v>0</v>
      </c>
      <c r="K305" s="735">
        <v>556.18699112449121</v>
      </c>
      <c r="L305" s="735">
        <v>12502.945509604326</v>
      </c>
      <c r="M305" s="192">
        <v>13059.132500728816</v>
      </c>
      <c r="N305" s="67">
        <v>646.53519346050416</v>
      </c>
      <c r="O305" s="64">
        <v>13705.66769418932</v>
      </c>
      <c r="Q305" s="75">
        <v>9.5815093829502589E-8</v>
      </c>
      <c r="R305" s="61">
        <f t="shared" si="2"/>
        <v>4.0807541188794682E-9</v>
      </c>
      <c r="S305" s="61">
        <f t="shared" si="3"/>
        <v>9.1734339710623127E-8</v>
      </c>
      <c r="T305" s="61">
        <v>4.7436405306429485E-9</v>
      </c>
      <c r="U305" s="61">
        <v>1.0055873436014554E-7</v>
      </c>
      <c r="BA305" s="86"/>
      <c r="BB305" s="86"/>
      <c r="BC305" s="86"/>
      <c r="BD305" s="86"/>
      <c r="BE305" s="86"/>
      <c r="BF305" s="86"/>
    </row>
    <row r="306" spans="1:58" hidden="1" outlineLevel="1" x14ac:dyDescent="0.2">
      <c r="A306"/>
      <c r="B306"/>
      <c r="C306" s="162" t="str">
        <v>LMA: líneas alquiladas TDM: 34.37</v>
      </c>
      <c r="D306" s="162" t="str">
        <v>LMA PCM Mbytes de tráfico</v>
      </c>
      <c r="E306"/>
      <c r="F306" s="64">
        <f t="array" ref="F306">SUMPRODUCT(TRANSPOSE($F$6:$F$55),F100:BC100)</f>
        <v>136295149112.58957</v>
      </c>
      <c r="G306"/>
      <c r="H306" s="163">
        <v>0</v>
      </c>
      <c r="I306"/>
      <c r="J306" s="192">
        <v>0</v>
      </c>
      <c r="K306" s="735">
        <v>0</v>
      </c>
      <c r="L306" s="735">
        <v>0</v>
      </c>
      <c r="M306" s="192">
        <v>0</v>
      </c>
      <c r="N306" s="67">
        <v>0</v>
      </c>
      <c r="O306" s="64">
        <v>0</v>
      </c>
      <c r="Q306" s="75">
        <v>0</v>
      </c>
      <c r="R306" s="61">
        <f t="shared" si="2"/>
        <v>0</v>
      </c>
      <c r="S306" s="61">
        <f t="shared" si="3"/>
        <v>0</v>
      </c>
      <c r="T306" s="61">
        <v>0</v>
      </c>
      <c r="U306" s="61">
        <v>0</v>
      </c>
      <c r="BA306" s="86"/>
      <c r="BB306" s="86"/>
      <c r="BC306" s="86"/>
      <c r="BD306" s="86"/>
      <c r="BE306" s="86"/>
      <c r="BF306" s="86"/>
    </row>
    <row r="307" spans="1:58" hidden="1" outlineLevel="1" x14ac:dyDescent="0.2">
      <c r="A307"/>
      <c r="B307"/>
      <c r="C307" s="162" t="str">
        <v>LMA: líneas alquiladas Ethernet: 10</v>
      </c>
      <c r="D307" s="162" t="str">
        <v>LMA IP Mbytes de tráfico</v>
      </c>
      <c r="E307"/>
      <c r="F307" s="64">
        <f t="array" ref="F307">SUMPRODUCT(TRANSPOSE($F$6:$F$55),F101:BC101)</f>
        <v>136295149112.58957</v>
      </c>
      <c r="G307"/>
      <c r="H307" s="163">
        <v>367.50345304364106</v>
      </c>
      <c r="I307"/>
      <c r="J307" s="192">
        <v>0</v>
      </c>
      <c r="K307" s="735">
        <v>41.85353612140819</v>
      </c>
      <c r="L307" s="735">
        <v>329.29998624793984</v>
      </c>
      <c r="M307" s="192">
        <v>371.15352236934802</v>
      </c>
      <c r="N307" s="67">
        <v>18.375172652182055</v>
      </c>
      <c r="O307" s="64">
        <v>389.5286950215301</v>
      </c>
      <c r="Q307" s="75">
        <v>2.7231601769095142E-9</v>
      </c>
      <c r="R307" s="61">
        <f t="shared" si="2"/>
        <v>3.0708015944745155E-10</v>
      </c>
      <c r="S307" s="61">
        <f t="shared" si="3"/>
        <v>2.4160800174620625E-9</v>
      </c>
      <c r="T307" s="61">
        <v>1.3481897757786556E-10</v>
      </c>
      <c r="U307" s="61">
        <v>2.8579791544873798E-9</v>
      </c>
      <c r="BA307" s="86"/>
      <c r="BB307" s="86"/>
      <c r="BC307" s="86"/>
      <c r="BD307" s="86"/>
      <c r="BE307" s="86"/>
      <c r="BF307" s="86"/>
    </row>
    <row r="308" spans="1:58" hidden="1" outlineLevel="1" x14ac:dyDescent="0.2">
      <c r="A308"/>
      <c r="B308"/>
      <c r="C308" s="162" t="str">
        <v>LMA: líneas alquiladas Ethernet: 30</v>
      </c>
      <c r="D308" s="162" t="str">
        <v>LMA IP Mbytes de tráfico</v>
      </c>
      <c r="E308"/>
      <c r="F308" s="64">
        <f t="array" ref="F308">SUMPRODUCT(TRANSPOSE($F$6:$F$55),F102:BC102)</f>
        <v>136295149112.58957</v>
      </c>
      <c r="G308"/>
      <c r="H308" s="163">
        <v>19425.318731671166</v>
      </c>
      <c r="I308"/>
      <c r="J308" s="192">
        <v>0</v>
      </c>
      <c r="K308" s="735">
        <v>1033.4206449730418</v>
      </c>
      <c r="L308" s="735">
        <v>18584.831675368743</v>
      </c>
      <c r="M308" s="192">
        <v>19618.252320341784</v>
      </c>
      <c r="N308" s="67">
        <v>971.26593658355841</v>
      </c>
      <c r="O308" s="64">
        <v>20589.518256925341</v>
      </c>
      <c r="Q308" s="75">
        <v>1.4393947582195826E-7</v>
      </c>
      <c r="R308" s="61">
        <f t="shared" si="2"/>
        <v>7.5822261591963358E-9</v>
      </c>
      <c r="S308" s="61">
        <f t="shared" si="3"/>
        <v>1.3635724966276195E-7</v>
      </c>
      <c r="T308" s="61">
        <v>7.1261959277892063E-9</v>
      </c>
      <c r="U308" s="61">
        <v>1.5106567174974746E-7</v>
      </c>
      <c r="BA308" s="86"/>
      <c r="BB308" s="86"/>
      <c r="BC308" s="86"/>
      <c r="BD308" s="86"/>
      <c r="BE308" s="86"/>
      <c r="BF308" s="86"/>
    </row>
    <row r="309" spans="1:58" hidden="1" outlineLevel="1" x14ac:dyDescent="0.2">
      <c r="A309"/>
      <c r="B309"/>
      <c r="C309" s="162" t="str">
        <v>LMA: líneas alquiladas Ethernet: 100</v>
      </c>
      <c r="D309" s="162" t="str">
        <v>LMA IP Mbytes de tráfico</v>
      </c>
      <c r="E309"/>
      <c r="F309" s="64">
        <f t="array" ref="F309">SUMPRODUCT(TRANSPOSE($F$6:$F$55),F103:BC103)</f>
        <v>136295149112.58957</v>
      </c>
      <c r="G309"/>
      <c r="H309" s="163">
        <v>853950.07501985994</v>
      </c>
      <c r="I309"/>
      <c r="J309" s="192">
        <v>0</v>
      </c>
      <c r="K309" s="735">
        <v>38577.592676843647</v>
      </c>
      <c r="L309" s="735">
        <v>823853.97264929919</v>
      </c>
      <c r="M309" s="192">
        <v>862431.56532614282</v>
      </c>
      <c r="N309" s="67">
        <v>42697.503750992997</v>
      </c>
      <c r="O309" s="64">
        <v>905129.06907713576</v>
      </c>
      <c r="Q309" s="75">
        <v>6.327676156791996E-6</v>
      </c>
      <c r="R309" s="61">
        <f t="shared" si="2"/>
        <v>2.8304450252279916E-7</v>
      </c>
      <c r="S309" s="61">
        <f t="shared" si="3"/>
        <v>6.0446316542691976E-6</v>
      </c>
      <c r="T309" s="61">
        <v>3.1327236537025833E-7</v>
      </c>
      <c r="U309" s="61">
        <v>6.6409485221622541E-6</v>
      </c>
      <c r="BA309" s="86"/>
      <c r="BB309" s="86"/>
      <c r="BC309" s="86"/>
      <c r="BD309" s="86"/>
      <c r="BE309" s="86"/>
      <c r="BF309" s="86"/>
    </row>
    <row r="310" spans="1:58" hidden="1" outlineLevel="1" x14ac:dyDescent="0.2">
      <c r="A310"/>
      <c r="B310"/>
      <c r="C310" s="162" t="str">
        <v>LMA: enlace microondas TDM: 2.048</v>
      </c>
      <c r="D310" s="162" t="str">
        <v>LMA PCM Mbytes de tráfico</v>
      </c>
      <c r="E310"/>
      <c r="F310" s="64">
        <f t="array" ref="F310">SUMPRODUCT(TRANSPOSE($F$6:$F$55),F104:BC104)</f>
        <v>136295149112.58957</v>
      </c>
      <c r="G310"/>
      <c r="H310" s="163">
        <v>34164.191223369176</v>
      </c>
      <c r="I310"/>
      <c r="J310" s="192">
        <v>0</v>
      </c>
      <c r="K310" s="735">
        <v>22659.111739476884</v>
      </c>
      <c r="L310" s="735">
        <v>11844.400557991692</v>
      </c>
      <c r="M310" s="192">
        <v>34503.51229746858</v>
      </c>
      <c r="N310" s="67">
        <v>1708.209561168459</v>
      </c>
      <c r="O310" s="64">
        <v>36211.721858637036</v>
      </c>
      <c r="Q310" s="75">
        <v>2.5315290032051107E-7</v>
      </c>
      <c r="R310" s="61">
        <f t="shared" si="2"/>
        <v>1.662503169555861E-7</v>
      </c>
      <c r="S310" s="61">
        <f t="shared" si="3"/>
        <v>8.6902583364924945E-8</v>
      </c>
      <c r="T310" s="61">
        <v>1.253316476991676E-8</v>
      </c>
      <c r="U310" s="61">
        <v>2.6568606509042782E-7</v>
      </c>
      <c r="BA310" s="86"/>
      <c r="BB310" s="86"/>
      <c r="BC310" s="86"/>
      <c r="BD310" s="86"/>
      <c r="BE310" s="86"/>
      <c r="BF310" s="86"/>
    </row>
    <row r="311" spans="1:58" hidden="1" outlineLevel="1" x14ac:dyDescent="0.2">
      <c r="A311"/>
      <c r="B311"/>
      <c r="C311" s="162" t="str">
        <v>LMA: enlace microondas TDM: 8.45</v>
      </c>
      <c r="D311" s="162" t="str">
        <v>LMA PCM Mbytes de tráfico</v>
      </c>
      <c r="E311"/>
      <c r="F311" s="64">
        <f t="array" ref="F311">SUMPRODUCT(TRANSPOSE($F$6:$F$55),F105:BC105)</f>
        <v>136295149112.58957</v>
      </c>
      <c r="G311"/>
      <c r="H311" s="163">
        <v>352902.3786219731</v>
      </c>
      <c r="I311"/>
      <c r="J311" s="192">
        <v>0</v>
      </c>
      <c r="K311" s="735">
        <v>234059.5267729531</v>
      </c>
      <c r="L311" s="735">
        <v>122347.90230911493</v>
      </c>
      <c r="M311" s="192">
        <v>356407.42908206803</v>
      </c>
      <c r="N311" s="67">
        <v>17645.118931098656</v>
      </c>
      <c r="O311" s="64">
        <v>374052.5480131667</v>
      </c>
      <c r="Q311" s="75">
        <v>2.6149678209578093E-6</v>
      </c>
      <c r="R311" s="61">
        <f t="shared" si="2"/>
        <v>1.7172990256579356E-6</v>
      </c>
      <c r="S311" s="61">
        <f t="shared" si="3"/>
        <v>8.9766879529987368E-7</v>
      </c>
      <c r="T311" s="61">
        <v>1.2946256008364995E-7</v>
      </c>
      <c r="U311" s="61">
        <v>2.7444303810414592E-6</v>
      </c>
      <c r="BA311" s="86"/>
      <c r="BB311" s="86"/>
      <c r="BC311" s="86"/>
      <c r="BD311" s="86"/>
      <c r="BE311" s="86"/>
      <c r="BF311" s="86"/>
    </row>
    <row r="312" spans="1:58" hidden="1" outlineLevel="1" x14ac:dyDescent="0.2">
      <c r="A312"/>
      <c r="B312"/>
      <c r="C312" s="162" t="str">
        <v>LMA: enlace microondas TDM: 34.37</v>
      </c>
      <c r="D312" s="162" t="str">
        <v>LMA PCM Mbytes de tráfico</v>
      </c>
      <c r="E312"/>
      <c r="F312" s="64">
        <f t="array" ref="F312">SUMPRODUCT(TRANSPOSE($F$6:$F$55),F106:BC106)</f>
        <v>136295149112.58957</v>
      </c>
      <c r="G312"/>
      <c r="H312" s="163">
        <v>0</v>
      </c>
      <c r="I312"/>
      <c r="J312" s="192">
        <v>0</v>
      </c>
      <c r="K312" s="735">
        <v>0</v>
      </c>
      <c r="L312" s="735">
        <v>0</v>
      </c>
      <c r="M312" s="192">
        <v>0</v>
      </c>
      <c r="N312" s="67">
        <v>0</v>
      </c>
      <c r="O312" s="64">
        <v>0</v>
      </c>
      <c r="Q312" s="75">
        <v>0</v>
      </c>
      <c r="R312" s="61">
        <f t="shared" si="2"/>
        <v>0</v>
      </c>
      <c r="S312" s="61">
        <f t="shared" si="3"/>
        <v>0</v>
      </c>
      <c r="T312" s="61">
        <v>0</v>
      </c>
      <c r="U312" s="61">
        <v>0</v>
      </c>
      <c r="BA312" s="86"/>
      <c r="BB312" s="86"/>
      <c r="BC312" s="86"/>
      <c r="BD312" s="86"/>
      <c r="BE312" s="86"/>
      <c r="BF312" s="86"/>
    </row>
    <row r="313" spans="1:58" hidden="1" outlineLevel="1" x14ac:dyDescent="0.2">
      <c r="A313"/>
      <c r="B313"/>
      <c r="C313" s="162" t="str">
        <v>LMA: enlace microondas Ethernet: 10</v>
      </c>
      <c r="D313" s="162" t="str">
        <v>LMA IP Mbytes de tráfico</v>
      </c>
      <c r="E313"/>
      <c r="F313" s="64">
        <f t="array" ref="F313">SUMPRODUCT(TRANSPOSE($F$6:$F$55),F107:BC107)</f>
        <v>136295149112.58957</v>
      </c>
      <c r="G313"/>
      <c r="H313" s="163">
        <v>7751.539185134181</v>
      </c>
      <c r="I313"/>
      <c r="J313" s="192">
        <v>0</v>
      </c>
      <c r="K313" s="735">
        <v>5141.1429997132418</v>
      </c>
      <c r="L313" s="735">
        <v>2687.3850005527365</v>
      </c>
      <c r="M313" s="192">
        <v>7828.5280002659774</v>
      </c>
      <c r="N313" s="67">
        <v>387.57695925670907</v>
      </c>
      <c r="O313" s="64">
        <v>8216.1049595226868</v>
      </c>
      <c r="Q313" s="75">
        <v>5.743805301389745E-8</v>
      </c>
      <c r="R313" s="61">
        <f t="shared" si="2"/>
        <v>3.7720660149586755E-8</v>
      </c>
      <c r="S313" s="61">
        <f t="shared" si="3"/>
        <v>1.9717392864310702E-8</v>
      </c>
      <c r="T313" s="61">
        <v>2.8436592335105245E-9</v>
      </c>
      <c r="U313" s="61">
        <v>6.0281712247407972E-8</v>
      </c>
      <c r="BA313" s="86"/>
      <c r="BB313" s="86"/>
      <c r="BC313" s="86"/>
      <c r="BD313" s="86"/>
      <c r="BE313" s="86"/>
      <c r="BF313" s="86"/>
    </row>
    <row r="314" spans="1:58" hidden="1" outlineLevel="1" x14ac:dyDescent="0.2">
      <c r="A314"/>
      <c r="B314"/>
      <c r="C314" s="162" t="str">
        <v>LMA: enlace microondas Ethernet: 30</v>
      </c>
      <c r="D314" s="162" t="str">
        <v>LMA IP Mbytes de tráfico</v>
      </c>
      <c r="E314"/>
      <c r="F314" s="64">
        <f t="array" ref="F314">SUMPRODUCT(TRANSPOSE($F$6:$F$55),F108:BC108)</f>
        <v>136295149112.58957</v>
      </c>
      <c r="G314"/>
      <c r="H314" s="163">
        <v>308360.26936747774</v>
      </c>
      <c r="I314"/>
      <c r="J314" s="192">
        <v>0</v>
      </c>
      <c r="K314" s="735">
        <v>204517.34841108919</v>
      </c>
      <c r="L314" s="735">
        <v>106905.5761536754</v>
      </c>
      <c r="M314" s="192">
        <v>311422.9245647646</v>
      </c>
      <c r="N314" s="67">
        <v>15418.013468373887</v>
      </c>
      <c r="O314" s="64">
        <v>326840.93803313852</v>
      </c>
      <c r="Q314" s="75">
        <v>2.2849156891673885E-6</v>
      </c>
      <c r="R314" s="61">
        <f t="shared" si="2"/>
        <v>1.5005475230974156E-6</v>
      </c>
      <c r="S314" s="61">
        <f t="shared" si="3"/>
        <v>7.8436816606997307E-7</v>
      </c>
      <c r="T314" s="61">
        <v>1.1312224660055584E-7</v>
      </c>
      <c r="U314" s="61">
        <v>2.3980379357679449E-6</v>
      </c>
      <c r="BA314" s="86"/>
      <c r="BB314" s="86"/>
      <c r="BC314" s="86"/>
      <c r="BD314" s="86"/>
      <c r="BE314" s="86"/>
      <c r="BF314" s="86"/>
    </row>
    <row r="315" spans="1:58" hidden="1" outlineLevel="1" x14ac:dyDescent="0.2">
      <c r="A315"/>
      <c r="B315"/>
      <c r="C315" s="162" t="str">
        <v>LMA: enlace microondas Ethernet: 100</v>
      </c>
      <c r="D315" s="162" t="str">
        <v>LMA IP Mbytes de tráfico</v>
      </c>
      <c r="E315"/>
      <c r="F315" s="64">
        <f t="array" ref="F315">SUMPRODUCT(TRANSPOSE($F$6:$F$55),F109:BC109)</f>
        <v>136295149112.58957</v>
      </c>
      <c r="G315"/>
      <c r="H315" s="163">
        <v>9261795.6308523677</v>
      </c>
      <c r="I315"/>
      <c r="J315" s="192">
        <v>0</v>
      </c>
      <c r="K315" s="735">
        <v>6142807.852103645</v>
      </c>
      <c r="L315" s="735">
        <v>3210976.5637605651</v>
      </c>
      <c r="M315" s="192">
        <v>9353784.4158642087</v>
      </c>
      <c r="N315" s="67">
        <v>463089.78154261841</v>
      </c>
      <c r="O315" s="64">
        <v>9816874.1974068265</v>
      </c>
      <c r="Q315" s="75">
        <v>6.8628887211072439E-5</v>
      </c>
      <c r="R315" s="61">
        <f t="shared" si="2"/>
        <v>4.506989347822823E-5</v>
      </c>
      <c r="S315" s="61">
        <f t="shared" si="3"/>
        <v>2.3558993732844212E-5</v>
      </c>
      <c r="T315" s="61">
        <v>3.3976981907116374E-6</v>
      </c>
      <c r="U315" s="61">
        <v>7.2026585401784073E-5</v>
      </c>
      <c r="BA315" s="86"/>
      <c r="BB315" s="86"/>
      <c r="BC315" s="86"/>
      <c r="BD315" s="86"/>
      <c r="BE315" s="86"/>
      <c r="BF315" s="86"/>
    </row>
    <row r="316" spans="1:58" hidden="1" outlineLevel="1" x14ac:dyDescent="0.2">
      <c r="A316"/>
      <c r="B316"/>
      <c r="C316" s="162" t="str">
        <v>LMA: enlace de fibra propia</v>
      </c>
      <c r="D316" s="162" t="str">
        <v>LMA IP Mbytes de tráfico</v>
      </c>
      <c r="E316"/>
      <c r="F316" s="64">
        <f t="array" ref="F316">SUMPRODUCT(TRANSPOSE($F$6:$F$55),F110:BC110)</f>
        <v>136295149112.58957</v>
      </c>
      <c r="G316"/>
      <c r="H316" s="163">
        <v>2757144.0311501669</v>
      </c>
      <c r="I316"/>
      <c r="J316" s="192">
        <v>0</v>
      </c>
      <c r="K316" s="735">
        <v>1979409.3082657033</v>
      </c>
      <c r="L316" s="735">
        <v>805118.86518655566</v>
      </c>
      <c r="M316" s="192">
        <v>2784528.173452259</v>
      </c>
      <c r="N316" s="67">
        <v>137857.20155750835</v>
      </c>
      <c r="O316" s="64">
        <v>2922385.3750097672</v>
      </c>
      <c r="Q316" s="75">
        <v>2.0430134099285068E-5</v>
      </c>
      <c r="R316" s="61">
        <f t="shared" si="2"/>
        <v>1.4522962270877075E-5</v>
      </c>
      <c r="S316" s="61">
        <f t="shared" si="3"/>
        <v>5.9071718284079919E-6</v>
      </c>
      <c r="T316" s="61">
        <v>1.0114608073367924E-6</v>
      </c>
      <c r="U316" s="61">
        <v>2.1441594906621859E-5</v>
      </c>
      <c r="BA316" s="86"/>
      <c r="BB316" s="86"/>
      <c r="BC316" s="86"/>
      <c r="BD316" s="86"/>
      <c r="BE316" s="86"/>
      <c r="BF316" s="86"/>
    </row>
    <row r="317" spans="1:58" hidden="1" outlineLevel="1" x14ac:dyDescent="0.2">
      <c r="A317"/>
      <c r="B317"/>
      <c r="C317" s="162" t="str">
        <v>Hub to core: línea alquilada TDM:  8.45</v>
      </c>
      <c r="D317" s="162" t="str">
        <v>LMA PCM Mbytes de tráfico</v>
      </c>
      <c r="E317"/>
      <c r="F317" s="64">
        <f t="array" ref="F317">SUMPRODUCT(TRANSPOSE($F$6:$F$55),F111:BC111)</f>
        <v>136295149112.58957</v>
      </c>
      <c r="G317"/>
      <c r="H317" s="163">
        <v>0</v>
      </c>
      <c r="I317"/>
      <c r="J317" s="192">
        <v>0</v>
      </c>
      <c r="K317" s="735">
        <v>0</v>
      </c>
      <c r="L317" s="735">
        <v>0</v>
      </c>
      <c r="M317" s="192">
        <v>0</v>
      </c>
      <c r="N317" s="67">
        <v>0</v>
      </c>
      <c r="O317" s="64">
        <v>0</v>
      </c>
      <c r="Q317" s="75">
        <v>0</v>
      </c>
      <c r="R317" s="61">
        <f t="shared" si="2"/>
        <v>0</v>
      </c>
      <c r="S317" s="61">
        <f t="shared" si="3"/>
        <v>0</v>
      </c>
      <c r="T317" s="61">
        <v>0</v>
      </c>
      <c r="U317" s="61">
        <v>0</v>
      </c>
      <c r="BA317" s="86"/>
      <c r="BB317" s="86"/>
      <c r="BC317" s="86"/>
      <c r="BD317" s="86"/>
      <c r="BE317" s="86"/>
      <c r="BF317" s="86"/>
    </row>
    <row r="318" spans="1:58" hidden="1" outlineLevel="1" x14ac:dyDescent="0.2">
      <c r="A318"/>
      <c r="B318"/>
      <c r="C318" s="162" t="str">
        <v>Hub to core: línea alquilada TDM:  34.37</v>
      </c>
      <c r="D318" s="162" t="str">
        <v>LMA PCM Mbytes de tráfico</v>
      </c>
      <c r="E318"/>
      <c r="F318" s="64">
        <f t="array" ref="F318">SUMPRODUCT(TRANSPOSE($F$6:$F$55),F112:BC112)</f>
        <v>136295149112.58957</v>
      </c>
      <c r="G318"/>
      <c r="H318" s="163">
        <v>0</v>
      </c>
      <c r="I318"/>
      <c r="J318" s="192">
        <v>0</v>
      </c>
      <c r="K318" s="735">
        <v>0</v>
      </c>
      <c r="L318" s="735">
        <v>0</v>
      </c>
      <c r="M318" s="192">
        <v>0</v>
      </c>
      <c r="N318" s="67">
        <v>0</v>
      </c>
      <c r="O318" s="64">
        <v>0</v>
      </c>
      <c r="Q318" s="75">
        <v>0</v>
      </c>
      <c r="R318" s="61">
        <f t="shared" si="2"/>
        <v>0</v>
      </c>
      <c r="S318" s="61">
        <f t="shared" si="3"/>
        <v>0</v>
      </c>
      <c r="T318" s="61">
        <v>0</v>
      </c>
      <c r="U318" s="61">
        <v>0</v>
      </c>
      <c r="BA318" s="86"/>
      <c r="BB318" s="86"/>
      <c r="BC318" s="86"/>
      <c r="BD318" s="86"/>
      <c r="BE318" s="86"/>
      <c r="BF318" s="86"/>
    </row>
    <row r="319" spans="1:58" hidden="1" outlineLevel="1" x14ac:dyDescent="0.2">
      <c r="A319"/>
      <c r="B319"/>
      <c r="C319" s="162" t="str">
        <v>Hub to core: línea alquilada TDM:  155.52</v>
      </c>
      <c r="D319" s="162" t="str">
        <v>LMA PCM Mbytes de tráfico</v>
      </c>
      <c r="E319"/>
      <c r="F319" s="64">
        <f t="array" ref="F319">SUMPRODUCT(TRANSPOSE($F$6:$F$55),F113:BC113)</f>
        <v>136295149112.58957</v>
      </c>
      <c r="G319"/>
      <c r="H319" s="163">
        <v>0</v>
      </c>
      <c r="I319"/>
      <c r="J319" s="192">
        <v>0</v>
      </c>
      <c r="K319" s="735">
        <v>0</v>
      </c>
      <c r="L319" s="735">
        <v>0</v>
      </c>
      <c r="M319" s="192">
        <v>0</v>
      </c>
      <c r="N319" s="67">
        <v>0</v>
      </c>
      <c r="O319" s="64">
        <v>0</v>
      </c>
      <c r="Q319" s="75">
        <v>0</v>
      </c>
      <c r="R319" s="61">
        <f t="shared" si="2"/>
        <v>0</v>
      </c>
      <c r="S319" s="61">
        <f t="shared" si="3"/>
        <v>0</v>
      </c>
      <c r="T319" s="61">
        <v>0</v>
      </c>
      <c r="U319" s="61">
        <v>0</v>
      </c>
      <c r="BA319" s="86"/>
      <c r="BB319" s="86"/>
      <c r="BC319" s="86"/>
      <c r="BD319" s="86"/>
      <c r="BE319" s="86"/>
      <c r="BF319" s="86"/>
    </row>
    <row r="320" spans="1:58" hidden="1" outlineLevel="1" x14ac:dyDescent="0.2">
      <c r="A320"/>
      <c r="B320"/>
      <c r="C320" s="162" t="str">
        <v>Hub to core: línea alquilada Ethernet:  10</v>
      </c>
      <c r="D320" s="162" t="str">
        <v>LMA IP Mbytes de tráfico</v>
      </c>
      <c r="E320"/>
      <c r="F320" s="64">
        <f t="array" ref="F320">SUMPRODUCT(TRANSPOSE($F$6:$F$55),F114:BC114)</f>
        <v>136295149112.58957</v>
      </c>
      <c r="G320"/>
      <c r="H320" s="163">
        <v>0</v>
      </c>
      <c r="I320"/>
      <c r="J320" s="192">
        <v>0</v>
      </c>
      <c r="K320" s="735">
        <v>0</v>
      </c>
      <c r="L320" s="735">
        <v>0</v>
      </c>
      <c r="M320" s="192">
        <v>0</v>
      </c>
      <c r="N320" s="67">
        <v>0</v>
      </c>
      <c r="O320" s="64">
        <v>0</v>
      </c>
      <c r="Q320" s="75">
        <v>0</v>
      </c>
      <c r="R320" s="61">
        <f t="shared" si="2"/>
        <v>0</v>
      </c>
      <c r="S320" s="61">
        <f t="shared" si="3"/>
        <v>0</v>
      </c>
      <c r="T320" s="61">
        <v>0</v>
      </c>
      <c r="U320" s="61">
        <v>0</v>
      </c>
      <c r="BA320" s="86"/>
      <c r="BB320" s="86"/>
      <c r="BC320" s="86"/>
      <c r="BD320" s="86"/>
      <c r="BE320" s="86"/>
      <c r="BF320" s="86"/>
    </row>
    <row r="321" spans="1:58" hidden="1" outlineLevel="1" x14ac:dyDescent="0.2">
      <c r="A321"/>
      <c r="B321"/>
      <c r="C321" s="162" t="str">
        <v>Hub to core: línea alquilada Ethernet:  100</v>
      </c>
      <c r="D321" s="162" t="str">
        <v>LMA IP Mbytes de tráfico</v>
      </c>
      <c r="E321"/>
      <c r="F321" s="64">
        <f t="array" ref="F321">SUMPRODUCT(TRANSPOSE($F$6:$F$55),F115:BC115)</f>
        <v>136295149112.58957</v>
      </c>
      <c r="G321"/>
      <c r="H321" s="163">
        <v>0</v>
      </c>
      <c r="I321"/>
      <c r="J321" s="192">
        <v>0</v>
      </c>
      <c r="K321" s="735">
        <v>0</v>
      </c>
      <c r="L321" s="735">
        <v>0</v>
      </c>
      <c r="M321" s="192">
        <v>0</v>
      </c>
      <c r="N321" s="67">
        <v>0</v>
      </c>
      <c r="O321" s="64">
        <v>0</v>
      </c>
      <c r="Q321" s="75">
        <v>0</v>
      </c>
      <c r="R321" s="61">
        <f t="shared" si="2"/>
        <v>0</v>
      </c>
      <c r="S321" s="61">
        <f t="shared" si="3"/>
        <v>0</v>
      </c>
      <c r="T321" s="61">
        <v>0</v>
      </c>
      <c r="U321" s="61">
        <v>0</v>
      </c>
      <c r="BA321" s="86"/>
      <c r="BB321" s="86"/>
      <c r="BC321" s="86"/>
      <c r="BD321" s="86"/>
      <c r="BE321" s="86"/>
      <c r="BF321" s="86"/>
    </row>
    <row r="322" spans="1:58" hidden="1" outlineLevel="1" x14ac:dyDescent="0.2">
      <c r="A322"/>
      <c r="B322"/>
      <c r="C322" s="162" t="str">
        <v>Hub to core: línea alquilada Ethernet:  1024</v>
      </c>
      <c r="D322" s="162" t="str">
        <v>LMA IP Mbytes de tráfico</v>
      </c>
      <c r="E322"/>
      <c r="F322" s="64">
        <f t="array" ref="F322">SUMPRODUCT(TRANSPOSE($F$6:$F$55),F116:BC116)</f>
        <v>136295149112.58957</v>
      </c>
      <c r="G322"/>
      <c r="H322" s="163">
        <v>79026718.350505561</v>
      </c>
      <c r="I322"/>
      <c r="J322" s="192">
        <v>0</v>
      </c>
      <c r="K322" s="735">
        <v>703813.84978690336</v>
      </c>
      <c r="L322" s="735">
        <v>79107803.249760374</v>
      </c>
      <c r="M322" s="192">
        <v>79811617.099547267</v>
      </c>
      <c r="N322" s="67">
        <v>3951335.9175252784</v>
      </c>
      <c r="O322" s="64">
        <v>83762953.017072544</v>
      </c>
      <c r="Q322" s="75">
        <v>5.8557929331451951E-4</v>
      </c>
      <c r="R322" s="61">
        <f t="shared" si="2"/>
        <v>5.1638950789473995E-6</v>
      </c>
      <c r="S322" s="61">
        <f t="shared" si="3"/>
        <v>5.8041539823557226E-4</v>
      </c>
      <c r="T322" s="61">
        <v>2.8991023842390689E-5</v>
      </c>
      <c r="U322" s="61">
        <v>6.1457031715691026E-4</v>
      </c>
      <c r="BA322" s="86"/>
      <c r="BB322" s="86"/>
      <c r="BC322" s="86"/>
      <c r="BD322" s="86"/>
      <c r="BE322" s="86"/>
      <c r="BF322" s="86"/>
    </row>
    <row r="323" spans="1:58" hidden="1" outlineLevel="1" x14ac:dyDescent="0.2">
      <c r="A323"/>
      <c r="B323"/>
      <c r="C323" s="162" t="str">
        <v>Hub to Core puntos de acceso a anillos: 155.52</v>
      </c>
      <c r="D323" s="162" t="str">
        <v>LMA PCM Mbytes de tráfico</v>
      </c>
      <c r="E323"/>
      <c r="F323" s="64">
        <f t="array" ref="F323">SUMPRODUCT(TRANSPOSE($F$6:$F$55),F117:BC117)</f>
        <v>136295149112.58957</v>
      </c>
      <c r="G323"/>
      <c r="H323" s="163">
        <v>0</v>
      </c>
      <c r="I323"/>
      <c r="J323" s="192">
        <v>0</v>
      </c>
      <c r="K323" s="735">
        <v>0</v>
      </c>
      <c r="L323" s="735">
        <v>0</v>
      </c>
      <c r="M323" s="192">
        <v>0</v>
      </c>
      <c r="N323" s="67">
        <v>0</v>
      </c>
      <c r="O323" s="64">
        <v>0</v>
      </c>
      <c r="Q323" s="75">
        <v>0</v>
      </c>
      <c r="R323" s="61">
        <f t="shared" si="2"/>
        <v>0</v>
      </c>
      <c r="S323" s="61">
        <f t="shared" si="3"/>
        <v>0</v>
      </c>
      <c r="T323" s="61">
        <v>0</v>
      </c>
      <c r="U323" s="61">
        <v>0</v>
      </c>
      <c r="BA323" s="86"/>
      <c r="BB323" s="86"/>
      <c r="BC323" s="86"/>
      <c r="BD323" s="86"/>
      <c r="BE323" s="86"/>
      <c r="BF323" s="86"/>
    </row>
    <row r="324" spans="1:58" hidden="1" outlineLevel="1" x14ac:dyDescent="0.2">
      <c r="A324"/>
      <c r="B324"/>
      <c r="C324" s="162" t="str">
        <v>Hub to Core puntos de acceso a anillos: 622.08</v>
      </c>
      <c r="D324" s="162" t="str">
        <v>LMA PCM Mbytes de tráfico</v>
      </c>
      <c r="E324"/>
      <c r="F324" s="64">
        <f t="array" ref="F324">SUMPRODUCT(TRANSPOSE($F$6:$F$55),F118:BC118)</f>
        <v>136295149112.58957</v>
      </c>
      <c r="G324"/>
      <c r="H324" s="163">
        <v>0</v>
      </c>
      <c r="I324"/>
      <c r="J324" s="192">
        <v>0</v>
      </c>
      <c r="K324" s="735">
        <v>0</v>
      </c>
      <c r="L324" s="735">
        <v>0</v>
      </c>
      <c r="M324" s="192">
        <v>0</v>
      </c>
      <c r="N324" s="67">
        <v>0</v>
      </c>
      <c r="O324" s="64">
        <v>0</v>
      </c>
      <c r="Q324" s="75">
        <v>0</v>
      </c>
      <c r="R324" s="61">
        <f t="shared" si="2"/>
        <v>0</v>
      </c>
      <c r="S324" s="61">
        <f t="shared" si="3"/>
        <v>0</v>
      </c>
      <c r="T324" s="61">
        <v>0</v>
      </c>
      <c r="U324" s="61">
        <v>0</v>
      </c>
      <c r="BA324" s="86"/>
      <c r="BB324" s="86"/>
      <c r="BC324" s="86"/>
      <c r="BD324" s="86"/>
      <c r="BE324" s="86"/>
      <c r="BF324" s="86"/>
    </row>
    <row r="325" spans="1:58" hidden="1" outlineLevel="1" x14ac:dyDescent="0.2">
      <c r="A325"/>
      <c r="B325"/>
      <c r="C325" s="162" t="str">
        <v>Hub to Core puntos de acceso a anillos: 2488.32</v>
      </c>
      <c r="D325" s="162" t="str">
        <v>LMA PCM Mbytes de tráfico</v>
      </c>
      <c r="E325"/>
      <c r="F325" s="64">
        <f t="array" ref="F325">SUMPRODUCT(TRANSPOSE($F$6:$F$55),F119:BC119)</f>
        <v>136295149112.58957</v>
      </c>
      <c r="G325"/>
      <c r="H325" s="163">
        <v>0</v>
      </c>
      <c r="I325"/>
      <c r="J325" s="192">
        <v>0</v>
      </c>
      <c r="K325" s="735">
        <v>0</v>
      </c>
      <c r="L325" s="735">
        <v>0</v>
      </c>
      <c r="M325" s="192">
        <v>0</v>
      </c>
      <c r="N325" s="67">
        <v>0</v>
      </c>
      <c r="O325" s="64">
        <v>0</v>
      </c>
      <c r="Q325" s="75">
        <v>0</v>
      </c>
      <c r="R325" s="61">
        <f t="shared" si="2"/>
        <v>0</v>
      </c>
      <c r="S325" s="61">
        <f t="shared" si="3"/>
        <v>0</v>
      </c>
      <c r="T325" s="61">
        <v>0</v>
      </c>
      <c r="U325" s="61">
        <v>0</v>
      </c>
      <c r="BA325" s="86"/>
      <c r="BB325" s="86"/>
      <c r="BC325" s="86"/>
      <c r="BD325" s="86"/>
      <c r="BE325" s="86"/>
      <c r="BF325" s="86"/>
    </row>
    <row r="326" spans="1:58" hidden="1" outlineLevel="1" x14ac:dyDescent="0.2">
      <c r="A326"/>
      <c r="B326"/>
      <c r="C326" s="162" t="str">
        <v>Hub to Core punto de acceso a anillos: 1024</v>
      </c>
      <c r="D326" s="162" t="str">
        <v>LMA IP Mbytes de tráfico</v>
      </c>
      <c r="E326"/>
      <c r="F326" s="64">
        <f t="array" ref="F326">SUMPRODUCT(TRANSPOSE($F$6:$F$55),F120:BC120)</f>
        <v>136295149112.58957</v>
      </c>
      <c r="G326"/>
      <c r="H326" s="163">
        <v>0</v>
      </c>
      <c r="I326"/>
      <c r="J326" s="192">
        <v>0</v>
      </c>
      <c r="K326" s="735">
        <v>0</v>
      </c>
      <c r="L326" s="735">
        <v>0</v>
      </c>
      <c r="M326" s="192">
        <v>0</v>
      </c>
      <c r="N326" s="67">
        <v>0</v>
      </c>
      <c r="O326" s="64">
        <v>0</v>
      </c>
      <c r="Q326" s="75">
        <v>0</v>
      </c>
      <c r="R326" s="61">
        <f t="shared" si="2"/>
        <v>0</v>
      </c>
      <c r="S326" s="61">
        <f t="shared" si="3"/>
        <v>0</v>
      </c>
      <c r="T326" s="61">
        <v>0</v>
      </c>
      <c r="U326" s="61">
        <v>0</v>
      </c>
      <c r="BA326" s="86"/>
      <c r="BB326" s="86"/>
      <c r="BC326" s="86"/>
      <c r="BD326" s="86"/>
      <c r="BE326" s="86"/>
      <c r="BF326" s="86"/>
    </row>
    <row r="327" spans="1:58" hidden="1" outlineLevel="1" x14ac:dyDescent="0.2">
      <c r="A327"/>
      <c r="B327"/>
      <c r="C327" s="162" t="str">
        <v>Hub to Core punto de acceso a anillos: 2048</v>
      </c>
      <c r="D327" s="162" t="str">
        <v>LMA IP Mbytes de tráfico</v>
      </c>
      <c r="E327"/>
      <c r="F327" s="64">
        <f t="array" ref="F327">SUMPRODUCT(TRANSPOSE($F$6:$F$55),F121:BC121)</f>
        <v>136295149112.58957</v>
      </c>
      <c r="G327"/>
      <c r="H327" s="163">
        <v>0</v>
      </c>
      <c r="I327"/>
      <c r="J327" s="192">
        <v>0</v>
      </c>
      <c r="K327" s="735">
        <v>0</v>
      </c>
      <c r="L327" s="735">
        <v>0</v>
      </c>
      <c r="M327" s="192">
        <v>0</v>
      </c>
      <c r="N327" s="67">
        <v>0</v>
      </c>
      <c r="O327" s="64">
        <v>0</v>
      </c>
      <c r="Q327" s="75">
        <v>0</v>
      </c>
      <c r="R327" s="61">
        <f t="shared" si="2"/>
        <v>0</v>
      </c>
      <c r="S327" s="61">
        <f t="shared" si="3"/>
        <v>0</v>
      </c>
      <c r="T327" s="61">
        <v>0</v>
      </c>
      <c r="U327" s="61">
        <v>0</v>
      </c>
      <c r="BA327" s="86"/>
      <c r="BB327" s="86"/>
      <c r="BC327" s="86"/>
      <c r="BD327" s="86"/>
      <c r="BE327" s="86"/>
      <c r="BF327" s="86"/>
    </row>
    <row r="328" spans="1:58" hidden="1" outlineLevel="1" x14ac:dyDescent="0.2">
      <c r="A328"/>
      <c r="B328"/>
      <c r="C328" s="162" t="str">
        <v>Hub to Core punto de acceso a anillos: 10240</v>
      </c>
      <c r="D328" s="162" t="str">
        <v>LMA IP Mbytes de tráfico</v>
      </c>
      <c r="E328"/>
      <c r="F328" s="64">
        <f t="array" ref="F328">SUMPRODUCT(TRANSPOSE($F$6:$F$55),F122:BC122)</f>
        <v>136295149112.58957</v>
      </c>
      <c r="G328"/>
      <c r="H328" s="163">
        <v>0</v>
      </c>
      <c r="I328"/>
      <c r="J328" s="192">
        <v>0</v>
      </c>
      <c r="K328" s="735">
        <v>0</v>
      </c>
      <c r="L328" s="735">
        <v>0</v>
      </c>
      <c r="M328" s="192">
        <v>0</v>
      </c>
      <c r="N328" s="67">
        <v>0</v>
      </c>
      <c r="O328" s="64">
        <v>0</v>
      </c>
      <c r="Q328" s="75">
        <v>0</v>
      </c>
      <c r="R328" s="61">
        <f t="shared" si="2"/>
        <v>0</v>
      </c>
      <c r="S328" s="61">
        <f t="shared" si="3"/>
        <v>0</v>
      </c>
      <c r="T328" s="61">
        <v>0</v>
      </c>
      <c r="U328" s="61">
        <v>0</v>
      </c>
      <c r="BA328" s="86"/>
      <c r="BB328" s="86"/>
      <c r="BC328" s="86"/>
      <c r="BD328" s="86"/>
      <c r="BE328" s="86"/>
      <c r="BF328" s="86"/>
    </row>
    <row r="329" spans="1:58" hidden="1" outlineLevel="1" x14ac:dyDescent="0.2">
      <c r="A329"/>
      <c r="B329"/>
      <c r="C329" s="162" t="str">
        <v>Hub to Core - longitud de los anillos de fibra</v>
      </c>
      <c r="D329" s="162" t="str">
        <v>LMA IP Mbytes de tráfico</v>
      </c>
      <c r="E329"/>
      <c r="F329" s="64">
        <f t="array" ref="F329">SUMPRODUCT(TRANSPOSE($F$6:$F$55),F123:BC123)</f>
        <v>136295149112.58957</v>
      </c>
      <c r="G329"/>
      <c r="H329" s="163">
        <v>0</v>
      </c>
      <c r="I329"/>
      <c r="J329" s="192">
        <v>0</v>
      </c>
      <c r="K329" s="735">
        <v>0</v>
      </c>
      <c r="L329" s="735">
        <v>0</v>
      </c>
      <c r="M329" s="192">
        <v>0</v>
      </c>
      <c r="N329" s="67">
        <v>0</v>
      </c>
      <c r="O329" s="64">
        <v>0</v>
      </c>
      <c r="Q329" s="75">
        <v>0</v>
      </c>
      <c r="R329" s="61">
        <f t="shared" si="2"/>
        <v>0</v>
      </c>
      <c r="S329" s="61">
        <f t="shared" si="3"/>
        <v>0</v>
      </c>
      <c r="T329" s="61">
        <v>0</v>
      </c>
      <c r="U329" s="61">
        <v>0</v>
      </c>
      <c r="BA329" s="86"/>
      <c r="BB329" s="86"/>
      <c r="BC329" s="86"/>
      <c r="BD329" s="86"/>
      <c r="BE329" s="86"/>
      <c r="BF329" s="86"/>
    </row>
    <row r="330" spans="1:58" hidden="1" outlineLevel="1" x14ac:dyDescent="0.2">
      <c r="A330"/>
      <c r="B330"/>
      <c r="C330" s="162" t="str">
        <v>Sitios BSC remotos</v>
      </c>
      <c r="D330" s="162" t="str">
        <v>Minutos radio equivalentes GSM</v>
      </c>
      <c r="E330"/>
      <c r="F330" s="64">
        <f t="array" ref="F330">SUMPRODUCT(TRANSPOSE($F$6:$F$55),F124:BC124)</f>
        <v>150086252934.07236</v>
      </c>
      <c r="G330"/>
      <c r="H330" s="163">
        <v>0</v>
      </c>
      <c r="I330"/>
      <c r="J330" s="192">
        <v>0</v>
      </c>
      <c r="K330" s="735">
        <v>0</v>
      </c>
      <c r="L330" s="735">
        <v>0</v>
      </c>
      <c r="M330" s="192">
        <v>0</v>
      </c>
      <c r="N330" s="67">
        <v>0</v>
      </c>
      <c r="O330" s="64">
        <v>0</v>
      </c>
      <c r="Q330" s="75">
        <v>0</v>
      </c>
      <c r="R330" s="61">
        <f t="shared" si="2"/>
        <v>0</v>
      </c>
      <c r="S330" s="61">
        <f t="shared" si="3"/>
        <v>0</v>
      </c>
      <c r="T330" s="61">
        <v>0</v>
      </c>
      <c r="U330" s="61">
        <v>0</v>
      </c>
      <c r="BA330" s="86"/>
      <c r="BB330" s="86"/>
      <c r="BC330" s="86"/>
      <c r="BD330" s="86"/>
      <c r="BE330" s="86"/>
      <c r="BF330" s="86"/>
    </row>
    <row r="331" spans="1:58" hidden="1" outlineLevel="1" x14ac:dyDescent="0.2">
      <c r="A331"/>
      <c r="B331"/>
      <c r="C331" s="162" t="str">
        <v>Sitios RNC remotos</v>
      </c>
      <c r="D331" s="162" t="str">
        <v>Minutos radio equivalentes UMTS+HSPA</v>
      </c>
      <c r="E331"/>
      <c r="F331" s="64">
        <f t="array" ref="F331">SUMPRODUCT(TRANSPOSE($F$6:$F$55),F125:BC125)</f>
        <v>87867907594.693939</v>
      </c>
      <c r="G331"/>
      <c r="H331" s="163">
        <v>0</v>
      </c>
      <c r="I331"/>
      <c r="J331" s="192">
        <v>0</v>
      </c>
      <c r="K331" s="735">
        <v>0</v>
      </c>
      <c r="L331" s="735">
        <v>0</v>
      </c>
      <c r="M331" s="192">
        <v>0</v>
      </c>
      <c r="N331" s="67">
        <v>0</v>
      </c>
      <c r="O331" s="64">
        <v>0</v>
      </c>
      <c r="Q331" s="75">
        <v>0</v>
      </c>
      <c r="R331" s="61">
        <f t="shared" ref="R331:R362" si="4">IF(Network.element.output=0,0,$K$267:$K$466/Network.element.output)</f>
        <v>0</v>
      </c>
      <c r="S331" s="61">
        <f t="shared" ref="S331:S362" si="5">IF(Network.element.output=0,0,$L$267:$L$466/Network.element.output)</f>
        <v>0</v>
      </c>
      <c r="T331" s="61">
        <v>0</v>
      </c>
      <c r="U331" s="61">
        <v>0</v>
      </c>
      <c r="BA331" s="86"/>
      <c r="BB331" s="86"/>
      <c r="BC331" s="86"/>
      <c r="BD331" s="86"/>
      <c r="BE331" s="86"/>
      <c r="BF331" s="86"/>
    </row>
    <row r="332" spans="1:58" hidden="1" outlineLevel="1" x14ac:dyDescent="0.2">
      <c r="A332"/>
      <c r="B332"/>
      <c r="C332" s="162" t="str">
        <v>BSC: 2100</v>
      </c>
      <c r="D332" s="162" t="str">
        <v>Minutos radio equivalentes GSM</v>
      </c>
      <c r="E332"/>
      <c r="F332" s="64">
        <f t="array" ref="F332">SUMPRODUCT(TRANSPOSE($F$6:$F$55),F126:BC126)</f>
        <v>150086252934.07236</v>
      </c>
      <c r="G332"/>
      <c r="H332" s="163">
        <v>0</v>
      </c>
      <c r="I332"/>
      <c r="J332" s="192">
        <v>0</v>
      </c>
      <c r="K332" s="735">
        <v>0</v>
      </c>
      <c r="L332" s="735">
        <v>0</v>
      </c>
      <c r="M332" s="192">
        <v>0</v>
      </c>
      <c r="N332" s="67">
        <v>0</v>
      </c>
      <c r="O332" s="64">
        <v>0</v>
      </c>
      <c r="Q332" s="75">
        <v>0</v>
      </c>
      <c r="R332" s="61">
        <f t="shared" si="4"/>
        <v>0</v>
      </c>
      <c r="S332" s="61">
        <f t="shared" si="5"/>
        <v>0</v>
      </c>
      <c r="T332" s="61">
        <v>0</v>
      </c>
      <c r="U332" s="61">
        <v>0</v>
      </c>
      <c r="BA332" s="86"/>
      <c r="BB332" s="86"/>
      <c r="BC332" s="86"/>
      <c r="BD332" s="86"/>
      <c r="BE332" s="86"/>
      <c r="BF332" s="86"/>
    </row>
    <row r="333" spans="1:58" hidden="1" outlineLevel="1" x14ac:dyDescent="0.2">
      <c r="A333"/>
      <c r="B333"/>
      <c r="C333" s="162" t="str">
        <v>BSC: 4200</v>
      </c>
      <c r="D333" s="162" t="str">
        <v>Minutos radio equivalentes GSM</v>
      </c>
      <c r="E333"/>
      <c r="F333" s="64">
        <f t="array" ref="F333">SUMPRODUCT(TRANSPOSE($F$6:$F$55),F127:BC127)</f>
        <v>150086252934.07236</v>
      </c>
      <c r="G333"/>
      <c r="H333" s="163">
        <v>1997075.0373678857</v>
      </c>
      <c r="I333"/>
      <c r="J333" s="192">
        <v>0</v>
      </c>
      <c r="K333" s="735">
        <v>818677.55411312659</v>
      </c>
      <c r="L333" s="735">
        <v>1198232.5685435114</v>
      </c>
      <c r="M333" s="192">
        <v>2016910.122656638</v>
      </c>
      <c r="N333" s="67">
        <v>99853.751868394291</v>
      </c>
      <c r="O333" s="64">
        <v>2116763.8745250325</v>
      </c>
      <c r="Q333" s="75">
        <v>1.3438340175916018E-5</v>
      </c>
      <c r="R333" s="61">
        <f t="shared" si="4"/>
        <v>5.454713793626009E-6</v>
      </c>
      <c r="S333" s="61">
        <f t="shared" si="5"/>
        <v>7.98362638229001E-6</v>
      </c>
      <c r="T333" s="61">
        <v>6.653091133686744E-7</v>
      </c>
      <c r="U333" s="61">
        <v>1.4103649289284695E-5</v>
      </c>
      <c r="BA333" s="86"/>
      <c r="BB333" s="86"/>
      <c r="BC333" s="86"/>
      <c r="BD333" s="86"/>
      <c r="BE333" s="86"/>
      <c r="BF333" s="86"/>
    </row>
    <row r="334" spans="1:58" hidden="1" outlineLevel="1" x14ac:dyDescent="0.2">
      <c r="A334"/>
      <c r="B334"/>
      <c r="C334" s="162" t="str">
        <v>BSC: 8000</v>
      </c>
      <c r="D334" s="162" t="str">
        <v>Minutos radio equivalentes GSM</v>
      </c>
      <c r="E334"/>
      <c r="F334" s="64">
        <f t="array" ref="F334">SUMPRODUCT(TRANSPOSE($F$6:$F$55),F128:BC128)</f>
        <v>150086252934.07236</v>
      </c>
      <c r="G334"/>
      <c r="H334" s="163">
        <v>0</v>
      </c>
      <c r="I334"/>
      <c r="J334" s="192">
        <v>0</v>
      </c>
      <c r="K334" s="735">
        <v>0</v>
      </c>
      <c r="L334" s="735">
        <v>0</v>
      </c>
      <c r="M334" s="192">
        <v>0</v>
      </c>
      <c r="N334" s="67">
        <v>0</v>
      </c>
      <c r="O334" s="64">
        <v>0</v>
      </c>
      <c r="Q334" s="75">
        <v>0</v>
      </c>
      <c r="R334" s="61">
        <f t="shared" si="4"/>
        <v>0</v>
      </c>
      <c r="S334" s="61">
        <f t="shared" si="5"/>
        <v>0</v>
      </c>
      <c r="T334" s="61">
        <v>0</v>
      </c>
      <c r="U334" s="61">
        <v>0</v>
      </c>
      <c r="BA334" s="86"/>
      <c r="BB334" s="86"/>
      <c r="BC334" s="86"/>
      <c r="BD334" s="86"/>
      <c r="BE334" s="86"/>
      <c r="BF334" s="86"/>
    </row>
    <row r="335" spans="1:58" hidden="1" outlineLevel="1" x14ac:dyDescent="0.2">
      <c r="A335"/>
      <c r="B335"/>
      <c r="C335" s="162" t="str">
        <v>RNC: 1600</v>
      </c>
      <c r="D335" s="162" t="str">
        <v>Minutos radio equivalentes UMTS+HSPA</v>
      </c>
      <c r="E335"/>
      <c r="F335" s="64">
        <f t="array" ref="F335">SUMPRODUCT(TRANSPOSE($F$6:$F$55),F129:BC129)</f>
        <v>87867907594.693939</v>
      </c>
      <c r="G335"/>
      <c r="H335" s="163">
        <v>0</v>
      </c>
      <c r="I335"/>
      <c r="J335" s="192">
        <v>0</v>
      </c>
      <c r="K335" s="735">
        <v>0</v>
      </c>
      <c r="L335" s="735">
        <v>0</v>
      </c>
      <c r="M335" s="192">
        <v>0</v>
      </c>
      <c r="N335" s="67">
        <v>0</v>
      </c>
      <c r="O335" s="64">
        <v>0</v>
      </c>
      <c r="Q335" s="75">
        <v>0</v>
      </c>
      <c r="R335" s="61">
        <f t="shared" si="4"/>
        <v>0</v>
      </c>
      <c r="S335" s="61">
        <f t="shared" si="5"/>
        <v>0</v>
      </c>
      <c r="T335" s="61">
        <v>0</v>
      </c>
      <c r="U335" s="61">
        <v>0</v>
      </c>
      <c r="BA335" s="86"/>
      <c r="BB335" s="86"/>
      <c r="BC335" s="86"/>
      <c r="BD335" s="86"/>
      <c r="BE335" s="86"/>
      <c r="BF335" s="86"/>
    </row>
    <row r="336" spans="1:58" hidden="1" outlineLevel="1" x14ac:dyDescent="0.2">
      <c r="A336"/>
      <c r="B336"/>
      <c r="C336" s="162" t="str">
        <v>RNC: 2600</v>
      </c>
      <c r="D336" s="162" t="str">
        <v>Minutos radio equivalentes UMTS+HSPA</v>
      </c>
      <c r="E336"/>
      <c r="F336" s="64">
        <f t="array" ref="F336">SUMPRODUCT(TRANSPOSE($F$6:$F$55),F130:BC130)</f>
        <v>87867907594.693939</v>
      </c>
      <c r="G336"/>
      <c r="H336" s="163">
        <v>20369031.791449815</v>
      </c>
      <c r="I336"/>
      <c r="J336" s="192">
        <v>0</v>
      </c>
      <c r="K336" s="735">
        <v>7407082.6324520968</v>
      </c>
      <c r="L336" s="735">
        <v>13164255.77005286</v>
      </c>
      <c r="M336" s="192">
        <v>20571338.402504954</v>
      </c>
      <c r="N336" s="67">
        <v>1018451.5895724908</v>
      </c>
      <c r="O336" s="64">
        <v>21589789.992077444</v>
      </c>
      <c r="Q336" s="75">
        <v>2.3411662990080343E-4</v>
      </c>
      <c r="R336" s="61">
        <f t="shared" si="4"/>
        <v>8.4297928961943173E-5</v>
      </c>
      <c r="S336" s="61">
        <f t="shared" si="5"/>
        <v>1.4981870093886025E-4</v>
      </c>
      <c r="T336" s="61">
        <v>1.1590711756450108E-5</v>
      </c>
      <c r="U336" s="61">
        <v>2.457073416572535E-4</v>
      </c>
      <c r="BA336" s="86"/>
      <c r="BB336" s="86"/>
      <c r="BC336" s="86"/>
      <c r="BD336" s="86"/>
      <c r="BE336" s="86"/>
      <c r="BF336" s="86"/>
    </row>
    <row r="337" spans="1:58" hidden="1" outlineLevel="1" x14ac:dyDescent="0.2">
      <c r="A337"/>
      <c r="B337"/>
      <c r="C337" s="162" t="str">
        <v>RNC: 5000</v>
      </c>
      <c r="D337" s="162" t="str">
        <v>Minutos radio equivalentes UMTS+HSPA</v>
      </c>
      <c r="E337"/>
      <c r="F337" s="64">
        <f t="array" ref="F337">SUMPRODUCT(TRANSPOSE($F$6:$F$55),F131:BC131)</f>
        <v>87867907594.693939</v>
      </c>
      <c r="G337"/>
      <c r="H337" s="163">
        <v>0</v>
      </c>
      <c r="I337"/>
      <c r="J337" s="192">
        <v>0</v>
      </c>
      <c r="K337" s="735">
        <v>0</v>
      </c>
      <c r="L337" s="735">
        <v>0</v>
      </c>
      <c r="M337" s="192">
        <v>0</v>
      </c>
      <c r="N337" s="67">
        <v>0</v>
      </c>
      <c r="O337" s="64">
        <v>0</v>
      </c>
      <c r="Q337" s="75">
        <v>0</v>
      </c>
      <c r="R337" s="61">
        <f t="shared" si="4"/>
        <v>0</v>
      </c>
      <c r="S337" s="61">
        <f t="shared" si="5"/>
        <v>0</v>
      </c>
      <c r="T337" s="61">
        <v>0</v>
      </c>
      <c r="U337" s="61">
        <v>0</v>
      </c>
      <c r="BA337" s="86"/>
      <c r="BB337" s="86"/>
      <c r="BC337" s="86"/>
      <c r="BD337" s="86"/>
      <c r="BE337" s="86"/>
      <c r="BF337" s="86"/>
    </row>
    <row r="338" spans="1:58" hidden="1" outlineLevel="1" x14ac:dyDescent="0.2">
      <c r="A338"/>
      <c r="B338"/>
      <c r="C338" s="162" t="str">
        <v>BSC a Core punto de acceso: Voz: 8.45</v>
      </c>
      <c r="D338" s="162" t="str">
        <v>GSM solo voz radio y SMS</v>
      </c>
      <c r="E338"/>
      <c r="F338" s="64">
        <f t="array" ref="F338">SUMPRODUCT(TRANSPOSE($F$6:$F$55),F132:BC132)</f>
        <v>11861042563.42238</v>
      </c>
      <c r="G338"/>
      <c r="H338" s="163">
        <v>0</v>
      </c>
      <c r="I338"/>
      <c r="J338" s="192">
        <v>0</v>
      </c>
      <c r="K338" s="735">
        <v>0</v>
      </c>
      <c r="L338" s="735">
        <v>0</v>
      </c>
      <c r="M338" s="192">
        <v>0</v>
      </c>
      <c r="N338" s="67">
        <v>0</v>
      </c>
      <c r="O338" s="64">
        <v>0</v>
      </c>
      <c r="Q338" s="75">
        <v>0</v>
      </c>
      <c r="R338" s="61">
        <f t="shared" si="4"/>
        <v>0</v>
      </c>
      <c r="S338" s="61">
        <f t="shared" si="5"/>
        <v>0</v>
      </c>
      <c r="T338" s="61">
        <v>0</v>
      </c>
      <c r="U338" s="61">
        <v>0</v>
      </c>
      <c r="BA338" s="86"/>
      <c r="BB338" s="86"/>
      <c r="BC338" s="86"/>
      <c r="BD338" s="86"/>
      <c r="BE338" s="86"/>
      <c r="BF338" s="86"/>
    </row>
    <row r="339" spans="1:58" hidden="1" outlineLevel="1" x14ac:dyDescent="0.2">
      <c r="A339"/>
      <c r="B339"/>
      <c r="C339" s="162" t="str">
        <v>BSC a Core punto de acceso: Voz: 34.37</v>
      </c>
      <c r="D339" s="162" t="str">
        <v>GSM solo voz radio y SMS</v>
      </c>
      <c r="E339"/>
      <c r="F339" s="64">
        <f t="array" ref="F339">SUMPRODUCT(TRANSPOSE($F$6:$F$55),F133:BC133)</f>
        <v>11861042563.42238</v>
      </c>
      <c r="G339"/>
      <c r="H339" s="163">
        <v>0</v>
      </c>
      <c r="I339"/>
      <c r="J339" s="192">
        <v>0</v>
      </c>
      <c r="K339" s="735">
        <v>0</v>
      </c>
      <c r="L339" s="735">
        <v>0</v>
      </c>
      <c r="M339" s="192">
        <v>0</v>
      </c>
      <c r="N339" s="67">
        <v>0</v>
      </c>
      <c r="O339" s="64">
        <v>0</v>
      </c>
      <c r="Q339" s="75">
        <v>0</v>
      </c>
      <c r="R339" s="61">
        <f t="shared" si="4"/>
        <v>0</v>
      </c>
      <c r="S339" s="61">
        <f t="shared" si="5"/>
        <v>0</v>
      </c>
      <c r="T339" s="61">
        <v>0</v>
      </c>
      <c r="U339" s="61">
        <v>0</v>
      </c>
      <c r="BA339" s="86"/>
      <c r="BB339" s="86"/>
      <c r="BC339" s="86"/>
      <c r="BD339" s="86"/>
      <c r="BE339" s="86"/>
      <c r="BF339" s="86"/>
    </row>
    <row r="340" spans="1:58" hidden="1" outlineLevel="1" x14ac:dyDescent="0.2">
      <c r="A340"/>
      <c r="B340"/>
      <c r="C340" s="162" t="str">
        <v>BSC a Core punto de acceso: Voz: 155.52</v>
      </c>
      <c r="D340" s="162" t="str">
        <v>GSM solo voz radio y SMS</v>
      </c>
      <c r="E340"/>
      <c r="F340" s="64">
        <f t="array" ref="F340">SUMPRODUCT(TRANSPOSE($F$6:$F$55),F134:BC134)</f>
        <v>11861042563.42238</v>
      </c>
      <c r="G340"/>
      <c r="H340" s="163">
        <v>0</v>
      </c>
      <c r="I340"/>
      <c r="J340" s="192">
        <v>0</v>
      </c>
      <c r="K340" s="735">
        <v>0</v>
      </c>
      <c r="L340" s="735">
        <v>0</v>
      </c>
      <c r="M340" s="192">
        <v>0</v>
      </c>
      <c r="N340" s="67">
        <v>0</v>
      </c>
      <c r="O340" s="64">
        <v>0</v>
      </c>
      <c r="Q340" s="75">
        <v>0</v>
      </c>
      <c r="R340" s="61">
        <f t="shared" si="4"/>
        <v>0</v>
      </c>
      <c r="S340" s="61">
        <f t="shared" si="5"/>
        <v>0</v>
      </c>
      <c r="T340" s="61">
        <v>0</v>
      </c>
      <c r="U340" s="61">
        <v>0</v>
      </c>
      <c r="BA340" s="86"/>
      <c r="BB340" s="86"/>
      <c r="BC340" s="86"/>
      <c r="BD340" s="86"/>
      <c r="BE340" s="86"/>
      <c r="BF340" s="86"/>
    </row>
    <row r="341" spans="1:58" hidden="1" outlineLevel="1" x14ac:dyDescent="0.2">
      <c r="A341"/>
      <c r="B341"/>
      <c r="C341" s="162" t="str">
        <v>BSC a Core punto de acceso: Voz: 30</v>
      </c>
      <c r="D341" s="162" t="str">
        <v>GSM solo voz radio y SMS</v>
      </c>
      <c r="E341"/>
      <c r="F341" s="64">
        <f t="array" ref="F341">SUMPRODUCT(TRANSPOSE($F$6:$F$55),F135:BC135)</f>
        <v>11861042563.42238</v>
      </c>
      <c r="G341"/>
      <c r="H341" s="163">
        <v>0</v>
      </c>
      <c r="I341"/>
      <c r="J341" s="192">
        <v>0</v>
      </c>
      <c r="K341" s="735">
        <v>0</v>
      </c>
      <c r="L341" s="735">
        <v>0</v>
      </c>
      <c r="M341" s="192">
        <v>0</v>
      </c>
      <c r="N341" s="67">
        <v>0</v>
      </c>
      <c r="O341" s="64">
        <v>0</v>
      </c>
      <c r="Q341" s="75">
        <v>0</v>
      </c>
      <c r="R341" s="61">
        <f t="shared" si="4"/>
        <v>0</v>
      </c>
      <c r="S341" s="61">
        <f t="shared" si="5"/>
        <v>0</v>
      </c>
      <c r="T341" s="61">
        <v>0</v>
      </c>
      <c r="U341" s="61">
        <v>0</v>
      </c>
      <c r="BA341" s="86"/>
      <c r="BB341" s="86"/>
      <c r="BC341" s="86"/>
      <c r="BD341" s="86"/>
      <c r="BE341" s="86"/>
      <c r="BF341" s="86"/>
    </row>
    <row r="342" spans="1:58" hidden="1" outlineLevel="1" x14ac:dyDescent="0.2">
      <c r="A342"/>
      <c r="B342"/>
      <c r="C342" s="162" t="str">
        <v>BSC a Core punto de acceso: Voz: 100</v>
      </c>
      <c r="D342" s="162" t="str">
        <v>GSM solo voz radio y SMS</v>
      </c>
      <c r="E342"/>
      <c r="F342" s="64">
        <f t="array" ref="F342">SUMPRODUCT(TRANSPOSE($F$6:$F$55),F136:BC136)</f>
        <v>11861042563.42238</v>
      </c>
      <c r="G342"/>
      <c r="H342" s="163">
        <v>0</v>
      </c>
      <c r="I342"/>
      <c r="J342" s="192">
        <v>0</v>
      </c>
      <c r="K342" s="735">
        <v>0</v>
      </c>
      <c r="L342" s="735">
        <v>0</v>
      </c>
      <c r="M342" s="192">
        <v>0</v>
      </c>
      <c r="N342" s="67">
        <v>0</v>
      </c>
      <c r="O342" s="64">
        <v>0</v>
      </c>
      <c r="Q342" s="75">
        <v>0</v>
      </c>
      <c r="R342" s="61">
        <f t="shared" si="4"/>
        <v>0</v>
      </c>
      <c r="S342" s="61">
        <f t="shared" si="5"/>
        <v>0</v>
      </c>
      <c r="T342" s="61">
        <v>0</v>
      </c>
      <c r="U342" s="61">
        <v>0</v>
      </c>
      <c r="BA342" s="86"/>
      <c r="BB342" s="86"/>
      <c r="BC342" s="86"/>
      <c r="BD342" s="86"/>
      <c r="BE342" s="86"/>
      <c r="BF342" s="86"/>
    </row>
    <row r="343" spans="1:58" hidden="1" outlineLevel="1" x14ac:dyDescent="0.2">
      <c r="A343"/>
      <c r="B343"/>
      <c r="C343" s="162" t="str">
        <v>BSC a Core punto de acceso: Voz: 1024</v>
      </c>
      <c r="D343" s="162" t="str">
        <v>GSM solo voz radio y SMS</v>
      </c>
      <c r="E343"/>
      <c r="F343" s="64">
        <f t="array" ref="F343">SUMPRODUCT(TRANSPOSE($F$6:$F$55),F137:BC137)</f>
        <v>11861042563.42238</v>
      </c>
      <c r="G343"/>
      <c r="H343" s="163">
        <v>0</v>
      </c>
      <c r="I343"/>
      <c r="J343" s="192">
        <v>0</v>
      </c>
      <c r="K343" s="735">
        <v>0</v>
      </c>
      <c r="L343" s="735">
        <v>0</v>
      </c>
      <c r="M343" s="192">
        <v>0</v>
      </c>
      <c r="N343" s="67">
        <v>0</v>
      </c>
      <c r="O343" s="64">
        <v>0</v>
      </c>
      <c r="Q343" s="75">
        <v>0</v>
      </c>
      <c r="R343" s="61">
        <f t="shared" si="4"/>
        <v>0</v>
      </c>
      <c r="S343" s="61">
        <f t="shared" si="5"/>
        <v>0</v>
      </c>
      <c r="T343" s="61">
        <v>0</v>
      </c>
      <c r="U343" s="61">
        <v>0</v>
      </c>
      <c r="BA343" s="86"/>
      <c r="BB343" s="86"/>
      <c r="BC343" s="86"/>
      <c r="BD343" s="86"/>
      <c r="BE343" s="86"/>
      <c r="BF343" s="86"/>
    </row>
    <row r="344" spans="1:58" hidden="1" outlineLevel="1" x14ac:dyDescent="0.2">
      <c r="A344"/>
      <c r="B344"/>
      <c r="C344" s="162" t="str">
        <v>BSC a Core punto de acceso: Datos: 8.45</v>
      </c>
      <c r="D344" s="162" t="str">
        <v>GSM tráfico de datos solo</v>
      </c>
      <c r="E344"/>
      <c r="F344" s="64">
        <f t="array" ref="F344">SUMPRODUCT(TRANSPOSE($F$6:$F$55),F138:BC138)</f>
        <v>30992071983.579018</v>
      </c>
      <c r="G344"/>
      <c r="H344" s="163">
        <v>0</v>
      </c>
      <c r="I344"/>
      <c r="J344" s="192">
        <v>0</v>
      </c>
      <c r="K344" s="735">
        <v>0</v>
      </c>
      <c r="L344" s="735">
        <v>0</v>
      </c>
      <c r="M344" s="192">
        <v>0</v>
      </c>
      <c r="N344" s="67">
        <v>0</v>
      </c>
      <c r="O344" s="64">
        <v>0</v>
      </c>
      <c r="Q344" s="75">
        <v>0</v>
      </c>
      <c r="R344" s="61">
        <f t="shared" si="4"/>
        <v>0</v>
      </c>
      <c r="S344" s="61">
        <f t="shared" si="5"/>
        <v>0</v>
      </c>
      <c r="T344" s="61">
        <v>0</v>
      </c>
      <c r="U344" s="61">
        <v>0</v>
      </c>
      <c r="BA344" s="86"/>
      <c r="BB344" s="86"/>
      <c r="BC344" s="86"/>
      <c r="BD344" s="86"/>
      <c r="BE344" s="86"/>
      <c r="BF344" s="86"/>
    </row>
    <row r="345" spans="1:58" hidden="1" outlineLevel="1" x14ac:dyDescent="0.2">
      <c r="A345"/>
      <c r="B345"/>
      <c r="C345" s="162" t="str">
        <v>BSC a Core punto de acceso: Datos: 34.37</v>
      </c>
      <c r="D345" s="162" t="str">
        <v>GSM tráfico de datos solo</v>
      </c>
      <c r="E345"/>
      <c r="F345" s="64">
        <f t="array" ref="F345">SUMPRODUCT(TRANSPOSE($F$6:$F$55),F139:BC139)</f>
        <v>30992071983.579018</v>
      </c>
      <c r="G345"/>
      <c r="H345" s="163">
        <v>0</v>
      </c>
      <c r="I345"/>
      <c r="J345" s="192">
        <v>0</v>
      </c>
      <c r="K345" s="735">
        <v>0</v>
      </c>
      <c r="L345" s="735">
        <v>0</v>
      </c>
      <c r="M345" s="192">
        <v>0</v>
      </c>
      <c r="N345" s="67">
        <v>0</v>
      </c>
      <c r="O345" s="64">
        <v>0</v>
      </c>
      <c r="Q345" s="75">
        <v>0</v>
      </c>
      <c r="R345" s="61">
        <f t="shared" si="4"/>
        <v>0</v>
      </c>
      <c r="S345" s="61">
        <f t="shared" si="5"/>
        <v>0</v>
      </c>
      <c r="T345" s="61">
        <v>0</v>
      </c>
      <c r="U345" s="61">
        <v>0</v>
      </c>
      <c r="BA345" s="86"/>
      <c r="BB345" s="86"/>
      <c r="BC345" s="86"/>
      <c r="BD345" s="86"/>
      <c r="BE345" s="86"/>
      <c r="BF345" s="86"/>
    </row>
    <row r="346" spans="1:58" hidden="1" outlineLevel="1" x14ac:dyDescent="0.2">
      <c r="A346"/>
      <c r="B346"/>
      <c r="C346" s="162" t="str">
        <v>BSC a Core punto de acceso: Datos: 155.52</v>
      </c>
      <c r="D346" s="162" t="str">
        <v>GSM tráfico de datos solo</v>
      </c>
      <c r="E346"/>
      <c r="F346" s="64">
        <f t="array" ref="F346">SUMPRODUCT(TRANSPOSE($F$6:$F$55),F140:BC140)</f>
        <v>30992071983.579018</v>
      </c>
      <c r="G346"/>
      <c r="H346" s="163">
        <v>0</v>
      </c>
      <c r="I346"/>
      <c r="J346" s="192">
        <v>0</v>
      </c>
      <c r="K346" s="735">
        <v>0</v>
      </c>
      <c r="L346" s="735">
        <v>0</v>
      </c>
      <c r="M346" s="192">
        <v>0</v>
      </c>
      <c r="N346" s="67">
        <v>0</v>
      </c>
      <c r="O346" s="64">
        <v>0</v>
      </c>
      <c r="Q346" s="75">
        <v>0</v>
      </c>
      <c r="R346" s="61">
        <f t="shared" si="4"/>
        <v>0</v>
      </c>
      <c r="S346" s="61">
        <f t="shared" si="5"/>
        <v>0</v>
      </c>
      <c r="T346" s="61">
        <v>0</v>
      </c>
      <c r="U346" s="61">
        <v>0</v>
      </c>
      <c r="BA346" s="86"/>
      <c r="BB346" s="86"/>
      <c r="BC346" s="86"/>
      <c r="BD346" s="86"/>
      <c r="BE346" s="86"/>
      <c r="BF346" s="86"/>
    </row>
    <row r="347" spans="1:58" hidden="1" outlineLevel="1" x14ac:dyDescent="0.2">
      <c r="A347"/>
      <c r="B347"/>
      <c r="C347" s="162" t="str">
        <v>BSC a Core punto de acceso: Datos: 30</v>
      </c>
      <c r="D347" s="162" t="str">
        <v>GSM tráfico de datos solo</v>
      </c>
      <c r="E347"/>
      <c r="F347" s="64">
        <f t="array" ref="F347">SUMPRODUCT(TRANSPOSE($F$6:$F$55),F141:BC141)</f>
        <v>30992071983.579018</v>
      </c>
      <c r="G347"/>
      <c r="H347" s="163">
        <v>0</v>
      </c>
      <c r="I347"/>
      <c r="J347" s="192">
        <v>0</v>
      </c>
      <c r="K347" s="735">
        <v>0</v>
      </c>
      <c r="L347" s="735">
        <v>0</v>
      </c>
      <c r="M347" s="192">
        <v>0</v>
      </c>
      <c r="N347" s="67">
        <v>0</v>
      </c>
      <c r="O347" s="64">
        <v>0</v>
      </c>
      <c r="Q347" s="75">
        <v>0</v>
      </c>
      <c r="R347" s="61">
        <f t="shared" si="4"/>
        <v>0</v>
      </c>
      <c r="S347" s="61">
        <f t="shared" si="5"/>
        <v>0</v>
      </c>
      <c r="T347" s="61">
        <v>0</v>
      </c>
      <c r="U347" s="61">
        <v>0</v>
      </c>
      <c r="BA347" s="86"/>
      <c r="BB347" s="86"/>
      <c r="BC347" s="86"/>
      <c r="BD347" s="86"/>
      <c r="BE347" s="86"/>
      <c r="BF347" s="86"/>
    </row>
    <row r="348" spans="1:58" hidden="1" outlineLevel="1" x14ac:dyDescent="0.2">
      <c r="A348"/>
      <c r="B348"/>
      <c r="C348" s="162" t="str">
        <v>BSC a Core punto de acceso: Datos: 100</v>
      </c>
      <c r="D348" s="162" t="str">
        <v>GSM tráfico de datos solo</v>
      </c>
      <c r="E348"/>
      <c r="F348" s="64">
        <f t="array" ref="F348">SUMPRODUCT(TRANSPOSE($F$6:$F$55),F142:BC142)</f>
        <v>30992071983.579018</v>
      </c>
      <c r="G348"/>
      <c r="H348" s="163">
        <v>0</v>
      </c>
      <c r="I348"/>
      <c r="J348" s="192">
        <v>0</v>
      </c>
      <c r="K348" s="735">
        <v>0</v>
      </c>
      <c r="L348" s="735">
        <v>0</v>
      </c>
      <c r="M348" s="192">
        <v>0</v>
      </c>
      <c r="N348" s="67">
        <v>0</v>
      </c>
      <c r="O348" s="64">
        <v>0</v>
      </c>
      <c r="Q348" s="75">
        <v>0</v>
      </c>
      <c r="R348" s="61">
        <f t="shared" si="4"/>
        <v>0</v>
      </c>
      <c r="S348" s="61">
        <f t="shared" si="5"/>
        <v>0</v>
      </c>
      <c r="T348" s="61">
        <v>0</v>
      </c>
      <c r="U348" s="61">
        <v>0</v>
      </c>
      <c r="BA348" s="86"/>
      <c r="BB348" s="86"/>
      <c r="BC348" s="86"/>
      <c r="BD348" s="86"/>
      <c r="BE348" s="86"/>
      <c r="BF348" s="86"/>
    </row>
    <row r="349" spans="1:58" hidden="1" outlineLevel="1" x14ac:dyDescent="0.2">
      <c r="A349"/>
      <c r="B349"/>
      <c r="C349" s="162" t="str">
        <v>BSC a Core punto de acceso: Datos: 1024</v>
      </c>
      <c r="D349" s="162" t="str">
        <v>GSM tráfico de datos solo</v>
      </c>
      <c r="E349"/>
      <c r="F349" s="64">
        <f t="array" ref="F349">SUMPRODUCT(TRANSPOSE($F$6:$F$55),F143:BC143)</f>
        <v>30992071983.579018</v>
      </c>
      <c r="G349"/>
      <c r="H349" s="163">
        <v>0</v>
      </c>
      <c r="I349"/>
      <c r="J349" s="192">
        <v>0</v>
      </c>
      <c r="K349" s="735">
        <v>0</v>
      </c>
      <c r="L349" s="735">
        <v>0</v>
      </c>
      <c r="M349" s="192">
        <v>0</v>
      </c>
      <c r="N349" s="67">
        <v>0</v>
      </c>
      <c r="O349" s="64">
        <v>0</v>
      </c>
      <c r="Q349" s="75">
        <v>0</v>
      </c>
      <c r="R349" s="61">
        <f t="shared" si="4"/>
        <v>0</v>
      </c>
      <c r="S349" s="61">
        <f t="shared" si="5"/>
        <v>0</v>
      </c>
      <c r="T349" s="61">
        <v>0</v>
      </c>
      <c r="U349" s="61">
        <v>0</v>
      </c>
      <c r="BA349" s="86"/>
      <c r="BB349" s="86"/>
      <c r="BC349" s="86"/>
      <c r="BD349" s="86"/>
      <c r="BE349" s="86"/>
      <c r="BF349" s="86"/>
    </row>
    <row r="350" spans="1:58" hidden="1" outlineLevel="1" x14ac:dyDescent="0.2">
      <c r="A350"/>
      <c r="B350"/>
      <c r="C350" s="162" t="str">
        <v>RNC a Core punto de acceso: Voz: 34.4</v>
      </c>
      <c r="D350" s="162" t="str">
        <v>UMTS solo voz radio y SMS</v>
      </c>
      <c r="E350"/>
      <c r="F350" s="64">
        <f t="array" ref="F350">SUMPRODUCT(TRANSPOSE($F$6:$F$55),F144:BC144)</f>
        <v>46252056890.98336</v>
      </c>
      <c r="G350"/>
      <c r="H350" s="163">
        <v>0</v>
      </c>
      <c r="I350"/>
      <c r="J350" s="192">
        <v>0</v>
      </c>
      <c r="K350" s="735">
        <v>0</v>
      </c>
      <c r="L350" s="735">
        <v>0</v>
      </c>
      <c r="M350" s="192">
        <v>0</v>
      </c>
      <c r="N350" s="67">
        <v>0</v>
      </c>
      <c r="O350" s="64">
        <v>0</v>
      </c>
      <c r="Q350" s="75">
        <v>0</v>
      </c>
      <c r="R350" s="61">
        <f t="shared" si="4"/>
        <v>0</v>
      </c>
      <c r="S350" s="61">
        <f t="shared" si="5"/>
        <v>0</v>
      </c>
      <c r="T350" s="61">
        <v>0</v>
      </c>
      <c r="U350" s="61">
        <v>0</v>
      </c>
      <c r="BA350" s="86"/>
      <c r="BB350" s="86"/>
      <c r="BC350" s="86"/>
      <c r="BD350" s="86"/>
      <c r="BE350" s="86"/>
      <c r="BF350" s="86"/>
    </row>
    <row r="351" spans="1:58" hidden="1" outlineLevel="1" x14ac:dyDescent="0.2">
      <c r="A351"/>
      <c r="B351"/>
      <c r="C351" s="162" t="str">
        <v>RNC a Core punto de acceso: Voz: 155.52</v>
      </c>
      <c r="D351" s="162" t="str">
        <v>UMTS solo voz radio y SMS</v>
      </c>
      <c r="E351"/>
      <c r="F351" s="64">
        <f t="array" ref="F351">SUMPRODUCT(TRANSPOSE($F$6:$F$55),F145:BC145)</f>
        <v>46252056890.98336</v>
      </c>
      <c r="G351"/>
      <c r="H351" s="163">
        <v>0</v>
      </c>
      <c r="I351"/>
      <c r="J351" s="192">
        <v>0</v>
      </c>
      <c r="K351" s="735">
        <v>0</v>
      </c>
      <c r="L351" s="735">
        <v>0</v>
      </c>
      <c r="M351" s="192">
        <v>0</v>
      </c>
      <c r="N351" s="67">
        <v>0</v>
      </c>
      <c r="O351" s="64">
        <v>0</v>
      </c>
      <c r="Q351" s="75">
        <v>0</v>
      </c>
      <c r="R351" s="61">
        <f t="shared" si="4"/>
        <v>0</v>
      </c>
      <c r="S351" s="61">
        <f t="shared" si="5"/>
        <v>0</v>
      </c>
      <c r="T351" s="61">
        <v>0</v>
      </c>
      <c r="U351" s="61">
        <v>0</v>
      </c>
      <c r="BA351" s="86"/>
      <c r="BB351" s="86"/>
      <c r="BC351" s="86"/>
      <c r="BD351" s="86"/>
      <c r="BE351" s="86"/>
      <c r="BF351" s="86"/>
    </row>
    <row r="352" spans="1:58" hidden="1" outlineLevel="1" x14ac:dyDescent="0.2">
      <c r="A352"/>
      <c r="B352"/>
      <c r="C352" s="162" t="str">
        <v>RNC a Core punto de acceso: Voz: 622.08</v>
      </c>
      <c r="D352" s="162" t="str">
        <v>UMTS solo voz radio y SMS</v>
      </c>
      <c r="E352"/>
      <c r="F352" s="64">
        <f t="array" ref="F352">SUMPRODUCT(TRANSPOSE($F$6:$F$55),F146:BC146)</f>
        <v>46252056890.98336</v>
      </c>
      <c r="G352"/>
      <c r="H352" s="163">
        <v>0</v>
      </c>
      <c r="I352"/>
      <c r="J352" s="192">
        <v>0</v>
      </c>
      <c r="K352" s="735">
        <v>0</v>
      </c>
      <c r="L352" s="735">
        <v>0</v>
      </c>
      <c r="M352" s="192">
        <v>0</v>
      </c>
      <c r="N352" s="67">
        <v>0</v>
      </c>
      <c r="O352" s="64">
        <v>0</v>
      </c>
      <c r="Q352" s="75">
        <v>0</v>
      </c>
      <c r="R352" s="61">
        <f t="shared" si="4"/>
        <v>0</v>
      </c>
      <c r="S352" s="61">
        <f t="shared" si="5"/>
        <v>0</v>
      </c>
      <c r="T352" s="61">
        <v>0</v>
      </c>
      <c r="U352" s="61">
        <v>0</v>
      </c>
      <c r="BA352" s="86"/>
      <c r="BB352" s="86"/>
      <c r="BC352" s="86"/>
      <c r="BD352" s="86"/>
      <c r="BE352" s="86"/>
      <c r="BF352" s="86"/>
    </row>
    <row r="353" spans="1:58" hidden="1" outlineLevel="1" x14ac:dyDescent="0.2">
      <c r="A353"/>
      <c r="B353"/>
      <c r="C353" s="162" t="str">
        <v>RNC a Core punto de acceso: Voz 100</v>
      </c>
      <c r="D353" s="162" t="str">
        <v>UMTS solo voz radio y SMS</v>
      </c>
      <c r="E353"/>
      <c r="F353" s="64">
        <f t="array" ref="F353">SUMPRODUCT(TRANSPOSE($F$6:$F$55),F147:BC147)</f>
        <v>46252056890.98336</v>
      </c>
      <c r="G353"/>
      <c r="H353" s="163">
        <v>0</v>
      </c>
      <c r="I353"/>
      <c r="J353" s="192">
        <v>0</v>
      </c>
      <c r="K353" s="735">
        <v>0</v>
      </c>
      <c r="L353" s="735">
        <v>0</v>
      </c>
      <c r="M353" s="192">
        <v>0</v>
      </c>
      <c r="N353" s="67">
        <v>0</v>
      </c>
      <c r="O353" s="64">
        <v>0</v>
      </c>
      <c r="Q353" s="75">
        <v>0</v>
      </c>
      <c r="R353" s="61">
        <f t="shared" si="4"/>
        <v>0</v>
      </c>
      <c r="S353" s="61">
        <f t="shared" si="5"/>
        <v>0</v>
      </c>
      <c r="T353" s="61">
        <v>0</v>
      </c>
      <c r="U353" s="61">
        <v>0</v>
      </c>
      <c r="BA353" s="86"/>
      <c r="BB353" s="86"/>
      <c r="BC353" s="86"/>
      <c r="BD353" s="86"/>
      <c r="BE353" s="86"/>
      <c r="BF353" s="86"/>
    </row>
    <row r="354" spans="1:58" hidden="1" outlineLevel="1" x14ac:dyDescent="0.2">
      <c r="A354"/>
      <c r="B354"/>
      <c r="C354" s="162" t="str">
        <v>RNC a Core punto de acceso: Voz 1024</v>
      </c>
      <c r="D354" s="162" t="str">
        <v>UMTS solo voz radio y SMS</v>
      </c>
      <c r="E354"/>
      <c r="F354" s="64">
        <f t="array" ref="F354">SUMPRODUCT(TRANSPOSE($F$6:$F$55),F148:BC148)</f>
        <v>46252056890.98336</v>
      </c>
      <c r="G354"/>
      <c r="H354" s="163">
        <v>0</v>
      </c>
      <c r="I354"/>
      <c r="J354" s="192">
        <v>0</v>
      </c>
      <c r="K354" s="735">
        <v>0</v>
      </c>
      <c r="L354" s="735">
        <v>0</v>
      </c>
      <c r="M354" s="192">
        <v>0</v>
      </c>
      <c r="N354" s="67">
        <v>0</v>
      </c>
      <c r="O354" s="64">
        <v>0</v>
      </c>
      <c r="Q354" s="75">
        <v>0</v>
      </c>
      <c r="R354" s="61">
        <f t="shared" si="4"/>
        <v>0</v>
      </c>
      <c r="S354" s="61">
        <f t="shared" si="5"/>
        <v>0</v>
      </c>
      <c r="T354" s="61">
        <v>0</v>
      </c>
      <c r="U354" s="61">
        <v>0</v>
      </c>
      <c r="BA354" s="86"/>
      <c r="BB354" s="86"/>
      <c r="BC354" s="86"/>
      <c r="BD354" s="86"/>
      <c r="BE354" s="86"/>
      <c r="BF354" s="86"/>
    </row>
    <row r="355" spans="1:58" hidden="1" outlineLevel="1" x14ac:dyDescent="0.2">
      <c r="A355"/>
      <c r="B355"/>
      <c r="C355" s="162" t="str">
        <v>RNC a Core punto de acceso: Voz 2488</v>
      </c>
      <c r="D355" s="162" t="str">
        <v>UMTS solo voz radio y SMS</v>
      </c>
      <c r="E355"/>
      <c r="F355" s="64">
        <f t="array" ref="F355">SUMPRODUCT(TRANSPOSE($F$6:$F$55),F149:BC149)</f>
        <v>46252056890.98336</v>
      </c>
      <c r="G355"/>
      <c r="H355" s="163">
        <v>0</v>
      </c>
      <c r="I355"/>
      <c r="J355" s="192">
        <v>0</v>
      </c>
      <c r="K355" s="735">
        <v>0</v>
      </c>
      <c r="L355" s="735">
        <v>0</v>
      </c>
      <c r="M355" s="192">
        <v>0</v>
      </c>
      <c r="N355" s="67">
        <v>0</v>
      </c>
      <c r="O355" s="64">
        <v>0</v>
      </c>
      <c r="Q355" s="75">
        <v>0</v>
      </c>
      <c r="R355" s="61">
        <f t="shared" si="4"/>
        <v>0</v>
      </c>
      <c r="S355" s="61">
        <f t="shared" si="5"/>
        <v>0</v>
      </c>
      <c r="T355" s="61">
        <v>0</v>
      </c>
      <c r="U355" s="61">
        <v>0</v>
      </c>
      <c r="BA355" s="86"/>
      <c r="BB355" s="86"/>
      <c r="BC355" s="86"/>
      <c r="BD355" s="86"/>
      <c r="BE355" s="86"/>
      <c r="BF355" s="86"/>
    </row>
    <row r="356" spans="1:58" hidden="1" outlineLevel="1" x14ac:dyDescent="0.2">
      <c r="A356"/>
      <c r="B356"/>
      <c r="C356" s="162" t="str">
        <v>RNC a Core punto de acceso: Datos: 34.4</v>
      </c>
      <c r="D356" s="162" t="str">
        <v>UMTS+HSPA solo tráfico de datos</v>
      </c>
      <c r="E356"/>
      <c r="F356" s="64">
        <f t="array" ref="F356">SUMPRODUCT(TRANSPOSE($F$6:$F$55),F150:BC150)</f>
        <v>77480179958.94754</v>
      </c>
      <c r="G356"/>
      <c r="H356" s="163">
        <v>0</v>
      </c>
      <c r="I356"/>
      <c r="J356" s="192">
        <v>0</v>
      </c>
      <c r="K356" s="735">
        <v>0</v>
      </c>
      <c r="L356" s="735">
        <v>0</v>
      </c>
      <c r="M356" s="192">
        <v>0</v>
      </c>
      <c r="N356" s="67">
        <v>0</v>
      </c>
      <c r="O356" s="64">
        <v>0</v>
      </c>
      <c r="Q356" s="75">
        <v>0</v>
      </c>
      <c r="R356" s="61">
        <f t="shared" si="4"/>
        <v>0</v>
      </c>
      <c r="S356" s="61">
        <f t="shared" si="5"/>
        <v>0</v>
      </c>
      <c r="T356" s="61">
        <v>0</v>
      </c>
      <c r="U356" s="61">
        <v>0</v>
      </c>
      <c r="BA356" s="86"/>
      <c r="BB356" s="86"/>
      <c r="BC356" s="86"/>
      <c r="BD356" s="86"/>
      <c r="BE356" s="86"/>
      <c r="BF356" s="86"/>
    </row>
    <row r="357" spans="1:58" hidden="1" outlineLevel="1" x14ac:dyDescent="0.2">
      <c r="A357"/>
      <c r="B357"/>
      <c r="C357" s="162" t="str">
        <v>RNC a Core punto de acceso: Datos: 155.52</v>
      </c>
      <c r="D357" s="162" t="str">
        <v>UMTS+HSPA solo tráfico de datos</v>
      </c>
      <c r="E357"/>
      <c r="F357" s="64">
        <f t="array" ref="F357">SUMPRODUCT(TRANSPOSE($F$6:$F$55),F151:BC151)</f>
        <v>77480179958.94754</v>
      </c>
      <c r="G357"/>
      <c r="H357" s="163">
        <v>0</v>
      </c>
      <c r="I357"/>
      <c r="J357" s="192">
        <v>0</v>
      </c>
      <c r="K357" s="735">
        <v>0</v>
      </c>
      <c r="L357" s="735">
        <v>0</v>
      </c>
      <c r="M357" s="192">
        <v>0</v>
      </c>
      <c r="N357" s="67">
        <v>0</v>
      </c>
      <c r="O357" s="64">
        <v>0</v>
      </c>
      <c r="Q357" s="75">
        <v>0</v>
      </c>
      <c r="R357" s="61">
        <f t="shared" si="4"/>
        <v>0</v>
      </c>
      <c r="S357" s="61">
        <f t="shared" si="5"/>
        <v>0</v>
      </c>
      <c r="T357" s="61">
        <v>0</v>
      </c>
      <c r="U357" s="61">
        <v>0</v>
      </c>
      <c r="BA357" s="86"/>
      <c r="BB357" s="86"/>
      <c r="BC357" s="86"/>
      <c r="BD357" s="86"/>
      <c r="BE357" s="86"/>
      <c r="BF357" s="86"/>
    </row>
    <row r="358" spans="1:58" hidden="1" outlineLevel="1" x14ac:dyDescent="0.2">
      <c r="A358"/>
      <c r="B358"/>
      <c r="C358" s="162" t="str">
        <v>RNC a Core punto de acceso: Datos: 622.08</v>
      </c>
      <c r="D358" s="162" t="str">
        <v>UMTS+HSPA solo tráfico de datos</v>
      </c>
      <c r="E358"/>
      <c r="F358" s="64">
        <f t="array" ref="F358">SUMPRODUCT(TRANSPOSE($F$6:$F$55),F152:BC152)</f>
        <v>77480179958.94754</v>
      </c>
      <c r="G358"/>
      <c r="H358" s="163">
        <v>0</v>
      </c>
      <c r="I358"/>
      <c r="J358" s="192">
        <v>0</v>
      </c>
      <c r="K358" s="735">
        <v>0</v>
      </c>
      <c r="L358" s="735">
        <v>0</v>
      </c>
      <c r="M358" s="192">
        <v>0</v>
      </c>
      <c r="N358" s="67">
        <v>0</v>
      </c>
      <c r="O358" s="64">
        <v>0</v>
      </c>
      <c r="Q358" s="75">
        <v>0</v>
      </c>
      <c r="R358" s="61">
        <f t="shared" si="4"/>
        <v>0</v>
      </c>
      <c r="S358" s="61">
        <f t="shared" si="5"/>
        <v>0</v>
      </c>
      <c r="T358" s="61">
        <v>0</v>
      </c>
      <c r="U358" s="61">
        <v>0</v>
      </c>
      <c r="BA358" s="86"/>
      <c r="BB358" s="86"/>
      <c r="BC358" s="86"/>
      <c r="BD358" s="86"/>
      <c r="BE358" s="86"/>
      <c r="BF358" s="86"/>
    </row>
    <row r="359" spans="1:58" hidden="1" outlineLevel="1" x14ac:dyDescent="0.2">
      <c r="A359"/>
      <c r="B359"/>
      <c r="C359" s="162" t="str">
        <v>RNC a Core punto de acceso: Datos: 100</v>
      </c>
      <c r="D359" s="162" t="str">
        <v>UMTS+HSPA solo tráfico de datos</v>
      </c>
      <c r="E359"/>
      <c r="F359" s="64">
        <f t="array" ref="F359">SUMPRODUCT(TRANSPOSE($F$6:$F$55),F153:BC153)</f>
        <v>77480179958.94754</v>
      </c>
      <c r="G359"/>
      <c r="H359" s="163">
        <v>0</v>
      </c>
      <c r="I359"/>
      <c r="J359" s="192">
        <v>0</v>
      </c>
      <c r="K359" s="735">
        <v>0</v>
      </c>
      <c r="L359" s="735">
        <v>0</v>
      </c>
      <c r="M359" s="192">
        <v>0</v>
      </c>
      <c r="N359" s="67">
        <v>0</v>
      </c>
      <c r="O359" s="64">
        <v>0</v>
      </c>
      <c r="Q359" s="75">
        <v>0</v>
      </c>
      <c r="R359" s="61">
        <f t="shared" si="4"/>
        <v>0</v>
      </c>
      <c r="S359" s="61">
        <f t="shared" si="5"/>
        <v>0</v>
      </c>
      <c r="T359" s="61">
        <v>0</v>
      </c>
      <c r="U359" s="61">
        <v>0</v>
      </c>
      <c r="BA359" s="86"/>
      <c r="BB359" s="86"/>
      <c r="BC359" s="86"/>
      <c r="BD359" s="86"/>
      <c r="BE359" s="86"/>
      <c r="BF359" s="86"/>
    </row>
    <row r="360" spans="1:58" hidden="1" outlineLevel="1" x14ac:dyDescent="0.2">
      <c r="A360"/>
      <c r="B360"/>
      <c r="C360" s="162" t="str">
        <v>RNC a Core punto de acceso: Datos: 1024</v>
      </c>
      <c r="D360" s="162" t="str">
        <v>UMTS+HSPA solo tráfico de datos</v>
      </c>
      <c r="E360"/>
      <c r="F360" s="64">
        <f t="array" ref="F360">SUMPRODUCT(TRANSPOSE($F$6:$F$55),F154:BC154)</f>
        <v>77480179958.94754</v>
      </c>
      <c r="G360"/>
      <c r="H360" s="163">
        <v>0</v>
      </c>
      <c r="I360"/>
      <c r="J360" s="192">
        <v>0</v>
      </c>
      <c r="K360" s="735">
        <v>0</v>
      </c>
      <c r="L360" s="735">
        <v>0</v>
      </c>
      <c r="M360" s="192">
        <v>0</v>
      </c>
      <c r="N360" s="67">
        <v>0</v>
      </c>
      <c r="O360" s="64">
        <v>0</v>
      </c>
      <c r="Q360" s="75">
        <v>0</v>
      </c>
      <c r="R360" s="61">
        <f t="shared" si="4"/>
        <v>0</v>
      </c>
      <c r="S360" s="61">
        <f t="shared" si="5"/>
        <v>0</v>
      </c>
      <c r="T360" s="61">
        <v>0</v>
      </c>
      <c r="U360" s="61">
        <v>0</v>
      </c>
      <c r="BA360" s="86"/>
      <c r="BB360" s="86"/>
      <c r="BC360" s="86"/>
      <c r="BD360" s="86"/>
      <c r="BE360" s="86"/>
      <c r="BF360" s="86"/>
    </row>
    <row r="361" spans="1:58" hidden="1" outlineLevel="1" x14ac:dyDescent="0.2">
      <c r="A361"/>
      <c r="B361"/>
      <c r="C361" s="162" t="str">
        <v>RNC a Core punto de acceso: Datos: 2488</v>
      </c>
      <c r="D361" s="162" t="str">
        <v>UMTS+HSPA solo tráfico de datos</v>
      </c>
      <c r="E361"/>
      <c r="F361" s="64">
        <f t="array" ref="F361">SUMPRODUCT(TRANSPOSE($F$6:$F$55),F155:BC155)</f>
        <v>77480179958.94754</v>
      </c>
      <c r="G361"/>
      <c r="H361" s="163">
        <v>0</v>
      </c>
      <c r="I361"/>
      <c r="J361" s="192">
        <v>0</v>
      </c>
      <c r="K361" s="735">
        <v>0</v>
      </c>
      <c r="L361" s="735">
        <v>0</v>
      </c>
      <c r="M361" s="192">
        <v>0</v>
      </c>
      <c r="N361" s="67">
        <v>0</v>
      </c>
      <c r="O361" s="64">
        <v>0</v>
      </c>
      <c r="Q361" s="75">
        <v>0</v>
      </c>
      <c r="R361" s="61">
        <f t="shared" si="4"/>
        <v>0</v>
      </c>
      <c r="S361" s="61">
        <f t="shared" si="5"/>
        <v>0</v>
      </c>
      <c r="T361" s="61">
        <v>0</v>
      </c>
      <c r="U361" s="61">
        <v>0</v>
      </c>
      <c r="BA361" s="86"/>
      <c r="BB361" s="86"/>
      <c r="BC361" s="86"/>
      <c r="BD361" s="86"/>
      <c r="BE361" s="86"/>
      <c r="BF361" s="86"/>
    </row>
    <row r="362" spans="1:58" hidden="1" outlineLevel="1" x14ac:dyDescent="0.2">
      <c r="A362"/>
      <c r="B362"/>
      <c r="C362" s="162" t="str">
        <v>BSC a Core líneas alquiladas: Voz: 8.45</v>
      </c>
      <c r="D362" s="162" t="str">
        <v>GSM solo voz radio y SMS</v>
      </c>
      <c r="E362"/>
      <c r="F362" s="64">
        <f t="array" ref="F362">SUMPRODUCT(TRANSPOSE($F$6:$F$55),F156:BC156)</f>
        <v>11861042563.42238</v>
      </c>
      <c r="G362"/>
      <c r="H362" s="163">
        <v>0</v>
      </c>
      <c r="I362"/>
      <c r="J362" s="192">
        <v>0</v>
      </c>
      <c r="K362" s="735">
        <v>0</v>
      </c>
      <c r="L362" s="735">
        <v>0</v>
      </c>
      <c r="M362" s="192">
        <v>0</v>
      </c>
      <c r="N362" s="67">
        <v>0</v>
      </c>
      <c r="O362" s="64">
        <v>0</v>
      </c>
      <c r="Q362" s="75">
        <v>0</v>
      </c>
      <c r="R362" s="61">
        <f t="shared" si="4"/>
        <v>0</v>
      </c>
      <c r="S362" s="61">
        <f t="shared" si="5"/>
        <v>0</v>
      </c>
      <c r="T362" s="61">
        <v>0</v>
      </c>
      <c r="U362" s="61">
        <v>0</v>
      </c>
      <c r="BA362" s="86"/>
      <c r="BB362" s="86"/>
      <c r="BC362" s="86"/>
      <c r="BD362" s="86"/>
      <c r="BE362" s="86"/>
      <c r="BF362" s="86"/>
    </row>
    <row r="363" spans="1:58" hidden="1" outlineLevel="1" x14ac:dyDescent="0.2">
      <c r="A363"/>
      <c r="B363"/>
      <c r="C363" s="162" t="str">
        <v>BSC a Core líneas alquiladas: Voz: 34.37</v>
      </c>
      <c r="D363" s="162" t="str">
        <v>GSM solo voz radio y SMS</v>
      </c>
      <c r="E363"/>
      <c r="F363" s="64">
        <f t="array" ref="F363">SUMPRODUCT(TRANSPOSE($F$6:$F$55),F157:BC157)</f>
        <v>11861042563.42238</v>
      </c>
      <c r="G363"/>
      <c r="H363" s="163">
        <v>0</v>
      </c>
      <c r="I363"/>
      <c r="J363" s="192">
        <v>0</v>
      </c>
      <c r="K363" s="735">
        <v>0</v>
      </c>
      <c r="L363" s="735">
        <v>0</v>
      </c>
      <c r="M363" s="192">
        <v>0</v>
      </c>
      <c r="N363" s="67">
        <v>0</v>
      </c>
      <c r="O363" s="64">
        <v>0</v>
      </c>
      <c r="Q363" s="75">
        <v>0</v>
      </c>
      <c r="R363" s="61">
        <f t="shared" ref="R363:R394" si="6">IF(Network.element.output=0,0,$K$267:$K$466/Network.element.output)</f>
        <v>0</v>
      </c>
      <c r="S363" s="61">
        <f t="shared" ref="S363:S394" si="7">IF(Network.element.output=0,0,$L$267:$L$466/Network.element.output)</f>
        <v>0</v>
      </c>
      <c r="T363" s="61">
        <v>0</v>
      </c>
      <c r="U363" s="61">
        <v>0</v>
      </c>
      <c r="BA363" s="86"/>
      <c r="BB363" s="86"/>
      <c r="BC363" s="86"/>
      <c r="BD363" s="86"/>
      <c r="BE363" s="86"/>
      <c r="BF363" s="86"/>
    </row>
    <row r="364" spans="1:58" hidden="1" outlineLevel="1" x14ac:dyDescent="0.2">
      <c r="A364"/>
      <c r="B364"/>
      <c r="C364" s="162" t="str">
        <v>BSC a Core líneas alquiladas: Voz: 155.52</v>
      </c>
      <c r="D364" s="162" t="str">
        <v>GSM solo voz radio y SMS</v>
      </c>
      <c r="E364"/>
      <c r="F364" s="64">
        <f t="array" ref="F364">SUMPRODUCT(TRANSPOSE($F$6:$F$55),F158:BC158)</f>
        <v>11861042563.42238</v>
      </c>
      <c r="G364"/>
      <c r="H364" s="163">
        <v>0</v>
      </c>
      <c r="I364"/>
      <c r="J364" s="192">
        <v>0</v>
      </c>
      <c r="K364" s="735">
        <v>0</v>
      </c>
      <c r="L364" s="735">
        <v>0</v>
      </c>
      <c r="M364" s="192">
        <v>0</v>
      </c>
      <c r="N364" s="67">
        <v>0</v>
      </c>
      <c r="O364" s="64">
        <v>0</v>
      </c>
      <c r="Q364" s="75">
        <v>0</v>
      </c>
      <c r="R364" s="61">
        <f t="shared" si="6"/>
        <v>0</v>
      </c>
      <c r="S364" s="61">
        <f t="shared" si="7"/>
        <v>0</v>
      </c>
      <c r="T364" s="61">
        <v>0</v>
      </c>
      <c r="U364" s="61">
        <v>0</v>
      </c>
      <c r="BA364" s="86"/>
      <c r="BB364" s="86"/>
      <c r="BC364" s="86"/>
      <c r="BD364" s="86"/>
      <c r="BE364" s="86"/>
      <c r="BF364" s="86"/>
    </row>
    <row r="365" spans="1:58" hidden="1" outlineLevel="1" x14ac:dyDescent="0.2">
      <c r="A365"/>
      <c r="B365"/>
      <c r="C365" s="162" t="str">
        <v>BSC a Core líneas alquiladas: Voz: 30</v>
      </c>
      <c r="D365" s="162" t="str">
        <v>GSM solo voz radio y SMS</v>
      </c>
      <c r="E365"/>
      <c r="F365" s="64">
        <f t="array" ref="F365">SUMPRODUCT(TRANSPOSE($F$6:$F$55),F159:BC159)</f>
        <v>11861042563.42238</v>
      </c>
      <c r="G365"/>
      <c r="H365" s="163">
        <v>0</v>
      </c>
      <c r="I365"/>
      <c r="J365" s="192">
        <v>0</v>
      </c>
      <c r="K365" s="735">
        <v>0</v>
      </c>
      <c r="L365" s="735">
        <v>0</v>
      </c>
      <c r="M365" s="192">
        <v>0</v>
      </c>
      <c r="N365" s="67">
        <v>0</v>
      </c>
      <c r="O365" s="64">
        <v>0</v>
      </c>
      <c r="Q365" s="75">
        <v>0</v>
      </c>
      <c r="R365" s="61">
        <f t="shared" si="6"/>
        <v>0</v>
      </c>
      <c r="S365" s="61">
        <f t="shared" si="7"/>
        <v>0</v>
      </c>
      <c r="T365" s="61">
        <v>0</v>
      </c>
      <c r="U365" s="61">
        <v>0</v>
      </c>
      <c r="BA365" s="86"/>
      <c r="BB365" s="86"/>
      <c r="BC365" s="86"/>
      <c r="BD365" s="86"/>
      <c r="BE365" s="86"/>
      <c r="BF365" s="86"/>
    </row>
    <row r="366" spans="1:58" hidden="1" outlineLevel="1" x14ac:dyDescent="0.2">
      <c r="A366"/>
      <c r="B366"/>
      <c r="C366" s="162" t="str">
        <v>BSC a Core líneas alquiladas: Voz: 100</v>
      </c>
      <c r="D366" s="162" t="str">
        <v>GSM solo voz radio y SMS</v>
      </c>
      <c r="E366"/>
      <c r="F366" s="64">
        <f t="array" ref="F366">SUMPRODUCT(TRANSPOSE($F$6:$F$55),F160:BC160)</f>
        <v>11861042563.42238</v>
      </c>
      <c r="G366"/>
      <c r="H366" s="163">
        <v>0</v>
      </c>
      <c r="I366"/>
      <c r="J366" s="192">
        <v>0</v>
      </c>
      <c r="K366" s="735">
        <v>0</v>
      </c>
      <c r="L366" s="735">
        <v>0</v>
      </c>
      <c r="M366" s="192">
        <v>0</v>
      </c>
      <c r="N366" s="67">
        <v>0</v>
      </c>
      <c r="O366" s="64">
        <v>0</v>
      </c>
      <c r="Q366" s="75">
        <v>0</v>
      </c>
      <c r="R366" s="61">
        <f t="shared" si="6"/>
        <v>0</v>
      </c>
      <c r="S366" s="61">
        <f t="shared" si="7"/>
        <v>0</v>
      </c>
      <c r="T366" s="75">
        <v>0</v>
      </c>
      <c r="U366" s="75">
        <v>0</v>
      </c>
      <c r="BA366" s="86"/>
      <c r="BB366" s="86"/>
      <c r="BC366" s="86"/>
      <c r="BD366" s="86"/>
      <c r="BE366" s="86"/>
      <c r="BF366" s="86"/>
    </row>
    <row r="367" spans="1:58" hidden="1" outlineLevel="1" x14ac:dyDescent="0.2">
      <c r="A367"/>
      <c r="B367"/>
      <c r="C367" s="162" t="str">
        <v>BSC a Core líneas alquiladas: Voz: 1024</v>
      </c>
      <c r="D367" s="162" t="str">
        <v>GSM solo voz radio y SMS</v>
      </c>
      <c r="E367"/>
      <c r="F367" s="64">
        <f t="array" ref="F367">SUMPRODUCT(TRANSPOSE($F$6:$F$55),F161:BC161)</f>
        <v>11861042563.42238</v>
      </c>
      <c r="G367"/>
      <c r="H367" s="163">
        <v>0</v>
      </c>
      <c r="I367"/>
      <c r="J367" s="192">
        <v>0</v>
      </c>
      <c r="K367" s="735">
        <v>0</v>
      </c>
      <c r="L367" s="735">
        <v>0</v>
      </c>
      <c r="M367" s="192">
        <v>0</v>
      </c>
      <c r="N367" s="67">
        <v>0</v>
      </c>
      <c r="O367" s="64">
        <v>0</v>
      </c>
      <c r="Q367" s="75">
        <v>0</v>
      </c>
      <c r="R367" s="61">
        <f t="shared" si="6"/>
        <v>0</v>
      </c>
      <c r="S367" s="61">
        <f t="shared" si="7"/>
        <v>0</v>
      </c>
      <c r="T367" s="75">
        <v>0</v>
      </c>
      <c r="U367" s="75">
        <v>0</v>
      </c>
      <c r="BA367" s="86"/>
      <c r="BB367" s="86"/>
      <c r="BC367" s="86"/>
      <c r="BD367" s="86"/>
      <c r="BE367" s="86"/>
      <c r="BF367" s="86"/>
    </row>
    <row r="368" spans="1:58" hidden="1" outlineLevel="1" x14ac:dyDescent="0.2">
      <c r="A368"/>
      <c r="B368"/>
      <c r="C368" s="162" t="str">
        <v>BSC a Core líneas alquiladas: Datos: 8.45</v>
      </c>
      <c r="D368" s="162" t="str">
        <v>GSM tráfico de datos solo</v>
      </c>
      <c r="E368"/>
      <c r="F368" s="64">
        <f t="array" ref="F368">SUMPRODUCT(TRANSPOSE($F$6:$F$55),F162:BC162)</f>
        <v>30992071983.579018</v>
      </c>
      <c r="G368"/>
      <c r="H368" s="163">
        <v>0</v>
      </c>
      <c r="I368"/>
      <c r="J368" s="192">
        <v>0</v>
      </c>
      <c r="K368" s="735">
        <v>0</v>
      </c>
      <c r="L368" s="735">
        <v>0</v>
      </c>
      <c r="M368" s="192">
        <v>0</v>
      </c>
      <c r="N368" s="67">
        <v>0</v>
      </c>
      <c r="O368" s="64">
        <v>0</v>
      </c>
      <c r="Q368" s="75">
        <v>0</v>
      </c>
      <c r="R368" s="61">
        <f t="shared" si="6"/>
        <v>0</v>
      </c>
      <c r="S368" s="61">
        <f t="shared" si="7"/>
        <v>0</v>
      </c>
      <c r="T368" s="75">
        <v>0</v>
      </c>
      <c r="U368" s="75">
        <v>0</v>
      </c>
      <c r="BA368" s="86"/>
      <c r="BB368" s="86"/>
      <c r="BC368" s="86"/>
      <c r="BD368" s="86"/>
      <c r="BE368" s="86"/>
      <c r="BF368" s="86"/>
    </row>
    <row r="369" spans="3:58" hidden="1" outlineLevel="1" x14ac:dyDescent="0.2">
      <c r="C369" s="162" t="str">
        <v>BSC a Core líneas alquiladas: Datos: 34.37</v>
      </c>
      <c r="D369" s="162" t="str">
        <v>GSM tráfico de datos solo</v>
      </c>
      <c r="F369" s="64">
        <f t="array" ref="F369">SUMPRODUCT(TRANSPOSE($F$6:$F$55),F163:BC163)</f>
        <v>30992071983.579018</v>
      </c>
      <c r="H369" s="163">
        <v>0</v>
      </c>
      <c r="I369"/>
      <c r="J369" s="192">
        <v>0</v>
      </c>
      <c r="K369" s="735">
        <v>0</v>
      </c>
      <c r="L369" s="735">
        <v>0</v>
      </c>
      <c r="M369" s="192">
        <v>0</v>
      </c>
      <c r="N369" s="67">
        <v>0</v>
      </c>
      <c r="O369" s="64">
        <v>0</v>
      </c>
      <c r="Q369" s="75">
        <v>0</v>
      </c>
      <c r="R369" s="61">
        <f t="shared" si="6"/>
        <v>0</v>
      </c>
      <c r="S369" s="61">
        <f t="shared" si="7"/>
        <v>0</v>
      </c>
      <c r="T369" s="75">
        <v>0</v>
      </c>
      <c r="U369" s="75">
        <v>0</v>
      </c>
      <c r="BA369" s="86"/>
      <c r="BB369" s="86"/>
      <c r="BC369" s="86"/>
      <c r="BD369" s="86"/>
      <c r="BE369" s="86"/>
      <c r="BF369" s="86"/>
    </row>
    <row r="370" spans="3:58" hidden="1" outlineLevel="1" x14ac:dyDescent="0.2">
      <c r="C370" s="162" t="str">
        <v>BSC a Core líneas alquiladas: Datos: 155.52</v>
      </c>
      <c r="D370" s="162" t="str">
        <v>GSM tráfico de datos solo</v>
      </c>
      <c r="F370" s="64">
        <f t="array" ref="F370">SUMPRODUCT(TRANSPOSE($F$6:$F$55),F164:BC164)</f>
        <v>30992071983.579018</v>
      </c>
      <c r="H370" s="163">
        <v>0</v>
      </c>
      <c r="I370"/>
      <c r="J370" s="192">
        <v>0</v>
      </c>
      <c r="K370" s="735">
        <v>0</v>
      </c>
      <c r="L370" s="735">
        <v>0</v>
      </c>
      <c r="M370" s="192">
        <v>0</v>
      </c>
      <c r="N370" s="67">
        <v>0</v>
      </c>
      <c r="O370" s="64">
        <v>0</v>
      </c>
      <c r="Q370" s="75">
        <v>0</v>
      </c>
      <c r="R370" s="61">
        <f t="shared" si="6"/>
        <v>0</v>
      </c>
      <c r="S370" s="61">
        <f t="shared" si="7"/>
        <v>0</v>
      </c>
      <c r="T370" s="75">
        <v>0</v>
      </c>
      <c r="U370" s="75">
        <v>0</v>
      </c>
      <c r="BA370" s="86"/>
      <c r="BB370" s="86"/>
      <c r="BC370" s="86"/>
      <c r="BD370" s="86"/>
      <c r="BE370" s="86"/>
      <c r="BF370" s="86"/>
    </row>
    <row r="371" spans="3:58" hidden="1" outlineLevel="1" x14ac:dyDescent="0.2">
      <c r="C371" s="162" t="str">
        <v>BSC a Core líneas alquiladas: Datos: 30</v>
      </c>
      <c r="D371" s="162" t="str">
        <v>GSM tráfico de datos solo</v>
      </c>
      <c r="F371" s="64">
        <f t="array" ref="F371">SUMPRODUCT(TRANSPOSE($F$6:$F$55),F165:BC165)</f>
        <v>30992071983.579018</v>
      </c>
      <c r="H371" s="163">
        <v>0</v>
      </c>
      <c r="I371"/>
      <c r="J371" s="192">
        <v>0</v>
      </c>
      <c r="K371" s="735">
        <v>0</v>
      </c>
      <c r="L371" s="735">
        <v>0</v>
      </c>
      <c r="M371" s="192">
        <v>0</v>
      </c>
      <c r="N371" s="67">
        <v>0</v>
      </c>
      <c r="O371" s="64">
        <v>0</v>
      </c>
      <c r="Q371" s="75">
        <v>0</v>
      </c>
      <c r="R371" s="61">
        <f t="shared" si="6"/>
        <v>0</v>
      </c>
      <c r="S371" s="61">
        <f t="shared" si="7"/>
        <v>0</v>
      </c>
      <c r="T371" s="75">
        <v>0</v>
      </c>
      <c r="U371" s="75">
        <v>0</v>
      </c>
      <c r="BA371" s="86"/>
      <c r="BB371" s="86"/>
      <c r="BC371" s="86"/>
      <c r="BD371" s="86"/>
      <c r="BE371" s="86"/>
      <c r="BF371" s="86"/>
    </row>
    <row r="372" spans="3:58" hidden="1" outlineLevel="1" x14ac:dyDescent="0.2">
      <c r="C372" s="162" t="str">
        <v>BSC a Core líneas alquiladas: Datos: 100</v>
      </c>
      <c r="D372" s="162" t="str">
        <v>GSM tráfico de datos solo</v>
      </c>
      <c r="F372" s="64">
        <f t="array" ref="F372">SUMPRODUCT(TRANSPOSE($F$6:$F$55),F166:BC166)</f>
        <v>30992071983.579018</v>
      </c>
      <c r="H372" s="163">
        <v>0</v>
      </c>
      <c r="I372"/>
      <c r="J372" s="192">
        <v>0</v>
      </c>
      <c r="K372" s="735">
        <v>0</v>
      </c>
      <c r="L372" s="735">
        <v>0</v>
      </c>
      <c r="M372" s="192">
        <v>0</v>
      </c>
      <c r="N372" s="67">
        <v>0</v>
      </c>
      <c r="O372" s="64">
        <v>0</v>
      </c>
      <c r="Q372" s="75">
        <v>0</v>
      </c>
      <c r="R372" s="61">
        <f t="shared" si="6"/>
        <v>0</v>
      </c>
      <c r="S372" s="61">
        <f t="shared" si="7"/>
        <v>0</v>
      </c>
      <c r="T372" s="75">
        <v>0</v>
      </c>
      <c r="U372" s="75">
        <v>0</v>
      </c>
      <c r="BA372" s="86"/>
      <c r="BB372" s="86"/>
      <c r="BC372" s="86"/>
      <c r="BD372" s="86"/>
      <c r="BE372" s="86"/>
      <c r="BF372" s="86"/>
    </row>
    <row r="373" spans="3:58" hidden="1" outlineLevel="1" x14ac:dyDescent="0.2">
      <c r="C373" s="162" t="str">
        <v>BSC a Core líneas alquiladas: Datos: 1024</v>
      </c>
      <c r="D373" s="162" t="str">
        <v>GSM tráfico de datos solo</v>
      </c>
      <c r="F373" s="64">
        <f t="array" ref="F373">SUMPRODUCT(TRANSPOSE($F$6:$F$55),F167:BC167)</f>
        <v>30992071983.579018</v>
      </c>
      <c r="H373" s="163">
        <v>0</v>
      </c>
      <c r="I373"/>
      <c r="J373" s="192">
        <v>0</v>
      </c>
      <c r="K373" s="735">
        <v>0</v>
      </c>
      <c r="L373" s="735">
        <v>0</v>
      </c>
      <c r="M373" s="192">
        <v>0</v>
      </c>
      <c r="N373" s="67">
        <v>0</v>
      </c>
      <c r="O373" s="64">
        <v>0</v>
      </c>
      <c r="Q373" s="75">
        <v>0</v>
      </c>
      <c r="R373" s="61">
        <f t="shared" si="6"/>
        <v>0</v>
      </c>
      <c r="S373" s="61">
        <f t="shared" si="7"/>
        <v>0</v>
      </c>
      <c r="T373" s="75">
        <v>0</v>
      </c>
      <c r="U373" s="75">
        <v>0</v>
      </c>
      <c r="BA373" s="86"/>
      <c r="BB373" s="86"/>
      <c r="BC373" s="86"/>
      <c r="BD373" s="86"/>
      <c r="BE373" s="86"/>
      <c r="BF373" s="86"/>
    </row>
    <row r="374" spans="3:58" hidden="1" outlineLevel="1" x14ac:dyDescent="0.2">
      <c r="C374" s="162" t="str">
        <v>RNC a Core líneas alquiladas: Voz: 34.4</v>
      </c>
      <c r="D374" s="162" t="str">
        <v>UMTS solo voz radio y SMS</v>
      </c>
      <c r="F374" s="64">
        <f t="array" ref="F374">SUMPRODUCT(TRANSPOSE($F$6:$F$55),F168:BC168)</f>
        <v>46252056890.98336</v>
      </c>
      <c r="H374" s="163">
        <v>0</v>
      </c>
      <c r="I374"/>
      <c r="J374" s="192">
        <v>0</v>
      </c>
      <c r="K374" s="735">
        <v>0</v>
      </c>
      <c r="L374" s="735">
        <v>0</v>
      </c>
      <c r="M374" s="192">
        <v>0</v>
      </c>
      <c r="N374" s="67">
        <v>0</v>
      </c>
      <c r="O374" s="64">
        <v>0</v>
      </c>
      <c r="Q374" s="75">
        <v>0</v>
      </c>
      <c r="R374" s="61">
        <f t="shared" si="6"/>
        <v>0</v>
      </c>
      <c r="S374" s="61">
        <f t="shared" si="7"/>
        <v>0</v>
      </c>
      <c r="T374" s="75">
        <v>0</v>
      </c>
      <c r="U374" s="75">
        <v>0</v>
      </c>
      <c r="BA374" s="86"/>
      <c r="BB374" s="86"/>
      <c r="BC374" s="86"/>
      <c r="BD374" s="86"/>
      <c r="BE374" s="86"/>
      <c r="BF374" s="86"/>
    </row>
    <row r="375" spans="3:58" hidden="1" outlineLevel="1" x14ac:dyDescent="0.2">
      <c r="C375" s="162" t="str">
        <v>RNC a Core líneas alquiladas: Voz: 155.52</v>
      </c>
      <c r="D375" s="162" t="str">
        <v>UMTS solo voz radio y SMS</v>
      </c>
      <c r="F375" s="64">
        <f t="array" ref="F375">SUMPRODUCT(TRANSPOSE($F$6:$F$55),F169:BC169)</f>
        <v>46252056890.98336</v>
      </c>
      <c r="H375" s="163">
        <v>0</v>
      </c>
      <c r="I375"/>
      <c r="J375" s="192">
        <v>0</v>
      </c>
      <c r="K375" s="735">
        <v>0</v>
      </c>
      <c r="L375" s="735">
        <v>0</v>
      </c>
      <c r="M375" s="192">
        <v>0</v>
      </c>
      <c r="N375" s="67">
        <v>0</v>
      </c>
      <c r="O375" s="64">
        <v>0</v>
      </c>
      <c r="Q375" s="75">
        <v>0</v>
      </c>
      <c r="R375" s="61">
        <f t="shared" si="6"/>
        <v>0</v>
      </c>
      <c r="S375" s="61">
        <f t="shared" si="7"/>
        <v>0</v>
      </c>
      <c r="T375" s="75">
        <v>0</v>
      </c>
      <c r="U375" s="75">
        <v>0</v>
      </c>
      <c r="BA375" s="86"/>
      <c r="BB375" s="86"/>
      <c r="BC375" s="86"/>
      <c r="BD375" s="86"/>
      <c r="BE375" s="86"/>
      <c r="BF375" s="86"/>
    </row>
    <row r="376" spans="3:58" hidden="1" outlineLevel="1" x14ac:dyDescent="0.2">
      <c r="C376" s="162" t="str">
        <v>RNC a Core líneas alquiladas: Voz: 622.08</v>
      </c>
      <c r="D376" s="162" t="str">
        <v>UMTS solo voz radio y SMS</v>
      </c>
      <c r="F376" s="64">
        <f t="array" ref="F376">SUMPRODUCT(TRANSPOSE($F$6:$F$55),F170:BC170)</f>
        <v>46252056890.98336</v>
      </c>
      <c r="H376" s="163">
        <v>0</v>
      </c>
      <c r="I376"/>
      <c r="J376" s="192">
        <v>0</v>
      </c>
      <c r="K376" s="735">
        <v>0</v>
      </c>
      <c r="L376" s="735">
        <v>0</v>
      </c>
      <c r="M376" s="192">
        <v>0</v>
      </c>
      <c r="N376" s="67">
        <v>0</v>
      </c>
      <c r="O376" s="64">
        <v>0</v>
      </c>
      <c r="Q376" s="75">
        <v>0</v>
      </c>
      <c r="R376" s="61">
        <f t="shared" si="6"/>
        <v>0</v>
      </c>
      <c r="S376" s="61">
        <f t="shared" si="7"/>
        <v>0</v>
      </c>
      <c r="T376" s="75">
        <v>0</v>
      </c>
      <c r="U376" s="75">
        <v>0</v>
      </c>
      <c r="BA376" s="86"/>
      <c r="BB376" s="86"/>
      <c r="BC376" s="86"/>
      <c r="BD376" s="86"/>
      <c r="BE376" s="86"/>
      <c r="BF376" s="86"/>
    </row>
    <row r="377" spans="3:58" hidden="1" outlineLevel="1" x14ac:dyDescent="0.2">
      <c r="C377" s="162" t="str">
        <v>RNC a Core líneas alquiladas: Voz: 100</v>
      </c>
      <c r="D377" s="162" t="str">
        <v>UMTS solo voz radio y SMS</v>
      </c>
      <c r="F377" s="64">
        <f t="array" ref="F377">SUMPRODUCT(TRANSPOSE($F$6:$F$55),F171:BC171)</f>
        <v>46252056890.98336</v>
      </c>
      <c r="H377" s="163">
        <v>0</v>
      </c>
      <c r="I377"/>
      <c r="J377" s="192">
        <v>0</v>
      </c>
      <c r="K377" s="735">
        <v>0</v>
      </c>
      <c r="L377" s="735">
        <v>0</v>
      </c>
      <c r="M377" s="192">
        <v>0</v>
      </c>
      <c r="N377" s="67">
        <v>0</v>
      </c>
      <c r="O377" s="64">
        <v>0</v>
      </c>
      <c r="Q377" s="75">
        <v>0</v>
      </c>
      <c r="R377" s="61">
        <f t="shared" si="6"/>
        <v>0</v>
      </c>
      <c r="S377" s="61">
        <f t="shared" si="7"/>
        <v>0</v>
      </c>
      <c r="T377" s="75">
        <v>0</v>
      </c>
      <c r="U377" s="75">
        <v>0</v>
      </c>
      <c r="BA377" s="86"/>
      <c r="BB377" s="86"/>
      <c r="BC377" s="86"/>
      <c r="BD377" s="86"/>
      <c r="BE377" s="86"/>
      <c r="BF377" s="86"/>
    </row>
    <row r="378" spans="3:58" hidden="1" outlineLevel="1" x14ac:dyDescent="0.2">
      <c r="C378" s="162" t="str">
        <v>RNC a Core líneas alquiladas: Voz: 1024</v>
      </c>
      <c r="D378" s="162" t="str">
        <v>UMTS solo voz radio y SMS</v>
      </c>
      <c r="F378" s="64">
        <f t="array" ref="F378">SUMPRODUCT(TRANSPOSE($F$6:$F$55),F172:BC172)</f>
        <v>46252056890.98336</v>
      </c>
      <c r="H378" s="163">
        <v>0</v>
      </c>
      <c r="I378"/>
      <c r="J378" s="192">
        <v>0</v>
      </c>
      <c r="K378" s="735">
        <v>0</v>
      </c>
      <c r="L378" s="735">
        <v>0</v>
      </c>
      <c r="M378" s="192">
        <v>0</v>
      </c>
      <c r="N378" s="67">
        <v>0</v>
      </c>
      <c r="O378" s="64">
        <v>0</v>
      </c>
      <c r="Q378" s="75">
        <v>0</v>
      </c>
      <c r="R378" s="61">
        <f t="shared" si="6"/>
        <v>0</v>
      </c>
      <c r="S378" s="61">
        <f t="shared" si="7"/>
        <v>0</v>
      </c>
      <c r="T378" s="75">
        <v>0</v>
      </c>
      <c r="U378" s="75">
        <v>0</v>
      </c>
      <c r="BA378" s="86"/>
      <c r="BB378" s="86"/>
      <c r="BC378" s="86"/>
      <c r="BD378" s="86"/>
      <c r="BE378" s="86"/>
      <c r="BF378" s="86"/>
    </row>
    <row r="379" spans="3:58" hidden="1" outlineLevel="1" x14ac:dyDescent="0.2">
      <c r="C379" s="162" t="str">
        <v>RNC a Core líneas alquiladas: Voz: 2488</v>
      </c>
      <c r="D379" s="162" t="str">
        <v>UMTS solo voz radio y SMS</v>
      </c>
      <c r="F379" s="64">
        <f t="array" ref="F379">SUMPRODUCT(TRANSPOSE($F$6:$F$55),F173:BC173)</f>
        <v>46252056890.98336</v>
      </c>
      <c r="H379" s="163">
        <v>0</v>
      </c>
      <c r="I379"/>
      <c r="J379" s="192">
        <v>0</v>
      </c>
      <c r="K379" s="735">
        <v>0</v>
      </c>
      <c r="L379" s="735">
        <v>0</v>
      </c>
      <c r="M379" s="192">
        <v>0</v>
      </c>
      <c r="N379" s="67">
        <v>0</v>
      </c>
      <c r="O379" s="64">
        <v>0</v>
      </c>
      <c r="Q379" s="75">
        <v>0</v>
      </c>
      <c r="R379" s="61">
        <f t="shared" si="6"/>
        <v>0</v>
      </c>
      <c r="S379" s="61">
        <f t="shared" si="7"/>
        <v>0</v>
      </c>
      <c r="T379" s="75">
        <v>0</v>
      </c>
      <c r="U379" s="75">
        <v>0</v>
      </c>
      <c r="BA379" s="86"/>
      <c r="BB379" s="86"/>
      <c r="BC379" s="86"/>
      <c r="BD379" s="86"/>
      <c r="BE379" s="86"/>
      <c r="BF379" s="86"/>
    </row>
    <row r="380" spans="3:58" hidden="1" outlineLevel="1" x14ac:dyDescent="0.2">
      <c r="C380" s="162" t="str">
        <v>RNC a Core líneas alquiladas: Datos: 34.4</v>
      </c>
      <c r="D380" s="162" t="str">
        <v>UMTS+HSPA solo tráfico de datos</v>
      </c>
      <c r="F380" s="64">
        <f t="array" ref="F380">SUMPRODUCT(TRANSPOSE($F$6:$F$55),F174:BC174)</f>
        <v>77480179958.94754</v>
      </c>
      <c r="H380" s="163">
        <v>0</v>
      </c>
      <c r="I380"/>
      <c r="J380" s="192">
        <v>0</v>
      </c>
      <c r="K380" s="735">
        <v>0</v>
      </c>
      <c r="L380" s="735">
        <v>0</v>
      </c>
      <c r="M380" s="192">
        <v>0</v>
      </c>
      <c r="N380" s="67">
        <v>0</v>
      </c>
      <c r="O380" s="64">
        <v>0</v>
      </c>
      <c r="Q380" s="75">
        <v>0</v>
      </c>
      <c r="R380" s="61">
        <f t="shared" si="6"/>
        <v>0</v>
      </c>
      <c r="S380" s="61">
        <f t="shared" si="7"/>
        <v>0</v>
      </c>
      <c r="T380" s="75">
        <v>0</v>
      </c>
      <c r="U380" s="75">
        <v>0</v>
      </c>
      <c r="BA380" s="86"/>
      <c r="BB380" s="86"/>
      <c r="BC380" s="86"/>
      <c r="BD380" s="86"/>
      <c r="BE380" s="86"/>
      <c r="BF380" s="86"/>
    </row>
    <row r="381" spans="3:58" hidden="1" outlineLevel="1" x14ac:dyDescent="0.2">
      <c r="C381" s="162" t="str">
        <v>RNC a Core líneas alquiladas: Datos: 155.52</v>
      </c>
      <c r="D381" s="162" t="str">
        <v>UMTS+HSPA solo tráfico de datos</v>
      </c>
      <c r="F381" s="64">
        <f t="array" ref="F381">SUMPRODUCT(TRANSPOSE($F$6:$F$55),F175:BC175)</f>
        <v>77480179958.94754</v>
      </c>
      <c r="H381" s="163">
        <v>0</v>
      </c>
      <c r="I381"/>
      <c r="J381" s="192">
        <v>0</v>
      </c>
      <c r="K381" s="735">
        <v>0</v>
      </c>
      <c r="L381" s="735">
        <v>0</v>
      </c>
      <c r="M381" s="192">
        <v>0</v>
      </c>
      <c r="N381" s="67">
        <v>0</v>
      </c>
      <c r="O381" s="64">
        <v>0</v>
      </c>
      <c r="Q381" s="75">
        <v>0</v>
      </c>
      <c r="R381" s="61">
        <f t="shared" si="6"/>
        <v>0</v>
      </c>
      <c r="S381" s="61">
        <f t="shared" si="7"/>
        <v>0</v>
      </c>
      <c r="T381" s="75">
        <v>0</v>
      </c>
      <c r="U381" s="75">
        <v>0</v>
      </c>
      <c r="BA381" s="86"/>
      <c r="BB381" s="86"/>
      <c r="BC381" s="86"/>
      <c r="BD381" s="86"/>
      <c r="BE381" s="86"/>
      <c r="BF381" s="86"/>
    </row>
    <row r="382" spans="3:58" hidden="1" outlineLevel="1" x14ac:dyDescent="0.2">
      <c r="C382" s="162" t="str">
        <v>RNC a Core líneas alquiladas: Datos: 622.08</v>
      </c>
      <c r="D382" s="162" t="str">
        <v>UMTS+HSPA solo tráfico de datos</v>
      </c>
      <c r="F382" s="64">
        <f t="array" ref="F382">SUMPRODUCT(TRANSPOSE($F$6:$F$55),F176:BC176)</f>
        <v>77480179958.94754</v>
      </c>
      <c r="H382" s="163">
        <v>0</v>
      </c>
      <c r="I382"/>
      <c r="J382" s="192">
        <v>0</v>
      </c>
      <c r="K382" s="735">
        <v>0</v>
      </c>
      <c r="L382" s="735">
        <v>0</v>
      </c>
      <c r="M382" s="192">
        <v>0</v>
      </c>
      <c r="N382" s="67">
        <v>0</v>
      </c>
      <c r="O382" s="64">
        <v>0</v>
      </c>
      <c r="Q382" s="75">
        <v>0</v>
      </c>
      <c r="R382" s="61">
        <f t="shared" si="6"/>
        <v>0</v>
      </c>
      <c r="S382" s="61">
        <f t="shared" si="7"/>
        <v>0</v>
      </c>
      <c r="T382" s="75">
        <v>0</v>
      </c>
      <c r="U382" s="75">
        <v>0</v>
      </c>
      <c r="BA382" s="86"/>
      <c r="BB382" s="86"/>
      <c r="BC382" s="86"/>
      <c r="BD382" s="86"/>
      <c r="BE382" s="86"/>
      <c r="BF382" s="86"/>
    </row>
    <row r="383" spans="3:58" hidden="1" outlineLevel="1" x14ac:dyDescent="0.2">
      <c r="C383" s="162" t="str">
        <v>RNC a Core líneas alquiladas: Datos: 100</v>
      </c>
      <c r="D383" s="162" t="str">
        <v>UMTS+HSPA solo tráfico de datos</v>
      </c>
      <c r="F383" s="64">
        <f t="array" ref="F383">SUMPRODUCT(TRANSPOSE($F$6:$F$55),F177:BC177)</f>
        <v>77480179958.94754</v>
      </c>
      <c r="H383" s="163">
        <v>0</v>
      </c>
      <c r="I383"/>
      <c r="J383" s="192">
        <v>0</v>
      </c>
      <c r="K383" s="735">
        <v>0</v>
      </c>
      <c r="L383" s="735">
        <v>0</v>
      </c>
      <c r="M383" s="192">
        <v>0</v>
      </c>
      <c r="N383" s="67">
        <v>0</v>
      </c>
      <c r="O383" s="64">
        <v>0</v>
      </c>
      <c r="Q383" s="75">
        <v>0</v>
      </c>
      <c r="R383" s="61">
        <f t="shared" si="6"/>
        <v>0</v>
      </c>
      <c r="S383" s="61">
        <f t="shared" si="7"/>
        <v>0</v>
      </c>
      <c r="T383" s="75">
        <v>0</v>
      </c>
      <c r="U383" s="75">
        <v>0</v>
      </c>
      <c r="BA383" s="86"/>
      <c r="BB383" s="86"/>
      <c r="BC383" s="86"/>
      <c r="BD383" s="86"/>
      <c r="BE383" s="86"/>
      <c r="BF383" s="86"/>
    </row>
    <row r="384" spans="3:58" hidden="1" outlineLevel="1" x14ac:dyDescent="0.2">
      <c r="C384" s="162" t="str">
        <v>RNC a Core líneas alquiladas: Datos: 1024</v>
      </c>
      <c r="D384" s="162" t="str">
        <v>UMTS+HSPA solo tráfico de datos</v>
      </c>
      <c r="F384" s="64">
        <f t="array" ref="F384">SUMPRODUCT(TRANSPOSE($F$6:$F$55),F178:BC178)</f>
        <v>77480179958.94754</v>
      </c>
      <c r="H384" s="163">
        <v>0</v>
      </c>
      <c r="I384"/>
      <c r="J384" s="192">
        <v>0</v>
      </c>
      <c r="K384" s="735">
        <v>0</v>
      </c>
      <c r="L384" s="735">
        <v>0</v>
      </c>
      <c r="M384" s="192">
        <v>0</v>
      </c>
      <c r="N384" s="67">
        <v>0</v>
      </c>
      <c r="O384" s="64">
        <v>0</v>
      </c>
      <c r="Q384" s="75">
        <v>0</v>
      </c>
      <c r="R384" s="61">
        <f t="shared" si="6"/>
        <v>0</v>
      </c>
      <c r="S384" s="61">
        <f t="shared" si="7"/>
        <v>0</v>
      </c>
      <c r="T384" s="75">
        <v>0</v>
      </c>
      <c r="U384" s="75">
        <v>0</v>
      </c>
      <c r="BA384" s="86"/>
      <c r="BB384" s="86"/>
      <c r="BC384" s="86"/>
      <c r="BD384" s="86"/>
      <c r="BE384" s="86"/>
      <c r="BF384" s="86"/>
    </row>
    <row r="385" spans="3:58" hidden="1" outlineLevel="1" x14ac:dyDescent="0.2">
      <c r="C385" s="162" t="str">
        <v>RNC a Core líneas alquiladas: Datos: 2488</v>
      </c>
      <c r="D385" s="162" t="str">
        <v>UMTS+HSPA solo tráfico de datos</v>
      </c>
      <c r="F385" s="64">
        <f t="array" ref="F385">SUMPRODUCT(TRANSPOSE($F$6:$F$55),F179:BC179)</f>
        <v>77480179958.94754</v>
      </c>
      <c r="H385" s="163">
        <v>0</v>
      </c>
      <c r="I385"/>
      <c r="J385" s="192">
        <v>0</v>
      </c>
      <c r="K385" s="735">
        <v>0</v>
      </c>
      <c r="L385" s="735">
        <v>0</v>
      </c>
      <c r="M385" s="192">
        <v>0</v>
      </c>
      <c r="N385" s="67">
        <v>0</v>
      </c>
      <c r="O385" s="64">
        <v>0</v>
      </c>
      <c r="Q385" s="75">
        <v>0</v>
      </c>
      <c r="R385" s="61">
        <f t="shared" si="6"/>
        <v>0</v>
      </c>
      <c r="S385" s="61">
        <f t="shared" si="7"/>
        <v>0</v>
      </c>
      <c r="T385" s="75">
        <v>0</v>
      </c>
      <c r="U385" s="75">
        <v>0</v>
      </c>
      <c r="BA385" s="86"/>
      <c r="BB385" s="86"/>
      <c r="BC385" s="86"/>
      <c r="BD385" s="86"/>
      <c r="BE385" s="86"/>
      <c r="BF385" s="86"/>
    </row>
    <row r="386" spans="3:58" hidden="1" outlineLevel="1" x14ac:dyDescent="0.2">
      <c r="C386" s="162" t="str">
        <v>Core a core: líneas alquiladas, TDM:  155</v>
      </c>
      <c r="D386" s="162" t="str">
        <v>Core-core PCM Mbytes voz más datos</v>
      </c>
      <c r="F386" s="64">
        <f t="array" ref="F386">SUMPRODUCT(TRANSPOSE($F$6:$F$55),F180:BC180)</f>
        <v>21406503942.699421</v>
      </c>
      <c r="H386" s="163">
        <v>0</v>
      </c>
      <c r="I386"/>
      <c r="J386" s="192">
        <v>0</v>
      </c>
      <c r="K386" s="735">
        <v>0</v>
      </c>
      <c r="L386" s="735">
        <v>0</v>
      </c>
      <c r="M386" s="192">
        <v>0</v>
      </c>
      <c r="N386" s="67">
        <v>0</v>
      </c>
      <c r="O386" s="64">
        <v>0</v>
      </c>
      <c r="Q386" s="75">
        <v>0</v>
      </c>
      <c r="R386" s="61">
        <f t="shared" si="6"/>
        <v>0</v>
      </c>
      <c r="S386" s="61">
        <f t="shared" si="7"/>
        <v>0</v>
      </c>
      <c r="T386" s="75">
        <v>0</v>
      </c>
      <c r="U386" s="75">
        <v>0</v>
      </c>
      <c r="BA386" s="86"/>
      <c r="BB386" s="86"/>
      <c r="BC386" s="86"/>
      <c r="BD386" s="86"/>
      <c r="BE386" s="86"/>
      <c r="BF386" s="86"/>
    </row>
    <row r="387" spans="3:58" hidden="1" outlineLevel="1" x14ac:dyDescent="0.2">
      <c r="C387" s="162" t="str">
        <v>Core a core: líneas alquiladas, TDM:  622</v>
      </c>
      <c r="D387" s="162" t="str">
        <v>Core-core PCM Mbytes voz más datos</v>
      </c>
      <c r="F387" s="64">
        <f t="array" ref="F387">SUMPRODUCT(TRANSPOSE($F$6:$F$55),F181:BC181)</f>
        <v>21406503942.699421</v>
      </c>
      <c r="H387" s="163">
        <v>0</v>
      </c>
      <c r="I387"/>
      <c r="J387" s="192">
        <v>0</v>
      </c>
      <c r="K387" s="735">
        <v>0</v>
      </c>
      <c r="L387" s="735">
        <v>0</v>
      </c>
      <c r="M387" s="192">
        <v>0</v>
      </c>
      <c r="N387" s="67">
        <v>0</v>
      </c>
      <c r="O387" s="64">
        <v>0</v>
      </c>
      <c r="Q387" s="75">
        <v>0</v>
      </c>
      <c r="R387" s="61">
        <f t="shared" si="6"/>
        <v>0</v>
      </c>
      <c r="S387" s="61">
        <f t="shared" si="7"/>
        <v>0</v>
      </c>
      <c r="T387" s="75">
        <v>0</v>
      </c>
      <c r="U387" s="75">
        <v>0</v>
      </c>
      <c r="BA387" s="86"/>
      <c r="BB387" s="86"/>
      <c r="BC387" s="86"/>
      <c r="BD387" s="86"/>
      <c r="BE387" s="86"/>
      <c r="BF387" s="86"/>
    </row>
    <row r="388" spans="3:58" hidden="1" outlineLevel="1" x14ac:dyDescent="0.2">
      <c r="C388" s="162" t="str">
        <v>Core a core: líneas alquiladas, TDM:  2488</v>
      </c>
      <c r="D388" s="162" t="str">
        <v>Core-core PCM Mbytes voz más datos</v>
      </c>
      <c r="F388" s="64">
        <f t="array" ref="F388">SUMPRODUCT(TRANSPOSE($F$6:$F$55),F182:BC182)</f>
        <v>21406503942.699421</v>
      </c>
      <c r="H388" s="163">
        <v>0</v>
      </c>
      <c r="I388"/>
      <c r="J388" s="192">
        <v>0</v>
      </c>
      <c r="K388" s="735">
        <v>0</v>
      </c>
      <c r="L388" s="735">
        <v>0</v>
      </c>
      <c r="M388" s="192">
        <v>0</v>
      </c>
      <c r="N388" s="67">
        <v>0</v>
      </c>
      <c r="O388" s="64">
        <v>0</v>
      </c>
      <c r="Q388" s="75">
        <v>0</v>
      </c>
      <c r="R388" s="61">
        <f t="shared" si="6"/>
        <v>0</v>
      </c>
      <c r="S388" s="61">
        <f t="shared" si="7"/>
        <v>0</v>
      </c>
      <c r="T388" s="75">
        <v>0</v>
      </c>
      <c r="U388" s="75">
        <v>0</v>
      </c>
      <c r="BA388" s="86"/>
      <c r="BB388" s="86"/>
      <c r="BC388" s="86"/>
      <c r="BD388" s="86"/>
      <c r="BE388" s="86"/>
      <c r="BF388" s="86"/>
    </row>
    <row r="389" spans="3:58" hidden="1" outlineLevel="1" x14ac:dyDescent="0.2">
      <c r="C389" s="162" t="str">
        <v>Core a core: líneas alquiladas, Ethernet:  1000</v>
      </c>
      <c r="D389" s="162" t="str">
        <v>Core-core IP Mbytes voz más datos</v>
      </c>
      <c r="F389" s="64">
        <f t="array" ref="F389">SUMPRODUCT(TRANSPOSE($F$6:$F$55),F183:BC183)</f>
        <v>21406503942.699421</v>
      </c>
      <c r="H389" s="163">
        <v>0</v>
      </c>
      <c r="I389"/>
      <c r="J389" s="192">
        <v>0</v>
      </c>
      <c r="K389" s="735">
        <v>0</v>
      </c>
      <c r="L389" s="735">
        <v>0</v>
      </c>
      <c r="M389" s="192">
        <v>0</v>
      </c>
      <c r="N389" s="67">
        <v>0</v>
      </c>
      <c r="O389" s="64">
        <v>0</v>
      </c>
      <c r="Q389" s="75">
        <v>0</v>
      </c>
      <c r="R389" s="61">
        <f t="shared" si="6"/>
        <v>0</v>
      </c>
      <c r="S389" s="61">
        <f t="shared" si="7"/>
        <v>0</v>
      </c>
      <c r="T389" s="75">
        <v>0</v>
      </c>
      <c r="U389" s="75">
        <v>0</v>
      </c>
      <c r="BA389" s="86"/>
      <c r="BB389" s="86"/>
      <c r="BC389" s="86"/>
      <c r="BD389" s="86"/>
      <c r="BE389" s="86"/>
      <c r="BF389" s="86"/>
    </row>
    <row r="390" spans="3:58" hidden="1" outlineLevel="1" x14ac:dyDescent="0.2">
      <c r="C390" s="162" t="str">
        <v>Core a core: líneas alquiladas, Ethernet:  2500</v>
      </c>
      <c r="D390" s="162" t="str">
        <v>Core-core IP Mbytes voz más datos</v>
      </c>
      <c r="F390" s="64">
        <f t="array" ref="F390">SUMPRODUCT(TRANSPOSE($F$6:$F$55),F184:BC184)</f>
        <v>21406503942.699421</v>
      </c>
      <c r="H390" s="163">
        <v>0</v>
      </c>
      <c r="I390"/>
      <c r="J390" s="192">
        <v>0</v>
      </c>
      <c r="K390" s="735">
        <v>0</v>
      </c>
      <c r="L390" s="735">
        <v>0</v>
      </c>
      <c r="M390" s="192">
        <v>0</v>
      </c>
      <c r="N390" s="67">
        <v>0</v>
      </c>
      <c r="O390" s="64">
        <v>0</v>
      </c>
      <c r="Q390" s="75">
        <v>0</v>
      </c>
      <c r="R390" s="61">
        <f t="shared" si="6"/>
        <v>0</v>
      </c>
      <c r="S390" s="61">
        <f t="shared" si="7"/>
        <v>0</v>
      </c>
      <c r="T390" s="75">
        <v>0</v>
      </c>
      <c r="U390" s="75">
        <v>0</v>
      </c>
      <c r="BA390" s="86"/>
      <c r="BB390" s="86"/>
      <c r="BC390" s="86"/>
      <c r="BD390" s="86"/>
      <c r="BE390" s="86"/>
      <c r="BF390" s="86"/>
    </row>
    <row r="391" spans="3:58" hidden="1" outlineLevel="1" x14ac:dyDescent="0.2">
      <c r="C391" s="162" t="str">
        <v>Core a core: líneas alquiladas, Ethernet:  10000</v>
      </c>
      <c r="D391" s="162" t="str">
        <v>Core-core IP Mbytes voz más datos</v>
      </c>
      <c r="F391" s="64">
        <f t="array" ref="F391">SUMPRODUCT(TRANSPOSE($F$6:$F$55),F185:BC185)</f>
        <v>21406503942.699421</v>
      </c>
      <c r="H391" s="163">
        <v>0</v>
      </c>
      <c r="I391"/>
      <c r="J391" s="192">
        <v>0</v>
      </c>
      <c r="K391" s="735">
        <v>0</v>
      </c>
      <c r="L391" s="735">
        <v>0</v>
      </c>
      <c r="M391" s="192">
        <v>0</v>
      </c>
      <c r="N391" s="67">
        <v>0</v>
      </c>
      <c r="O391" s="64">
        <v>0</v>
      </c>
      <c r="Q391" s="75">
        <v>0</v>
      </c>
      <c r="R391" s="61">
        <f t="shared" si="6"/>
        <v>0</v>
      </c>
      <c r="S391" s="61">
        <f t="shared" si="7"/>
        <v>0</v>
      </c>
      <c r="T391" s="75">
        <v>0</v>
      </c>
      <c r="U391" s="75">
        <v>0</v>
      </c>
      <c r="BA391" s="86"/>
      <c r="BB391" s="86"/>
      <c r="BC391" s="86"/>
      <c r="BD391" s="86"/>
      <c r="BE391" s="86"/>
      <c r="BF391" s="86"/>
    </row>
    <row r="392" spans="3:58" hidden="1" outlineLevel="1" x14ac:dyDescent="0.2">
      <c r="C392" s="162" t="str">
        <v>Anillo core, puntos de acceso (ADM/multiplexadores): 155</v>
      </c>
      <c r="D392" s="162" t="str">
        <v>Core-core PCM Mbytes voz más datos</v>
      </c>
      <c r="F392" s="64">
        <f t="array" ref="F392">SUMPRODUCT(TRANSPOSE($F$6:$F$55),F186:BC186)</f>
        <v>21406503942.699421</v>
      </c>
      <c r="H392" s="163">
        <v>0</v>
      </c>
      <c r="I392"/>
      <c r="J392" s="192">
        <v>0</v>
      </c>
      <c r="K392" s="735">
        <v>0</v>
      </c>
      <c r="L392" s="735">
        <v>0</v>
      </c>
      <c r="M392" s="192">
        <v>0</v>
      </c>
      <c r="N392" s="67">
        <v>0</v>
      </c>
      <c r="O392" s="64">
        <v>0</v>
      </c>
      <c r="Q392" s="75">
        <v>0</v>
      </c>
      <c r="R392" s="61">
        <f t="shared" si="6"/>
        <v>0</v>
      </c>
      <c r="S392" s="61">
        <f t="shared" si="7"/>
        <v>0</v>
      </c>
      <c r="T392" s="75">
        <v>0</v>
      </c>
      <c r="U392" s="75">
        <v>0</v>
      </c>
      <c r="BA392" s="86"/>
      <c r="BB392" s="86"/>
      <c r="BC392" s="86"/>
      <c r="BD392" s="86"/>
      <c r="BE392" s="86"/>
      <c r="BF392" s="86"/>
    </row>
    <row r="393" spans="3:58" hidden="1" outlineLevel="1" x14ac:dyDescent="0.2">
      <c r="C393" s="162" t="str">
        <v>Anillo core, puntos de acceso (ADM/multiplexadores): 622</v>
      </c>
      <c r="D393" s="162" t="str">
        <v>Core-core PCM Mbytes voz más datos</v>
      </c>
      <c r="F393" s="64">
        <f t="array" ref="F393">SUMPRODUCT(TRANSPOSE($F$6:$F$55),F187:BC187)</f>
        <v>21406503942.699421</v>
      </c>
      <c r="H393" s="163">
        <v>0</v>
      </c>
      <c r="I393"/>
      <c r="J393" s="192">
        <v>0</v>
      </c>
      <c r="K393" s="735">
        <v>0</v>
      </c>
      <c r="L393" s="735">
        <v>0</v>
      </c>
      <c r="M393" s="192">
        <v>0</v>
      </c>
      <c r="N393" s="67">
        <v>0</v>
      </c>
      <c r="O393" s="64">
        <v>0</v>
      </c>
      <c r="Q393" s="75">
        <v>0</v>
      </c>
      <c r="R393" s="61">
        <f t="shared" si="6"/>
        <v>0</v>
      </c>
      <c r="S393" s="61">
        <f t="shared" si="7"/>
        <v>0</v>
      </c>
      <c r="T393" s="75">
        <v>0</v>
      </c>
      <c r="U393" s="75">
        <v>0</v>
      </c>
      <c r="BA393" s="86"/>
      <c r="BB393" s="86"/>
      <c r="BC393" s="86"/>
      <c r="BD393" s="86"/>
      <c r="BE393" s="86"/>
      <c r="BF393" s="86"/>
    </row>
    <row r="394" spans="3:58" hidden="1" outlineLevel="1" x14ac:dyDescent="0.2">
      <c r="C394" s="162" t="str">
        <v>Anillo core, puntos de acceso (ADM/multiplexadores): 2488</v>
      </c>
      <c r="D394" s="162" t="str">
        <v>Core-core PCM Mbytes voz más datos</v>
      </c>
      <c r="F394" s="64">
        <f t="array" ref="F394">SUMPRODUCT(TRANSPOSE($F$6:$F$55),F188:BC188)</f>
        <v>21406503942.699421</v>
      </c>
      <c r="H394" s="163">
        <v>0</v>
      </c>
      <c r="I394"/>
      <c r="J394" s="192">
        <v>0</v>
      </c>
      <c r="K394" s="735">
        <v>0</v>
      </c>
      <c r="L394" s="735">
        <v>0</v>
      </c>
      <c r="M394" s="192">
        <v>0</v>
      </c>
      <c r="N394" s="67">
        <v>0</v>
      </c>
      <c r="O394" s="64">
        <v>0</v>
      </c>
      <c r="Q394" s="75">
        <v>0</v>
      </c>
      <c r="R394" s="61">
        <f t="shared" si="6"/>
        <v>0</v>
      </c>
      <c r="S394" s="61">
        <f t="shared" si="7"/>
        <v>0</v>
      </c>
      <c r="T394" s="75">
        <v>0</v>
      </c>
      <c r="U394" s="75">
        <v>0</v>
      </c>
      <c r="BA394" s="86"/>
      <c r="BB394" s="86"/>
      <c r="BC394" s="86"/>
      <c r="BD394" s="86"/>
      <c r="BE394" s="86"/>
      <c r="BF394" s="86"/>
    </row>
    <row r="395" spans="3:58" hidden="1" outlineLevel="1" x14ac:dyDescent="0.2">
      <c r="C395" s="162" t="str">
        <v>Anillo core, puntos de acceso (ADM/multiplexadores): 9952</v>
      </c>
      <c r="D395" s="162" t="str">
        <v>Core-core PCM Mbytes voz más datos</v>
      </c>
      <c r="F395" s="64">
        <f t="array" ref="F395">SUMPRODUCT(TRANSPOSE($F$6:$F$55),F189:BC189)</f>
        <v>21406503942.699421</v>
      </c>
      <c r="H395" s="163">
        <v>0</v>
      </c>
      <c r="I395"/>
      <c r="J395" s="192">
        <v>0</v>
      </c>
      <c r="K395" s="735">
        <v>0</v>
      </c>
      <c r="L395" s="735">
        <v>0</v>
      </c>
      <c r="M395" s="192">
        <v>0</v>
      </c>
      <c r="N395" s="67">
        <v>0</v>
      </c>
      <c r="O395" s="64">
        <v>0</v>
      </c>
      <c r="Q395" s="75">
        <v>0</v>
      </c>
      <c r="R395" s="61">
        <f t="shared" ref="R395:R426" si="8">IF(Network.element.output=0,0,$K$267:$K$466/Network.element.output)</f>
        <v>0</v>
      </c>
      <c r="S395" s="61">
        <f t="shared" ref="S395:S426" si="9">IF(Network.element.output=0,0,$L$267:$L$466/Network.element.output)</f>
        <v>0</v>
      </c>
      <c r="T395" s="75">
        <v>0</v>
      </c>
      <c r="U395" s="75">
        <v>0</v>
      </c>
      <c r="BA395" s="86"/>
      <c r="BB395" s="86"/>
      <c r="BC395" s="86"/>
      <c r="BD395" s="86"/>
      <c r="BE395" s="86"/>
      <c r="BF395" s="86"/>
    </row>
    <row r="396" spans="3:58" hidden="1" outlineLevel="1" x14ac:dyDescent="0.2">
      <c r="C396" s="162" t="str">
        <v>Anillo core, puntos de acceso (ADM/multiplexadores): 1000</v>
      </c>
      <c r="D396" s="162" t="str">
        <v>Core-core IP Mbytes voz más datos</v>
      </c>
      <c r="F396" s="64">
        <f t="array" ref="F396">SUMPRODUCT(TRANSPOSE($F$6:$F$55),F190:BC190)</f>
        <v>21406503942.699421</v>
      </c>
      <c r="H396" s="163">
        <v>0</v>
      </c>
      <c r="I396"/>
      <c r="J396" s="192">
        <v>0</v>
      </c>
      <c r="K396" s="735">
        <v>0</v>
      </c>
      <c r="L396" s="735">
        <v>0</v>
      </c>
      <c r="M396" s="192">
        <v>0</v>
      </c>
      <c r="N396" s="67">
        <v>0</v>
      </c>
      <c r="O396" s="64">
        <v>0</v>
      </c>
      <c r="Q396" s="75">
        <v>0</v>
      </c>
      <c r="R396" s="61">
        <f t="shared" si="8"/>
        <v>0</v>
      </c>
      <c r="S396" s="61">
        <f t="shared" si="9"/>
        <v>0</v>
      </c>
      <c r="T396" s="75">
        <v>0</v>
      </c>
      <c r="U396" s="75">
        <v>0</v>
      </c>
      <c r="BA396" s="86"/>
      <c r="BB396" s="86"/>
      <c r="BC396" s="86"/>
      <c r="BD396" s="86"/>
      <c r="BE396" s="86"/>
      <c r="BF396" s="86"/>
    </row>
    <row r="397" spans="3:58" hidden="1" outlineLevel="1" x14ac:dyDescent="0.2">
      <c r="C397" s="162" t="str">
        <v>Anillo core, puntos de acceso (ADM/multiplexadores): 2500</v>
      </c>
      <c r="D397" s="162" t="str">
        <v>Core-core IP Mbytes voz más datos</v>
      </c>
      <c r="F397" s="64">
        <f t="array" ref="F397">SUMPRODUCT(TRANSPOSE($F$6:$F$55),F191:BC191)</f>
        <v>21406503942.699421</v>
      </c>
      <c r="H397" s="163">
        <v>0</v>
      </c>
      <c r="I397"/>
      <c r="J397" s="192">
        <v>0</v>
      </c>
      <c r="K397" s="735">
        <v>0</v>
      </c>
      <c r="L397" s="735">
        <v>0</v>
      </c>
      <c r="M397" s="192">
        <v>0</v>
      </c>
      <c r="N397" s="67">
        <v>0</v>
      </c>
      <c r="O397" s="64">
        <v>0</v>
      </c>
      <c r="Q397" s="75">
        <v>0</v>
      </c>
      <c r="R397" s="61">
        <f t="shared" si="8"/>
        <v>0</v>
      </c>
      <c r="S397" s="61">
        <f t="shared" si="9"/>
        <v>0</v>
      </c>
      <c r="T397" s="75">
        <v>0</v>
      </c>
      <c r="U397" s="75">
        <v>0</v>
      </c>
      <c r="BA397" s="86"/>
      <c r="BB397" s="86"/>
      <c r="BC397" s="86"/>
      <c r="BD397" s="86"/>
      <c r="BE397" s="86"/>
      <c r="BF397" s="86"/>
    </row>
    <row r="398" spans="3:58" hidden="1" outlineLevel="1" x14ac:dyDescent="0.2">
      <c r="C398" s="162" t="str">
        <v>Anillo core, puntos de acceso (ADM/multiplexadores): 10000</v>
      </c>
      <c r="D398" s="162" t="str">
        <v>Core-core IP Mbytes voz más datos</v>
      </c>
      <c r="F398" s="64">
        <f t="array" ref="F398">SUMPRODUCT(TRANSPOSE($F$6:$F$55),F192:BC192)</f>
        <v>21406503942.699421</v>
      </c>
      <c r="H398" s="163">
        <v>0</v>
      </c>
      <c r="I398"/>
      <c r="J398" s="192">
        <v>0</v>
      </c>
      <c r="K398" s="735">
        <v>0</v>
      </c>
      <c r="L398" s="735">
        <v>0</v>
      </c>
      <c r="M398" s="192">
        <v>0</v>
      </c>
      <c r="N398" s="67">
        <v>0</v>
      </c>
      <c r="O398" s="64">
        <v>0</v>
      </c>
      <c r="Q398" s="75">
        <v>0</v>
      </c>
      <c r="R398" s="61">
        <f t="shared" si="8"/>
        <v>0</v>
      </c>
      <c r="S398" s="61">
        <f t="shared" si="9"/>
        <v>0</v>
      </c>
      <c r="T398" s="75">
        <v>0</v>
      </c>
      <c r="U398" s="75">
        <v>0</v>
      </c>
      <c r="BA398" s="86"/>
      <c r="BB398" s="86"/>
      <c r="BC398" s="86"/>
      <c r="BD398" s="86"/>
      <c r="BE398" s="86"/>
      <c r="BF398" s="86"/>
    </row>
    <row r="399" spans="3:58" hidden="1" outlineLevel="1" x14ac:dyDescent="0.2">
      <c r="C399" s="162" t="str">
        <v>Anillo core, puntos de acceso (ADM/multiplexadores): 40000</v>
      </c>
      <c r="D399" s="162" t="str">
        <v>Core-core IP Mbytes voz más datos</v>
      </c>
      <c r="F399" s="64">
        <f t="array" ref="F399">SUMPRODUCT(TRANSPOSE($F$6:$F$55),F193:BC193)</f>
        <v>21406503942.699421</v>
      </c>
      <c r="H399" s="163">
        <v>89631.567495162482</v>
      </c>
      <c r="I399"/>
      <c r="J399" s="192">
        <v>0</v>
      </c>
      <c r="K399" s="735">
        <v>42103.41706867508</v>
      </c>
      <c r="L399" s="735">
        <v>48418.377259513305</v>
      </c>
      <c r="M399" s="192">
        <v>90521.794328188393</v>
      </c>
      <c r="N399" s="67">
        <v>4481.5783747581245</v>
      </c>
      <c r="O399" s="64">
        <v>95003.372702946523</v>
      </c>
      <c r="Q399" s="75">
        <v>4.2287051902774806E-6</v>
      </c>
      <c r="R399" s="61">
        <f t="shared" si="8"/>
        <v>1.9668516251591955E-6</v>
      </c>
      <c r="S399" s="61">
        <f t="shared" si="9"/>
        <v>2.2618535651182847E-6</v>
      </c>
      <c r="T399" s="75">
        <v>2.0935592223533277E-7</v>
      </c>
      <c r="U399" s="75">
        <v>4.4380611125128135E-6</v>
      </c>
      <c r="BA399" s="86"/>
      <c r="BB399" s="86"/>
      <c r="BC399" s="86"/>
      <c r="BD399" s="86"/>
      <c r="BE399" s="86"/>
      <c r="BF399" s="86"/>
    </row>
    <row r="400" spans="3:58" hidden="1" outlineLevel="1" x14ac:dyDescent="0.2">
      <c r="C400" s="162" t="str">
        <v>Fibra en la red core (km)</v>
      </c>
      <c r="D400" s="162" t="str">
        <v>Voz y datos Core-core</v>
      </c>
      <c r="F400" s="64">
        <f t="array" ref="F400">SUMPRODUCT(TRANSPOSE($F$6:$F$55),F194:BC194)</f>
        <v>21406503942.699421</v>
      </c>
      <c r="H400" s="163">
        <v>16158245.542248791</v>
      </c>
      <c r="I400"/>
      <c r="J400" s="192">
        <v>0</v>
      </c>
      <c r="K400" s="735">
        <v>15091079.936699344</v>
      </c>
      <c r="L400" s="735">
        <v>1227650.4007875486</v>
      </c>
      <c r="M400" s="192">
        <v>16318730.337486891</v>
      </c>
      <c r="N400" s="67">
        <v>807912.27711243962</v>
      </c>
      <c r="O400" s="64">
        <v>17126642.614599332</v>
      </c>
      <c r="Q400" s="75">
        <v>7.6232580439891543E-4</v>
      </c>
      <c r="R400" s="61">
        <f t="shared" si="8"/>
        <v>7.0497639302031286E-4</v>
      </c>
      <c r="S400" s="61">
        <f t="shared" si="9"/>
        <v>5.7349411378602647E-5</v>
      </c>
      <c r="T400" s="75">
        <v>3.7741439670627485E-5</v>
      </c>
      <c r="U400" s="75">
        <v>8.0006724406954301E-4</v>
      </c>
      <c r="BA400" s="86"/>
      <c r="BB400" s="86"/>
      <c r="BC400" s="86"/>
      <c r="BD400" s="86"/>
      <c r="BE400" s="86"/>
      <c r="BF400" s="86"/>
    </row>
    <row r="401" spans="3:58" hidden="1" outlineLevel="1" x14ac:dyDescent="0.2">
      <c r="C401" s="162" t="str">
        <v>Salto MW core a core</v>
      </c>
      <c r="D401" s="162" t="str">
        <v>Voz y datos Core-core</v>
      </c>
      <c r="F401" s="64">
        <f t="array" ref="F401">SUMPRODUCT(TRANSPOSE($F$6:$F$55),F195:BC195)</f>
        <v>21406503942.699421</v>
      </c>
      <c r="H401" s="163">
        <v>235115.81507594424</v>
      </c>
      <c r="I401"/>
      <c r="J401" s="192">
        <v>0</v>
      </c>
      <c r="K401" s="735">
        <v>155938.58173583364</v>
      </c>
      <c r="L401" s="735">
        <v>81512.419628810283</v>
      </c>
      <c r="M401" s="192">
        <v>237451.00136464392</v>
      </c>
      <c r="N401" s="67">
        <v>11755.790753797213</v>
      </c>
      <c r="O401" s="64">
        <v>249206.79211844114</v>
      </c>
      <c r="Q401" s="75">
        <v>1.1092469933448678E-5</v>
      </c>
      <c r="R401" s="61">
        <f t="shared" si="8"/>
        <v>7.2846356487377609E-6</v>
      </c>
      <c r="S401" s="61">
        <f t="shared" si="9"/>
        <v>3.8078342847109173E-6</v>
      </c>
      <c r="T401" s="75">
        <v>5.4916911165246423E-7</v>
      </c>
      <c r="U401" s="75">
        <v>1.1641639045101142E-5</v>
      </c>
      <c r="BA401" s="86"/>
      <c r="BB401" s="86"/>
      <c r="BC401" s="86"/>
      <c r="BD401" s="86"/>
      <c r="BE401" s="86"/>
      <c r="BF401" s="86"/>
    </row>
    <row r="402" spans="3:58" hidden="1" outlineLevel="1" x14ac:dyDescent="0.2">
      <c r="C402" s="162" t="str">
        <v>Main switching/core sites</v>
      </c>
      <c r="D402" s="162" t="str">
        <v>Suscriptores</v>
      </c>
      <c r="F402" s="64">
        <f t="array" ref="F402">SUMPRODUCT(TRANSPOSE($F$6:$F$55),F196:BC196)</f>
        <v>11487705.999999996</v>
      </c>
      <c r="H402" s="163">
        <v>781681.8776856513</v>
      </c>
      <c r="I402"/>
      <c r="J402" s="192">
        <v>781681.8776856513</v>
      </c>
      <c r="K402" s="735">
        <v>0</v>
      </c>
      <c r="L402" s="735">
        <v>0</v>
      </c>
      <c r="M402" s="192">
        <v>0</v>
      </c>
      <c r="N402" s="67">
        <v>39084.093884282564</v>
      </c>
      <c r="O402" s="64">
        <v>39084.093884282564</v>
      </c>
      <c r="Q402" s="75">
        <v>0</v>
      </c>
      <c r="R402" s="61">
        <f t="shared" si="8"/>
        <v>0</v>
      </c>
      <c r="S402" s="61">
        <f t="shared" si="9"/>
        <v>0</v>
      </c>
      <c r="T402" s="75">
        <v>3.4022540169710625E-3</v>
      </c>
      <c r="U402" s="75">
        <v>3.4022540169710625E-3</v>
      </c>
      <c r="BA402" s="86"/>
      <c r="BB402" s="86"/>
      <c r="BC402" s="86"/>
      <c r="BD402" s="86"/>
      <c r="BE402" s="86"/>
      <c r="BF402" s="86"/>
    </row>
    <row r="403" spans="3:58" hidden="1" outlineLevel="1" x14ac:dyDescent="0.2">
      <c r="C403" s="162" t="str">
        <v>Asset spare</v>
      </c>
      <c r="D403" s="162" t="str">
        <v>Spare</v>
      </c>
      <c r="F403" s="64">
        <f t="array" ref="F403">SUMPRODUCT(TRANSPOSE($F$6:$F$55),F197:BC197)</f>
        <v>0</v>
      </c>
      <c r="H403" s="163">
        <v>0</v>
      </c>
      <c r="I403"/>
      <c r="J403" s="192">
        <v>0</v>
      </c>
      <c r="K403" s="735">
        <v>0</v>
      </c>
      <c r="L403" s="735">
        <v>0</v>
      </c>
      <c r="M403" s="192">
        <v>0</v>
      </c>
      <c r="N403" s="67">
        <v>0</v>
      </c>
      <c r="O403" s="64">
        <v>0</v>
      </c>
      <c r="Q403" s="75">
        <v>0</v>
      </c>
      <c r="R403" s="61">
        <f t="shared" si="8"/>
        <v>0</v>
      </c>
      <c r="S403" s="61">
        <f t="shared" si="9"/>
        <v>0</v>
      </c>
      <c r="T403" s="75">
        <v>0</v>
      </c>
      <c r="U403" s="75">
        <v>0</v>
      </c>
      <c r="BA403" s="86"/>
      <c r="BB403" s="86"/>
      <c r="BC403" s="86"/>
      <c r="BD403" s="86"/>
      <c r="BE403" s="86"/>
      <c r="BF403" s="86"/>
    </row>
    <row r="404" spans="3:58" hidden="1" outlineLevel="1" x14ac:dyDescent="0.2">
      <c r="C404" s="162" t="str">
        <v>MSS</v>
      </c>
      <c r="D404" s="162" t="str">
        <v>Procesado 2G+3G</v>
      </c>
      <c r="F404" s="64">
        <f t="array" ref="F404">SUMPRODUCT(TRANSPOSE($F$6:$F$55),F198:BC198)</f>
        <v>155363494484.67874</v>
      </c>
      <c r="H404" s="163">
        <v>3211970.4085551267</v>
      </c>
      <c r="I404"/>
      <c r="J404" s="192">
        <v>0</v>
      </c>
      <c r="K404" s="735">
        <v>1632493.6499829721</v>
      </c>
      <c r="L404" s="735">
        <v>1611378.267432136</v>
      </c>
      <c r="M404" s="192">
        <v>3243871.9174151081</v>
      </c>
      <c r="N404" s="67">
        <v>160598.52042775636</v>
      </c>
      <c r="O404" s="64">
        <v>3404470.4378428645</v>
      </c>
      <c r="Q404" s="75">
        <v>2.0879241472873826E-5</v>
      </c>
      <c r="R404" s="61">
        <f t="shared" si="8"/>
        <v>1.0507575511208403E-5</v>
      </c>
      <c r="S404" s="61">
        <f t="shared" si="9"/>
        <v>1.0371665961665421E-5</v>
      </c>
      <c r="T404" s="75">
        <v>1.0336953411124122E-6</v>
      </c>
      <c r="U404" s="75">
        <v>2.1912936813986238E-5</v>
      </c>
      <c r="BA404" s="86"/>
      <c r="BB404" s="86"/>
      <c r="BC404" s="86"/>
      <c r="BD404" s="86"/>
      <c r="BE404" s="86"/>
      <c r="BF404" s="86"/>
    </row>
    <row r="405" spans="3:58" hidden="1" outlineLevel="1" x14ac:dyDescent="0.2">
      <c r="C405" s="162" t="str">
        <v>MGW</v>
      </c>
      <c r="D405" s="162" t="str">
        <v>GSM+UMTS voz radio solo minutos</v>
      </c>
      <c r="F405" s="64">
        <f t="array" ref="F405">SUMPRODUCT(TRANSPOSE($F$6:$F$55),F199:BC199)</f>
        <v>58108399478.68811</v>
      </c>
      <c r="H405" s="163">
        <v>2497264.9511541165</v>
      </c>
      <c r="I405"/>
      <c r="J405" s="192">
        <v>0</v>
      </c>
      <c r="K405" s="735">
        <v>1269242.4451438291</v>
      </c>
      <c r="L405" s="735">
        <v>1252825.5115899066</v>
      </c>
      <c r="M405" s="192">
        <v>2522067.9567337357</v>
      </c>
      <c r="N405" s="67">
        <v>124863.24755770584</v>
      </c>
      <c r="O405" s="64">
        <v>2646931.2042914415</v>
      </c>
      <c r="Q405" s="75">
        <v>4.3402812319047465E-5</v>
      </c>
      <c r="R405" s="61">
        <f t="shared" si="8"/>
        <v>2.1842667437593727E-5</v>
      </c>
      <c r="S405" s="61">
        <f t="shared" si="9"/>
        <v>2.1560144881453741E-5</v>
      </c>
      <c r="T405" s="75">
        <v>2.1487986018871641E-6</v>
      </c>
      <c r="U405" s="75">
        <v>4.5551610920934627E-5</v>
      </c>
      <c r="BA405" s="86"/>
      <c r="BB405" s="86"/>
      <c r="BC405" s="86"/>
      <c r="BD405" s="86"/>
      <c r="BE405" s="86"/>
      <c r="BF405" s="86"/>
    </row>
    <row r="406" spans="3:58" hidden="1" outlineLevel="1" x14ac:dyDescent="0.2">
      <c r="C406" s="162" t="str">
        <v>SGSN</v>
      </c>
      <c r="D406" s="162" t="str">
        <v>GSM, UMTS y HSPA Mbytes</v>
      </c>
      <c r="F406" s="64">
        <f t="array" ref="F406">SUMPRODUCT(TRANSPOSE($F$6:$F$55),F200:BC200)</f>
        <v>112099381944.77657</v>
      </c>
      <c r="H406" s="163">
        <v>1324557.0772522097</v>
      </c>
      <c r="I406"/>
      <c r="J406" s="192">
        <v>0</v>
      </c>
      <c r="K406" s="735">
        <v>553637.57161071734</v>
      </c>
      <c r="L406" s="735">
        <v>784075.09674624365</v>
      </c>
      <c r="M406" s="192">
        <v>1337712.6683569611</v>
      </c>
      <c r="N406" s="67">
        <v>66227.853862610486</v>
      </c>
      <c r="O406" s="64">
        <v>1403940.5222195715</v>
      </c>
      <c r="Q406" s="75">
        <v>1.1933274253161873E-5</v>
      </c>
      <c r="R406" s="61">
        <f t="shared" si="8"/>
        <v>4.9388102057820034E-6</v>
      </c>
      <c r="S406" s="61">
        <f t="shared" si="9"/>
        <v>6.9944640473798683E-6</v>
      </c>
      <c r="T406" s="75">
        <v>5.9079588766364706E-7</v>
      </c>
      <c r="U406" s="75">
        <v>1.252407014082552E-5</v>
      </c>
      <c r="BA406" s="86"/>
      <c r="BB406" s="86"/>
      <c r="BC406" s="86"/>
      <c r="BD406" s="86"/>
      <c r="BE406" s="86"/>
      <c r="BF406" s="86"/>
    </row>
    <row r="407" spans="3:58" hidden="1" outlineLevel="1" x14ac:dyDescent="0.2">
      <c r="C407" s="162" t="str">
        <v>GGSN</v>
      </c>
      <c r="D407" s="162" t="str">
        <v>GSM, UMTS y HSPA Mbytes</v>
      </c>
      <c r="F407" s="64">
        <f t="array" ref="F407">SUMPRODUCT(TRANSPOSE($F$6:$F$55),F201:BC201)</f>
        <v>112099381944.77657</v>
      </c>
      <c r="H407" s="163">
        <v>1251226.1802698087</v>
      </c>
      <c r="I407"/>
      <c r="J407" s="192">
        <v>0</v>
      </c>
      <c r="K407" s="735">
        <v>522986.76733311388</v>
      </c>
      <c r="L407" s="735">
        <v>740666.67657816596</v>
      </c>
      <c r="M407" s="192">
        <v>1263653.4439112798</v>
      </c>
      <c r="N407" s="67">
        <v>62561.309013490441</v>
      </c>
      <c r="O407" s="64">
        <v>1326214.7529247701</v>
      </c>
      <c r="Q407" s="75">
        <v>1.1272617404204713E-5</v>
      </c>
      <c r="R407" s="61">
        <f t="shared" si="8"/>
        <v>4.6653849312991974E-6</v>
      </c>
      <c r="S407" s="61">
        <f t="shared" si="9"/>
        <v>6.6072324729055156E-6</v>
      </c>
      <c r="T407" s="75">
        <v>5.5808790314571027E-7</v>
      </c>
      <c r="U407" s="75">
        <v>1.1830705307350422E-5</v>
      </c>
      <c r="BA407" s="86"/>
      <c r="BB407" s="86"/>
      <c r="BC407" s="86"/>
      <c r="BD407" s="86"/>
      <c r="BE407" s="86"/>
      <c r="BF407" s="86"/>
    </row>
    <row r="408" spans="3:58" hidden="1" outlineLevel="1" x14ac:dyDescent="0.2">
      <c r="C408" s="162" t="str">
        <v>LTE MME</v>
      </c>
      <c r="D408" s="162" t="str">
        <v>Tráfico radio LTE</v>
      </c>
      <c r="F408" s="64">
        <f t="array" ref="F408">SUMPRODUCT(TRANSPOSE($F$6:$F$55),F202:BC202)</f>
        <v>10970428245.8417</v>
      </c>
      <c r="H408" s="163">
        <v>2372074.7141714562</v>
      </c>
      <c r="I408"/>
      <c r="J408" s="192">
        <v>0</v>
      </c>
      <c r="K408" s="735">
        <v>1205614.1295249464</v>
      </c>
      <c r="L408" s="735">
        <v>1190020.1922659085</v>
      </c>
      <c r="M408" s="192">
        <v>2395634.3217908549</v>
      </c>
      <c r="N408" s="67">
        <v>118603.73570857281</v>
      </c>
      <c r="O408" s="64">
        <v>2514238.0574994278</v>
      </c>
      <c r="Q408" s="75">
        <v>2.1837199679956991E-4</v>
      </c>
      <c r="R408" s="61">
        <f t="shared" si="8"/>
        <v>1.0989672440380165E-4</v>
      </c>
      <c r="S408" s="61">
        <f t="shared" si="9"/>
        <v>1.0847527239576825E-4</v>
      </c>
      <c r="T408" s="75">
        <v>1.0811222046279654E-5</v>
      </c>
      <c r="U408" s="75">
        <v>2.2918321884584955E-4</v>
      </c>
      <c r="BA408" s="86"/>
      <c r="BB408" s="86"/>
      <c r="BC408" s="86"/>
      <c r="BD408" s="86"/>
      <c r="BE408" s="86"/>
      <c r="BF408" s="86"/>
    </row>
    <row r="409" spans="3:58" hidden="1" outlineLevel="1" x14ac:dyDescent="0.2">
      <c r="C409" s="162" t="str">
        <v>LTE SGW</v>
      </c>
      <c r="D409" s="162" t="str">
        <v>Tráfico radio LTE</v>
      </c>
      <c r="F409" s="64">
        <f t="array" ref="F409">SUMPRODUCT(TRANSPOSE($F$6:$F$55),F203:BC203)</f>
        <v>10970428245.8417</v>
      </c>
      <c r="H409" s="163">
        <v>3146572.5235641841</v>
      </c>
      <c r="I409"/>
      <c r="J409" s="192">
        <v>0</v>
      </c>
      <c r="K409" s="735">
        <v>1599254.9776447497</v>
      </c>
      <c r="L409" s="735">
        <v>1578569.5185315397</v>
      </c>
      <c r="M409" s="192">
        <v>3177824.4961762894</v>
      </c>
      <c r="N409" s="67">
        <v>157328.6261782092</v>
      </c>
      <c r="O409" s="64">
        <v>3335153.1223544986</v>
      </c>
      <c r="Q409" s="75">
        <v>2.8967187287158385E-4</v>
      </c>
      <c r="R409" s="61">
        <f t="shared" si="8"/>
        <v>1.4577871909885937E-4</v>
      </c>
      <c r="S409" s="61">
        <f t="shared" si="9"/>
        <v>1.4389315377272448E-4</v>
      </c>
      <c r="T409" s="75">
        <v>1.4341156302430038E-5</v>
      </c>
      <c r="U409" s="75">
        <v>3.040130291740139E-4</v>
      </c>
      <c r="BA409" s="86"/>
      <c r="BB409" s="86"/>
      <c r="BC409" s="86"/>
      <c r="BD409" s="86"/>
      <c r="BE409" s="86"/>
      <c r="BF409" s="86"/>
    </row>
    <row r="410" spans="3:58" hidden="1" outlineLevel="1" x14ac:dyDescent="0.2">
      <c r="C410" s="162" t="str">
        <v>HLR</v>
      </c>
      <c r="D410" s="162" t="str">
        <v>Suscriptores</v>
      </c>
      <c r="F410" s="64">
        <f t="array" ref="F410">SUMPRODUCT(TRANSPOSE($F$6:$F$55),F204:BC204)</f>
        <v>11487705.999999996</v>
      </c>
      <c r="H410" s="163">
        <v>2810240.5436107679</v>
      </c>
      <c r="I410"/>
      <c r="J410" s="192">
        <v>2810240.5436107679</v>
      </c>
      <c r="K410" s="735">
        <v>0</v>
      </c>
      <c r="L410" s="735">
        <v>0</v>
      </c>
      <c r="M410" s="192">
        <v>0</v>
      </c>
      <c r="N410" s="67">
        <v>140512.0271805384</v>
      </c>
      <c r="O410" s="64">
        <v>140512.0271805384</v>
      </c>
      <c r="Q410" s="75">
        <v>0</v>
      </c>
      <c r="R410" s="61">
        <f t="shared" si="8"/>
        <v>0</v>
      </c>
      <c r="S410" s="61">
        <f t="shared" si="9"/>
        <v>0</v>
      </c>
      <c r="T410" s="75">
        <v>1.2231513165512631E-2</v>
      </c>
      <c r="U410" s="75">
        <v>1.2231513165512631E-2</v>
      </c>
      <c r="BA410" s="86"/>
      <c r="BB410" s="86"/>
      <c r="BC410" s="86"/>
      <c r="BD410" s="86"/>
      <c r="BE410" s="86"/>
      <c r="BF410" s="86"/>
    </row>
    <row r="411" spans="3:58" hidden="1" outlineLevel="1" x14ac:dyDescent="0.2">
      <c r="C411" s="162" t="str">
        <v>AUC</v>
      </c>
      <c r="D411" s="162" t="str">
        <v>Suscriptores</v>
      </c>
      <c r="F411" s="64">
        <f t="array" ref="F411">SUMPRODUCT(TRANSPOSE($F$6:$F$55),F205:BC205)</f>
        <v>11487705.999999996</v>
      </c>
      <c r="H411" s="163">
        <v>607920.05376580008</v>
      </c>
      <c r="I411"/>
      <c r="J411" s="192">
        <v>607920.05376580008</v>
      </c>
      <c r="K411" s="735">
        <v>0</v>
      </c>
      <c r="L411" s="735">
        <v>0</v>
      </c>
      <c r="M411" s="192">
        <v>0</v>
      </c>
      <c r="N411" s="67">
        <v>30396.002688290006</v>
      </c>
      <c r="O411" s="64">
        <v>30396.002688290006</v>
      </c>
      <c r="Q411" s="75">
        <v>0</v>
      </c>
      <c r="R411" s="61">
        <f t="shared" si="8"/>
        <v>0</v>
      </c>
      <c r="S411" s="61">
        <f t="shared" si="9"/>
        <v>0</v>
      </c>
      <c r="T411" s="75">
        <v>2.6459593140954352E-3</v>
      </c>
      <c r="U411" s="75">
        <v>2.6459593140954352E-3</v>
      </c>
      <c r="BA411" s="86"/>
      <c r="BB411" s="86"/>
      <c r="BC411" s="86"/>
      <c r="BD411" s="86"/>
      <c r="BE411" s="86"/>
      <c r="BF411" s="86"/>
    </row>
    <row r="412" spans="3:58" hidden="1" outlineLevel="1" x14ac:dyDescent="0.2">
      <c r="C412" s="162" t="str">
        <v>EIR</v>
      </c>
      <c r="D412" s="162" t="str">
        <v>Suscriptores</v>
      </c>
      <c r="F412" s="64">
        <f t="array" ref="F412">SUMPRODUCT(TRANSPOSE($F$6:$F$55),F206:BC206)</f>
        <v>11487705.999999996</v>
      </c>
      <c r="H412" s="163">
        <v>1020767.5591586188</v>
      </c>
      <c r="I412"/>
      <c r="J412" s="192">
        <v>1020767.5591586188</v>
      </c>
      <c r="K412" s="735">
        <v>0</v>
      </c>
      <c r="L412" s="735">
        <v>0</v>
      </c>
      <c r="M412" s="192">
        <v>0</v>
      </c>
      <c r="N412" s="67">
        <v>51038.377957930941</v>
      </c>
      <c r="O412" s="64">
        <v>51038.377957930941</v>
      </c>
      <c r="Q412" s="75">
        <v>0</v>
      </c>
      <c r="R412" s="61">
        <f t="shared" si="8"/>
        <v>0</v>
      </c>
      <c r="S412" s="61">
        <f t="shared" si="9"/>
        <v>0</v>
      </c>
      <c r="T412" s="75">
        <v>4.4428694430316161E-3</v>
      </c>
      <c r="U412" s="75">
        <v>4.4428694430316161E-3</v>
      </c>
      <c r="BA412" s="86"/>
      <c r="BB412" s="86"/>
      <c r="BC412" s="86"/>
      <c r="BD412" s="86"/>
      <c r="BE412" s="86"/>
      <c r="BF412" s="86"/>
    </row>
    <row r="413" spans="3:58" hidden="1" outlineLevel="1" x14ac:dyDescent="0.2">
      <c r="C413" s="162" t="str">
        <v>IN (SCP+SMP)</v>
      </c>
      <c r="D413" s="162" t="str">
        <v>Eventos de originación y terminación de llamadas y SMS</v>
      </c>
      <c r="F413" s="64">
        <f t="array" ref="F413">SUMPRODUCT(TRANSPOSE($F$6:$F$55),F207:BC207)</f>
        <v>43176283327.337151</v>
      </c>
      <c r="H413" s="163">
        <v>2310690.0768737891</v>
      </c>
      <c r="I413"/>
      <c r="J413" s="192">
        <v>0</v>
      </c>
      <c r="K413" s="735">
        <v>965820.85051348608</v>
      </c>
      <c r="L413" s="735">
        <v>1367819.1575812509</v>
      </c>
      <c r="M413" s="192">
        <v>2333640.0080947373</v>
      </c>
      <c r="N413" s="67">
        <v>115534.50384368945</v>
      </c>
      <c r="O413" s="64">
        <v>2449174.5119384266</v>
      </c>
      <c r="Q413" s="75">
        <v>5.4049117437979856E-5</v>
      </c>
      <c r="R413" s="61">
        <f t="shared" si="8"/>
        <v>2.2369244781705761E-5</v>
      </c>
      <c r="S413" s="61">
        <f t="shared" si="9"/>
        <v>3.1679872656274085E-5</v>
      </c>
      <c r="T413" s="75">
        <v>2.6758788608036243E-6</v>
      </c>
      <c r="U413" s="75">
        <v>5.6724996298783478E-5</v>
      </c>
      <c r="BA413" s="86"/>
      <c r="BB413" s="86"/>
      <c r="BC413" s="86"/>
      <c r="BD413" s="86"/>
      <c r="BE413" s="86"/>
      <c r="BF413" s="86"/>
    </row>
    <row r="414" spans="3:58" hidden="1" outlineLevel="1" x14ac:dyDescent="0.2">
      <c r="C414" s="162" t="str">
        <v>Asset spare</v>
      </c>
      <c r="D414" s="162" t="str">
        <v>Spare</v>
      </c>
      <c r="F414" s="64">
        <f t="array" ref="F414">SUMPRODUCT(TRANSPOSE($F$6:$F$55),F208:BC208)</f>
        <v>0</v>
      </c>
      <c r="H414" s="163">
        <v>0</v>
      </c>
      <c r="I414"/>
      <c r="J414" s="192">
        <v>0</v>
      </c>
      <c r="K414" s="735">
        <v>0</v>
      </c>
      <c r="L414" s="735">
        <v>0</v>
      </c>
      <c r="M414" s="192">
        <v>0</v>
      </c>
      <c r="N414" s="67">
        <v>0</v>
      </c>
      <c r="O414" s="64">
        <v>0</v>
      </c>
      <c r="Q414" s="75">
        <v>0</v>
      </c>
      <c r="R414" s="61">
        <f t="shared" si="8"/>
        <v>0</v>
      </c>
      <c r="S414" s="61">
        <f t="shared" si="9"/>
        <v>0</v>
      </c>
      <c r="T414" s="75">
        <v>0</v>
      </c>
      <c r="U414" s="75">
        <v>0</v>
      </c>
      <c r="BA414" s="86"/>
      <c r="BB414" s="86"/>
      <c r="BC414" s="86"/>
      <c r="BD414" s="86"/>
      <c r="BE414" s="86"/>
      <c r="BF414" s="86"/>
    </row>
    <row r="415" spans="3:58" hidden="1" outlineLevel="1" x14ac:dyDescent="0.2">
      <c r="C415" s="162" t="str">
        <v>Asset spare</v>
      </c>
      <c r="D415" s="162" t="str">
        <v>Spare</v>
      </c>
      <c r="F415" s="64">
        <f t="array" ref="F415">SUMPRODUCT(TRANSPOSE($F$6:$F$55),F209:BC209)</f>
        <v>0</v>
      </c>
      <c r="H415" s="163">
        <v>0</v>
      </c>
      <c r="I415"/>
      <c r="J415" s="192">
        <v>0</v>
      </c>
      <c r="K415" s="735">
        <v>0</v>
      </c>
      <c r="L415" s="735">
        <v>0</v>
      </c>
      <c r="M415" s="192">
        <v>0</v>
      </c>
      <c r="N415" s="67">
        <v>0</v>
      </c>
      <c r="O415" s="64">
        <v>0</v>
      </c>
      <c r="Q415" s="75">
        <v>0</v>
      </c>
      <c r="R415" s="61">
        <f t="shared" si="8"/>
        <v>0</v>
      </c>
      <c r="S415" s="61">
        <f t="shared" si="9"/>
        <v>0</v>
      </c>
      <c r="T415" s="75">
        <v>0</v>
      </c>
      <c r="U415" s="75">
        <v>0</v>
      </c>
      <c r="BA415" s="86"/>
      <c r="BB415" s="86"/>
      <c r="BC415" s="86"/>
      <c r="BD415" s="86"/>
      <c r="BE415" s="86"/>
      <c r="BF415" s="86"/>
    </row>
    <row r="416" spans="3:58" hidden="1" outlineLevel="1" x14ac:dyDescent="0.2">
      <c r="C416" s="162" t="str">
        <v>SMSC</v>
      </c>
      <c r="D416" s="162" t="str">
        <v>SMS originado</v>
      </c>
      <c r="F416" s="64">
        <f t="array" ref="F416">SUMPRODUCT(TRANSPOSE($F$6:$F$55),F210:BC210)</f>
        <v>3421445632.1570067</v>
      </c>
      <c r="H416" s="163">
        <v>1903763.240326989</v>
      </c>
      <c r="I416"/>
      <c r="J416" s="192">
        <v>0</v>
      </c>
      <c r="K416" s="735">
        <v>795733.81577704032</v>
      </c>
      <c r="L416" s="735">
        <v>1126937.7307151721</v>
      </c>
      <c r="M416" s="192">
        <v>1922671.5464922125</v>
      </c>
      <c r="N416" s="67">
        <v>95188.162016349452</v>
      </c>
      <c r="O416" s="64">
        <v>2017859.7085085618</v>
      </c>
      <c r="Q416" s="75">
        <v>5.6194712796885473E-4</v>
      </c>
      <c r="R416" s="61">
        <f t="shared" si="8"/>
        <v>2.3257239814019202E-4</v>
      </c>
      <c r="S416" s="61">
        <f t="shared" si="9"/>
        <v>3.2937472982866268E-4</v>
      </c>
      <c r="T416" s="75">
        <v>2.7821035974299345E-5</v>
      </c>
      <c r="U416" s="75">
        <v>5.8976816394315404E-4</v>
      </c>
      <c r="BA416" s="86"/>
      <c r="BB416" s="86"/>
      <c r="BC416" s="86"/>
      <c r="BD416" s="86"/>
      <c r="BE416" s="86"/>
      <c r="BF416" s="86"/>
    </row>
    <row r="417" spans="3:58" hidden="1" outlineLevel="1" x14ac:dyDescent="0.2">
      <c r="C417" s="162" t="str">
        <v>MMSC</v>
      </c>
      <c r="D417" s="162" t="str">
        <v>SMS originado</v>
      </c>
      <c r="F417" s="64">
        <f t="array" ref="F417">SUMPRODUCT(TRANSPOSE($F$6:$F$55),F211:BC211)</f>
        <v>3421445632.1570067</v>
      </c>
      <c r="H417" s="163">
        <v>458957.12441347627</v>
      </c>
      <c r="I417"/>
      <c r="J417" s="192">
        <v>0</v>
      </c>
      <c r="K417" s="735">
        <v>191834.62320916835</v>
      </c>
      <c r="L417" s="735">
        <v>271680.89462282462</v>
      </c>
      <c r="M417" s="192">
        <v>463515.517831993</v>
      </c>
      <c r="N417" s="67">
        <v>22947.856220673813</v>
      </c>
      <c r="O417" s="64">
        <v>486463.37405266683</v>
      </c>
      <c r="Q417" s="75">
        <v>1.3547358855437242E-4</v>
      </c>
      <c r="R417" s="61">
        <f t="shared" si="8"/>
        <v>5.606829505229597E-5</v>
      </c>
      <c r="S417" s="61">
        <f t="shared" si="9"/>
        <v>7.9405293502076446E-5</v>
      </c>
      <c r="T417" s="75">
        <v>6.707064407218603E-6</v>
      </c>
      <c r="U417" s="75">
        <v>1.4218065296159104E-4</v>
      </c>
      <c r="BA417" s="86"/>
      <c r="BB417" s="86"/>
      <c r="BC417" s="86"/>
      <c r="BD417" s="86"/>
      <c r="BE417" s="86"/>
      <c r="BF417" s="86"/>
    </row>
    <row r="418" spans="3:58" hidden="1" outlineLevel="1" x14ac:dyDescent="0.2">
      <c r="C418" s="162" t="str">
        <v>Asset spare</v>
      </c>
      <c r="D418" s="162" t="str">
        <v>Spare</v>
      </c>
      <c r="F418" s="64">
        <f t="array" ref="F418">SUMPRODUCT(TRANSPOSE($F$6:$F$55),F212:BC212)</f>
        <v>0</v>
      </c>
      <c r="H418" s="163">
        <v>0</v>
      </c>
      <c r="I418"/>
      <c r="J418" s="192">
        <v>0</v>
      </c>
      <c r="K418" s="735">
        <v>0</v>
      </c>
      <c r="L418" s="735">
        <v>0</v>
      </c>
      <c r="M418" s="192">
        <v>0</v>
      </c>
      <c r="N418" s="67">
        <v>0</v>
      </c>
      <c r="O418" s="64">
        <v>0</v>
      </c>
      <c r="Q418" s="75">
        <v>0</v>
      </c>
      <c r="R418" s="61">
        <f t="shared" si="8"/>
        <v>0</v>
      </c>
      <c r="S418" s="61">
        <f t="shared" si="9"/>
        <v>0</v>
      </c>
      <c r="T418" s="75">
        <v>0</v>
      </c>
      <c r="U418" s="75">
        <v>0</v>
      </c>
      <c r="BA418" s="86"/>
      <c r="BB418" s="86"/>
      <c r="BC418" s="86"/>
      <c r="BD418" s="86"/>
      <c r="BE418" s="86"/>
      <c r="BF418" s="86"/>
    </row>
    <row r="419" spans="3:58" hidden="1" outlineLevel="1" x14ac:dyDescent="0.2">
      <c r="C419" s="162" t="str">
        <v>MSC/MGW STM1 ports for voice traffic</v>
      </c>
      <c r="D419" s="162" t="str">
        <v>Minutos de voz</v>
      </c>
      <c r="F419" s="64">
        <f t="array" ref="F419">SUMPRODUCT(TRANSPOSE($F$6:$F$55),F213:BC213)</f>
        <v>29661432991.555622</v>
      </c>
      <c r="H419" s="163">
        <v>553414.85254294856</v>
      </c>
      <c r="I419"/>
      <c r="J419" s="192">
        <v>0</v>
      </c>
      <c r="K419" s="735">
        <v>253790.04177506923</v>
      </c>
      <c r="L419" s="735">
        <v>305121.36477554403</v>
      </c>
      <c r="M419" s="192">
        <v>558911.40655061335</v>
      </c>
      <c r="N419" s="67">
        <v>27670.742627147429</v>
      </c>
      <c r="O419" s="64">
        <v>586582.14917776082</v>
      </c>
      <c r="Q419" s="75">
        <v>1.8843034546231499E-5</v>
      </c>
      <c r="R419" s="61">
        <f t="shared" si="8"/>
        <v>8.5562299652657131E-6</v>
      </c>
      <c r="S419" s="61">
        <f t="shared" si="9"/>
        <v>1.0286804580965784E-5</v>
      </c>
      <c r="T419" s="75">
        <v>9.3288623766171627E-7</v>
      </c>
      <c r="U419" s="75">
        <v>1.9775920783893217E-5</v>
      </c>
      <c r="BA419" s="86"/>
      <c r="BB419" s="86"/>
      <c r="BC419" s="86"/>
      <c r="BD419" s="86"/>
      <c r="BE419" s="86"/>
      <c r="BF419" s="86"/>
    </row>
    <row r="420" spans="3:58" hidden="1" outlineLevel="1" x14ac:dyDescent="0.2">
      <c r="C420" s="162" t="str">
        <v>PoI STM1 Gateway</v>
      </c>
      <c r="D420" s="162" t="str">
        <v>Tráfico de interconexión</v>
      </c>
      <c r="F420" s="64">
        <f t="array" ref="F420">SUMPRODUCT(TRANSPOSE($F$6:$F$55),F214:BC214)</f>
        <v>16146582655.774099</v>
      </c>
      <c r="H420" s="163">
        <v>400235.05614456546</v>
      </c>
      <c r="I420"/>
      <c r="J420" s="192">
        <v>0</v>
      </c>
      <c r="K420" s="735">
        <v>203420.67470992007</v>
      </c>
      <c r="L420" s="735">
        <v>200789.54327164835</v>
      </c>
      <c r="M420" s="192">
        <v>404210.21798156836</v>
      </c>
      <c r="N420" s="67">
        <v>20011.752807228273</v>
      </c>
      <c r="O420" s="64">
        <v>424221.97078879667</v>
      </c>
      <c r="Q420" s="75">
        <v>2.5033793626728858E-5</v>
      </c>
      <c r="R420" s="61">
        <f t="shared" si="8"/>
        <v>1.2598373231451289E-5</v>
      </c>
      <c r="S420" s="61">
        <f t="shared" si="9"/>
        <v>1.2435420395277572E-5</v>
      </c>
      <c r="T420" s="75">
        <v>1.2393800740289754E-6</v>
      </c>
      <c r="U420" s="75">
        <v>2.6273173700757835E-5</v>
      </c>
      <c r="BA420" s="86"/>
      <c r="BB420" s="86"/>
      <c r="BC420" s="86"/>
      <c r="BD420" s="86"/>
      <c r="BE420" s="86"/>
      <c r="BF420" s="86"/>
    </row>
    <row r="421" spans="3:58" hidden="1" outlineLevel="1" x14ac:dyDescent="0.2">
      <c r="C421" s="162" t="str">
        <v>I-SBC</v>
      </c>
      <c r="D421" s="162" t="str">
        <v>Tráfico de interconexión</v>
      </c>
      <c r="F421" s="64">
        <f t="array" ref="F421">SUMPRODUCT(TRANSPOSE($F$6:$F$55),F215:BC215)</f>
        <v>16146582655.774099</v>
      </c>
      <c r="H421" s="163">
        <v>0</v>
      </c>
      <c r="I421"/>
      <c r="J421" s="192">
        <v>0</v>
      </c>
      <c r="K421" s="735">
        <v>0</v>
      </c>
      <c r="L421" s="735">
        <v>0</v>
      </c>
      <c r="M421" s="192">
        <v>0</v>
      </c>
      <c r="N421" s="67">
        <v>0</v>
      </c>
      <c r="O421" s="64">
        <v>0</v>
      </c>
      <c r="Q421" s="75">
        <v>0</v>
      </c>
      <c r="R421" s="61">
        <f t="shared" si="8"/>
        <v>0</v>
      </c>
      <c r="S421" s="61">
        <f t="shared" si="9"/>
        <v>0</v>
      </c>
      <c r="T421" s="75">
        <v>0</v>
      </c>
      <c r="U421" s="75">
        <v>0</v>
      </c>
      <c r="BA421" s="86"/>
      <c r="BB421" s="86"/>
      <c r="BC421" s="86"/>
      <c r="BD421" s="86"/>
      <c r="BE421" s="86"/>
      <c r="BF421" s="86"/>
    </row>
    <row r="422" spans="3:58" hidden="1" outlineLevel="1" x14ac:dyDescent="0.2">
      <c r="C422" s="162" t="str">
        <v>Asset spare</v>
      </c>
      <c r="D422" s="162" t="str">
        <v>Spare</v>
      </c>
      <c r="F422" s="64">
        <f t="array" ref="F422">SUMPRODUCT(TRANSPOSE($F$6:$F$55),F216:BC216)</f>
        <v>0</v>
      </c>
      <c r="H422" s="163">
        <v>0</v>
      </c>
      <c r="I422"/>
      <c r="J422" s="192">
        <v>0</v>
      </c>
      <c r="K422" s="735">
        <v>0</v>
      </c>
      <c r="L422" s="735">
        <v>0</v>
      </c>
      <c r="M422" s="192">
        <v>0</v>
      </c>
      <c r="N422" s="67">
        <v>0</v>
      </c>
      <c r="O422" s="64">
        <v>0</v>
      </c>
      <c r="Q422" s="75">
        <v>0</v>
      </c>
      <c r="R422" s="61">
        <f t="shared" si="8"/>
        <v>0</v>
      </c>
      <c r="S422" s="61">
        <f t="shared" si="9"/>
        <v>0</v>
      </c>
      <c r="T422" s="75">
        <v>0</v>
      </c>
      <c r="U422" s="75">
        <v>0</v>
      </c>
      <c r="BA422" s="86"/>
      <c r="BB422" s="86"/>
      <c r="BC422" s="86"/>
      <c r="BD422" s="86"/>
      <c r="BE422" s="86"/>
      <c r="BF422" s="86"/>
    </row>
    <row r="423" spans="3:58" hidden="1" outlineLevel="1" x14ac:dyDescent="0.2">
      <c r="C423" s="162" t="str">
        <v>MSS software</v>
      </c>
      <c r="D423" s="162" t="str">
        <v>Procesado 2G+3G</v>
      </c>
      <c r="F423" s="64">
        <f t="array" ref="F423">SUMPRODUCT(TRANSPOSE($F$6:$F$55),F217:BC217)</f>
        <v>155363494484.67874</v>
      </c>
      <c r="H423" s="163">
        <v>1008752.6100431499</v>
      </c>
      <c r="I423"/>
      <c r="J423" s="192">
        <v>0</v>
      </c>
      <c r="K423" s="735">
        <v>407173.73614322237</v>
      </c>
      <c r="L423" s="735">
        <v>611597.87352741696</v>
      </c>
      <c r="M423" s="192">
        <v>1018771.6096706394</v>
      </c>
      <c r="N423" s="67">
        <v>50437.630502157495</v>
      </c>
      <c r="O423" s="64">
        <v>1069209.2401727969</v>
      </c>
      <c r="Q423" s="75">
        <v>6.5573422704592046E-6</v>
      </c>
      <c r="R423" s="61">
        <f t="shared" si="8"/>
        <v>2.6207812684296699E-6</v>
      </c>
      <c r="S423" s="61">
        <f t="shared" si="9"/>
        <v>3.9365610020295338E-6</v>
      </c>
      <c r="T423" s="75">
        <v>3.246427397211475E-7</v>
      </c>
      <c r="U423" s="75">
        <v>6.8819850101803519E-6</v>
      </c>
      <c r="BA423" s="86"/>
      <c r="BB423" s="86"/>
      <c r="BC423" s="86"/>
      <c r="BD423" s="86"/>
      <c r="BE423" s="86"/>
      <c r="BF423" s="86"/>
    </row>
    <row r="424" spans="3:58" hidden="1" outlineLevel="1" x14ac:dyDescent="0.2">
      <c r="C424" s="162" t="str">
        <v>SGSN software</v>
      </c>
      <c r="D424" s="162" t="str">
        <v>GSM, UMTS y HSPA Mbytes</v>
      </c>
      <c r="F424" s="64">
        <f t="array" ref="F424">SUMPRODUCT(TRANSPOSE($F$6:$F$55),F218:BC218)</f>
        <v>112099381944.77657</v>
      </c>
      <c r="H424" s="163">
        <v>2458.6506763733919</v>
      </c>
      <c r="I424"/>
      <c r="J424" s="192">
        <v>0</v>
      </c>
      <c r="K424" s="735">
        <v>992.41178838406393</v>
      </c>
      <c r="L424" s="735">
        <v>1490.6583739618679</v>
      </c>
      <c r="M424" s="192">
        <v>2483.0701623459317</v>
      </c>
      <c r="N424" s="67">
        <v>122.9325338186696</v>
      </c>
      <c r="O424" s="64">
        <v>2606.0026961646013</v>
      </c>
      <c r="Q424" s="75">
        <v>2.2150614207392907E-8</v>
      </c>
      <c r="R424" s="61">
        <f t="shared" si="8"/>
        <v>8.8529639607911046E-9</v>
      </c>
      <c r="S424" s="61">
        <f t="shared" si="9"/>
        <v>1.3297650246601804E-8</v>
      </c>
      <c r="T424" s="75">
        <v>1.0966388189297044E-9</v>
      </c>
      <c r="U424" s="75">
        <v>2.3247253026322612E-8</v>
      </c>
      <c r="BA424" s="86"/>
      <c r="BB424" s="86"/>
      <c r="BC424" s="86"/>
      <c r="BD424" s="86"/>
      <c r="BE424" s="86"/>
      <c r="BF424" s="86"/>
    </row>
    <row r="425" spans="3:58" hidden="1" outlineLevel="1" x14ac:dyDescent="0.2">
      <c r="C425" s="162" t="str">
        <v>GGSN software</v>
      </c>
      <c r="D425" s="162" t="str">
        <v>GSM, UMTS y HSPA Mbytes</v>
      </c>
      <c r="F425" s="64">
        <f t="array" ref="F425">SUMPRODUCT(TRANSPOSE($F$6:$F$55),F219:BC219)</f>
        <v>112099381944.77657</v>
      </c>
      <c r="H425" s="163">
        <v>3764.4412269831837</v>
      </c>
      <c r="I425"/>
      <c r="J425" s="192">
        <v>0</v>
      </c>
      <c r="K425" s="735">
        <v>1519.4821640330165</v>
      </c>
      <c r="L425" s="735">
        <v>2282.3477496066876</v>
      </c>
      <c r="M425" s="192">
        <v>3801.829913639704</v>
      </c>
      <c r="N425" s="67">
        <v>188.22206134915919</v>
      </c>
      <c r="O425" s="64">
        <v>3990.0519749888631</v>
      </c>
      <c r="Q425" s="75">
        <v>3.3914816011319282E-8</v>
      </c>
      <c r="R425" s="61">
        <f t="shared" si="8"/>
        <v>1.3554777356235182E-8</v>
      </c>
      <c r="S425" s="61">
        <f t="shared" si="9"/>
        <v>2.0360038655084102E-8</v>
      </c>
      <c r="T425" s="75">
        <v>1.6790642203708391E-9</v>
      </c>
      <c r="U425" s="75">
        <v>3.5593880231690122E-8</v>
      </c>
      <c r="BA425" s="86"/>
      <c r="BB425" s="86"/>
      <c r="BC425" s="86"/>
      <c r="BD425" s="86"/>
      <c r="BE425" s="86"/>
      <c r="BF425" s="86"/>
    </row>
    <row r="426" spans="3:58" hidden="1" outlineLevel="1" x14ac:dyDescent="0.2">
      <c r="C426" s="162" t="str">
        <v>MME software</v>
      </c>
      <c r="D426" s="162" t="str">
        <v>Tráfico radio LTE</v>
      </c>
      <c r="F426" s="64">
        <f t="array" ref="F426">SUMPRODUCT(TRANSPOSE($F$6:$F$55),F220:BC220)</f>
        <v>10970428245.8417</v>
      </c>
      <c r="H426" s="163">
        <v>695833.43305017287</v>
      </c>
      <c r="I426"/>
      <c r="J426" s="192">
        <v>0</v>
      </c>
      <c r="K426" s="735">
        <v>280866.78125797788</v>
      </c>
      <c r="L426" s="735">
        <v>421877.71684136119</v>
      </c>
      <c r="M426" s="192">
        <v>702744.49809933908</v>
      </c>
      <c r="N426" s="67">
        <v>34791.671652508645</v>
      </c>
      <c r="O426" s="64">
        <v>737536.16975184774</v>
      </c>
      <c r="Q426" s="75">
        <v>6.4058073427143721E-5</v>
      </c>
      <c r="R426" s="61">
        <f t="shared" si="8"/>
        <v>2.5602171124398851E-5</v>
      </c>
      <c r="S426" s="61">
        <f t="shared" si="9"/>
        <v>3.8455902302744874E-5</v>
      </c>
      <c r="T426" s="75">
        <v>3.1714050602989268E-6</v>
      </c>
      <c r="U426" s="75">
        <v>6.722947848744265E-5</v>
      </c>
      <c r="BA426" s="86"/>
      <c r="BB426" s="86"/>
      <c r="BC426" s="86"/>
      <c r="BD426" s="86"/>
      <c r="BE426" s="86"/>
      <c r="BF426" s="86"/>
    </row>
    <row r="427" spans="3:58" hidden="1" outlineLevel="1" x14ac:dyDescent="0.2">
      <c r="C427" s="162" t="str">
        <v>SGW software</v>
      </c>
      <c r="D427" s="162" t="str">
        <v>Tráfico radio LTE</v>
      </c>
      <c r="F427" s="64">
        <f t="array" ref="F427">SUMPRODUCT(TRANSPOSE($F$6:$F$55),F221:BC221)</f>
        <v>10970428245.8417</v>
      </c>
      <c r="H427" s="163">
        <v>1741.0540674797226</v>
      </c>
      <c r="I427"/>
      <c r="J427" s="192">
        <v>0</v>
      </c>
      <c r="K427" s="735">
        <v>702.76050086527016</v>
      </c>
      <c r="L427" s="735">
        <v>1055.585834193093</v>
      </c>
      <c r="M427" s="192">
        <v>1758.3463350583634</v>
      </c>
      <c r="N427" s="67">
        <v>87.052703373986134</v>
      </c>
      <c r="O427" s="64">
        <v>1845.3990384323495</v>
      </c>
      <c r="Q427" s="75">
        <v>1.6028055565878734E-7</v>
      </c>
      <c r="R427" s="61">
        <f t="shared" ref="R427:R458" si="10">IF(Network.element.output=0,0,$K$267:$K$466/Network.element.output)</f>
        <v>6.4059532145579542E-8</v>
      </c>
      <c r="S427" s="61">
        <f t="shared" ref="S427:S458" si="11">IF(Network.element.output=0,0,$L$267:$L$466/Network.element.output)</f>
        <v>9.6221023513207776E-8</v>
      </c>
      <c r="T427" s="75">
        <v>7.935214690181593E-9</v>
      </c>
      <c r="U427" s="75">
        <v>1.6821577034896893E-7</v>
      </c>
      <c r="BA427" s="86"/>
      <c r="BB427" s="86"/>
      <c r="BC427" s="86"/>
      <c r="BD427" s="86"/>
      <c r="BE427" s="86"/>
      <c r="BF427" s="86"/>
    </row>
    <row r="428" spans="3:58" hidden="1" outlineLevel="1" x14ac:dyDescent="0.2">
      <c r="C428" s="162" t="str">
        <v>HLR software</v>
      </c>
      <c r="D428" s="162" t="str">
        <v>Suscriptores</v>
      </c>
      <c r="F428" s="64">
        <f t="array" ref="F428">SUMPRODUCT(TRANSPOSE($F$6:$F$55),F222:BC222)</f>
        <v>11487705.999999996</v>
      </c>
      <c r="H428" s="163">
        <v>1941.0400076632041</v>
      </c>
      <c r="I428"/>
      <c r="J428" s="192">
        <v>1941.0400076632041</v>
      </c>
      <c r="K428" s="735">
        <v>0</v>
      </c>
      <c r="L428" s="735">
        <v>0</v>
      </c>
      <c r="M428" s="192">
        <v>0</v>
      </c>
      <c r="N428" s="67">
        <v>97.052000383160205</v>
      </c>
      <c r="O428" s="64">
        <v>97.052000383160205</v>
      </c>
      <c r="Q428" s="75">
        <v>0</v>
      </c>
      <c r="R428" s="61">
        <f t="shared" si="10"/>
        <v>0</v>
      </c>
      <c r="S428" s="61">
        <f t="shared" si="11"/>
        <v>0</v>
      </c>
      <c r="T428" s="75">
        <v>8.4483360196683509E-6</v>
      </c>
      <c r="U428" s="75">
        <v>8.4483360196683509E-6</v>
      </c>
      <c r="BA428" s="86"/>
      <c r="BB428" s="86"/>
      <c r="BC428" s="86"/>
      <c r="BD428" s="86"/>
      <c r="BE428" s="86"/>
      <c r="BF428" s="86"/>
    </row>
    <row r="429" spans="3:58" hidden="1" outlineLevel="1" x14ac:dyDescent="0.2">
      <c r="C429" s="162" t="str">
        <v>Call server – hardware</v>
      </c>
      <c r="D429" s="162" t="str">
        <v>Tráfico de voz LTE (VoLTE)</v>
      </c>
      <c r="F429" s="64">
        <f t="array" ref="F429">SUMPRODUCT(TRANSPOSE($F$6:$F$55),F223:BC223)</f>
        <v>0</v>
      </c>
      <c r="H429" s="163">
        <v>0</v>
      </c>
      <c r="I429"/>
      <c r="J429" s="192">
        <v>0</v>
      </c>
      <c r="K429" s="735">
        <v>0</v>
      </c>
      <c r="L429" s="735">
        <v>0</v>
      </c>
      <c r="M429" s="192">
        <v>0</v>
      </c>
      <c r="N429" s="67">
        <v>0</v>
      </c>
      <c r="O429" s="64">
        <v>0</v>
      </c>
      <c r="Q429" s="75">
        <v>0</v>
      </c>
      <c r="R429" s="61">
        <f t="shared" si="10"/>
        <v>0</v>
      </c>
      <c r="S429" s="61">
        <f t="shared" si="11"/>
        <v>0</v>
      </c>
      <c r="T429" s="75">
        <v>0</v>
      </c>
      <c r="U429" s="75">
        <v>0</v>
      </c>
      <c r="BA429" s="86"/>
      <c r="BB429" s="86"/>
      <c r="BC429" s="86"/>
      <c r="BD429" s="86"/>
      <c r="BE429" s="86"/>
      <c r="BF429" s="86"/>
    </row>
    <row r="430" spans="3:58" hidden="1" outlineLevel="1" x14ac:dyDescent="0.2">
      <c r="C430" s="162" t="str">
        <v>Call server – software</v>
      </c>
      <c r="D430" s="162" t="str">
        <v>Tráfico de voz LTE (VoLTE)</v>
      </c>
      <c r="F430" s="64">
        <f t="array" ref="F430">SUMPRODUCT(TRANSPOSE($F$6:$F$55),F224:BC224)</f>
        <v>0</v>
      </c>
      <c r="H430" s="163">
        <v>0</v>
      </c>
      <c r="I430"/>
      <c r="J430" s="192">
        <v>0</v>
      </c>
      <c r="K430" s="735">
        <v>0</v>
      </c>
      <c r="L430" s="735">
        <v>0</v>
      </c>
      <c r="M430" s="192">
        <v>0</v>
      </c>
      <c r="N430" s="67">
        <v>0</v>
      </c>
      <c r="O430" s="64">
        <v>0</v>
      </c>
      <c r="Q430" s="75">
        <v>0</v>
      </c>
      <c r="R430" s="61">
        <f t="shared" si="10"/>
        <v>0</v>
      </c>
      <c r="S430" s="61">
        <f t="shared" si="11"/>
        <v>0</v>
      </c>
      <c r="T430" s="75">
        <v>0</v>
      </c>
      <c r="U430" s="75">
        <v>0</v>
      </c>
      <c r="BA430" s="86"/>
      <c r="BB430" s="86"/>
      <c r="BC430" s="86"/>
      <c r="BD430" s="86"/>
      <c r="BE430" s="86"/>
      <c r="BF430" s="86"/>
    </row>
    <row r="431" spans="3:58" hidden="1" outlineLevel="1" x14ac:dyDescent="0.2">
      <c r="C431" s="162" t="str">
        <v>Telephony Application Server (TAS)</v>
      </c>
      <c r="D431" s="162" t="str">
        <v>Tráfico de voz LTE (VoLTE)</v>
      </c>
      <c r="F431" s="64">
        <f t="array" ref="F431">SUMPRODUCT(TRANSPOSE($F$6:$F$55),F225:BC225)</f>
        <v>0</v>
      </c>
      <c r="H431" s="163">
        <v>0</v>
      </c>
      <c r="I431"/>
      <c r="J431" s="192">
        <v>0</v>
      </c>
      <c r="K431" s="735">
        <v>0</v>
      </c>
      <c r="L431" s="735">
        <v>0</v>
      </c>
      <c r="M431" s="192">
        <v>0</v>
      </c>
      <c r="N431" s="67">
        <v>0</v>
      </c>
      <c r="O431" s="64">
        <v>0</v>
      </c>
      <c r="Q431" s="75">
        <v>0</v>
      </c>
      <c r="R431" s="61">
        <f t="shared" si="10"/>
        <v>0</v>
      </c>
      <c r="S431" s="61">
        <f t="shared" si="11"/>
        <v>0</v>
      </c>
      <c r="T431" s="75">
        <v>0</v>
      </c>
      <c r="U431" s="75">
        <v>0</v>
      </c>
      <c r="BA431" s="86"/>
      <c r="BB431" s="86"/>
      <c r="BC431" s="86"/>
      <c r="BD431" s="86"/>
      <c r="BE431" s="86"/>
      <c r="BF431" s="86"/>
    </row>
    <row r="432" spans="3:58" hidden="1" outlineLevel="1" x14ac:dyDescent="0.2">
      <c r="C432" s="162" t="str">
        <v>Session border controller (SBC) – hardware</v>
      </c>
      <c r="D432" s="162" t="str">
        <v>Tráfico de voz LTE (VoLTE)</v>
      </c>
      <c r="F432" s="64">
        <f t="array" ref="F432">SUMPRODUCT(TRANSPOSE($F$6:$F$55),F226:BC226)</f>
        <v>0</v>
      </c>
      <c r="H432" s="163">
        <v>0</v>
      </c>
      <c r="I432"/>
      <c r="J432" s="192">
        <v>0</v>
      </c>
      <c r="K432" s="735">
        <v>0</v>
      </c>
      <c r="L432" s="735">
        <v>0</v>
      </c>
      <c r="M432" s="192">
        <v>0</v>
      </c>
      <c r="N432" s="67">
        <v>0</v>
      </c>
      <c r="O432" s="64">
        <v>0</v>
      </c>
      <c r="Q432" s="75">
        <v>0</v>
      </c>
      <c r="R432" s="61">
        <f t="shared" si="10"/>
        <v>0</v>
      </c>
      <c r="S432" s="61">
        <f t="shared" si="11"/>
        <v>0</v>
      </c>
      <c r="T432" s="75">
        <v>0</v>
      </c>
      <c r="U432" s="75">
        <v>0</v>
      </c>
      <c r="BA432" s="86"/>
      <c r="BB432" s="86"/>
      <c r="BC432" s="86"/>
      <c r="BD432" s="86"/>
      <c r="BE432" s="86"/>
      <c r="BF432" s="86"/>
    </row>
    <row r="433" spans="3:58" hidden="1" outlineLevel="1" x14ac:dyDescent="0.2">
      <c r="C433" s="162" t="str">
        <v>Session border controller (SBC) – software</v>
      </c>
      <c r="D433" s="162" t="str">
        <v>Tráfico de voz LTE (VoLTE)</v>
      </c>
      <c r="F433" s="64">
        <f t="array" ref="F433">SUMPRODUCT(TRANSPOSE($F$6:$F$55),F227:BC227)</f>
        <v>0</v>
      </c>
      <c r="H433" s="163">
        <v>0</v>
      </c>
      <c r="I433"/>
      <c r="J433" s="192">
        <v>0</v>
      </c>
      <c r="K433" s="735">
        <v>0</v>
      </c>
      <c r="L433" s="735">
        <v>0</v>
      </c>
      <c r="M433" s="192">
        <v>0</v>
      </c>
      <c r="N433" s="67">
        <v>0</v>
      </c>
      <c r="O433" s="64">
        <v>0</v>
      </c>
      <c r="Q433" s="75">
        <v>0</v>
      </c>
      <c r="R433" s="61">
        <f t="shared" si="10"/>
        <v>0</v>
      </c>
      <c r="S433" s="61">
        <f t="shared" si="11"/>
        <v>0</v>
      </c>
      <c r="T433" s="75">
        <v>0</v>
      </c>
      <c r="U433" s="75">
        <v>0</v>
      </c>
      <c r="BA433" s="86"/>
      <c r="BB433" s="86"/>
      <c r="BC433" s="86"/>
      <c r="BD433" s="86"/>
      <c r="BE433" s="86"/>
      <c r="BF433" s="86"/>
    </row>
    <row r="434" spans="3:58" hidden="1" outlineLevel="1" x14ac:dyDescent="0.2">
      <c r="C434" s="162" t="str">
        <v>PCC</v>
      </c>
      <c r="D434" s="162" t="str">
        <v>Tráfico de voz LTE (VoLTE)</v>
      </c>
      <c r="F434" s="64">
        <f t="array" ref="F434">SUMPRODUCT(TRANSPOSE($F$6:$F$55),F228:BC228)</f>
        <v>0</v>
      </c>
      <c r="H434" s="163">
        <v>0</v>
      </c>
      <c r="I434"/>
      <c r="J434" s="192">
        <v>0</v>
      </c>
      <c r="K434" s="735">
        <v>0</v>
      </c>
      <c r="L434" s="735">
        <v>0</v>
      </c>
      <c r="M434" s="192">
        <v>0</v>
      </c>
      <c r="N434" s="67">
        <v>0</v>
      </c>
      <c r="O434" s="64">
        <v>0</v>
      </c>
      <c r="Q434" s="75">
        <v>0</v>
      </c>
      <c r="R434" s="61">
        <f t="shared" si="10"/>
        <v>0</v>
      </c>
      <c r="S434" s="61">
        <f t="shared" si="11"/>
        <v>0</v>
      </c>
      <c r="T434" s="75">
        <v>0</v>
      </c>
      <c r="U434" s="75">
        <v>0</v>
      </c>
      <c r="BA434" s="86"/>
      <c r="BB434" s="86"/>
      <c r="BC434" s="86"/>
      <c r="BD434" s="86"/>
      <c r="BE434" s="86"/>
      <c r="BF434" s="86"/>
    </row>
    <row r="435" spans="3:58" hidden="1" outlineLevel="1" x14ac:dyDescent="0.2">
      <c r="C435" s="162" t="str">
        <v>MGCF</v>
      </c>
      <c r="D435" s="162" t="str">
        <v>Tráfico de voz LTE (VoLTE)</v>
      </c>
      <c r="F435" s="64">
        <f t="array" ref="F435">SUMPRODUCT(TRANSPOSE($F$6:$F$55),F229:BC229)</f>
        <v>0</v>
      </c>
      <c r="H435" s="163">
        <v>0</v>
      </c>
      <c r="I435"/>
      <c r="J435" s="192">
        <v>0</v>
      </c>
      <c r="K435" s="735">
        <v>0</v>
      </c>
      <c r="L435" s="735">
        <v>0</v>
      </c>
      <c r="M435" s="192">
        <v>0</v>
      </c>
      <c r="N435" s="67">
        <v>0</v>
      </c>
      <c r="O435" s="64">
        <v>0</v>
      </c>
      <c r="Q435" s="75">
        <v>0</v>
      </c>
      <c r="R435" s="61">
        <f t="shared" si="10"/>
        <v>0</v>
      </c>
      <c r="S435" s="61">
        <f t="shared" si="11"/>
        <v>0</v>
      </c>
      <c r="T435" s="75">
        <v>0</v>
      </c>
      <c r="U435" s="75">
        <v>0</v>
      </c>
      <c r="BA435" s="86"/>
      <c r="BB435" s="86"/>
      <c r="BC435" s="86"/>
      <c r="BD435" s="86"/>
      <c r="BE435" s="86"/>
      <c r="BF435" s="86"/>
    </row>
    <row r="436" spans="3:58" hidden="1" outlineLevel="1" x14ac:dyDescent="0.2">
      <c r="C436" s="162" t="str">
        <v>Puertos BSC - sitios E1</v>
      </c>
      <c r="D436" s="162" t="str">
        <v>Minutos radio equivalentes GSM</v>
      </c>
      <c r="F436" s="64">
        <f t="array" ref="F436">SUMPRODUCT(TRANSPOSE($F$6:$F$55),F230:BC230)</f>
        <v>150086252934.07236</v>
      </c>
      <c r="H436" s="163">
        <v>158552.32595874212</v>
      </c>
      <c r="I436"/>
      <c r="J436" s="192">
        <v>0</v>
      </c>
      <c r="K436" s="735">
        <v>54575.092451066295</v>
      </c>
      <c r="L436" s="735">
        <v>105551.9860078456</v>
      </c>
      <c r="M436" s="192">
        <v>160127.07845891188</v>
      </c>
      <c r="N436" s="67">
        <v>7927.6162979371065</v>
      </c>
      <c r="O436" s="64">
        <v>168054.694756849</v>
      </c>
      <c r="Q436" s="75">
        <v>1.0669003678121681E-6</v>
      </c>
      <c r="R436" s="61">
        <f t="shared" si="10"/>
        <v>3.6362485826759382E-7</v>
      </c>
      <c r="S436" s="61">
        <f t="shared" si="11"/>
        <v>7.0327550954457431E-7</v>
      </c>
      <c r="T436" s="75">
        <v>5.2820402554919079E-8</v>
      </c>
      <c r="U436" s="75">
        <v>1.1197207703670871E-6</v>
      </c>
      <c r="BA436" s="86"/>
      <c r="BB436" s="86"/>
      <c r="BC436" s="86"/>
      <c r="BD436" s="86"/>
      <c r="BE436" s="86"/>
      <c r="BF436" s="86"/>
    </row>
    <row r="437" spans="3:58" hidden="1" outlineLevel="1" x14ac:dyDescent="0.2">
      <c r="C437" s="162" t="str">
        <v>Puertos BSC - sitios 10M</v>
      </c>
      <c r="D437" s="162" t="str">
        <v>Minutos radio equivalentes GSM</v>
      </c>
      <c r="F437" s="64">
        <f t="array" ref="F437">SUMPRODUCT(TRANSPOSE($F$6:$F$55),F231:BC231)</f>
        <v>150086252934.07236</v>
      </c>
      <c r="H437" s="163">
        <v>0</v>
      </c>
      <c r="I437"/>
      <c r="J437" s="192">
        <v>0</v>
      </c>
      <c r="K437" s="735">
        <v>0</v>
      </c>
      <c r="L437" s="735">
        <v>0</v>
      </c>
      <c r="M437" s="192">
        <v>0</v>
      </c>
      <c r="N437" s="67">
        <v>0</v>
      </c>
      <c r="O437" s="64">
        <v>0</v>
      </c>
      <c r="Q437" s="75">
        <v>0</v>
      </c>
      <c r="R437" s="61">
        <f t="shared" si="10"/>
        <v>0</v>
      </c>
      <c r="S437" s="61">
        <f t="shared" si="11"/>
        <v>0</v>
      </c>
      <c r="T437" s="75">
        <v>0</v>
      </c>
      <c r="U437" s="75">
        <v>0</v>
      </c>
      <c r="BA437" s="86"/>
      <c r="BB437" s="86"/>
      <c r="BC437" s="86"/>
      <c r="BD437" s="86"/>
      <c r="BE437" s="86"/>
      <c r="BF437" s="86"/>
    </row>
    <row r="438" spans="3:58" hidden="1" outlineLevel="1" x14ac:dyDescent="0.2">
      <c r="C438" s="162" t="str">
        <v>Puertos RNC - sitios E1 para voz</v>
      </c>
      <c r="D438" s="162" t="str">
        <v>Minutos radio equivalentes UMTS R99</v>
      </c>
      <c r="F438" s="64">
        <f t="array" ref="F438">SUMPRODUCT(TRANSPOSE($F$6:$F$55),F232:BC232)</f>
        <v>60353449643.51181</v>
      </c>
      <c r="H438" s="163">
        <v>0</v>
      </c>
      <c r="I438"/>
      <c r="J438" s="192">
        <v>0</v>
      </c>
      <c r="K438" s="735">
        <v>0</v>
      </c>
      <c r="L438" s="735">
        <v>0</v>
      </c>
      <c r="M438" s="192">
        <v>0</v>
      </c>
      <c r="N438" s="67">
        <v>0</v>
      </c>
      <c r="O438" s="64">
        <v>0</v>
      </c>
      <c r="Q438" s="75">
        <v>0</v>
      </c>
      <c r="R438" s="61">
        <f t="shared" si="10"/>
        <v>0</v>
      </c>
      <c r="S438" s="61">
        <f t="shared" si="11"/>
        <v>0</v>
      </c>
      <c r="T438" s="75">
        <v>0</v>
      </c>
      <c r="U438" s="75">
        <v>0</v>
      </c>
      <c r="BA438" s="86"/>
      <c r="BB438" s="86"/>
      <c r="BC438" s="86"/>
      <c r="BD438" s="86"/>
      <c r="BE438" s="86"/>
      <c r="BF438" s="86"/>
    </row>
    <row r="439" spans="3:58" hidden="1" outlineLevel="1" x14ac:dyDescent="0.2">
      <c r="C439" s="162" t="str">
        <v>Puertos RNC - sitios 10M para voz</v>
      </c>
      <c r="D439" s="162" t="str">
        <v>Minutos radio equivalentes UMTS R99</v>
      </c>
      <c r="F439" s="64">
        <f t="array" ref="F439">SUMPRODUCT(TRANSPOSE($F$6:$F$55),F233:BC233)</f>
        <v>60353449643.51181</v>
      </c>
      <c r="H439" s="163">
        <v>32073.459453673917</v>
      </c>
      <c r="I439"/>
      <c r="J439" s="192">
        <v>0</v>
      </c>
      <c r="K439" s="735">
        <v>11039.964278829097</v>
      </c>
      <c r="L439" s="735">
        <v>21352.050958611184</v>
      </c>
      <c r="M439" s="192">
        <v>32392.015237440279</v>
      </c>
      <c r="N439" s="67">
        <v>1603.6729726836959</v>
      </c>
      <c r="O439" s="64">
        <v>33995.688210123975</v>
      </c>
      <c r="Q439" s="75">
        <v>5.3670528244482081E-7</v>
      </c>
      <c r="R439" s="61">
        <f t="shared" si="10"/>
        <v>1.8292184364006652E-7</v>
      </c>
      <c r="S439" s="61">
        <f t="shared" si="11"/>
        <v>3.5378343880475437E-7</v>
      </c>
      <c r="T439" s="75">
        <v>2.657135560860349E-8</v>
      </c>
      <c r="U439" s="75">
        <v>5.6327663805342431E-7</v>
      </c>
      <c r="BA439" s="86"/>
      <c r="BB439" s="86"/>
      <c r="BC439" s="86"/>
      <c r="BD439" s="86"/>
      <c r="BE439" s="86"/>
      <c r="BF439" s="86"/>
    </row>
    <row r="440" spans="3:58" hidden="1" outlineLevel="1" x14ac:dyDescent="0.2">
      <c r="C440" s="162" t="str">
        <v>Puertos RNC - sitios E1 para datos</v>
      </c>
      <c r="D440" s="162" t="str">
        <v>Tráfico radio HSDPA</v>
      </c>
      <c r="F440" s="64">
        <f t="array" ref="F440">SUMPRODUCT(TRANSPOSE($F$6:$F$55),F234:BC234)</f>
        <v>61805506865.947121</v>
      </c>
      <c r="H440" s="163">
        <v>0</v>
      </c>
      <c r="I440"/>
      <c r="J440" s="192">
        <v>0</v>
      </c>
      <c r="K440" s="735">
        <v>0</v>
      </c>
      <c r="L440" s="735">
        <v>0</v>
      </c>
      <c r="M440" s="192">
        <v>0</v>
      </c>
      <c r="N440" s="67">
        <v>0</v>
      </c>
      <c r="O440" s="64">
        <v>0</v>
      </c>
      <c r="Q440" s="75">
        <v>0</v>
      </c>
      <c r="R440" s="61">
        <f t="shared" si="10"/>
        <v>0</v>
      </c>
      <c r="S440" s="61">
        <f t="shared" si="11"/>
        <v>0</v>
      </c>
      <c r="T440" s="75">
        <v>0</v>
      </c>
      <c r="U440" s="75">
        <v>0</v>
      </c>
      <c r="BA440" s="86"/>
      <c r="BB440" s="86"/>
      <c r="BC440" s="86"/>
      <c r="BD440" s="86"/>
      <c r="BE440" s="86"/>
      <c r="BF440" s="86"/>
    </row>
    <row r="441" spans="3:58" hidden="1" outlineLevel="1" x14ac:dyDescent="0.2">
      <c r="C441" s="162" t="str">
        <v>Puertos RNC - sitios 10M para datos</v>
      </c>
      <c r="D441" s="162" t="str">
        <v>Tráfico radio HSDPA</v>
      </c>
      <c r="F441" s="64">
        <f t="array" ref="F441">SUMPRODUCT(TRANSPOSE($F$6:$F$55),F235:BC235)</f>
        <v>61805506865.947121</v>
      </c>
      <c r="H441" s="163">
        <v>121195.34628078612</v>
      </c>
      <c r="I441"/>
      <c r="J441" s="192">
        <v>0</v>
      </c>
      <c r="K441" s="735">
        <v>41716.494462743038</v>
      </c>
      <c r="L441" s="735">
        <v>80682.572251726728</v>
      </c>
      <c r="M441" s="192">
        <v>122399.06671446977</v>
      </c>
      <c r="N441" s="67">
        <v>6059.7673140393063</v>
      </c>
      <c r="O441" s="64">
        <v>128458.83402850907</v>
      </c>
      <c r="Q441" s="75">
        <v>1.9803909541579663E-6</v>
      </c>
      <c r="R441" s="61">
        <f t="shared" si="10"/>
        <v>6.7496403764188695E-7</v>
      </c>
      <c r="S441" s="61">
        <f t="shared" si="11"/>
        <v>1.3054269165160794E-6</v>
      </c>
      <c r="T441" s="75">
        <v>9.8045750634852355E-8</v>
      </c>
      <c r="U441" s="75">
        <v>2.0784367047928186E-6</v>
      </c>
      <c r="BA441" s="86"/>
      <c r="BB441" s="86"/>
      <c r="BC441" s="86"/>
      <c r="BD441" s="86"/>
      <c r="BE441" s="86"/>
      <c r="BF441" s="86"/>
    </row>
    <row r="442" spans="3:58" hidden="1" outlineLevel="1" x14ac:dyDescent="0.2">
      <c r="C442" s="162" t="str">
        <v>Puertos BSC a Core: Voz: 8.45</v>
      </c>
      <c r="D442" s="162" t="str">
        <v>GSM solo voz radio y SMS</v>
      </c>
      <c r="F442" s="64">
        <f t="array" ref="F442">SUMPRODUCT(TRANSPOSE($F$6:$F$55),F236:BC236)</f>
        <v>11861042563.42238</v>
      </c>
      <c r="H442" s="163">
        <v>0</v>
      </c>
      <c r="I442"/>
      <c r="J442" s="192">
        <v>0</v>
      </c>
      <c r="K442" s="735">
        <v>0</v>
      </c>
      <c r="L442" s="735">
        <v>0</v>
      </c>
      <c r="M442" s="192">
        <v>0</v>
      </c>
      <c r="N442" s="67">
        <v>0</v>
      </c>
      <c r="O442" s="64">
        <v>0</v>
      </c>
      <c r="Q442" s="75">
        <v>0</v>
      </c>
      <c r="R442" s="61">
        <f t="shared" si="10"/>
        <v>0</v>
      </c>
      <c r="S442" s="61">
        <f t="shared" si="11"/>
        <v>0</v>
      </c>
      <c r="T442" s="75">
        <v>0</v>
      </c>
      <c r="U442" s="75">
        <v>0</v>
      </c>
      <c r="BA442" s="86"/>
      <c r="BB442" s="86"/>
      <c r="BC442" s="86"/>
      <c r="BD442" s="86"/>
      <c r="BE442" s="86"/>
      <c r="BF442" s="86"/>
    </row>
    <row r="443" spans="3:58" hidden="1" outlineLevel="1" x14ac:dyDescent="0.2">
      <c r="C443" s="162" t="str">
        <v>Puertos BSC a Core: Voz: 34.37</v>
      </c>
      <c r="D443" s="162" t="str">
        <v>GSM solo voz radio y SMS</v>
      </c>
      <c r="F443" s="64">
        <f t="array" ref="F443">SUMPRODUCT(TRANSPOSE($F$6:$F$55),F237:BC237)</f>
        <v>11861042563.42238</v>
      </c>
      <c r="H443" s="163">
        <v>0</v>
      </c>
      <c r="I443"/>
      <c r="J443" s="192">
        <v>0</v>
      </c>
      <c r="K443" s="735">
        <v>0</v>
      </c>
      <c r="L443" s="735">
        <v>0</v>
      </c>
      <c r="M443" s="192">
        <v>0</v>
      </c>
      <c r="N443" s="67">
        <v>0</v>
      </c>
      <c r="O443" s="64">
        <v>0</v>
      </c>
      <c r="Q443" s="75">
        <v>0</v>
      </c>
      <c r="R443" s="61">
        <f t="shared" si="10"/>
        <v>0</v>
      </c>
      <c r="S443" s="61">
        <f t="shared" si="11"/>
        <v>0</v>
      </c>
      <c r="T443" s="75">
        <v>0</v>
      </c>
      <c r="U443" s="75">
        <v>0</v>
      </c>
      <c r="BA443" s="86"/>
      <c r="BB443" s="86"/>
      <c r="BC443" s="86"/>
      <c r="BD443" s="86"/>
      <c r="BE443" s="86"/>
      <c r="BF443" s="86"/>
    </row>
    <row r="444" spans="3:58" hidden="1" outlineLevel="1" x14ac:dyDescent="0.2">
      <c r="C444" s="162" t="str">
        <v>Puertos BSC a Core: Voz: 155.52</v>
      </c>
      <c r="D444" s="162" t="str">
        <v>GSM solo voz radio y SMS</v>
      </c>
      <c r="F444" s="64">
        <f t="array" ref="F444">SUMPRODUCT(TRANSPOSE($F$6:$F$55),F238:BC238)</f>
        <v>11861042563.42238</v>
      </c>
      <c r="H444" s="163">
        <v>129114.96368020575</v>
      </c>
      <c r="I444"/>
      <c r="J444" s="192">
        <v>0</v>
      </c>
      <c r="K444" s="735">
        <v>44442.495794712588</v>
      </c>
      <c r="L444" s="735">
        <v>85954.846498580431</v>
      </c>
      <c r="M444" s="192">
        <v>130397.34229329303</v>
      </c>
      <c r="N444" s="67">
        <v>6455.7481840102882</v>
      </c>
      <c r="O444" s="64">
        <v>136853.09047730331</v>
      </c>
      <c r="Q444" s="75">
        <v>1.099375047311762E-5</v>
      </c>
      <c r="R444" s="61">
        <f t="shared" si="10"/>
        <v>3.7469299648048112E-6</v>
      </c>
      <c r="S444" s="61">
        <f t="shared" si="11"/>
        <v>7.2468205083128085E-6</v>
      </c>
      <c r="T444" s="75">
        <v>5.4428168093071489E-7</v>
      </c>
      <c r="U444" s="75">
        <v>1.1538032154048335E-5</v>
      </c>
      <c r="BA444" s="86"/>
      <c r="BB444" s="86"/>
      <c r="BC444" s="86"/>
      <c r="BD444" s="86"/>
      <c r="BE444" s="86"/>
      <c r="BF444" s="86"/>
    </row>
    <row r="445" spans="3:58" hidden="1" outlineLevel="1" x14ac:dyDescent="0.2">
      <c r="C445" s="162" t="str">
        <v>Puertos BSC a Core: Voz: 30</v>
      </c>
      <c r="D445" s="162" t="str">
        <v>GSM solo voz radio y SMS</v>
      </c>
      <c r="F445" s="64">
        <f t="array" ref="F445">SUMPRODUCT(TRANSPOSE($F$6:$F$55),F239:BC239)</f>
        <v>11861042563.42238</v>
      </c>
      <c r="H445" s="163">
        <v>0</v>
      </c>
      <c r="I445"/>
      <c r="J445" s="192">
        <v>0</v>
      </c>
      <c r="K445" s="735">
        <v>0</v>
      </c>
      <c r="L445" s="735">
        <v>0</v>
      </c>
      <c r="M445" s="192">
        <v>0</v>
      </c>
      <c r="N445" s="67">
        <v>0</v>
      </c>
      <c r="O445" s="64">
        <v>0</v>
      </c>
      <c r="Q445" s="75">
        <v>0</v>
      </c>
      <c r="R445" s="61">
        <f t="shared" si="10"/>
        <v>0</v>
      </c>
      <c r="S445" s="61">
        <f t="shared" si="11"/>
        <v>0</v>
      </c>
      <c r="T445" s="75">
        <v>0</v>
      </c>
      <c r="U445" s="75">
        <v>0</v>
      </c>
      <c r="BA445" s="86"/>
      <c r="BB445" s="86"/>
      <c r="BC445" s="86"/>
      <c r="BD445" s="86"/>
      <c r="BE445" s="86"/>
      <c r="BF445" s="86"/>
    </row>
    <row r="446" spans="3:58" hidden="1" outlineLevel="1" x14ac:dyDescent="0.2">
      <c r="C446" s="162" t="str">
        <v>Puertos BSC a Core: Voz: 100</v>
      </c>
      <c r="D446" s="162" t="str">
        <v>GSM solo voz radio y SMS</v>
      </c>
      <c r="F446" s="64">
        <f t="array" ref="F446">SUMPRODUCT(TRANSPOSE($F$6:$F$55),F240:BC240)</f>
        <v>11861042563.42238</v>
      </c>
      <c r="H446" s="163">
        <v>0</v>
      </c>
      <c r="I446"/>
      <c r="J446" s="192">
        <v>0</v>
      </c>
      <c r="K446" s="735">
        <v>0</v>
      </c>
      <c r="L446" s="735">
        <v>0</v>
      </c>
      <c r="M446" s="192">
        <v>0</v>
      </c>
      <c r="N446" s="67">
        <v>0</v>
      </c>
      <c r="O446" s="64">
        <v>0</v>
      </c>
      <c r="Q446" s="75">
        <v>0</v>
      </c>
      <c r="R446" s="61">
        <f t="shared" si="10"/>
        <v>0</v>
      </c>
      <c r="S446" s="61">
        <f t="shared" si="11"/>
        <v>0</v>
      </c>
      <c r="T446" s="75">
        <v>0</v>
      </c>
      <c r="U446" s="75">
        <v>0</v>
      </c>
      <c r="BA446" s="86"/>
      <c r="BB446" s="86"/>
      <c r="BC446" s="86"/>
      <c r="BD446" s="86"/>
      <c r="BE446" s="86"/>
      <c r="BF446" s="86"/>
    </row>
    <row r="447" spans="3:58" hidden="1" outlineLevel="1" x14ac:dyDescent="0.2">
      <c r="C447" s="162" t="str">
        <v>Puertos BSC a Core: Voz: 1024</v>
      </c>
      <c r="D447" s="162" t="str">
        <v>GSM solo voz radio y SMS</v>
      </c>
      <c r="F447" s="64">
        <f t="array" ref="F447">SUMPRODUCT(TRANSPOSE($F$6:$F$55),F241:BC241)</f>
        <v>11861042563.42238</v>
      </c>
      <c r="H447" s="163">
        <v>0</v>
      </c>
      <c r="I447"/>
      <c r="J447" s="192">
        <v>0</v>
      </c>
      <c r="K447" s="735">
        <v>0</v>
      </c>
      <c r="L447" s="735">
        <v>0</v>
      </c>
      <c r="M447" s="192">
        <v>0</v>
      </c>
      <c r="N447" s="67">
        <v>0</v>
      </c>
      <c r="O447" s="64">
        <v>0</v>
      </c>
      <c r="Q447" s="75">
        <v>0</v>
      </c>
      <c r="R447" s="61">
        <f t="shared" si="10"/>
        <v>0</v>
      </c>
      <c r="S447" s="61">
        <f t="shared" si="11"/>
        <v>0</v>
      </c>
      <c r="T447" s="75">
        <v>0</v>
      </c>
      <c r="U447" s="75">
        <v>0</v>
      </c>
      <c r="BA447" s="86"/>
      <c r="BB447" s="86"/>
      <c r="BC447" s="86"/>
      <c r="BD447" s="86"/>
      <c r="BE447" s="86"/>
      <c r="BF447" s="86"/>
    </row>
    <row r="448" spans="3:58" hidden="1" outlineLevel="1" x14ac:dyDescent="0.2">
      <c r="C448" s="162" t="str">
        <v>Puertos BSC a Core: Datos: 8.45</v>
      </c>
      <c r="D448" s="162" t="str">
        <v>GSM tráfico de datos solo</v>
      </c>
      <c r="F448" s="64">
        <f t="array" ref="F448">SUMPRODUCT(TRANSPOSE($F$6:$F$55),F242:BC242)</f>
        <v>30992071983.579018</v>
      </c>
      <c r="H448" s="163">
        <v>0</v>
      </c>
      <c r="I448"/>
      <c r="J448" s="192">
        <v>0</v>
      </c>
      <c r="K448" s="735">
        <v>0</v>
      </c>
      <c r="L448" s="735">
        <v>0</v>
      </c>
      <c r="M448" s="192">
        <v>0</v>
      </c>
      <c r="N448" s="67">
        <v>0</v>
      </c>
      <c r="O448" s="64">
        <v>0</v>
      </c>
      <c r="Q448" s="75">
        <v>0</v>
      </c>
      <c r="R448" s="61">
        <f t="shared" si="10"/>
        <v>0</v>
      </c>
      <c r="S448" s="61">
        <f t="shared" si="11"/>
        <v>0</v>
      </c>
      <c r="T448" s="75">
        <v>0</v>
      </c>
      <c r="U448" s="75">
        <v>0</v>
      </c>
      <c r="BA448" s="86"/>
      <c r="BB448" s="86"/>
      <c r="BC448" s="86"/>
      <c r="BD448" s="86"/>
      <c r="BE448" s="86"/>
      <c r="BF448" s="86"/>
    </row>
    <row r="449" spans="3:58" hidden="1" outlineLevel="1" x14ac:dyDescent="0.2">
      <c r="C449" s="162" t="str">
        <v>Puertos BSC a Core: Datos: 34.37</v>
      </c>
      <c r="D449" s="162" t="str">
        <v>GSM tráfico de datos solo</v>
      </c>
      <c r="F449" s="64">
        <f t="array" ref="F449">SUMPRODUCT(TRANSPOSE($F$6:$F$55),F243:BC243)</f>
        <v>30992071983.579018</v>
      </c>
      <c r="H449" s="163">
        <v>0</v>
      </c>
      <c r="I449"/>
      <c r="J449" s="192">
        <v>0</v>
      </c>
      <c r="K449" s="735">
        <v>0</v>
      </c>
      <c r="L449" s="735">
        <v>0</v>
      </c>
      <c r="M449" s="192">
        <v>0</v>
      </c>
      <c r="N449" s="67">
        <v>0</v>
      </c>
      <c r="O449" s="64">
        <v>0</v>
      </c>
      <c r="Q449" s="75">
        <v>0</v>
      </c>
      <c r="R449" s="61">
        <f t="shared" si="10"/>
        <v>0</v>
      </c>
      <c r="S449" s="61">
        <f t="shared" si="11"/>
        <v>0</v>
      </c>
      <c r="T449" s="75">
        <v>0</v>
      </c>
      <c r="U449" s="75">
        <v>0</v>
      </c>
      <c r="BA449" s="86"/>
      <c r="BB449" s="86"/>
      <c r="BC449" s="86"/>
      <c r="BD449" s="86"/>
      <c r="BE449" s="86"/>
      <c r="BF449" s="86"/>
    </row>
    <row r="450" spans="3:58" hidden="1" outlineLevel="1" x14ac:dyDescent="0.2">
      <c r="C450" s="162" t="str">
        <v>Puertos BSC a Core: Datos: 155.52</v>
      </c>
      <c r="D450" s="162" t="str">
        <v>GSM tráfico de datos solo</v>
      </c>
      <c r="F450" s="64">
        <f t="array" ref="F450">SUMPRODUCT(TRANSPOSE($F$6:$F$55),F244:BC244)</f>
        <v>30992071983.579018</v>
      </c>
      <c r="H450" s="163">
        <v>0</v>
      </c>
      <c r="I450"/>
      <c r="J450" s="192">
        <v>0</v>
      </c>
      <c r="K450" s="735">
        <v>0</v>
      </c>
      <c r="L450" s="735">
        <v>0</v>
      </c>
      <c r="M450" s="192">
        <v>0</v>
      </c>
      <c r="N450" s="67">
        <v>0</v>
      </c>
      <c r="O450" s="64">
        <v>0</v>
      </c>
      <c r="Q450" s="75">
        <v>0</v>
      </c>
      <c r="R450" s="61">
        <f t="shared" si="10"/>
        <v>0</v>
      </c>
      <c r="S450" s="61">
        <f t="shared" si="11"/>
        <v>0</v>
      </c>
      <c r="T450" s="75">
        <v>0</v>
      </c>
      <c r="U450" s="75">
        <v>0</v>
      </c>
      <c r="BA450" s="86"/>
      <c r="BB450" s="86"/>
      <c r="BC450" s="86"/>
      <c r="BD450" s="86"/>
      <c r="BE450" s="86"/>
      <c r="BF450" s="86"/>
    </row>
    <row r="451" spans="3:58" hidden="1" outlineLevel="1" x14ac:dyDescent="0.2">
      <c r="C451" s="162" t="str">
        <v>Puertos BSC a Core: Datos: 30</v>
      </c>
      <c r="D451" s="162" t="str">
        <v>GSM tráfico de datos solo</v>
      </c>
      <c r="F451" s="64">
        <f t="array" ref="F451">SUMPRODUCT(TRANSPOSE($F$6:$F$55),F245:BC245)</f>
        <v>30992071983.579018</v>
      </c>
      <c r="H451" s="163">
        <v>0</v>
      </c>
      <c r="I451"/>
      <c r="J451" s="192">
        <v>0</v>
      </c>
      <c r="K451" s="735">
        <v>0</v>
      </c>
      <c r="L451" s="735">
        <v>0</v>
      </c>
      <c r="M451" s="192">
        <v>0</v>
      </c>
      <c r="N451" s="67">
        <v>0</v>
      </c>
      <c r="O451" s="64">
        <v>0</v>
      </c>
      <c r="Q451" s="75">
        <v>0</v>
      </c>
      <c r="R451" s="61">
        <f t="shared" si="10"/>
        <v>0</v>
      </c>
      <c r="S451" s="61">
        <f t="shared" si="11"/>
        <v>0</v>
      </c>
      <c r="T451" s="75">
        <v>0</v>
      </c>
      <c r="U451" s="75">
        <v>0</v>
      </c>
      <c r="BA451" s="86"/>
      <c r="BB451" s="86"/>
      <c r="BC451" s="86"/>
      <c r="BD451" s="86"/>
      <c r="BE451" s="86"/>
      <c r="BF451" s="86"/>
    </row>
    <row r="452" spans="3:58" hidden="1" outlineLevel="1" x14ac:dyDescent="0.2">
      <c r="C452" s="162" t="str">
        <v>Puertos BSC a Core: Datos: 100</v>
      </c>
      <c r="D452" s="162" t="str">
        <v>GSM tráfico de datos solo</v>
      </c>
      <c r="F452" s="64">
        <f t="array" ref="F452">SUMPRODUCT(TRANSPOSE($F$6:$F$55),F246:BC246)</f>
        <v>30992071983.579018</v>
      </c>
      <c r="H452" s="163">
        <v>0</v>
      </c>
      <c r="I452"/>
      <c r="J452" s="192">
        <v>0</v>
      </c>
      <c r="K452" s="735">
        <v>0</v>
      </c>
      <c r="L452" s="735">
        <v>0</v>
      </c>
      <c r="M452" s="192">
        <v>0</v>
      </c>
      <c r="N452" s="67">
        <v>0</v>
      </c>
      <c r="O452" s="64">
        <v>0</v>
      </c>
      <c r="Q452" s="75">
        <v>0</v>
      </c>
      <c r="R452" s="61">
        <f t="shared" si="10"/>
        <v>0</v>
      </c>
      <c r="S452" s="61">
        <f t="shared" si="11"/>
        <v>0</v>
      </c>
      <c r="T452" s="75">
        <v>0</v>
      </c>
      <c r="U452" s="75">
        <v>0</v>
      </c>
      <c r="BA452" s="86"/>
      <c r="BB452" s="86"/>
      <c r="BC452" s="86"/>
      <c r="BD452" s="86"/>
      <c r="BE452" s="86"/>
      <c r="BF452" s="86"/>
    </row>
    <row r="453" spans="3:58" hidden="1" outlineLevel="1" x14ac:dyDescent="0.2">
      <c r="C453" s="162" t="str">
        <v>Puertos BSC a Core: Datos: 1024</v>
      </c>
      <c r="D453" s="162" t="str">
        <v>GSM tráfico de datos solo</v>
      </c>
      <c r="F453" s="64">
        <f t="array" ref="F453">SUMPRODUCT(TRANSPOSE($F$6:$F$55),F247:BC247)</f>
        <v>30992071983.579018</v>
      </c>
      <c r="H453" s="163">
        <v>0</v>
      </c>
      <c r="I453"/>
      <c r="J453" s="192">
        <v>0</v>
      </c>
      <c r="K453" s="735">
        <v>0</v>
      </c>
      <c r="L453" s="735">
        <v>0</v>
      </c>
      <c r="M453" s="192">
        <v>0</v>
      </c>
      <c r="N453" s="67">
        <v>0</v>
      </c>
      <c r="O453" s="64">
        <v>0</v>
      </c>
      <c r="Q453" s="75">
        <v>0</v>
      </c>
      <c r="R453" s="61">
        <f t="shared" si="10"/>
        <v>0</v>
      </c>
      <c r="S453" s="61">
        <f t="shared" si="11"/>
        <v>0</v>
      </c>
      <c r="T453" s="75">
        <v>0</v>
      </c>
      <c r="U453" s="75">
        <v>0</v>
      </c>
      <c r="BA453" s="86"/>
      <c r="BB453" s="86"/>
      <c r="BC453" s="86"/>
      <c r="BD453" s="86"/>
      <c r="BE453" s="86"/>
      <c r="BF453" s="86"/>
    </row>
    <row r="454" spans="3:58" hidden="1" outlineLevel="1" x14ac:dyDescent="0.2">
      <c r="C454" s="162" t="str">
        <v>Puertos RNC a Core: Voz: 34.4</v>
      </c>
      <c r="D454" s="162" t="str">
        <v>UMTS solo voz radio y SMS</v>
      </c>
      <c r="F454" s="64">
        <f t="array" ref="F454">SUMPRODUCT(TRANSPOSE($F$6:$F$55),F248:BC248)</f>
        <v>46252056890.98336</v>
      </c>
      <c r="H454" s="163">
        <v>0</v>
      </c>
      <c r="I454"/>
      <c r="J454" s="192">
        <v>0</v>
      </c>
      <c r="K454" s="735">
        <v>0</v>
      </c>
      <c r="L454" s="735">
        <v>0</v>
      </c>
      <c r="M454" s="192">
        <v>0</v>
      </c>
      <c r="N454" s="67">
        <v>0</v>
      </c>
      <c r="O454" s="64">
        <v>0</v>
      </c>
      <c r="Q454" s="75">
        <v>0</v>
      </c>
      <c r="R454" s="61">
        <f t="shared" si="10"/>
        <v>0</v>
      </c>
      <c r="S454" s="61">
        <f t="shared" si="11"/>
        <v>0</v>
      </c>
      <c r="T454" s="75">
        <v>0</v>
      </c>
      <c r="U454" s="75">
        <v>0</v>
      </c>
      <c r="BA454" s="86"/>
      <c r="BB454" s="86"/>
      <c r="BC454" s="86"/>
      <c r="BD454" s="86"/>
      <c r="BE454" s="86"/>
      <c r="BF454" s="86"/>
    </row>
    <row r="455" spans="3:58" hidden="1" outlineLevel="1" x14ac:dyDescent="0.2">
      <c r="C455" s="162" t="str">
        <v>Puertos RNC a Core: Voz: 155.52</v>
      </c>
      <c r="D455" s="162" t="str">
        <v>UMTS solo voz radio y SMS</v>
      </c>
      <c r="F455" s="64">
        <f t="array" ref="F455">SUMPRODUCT(TRANSPOSE($F$6:$F$55),F249:BC249)</f>
        <v>46252056890.98336</v>
      </c>
      <c r="H455" s="163">
        <v>0</v>
      </c>
      <c r="I455"/>
      <c r="J455" s="192">
        <v>0</v>
      </c>
      <c r="K455" s="735">
        <v>0</v>
      </c>
      <c r="L455" s="735">
        <v>0</v>
      </c>
      <c r="M455" s="192">
        <v>0</v>
      </c>
      <c r="N455" s="67">
        <v>0</v>
      </c>
      <c r="O455" s="64">
        <v>0</v>
      </c>
      <c r="Q455" s="75">
        <v>0</v>
      </c>
      <c r="R455" s="61">
        <f t="shared" si="10"/>
        <v>0</v>
      </c>
      <c r="S455" s="61">
        <f t="shared" si="11"/>
        <v>0</v>
      </c>
      <c r="T455" s="75">
        <v>0</v>
      </c>
      <c r="U455" s="75">
        <v>0</v>
      </c>
      <c r="BA455" s="86"/>
      <c r="BB455" s="86"/>
      <c r="BC455" s="86"/>
      <c r="BD455" s="86"/>
      <c r="BE455" s="86"/>
      <c r="BF455" s="86"/>
    </row>
    <row r="456" spans="3:58" hidden="1" outlineLevel="1" x14ac:dyDescent="0.2">
      <c r="C456" s="162" t="str">
        <v>Puertos RNC a Core: Voz: 622.08</v>
      </c>
      <c r="D456" s="162" t="str">
        <v>UMTS solo voz radio y SMS</v>
      </c>
      <c r="F456" s="64">
        <f t="array" ref="F456">SUMPRODUCT(TRANSPOSE($F$6:$F$55),F250:BC250)</f>
        <v>46252056890.98336</v>
      </c>
      <c r="H456" s="163">
        <v>0</v>
      </c>
      <c r="I456"/>
      <c r="J456" s="192">
        <v>0</v>
      </c>
      <c r="K456" s="735">
        <v>0</v>
      </c>
      <c r="L456" s="735">
        <v>0</v>
      </c>
      <c r="M456" s="192">
        <v>0</v>
      </c>
      <c r="N456" s="67">
        <v>0</v>
      </c>
      <c r="O456" s="64">
        <v>0</v>
      </c>
      <c r="Q456" s="75">
        <v>0</v>
      </c>
      <c r="R456" s="61">
        <f t="shared" si="10"/>
        <v>0</v>
      </c>
      <c r="S456" s="61">
        <f t="shared" si="11"/>
        <v>0</v>
      </c>
      <c r="T456" s="75">
        <v>0</v>
      </c>
      <c r="U456" s="75">
        <v>0</v>
      </c>
      <c r="BA456" s="86"/>
      <c r="BB456" s="86"/>
      <c r="BC456" s="86"/>
      <c r="BD456" s="86"/>
      <c r="BE456" s="86"/>
      <c r="BF456" s="86"/>
    </row>
    <row r="457" spans="3:58" hidden="1" outlineLevel="1" x14ac:dyDescent="0.2">
      <c r="C457" s="162" t="str">
        <v>Puertos RNC a Core: Voz: 100</v>
      </c>
      <c r="D457" s="162" t="str">
        <v>UMTS solo voz radio y SMS</v>
      </c>
      <c r="F457" s="64">
        <f t="array" ref="F457">SUMPRODUCT(TRANSPOSE($F$6:$F$55),F251:BC251)</f>
        <v>46252056890.98336</v>
      </c>
      <c r="H457" s="163">
        <v>716.36153094500128</v>
      </c>
      <c r="I457"/>
      <c r="J457" s="192">
        <v>0</v>
      </c>
      <c r="K457" s="735">
        <v>246.57788236978692</v>
      </c>
      <c r="L457" s="735">
        <v>476.89860009080815</v>
      </c>
      <c r="M457" s="192">
        <v>723.47648246059509</v>
      </c>
      <c r="N457" s="67">
        <v>35.818076547250065</v>
      </c>
      <c r="O457" s="64">
        <v>759.29455900784512</v>
      </c>
      <c r="Q457" s="75">
        <v>1.5642039102516839E-8</v>
      </c>
      <c r="R457" s="61">
        <f t="shared" si="10"/>
        <v>5.3311765777460208E-9</v>
      </c>
      <c r="S457" s="61">
        <f t="shared" si="11"/>
        <v>1.0310862524770816E-8</v>
      </c>
      <c r="T457" s="75">
        <v>7.7441045771593885E-10</v>
      </c>
      <c r="U457" s="75">
        <v>1.6416449560232776E-8</v>
      </c>
      <c r="BA457" s="86"/>
      <c r="BB457" s="86"/>
      <c r="BC457" s="86"/>
      <c r="BD457" s="86"/>
      <c r="BE457" s="86"/>
      <c r="BF457" s="86"/>
    </row>
    <row r="458" spans="3:58" hidden="1" outlineLevel="1" x14ac:dyDescent="0.2">
      <c r="C458" s="162" t="str">
        <v>Puertos RNC a Core: Voz: 1024</v>
      </c>
      <c r="D458" s="162" t="str">
        <v>UMTS solo voz radio y SMS</v>
      </c>
      <c r="F458" s="64">
        <f t="array" ref="F458">SUMPRODUCT(TRANSPOSE($F$6:$F$55),F252:BC252)</f>
        <v>46252056890.98336</v>
      </c>
      <c r="H458" s="163">
        <v>8868.1593475088684</v>
      </c>
      <c r="I458"/>
      <c r="J458" s="192">
        <v>0</v>
      </c>
      <c r="K458" s="735">
        <v>3052.4977374789432</v>
      </c>
      <c r="L458" s="735">
        <v>5903.7407726656556</v>
      </c>
      <c r="M458" s="192">
        <v>8956.2385101445998</v>
      </c>
      <c r="N458" s="67">
        <v>443.40796737544343</v>
      </c>
      <c r="O458" s="64">
        <v>9399.6464775200438</v>
      </c>
      <c r="Q458" s="75">
        <v>1.9363978841534677E-7</v>
      </c>
      <c r="R458" s="61">
        <f t="shared" si="10"/>
        <v>6.5997015974310428E-8</v>
      </c>
      <c r="S458" s="61">
        <f t="shared" si="11"/>
        <v>1.2764277244103634E-7</v>
      </c>
      <c r="T458" s="75">
        <v>9.5867729389973113E-9</v>
      </c>
      <c r="U458" s="75">
        <v>2.032265613543441E-7</v>
      </c>
      <c r="BA458" s="86"/>
      <c r="BB458" s="86"/>
      <c r="BC458" s="86"/>
      <c r="BD458" s="86"/>
      <c r="BE458" s="86"/>
      <c r="BF458" s="86"/>
    </row>
    <row r="459" spans="3:58" hidden="1" outlineLevel="1" x14ac:dyDescent="0.2">
      <c r="C459" s="162" t="str">
        <v>Puertos RNC a Core: Voz: 2488</v>
      </c>
      <c r="D459" s="162" t="str">
        <v>UMTS solo voz radio y SMS</v>
      </c>
      <c r="F459" s="64">
        <f t="array" ref="F459">SUMPRODUCT(TRANSPOSE($F$6:$F$55),F253:BC253)</f>
        <v>46252056890.98336</v>
      </c>
      <c r="H459" s="163">
        <v>0</v>
      </c>
      <c r="I459"/>
      <c r="J459" s="192">
        <v>0</v>
      </c>
      <c r="K459" s="735">
        <v>0</v>
      </c>
      <c r="L459" s="735">
        <v>0</v>
      </c>
      <c r="M459" s="192">
        <v>0</v>
      </c>
      <c r="N459" s="67">
        <v>0</v>
      </c>
      <c r="O459" s="64">
        <v>0</v>
      </c>
      <c r="Q459" s="75">
        <v>0</v>
      </c>
      <c r="R459" s="61">
        <f t="shared" ref="R459:R466" si="12">IF(Network.element.output=0,0,$K$267:$K$466/Network.element.output)</f>
        <v>0</v>
      </c>
      <c r="S459" s="61">
        <f t="shared" ref="S459:S466" si="13">IF(Network.element.output=0,0,$L$267:$L$466/Network.element.output)</f>
        <v>0</v>
      </c>
      <c r="T459" s="75">
        <v>0</v>
      </c>
      <c r="U459" s="75">
        <v>0</v>
      </c>
      <c r="BA459" s="86"/>
      <c r="BB459" s="86"/>
      <c r="BC459" s="86"/>
      <c r="BD459" s="86"/>
      <c r="BE459" s="86"/>
      <c r="BF459" s="86"/>
    </row>
    <row r="460" spans="3:58" hidden="1" outlineLevel="1" x14ac:dyDescent="0.2">
      <c r="C460" s="162" t="str">
        <v>Puertos RNC a Core: Datos: 34.4</v>
      </c>
      <c r="D460" s="162" t="str">
        <v>UMTS+HSPA solo tráfico de datos</v>
      </c>
      <c r="F460" s="64">
        <f t="array" ref="F460">SUMPRODUCT(TRANSPOSE($F$6:$F$55),F254:BC254)</f>
        <v>77480179958.94754</v>
      </c>
      <c r="H460" s="163">
        <v>0</v>
      </c>
      <c r="I460"/>
      <c r="J460" s="192">
        <v>0</v>
      </c>
      <c r="K460" s="735">
        <v>0</v>
      </c>
      <c r="L460" s="735">
        <v>0</v>
      </c>
      <c r="M460" s="192">
        <v>0</v>
      </c>
      <c r="N460" s="67">
        <v>0</v>
      </c>
      <c r="O460" s="64">
        <v>0</v>
      </c>
      <c r="Q460" s="75">
        <v>0</v>
      </c>
      <c r="R460" s="61">
        <f t="shared" si="12"/>
        <v>0</v>
      </c>
      <c r="S460" s="61">
        <f t="shared" si="13"/>
        <v>0</v>
      </c>
      <c r="T460" s="75">
        <v>0</v>
      </c>
      <c r="U460" s="75">
        <v>0</v>
      </c>
      <c r="BA460" s="86"/>
      <c r="BB460" s="86"/>
      <c r="BC460" s="86"/>
      <c r="BD460" s="86"/>
      <c r="BE460" s="86"/>
      <c r="BF460" s="86"/>
    </row>
    <row r="461" spans="3:58" hidden="1" outlineLevel="1" x14ac:dyDescent="0.2">
      <c r="C461" s="162" t="str">
        <v>Puertos RNC a Core: Datos: 155.52</v>
      </c>
      <c r="D461" s="162" t="str">
        <v>UMTS+HSPA solo tráfico de datos</v>
      </c>
      <c r="F461" s="64">
        <f t="array" ref="F461">SUMPRODUCT(TRANSPOSE($F$6:$F$55),F255:BC255)</f>
        <v>77480179958.94754</v>
      </c>
      <c r="H461" s="163">
        <v>0</v>
      </c>
      <c r="I461"/>
      <c r="J461" s="192">
        <v>0</v>
      </c>
      <c r="K461" s="735">
        <v>0</v>
      </c>
      <c r="L461" s="735">
        <v>0</v>
      </c>
      <c r="M461" s="192">
        <v>0</v>
      </c>
      <c r="N461" s="67">
        <v>0</v>
      </c>
      <c r="O461" s="64">
        <v>0</v>
      </c>
      <c r="Q461" s="75">
        <v>0</v>
      </c>
      <c r="R461" s="61">
        <f t="shared" si="12"/>
        <v>0</v>
      </c>
      <c r="S461" s="61">
        <f t="shared" si="13"/>
        <v>0</v>
      </c>
      <c r="T461" s="75">
        <v>0</v>
      </c>
      <c r="U461" s="75">
        <v>0</v>
      </c>
      <c r="BA461" s="86"/>
      <c r="BB461" s="86"/>
      <c r="BC461" s="86"/>
      <c r="BD461" s="86"/>
      <c r="BE461" s="86"/>
      <c r="BF461" s="86"/>
    </row>
    <row r="462" spans="3:58" hidden="1" outlineLevel="1" x14ac:dyDescent="0.2">
      <c r="C462" s="162" t="str">
        <v>Puertos RNC a Core: Datos: 622.08</v>
      </c>
      <c r="D462" s="162" t="str">
        <v>UMTS+HSPA solo tráfico de datos</v>
      </c>
      <c r="F462" s="64">
        <f t="array" ref="F462">SUMPRODUCT(TRANSPOSE($F$6:$F$55),F256:BC256)</f>
        <v>77480179958.94754</v>
      </c>
      <c r="H462" s="163">
        <v>0</v>
      </c>
      <c r="I462"/>
      <c r="J462" s="192">
        <v>0</v>
      </c>
      <c r="K462" s="735">
        <v>0</v>
      </c>
      <c r="L462" s="735">
        <v>0</v>
      </c>
      <c r="M462" s="192">
        <v>0</v>
      </c>
      <c r="N462" s="67">
        <v>0</v>
      </c>
      <c r="O462" s="64">
        <v>0</v>
      </c>
      <c r="Q462" s="75">
        <v>0</v>
      </c>
      <c r="R462" s="61">
        <f t="shared" si="12"/>
        <v>0</v>
      </c>
      <c r="S462" s="61">
        <f t="shared" si="13"/>
        <v>0</v>
      </c>
      <c r="T462" s="75">
        <v>0</v>
      </c>
      <c r="U462" s="75">
        <v>0</v>
      </c>
      <c r="BA462" s="86"/>
      <c r="BB462" s="86"/>
      <c r="BC462" s="86"/>
      <c r="BD462" s="86"/>
      <c r="BE462" s="86"/>
      <c r="BF462" s="86"/>
    </row>
    <row r="463" spans="3:58" hidden="1" outlineLevel="1" x14ac:dyDescent="0.2">
      <c r="C463" s="162" t="str">
        <v>Puertos RNC a Core: Datos: 100</v>
      </c>
      <c r="D463" s="162" t="str">
        <v>UMTS+HSPA solo tráfico de datos</v>
      </c>
      <c r="F463" s="64">
        <f t="array" ref="F463">SUMPRODUCT(TRANSPOSE($F$6:$F$55),F257:BC257)</f>
        <v>77480179958.94754</v>
      </c>
      <c r="H463" s="163">
        <v>0</v>
      </c>
      <c r="I463"/>
      <c r="J463" s="192">
        <v>0</v>
      </c>
      <c r="K463" s="735">
        <v>0</v>
      </c>
      <c r="L463" s="735">
        <v>0</v>
      </c>
      <c r="M463" s="192">
        <v>0</v>
      </c>
      <c r="N463" s="67">
        <v>0</v>
      </c>
      <c r="O463" s="64">
        <v>0</v>
      </c>
      <c r="Q463" s="75">
        <v>0</v>
      </c>
      <c r="R463" s="61">
        <f t="shared" si="12"/>
        <v>0</v>
      </c>
      <c r="S463" s="61">
        <f t="shared" si="13"/>
        <v>0</v>
      </c>
      <c r="T463" s="75">
        <v>0</v>
      </c>
      <c r="U463" s="75">
        <v>0</v>
      </c>
      <c r="BA463" s="86"/>
      <c r="BB463" s="86"/>
      <c r="BC463" s="86"/>
      <c r="BD463" s="86"/>
      <c r="BE463" s="86"/>
      <c r="BF463" s="86"/>
    </row>
    <row r="464" spans="3:58" hidden="1" outlineLevel="1" x14ac:dyDescent="0.2">
      <c r="C464" s="162" t="str">
        <v>Puertos RNC a Core: Datos: 1024</v>
      </c>
      <c r="D464" s="162" t="str">
        <v>UMTS+HSPA solo tráfico de datos</v>
      </c>
      <c r="F464" s="64">
        <f t="array" ref="F464">SUMPRODUCT(TRANSPOSE($F$6:$F$55),F258:BC258)</f>
        <v>77480179958.94754</v>
      </c>
      <c r="H464" s="163">
        <v>0</v>
      </c>
      <c r="I464"/>
      <c r="J464" s="192">
        <v>0</v>
      </c>
      <c r="K464" s="735">
        <v>0</v>
      </c>
      <c r="L464" s="735">
        <v>0</v>
      </c>
      <c r="M464" s="192">
        <v>0</v>
      </c>
      <c r="N464" s="67">
        <v>0</v>
      </c>
      <c r="O464" s="64">
        <v>0</v>
      </c>
      <c r="Q464" s="75">
        <v>0</v>
      </c>
      <c r="R464" s="61">
        <f t="shared" si="12"/>
        <v>0</v>
      </c>
      <c r="S464" s="61">
        <f t="shared" si="13"/>
        <v>0</v>
      </c>
      <c r="T464" s="75">
        <v>0</v>
      </c>
      <c r="U464" s="75">
        <v>0</v>
      </c>
      <c r="BA464" s="86"/>
      <c r="BB464" s="86"/>
      <c r="BC464" s="86"/>
      <c r="BD464" s="86"/>
      <c r="BE464" s="86"/>
      <c r="BF464" s="86"/>
    </row>
    <row r="465" spans="1:63" hidden="1" outlineLevel="1" x14ac:dyDescent="0.2">
      <c r="C465" s="162" t="str">
        <v>Puertos RNC a Core: Datos: 2488</v>
      </c>
      <c r="D465" s="162" t="str">
        <v>UMTS+HSPA solo tráfico de datos</v>
      </c>
      <c r="F465" s="64">
        <f t="array" ref="F465">SUMPRODUCT(TRANSPOSE($F$6:$F$55),F259:BC259)</f>
        <v>77480179958.94754</v>
      </c>
      <c r="H465" s="163">
        <v>25016.024213039869</v>
      </c>
      <c r="I465"/>
      <c r="J465" s="192">
        <v>0</v>
      </c>
      <c r="K465" s="735">
        <v>8610.7335602255625</v>
      </c>
      <c r="L465" s="735">
        <v>16653.751509099962</v>
      </c>
      <c r="M465" s="192">
        <v>25264.485069325528</v>
      </c>
      <c r="N465" s="67">
        <v>1250.8012106519936</v>
      </c>
      <c r="O465" s="64">
        <v>26515.286279977521</v>
      </c>
      <c r="Q465" s="75">
        <v>3.2607674740445598E-7</v>
      </c>
      <c r="R465" s="61">
        <f t="shared" si="12"/>
        <v>1.111346613390407E-7</v>
      </c>
      <c r="S465" s="61">
        <f t="shared" si="13"/>
        <v>2.1494208606541523E-7</v>
      </c>
      <c r="T465" s="75">
        <v>1.6143499038266611E-8</v>
      </c>
      <c r="U465" s="75">
        <v>3.4222024644272257E-7</v>
      </c>
      <c r="BA465" s="86"/>
      <c r="BB465" s="86"/>
      <c r="BC465" s="86"/>
      <c r="BD465" s="86"/>
      <c r="BE465" s="86"/>
      <c r="BF465" s="86"/>
    </row>
    <row r="466" spans="1:63" collapsed="1" x14ac:dyDescent="0.2">
      <c r="C466" s="162" t="str">
        <v>Canon de espectro</v>
      </c>
      <c r="D466" s="162" t="str">
        <v>Minutos radio equivalentes</v>
      </c>
      <c r="F466" s="64">
        <f t="array" ref="F466">SUMPRODUCT(TRANSPOSE($F$6:$F$55),F260:BC260)</f>
        <v>248926774301.56345</v>
      </c>
      <c r="H466" s="163">
        <v>30073312.08149232</v>
      </c>
      <c r="I466"/>
      <c r="J466" s="192">
        <v>0</v>
      </c>
      <c r="K466" s="735">
        <v>0</v>
      </c>
      <c r="L466" s="735">
        <v>30372002.265331306</v>
      </c>
      <c r="M466" s="192">
        <v>30372002.265331306</v>
      </c>
      <c r="N466" s="67">
        <v>1503665.604074616</v>
      </c>
      <c r="O466" s="64">
        <v>31875667.869405922</v>
      </c>
      <c r="Q466" s="75">
        <v>1.2201179383193632E-4</v>
      </c>
      <c r="R466" s="61">
        <f t="shared" si="12"/>
        <v>0</v>
      </c>
      <c r="S466" s="61">
        <f t="shared" si="13"/>
        <v>1.2201179383193632E-4</v>
      </c>
      <c r="T466" s="75">
        <v>6.0405940995844571E-6</v>
      </c>
      <c r="U466" s="75">
        <v>1.2805238793152078E-4</v>
      </c>
      <c r="BA466" s="86"/>
      <c r="BB466" s="86"/>
      <c r="BC466" s="86"/>
      <c r="BD466" s="86"/>
      <c r="BE466" s="86"/>
      <c r="BF466" s="86"/>
    </row>
    <row r="467" spans="1:63" x14ac:dyDescent="0.2">
      <c r="F467" s="8" t="s">
        <v>46</v>
      </c>
      <c r="H467" s="97">
        <f>SUM(H267:H466)</f>
        <v>531049701.7966314</v>
      </c>
      <c r="I467"/>
      <c r="J467" s="97">
        <f>SUM(J267:J466)</f>
        <v>5222551.0742285009</v>
      </c>
      <c r="K467" s="97">
        <f t="shared" ref="K467:L467" si="14">SUM(K267:K466)</f>
        <v>242482222.38277853</v>
      </c>
      <c r="L467" s="97">
        <f t="shared" si="14"/>
        <v>288567479.41385281</v>
      </c>
      <c r="M467" s="97">
        <f>SUM(M267:M466)</f>
        <v>531049701.79663146</v>
      </c>
      <c r="N467" s="97">
        <f>SUM(N267:N466)</f>
        <v>26552485.089831579</v>
      </c>
      <c r="O467" s="97">
        <f>SUM(O267:O466)</f>
        <v>557602186.88646317</v>
      </c>
      <c r="BF467" s="86"/>
      <c r="BG467" s="86"/>
      <c r="BH467" s="86"/>
      <c r="BI467" s="86"/>
      <c r="BJ467" s="86"/>
      <c r="BK467" s="86"/>
    </row>
    <row r="468" spans="1:63" x14ac:dyDescent="0.2">
      <c r="K468" s="86"/>
      <c r="L468" s="86"/>
      <c r="BA468" s="86"/>
      <c r="BB468" s="86"/>
      <c r="BC468" s="86"/>
      <c r="BD468" s="86"/>
      <c r="BE468" s="86"/>
      <c r="BF468" s="86"/>
    </row>
    <row r="469" spans="1:63" x14ac:dyDescent="0.2">
      <c r="K469" s="86"/>
      <c r="L469" s="86"/>
      <c r="BA469" s="86"/>
      <c r="BB469" s="86"/>
      <c r="BC469" s="86"/>
      <c r="BD469" s="86"/>
      <c r="BE469" s="86"/>
      <c r="BF469" s="86"/>
    </row>
    <row r="470" spans="1:63" ht="15.75" x14ac:dyDescent="0.2">
      <c r="A470" s="171" t="s">
        <v>975</v>
      </c>
      <c r="B470" s="171"/>
      <c r="C470" s="171"/>
      <c r="D470" s="171"/>
      <c r="E470" s="171"/>
      <c r="F470" s="171"/>
      <c r="G470" s="171"/>
      <c r="H470" s="171"/>
      <c r="I470" s="171"/>
      <c r="J470" s="171"/>
      <c r="K470" s="171"/>
      <c r="L470" s="171"/>
      <c r="M470" s="171"/>
      <c r="N470" s="171"/>
      <c r="O470" s="171"/>
      <c r="P470" s="171"/>
      <c r="Q470" s="171"/>
      <c r="R470" s="171"/>
      <c r="S470" s="171"/>
      <c r="T470" s="171"/>
      <c r="U470" s="171"/>
      <c r="V470" s="171"/>
      <c r="W470" s="171"/>
      <c r="X470" s="171"/>
      <c r="Y470" s="171"/>
      <c r="Z470" s="171"/>
      <c r="AA470" s="171"/>
      <c r="AB470" s="171"/>
      <c r="AC470" s="171"/>
      <c r="AD470" s="171"/>
      <c r="AE470" s="171"/>
      <c r="AF470" s="171"/>
      <c r="AG470" s="171"/>
      <c r="AH470" s="171"/>
      <c r="AI470" s="171"/>
      <c r="AJ470" s="171"/>
      <c r="AK470" s="171"/>
      <c r="AL470" s="171"/>
      <c r="AM470" s="171"/>
      <c r="AN470" s="171"/>
      <c r="AO470" s="171"/>
      <c r="AP470" s="171"/>
      <c r="AQ470" s="171"/>
      <c r="AR470" s="171"/>
      <c r="AS470" s="171"/>
      <c r="AT470" s="171"/>
      <c r="AU470" s="171"/>
      <c r="AV470" s="171"/>
      <c r="AW470" s="171"/>
      <c r="AX470" s="171"/>
      <c r="AY470" s="171"/>
      <c r="AZ470" s="171"/>
      <c r="BA470" s="171"/>
      <c r="BB470" s="171"/>
      <c r="BC470" s="171"/>
      <c r="BD470" s="171"/>
    </row>
    <row r="471" spans="1:63" x14ac:dyDescent="0.2">
      <c r="F471" s="1">
        <v>1</v>
      </c>
      <c r="G471" s="86">
        <v>2</v>
      </c>
      <c r="H471" s="86">
        <v>3</v>
      </c>
      <c r="I471" s="86">
        <v>4</v>
      </c>
      <c r="J471" s="86">
        <v>5</v>
      </c>
      <c r="K471" s="86">
        <v>6</v>
      </c>
      <c r="L471" s="86">
        <v>7</v>
      </c>
      <c r="M471" s="86">
        <v>8</v>
      </c>
      <c r="N471" s="86">
        <v>9</v>
      </c>
      <c r="O471" s="86">
        <v>10</v>
      </c>
      <c r="P471" s="86">
        <v>11</v>
      </c>
      <c r="Q471" s="86">
        <v>12</v>
      </c>
      <c r="R471" s="86">
        <v>13</v>
      </c>
      <c r="S471" s="86">
        <v>14</v>
      </c>
      <c r="T471" s="86">
        <v>15</v>
      </c>
      <c r="U471" s="86">
        <v>16</v>
      </c>
      <c r="V471" s="86">
        <v>17</v>
      </c>
      <c r="W471" s="86">
        <v>18</v>
      </c>
      <c r="X471" s="86">
        <v>19</v>
      </c>
      <c r="Y471" s="86">
        <v>20</v>
      </c>
      <c r="Z471" s="86">
        <v>21</v>
      </c>
      <c r="AA471" s="86">
        <v>22</v>
      </c>
      <c r="AB471" s="86">
        <v>23</v>
      </c>
      <c r="AC471" s="86">
        <v>24</v>
      </c>
      <c r="AD471" s="86">
        <v>25</v>
      </c>
      <c r="AE471" s="86">
        <v>26</v>
      </c>
      <c r="AF471" s="86">
        <v>27</v>
      </c>
      <c r="AG471" s="86">
        <v>28</v>
      </c>
      <c r="AH471" s="86">
        <v>29</v>
      </c>
      <c r="AI471" s="86">
        <v>30</v>
      </c>
      <c r="AJ471" s="86">
        <v>31</v>
      </c>
      <c r="AK471" s="86">
        <v>32</v>
      </c>
      <c r="AL471" s="86">
        <v>33</v>
      </c>
      <c r="AM471" s="86">
        <v>34</v>
      </c>
      <c r="AN471" s="86">
        <v>35</v>
      </c>
      <c r="AO471" s="86">
        <v>36</v>
      </c>
      <c r="AP471" s="86">
        <v>37</v>
      </c>
      <c r="AQ471" s="86">
        <v>38</v>
      </c>
      <c r="AR471" s="86">
        <v>39</v>
      </c>
      <c r="AS471" s="86">
        <v>40</v>
      </c>
      <c r="AT471" s="86">
        <v>41</v>
      </c>
      <c r="AU471" s="86">
        <v>42</v>
      </c>
      <c r="AV471" s="86">
        <v>43</v>
      </c>
      <c r="AW471" s="86">
        <v>44</v>
      </c>
      <c r="AX471" s="86">
        <v>45</v>
      </c>
      <c r="AY471" s="86">
        <v>46</v>
      </c>
      <c r="AZ471" s="86">
        <v>47</v>
      </c>
      <c r="BA471" s="86">
        <v>48</v>
      </c>
      <c r="BB471" s="86">
        <v>49</v>
      </c>
      <c r="BC471" s="86">
        <v>50</v>
      </c>
    </row>
    <row r="472" spans="1:63" ht="15.75" x14ac:dyDescent="0.2">
      <c r="B472" s="52" t="s">
        <v>976</v>
      </c>
    </row>
    <row r="473" spans="1:63" x14ac:dyDescent="0.2">
      <c r="F473" s="224">
        <f t="array" ref="F473:BC473">TRANSPOSE(Services.demand)</f>
        <v>3378712583.9453816</v>
      </c>
      <c r="G473" s="224">
        <v>211915828.2273019</v>
      </c>
      <c r="H473" s="224">
        <v>1837583986.1340411</v>
      </c>
      <c r="I473" s="224">
        <v>17962225.721637532</v>
      </c>
      <c r="J473" s="224">
        <v>100079529.33759733</v>
      </c>
      <c r="K473" s="224">
        <v>1837583986.1340413</v>
      </c>
      <c r="L473" s="224">
        <v>31520108.388904903</v>
      </c>
      <c r="M473" s="224">
        <v>10136137751.836145</v>
      </c>
      <c r="N473" s="224">
        <v>635747484.68190575</v>
      </c>
      <c r="O473" s="224">
        <v>5512751958.4021235</v>
      </c>
      <c r="P473" s="224">
        <v>53886677.164912596</v>
      </c>
      <c r="Q473" s="224">
        <v>300238588.01279199</v>
      </c>
      <c r="R473" s="224">
        <v>5512751958.4021244</v>
      </c>
      <c r="S473" s="224">
        <v>94560325.166714713</v>
      </c>
      <c r="T473" s="224">
        <v>0</v>
      </c>
      <c r="U473" s="224">
        <v>0</v>
      </c>
      <c r="V473" s="224">
        <v>0</v>
      </c>
      <c r="W473" s="224">
        <v>0</v>
      </c>
      <c r="X473" s="224">
        <v>0</v>
      </c>
      <c r="Y473" s="224">
        <v>0</v>
      </c>
      <c r="Z473" s="224">
        <v>0</v>
      </c>
      <c r="AA473" s="224">
        <v>467255840.72455692</v>
      </c>
      <c r="AB473" s="224">
        <v>388105567.31469476</v>
      </c>
      <c r="AC473" s="224">
        <v>353681926.04408157</v>
      </c>
      <c r="AD473" s="224">
        <v>1401767522.1736708</v>
      </c>
      <c r="AE473" s="224">
        <v>1164316701.9440842</v>
      </c>
      <c r="AF473" s="224">
        <v>1061045778.1322447</v>
      </c>
      <c r="AG473" s="224">
        <v>0</v>
      </c>
      <c r="AH473" s="224">
        <v>0</v>
      </c>
      <c r="AI473" s="224">
        <v>0</v>
      </c>
      <c r="AJ473" s="224">
        <v>30992071983.579018</v>
      </c>
      <c r="AK473" s="224">
        <v>1549603599.1789508</v>
      </c>
      <c r="AL473" s="224">
        <v>60744461087.814873</v>
      </c>
      <c r="AM473" s="224">
        <v>15186115271.953714</v>
      </c>
      <c r="AN473" s="224">
        <v>46488107975.368523</v>
      </c>
      <c r="AO473" s="224">
        <v>0</v>
      </c>
      <c r="AP473" s="224">
        <v>5816039.3333333302</v>
      </c>
      <c r="AQ473" s="224">
        <v>5671666.666666666</v>
      </c>
      <c r="AR473" s="224">
        <v>0</v>
      </c>
      <c r="AS473" s="224">
        <v>0</v>
      </c>
      <c r="AT473" s="224">
        <v>0</v>
      </c>
      <c r="AU473" s="224">
        <v>0</v>
      </c>
      <c r="AV473" s="224">
        <v>0</v>
      </c>
      <c r="AW473" s="224">
        <v>0</v>
      </c>
      <c r="AX473" s="224">
        <v>0</v>
      </c>
      <c r="AY473" s="224">
        <v>0</v>
      </c>
      <c r="AZ473" s="224">
        <v>0</v>
      </c>
      <c r="BA473" s="224">
        <v>0</v>
      </c>
      <c r="BB473" s="224">
        <v>0</v>
      </c>
      <c r="BC473" s="224">
        <v>0</v>
      </c>
    </row>
    <row r="474" spans="1:63" s="86" customFormat="1" x14ac:dyDescent="0.2"/>
    <row r="475" spans="1:63" ht="15.75" x14ac:dyDescent="0.2">
      <c r="B475" s="52" t="s">
        <v>977</v>
      </c>
    </row>
    <row r="476" spans="1:63" s="86" customFormat="1" ht="15.75" x14ac:dyDescent="0.2">
      <c r="B476" s="52"/>
    </row>
    <row r="477" spans="1:63" x14ac:dyDescent="0.2">
      <c r="E477" s="732"/>
      <c r="G477" s="733"/>
      <c r="H477" s="733"/>
      <c r="I477" s="733"/>
      <c r="J477" s="733"/>
      <c r="K477" s="733"/>
      <c r="L477" s="733"/>
      <c r="M477" s="733"/>
      <c r="N477" s="733"/>
      <c r="O477" s="733"/>
      <c r="P477" s="733"/>
      <c r="Q477" s="733"/>
      <c r="R477" s="733"/>
      <c r="S477" s="733"/>
    </row>
    <row r="478" spans="1:63" ht="36" x14ac:dyDescent="0.2">
      <c r="C478" s="231" t="s">
        <v>968</v>
      </c>
      <c r="D478" s="81"/>
      <c r="E478" s="86"/>
      <c r="F478" s="231" t="str">
        <f t="array" ref="F478:BC478">TRANSPOSE(Network.services.list)</f>
        <v>2G - Tráfico de voz on-net</v>
      </c>
      <c r="G478" s="231" t="str">
        <v>2G - Tráfico de voz saliente a fijo</v>
      </c>
      <c r="H478" s="231" t="str">
        <v>2G - Tráfico de voz saliente a móvil</v>
      </c>
      <c r="I478" s="231" t="str">
        <v>2G - Tráfico de voz saliente a internacional</v>
      </c>
      <c r="J478" s="231" t="str">
        <v>2G - Tráfico de voz entrante desde fijo</v>
      </c>
      <c r="K478" s="231" t="str">
        <v>2G - Tráfico de voz entrante desde móvil</v>
      </c>
      <c r="L478" s="231" t="str">
        <v>2G - Tráfico de voz entrante desde internacional</v>
      </c>
      <c r="M478" s="231" t="str">
        <v>3G - Tráfico de voz on-net</v>
      </c>
      <c r="N478" s="231" t="str">
        <v>3G - Tráfico de voz saliente a fijo</v>
      </c>
      <c r="O478" s="231" t="str">
        <v>3G - Tráfico de voz saliente a móvil</v>
      </c>
      <c r="P478" s="231" t="str">
        <v>3G - Tráfico de voz saliente a internacional</v>
      </c>
      <c r="Q478" s="231" t="str">
        <v>3G - Tráfico de voz entrante desde fijo</v>
      </c>
      <c r="R478" s="231" t="str">
        <v>3G - Tráfico de voz entrante desde móvil</v>
      </c>
      <c r="S478" s="231" t="str">
        <v>3G - Tráfico de voz entrante desde internacional</v>
      </c>
      <c r="T478" s="231" t="str">
        <v>4G - Tráfico de voz on-net</v>
      </c>
      <c r="U478" s="231" t="str">
        <v>4G - Tráfico de voz saliente a fijo</v>
      </c>
      <c r="V478" s="231" t="str">
        <v>4G - Tráfico de voz saliente a móvil</v>
      </c>
      <c r="W478" s="231" t="str">
        <v>4G - Tráfico de voz saliente a internacional</v>
      </c>
      <c r="X478" s="231" t="str">
        <v>4G - Tráfico de voz entrante desde fijo</v>
      </c>
      <c r="Y478" s="231" t="str">
        <v>4G - Tráfico de voz entrante desde móvil</v>
      </c>
      <c r="Z478" s="231" t="str">
        <v>4G - Tráfico de voz entrante desde internacional</v>
      </c>
      <c r="AA478" s="231" t="str">
        <v>2G - SMSs on-net</v>
      </c>
      <c r="AB478" s="231" t="str">
        <v>2G - SMS salientes</v>
      </c>
      <c r="AC478" s="231" t="str">
        <v>2G - SMS entrantes</v>
      </c>
      <c r="AD478" s="231" t="str">
        <v>3G - SMSs on-net</v>
      </c>
      <c r="AE478" s="231" t="str">
        <v>3G - SMS salientes</v>
      </c>
      <c r="AF478" s="231" t="str">
        <v>3G - SMS entrantes</v>
      </c>
      <c r="AG478" s="231" t="str">
        <v>4G - SMSs on-net</v>
      </c>
      <c r="AH478" s="231" t="str">
        <v>4G - SMS salientes</v>
      </c>
      <c r="AI478" s="231" t="str">
        <v>4G - SMS entrantes</v>
      </c>
      <c r="AJ478" s="231" t="str">
        <v>GPRS data Mbytes</v>
      </c>
      <c r="AK478" s="231" t="str">
        <v>R99 data Mbytes</v>
      </c>
      <c r="AL478" s="231" t="str">
        <v>HSDPA data Mbytes</v>
      </c>
      <c r="AM478" s="231" t="str">
        <v>HSUPA data Mbytes</v>
      </c>
      <c r="AN478" s="231" t="str">
        <v>LTE data Mbytes</v>
      </c>
      <c r="AO478" s="231" t="str">
        <v>spare</v>
      </c>
      <c r="AP478" s="231" t="str">
        <v>Suscriptores de solo voz (media del año)</v>
      </c>
      <c r="AQ478" s="231" t="str">
        <v>Suscriptores de voz y datos (media del año)</v>
      </c>
      <c r="AR478" s="231" t="str">
        <v>spare</v>
      </c>
      <c r="AS478" s="231" t="str">
        <v>spare</v>
      </c>
      <c r="AT478" s="231" t="str">
        <v>spare</v>
      </c>
      <c r="AU478" s="231" t="str">
        <v>spare</v>
      </c>
      <c r="AV478" s="231" t="str">
        <v>spare</v>
      </c>
      <c r="AW478" s="231" t="str">
        <v>spare</v>
      </c>
      <c r="AX478" s="231" t="str">
        <v>spare</v>
      </c>
      <c r="AY478" s="231" t="str">
        <v>spare</v>
      </c>
      <c r="AZ478" s="231" t="str">
        <v>spare</v>
      </c>
      <c r="BA478" s="231" t="str">
        <v>spare</v>
      </c>
      <c r="BB478" s="231" t="str">
        <v>spare</v>
      </c>
      <c r="BC478" s="231" t="str">
        <v>spare</v>
      </c>
    </row>
    <row r="479" spans="1:63" x14ac:dyDescent="0.2">
      <c r="C479" s="162" t="str">
        <f t="array" ref="C479:C678">Assets.list</f>
        <v>Asset 1</v>
      </c>
      <c r="D479" s="81"/>
      <c r="E479" s="86"/>
      <c r="F479" s="229">
        <f t="array" ref="F479:BC678">F61:BC260*U267:U466*F473:BC473</f>
        <v>0</v>
      </c>
      <c r="G479" s="229">
        <v>0</v>
      </c>
      <c r="H479" s="229">
        <v>0</v>
      </c>
      <c r="I479" s="229">
        <v>0</v>
      </c>
      <c r="J479" s="229">
        <v>0</v>
      </c>
      <c r="K479" s="229">
        <v>0</v>
      </c>
      <c r="L479" s="229">
        <v>0</v>
      </c>
      <c r="M479" s="229">
        <v>0</v>
      </c>
      <c r="N479" s="229">
        <v>0</v>
      </c>
      <c r="O479" s="229">
        <v>0</v>
      </c>
      <c r="P479" s="229">
        <v>0</v>
      </c>
      <c r="Q479" s="229">
        <v>0</v>
      </c>
      <c r="R479" s="229">
        <v>0</v>
      </c>
      <c r="S479" s="229">
        <v>0</v>
      </c>
      <c r="T479" s="229">
        <v>0</v>
      </c>
      <c r="U479" s="229">
        <v>0</v>
      </c>
      <c r="V479" s="229">
        <v>0</v>
      </c>
      <c r="W479" s="229">
        <v>0</v>
      </c>
      <c r="X479" s="229">
        <v>0</v>
      </c>
      <c r="Y479" s="229">
        <v>0</v>
      </c>
      <c r="Z479" s="229">
        <v>0</v>
      </c>
      <c r="AA479" s="229">
        <v>0</v>
      </c>
      <c r="AB479" s="229">
        <v>0</v>
      </c>
      <c r="AC479" s="229">
        <v>0</v>
      </c>
      <c r="AD479" s="229">
        <v>0</v>
      </c>
      <c r="AE479" s="229">
        <v>0</v>
      </c>
      <c r="AF479" s="229">
        <v>0</v>
      </c>
      <c r="AG479" s="229">
        <v>0</v>
      </c>
      <c r="AH479" s="229">
        <v>0</v>
      </c>
      <c r="AI479" s="229">
        <v>0</v>
      </c>
      <c r="AJ479" s="229">
        <v>0</v>
      </c>
      <c r="AK479" s="229">
        <v>0</v>
      </c>
      <c r="AL479" s="229">
        <v>0</v>
      </c>
      <c r="AM479" s="229">
        <v>0</v>
      </c>
      <c r="AN479" s="229">
        <v>0</v>
      </c>
      <c r="AO479" s="229">
        <v>0</v>
      </c>
      <c r="AP479" s="229">
        <v>0</v>
      </c>
      <c r="AQ479" s="229">
        <v>0</v>
      </c>
      <c r="AR479" s="229">
        <v>0</v>
      </c>
      <c r="AS479" s="229">
        <v>0</v>
      </c>
      <c r="AT479" s="229">
        <v>0</v>
      </c>
      <c r="AU479" s="229">
        <v>0</v>
      </c>
      <c r="AV479" s="229">
        <v>0</v>
      </c>
      <c r="AW479" s="229">
        <v>0</v>
      </c>
      <c r="AX479" s="229">
        <v>0</v>
      </c>
      <c r="AY479" s="229">
        <v>0</v>
      </c>
      <c r="AZ479" s="229">
        <v>0</v>
      </c>
      <c r="BA479" s="229">
        <v>0</v>
      </c>
      <c r="BB479" s="229">
        <v>0</v>
      </c>
      <c r="BC479" s="229">
        <v>0</v>
      </c>
    </row>
    <row r="480" spans="1:63" outlineLevel="2" x14ac:dyDescent="0.2">
      <c r="C480" s="162" t="str">
        <v>Asset 2</v>
      </c>
      <c r="D480" s="81"/>
      <c r="E480" s="86"/>
      <c r="F480" s="229">
        <v>0</v>
      </c>
      <c r="G480" s="229">
        <v>0</v>
      </c>
      <c r="H480" s="229">
        <v>0</v>
      </c>
      <c r="I480" s="229">
        <v>0</v>
      </c>
      <c r="J480" s="229">
        <v>0</v>
      </c>
      <c r="K480" s="229">
        <v>0</v>
      </c>
      <c r="L480" s="229">
        <v>0</v>
      </c>
      <c r="M480" s="229">
        <v>0</v>
      </c>
      <c r="N480" s="229">
        <v>0</v>
      </c>
      <c r="O480" s="229">
        <v>0</v>
      </c>
      <c r="P480" s="229">
        <v>0</v>
      </c>
      <c r="Q480" s="229">
        <v>0</v>
      </c>
      <c r="R480" s="229">
        <v>0</v>
      </c>
      <c r="S480" s="229">
        <v>0</v>
      </c>
      <c r="T480" s="229">
        <v>0</v>
      </c>
      <c r="U480" s="229">
        <v>0</v>
      </c>
      <c r="V480" s="229">
        <v>0</v>
      </c>
      <c r="W480" s="229">
        <v>0</v>
      </c>
      <c r="X480" s="229">
        <v>0</v>
      </c>
      <c r="Y480" s="229">
        <v>0</v>
      </c>
      <c r="Z480" s="229">
        <v>0</v>
      </c>
      <c r="AA480" s="229">
        <v>0</v>
      </c>
      <c r="AB480" s="229">
        <v>0</v>
      </c>
      <c r="AC480" s="229">
        <v>0</v>
      </c>
      <c r="AD480" s="229">
        <v>0</v>
      </c>
      <c r="AE480" s="229">
        <v>0</v>
      </c>
      <c r="AF480" s="229">
        <v>0</v>
      </c>
      <c r="AG480" s="229">
        <v>0</v>
      </c>
      <c r="AH480" s="229">
        <v>0</v>
      </c>
      <c r="AI480" s="229">
        <v>0</v>
      </c>
      <c r="AJ480" s="229">
        <v>0</v>
      </c>
      <c r="AK480" s="229">
        <v>0</v>
      </c>
      <c r="AL480" s="229">
        <v>0</v>
      </c>
      <c r="AM480" s="229">
        <v>0</v>
      </c>
      <c r="AN480" s="229">
        <v>0</v>
      </c>
      <c r="AO480" s="229">
        <v>0</v>
      </c>
      <c r="AP480" s="229">
        <v>0</v>
      </c>
      <c r="AQ480" s="229">
        <v>0</v>
      </c>
      <c r="AR480" s="229">
        <v>0</v>
      </c>
      <c r="AS480" s="229">
        <v>0</v>
      </c>
      <c r="AT480" s="229">
        <v>0</v>
      </c>
      <c r="AU480" s="229">
        <v>0</v>
      </c>
      <c r="AV480" s="229">
        <v>0</v>
      </c>
      <c r="AW480" s="229">
        <v>0</v>
      </c>
      <c r="AX480" s="229">
        <v>0</v>
      </c>
      <c r="AY480" s="229">
        <v>0</v>
      </c>
      <c r="AZ480" s="229">
        <v>0</v>
      </c>
      <c r="BA480" s="229">
        <v>0</v>
      </c>
      <c r="BB480" s="229">
        <v>0</v>
      </c>
      <c r="BC480" s="229">
        <v>0</v>
      </c>
    </row>
    <row r="481" spans="3:55" outlineLevel="2" x14ac:dyDescent="0.2">
      <c r="C481" s="162" t="str">
        <v>Asset 3</v>
      </c>
      <c r="D481" s="81"/>
      <c r="E481" s="86"/>
      <c r="F481" s="229">
        <v>0</v>
      </c>
      <c r="G481" s="229">
        <v>0</v>
      </c>
      <c r="H481" s="229">
        <v>0</v>
      </c>
      <c r="I481" s="229">
        <v>0</v>
      </c>
      <c r="J481" s="229">
        <v>0</v>
      </c>
      <c r="K481" s="229">
        <v>0</v>
      </c>
      <c r="L481" s="229">
        <v>0</v>
      </c>
      <c r="M481" s="229">
        <v>0</v>
      </c>
      <c r="N481" s="229">
        <v>0</v>
      </c>
      <c r="O481" s="229">
        <v>0</v>
      </c>
      <c r="P481" s="229">
        <v>0</v>
      </c>
      <c r="Q481" s="229">
        <v>0</v>
      </c>
      <c r="R481" s="229">
        <v>0</v>
      </c>
      <c r="S481" s="229">
        <v>0</v>
      </c>
      <c r="T481" s="229">
        <v>0</v>
      </c>
      <c r="U481" s="229">
        <v>0</v>
      </c>
      <c r="V481" s="229">
        <v>0</v>
      </c>
      <c r="W481" s="229">
        <v>0</v>
      </c>
      <c r="X481" s="229">
        <v>0</v>
      </c>
      <c r="Y481" s="229">
        <v>0</v>
      </c>
      <c r="Z481" s="229">
        <v>0</v>
      </c>
      <c r="AA481" s="229">
        <v>0</v>
      </c>
      <c r="AB481" s="229">
        <v>0</v>
      </c>
      <c r="AC481" s="229">
        <v>0</v>
      </c>
      <c r="AD481" s="229">
        <v>0</v>
      </c>
      <c r="AE481" s="229">
        <v>0</v>
      </c>
      <c r="AF481" s="229">
        <v>0</v>
      </c>
      <c r="AG481" s="229">
        <v>0</v>
      </c>
      <c r="AH481" s="229">
        <v>0</v>
      </c>
      <c r="AI481" s="229">
        <v>0</v>
      </c>
      <c r="AJ481" s="229">
        <v>0</v>
      </c>
      <c r="AK481" s="229">
        <v>0</v>
      </c>
      <c r="AL481" s="229">
        <v>0</v>
      </c>
      <c r="AM481" s="229">
        <v>0</v>
      </c>
      <c r="AN481" s="229">
        <v>0</v>
      </c>
      <c r="AO481" s="229">
        <v>0</v>
      </c>
      <c r="AP481" s="229">
        <v>0</v>
      </c>
      <c r="AQ481" s="229">
        <v>0</v>
      </c>
      <c r="AR481" s="229">
        <v>0</v>
      </c>
      <c r="AS481" s="229">
        <v>0</v>
      </c>
      <c r="AT481" s="229">
        <v>0</v>
      </c>
      <c r="AU481" s="229">
        <v>0</v>
      </c>
      <c r="AV481" s="229">
        <v>0</v>
      </c>
      <c r="AW481" s="229">
        <v>0</v>
      </c>
      <c r="AX481" s="229">
        <v>0</v>
      </c>
      <c r="AY481" s="229">
        <v>0</v>
      </c>
      <c r="AZ481" s="229">
        <v>0</v>
      </c>
      <c r="BA481" s="229">
        <v>0</v>
      </c>
      <c r="BB481" s="229">
        <v>0</v>
      </c>
      <c r="BC481" s="229">
        <v>0</v>
      </c>
    </row>
    <row r="482" spans="3:55" outlineLevel="2" x14ac:dyDescent="0.2">
      <c r="C482" s="162" t="str">
        <v>TRX</v>
      </c>
      <c r="D482" s="81"/>
      <c r="E482" s="86"/>
      <c r="F482" s="229">
        <v>786774.59004415199</v>
      </c>
      <c r="G482" s="229">
        <v>24799.908130351647</v>
      </c>
      <c r="H482" s="229">
        <v>219344.09287393012</v>
      </c>
      <c r="I482" s="229">
        <v>2058.7335721763507</v>
      </c>
      <c r="J482" s="229">
        <v>11712.02337297373</v>
      </c>
      <c r="K482" s="229">
        <v>219344.09287393015</v>
      </c>
      <c r="L482" s="229">
        <v>3612.6650641466326</v>
      </c>
      <c r="M482" s="229">
        <v>0</v>
      </c>
      <c r="N482" s="229">
        <v>0</v>
      </c>
      <c r="O482" s="229">
        <v>0</v>
      </c>
      <c r="P482" s="229">
        <v>0</v>
      </c>
      <c r="Q482" s="229">
        <v>0</v>
      </c>
      <c r="R482" s="229">
        <v>0</v>
      </c>
      <c r="S482" s="229">
        <v>0</v>
      </c>
      <c r="T482" s="229">
        <v>0</v>
      </c>
      <c r="U482" s="229">
        <v>0</v>
      </c>
      <c r="V482" s="229">
        <v>0</v>
      </c>
      <c r="W482" s="229">
        <v>0</v>
      </c>
      <c r="X482" s="229">
        <v>0</v>
      </c>
      <c r="Y482" s="229">
        <v>0</v>
      </c>
      <c r="Z482" s="229">
        <v>0</v>
      </c>
      <c r="AA482" s="229">
        <v>0</v>
      </c>
      <c r="AB482" s="229">
        <v>0</v>
      </c>
      <c r="AC482" s="229">
        <v>0</v>
      </c>
      <c r="AD482" s="229">
        <v>0</v>
      </c>
      <c r="AE482" s="229">
        <v>0</v>
      </c>
      <c r="AF482" s="229">
        <v>0</v>
      </c>
      <c r="AG482" s="229">
        <v>0</v>
      </c>
      <c r="AH482" s="229">
        <v>0</v>
      </c>
      <c r="AI482" s="229">
        <v>0</v>
      </c>
      <c r="AJ482" s="229">
        <v>14775742.687836364</v>
      </c>
      <c r="AK482" s="229">
        <v>0</v>
      </c>
      <c r="AL482" s="229">
        <v>0</v>
      </c>
      <c r="AM482" s="229">
        <v>0</v>
      </c>
      <c r="AN482" s="229">
        <v>0</v>
      </c>
      <c r="AO482" s="229">
        <v>0</v>
      </c>
      <c r="AP482" s="229">
        <v>0</v>
      </c>
      <c r="AQ482" s="229">
        <v>0</v>
      </c>
      <c r="AR482" s="229">
        <v>0</v>
      </c>
      <c r="AS482" s="229">
        <v>0</v>
      </c>
      <c r="AT482" s="229">
        <v>0</v>
      </c>
      <c r="AU482" s="229">
        <v>0</v>
      </c>
      <c r="AV482" s="229">
        <v>0</v>
      </c>
      <c r="AW482" s="229">
        <v>0</v>
      </c>
      <c r="AX482" s="229">
        <v>0</v>
      </c>
      <c r="AY482" s="229">
        <v>0</v>
      </c>
      <c r="AZ482" s="229">
        <v>0</v>
      </c>
      <c r="BA482" s="229">
        <v>0</v>
      </c>
      <c r="BB482" s="229">
        <v>0</v>
      </c>
      <c r="BC482" s="229">
        <v>0</v>
      </c>
    </row>
    <row r="483" spans="3:55" outlineLevel="2" x14ac:dyDescent="0.2">
      <c r="C483" s="162" t="str">
        <v>Asset 4</v>
      </c>
      <c r="D483" s="81"/>
      <c r="E483" s="86"/>
      <c r="F483" s="229">
        <v>0</v>
      </c>
      <c r="G483" s="229">
        <v>0</v>
      </c>
      <c r="H483" s="229">
        <v>0</v>
      </c>
      <c r="I483" s="229">
        <v>0</v>
      </c>
      <c r="J483" s="229">
        <v>0</v>
      </c>
      <c r="K483" s="229">
        <v>0</v>
      </c>
      <c r="L483" s="229">
        <v>0</v>
      </c>
      <c r="M483" s="229">
        <v>0</v>
      </c>
      <c r="N483" s="229">
        <v>0</v>
      </c>
      <c r="O483" s="229">
        <v>0</v>
      </c>
      <c r="P483" s="229">
        <v>0</v>
      </c>
      <c r="Q483" s="229">
        <v>0</v>
      </c>
      <c r="R483" s="229">
        <v>0</v>
      </c>
      <c r="S483" s="229">
        <v>0</v>
      </c>
      <c r="T483" s="229">
        <v>0</v>
      </c>
      <c r="U483" s="229">
        <v>0</v>
      </c>
      <c r="V483" s="229">
        <v>0</v>
      </c>
      <c r="W483" s="229">
        <v>0</v>
      </c>
      <c r="X483" s="229">
        <v>0</v>
      </c>
      <c r="Y483" s="229">
        <v>0</v>
      </c>
      <c r="Z483" s="229">
        <v>0</v>
      </c>
      <c r="AA483" s="229">
        <v>0</v>
      </c>
      <c r="AB483" s="229">
        <v>0</v>
      </c>
      <c r="AC483" s="229">
        <v>0</v>
      </c>
      <c r="AD483" s="229">
        <v>0</v>
      </c>
      <c r="AE483" s="229">
        <v>0</v>
      </c>
      <c r="AF483" s="229">
        <v>0</v>
      </c>
      <c r="AG483" s="229">
        <v>0</v>
      </c>
      <c r="AH483" s="229">
        <v>0</v>
      </c>
      <c r="AI483" s="229">
        <v>0</v>
      </c>
      <c r="AJ483" s="229">
        <v>0</v>
      </c>
      <c r="AK483" s="229">
        <v>0</v>
      </c>
      <c r="AL483" s="229">
        <v>0</v>
      </c>
      <c r="AM483" s="229">
        <v>0</v>
      </c>
      <c r="AN483" s="229">
        <v>0</v>
      </c>
      <c r="AO483" s="229">
        <v>0</v>
      </c>
      <c r="AP483" s="229">
        <v>0</v>
      </c>
      <c r="AQ483" s="229">
        <v>0</v>
      </c>
      <c r="AR483" s="229">
        <v>0</v>
      </c>
      <c r="AS483" s="229">
        <v>0</v>
      </c>
      <c r="AT483" s="229">
        <v>0</v>
      </c>
      <c r="AU483" s="229">
        <v>0</v>
      </c>
      <c r="AV483" s="229">
        <v>0</v>
      </c>
      <c r="AW483" s="229">
        <v>0</v>
      </c>
      <c r="AX483" s="229">
        <v>0</v>
      </c>
      <c r="AY483" s="229">
        <v>0</v>
      </c>
      <c r="AZ483" s="229">
        <v>0</v>
      </c>
      <c r="BA483" s="229">
        <v>0</v>
      </c>
      <c r="BB483" s="229">
        <v>0</v>
      </c>
      <c r="BC483" s="229">
        <v>0</v>
      </c>
    </row>
    <row r="484" spans="3:55" outlineLevel="2" x14ac:dyDescent="0.2">
      <c r="C484" s="162" t="str">
        <v>Asset 5</v>
      </c>
      <c r="D484" s="81"/>
      <c r="E484" s="86"/>
      <c r="F484" s="229">
        <v>0</v>
      </c>
      <c r="G484" s="229">
        <v>0</v>
      </c>
      <c r="H484" s="229">
        <v>0</v>
      </c>
      <c r="I484" s="229">
        <v>0</v>
      </c>
      <c r="J484" s="229">
        <v>0</v>
      </c>
      <c r="K484" s="229">
        <v>0</v>
      </c>
      <c r="L484" s="229">
        <v>0</v>
      </c>
      <c r="M484" s="229">
        <v>0</v>
      </c>
      <c r="N484" s="229">
        <v>0</v>
      </c>
      <c r="O484" s="229">
        <v>0</v>
      </c>
      <c r="P484" s="229">
        <v>0</v>
      </c>
      <c r="Q484" s="229">
        <v>0</v>
      </c>
      <c r="R484" s="229">
        <v>0</v>
      </c>
      <c r="S484" s="229">
        <v>0</v>
      </c>
      <c r="T484" s="229">
        <v>0</v>
      </c>
      <c r="U484" s="229">
        <v>0</v>
      </c>
      <c r="V484" s="229">
        <v>0</v>
      </c>
      <c r="W484" s="229">
        <v>0</v>
      </c>
      <c r="X484" s="229">
        <v>0</v>
      </c>
      <c r="Y484" s="229">
        <v>0</v>
      </c>
      <c r="Z484" s="229">
        <v>0</v>
      </c>
      <c r="AA484" s="229">
        <v>0</v>
      </c>
      <c r="AB484" s="229">
        <v>0</v>
      </c>
      <c r="AC484" s="229">
        <v>0</v>
      </c>
      <c r="AD484" s="229">
        <v>0</v>
      </c>
      <c r="AE484" s="229">
        <v>0</v>
      </c>
      <c r="AF484" s="229">
        <v>0</v>
      </c>
      <c r="AG484" s="229">
        <v>0</v>
      </c>
      <c r="AH484" s="229">
        <v>0</v>
      </c>
      <c r="AI484" s="229">
        <v>0</v>
      </c>
      <c r="AJ484" s="229">
        <v>0</v>
      </c>
      <c r="AK484" s="229">
        <v>0</v>
      </c>
      <c r="AL484" s="229">
        <v>0</v>
      </c>
      <c r="AM484" s="229">
        <v>0</v>
      </c>
      <c r="AN484" s="229">
        <v>0</v>
      </c>
      <c r="AO484" s="229">
        <v>0</v>
      </c>
      <c r="AP484" s="229">
        <v>0</v>
      </c>
      <c r="AQ484" s="229">
        <v>0</v>
      </c>
      <c r="AR484" s="229">
        <v>0</v>
      </c>
      <c r="AS484" s="229">
        <v>0</v>
      </c>
      <c r="AT484" s="229">
        <v>0</v>
      </c>
      <c r="AU484" s="229">
        <v>0</v>
      </c>
      <c r="AV484" s="229">
        <v>0</v>
      </c>
      <c r="AW484" s="229">
        <v>0</v>
      </c>
      <c r="AX484" s="229">
        <v>0</v>
      </c>
      <c r="AY484" s="229">
        <v>0</v>
      </c>
      <c r="AZ484" s="229">
        <v>0</v>
      </c>
      <c r="BA484" s="229">
        <v>0</v>
      </c>
      <c r="BB484" s="229">
        <v>0</v>
      </c>
      <c r="BC484" s="229">
        <v>0</v>
      </c>
    </row>
    <row r="485" spans="3:55" outlineLevel="2" x14ac:dyDescent="0.2">
      <c r="C485" s="162" t="str">
        <v>Portadora 3G</v>
      </c>
      <c r="D485" s="81"/>
      <c r="E485" s="86"/>
      <c r="F485" s="229">
        <v>0</v>
      </c>
      <c r="G485" s="229">
        <v>0</v>
      </c>
      <c r="H485" s="229">
        <v>0</v>
      </c>
      <c r="I485" s="229">
        <v>0</v>
      </c>
      <c r="J485" s="229">
        <v>0</v>
      </c>
      <c r="K485" s="229">
        <v>0</v>
      </c>
      <c r="L485" s="229">
        <v>0</v>
      </c>
      <c r="M485" s="229">
        <v>8378541.3146785377</v>
      </c>
      <c r="N485" s="229">
        <v>264099.85464670748</v>
      </c>
      <c r="O485" s="229">
        <v>2335845.0660840194</v>
      </c>
      <c r="P485" s="229">
        <v>21923.921423831573</v>
      </c>
      <c r="Q485" s="229">
        <v>124723.99712786131</v>
      </c>
      <c r="R485" s="229">
        <v>2335845.0660840198</v>
      </c>
      <c r="S485" s="229">
        <v>38472.090836525029</v>
      </c>
      <c r="T485" s="229">
        <v>0</v>
      </c>
      <c r="U485" s="229">
        <v>0</v>
      </c>
      <c r="V485" s="229">
        <v>0</v>
      </c>
      <c r="W485" s="229">
        <v>0</v>
      </c>
      <c r="X485" s="229">
        <v>0</v>
      </c>
      <c r="Y485" s="229">
        <v>0</v>
      </c>
      <c r="Z485" s="229">
        <v>0</v>
      </c>
      <c r="AA485" s="229">
        <v>0</v>
      </c>
      <c r="AB485" s="229">
        <v>0</v>
      </c>
      <c r="AC485" s="229">
        <v>0</v>
      </c>
      <c r="AD485" s="229">
        <v>409.15199190129948</v>
      </c>
      <c r="AE485" s="229">
        <v>169.92207704515238</v>
      </c>
      <c r="AF485" s="229">
        <v>154.85056785596083</v>
      </c>
      <c r="AG485" s="229">
        <v>0</v>
      </c>
      <c r="AH485" s="229">
        <v>0</v>
      </c>
      <c r="AI485" s="229">
        <v>0</v>
      </c>
      <c r="AJ485" s="229">
        <v>0</v>
      </c>
      <c r="AK485" s="229">
        <v>4115955.6360193244</v>
      </c>
      <c r="AL485" s="229">
        <v>0</v>
      </c>
      <c r="AM485" s="229">
        <v>0</v>
      </c>
      <c r="AN485" s="229">
        <v>0</v>
      </c>
      <c r="AO485" s="229">
        <v>0</v>
      </c>
      <c r="AP485" s="229">
        <v>0</v>
      </c>
      <c r="AQ485" s="229">
        <v>0</v>
      </c>
      <c r="AR485" s="229">
        <v>0</v>
      </c>
      <c r="AS485" s="229">
        <v>0</v>
      </c>
      <c r="AT485" s="229">
        <v>0</v>
      </c>
      <c r="AU485" s="229">
        <v>0</v>
      </c>
      <c r="AV485" s="229">
        <v>0</v>
      </c>
      <c r="AW485" s="229">
        <v>0</v>
      </c>
      <c r="AX485" s="229">
        <v>0</v>
      </c>
      <c r="AY485" s="229">
        <v>0</v>
      </c>
      <c r="AZ485" s="229">
        <v>0</v>
      </c>
      <c r="BA485" s="229">
        <v>0</v>
      </c>
      <c r="BB485" s="229">
        <v>0</v>
      </c>
      <c r="BC485" s="229">
        <v>0</v>
      </c>
    </row>
    <row r="486" spans="3:55" outlineLevel="2" x14ac:dyDescent="0.2">
      <c r="C486" s="162" t="str">
        <v>Channel kit</v>
      </c>
      <c r="D486" s="81"/>
      <c r="E486" s="86"/>
      <c r="F486" s="229">
        <v>0</v>
      </c>
      <c r="G486" s="229">
        <v>0</v>
      </c>
      <c r="H486" s="229">
        <v>0</v>
      </c>
      <c r="I486" s="229">
        <v>0</v>
      </c>
      <c r="J486" s="229">
        <v>0</v>
      </c>
      <c r="K486" s="229">
        <v>0</v>
      </c>
      <c r="L486" s="229">
        <v>0</v>
      </c>
      <c r="M486" s="229">
        <v>1664234.4085746561</v>
      </c>
      <c r="N486" s="229">
        <v>52458.303766146593</v>
      </c>
      <c r="O486" s="229">
        <v>463970.22895452724</v>
      </c>
      <c r="P486" s="229">
        <v>4354.7609344010807</v>
      </c>
      <c r="Q486" s="229">
        <v>24773.998217506825</v>
      </c>
      <c r="R486" s="229">
        <v>463970.22895452729</v>
      </c>
      <c r="S486" s="229">
        <v>7641.7332009553029</v>
      </c>
      <c r="T486" s="229">
        <v>0</v>
      </c>
      <c r="U486" s="229">
        <v>0</v>
      </c>
      <c r="V486" s="229">
        <v>0</v>
      </c>
      <c r="W486" s="229">
        <v>0</v>
      </c>
      <c r="X486" s="229">
        <v>0</v>
      </c>
      <c r="Y486" s="229">
        <v>0</v>
      </c>
      <c r="Z486" s="229">
        <v>0</v>
      </c>
      <c r="AA486" s="229">
        <v>0</v>
      </c>
      <c r="AB486" s="229">
        <v>0</v>
      </c>
      <c r="AC486" s="229">
        <v>0</v>
      </c>
      <c r="AD486" s="229">
        <v>81.270091974849564</v>
      </c>
      <c r="AE486" s="229">
        <v>33.751718440486826</v>
      </c>
      <c r="AF486" s="229">
        <v>30.758056030795167</v>
      </c>
      <c r="AG486" s="229">
        <v>0</v>
      </c>
      <c r="AH486" s="229">
        <v>0</v>
      </c>
      <c r="AI486" s="229">
        <v>0</v>
      </c>
      <c r="AJ486" s="229">
        <v>0</v>
      </c>
      <c r="AK486" s="229">
        <v>817554.60006261931</v>
      </c>
      <c r="AL486" s="229">
        <v>0</v>
      </c>
      <c r="AM486" s="229">
        <v>0</v>
      </c>
      <c r="AN486" s="229">
        <v>0</v>
      </c>
      <c r="AO486" s="229">
        <v>0</v>
      </c>
      <c r="AP486" s="229">
        <v>0</v>
      </c>
      <c r="AQ486" s="229">
        <v>0</v>
      </c>
      <c r="AR486" s="229">
        <v>0</v>
      </c>
      <c r="AS486" s="229">
        <v>0</v>
      </c>
      <c r="AT486" s="229">
        <v>0</v>
      </c>
      <c r="AU486" s="229">
        <v>0</v>
      </c>
      <c r="AV486" s="229">
        <v>0</v>
      </c>
      <c r="AW486" s="229">
        <v>0</v>
      </c>
      <c r="AX486" s="229">
        <v>0</v>
      </c>
      <c r="AY486" s="229">
        <v>0</v>
      </c>
      <c r="AZ486" s="229">
        <v>0</v>
      </c>
      <c r="BA486" s="229">
        <v>0</v>
      </c>
      <c r="BB486" s="229">
        <v>0</v>
      </c>
      <c r="BC486" s="229">
        <v>0</v>
      </c>
    </row>
    <row r="487" spans="3:55" outlineLevel="2" x14ac:dyDescent="0.2">
      <c r="C487" s="162" t="str">
        <v>HSDPA salto a: 1.8</v>
      </c>
      <c r="D487" s="81"/>
      <c r="E487" s="86"/>
      <c r="F487" s="229">
        <v>0</v>
      </c>
      <c r="G487" s="229">
        <v>0</v>
      </c>
      <c r="H487" s="229">
        <v>0</v>
      </c>
      <c r="I487" s="229">
        <v>0</v>
      </c>
      <c r="J487" s="229">
        <v>0</v>
      </c>
      <c r="K487" s="229">
        <v>0</v>
      </c>
      <c r="L487" s="229">
        <v>0</v>
      </c>
      <c r="M487" s="229">
        <v>0</v>
      </c>
      <c r="N487" s="229">
        <v>0</v>
      </c>
      <c r="O487" s="229">
        <v>0</v>
      </c>
      <c r="P487" s="229">
        <v>0</v>
      </c>
      <c r="Q487" s="229">
        <v>0</v>
      </c>
      <c r="R487" s="229">
        <v>0</v>
      </c>
      <c r="S487" s="229">
        <v>0</v>
      </c>
      <c r="T487" s="229">
        <v>0</v>
      </c>
      <c r="U487" s="229">
        <v>0</v>
      </c>
      <c r="V487" s="229">
        <v>0</v>
      </c>
      <c r="W487" s="229">
        <v>0</v>
      </c>
      <c r="X487" s="229">
        <v>0</v>
      </c>
      <c r="Y487" s="229">
        <v>0</v>
      </c>
      <c r="Z487" s="229">
        <v>0</v>
      </c>
      <c r="AA487" s="229">
        <v>0</v>
      </c>
      <c r="AB487" s="229">
        <v>0</v>
      </c>
      <c r="AC487" s="229">
        <v>0</v>
      </c>
      <c r="AD487" s="229">
        <v>0</v>
      </c>
      <c r="AE487" s="229">
        <v>0</v>
      </c>
      <c r="AF487" s="229">
        <v>24525.897446886036</v>
      </c>
      <c r="AG487" s="229">
        <v>0</v>
      </c>
      <c r="AH487" s="229">
        <v>0</v>
      </c>
      <c r="AI487" s="229">
        <v>0</v>
      </c>
      <c r="AJ487" s="229">
        <v>0</v>
      </c>
      <c r="AK487" s="229">
        <v>0</v>
      </c>
      <c r="AL487" s="229">
        <v>1404098.158449505</v>
      </c>
      <c r="AM487" s="229">
        <v>0</v>
      </c>
      <c r="AN487" s="229">
        <v>0</v>
      </c>
      <c r="AO487" s="229">
        <v>0</v>
      </c>
      <c r="AP487" s="229">
        <v>0</v>
      </c>
      <c r="AQ487" s="229">
        <v>0</v>
      </c>
      <c r="AR487" s="229">
        <v>0</v>
      </c>
      <c r="AS487" s="229">
        <v>0</v>
      </c>
      <c r="AT487" s="229">
        <v>0</v>
      </c>
      <c r="AU487" s="229">
        <v>0</v>
      </c>
      <c r="AV487" s="229">
        <v>0</v>
      </c>
      <c r="AW487" s="229">
        <v>0</v>
      </c>
      <c r="AX487" s="229">
        <v>0</v>
      </c>
      <c r="AY487" s="229">
        <v>0</v>
      </c>
      <c r="AZ487" s="229">
        <v>0</v>
      </c>
      <c r="BA487" s="229">
        <v>0</v>
      </c>
      <c r="BB487" s="229">
        <v>0</v>
      </c>
      <c r="BC487" s="229">
        <v>0</v>
      </c>
    </row>
    <row r="488" spans="3:55" outlineLevel="2" x14ac:dyDescent="0.2">
      <c r="C488" s="162" t="str">
        <v>HSDPA salto a: 3.6</v>
      </c>
      <c r="D488" s="81"/>
      <c r="E488" s="86"/>
      <c r="F488" s="229">
        <v>0</v>
      </c>
      <c r="G488" s="229">
        <v>0</v>
      </c>
      <c r="H488" s="229">
        <v>0</v>
      </c>
      <c r="I488" s="229">
        <v>0</v>
      </c>
      <c r="J488" s="229">
        <v>0</v>
      </c>
      <c r="K488" s="229">
        <v>0</v>
      </c>
      <c r="L488" s="229">
        <v>0</v>
      </c>
      <c r="M488" s="229">
        <v>0</v>
      </c>
      <c r="N488" s="229">
        <v>0</v>
      </c>
      <c r="O488" s="229">
        <v>0</v>
      </c>
      <c r="P488" s="229">
        <v>0</v>
      </c>
      <c r="Q488" s="229">
        <v>0</v>
      </c>
      <c r="R488" s="229">
        <v>0</v>
      </c>
      <c r="S488" s="229">
        <v>0</v>
      </c>
      <c r="T488" s="229">
        <v>0</v>
      </c>
      <c r="U488" s="229">
        <v>0</v>
      </c>
      <c r="V488" s="229">
        <v>0</v>
      </c>
      <c r="W488" s="229">
        <v>0</v>
      </c>
      <c r="X488" s="229">
        <v>0</v>
      </c>
      <c r="Y488" s="229">
        <v>0</v>
      </c>
      <c r="Z488" s="229">
        <v>0</v>
      </c>
      <c r="AA488" s="229">
        <v>0</v>
      </c>
      <c r="AB488" s="229">
        <v>0</v>
      </c>
      <c r="AC488" s="229">
        <v>0</v>
      </c>
      <c r="AD488" s="229">
        <v>0</v>
      </c>
      <c r="AE488" s="229">
        <v>0</v>
      </c>
      <c r="AF488" s="229">
        <v>24525.897446886036</v>
      </c>
      <c r="AG488" s="229">
        <v>0</v>
      </c>
      <c r="AH488" s="229">
        <v>0</v>
      </c>
      <c r="AI488" s="229">
        <v>0</v>
      </c>
      <c r="AJ488" s="229">
        <v>0</v>
      </c>
      <c r="AK488" s="229">
        <v>0</v>
      </c>
      <c r="AL488" s="229">
        <v>1404098.158449505</v>
      </c>
      <c r="AM488" s="229">
        <v>0</v>
      </c>
      <c r="AN488" s="229">
        <v>0</v>
      </c>
      <c r="AO488" s="229">
        <v>0</v>
      </c>
      <c r="AP488" s="229">
        <v>0</v>
      </c>
      <c r="AQ488" s="229">
        <v>0</v>
      </c>
      <c r="AR488" s="229">
        <v>0</v>
      </c>
      <c r="AS488" s="229">
        <v>0</v>
      </c>
      <c r="AT488" s="229">
        <v>0</v>
      </c>
      <c r="AU488" s="229">
        <v>0</v>
      </c>
      <c r="AV488" s="229">
        <v>0</v>
      </c>
      <c r="AW488" s="229">
        <v>0</v>
      </c>
      <c r="AX488" s="229">
        <v>0</v>
      </c>
      <c r="AY488" s="229">
        <v>0</v>
      </c>
      <c r="AZ488" s="229">
        <v>0</v>
      </c>
      <c r="BA488" s="229">
        <v>0</v>
      </c>
      <c r="BB488" s="229">
        <v>0</v>
      </c>
      <c r="BC488" s="229">
        <v>0</v>
      </c>
    </row>
    <row r="489" spans="3:55" outlineLevel="2" x14ac:dyDescent="0.2">
      <c r="C489" s="162" t="str">
        <v>HSDPA salto a: 7.2</v>
      </c>
      <c r="D489" s="81"/>
      <c r="E489" s="86"/>
      <c r="F489" s="229">
        <v>0</v>
      </c>
      <c r="G489" s="229">
        <v>0</v>
      </c>
      <c r="H489" s="229">
        <v>0</v>
      </c>
      <c r="I489" s="229">
        <v>0</v>
      </c>
      <c r="J489" s="229">
        <v>0</v>
      </c>
      <c r="K489" s="229">
        <v>0</v>
      </c>
      <c r="L489" s="229">
        <v>0</v>
      </c>
      <c r="M489" s="229">
        <v>0</v>
      </c>
      <c r="N489" s="229">
        <v>0</v>
      </c>
      <c r="O489" s="229">
        <v>0</v>
      </c>
      <c r="P489" s="229">
        <v>0</v>
      </c>
      <c r="Q489" s="229">
        <v>0</v>
      </c>
      <c r="R489" s="229">
        <v>0</v>
      </c>
      <c r="S489" s="229">
        <v>0</v>
      </c>
      <c r="T489" s="229">
        <v>0</v>
      </c>
      <c r="U489" s="229">
        <v>0</v>
      </c>
      <c r="V489" s="229">
        <v>0</v>
      </c>
      <c r="W489" s="229">
        <v>0</v>
      </c>
      <c r="X489" s="229">
        <v>0</v>
      </c>
      <c r="Y489" s="229">
        <v>0</v>
      </c>
      <c r="Z489" s="229">
        <v>0</v>
      </c>
      <c r="AA489" s="229">
        <v>0</v>
      </c>
      <c r="AB489" s="229">
        <v>0</v>
      </c>
      <c r="AC489" s="229">
        <v>0</v>
      </c>
      <c r="AD489" s="229">
        <v>0</v>
      </c>
      <c r="AE489" s="229">
        <v>0</v>
      </c>
      <c r="AF489" s="229">
        <v>32329.59208907705</v>
      </c>
      <c r="AG489" s="229">
        <v>0</v>
      </c>
      <c r="AH489" s="229">
        <v>0</v>
      </c>
      <c r="AI489" s="229">
        <v>0</v>
      </c>
      <c r="AJ489" s="229">
        <v>0</v>
      </c>
      <c r="AK489" s="229">
        <v>0</v>
      </c>
      <c r="AL489" s="229">
        <v>1850856.6634107113</v>
      </c>
      <c r="AM489" s="229">
        <v>0</v>
      </c>
      <c r="AN489" s="229">
        <v>0</v>
      </c>
      <c r="AO489" s="229">
        <v>0</v>
      </c>
      <c r="AP489" s="229">
        <v>0</v>
      </c>
      <c r="AQ489" s="229">
        <v>0</v>
      </c>
      <c r="AR489" s="229">
        <v>0</v>
      </c>
      <c r="AS489" s="229">
        <v>0</v>
      </c>
      <c r="AT489" s="229">
        <v>0</v>
      </c>
      <c r="AU489" s="229">
        <v>0</v>
      </c>
      <c r="AV489" s="229">
        <v>0</v>
      </c>
      <c r="AW489" s="229">
        <v>0</v>
      </c>
      <c r="AX489" s="229">
        <v>0</v>
      </c>
      <c r="AY489" s="229">
        <v>0</v>
      </c>
      <c r="AZ489" s="229">
        <v>0</v>
      </c>
      <c r="BA489" s="229">
        <v>0</v>
      </c>
      <c r="BB489" s="229">
        <v>0</v>
      </c>
      <c r="BC489" s="229">
        <v>0</v>
      </c>
    </row>
    <row r="490" spans="3:55" outlineLevel="2" x14ac:dyDescent="0.2">
      <c r="C490" s="162" t="str">
        <v>HSDPA salto a: 10.1</v>
      </c>
      <c r="D490" s="81"/>
      <c r="E490" s="86"/>
      <c r="F490" s="229">
        <v>0</v>
      </c>
      <c r="G490" s="229">
        <v>0</v>
      </c>
      <c r="H490" s="229">
        <v>0</v>
      </c>
      <c r="I490" s="229">
        <v>0</v>
      </c>
      <c r="J490" s="229">
        <v>0</v>
      </c>
      <c r="K490" s="229">
        <v>0</v>
      </c>
      <c r="L490" s="229">
        <v>0</v>
      </c>
      <c r="M490" s="229">
        <v>0</v>
      </c>
      <c r="N490" s="229">
        <v>0</v>
      </c>
      <c r="O490" s="229">
        <v>0</v>
      </c>
      <c r="P490" s="229">
        <v>0</v>
      </c>
      <c r="Q490" s="229">
        <v>0</v>
      </c>
      <c r="R490" s="229">
        <v>0</v>
      </c>
      <c r="S490" s="229">
        <v>0</v>
      </c>
      <c r="T490" s="229">
        <v>0</v>
      </c>
      <c r="U490" s="229">
        <v>0</v>
      </c>
      <c r="V490" s="229">
        <v>0</v>
      </c>
      <c r="W490" s="229">
        <v>0</v>
      </c>
      <c r="X490" s="229">
        <v>0</v>
      </c>
      <c r="Y490" s="229">
        <v>0</v>
      </c>
      <c r="Z490" s="229">
        <v>0</v>
      </c>
      <c r="AA490" s="229">
        <v>0</v>
      </c>
      <c r="AB490" s="229">
        <v>0</v>
      </c>
      <c r="AC490" s="229">
        <v>0</v>
      </c>
      <c r="AD490" s="229">
        <v>0</v>
      </c>
      <c r="AE490" s="229">
        <v>0</v>
      </c>
      <c r="AF490" s="229">
        <v>47268.093261271271</v>
      </c>
      <c r="AG490" s="229">
        <v>0</v>
      </c>
      <c r="AH490" s="229">
        <v>0</v>
      </c>
      <c r="AI490" s="229">
        <v>0</v>
      </c>
      <c r="AJ490" s="229">
        <v>0</v>
      </c>
      <c r="AK490" s="229">
        <v>0</v>
      </c>
      <c r="AL490" s="229">
        <v>2706080.087193592</v>
      </c>
      <c r="AM490" s="229">
        <v>0</v>
      </c>
      <c r="AN490" s="229">
        <v>0</v>
      </c>
      <c r="AO490" s="229">
        <v>0</v>
      </c>
      <c r="AP490" s="229">
        <v>0</v>
      </c>
      <c r="AQ490" s="229">
        <v>0</v>
      </c>
      <c r="AR490" s="229">
        <v>0</v>
      </c>
      <c r="AS490" s="229">
        <v>0</v>
      </c>
      <c r="AT490" s="229">
        <v>0</v>
      </c>
      <c r="AU490" s="229">
        <v>0</v>
      </c>
      <c r="AV490" s="229">
        <v>0</v>
      </c>
      <c r="AW490" s="229">
        <v>0</v>
      </c>
      <c r="AX490" s="229">
        <v>0</v>
      </c>
      <c r="AY490" s="229">
        <v>0</v>
      </c>
      <c r="AZ490" s="229">
        <v>0</v>
      </c>
      <c r="BA490" s="229">
        <v>0</v>
      </c>
      <c r="BB490" s="229">
        <v>0</v>
      </c>
      <c r="BC490" s="229">
        <v>0</v>
      </c>
    </row>
    <row r="491" spans="3:55" outlineLevel="2" x14ac:dyDescent="0.2">
      <c r="C491" s="162" t="str">
        <v>HSDPA salto a: 14.4</v>
      </c>
      <c r="D491" s="81"/>
      <c r="E491" s="86"/>
      <c r="F491" s="229">
        <v>0</v>
      </c>
      <c r="G491" s="229">
        <v>0</v>
      </c>
      <c r="H491" s="229">
        <v>0</v>
      </c>
      <c r="I491" s="229">
        <v>0</v>
      </c>
      <c r="J491" s="229">
        <v>0</v>
      </c>
      <c r="K491" s="229">
        <v>0</v>
      </c>
      <c r="L491" s="229">
        <v>0</v>
      </c>
      <c r="M491" s="229">
        <v>0</v>
      </c>
      <c r="N491" s="229">
        <v>0</v>
      </c>
      <c r="O491" s="229">
        <v>0</v>
      </c>
      <c r="P491" s="229">
        <v>0</v>
      </c>
      <c r="Q491" s="229">
        <v>0</v>
      </c>
      <c r="R491" s="229">
        <v>0</v>
      </c>
      <c r="S491" s="229">
        <v>0</v>
      </c>
      <c r="T491" s="229">
        <v>0</v>
      </c>
      <c r="U491" s="229">
        <v>0</v>
      </c>
      <c r="V491" s="229">
        <v>0</v>
      </c>
      <c r="W491" s="229">
        <v>0</v>
      </c>
      <c r="X491" s="229">
        <v>0</v>
      </c>
      <c r="Y491" s="229">
        <v>0</v>
      </c>
      <c r="Z491" s="229">
        <v>0</v>
      </c>
      <c r="AA491" s="229">
        <v>0</v>
      </c>
      <c r="AB491" s="229">
        <v>0</v>
      </c>
      <c r="AC491" s="229">
        <v>0</v>
      </c>
      <c r="AD491" s="229">
        <v>0</v>
      </c>
      <c r="AE491" s="229">
        <v>0</v>
      </c>
      <c r="AF491" s="229">
        <v>66888.811218780116</v>
      </c>
      <c r="AG491" s="229">
        <v>0</v>
      </c>
      <c r="AH491" s="229">
        <v>0</v>
      </c>
      <c r="AI491" s="229">
        <v>0</v>
      </c>
      <c r="AJ491" s="229">
        <v>0</v>
      </c>
      <c r="AK491" s="229">
        <v>0</v>
      </c>
      <c r="AL491" s="229">
        <v>3829358.6139531964</v>
      </c>
      <c r="AM491" s="229">
        <v>0</v>
      </c>
      <c r="AN491" s="229">
        <v>0</v>
      </c>
      <c r="AO491" s="229">
        <v>0</v>
      </c>
      <c r="AP491" s="229">
        <v>0</v>
      </c>
      <c r="AQ491" s="229">
        <v>0</v>
      </c>
      <c r="AR491" s="229">
        <v>0</v>
      </c>
      <c r="AS491" s="229">
        <v>0</v>
      </c>
      <c r="AT491" s="229">
        <v>0</v>
      </c>
      <c r="AU491" s="229">
        <v>0</v>
      </c>
      <c r="AV491" s="229">
        <v>0</v>
      </c>
      <c r="AW491" s="229">
        <v>0</v>
      </c>
      <c r="AX491" s="229">
        <v>0</v>
      </c>
      <c r="AY491" s="229">
        <v>0</v>
      </c>
      <c r="AZ491" s="229">
        <v>0</v>
      </c>
      <c r="BA491" s="229">
        <v>0</v>
      </c>
      <c r="BB491" s="229">
        <v>0</v>
      </c>
      <c r="BC491" s="229">
        <v>0</v>
      </c>
    </row>
    <row r="492" spans="3:55" outlineLevel="2" x14ac:dyDescent="0.2">
      <c r="C492" s="162" t="str">
        <v>HSDPA salto a: 21.1</v>
      </c>
      <c r="D492" s="81"/>
      <c r="E492" s="86"/>
      <c r="F492" s="229">
        <v>0</v>
      </c>
      <c r="G492" s="229">
        <v>0</v>
      </c>
      <c r="H492" s="229">
        <v>0</v>
      </c>
      <c r="I492" s="229">
        <v>0</v>
      </c>
      <c r="J492" s="229">
        <v>0</v>
      </c>
      <c r="K492" s="229">
        <v>0</v>
      </c>
      <c r="L492" s="229">
        <v>0</v>
      </c>
      <c r="M492" s="229">
        <v>0</v>
      </c>
      <c r="N492" s="229">
        <v>0</v>
      </c>
      <c r="O492" s="229">
        <v>0</v>
      </c>
      <c r="P492" s="229">
        <v>0</v>
      </c>
      <c r="Q492" s="229">
        <v>0</v>
      </c>
      <c r="R492" s="229">
        <v>0</v>
      </c>
      <c r="S492" s="229">
        <v>0</v>
      </c>
      <c r="T492" s="229">
        <v>0</v>
      </c>
      <c r="U492" s="229">
        <v>0</v>
      </c>
      <c r="V492" s="229">
        <v>0</v>
      </c>
      <c r="W492" s="229">
        <v>0</v>
      </c>
      <c r="X492" s="229">
        <v>0</v>
      </c>
      <c r="Y492" s="229">
        <v>0</v>
      </c>
      <c r="Z492" s="229">
        <v>0</v>
      </c>
      <c r="AA492" s="229">
        <v>0</v>
      </c>
      <c r="AB492" s="229">
        <v>0</v>
      </c>
      <c r="AC492" s="229">
        <v>0</v>
      </c>
      <c r="AD492" s="229">
        <v>0</v>
      </c>
      <c r="AE492" s="229">
        <v>0</v>
      </c>
      <c r="AF492" s="229">
        <v>75807.31938128412</v>
      </c>
      <c r="AG492" s="229">
        <v>0</v>
      </c>
      <c r="AH492" s="229">
        <v>0</v>
      </c>
      <c r="AI492" s="229">
        <v>0</v>
      </c>
      <c r="AJ492" s="229">
        <v>0</v>
      </c>
      <c r="AK492" s="229">
        <v>0</v>
      </c>
      <c r="AL492" s="229">
        <v>4339939.7624802897</v>
      </c>
      <c r="AM492" s="229">
        <v>0</v>
      </c>
      <c r="AN492" s="229">
        <v>0</v>
      </c>
      <c r="AO492" s="229">
        <v>0</v>
      </c>
      <c r="AP492" s="229">
        <v>0</v>
      </c>
      <c r="AQ492" s="229">
        <v>0</v>
      </c>
      <c r="AR492" s="229">
        <v>0</v>
      </c>
      <c r="AS492" s="229">
        <v>0</v>
      </c>
      <c r="AT492" s="229">
        <v>0</v>
      </c>
      <c r="AU492" s="229">
        <v>0</v>
      </c>
      <c r="AV492" s="229">
        <v>0</v>
      </c>
      <c r="AW492" s="229">
        <v>0</v>
      </c>
      <c r="AX492" s="229">
        <v>0</v>
      </c>
      <c r="AY492" s="229">
        <v>0</v>
      </c>
      <c r="AZ492" s="229">
        <v>0</v>
      </c>
      <c r="BA492" s="229">
        <v>0</v>
      </c>
      <c r="BB492" s="229">
        <v>0</v>
      </c>
      <c r="BC492" s="229">
        <v>0</v>
      </c>
    </row>
    <row r="493" spans="3:55" outlineLevel="2" x14ac:dyDescent="0.2">
      <c r="C493" s="162" t="str">
        <v>HSUPA salto a: 0.73</v>
      </c>
      <c r="D493" s="81"/>
      <c r="E493" s="86"/>
      <c r="F493" s="229">
        <v>0</v>
      </c>
      <c r="G493" s="229">
        <v>0</v>
      </c>
      <c r="H493" s="229">
        <v>0</v>
      </c>
      <c r="I493" s="229">
        <v>0</v>
      </c>
      <c r="J493" s="229">
        <v>0</v>
      </c>
      <c r="K493" s="229">
        <v>0</v>
      </c>
      <c r="L493" s="229">
        <v>0</v>
      </c>
      <c r="M493" s="229">
        <v>0</v>
      </c>
      <c r="N493" s="229">
        <v>0</v>
      </c>
      <c r="O493" s="229">
        <v>0</v>
      </c>
      <c r="P493" s="229">
        <v>0</v>
      </c>
      <c r="Q493" s="229">
        <v>0</v>
      </c>
      <c r="R493" s="229">
        <v>0</v>
      </c>
      <c r="S493" s="229">
        <v>0</v>
      </c>
      <c r="T493" s="229">
        <v>0</v>
      </c>
      <c r="U493" s="229">
        <v>0</v>
      </c>
      <c r="V493" s="229">
        <v>0</v>
      </c>
      <c r="W493" s="229">
        <v>0</v>
      </c>
      <c r="X493" s="229">
        <v>0</v>
      </c>
      <c r="Y493" s="229">
        <v>0</v>
      </c>
      <c r="Z493" s="229">
        <v>0</v>
      </c>
      <c r="AA493" s="229">
        <v>0</v>
      </c>
      <c r="AB493" s="229">
        <v>0</v>
      </c>
      <c r="AC493" s="229">
        <v>0</v>
      </c>
      <c r="AD493" s="229">
        <v>0</v>
      </c>
      <c r="AE493" s="229">
        <v>0</v>
      </c>
      <c r="AF493" s="229">
        <v>0</v>
      </c>
      <c r="AG493" s="229">
        <v>0</v>
      </c>
      <c r="AH493" s="229">
        <v>0</v>
      </c>
      <c r="AI493" s="229">
        <v>0</v>
      </c>
      <c r="AJ493" s="229">
        <v>0</v>
      </c>
      <c r="AK493" s="229">
        <v>0</v>
      </c>
      <c r="AL493" s="229">
        <v>0</v>
      </c>
      <c r="AM493" s="229">
        <v>404403.37623802776</v>
      </c>
      <c r="AN493" s="229">
        <v>0</v>
      </c>
      <c r="AO493" s="229">
        <v>0</v>
      </c>
      <c r="AP493" s="229">
        <v>0</v>
      </c>
      <c r="AQ493" s="229">
        <v>0</v>
      </c>
      <c r="AR493" s="229">
        <v>0</v>
      </c>
      <c r="AS493" s="229">
        <v>0</v>
      </c>
      <c r="AT493" s="229">
        <v>0</v>
      </c>
      <c r="AU493" s="229">
        <v>0</v>
      </c>
      <c r="AV493" s="229">
        <v>0</v>
      </c>
      <c r="AW493" s="229">
        <v>0</v>
      </c>
      <c r="AX493" s="229">
        <v>0</v>
      </c>
      <c r="AY493" s="229">
        <v>0</v>
      </c>
      <c r="AZ493" s="229">
        <v>0</v>
      </c>
      <c r="BA493" s="229">
        <v>0</v>
      </c>
      <c r="BB493" s="229">
        <v>0</v>
      </c>
      <c r="BC493" s="229">
        <v>0</v>
      </c>
    </row>
    <row r="494" spans="3:55" outlineLevel="2" x14ac:dyDescent="0.2">
      <c r="C494" s="162" t="str">
        <v>HSUPA salto a: 1.46</v>
      </c>
      <c r="D494" s="81"/>
      <c r="E494" s="86"/>
      <c r="F494" s="229">
        <v>0</v>
      </c>
      <c r="G494" s="229">
        <v>0</v>
      </c>
      <c r="H494" s="229">
        <v>0</v>
      </c>
      <c r="I494" s="229">
        <v>0</v>
      </c>
      <c r="J494" s="229">
        <v>0</v>
      </c>
      <c r="K494" s="229">
        <v>0</v>
      </c>
      <c r="L494" s="229">
        <v>0</v>
      </c>
      <c r="M494" s="229">
        <v>0</v>
      </c>
      <c r="N494" s="229">
        <v>0</v>
      </c>
      <c r="O494" s="229">
        <v>0</v>
      </c>
      <c r="P494" s="229">
        <v>0</v>
      </c>
      <c r="Q494" s="229">
        <v>0</v>
      </c>
      <c r="R494" s="229">
        <v>0</v>
      </c>
      <c r="S494" s="229">
        <v>0</v>
      </c>
      <c r="T494" s="229">
        <v>0</v>
      </c>
      <c r="U494" s="229">
        <v>0</v>
      </c>
      <c r="V494" s="229">
        <v>0</v>
      </c>
      <c r="W494" s="229">
        <v>0</v>
      </c>
      <c r="X494" s="229">
        <v>0</v>
      </c>
      <c r="Y494" s="229">
        <v>0</v>
      </c>
      <c r="Z494" s="229">
        <v>0</v>
      </c>
      <c r="AA494" s="229">
        <v>0</v>
      </c>
      <c r="AB494" s="229">
        <v>0</v>
      </c>
      <c r="AC494" s="229">
        <v>0</v>
      </c>
      <c r="AD494" s="229">
        <v>0</v>
      </c>
      <c r="AE494" s="229">
        <v>0</v>
      </c>
      <c r="AF494" s="229">
        <v>0</v>
      </c>
      <c r="AG494" s="229">
        <v>0</v>
      </c>
      <c r="AH494" s="229">
        <v>0</v>
      </c>
      <c r="AI494" s="229">
        <v>0</v>
      </c>
      <c r="AJ494" s="229">
        <v>0</v>
      </c>
      <c r="AK494" s="229">
        <v>0</v>
      </c>
      <c r="AL494" s="229">
        <v>0</v>
      </c>
      <c r="AM494" s="229">
        <v>42568.776446108182</v>
      </c>
      <c r="AN494" s="229">
        <v>0</v>
      </c>
      <c r="AO494" s="229">
        <v>0</v>
      </c>
      <c r="AP494" s="229">
        <v>0</v>
      </c>
      <c r="AQ494" s="229">
        <v>0</v>
      </c>
      <c r="AR494" s="229">
        <v>0</v>
      </c>
      <c r="AS494" s="229">
        <v>0</v>
      </c>
      <c r="AT494" s="229">
        <v>0</v>
      </c>
      <c r="AU494" s="229">
        <v>0</v>
      </c>
      <c r="AV494" s="229">
        <v>0</v>
      </c>
      <c r="AW494" s="229">
        <v>0</v>
      </c>
      <c r="AX494" s="229">
        <v>0</v>
      </c>
      <c r="AY494" s="229">
        <v>0</v>
      </c>
      <c r="AZ494" s="229">
        <v>0</v>
      </c>
      <c r="BA494" s="229">
        <v>0</v>
      </c>
      <c r="BB494" s="229">
        <v>0</v>
      </c>
      <c r="BC494" s="229">
        <v>0</v>
      </c>
    </row>
    <row r="495" spans="3:55" outlineLevel="2" x14ac:dyDescent="0.2">
      <c r="C495" s="162" t="str">
        <v>HSUPA salto a: 2</v>
      </c>
      <c r="D495" s="81"/>
      <c r="E495" s="86"/>
      <c r="F495" s="229">
        <v>0</v>
      </c>
      <c r="G495" s="229">
        <v>0</v>
      </c>
      <c r="H495" s="229">
        <v>0</v>
      </c>
      <c r="I495" s="229">
        <v>0</v>
      </c>
      <c r="J495" s="229">
        <v>0</v>
      </c>
      <c r="K495" s="229">
        <v>0</v>
      </c>
      <c r="L495" s="229">
        <v>0</v>
      </c>
      <c r="M495" s="229">
        <v>0</v>
      </c>
      <c r="N495" s="229">
        <v>0</v>
      </c>
      <c r="O495" s="229">
        <v>0</v>
      </c>
      <c r="P495" s="229">
        <v>0</v>
      </c>
      <c r="Q495" s="229">
        <v>0</v>
      </c>
      <c r="R495" s="229">
        <v>0</v>
      </c>
      <c r="S495" s="229">
        <v>0</v>
      </c>
      <c r="T495" s="229">
        <v>0</v>
      </c>
      <c r="U495" s="229">
        <v>0</v>
      </c>
      <c r="V495" s="229">
        <v>0</v>
      </c>
      <c r="W495" s="229">
        <v>0</v>
      </c>
      <c r="X495" s="229">
        <v>0</v>
      </c>
      <c r="Y495" s="229">
        <v>0</v>
      </c>
      <c r="Z495" s="229">
        <v>0</v>
      </c>
      <c r="AA495" s="229">
        <v>0</v>
      </c>
      <c r="AB495" s="229">
        <v>0</v>
      </c>
      <c r="AC495" s="229">
        <v>0</v>
      </c>
      <c r="AD495" s="229">
        <v>0</v>
      </c>
      <c r="AE495" s="229">
        <v>0</v>
      </c>
      <c r="AF495" s="229">
        <v>0</v>
      </c>
      <c r="AG495" s="229">
        <v>0</v>
      </c>
      <c r="AH495" s="229">
        <v>0</v>
      </c>
      <c r="AI495" s="229">
        <v>0</v>
      </c>
      <c r="AJ495" s="229">
        <v>0</v>
      </c>
      <c r="AK495" s="229">
        <v>0</v>
      </c>
      <c r="AL495" s="229">
        <v>0</v>
      </c>
      <c r="AM495" s="229">
        <v>42568.776446108182</v>
      </c>
      <c r="AN495" s="229">
        <v>0</v>
      </c>
      <c r="AO495" s="229">
        <v>0</v>
      </c>
      <c r="AP495" s="229">
        <v>0</v>
      </c>
      <c r="AQ495" s="229">
        <v>0</v>
      </c>
      <c r="AR495" s="229">
        <v>0</v>
      </c>
      <c r="AS495" s="229">
        <v>0</v>
      </c>
      <c r="AT495" s="229">
        <v>0</v>
      </c>
      <c r="AU495" s="229">
        <v>0</v>
      </c>
      <c r="AV495" s="229">
        <v>0</v>
      </c>
      <c r="AW495" s="229">
        <v>0</v>
      </c>
      <c r="AX495" s="229">
        <v>0</v>
      </c>
      <c r="AY495" s="229">
        <v>0</v>
      </c>
      <c r="AZ495" s="229">
        <v>0</v>
      </c>
      <c r="BA495" s="229">
        <v>0</v>
      </c>
      <c r="BB495" s="229">
        <v>0</v>
      </c>
      <c r="BC495" s="229">
        <v>0</v>
      </c>
    </row>
    <row r="496" spans="3:55" outlineLevel="2" x14ac:dyDescent="0.2">
      <c r="C496" s="162" t="str">
        <v>HSUPA salto a: 2.93</v>
      </c>
      <c r="D496" s="81"/>
      <c r="E496" s="86"/>
      <c r="F496" s="229">
        <v>0</v>
      </c>
      <c r="G496" s="229">
        <v>0</v>
      </c>
      <c r="H496" s="229">
        <v>0</v>
      </c>
      <c r="I496" s="229">
        <v>0</v>
      </c>
      <c r="J496" s="229">
        <v>0</v>
      </c>
      <c r="K496" s="229">
        <v>0</v>
      </c>
      <c r="L496" s="229">
        <v>0</v>
      </c>
      <c r="M496" s="229">
        <v>0</v>
      </c>
      <c r="N496" s="229">
        <v>0</v>
      </c>
      <c r="O496" s="229">
        <v>0</v>
      </c>
      <c r="P496" s="229">
        <v>0</v>
      </c>
      <c r="Q496" s="229">
        <v>0</v>
      </c>
      <c r="R496" s="229">
        <v>0</v>
      </c>
      <c r="S496" s="229">
        <v>0</v>
      </c>
      <c r="T496" s="229">
        <v>0</v>
      </c>
      <c r="U496" s="229">
        <v>0</v>
      </c>
      <c r="V496" s="229">
        <v>0</v>
      </c>
      <c r="W496" s="229">
        <v>0</v>
      </c>
      <c r="X496" s="229">
        <v>0</v>
      </c>
      <c r="Y496" s="229">
        <v>0</v>
      </c>
      <c r="Z496" s="229">
        <v>0</v>
      </c>
      <c r="AA496" s="229">
        <v>0</v>
      </c>
      <c r="AB496" s="229">
        <v>0</v>
      </c>
      <c r="AC496" s="229">
        <v>0</v>
      </c>
      <c r="AD496" s="229">
        <v>0</v>
      </c>
      <c r="AE496" s="229">
        <v>0</v>
      </c>
      <c r="AF496" s="229">
        <v>0</v>
      </c>
      <c r="AG496" s="229">
        <v>0</v>
      </c>
      <c r="AH496" s="229">
        <v>0</v>
      </c>
      <c r="AI496" s="229">
        <v>0</v>
      </c>
      <c r="AJ496" s="229">
        <v>0</v>
      </c>
      <c r="AK496" s="229">
        <v>0</v>
      </c>
      <c r="AL496" s="229">
        <v>0</v>
      </c>
      <c r="AM496" s="229">
        <v>42568.776446108182</v>
      </c>
      <c r="AN496" s="229">
        <v>0</v>
      </c>
      <c r="AO496" s="229">
        <v>0</v>
      </c>
      <c r="AP496" s="229">
        <v>0</v>
      </c>
      <c r="AQ496" s="229">
        <v>0</v>
      </c>
      <c r="AR496" s="229">
        <v>0</v>
      </c>
      <c r="AS496" s="229">
        <v>0</v>
      </c>
      <c r="AT496" s="229">
        <v>0</v>
      </c>
      <c r="AU496" s="229">
        <v>0</v>
      </c>
      <c r="AV496" s="229">
        <v>0</v>
      </c>
      <c r="AW496" s="229">
        <v>0</v>
      </c>
      <c r="AX496" s="229">
        <v>0</v>
      </c>
      <c r="AY496" s="229">
        <v>0</v>
      </c>
      <c r="AZ496" s="229">
        <v>0</v>
      </c>
      <c r="BA496" s="229">
        <v>0</v>
      </c>
      <c r="BB496" s="229">
        <v>0</v>
      </c>
      <c r="BC496" s="229">
        <v>0</v>
      </c>
    </row>
    <row r="497" spans="3:55" outlineLevel="2" x14ac:dyDescent="0.2">
      <c r="C497" s="162" t="str">
        <v>HSUPA salto a: 5.76</v>
      </c>
      <c r="D497" s="81"/>
      <c r="E497" s="86"/>
      <c r="F497" s="229">
        <v>0</v>
      </c>
      <c r="G497" s="229">
        <v>0</v>
      </c>
      <c r="H497" s="229">
        <v>0</v>
      </c>
      <c r="I497" s="229">
        <v>0</v>
      </c>
      <c r="J497" s="229">
        <v>0</v>
      </c>
      <c r="K497" s="229">
        <v>0</v>
      </c>
      <c r="L497" s="229">
        <v>0</v>
      </c>
      <c r="M497" s="229">
        <v>0</v>
      </c>
      <c r="N497" s="229">
        <v>0</v>
      </c>
      <c r="O497" s="229">
        <v>0</v>
      </c>
      <c r="P497" s="229">
        <v>0</v>
      </c>
      <c r="Q497" s="229">
        <v>0</v>
      </c>
      <c r="R497" s="229">
        <v>0</v>
      </c>
      <c r="S497" s="229">
        <v>0</v>
      </c>
      <c r="T497" s="229">
        <v>0</v>
      </c>
      <c r="U497" s="229">
        <v>0</v>
      </c>
      <c r="V497" s="229">
        <v>0</v>
      </c>
      <c r="W497" s="229">
        <v>0</v>
      </c>
      <c r="X497" s="229">
        <v>0</v>
      </c>
      <c r="Y497" s="229">
        <v>0</v>
      </c>
      <c r="Z497" s="229">
        <v>0</v>
      </c>
      <c r="AA497" s="229">
        <v>0</v>
      </c>
      <c r="AB497" s="229">
        <v>0</v>
      </c>
      <c r="AC497" s="229">
        <v>0</v>
      </c>
      <c r="AD497" s="229">
        <v>0</v>
      </c>
      <c r="AE497" s="229">
        <v>0</v>
      </c>
      <c r="AF497" s="229">
        <v>0</v>
      </c>
      <c r="AG497" s="229">
        <v>0</v>
      </c>
      <c r="AH497" s="229">
        <v>0</v>
      </c>
      <c r="AI497" s="229">
        <v>0</v>
      </c>
      <c r="AJ497" s="229">
        <v>0</v>
      </c>
      <c r="AK497" s="229">
        <v>0</v>
      </c>
      <c r="AL497" s="229">
        <v>0</v>
      </c>
      <c r="AM497" s="229">
        <v>42568.776446108182</v>
      </c>
      <c r="AN497" s="229">
        <v>0</v>
      </c>
      <c r="AO497" s="229">
        <v>0</v>
      </c>
      <c r="AP497" s="229">
        <v>0</v>
      </c>
      <c r="AQ497" s="229">
        <v>0</v>
      </c>
      <c r="AR497" s="229">
        <v>0</v>
      </c>
      <c r="AS497" s="229">
        <v>0</v>
      </c>
      <c r="AT497" s="229">
        <v>0</v>
      </c>
      <c r="AU497" s="229">
        <v>0</v>
      </c>
      <c r="AV497" s="229">
        <v>0</v>
      </c>
      <c r="AW497" s="229">
        <v>0</v>
      </c>
      <c r="AX497" s="229">
        <v>0</v>
      </c>
      <c r="AY497" s="229">
        <v>0</v>
      </c>
      <c r="AZ497" s="229">
        <v>0</v>
      </c>
      <c r="BA497" s="229">
        <v>0</v>
      </c>
      <c r="BB497" s="229">
        <v>0</v>
      </c>
      <c r="BC497" s="229">
        <v>0</v>
      </c>
    </row>
    <row r="498" spans="3:55" outlineLevel="2" x14ac:dyDescent="0.2">
      <c r="C498" s="162" t="str">
        <v>HSUPA salto a: 11.5</v>
      </c>
      <c r="D498" s="81"/>
      <c r="E498" s="86"/>
      <c r="F498" s="229">
        <v>0</v>
      </c>
      <c r="G498" s="229">
        <v>0</v>
      </c>
      <c r="H498" s="229">
        <v>0</v>
      </c>
      <c r="I498" s="229">
        <v>0</v>
      </c>
      <c r="J498" s="229">
        <v>0</v>
      </c>
      <c r="K498" s="229">
        <v>0</v>
      </c>
      <c r="L498" s="229">
        <v>0</v>
      </c>
      <c r="M498" s="229">
        <v>0</v>
      </c>
      <c r="N498" s="229">
        <v>0</v>
      </c>
      <c r="O498" s="229">
        <v>0</v>
      </c>
      <c r="P498" s="229">
        <v>0</v>
      </c>
      <c r="Q498" s="229">
        <v>0</v>
      </c>
      <c r="R498" s="229">
        <v>0</v>
      </c>
      <c r="S498" s="229">
        <v>0</v>
      </c>
      <c r="T498" s="229">
        <v>0</v>
      </c>
      <c r="U498" s="229">
        <v>0</v>
      </c>
      <c r="V498" s="229">
        <v>0</v>
      </c>
      <c r="W498" s="229">
        <v>0</v>
      </c>
      <c r="X498" s="229">
        <v>0</v>
      </c>
      <c r="Y498" s="229">
        <v>0</v>
      </c>
      <c r="Z498" s="229">
        <v>0</v>
      </c>
      <c r="AA498" s="229">
        <v>0</v>
      </c>
      <c r="AB498" s="229">
        <v>0</v>
      </c>
      <c r="AC498" s="229">
        <v>0</v>
      </c>
      <c r="AD498" s="229">
        <v>0</v>
      </c>
      <c r="AE498" s="229">
        <v>0</v>
      </c>
      <c r="AF498" s="229">
        <v>0</v>
      </c>
      <c r="AG498" s="229">
        <v>0</v>
      </c>
      <c r="AH498" s="229">
        <v>0</v>
      </c>
      <c r="AI498" s="229">
        <v>0</v>
      </c>
      <c r="AJ498" s="229">
        <v>0</v>
      </c>
      <c r="AK498" s="229">
        <v>0</v>
      </c>
      <c r="AL498" s="229">
        <v>0</v>
      </c>
      <c r="AM498" s="229">
        <v>0</v>
      </c>
      <c r="AN498" s="229">
        <v>0</v>
      </c>
      <c r="AO498" s="229">
        <v>0</v>
      </c>
      <c r="AP498" s="229">
        <v>0</v>
      </c>
      <c r="AQ498" s="229">
        <v>0</v>
      </c>
      <c r="AR498" s="229">
        <v>0</v>
      </c>
      <c r="AS498" s="229">
        <v>0</v>
      </c>
      <c r="AT498" s="229">
        <v>0</v>
      </c>
      <c r="AU498" s="229">
        <v>0</v>
      </c>
      <c r="AV498" s="229">
        <v>0</v>
      </c>
      <c r="AW498" s="229">
        <v>0</v>
      </c>
      <c r="AX498" s="229">
        <v>0</v>
      </c>
      <c r="AY498" s="229">
        <v>0</v>
      </c>
      <c r="AZ498" s="229">
        <v>0</v>
      </c>
      <c r="BA498" s="229">
        <v>0</v>
      </c>
      <c r="BB498" s="229">
        <v>0</v>
      </c>
      <c r="BC498" s="229">
        <v>0</v>
      </c>
    </row>
    <row r="499" spans="3:55" outlineLevel="2" x14ac:dyDescent="0.2">
      <c r="C499" s="162" t="str">
        <v>Asset 21</v>
      </c>
      <c r="D499" s="81"/>
      <c r="E499" s="86"/>
      <c r="F499" s="229">
        <v>0</v>
      </c>
      <c r="G499" s="229">
        <v>0</v>
      </c>
      <c r="H499" s="229">
        <v>0</v>
      </c>
      <c r="I499" s="229">
        <v>0</v>
      </c>
      <c r="J499" s="229">
        <v>0</v>
      </c>
      <c r="K499" s="229">
        <v>0</v>
      </c>
      <c r="L499" s="229">
        <v>0</v>
      </c>
      <c r="M499" s="229">
        <v>0</v>
      </c>
      <c r="N499" s="229">
        <v>0</v>
      </c>
      <c r="O499" s="229">
        <v>0</v>
      </c>
      <c r="P499" s="229">
        <v>0</v>
      </c>
      <c r="Q499" s="229">
        <v>0</v>
      </c>
      <c r="R499" s="229">
        <v>0</v>
      </c>
      <c r="S499" s="229">
        <v>0</v>
      </c>
      <c r="T499" s="229">
        <v>0</v>
      </c>
      <c r="U499" s="229">
        <v>0</v>
      </c>
      <c r="V499" s="229">
        <v>0</v>
      </c>
      <c r="W499" s="229">
        <v>0</v>
      </c>
      <c r="X499" s="229">
        <v>0</v>
      </c>
      <c r="Y499" s="229">
        <v>0</v>
      </c>
      <c r="Z499" s="229">
        <v>0</v>
      </c>
      <c r="AA499" s="229">
        <v>0</v>
      </c>
      <c r="AB499" s="229">
        <v>0</v>
      </c>
      <c r="AC499" s="229">
        <v>0</v>
      </c>
      <c r="AD499" s="229">
        <v>0</v>
      </c>
      <c r="AE499" s="229">
        <v>0</v>
      </c>
      <c r="AF499" s="229">
        <v>0</v>
      </c>
      <c r="AG499" s="229">
        <v>0</v>
      </c>
      <c r="AH499" s="229">
        <v>0</v>
      </c>
      <c r="AI499" s="229">
        <v>0</v>
      </c>
      <c r="AJ499" s="229">
        <v>0</v>
      </c>
      <c r="AK499" s="229">
        <v>0</v>
      </c>
      <c r="AL499" s="229">
        <v>0</v>
      </c>
      <c r="AM499" s="229">
        <v>0</v>
      </c>
      <c r="AN499" s="229">
        <v>0</v>
      </c>
      <c r="AO499" s="229">
        <v>0</v>
      </c>
      <c r="AP499" s="229">
        <v>0</v>
      </c>
      <c r="AQ499" s="229">
        <v>0</v>
      </c>
      <c r="AR499" s="229">
        <v>0</v>
      </c>
      <c r="AS499" s="229">
        <v>0</v>
      </c>
      <c r="AT499" s="229">
        <v>0</v>
      </c>
      <c r="AU499" s="229">
        <v>0</v>
      </c>
      <c r="AV499" s="229">
        <v>0</v>
      </c>
      <c r="AW499" s="229">
        <v>0</v>
      </c>
      <c r="AX499" s="229">
        <v>0</v>
      </c>
      <c r="AY499" s="229">
        <v>0</v>
      </c>
      <c r="AZ499" s="229">
        <v>0</v>
      </c>
      <c r="BA499" s="229">
        <v>0</v>
      </c>
      <c r="BB499" s="229">
        <v>0</v>
      </c>
      <c r="BC499" s="229">
        <v>0</v>
      </c>
    </row>
    <row r="500" spans="3:55" outlineLevel="2" x14ac:dyDescent="0.2">
      <c r="C500" s="162" t="str">
        <v>Asset 22</v>
      </c>
      <c r="D500" s="81"/>
      <c r="E500" s="86"/>
      <c r="F500" s="229">
        <v>0</v>
      </c>
      <c r="G500" s="229">
        <v>0</v>
      </c>
      <c r="H500" s="229">
        <v>0</v>
      </c>
      <c r="I500" s="229">
        <v>0</v>
      </c>
      <c r="J500" s="229">
        <v>0</v>
      </c>
      <c r="K500" s="229">
        <v>0</v>
      </c>
      <c r="L500" s="229">
        <v>0</v>
      </c>
      <c r="M500" s="229">
        <v>0</v>
      </c>
      <c r="N500" s="229">
        <v>0</v>
      </c>
      <c r="O500" s="229">
        <v>0</v>
      </c>
      <c r="P500" s="229">
        <v>0</v>
      </c>
      <c r="Q500" s="229">
        <v>0</v>
      </c>
      <c r="R500" s="229">
        <v>0</v>
      </c>
      <c r="S500" s="229">
        <v>0</v>
      </c>
      <c r="T500" s="229">
        <v>0</v>
      </c>
      <c r="U500" s="229">
        <v>0</v>
      </c>
      <c r="V500" s="229">
        <v>0</v>
      </c>
      <c r="W500" s="229">
        <v>0</v>
      </c>
      <c r="X500" s="229">
        <v>0</v>
      </c>
      <c r="Y500" s="229">
        <v>0</v>
      </c>
      <c r="Z500" s="229">
        <v>0</v>
      </c>
      <c r="AA500" s="229">
        <v>0</v>
      </c>
      <c r="AB500" s="229">
        <v>0</v>
      </c>
      <c r="AC500" s="229">
        <v>0</v>
      </c>
      <c r="AD500" s="229">
        <v>0</v>
      </c>
      <c r="AE500" s="229">
        <v>0</v>
      </c>
      <c r="AF500" s="229">
        <v>0</v>
      </c>
      <c r="AG500" s="229">
        <v>0</v>
      </c>
      <c r="AH500" s="229">
        <v>0</v>
      </c>
      <c r="AI500" s="229">
        <v>0</v>
      </c>
      <c r="AJ500" s="229">
        <v>0</v>
      </c>
      <c r="AK500" s="229">
        <v>0</v>
      </c>
      <c r="AL500" s="229">
        <v>0</v>
      </c>
      <c r="AM500" s="229">
        <v>0</v>
      </c>
      <c r="AN500" s="229">
        <v>0</v>
      </c>
      <c r="AO500" s="229">
        <v>0</v>
      </c>
      <c r="AP500" s="229">
        <v>0</v>
      </c>
      <c r="AQ500" s="229">
        <v>0</v>
      </c>
      <c r="AR500" s="229">
        <v>0</v>
      </c>
      <c r="AS500" s="229">
        <v>0</v>
      </c>
      <c r="AT500" s="229">
        <v>0</v>
      </c>
      <c r="AU500" s="229">
        <v>0</v>
      </c>
      <c r="AV500" s="229">
        <v>0</v>
      </c>
      <c r="AW500" s="229">
        <v>0</v>
      </c>
      <c r="AX500" s="229">
        <v>0</v>
      </c>
      <c r="AY500" s="229">
        <v>0</v>
      </c>
      <c r="AZ500" s="229">
        <v>0</v>
      </c>
      <c r="BA500" s="229">
        <v>0</v>
      </c>
      <c r="BB500" s="229">
        <v>0</v>
      </c>
      <c r="BC500" s="229">
        <v>0</v>
      </c>
    </row>
    <row r="501" spans="3:55" outlineLevel="2" x14ac:dyDescent="0.2">
      <c r="C501" s="162" t="str">
        <v>Portadora LTE</v>
      </c>
      <c r="D501" s="81"/>
      <c r="E501" s="86"/>
      <c r="F501" s="229">
        <v>0</v>
      </c>
      <c r="G501" s="229">
        <v>0</v>
      </c>
      <c r="H501" s="229">
        <v>0</v>
      </c>
      <c r="I501" s="229">
        <v>0</v>
      </c>
      <c r="J501" s="229">
        <v>0</v>
      </c>
      <c r="K501" s="229">
        <v>0</v>
      </c>
      <c r="L501" s="229">
        <v>0</v>
      </c>
      <c r="M501" s="229">
        <v>0</v>
      </c>
      <c r="N501" s="229">
        <v>0</v>
      </c>
      <c r="O501" s="229">
        <v>0</v>
      </c>
      <c r="P501" s="229">
        <v>0</v>
      </c>
      <c r="Q501" s="229">
        <v>0</v>
      </c>
      <c r="R501" s="229">
        <v>0</v>
      </c>
      <c r="S501" s="229">
        <v>0</v>
      </c>
      <c r="T501" s="229">
        <v>0</v>
      </c>
      <c r="U501" s="229">
        <v>0</v>
      </c>
      <c r="V501" s="229">
        <v>0</v>
      </c>
      <c r="W501" s="229">
        <v>0</v>
      </c>
      <c r="X501" s="229">
        <v>0</v>
      </c>
      <c r="Y501" s="229">
        <v>0</v>
      </c>
      <c r="Z501" s="229">
        <v>0</v>
      </c>
      <c r="AA501" s="229">
        <v>0</v>
      </c>
      <c r="AB501" s="229">
        <v>0</v>
      </c>
      <c r="AC501" s="229">
        <v>0</v>
      </c>
      <c r="AD501" s="229">
        <v>0</v>
      </c>
      <c r="AE501" s="229">
        <v>0</v>
      </c>
      <c r="AF501" s="229">
        <v>0</v>
      </c>
      <c r="AG501" s="229">
        <v>0</v>
      </c>
      <c r="AH501" s="229">
        <v>0</v>
      </c>
      <c r="AI501" s="229">
        <v>0</v>
      </c>
      <c r="AJ501" s="229">
        <v>0</v>
      </c>
      <c r="AK501" s="229">
        <v>0</v>
      </c>
      <c r="AL501" s="229">
        <v>0</v>
      </c>
      <c r="AM501" s="229">
        <v>0</v>
      </c>
      <c r="AN501" s="229">
        <v>14649390.241673</v>
      </c>
      <c r="AO501" s="229">
        <v>0</v>
      </c>
      <c r="AP501" s="229">
        <v>0</v>
      </c>
      <c r="AQ501" s="229">
        <v>0</v>
      </c>
      <c r="AR501" s="229">
        <v>0</v>
      </c>
      <c r="AS501" s="229">
        <v>0</v>
      </c>
      <c r="AT501" s="229">
        <v>0</v>
      </c>
      <c r="AU501" s="229">
        <v>0</v>
      </c>
      <c r="AV501" s="229">
        <v>0</v>
      </c>
      <c r="AW501" s="229">
        <v>0</v>
      </c>
      <c r="AX501" s="229">
        <v>0</v>
      </c>
      <c r="AY501" s="229">
        <v>0</v>
      </c>
      <c r="AZ501" s="229">
        <v>0</v>
      </c>
      <c r="BA501" s="229">
        <v>0</v>
      </c>
      <c r="BB501" s="229">
        <v>0</v>
      </c>
      <c r="BC501" s="229">
        <v>0</v>
      </c>
    </row>
    <row r="502" spans="3:55" outlineLevel="2" x14ac:dyDescent="0.2">
      <c r="C502" s="162" t="str">
        <v>LTE salto a: 10.8</v>
      </c>
      <c r="D502" s="81"/>
      <c r="E502" s="86"/>
      <c r="F502" s="229">
        <v>0</v>
      </c>
      <c r="G502" s="229">
        <v>0</v>
      </c>
      <c r="H502" s="229">
        <v>0</v>
      </c>
      <c r="I502" s="229">
        <v>0</v>
      </c>
      <c r="J502" s="229">
        <v>0</v>
      </c>
      <c r="K502" s="229">
        <v>0</v>
      </c>
      <c r="L502" s="229">
        <v>0</v>
      </c>
      <c r="M502" s="229">
        <v>0</v>
      </c>
      <c r="N502" s="229">
        <v>0</v>
      </c>
      <c r="O502" s="229">
        <v>0</v>
      </c>
      <c r="P502" s="229">
        <v>0</v>
      </c>
      <c r="Q502" s="229">
        <v>0</v>
      </c>
      <c r="R502" s="229">
        <v>0</v>
      </c>
      <c r="S502" s="229">
        <v>0</v>
      </c>
      <c r="T502" s="229">
        <v>0</v>
      </c>
      <c r="U502" s="229">
        <v>0</v>
      </c>
      <c r="V502" s="229">
        <v>0</v>
      </c>
      <c r="W502" s="229">
        <v>0</v>
      </c>
      <c r="X502" s="229">
        <v>0</v>
      </c>
      <c r="Y502" s="229">
        <v>0</v>
      </c>
      <c r="Z502" s="229">
        <v>0</v>
      </c>
      <c r="AA502" s="229">
        <v>0</v>
      </c>
      <c r="AB502" s="229">
        <v>0</v>
      </c>
      <c r="AC502" s="229">
        <v>0</v>
      </c>
      <c r="AD502" s="229">
        <v>0</v>
      </c>
      <c r="AE502" s="229">
        <v>0</v>
      </c>
      <c r="AF502" s="229">
        <v>0</v>
      </c>
      <c r="AG502" s="229">
        <v>0</v>
      </c>
      <c r="AH502" s="229">
        <v>0</v>
      </c>
      <c r="AI502" s="229">
        <v>0</v>
      </c>
      <c r="AJ502" s="229">
        <v>0</v>
      </c>
      <c r="AK502" s="229">
        <v>0</v>
      </c>
      <c r="AL502" s="229">
        <v>0</v>
      </c>
      <c r="AM502" s="229">
        <v>0</v>
      </c>
      <c r="AN502" s="229">
        <v>9164840.247577697</v>
      </c>
      <c r="AO502" s="229">
        <v>0</v>
      </c>
      <c r="AP502" s="229">
        <v>0</v>
      </c>
      <c r="AQ502" s="229">
        <v>0</v>
      </c>
      <c r="AR502" s="229">
        <v>0</v>
      </c>
      <c r="AS502" s="229">
        <v>0</v>
      </c>
      <c r="AT502" s="229">
        <v>0</v>
      </c>
      <c r="AU502" s="229">
        <v>0</v>
      </c>
      <c r="AV502" s="229">
        <v>0</v>
      </c>
      <c r="AW502" s="229">
        <v>0</v>
      </c>
      <c r="AX502" s="229">
        <v>0</v>
      </c>
      <c r="AY502" s="229">
        <v>0</v>
      </c>
      <c r="AZ502" s="229">
        <v>0</v>
      </c>
      <c r="BA502" s="229">
        <v>0</v>
      </c>
      <c r="BB502" s="229">
        <v>0</v>
      </c>
      <c r="BC502" s="229">
        <v>0</v>
      </c>
    </row>
    <row r="503" spans="3:55" outlineLevel="2" x14ac:dyDescent="0.2">
      <c r="C503" s="162" t="str">
        <v>LTE salto a: 16.2</v>
      </c>
      <c r="D503" s="81"/>
      <c r="E503" s="86"/>
      <c r="F503" s="229">
        <v>0</v>
      </c>
      <c r="G503" s="229">
        <v>0</v>
      </c>
      <c r="H503" s="229">
        <v>0</v>
      </c>
      <c r="I503" s="229">
        <v>0</v>
      </c>
      <c r="J503" s="229">
        <v>0</v>
      </c>
      <c r="K503" s="229">
        <v>0</v>
      </c>
      <c r="L503" s="229">
        <v>0</v>
      </c>
      <c r="M503" s="229">
        <v>0</v>
      </c>
      <c r="N503" s="229">
        <v>0</v>
      </c>
      <c r="O503" s="229">
        <v>0</v>
      </c>
      <c r="P503" s="229">
        <v>0</v>
      </c>
      <c r="Q503" s="229">
        <v>0</v>
      </c>
      <c r="R503" s="229">
        <v>0</v>
      </c>
      <c r="S503" s="229">
        <v>0</v>
      </c>
      <c r="T503" s="229">
        <v>0</v>
      </c>
      <c r="U503" s="229">
        <v>0</v>
      </c>
      <c r="V503" s="229">
        <v>0</v>
      </c>
      <c r="W503" s="229">
        <v>0</v>
      </c>
      <c r="X503" s="229">
        <v>0</v>
      </c>
      <c r="Y503" s="229">
        <v>0</v>
      </c>
      <c r="Z503" s="229">
        <v>0</v>
      </c>
      <c r="AA503" s="229">
        <v>0</v>
      </c>
      <c r="AB503" s="229">
        <v>0</v>
      </c>
      <c r="AC503" s="229">
        <v>0</v>
      </c>
      <c r="AD503" s="229">
        <v>0</v>
      </c>
      <c r="AE503" s="229">
        <v>0</v>
      </c>
      <c r="AF503" s="229">
        <v>0</v>
      </c>
      <c r="AG503" s="229">
        <v>0</v>
      </c>
      <c r="AH503" s="229">
        <v>0</v>
      </c>
      <c r="AI503" s="229">
        <v>0</v>
      </c>
      <c r="AJ503" s="229">
        <v>0</v>
      </c>
      <c r="AK503" s="229">
        <v>0</v>
      </c>
      <c r="AL503" s="229">
        <v>0</v>
      </c>
      <c r="AM503" s="229">
        <v>0</v>
      </c>
      <c r="AN503" s="229">
        <v>7360363.9294017786</v>
      </c>
      <c r="AO503" s="229">
        <v>0</v>
      </c>
      <c r="AP503" s="229">
        <v>0</v>
      </c>
      <c r="AQ503" s="229">
        <v>0</v>
      </c>
      <c r="AR503" s="229">
        <v>0</v>
      </c>
      <c r="AS503" s="229">
        <v>0</v>
      </c>
      <c r="AT503" s="229">
        <v>0</v>
      </c>
      <c r="AU503" s="229">
        <v>0</v>
      </c>
      <c r="AV503" s="229">
        <v>0</v>
      </c>
      <c r="AW503" s="229">
        <v>0</v>
      </c>
      <c r="AX503" s="229">
        <v>0</v>
      </c>
      <c r="AY503" s="229">
        <v>0</v>
      </c>
      <c r="AZ503" s="229">
        <v>0</v>
      </c>
      <c r="BA503" s="229">
        <v>0</v>
      </c>
      <c r="BB503" s="229">
        <v>0</v>
      </c>
      <c r="BC503" s="229">
        <v>0</v>
      </c>
    </row>
    <row r="504" spans="3:55" outlineLevel="2" x14ac:dyDescent="0.2">
      <c r="C504" s="162" t="str">
        <v>LTE salto a: 21.6</v>
      </c>
      <c r="D504" s="81"/>
      <c r="E504" s="86"/>
      <c r="F504" s="229">
        <v>0</v>
      </c>
      <c r="G504" s="229">
        <v>0</v>
      </c>
      <c r="H504" s="229">
        <v>0</v>
      </c>
      <c r="I504" s="229">
        <v>0</v>
      </c>
      <c r="J504" s="229">
        <v>0</v>
      </c>
      <c r="K504" s="229">
        <v>0</v>
      </c>
      <c r="L504" s="229">
        <v>0</v>
      </c>
      <c r="M504" s="229">
        <v>0</v>
      </c>
      <c r="N504" s="229">
        <v>0</v>
      </c>
      <c r="O504" s="229">
        <v>0</v>
      </c>
      <c r="P504" s="229">
        <v>0</v>
      </c>
      <c r="Q504" s="229">
        <v>0</v>
      </c>
      <c r="R504" s="229">
        <v>0</v>
      </c>
      <c r="S504" s="229">
        <v>0</v>
      </c>
      <c r="T504" s="229">
        <v>0</v>
      </c>
      <c r="U504" s="229">
        <v>0</v>
      </c>
      <c r="V504" s="229">
        <v>0</v>
      </c>
      <c r="W504" s="229">
        <v>0</v>
      </c>
      <c r="X504" s="229">
        <v>0</v>
      </c>
      <c r="Y504" s="229">
        <v>0</v>
      </c>
      <c r="Z504" s="229">
        <v>0</v>
      </c>
      <c r="AA504" s="229">
        <v>0</v>
      </c>
      <c r="AB504" s="229">
        <v>0</v>
      </c>
      <c r="AC504" s="229">
        <v>0</v>
      </c>
      <c r="AD504" s="229">
        <v>0</v>
      </c>
      <c r="AE504" s="229">
        <v>0</v>
      </c>
      <c r="AF504" s="229">
        <v>0</v>
      </c>
      <c r="AG504" s="229">
        <v>0</v>
      </c>
      <c r="AH504" s="229">
        <v>0</v>
      </c>
      <c r="AI504" s="229">
        <v>0</v>
      </c>
      <c r="AJ504" s="229">
        <v>0</v>
      </c>
      <c r="AK504" s="229">
        <v>0</v>
      </c>
      <c r="AL504" s="229">
        <v>0</v>
      </c>
      <c r="AM504" s="229">
        <v>0</v>
      </c>
      <c r="AN504" s="229">
        <v>7597795.023898609</v>
      </c>
      <c r="AO504" s="229">
        <v>0</v>
      </c>
      <c r="AP504" s="229">
        <v>0</v>
      </c>
      <c r="AQ504" s="229">
        <v>0</v>
      </c>
      <c r="AR504" s="229">
        <v>0</v>
      </c>
      <c r="AS504" s="229">
        <v>0</v>
      </c>
      <c r="AT504" s="229">
        <v>0</v>
      </c>
      <c r="AU504" s="229">
        <v>0</v>
      </c>
      <c r="AV504" s="229">
        <v>0</v>
      </c>
      <c r="AW504" s="229">
        <v>0</v>
      </c>
      <c r="AX504" s="229">
        <v>0</v>
      </c>
      <c r="AY504" s="229">
        <v>0</v>
      </c>
      <c r="AZ504" s="229">
        <v>0</v>
      </c>
      <c r="BA504" s="229">
        <v>0</v>
      </c>
      <c r="BB504" s="229">
        <v>0</v>
      </c>
      <c r="BC504" s="229">
        <v>0</v>
      </c>
    </row>
    <row r="505" spans="3:55" outlineLevel="2" x14ac:dyDescent="0.2">
      <c r="C505" s="162" t="str">
        <v>LTE salto a: 32.4</v>
      </c>
      <c r="D505" s="81"/>
      <c r="E505" s="86"/>
      <c r="F505" s="229">
        <v>0</v>
      </c>
      <c r="G505" s="229">
        <v>0</v>
      </c>
      <c r="H505" s="229">
        <v>0</v>
      </c>
      <c r="I505" s="229">
        <v>0</v>
      </c>
      <c r="J505" s="229">
        <v>0</v>
      </c>
      <c r="K505" s="229">
        <v>0</v>
      </c>
      <c r="L505" s="229">
        <v>0</v>
      </c>
      <c r="M505" s="229">
        <v>0</v>
      </c>
      <c r="N505" s="229">
        <v>0</v>
      </c>
      <c r="O505" s="229">
        <v>0</v>
      </c>
      <c r="P505" s="229">
        <v>0</v>
      </c>
      <c r="Q505" s="229">
        <v>0</v>
      </c>
      <c r="R505" s="229">
        <v>0</v>
      </c>
      <c r="S505" s="229">
        <v>0</v>
      </c>
      <c r="T505" s="229">
        <v>0</v>
      </c>
      <c r="U505" s="229">
        <v>0</v>
      </c>
      <c r="V505" s="229">
        <v>0</v>
      </c>
      <c r="W505" s="229">
        <v>0</v>
      </c>
      <c r="X505" s="229">
        <v>0</v>
      </c>
      <c r="Y505" s="229">
        <v>0</v>
      </c>
      <c r="Z505" s="229">
        <v>0</v>
      </c>
      <c r="AA505" s="229">
        <v>0</v>
      </c>
      <c r="AB505" s="229">
        <v>0</v>
      </c>
      <c r="AC505" s="229">
        <v>0</v>
      </c>
      <c r="AD505" s="229">
        <v>0</v>
      </c>
      <c r="AE505" s="229">
        <v>0</v>
      </c>
      <c r="AF505" s="229">
        <v>0</v>
      </c>
      <c r="AG505" s="229">
        <v>0</v>
      </c>
      <c r="AH505" s="229">
        <v>0</v>
      </c>
      <c r="AI505" s="229">
        <v>0</v>
      </c>
      <c r="AJ505" s="229">
        <v>0</v>
      </c>
      <c r="AK505" s="229">
        <v>0</v>
      </c>
      <c r="AL505" s="229">
        <v>0</v>
      </c>
      <c r="AM505" s="229">
        <v>0</v>
      </c>
      <c r="AN505" s="229">
        <v>7597795.023898609</v>
      </c>
      <c r="AO505" s="229">
        <v>0</v>
      </c>
      <c r="AP505" s="229">
        <v>0</v>
      </c>
      <c r="AQ505" s="229">
        <v>0</v>
      </c>
      <c r="AR505" s="229">
        <v>0</v>
      </c>
      <c r="AS505" s="229">
        <v>0</v>
      </c>
      <c r="AT505" s="229">
        <v>0</v>
      </c>
      <c r="AU505" s="229">
        <v>0</v>
      </c>
      <c r="AV505" s="229">
        <v>0</v>
      </c>
      <c r="AW505" s="229">
        <v>0</v>
      </c>
      <c r="AX505" s="229">
        <v>0</v>
      </c>
      <c r="AY505" s="229">
        <v>0</v>
      </c>
      <c r="AZ505" s="229">
        <v>0</v>
      </c>
      <c r="BA505" s="229">
        <v>0</v>
      </c>
      <c r="BB505" s="229">
        <v>0</v>
      </c>
      <c r="BC505" s="229">
        <v>0</v>
      </c>
    </row>
    <row r="506" spans="3:55" outlineLevel="2" x14ac:dyDescent="0.2">
      <c r="C506" s="162" t="str">
        <v>LTE salto a: 43.2</v>
      </c>
      <c r="D506" s="81"/>
      <c r="E506" s="86"/>
      <c r="F506" s="229">
        <v>0</v>
      </c>
      <c r="G506" s="229">
        <v>0</v>
      </c>
      <c r="H506" s="229">
        <v>0</v>
      </c>
      <c r="I506" s="229">
        <v>0</v>
      </c>
      <c r="J506" s="229">
        <v>0</v>
      </c>
      <c r="K506" s="229">
        <v>0</v>
      </c>
      <c r="L506" s="229">
        <v>0</v>
      </c>
      <c r="M506" s="229">
        <v>0</v>
      </c>
      <c r="N506" s="229">
        <v>0</v>
      </c>
      <c r="O506" s="229">
        <v>0</v>
      </c>
      <c r="P506" s="229">
        <v>0</v>
      </c>
      <c r="Q506" s="229">
        <v>0</v>
      </c>
      <c r="R506" s="229">
        <v>0</v>
      </c>
      <c r="S506" s="229">
        <v>0</v>
      </c>
      <c r="T506" s="229">
        <v>0</v>
      </c>
      <c r="U506" s="229">
        <v>0</v>
      </c>
      <c r="V506" s="229">
        <v>0</v>
      </c>
      <c r="W506" s="229">
        <v>0</v>
      </c>
      <c r="X506" s="229">
        <v>0</v>
      </c>
      <c r="Y506" s="229">
        <v>0</v>
      </c>
      <c r="Z506" s="229">
        <v>0</v>
      </c>
      <c r="AA506" s="229">
        <v>0</v>
      </c>
      <c r="AB506" s="229">
        <v>0</v>
      </c>
      <c r="AC506" s="229">
        <v>0</v>
      </c>
      <c r="AD506" s="229">
        <v>0</v>
      </c>
      <c r="AE506" s="229">
        <v>0</v>
      </c>
      <c r="AF506" s="229">
        <v>0</v>
      </c>
      <c r="AG506" s="229">
        <v>0</v>
      </c>
      <c r="AH506" s="229">
        <v>0</v>
      </c>
      <c r="AI506" s="229">
        <v>0</v>
      </c>
      <c r="AJ506" s="229">
        <v>0</v>
      </c>
      <c r="AK506" s="229">
        <v>0</v>
      </c>
      <c r="AL506" s="229">
        <v>0</v>
      </c>
      <c r="AM506" s="229">
        <v>0</v>
      </c>
      <c r="AN506" s="229">
        <v>0</v>
      </c>
      <c r="AO506" s="229">
        <v>0</v>
      </c>
      <c r="AP506" s="229">
        <v>0</v>
      </c>
      <c r="AQ506" s="229">
        <v>0</v>
      </c>
      <c r="AR506" s="229">
        <v>0</v>
      </c>
      <c r="AS506" s="229">
        <v>0</v>
      </c>
      <c r="AT506" s="229">
        <v>0</v>
      </c>
      <c r="AU506" s="229">
        <v>0</v>
      </c>
      <c r="AV506" s="229">
        <v>0</v>
      </c>
      <c r="AW506" s="229">
        <v>0</v>
      </c>
      <c r="AX506" s="229">
        <v>0</v>
      </c>
      <c r="AY506" s="229">
        <v>0</v>
      </c>
      <c r="AZ506" s="229">
        <v>0</v>
      </c>
      <c r="BA506" s="229">
        <v>0</v>
      </c>
      <c r="BB506" s="229">
        <v>0</v>
      </c>
      <c r="BC506" s="229">
        <v>0</v>
      </c>
    </row>
    <row r="507" spans="3:55" outlineLevel="2" x14ac:dyDescent="0.2">
      <c r="C507" s="162" t="str">
        <v>LTE salto a: 86.4</v>
      </c>
      <c r="D507" s="81"/>
      <c r="E507" s="86"/>
      <c r="F507" s="229">
        <v>0</v>
      </c>
      <c r="G507" s="229">
        <v>0</v>
      </c>
      <c r="H507" s="229">
        <v>0</v>
      </c>
      <c r="I507" s="229">
        <v>0</v>
      </c>
      <c r="J507" s="229">
        <v>0</v>
      </c>
      <c r="K507" s="229">
        <v>0</v>
      </c>
      <c r="L507" s="229">
        <v>0</v>
      </c>
      <c r="M507" s="229">
        <v>0</v>
      </c>
      <c r="N507" s="229">
        <v>0</v>
      </c>
      <c r="O507" s="229">
        <v>0</v>
      </c>
      <c r="P507" s="229">
        <v>0</v>
      </c>
      <c r="Q507" s="229">
        <v>0</v>
      </c>
      <c r="R507" s="229">
        <v>0</v>
      </c>
      <c r="S507" s="229">
        <v>0</v>
      </c>
      <c r="T507" s="229">
        <v>0</v>
      </c>
      <c r="U507" s="229">
        <v>0</v>
      </c>
      <c r="V507" s="229">
        <v>0</v>
      </c>
      <c r="W507" s="229">
        <v>0</v>
      </c>
      <c r="X507" s="229">
        <v>0</v>
      </c>
      <c r="Y507" s="229">
        <v>0</v>
      </c>
      <c r="Z507" s="229">
        <v>0</v>
      </c>
      <c r="AA507" s="229">
        <v>0</v>
      </c>
      <c r="AB507" s="229">
        <v>0</v>
      </c>
      <c r="AC507" s="229">
        <v>0</v>
      </c>
      <c r="AD507" s="229">
        <v>0</v>
      </c>
      <c r="AE507" s="229">
        <v>0</v>
      </c>
      <c r="AF507" s="229">
        <v>0</v>
      </c>
      <c r="AG507" s="229">
        <v>0</v>
      </c>
      <c r="AH507" s="229">
        <v>0</v>
      </c>
      <c r="AI507" s="229">
        <v>0</v>
      </c>
      <c r="AJ507" s="229">
        <v>0</v>
      </c>
      <c r="AK507" s="229">
        <v>0</v>
      </c>
      <c r="AL507" s="229">
        <v>0</v>
      </c>
      <c r="AM507" s="229">
        <v>0</v>
      </c>
      <c r="AN507" s="229">
        <v>0</v>
      </c>
      <c r="AO507" s="229">
        <v>0</v>
      </c>
      <c r="AP507" s="229">
        <v>0</v>
      </c>
      <c r="AQ507" s="229">
        <v>0</v>
      </c>
      <c r="AR507" s="229">
        <v>0</v>
      </c>
      <c r="AS507" s="229">
        <v>0</v>
      </c>
      <c r="AT507" s="229">
        <v>0</v>
      </c>
      <c r="AU507" s="229">
        <v>0</v>
      </c>
      <c r="AV507" s="229">
        <v>0</v>
      </c>
      <c r="AW507" s="229">
        <v>0</v>
      </c>
      <c r="AX507" s="229">
        <v>0</v>
      </c>
      <c r="AY507" s="229">
        <v>0</v>
      </c>
      <c r="AZ507" s="229">
        <v>0</v>
      </c>
      <c r="BA507" s="229">
        <v>0</v>
      </c>
      <c r="BB507" s="229">
        <v>0</v>
      </c>
      <c r="BC507" s="229">
        <v>0</v>
      </c>
    </row>
    <row r="508" spans="3:55" outlineLevel="2" x14ac:dyDescent="0.2">
      <c r="C508" s="162" t="str">
        <v>Estación base Single RAN - macro</v>
      </c>
      <c r="D508" s="81"/>
      <c r="E508" s="86"/>
      <c r="F508" s="229">
        <v>3957837.0393951805</v>
      </c>
      <c r="G508" s="229">
        <v>124754.9122886585</v>
      </c>
      <c r="H508" s="229">
        <v>1103401.3885733902</v>
      </c>
      <c r="I508" s="229">
        <v>10356.374099154193</v>
      </c>
      <c r="J508" s="229">
        <v>58916.84924549509</v>
      </c>
      <c r="K508" s="229">
        <v>1103401.3885733904</v>
      </c>
      <c r="L508" s="229">
        <v>18173.362209125386</v>
      </c>
      <c r="M508" s="229">
        <v>15435564.453641206</v>
      </c>
      <c r="N508" s="229">
        <v>486544.15792576817</v>
      </c>
      <c r="O508" s="229">
        <v>4303265.4154362213</v>
      </c>
      <c r="P508" s="229">
        <v>40389.858986701351</v>
      </c>
      <c r="Q508" s="229">
        <v>229775.71205743088</v>
      </c>
      <c r="R508" s="229">
        <v>4303265.4154362222</v>
      </c>
      <c r="S508" s="229">
        <v>70876.112615589009</v>
      </c>
      <c r="T508" s="229">
        <v>0</v>
      </c>
      <c r="U508" s="229">
        <v>0</v>
      </c>
      <c r="V508" s="229">
        <v>0</v>
      </c>
      <c r="W508" s="229">
        <v>0</v>
      </c>
      <c r="X508" s="229">
        <v>0</v>
      </c>
      <c r="Y508" s="229">
        <v>0</v>
      </c>
      <c r="Z508" s="229">
        <v>0</v>
      </c>
      <c r="AA508" s="229">
        <v>655.16719983360019</v>
      </c>
      <c r="AB508" s="229">
        <v>272.09294739163209</v>
      </c>
      <c r="AC508" s="229">
        <v>247.9592301711352</v>
      </c>
      <c r="AD508" s="229">
        <v>753.76986340855694</v>
      </c>
      <c r="AE508" s="229">
        <v>313.04293597407269</v>
      </c>
      <c r="AF508" s="229">
        <v>285.27709431189101</v>
      </c>
      <c r="AG508" s="229">
        <v>0</v>
      </c>
      <c r="AH508" s="229">
        <v>0</v>
      </c>
      <c r="AI508" s="229">
        <v>0</v>
      </c>
      <c r="AJ508" s="229">
        <v>74328762.563632742</v>
      </c>
      <c r="AK508" s="229">
        <v>7582715.9074576497</v>
      </c>
      <c r="AL508" s="229">
        <v>14795298.709348695</v>
      </c>
      <c r="AM508" s="229">
        <v>0</v>
      </c>
      <c r="AN508" s="229">
        <v>5899108.1399708511</v>
      </c>
      <c r="AO508" s="229">
        <v>0</v>
      </c>
      <c r="AP508" s="229">
        <v>0</v>
      </c>
      <c r="AQ508" s="229">
        <v>0</v>
      </c>
      <c r="AR508" s="229">
        <v>0</v>
      </c>
      <c r="AS508" s="229">
        <v>0</v>
      </c>
      <c r="AT508" s="229">
        <v>0</v>
      </c>
      <c r="AU508" s="229">
        <v>0</v>
      </c>
      <c r="AV508" s="229">
        <v>0</v>
      </c>
      <c r="AW508" s="229">
        <v>0</v>
      </c>
      <c r="AX508" s="229">
        <v>0</v>
      </c>
      <c r="AY508" s="229">
        <v>0</v>
      </c>
      <c r="AZ508" s="229">
        <v>0</v>
      </c>
      <c r="BA508" s="229">
        <v>0</v>
      </c>
      <c r="BB508" s="229">
        <v>0</v>
      </c>
      <c r="BC508" s="229">
        <v>0</v>
      </c>
    </row>
    <row r="509" spans="3:55" outlineLevel="2" x14ac:dyDescent="0.2">
      <c r="C509" s="162" t="str">
        <v>Estación base Single RAN - micro</v>
      </c>
      <c r="D509" s="81"/>
      <c r="E509" s="86"/>
      <c r="F509" s="229">
        <v>86333.186953405399</v>
      </c>
      <c r="G509" s="229">
        <v>2721.3068801888689</v>
      </c>
      <c r="H509" s="229">
        <v>24068.741945704478</v>
      </c>
      <c r="I509" s="229">
        <v>225.90591081999588</v>
      </c>
      <c r="J509" s="229">
        <v>1285.1664457095039</v>
      </c>
      <c r="K509" s="229">
        <v>24068.741945704482</v>
      </c>
      <c r="L509" s="229">
        <v>396.41962555692709</v>
      </c>
      <c r="M509" s="229">
        <v>336699.42911828111</v>
      </c>
      <c r="N509" s="229">
        <v>10613.096832736588</v>
      </c>
      <c r="O509" s="229">
        <v>93868.093588247459</v>
      </c>
      <c r="P509" s="229">
        <v>881.03305219798403</v>
      </c>
      <c r="Q509" s="229">
        <v>5012.1491382670656</v>
      </c>
      <c r="R509" s="229">
        <v>93868.093588247473</v>
      </c>
      <c r="S509" s="229">
        <v>1546.0365396720158</v>
      </c>
      <c r="T509" s="229">
        <v>0</v>
      </c>
      <c r="U509" s="229">
        <v>0</v>
      </c>
      <c r="V509" s="229">
        <v>0</v>
      </c>
      <c r="W509" s="229">
        <v>0</v>
      </c>
      <c r="X509" s="229">
        <v>0</v>
      </c>
      <c r="Y509" s="229">
        <v>0</v>
      </c>
      <c r="Z509" s="229">
        <v>0</v>
      </c>
      <c r="AA509" s="229">
        <v>14.291309062491612</v>
      </c>
      <c r="AB509" s="229">
        <v>5.9352244829803835</v>
      </c>
      <c r="AC509" s="229">
        <v>5.4087902968482089</v>
      </c>
      <c r="AD509" s="229">
        <v>16.442151076396602</v>
      </c>
      <c r="AE509" s="229">
        <v>6.8284757676689312</v>
      </c>
      <c r="AF509" s="229">
        <v>6.2228132365238649</v>
      </c>
      <c r="AG509" s="229">
        <v>0</v>
      </c>
      <c r="AH509" s="229">
        <v>0</v>
      </c>
      <c r="AI509" s="229">
        <v>0</v>
      </c>
      <c r="AJ509" s="229">
        <v>1621349.9673048717</v>
      </c>
      <c r="AK509" s="229">
        <v>165403.48264392957</v>
      </c>
      <c r="AL509" s="229">
        <v>322733.16884741519</v>
      </c>
      <c r="AM509" s="229">
        <v>0</v>
      </c>
      <c r="AN509" s="229">
        <v>128678.56883371997</v>
      </c>
      <c r="AO509" s="229">
        <v>0</v>
      </c>
      <c r="AP509" s="229">
        <v>0</v>
      </c>
      <c r="AQ509" s="229">
        <v>0</v>
      </c>
      <c r="AR509" s="229">
        <v>0</v>
      </c>
      <c r="AS509" s="229">
        <v>0</v>
      </c>
      <c r="AT509" s="229">
        <v>0</v>
      </c>
      <c r="AU509" s="229">
        <v>0</v>
      </c>
      <c r="AV509" s="229">
        <v>0</v>
      </c>
      <c r="AW509" s="229">
        <v>0</v>
      </c>
      <c r="AX509" s="229">
        <v>0</v>
      </c>
      <c r="AY509" s="229">
        <v>0</v>
      </c>
      <c r="AZ509" s="229">
        <v>0</v>
      </c>
      <c r="BA509" s="229">
        <v>0</v>
      </c>
      <c r="BB509" s="229">
        <v>0</v>
      </c>
      <c r="BC509" s="229">
        <v>0</v>
      </c>
    </row>
    <row r="510" spans="3:55" outlineLevel="2" x14ac:dyDescent="0.2">
      <c r="C510" s="162" t="str">
        <v>BBU tarjeta 3G en estación base Single RAN</v>
      </c>
      <c r="D510" s="81"/>
      <c r="E510" s="86"/>
      <c r="F510" s="229">
        <v>0</v>
      </c>
      <c r="G510" s="229">
        <v>0</v>
      </c>
      <c r="H510" s="229">
        <v>0</v>
      </c>
      <c r="I510" s="229">
        <v>0</v>
      </c>
      <c r="J510" s="229">
        <v>0</v>
      </c>
      <c r="K510" s="229">
        <v>0</v>
      </c>
      <c r="L510" s="229">
        <v>0</v>
      </c>
      <c r="M510" s="229">
        <v>4348171.1723307511</v>
      </c>
      <c r="N510" s="229">
        <v>137058.62768495694</v>
      </c>
      <c r="O510" s="229">
        <v>1212222.2470376678</v>
      </c>
      <c r="P510" s="229">
        <v>11377.751751673079</v>
      </c>
      <c r="Q510" s="229">
        <v>64727.411185420337</v>
      </c>
      <c r="R510" s="229">
        <v>1212222.247037668</v>
      </c>
      <c r="S510" s="229">
        <v>19965.675411971923</v>
      </c>
      <c r="T510" s="229">
        <v>0</v>
      </c>
      <c r="U510" s="229">
        <v>0</v>
      </c>
      <c r="V510" s="229">
        <v>0</v>
      </c>
      <c r="W510" s="229">
        <v>0</v>
      </c>
      <c r="X510" s="229">
        <v>0</v>
      </c>
      <c r="Y510" s="229">
        <v>0</v>
      </c>
      <c r="Z510" s="229">
        <v>0</v>
      </c>
      <c r="AA510" s="229">
        <v>0</v>
      </c>
      <c r="AB510" s="229">
        <v>0</v>
      </c>
      <c r="AC510" s="229">
        <v>0</v>
      </c>
      <c r="AD510" s="229">
        <v>212.33563569951716</v>
      </c>
      <c r="AE510" s="229">
        <v>88.183640707946324</v>
      </c>
      <c r="AF510" s="229">
        <v>80.362052281193428</v>
      </c>
      <c r="AG510" s="229">
        <v>0</v>
      </c>
      <c r="AH510" s="229">
        <v>0</v>
      </c>
      <c r="AI510" s="229">
        <v>0</v>
      </c>
      <c r="AJ510" s="229">
        <v>0</v>
      </c>
      <c r="AK510" s="229">
        <v>2136037.6431846917</v>
      </c>
      <c r="AL510" s="229">
        <v>4167809.4459860534</v>
      </c>
      <c r="AM510" s="229">
        <v>0</v>
      </c>
      <c r="AN510" s="229">
        <v>0</v>
      </c>
      <c r="AO510" s="229">
        <v>0</v>
      </c>
      <c r="AP510" s="229">
        <v>0</v>
      </c>
      <c r="AQ510" s="229">
        <v>0</v>
      </c>
      <c r="AR510" s="229">
        <v>0</v>
      </c>
      <c r="AS510" s="229">
        <v>0</v>
      </c>
      <c r="AT510" s="229">
        <v>0</v>
      </c>
      <c r="AU510" s="229">
        <v>0</v>
      </c>
      <c r="AV510" s="229">
        <v>0</v>
      </c>
      <c r="AW510" s="229">
        <v>0</v>
      </c>
      <c r="AX510" s="229">
        <v>0</v>
      </c>
      <c r="AY510" s="229">
        <v>0</v>
      </c>
      <c r="AZ510" s="229">
        <v>0</v>
      </c>
      <c r="BA510" s="229">
        <v>0</v>
      </c>
      <c r="BB510" s="229">
        <v>0</v>
      </c>
      <c r="BC510" s="229">
        <v>0</v>
      </c>
    </row>
    <row r="511" spans="3:55" outlineLevel="2" x14ac:dyDescent="0.2">
      <c r="C511" s="162" t="str">
        <v>BBU tarjeta 4G en estación base Single RAN</v>
      </c>
      <c r="D511" s="81"/>
      <c r="E511" s="86"/>
      <c r="F511" s="229">
        <v>0</v>
      </c>
      <c r="G511" s="229">
        <v>0</v>
      </c>
      <c r="H511" s="229">
        <v>0</v>
      </c>
      <c r="I511" s="229">
        <v>0</v>
      </c>
      <c r="J511" s="229">
        <v>0</v>
      </c>
      <c r="K511" s="229">
        <v>0</v>
      </c>
      <c r="L511" s="229">
        <v>0</v>
      </c>
      <c r="M511" s="229">
        <v>0</v>
      </c>
      <c r="N511" s="229">
        <v>0</v>
      </c>
      <c r="O511" s="229">
        <v>0</v>
      </c>
      <c r="P511" s="229">
        <v>0</v>
      </c>
      <c r="Q511" s="229">
        <v>0</v>
      </c>
      <c r="R511" s="229">
        <v>0</v>
      </c>
      <c r="S511" s="229">
        <v>0</v>
      </c>
      <c r="T511" s="229">
        <v>0</v>
      </c>
      <c r="U511" s="229">
        <v>0</v>
      </c>
      <c r="V511" s="229">
        <v>0</v>
      </c>
      <c r="W511" s="229">
        <v>0</v>
      </c>
      <c r="X511" s="229">
        <v>0</v>
      </c>
      <c r="Y511" s="229">
        <v>0</v>
      </c>
      <c r="Z511" s="229">
        <v>0</v>
      </c>
      <c r="AA511" s="229">
        <v>0</v>
      </c>
      <c r="AB511" s="229">
        <v>0</v>
      </c>
      <c r="AC511" s="229">
        <v>0</v>
      </c>
      <c r="AD511" s="229">
        <v>0</v>
      </c>
      <c r="AE511" s="229">
        <v>0</v>
      </c>
      <c r="AF511" s="229">
        <v>0</v>
      </c>
      <c r="AG511" s="229">
        <v>0</v>
      </c>
      <c r="AH511" s="229">
        <v>0</v>
      </c>
      <c r="AI511" s="229">
        <v>0</v>
      </c>
      <c r="AJ511" s="229">
        <v>0</v>
      </c>
      <c r="AK511" s="229">
        <v>0</v>
      </c>
      <c r="AL511" s="229">
        <v>0</v>
      </c>
      <c r="AM511" s="229">
        <v>0</v>
      </c>
      <c r="AN511" s="229">
        <v>18911235.348257322</v>
      </c>
      <c r="AO511" s="229">
        <v>0</v>
      </c>
      <c r="AP511" s="229">
        <v>0</v>
      </c>
      <c r="AQ511" s="229">
        <v>0</v>
      </c>
      <c r="AR511" s="229">
        <v>0</v>
      </c>
      <c r="AS511" s="229">
        <v>0</v>
      </c>
      <c r="AT511" s="229">
        <v>0</v>
      </c>
      <c r="AU511" s="229">
        <v>0</v>
      </c>
      <c r="AV511" s="229">
        <v>0</v>
      </c>
      <c r="AW511" s="229">
        <v>0</v>
      </c>
      <c r="AX511" s="229">
        <v>0</v>
      </c>
      <c r="AY511" s="229">
        <v>0</v>
      </c>
      <c r="AZ511" s="229">
        <v>0</v>
      </c>
      <c r="BA511" s="229">
        <v>0</v>
      </c>
      <c r="BB511" s="229">
        <v>0</v>
      </c>
      <c r="BC511" s="229">
        <v>0</v>
      </c>
    </row>
    <row r="512" spans="3:55" outlineLevel="2" x14ac:dyDescent="0.2">
      <c r="C512" s="162" t="str">
        <v>Sitios propios - macro</v>
      </c>
      <c r="D512" s="81"/>
      <c r="E512" s="86"/>
      <c r="F512" s="229">
        <v>2378028.429129045</v>
      </c>
      <c r="G512" s="229">
        <v>74957.792638492843</v>
      </c>
      <c r="H512" s="229">
        <v>662968.14261179441</v>
      </c>
      <c r="I512" s="229">
        <v>6222.5280589743224</v>
      </c>
      <c r="J512" s="229">
        <v>35399.623851594413</v>
      </c>
      <c r="K512" s="229">
        <v>662968.14261179452</v>
      </c>
      <c r="L512" s="229">
        <v>10919.290399274194</v>
      </c>
      <c r="M512" s="229">
        <v>9274310.8736032769</v>
      </c>
      <c r="N512" s="229">
        <v>292335.39129012212</v>
      </c>
      <c r="O512" s="229">
        <v>2585575.7561859982</v>
      </c>
      <c r="P512" s="229">
        <v>24267.859429999862</v>
      </c>
      <c r="Q512" s="229">
        <v>138058.53302121823</v>
      </c>
      <c r="R512" s="229">
        <v>2585575.7561859987</v>
      </c>
      <c r="S512" s="229">
        <v>42585.232557169365</v>
      </c>
      <c r="T512" s="229">
        <v>0</v>
      </c>
      <c r="U512" s="229">
        <v>0</v>
      </c>
      <c r="V512" s="229">
        <v>0</v>
      </c>
      <c r="W512" s="229">
        <v>0</v>
      </c>
      <c r="X512" s="229">
        <v>0</v>
      </c>
      <c r="Y512" s="229">
        <v>0</v>
      </c>
      <c r="Z512" s="229">
        <v>0</v>
      </c>
      <c r="AA512" s="229">
        <v>393.65092891122652</v>
      </c>
      <c r="AB512" s="229">
        <v>163.48443804591139</v>
      </c>
      <c r="AC512" s="229">
        <v>148.98392549836268</v>
      </c>
      <c r="AD512" s="229">
        <v>452.89539371236611</v>
      </c>
      <c r="AE512" s="229">
        <v>188.08884597182106</v>
      </c>
      <c r="AF512" s="229">
        <v>171.40600628586628</v>
      </c>
      <c r="AG512" s="229">
        <v>0</v>
      </c>
      <c r="AH512" s="229">
        <v>0</v>
      </c>
      <c r="AI512" s="229">
        <v>0</v>
      </c>
      <c r="AJ512" s="229">
        <v>44659724.167246766</v>
      </c>
      <c r="AK512" s="229">
        <v>4556002.1341098202</v>
      </c>
      <c r="AL512" s="229">
        <v>8889613.3413476981</v>
      </c>
      <c r="AM512" s="229">
        <v>0</v>
      </c>
      <c r="AN512" s="229">
        <v>3544422.5529560926</v>
      </c>
      <c r="AO512" s="229">
        <v>0</v>
      </c>
      <c r="AP512" s="229">
        <v>0</v>
      </c>
      <c r="AQ512" s="229">
        <v>0</v>
      </c>
      <c r="AR512" s="229">
        <v>0</v>
      </c>
      <c r="AS512" s="229">
        <v>0</v>
      </c>
      <c r="AT512" s="229">
        <v>0</v>
      </c>
      <c r="AU512" s="229">
        <v>0</v>
      </c>
      <c r="AV512" s="229">
        <v>0</v>
      </c>
      <c r="AW512" s="229">
        <v>0</v>
      </c>
      <c r="AX512" s="229">
        <v>0</v>
      </c>
      <c r="AY512" s="229">
        <v>0</v>
      </c>
      <c r="AZ512" s="229">
        <v>0</v>
      </c>
      <c r="BA512" s="229">
        <v>0</v>
      </c>
      <c r="BB512" s="229">
        <v>0</v>
      </c>
      <c r="BC512" s="229">
        <v>0</v>
      </c>
    </row>
    <row r="513" spans="3:55" outlineLevel="2" x14ac:dyDescent="0.2">
      <c r="C513" s="162" t="str">
        <v>Sitios propios - micro</v>
      </c>
      <c r="D513" s="81"/>
      <c r="E513" s="86"/>
      <c r="F513" s="229">
        <v>45449.850420898496</v>
      </c>
      <c r="G513" s="229">
        <v>1432.6239424092912</v>
      </c>
      <c r="H513" s="229">
        <v>12670.917868951952</v>
      </c>
      <c r="I513" s="229">
        <v>118.92749727294357</v>
      </c>
      <c r="J513" s="229">
        <v>676.57206671843733</v>
      </c>
      <c r="K513" s="229">
        <v>12670.917868951954</v>
      </c>
      <c r="L513" s="229">
        <v>208.69393707422083</v>
      </c>
      <c r="M513" s="229">
        <v>177254.41664150418</v>
      </c>
      <c r="N513" s="229">
        <v>5587.2333753962366</v>
      </c>
      <c r="O513" s="229">
        <v>49416.579688912614</v>
      </c>
      <c r="P513" s="229">
        <v>463.81723936448003</v>
      </c>
      <c r="Q513" s="229">
        <v>2638.6310602019057</v>
      </c>
      <c r="R513" s="229">
        <v>49416.579688912621</v>
      </c>
      <c r="S513" s="229">
        <v>813.90635458946133</v>
      </c>
      <c r="T513" s="229">
        <v>0</v>
      </c>
      <c r="U513" s="229">
        <v>0</v>
      </c>
      <c r="V513" s="229">
        <v>0</v>
      </c>
      <c r="W513" s="229">
        <v>0</v>
      </c>
      <c r="X513" s="229">
        <v>0</v>
      </c>
      <c r="Y513" s="229">
        <v>0</v>
      </c>
      <c r="Z513" s="229">
        <v>0</v>
      </c>
      <c r="AA513" s="229">
        <v>7.5236173032698872</v>
      </c>
      <c r="AB513" s="229">
        <v>3.124581339867619</v>
      </c>
      <c r="AC513" s="229">
        <v>2.8474416226802064</v>
      </c>
      <c r="AD513" s="229">
        <v>8.6559217074120056</v>
      </c>
      <c r="AE513" s="229">
        <v>3.5948308315176951</v>
      </c>
      <c r="AF513" s="229">
        <v>3.2759815868935771</v>
      </c>
      <c r="AG513" s="229">
        <v>0</v>
      </c>
      <c r="AH513" s="229">
        <v>0</v>
      </c>
      <c r="AI513" s="229">
        <v>0</v>
      </c>
      <c r="AJ513" s="229">
        <v>853554.88537340949</v>
      </c>
      <c r="AK513" s="229">
        <v>87076.173260226788</v>
      </c>
      <c r="AL513" s="229">
        <v>169901.92031129479</v>
      </c>
      <c r="AM513" s="229">
        <v>0</v>
      </c>
      <c r="AN513" s="229">
        <v>67742.451220111863</v>
      </c>
      <c r="AO513" s="229">
        <v>0</v>
      </c>
      <c r="AP513" s="229">
        <v>0</v>
      </c>
      <c r="AQ513" s="229">
        <v>0</v>
      </c>
      <c r="AR513" s="229">
        <v>0</v>
      </c>
      <c r="AS513" s="229">
        <v>0</v>
      </c>
      <c r="AT513" s="229">
        <v>0</v>
      </c>
      <c r="AU513" s="229">
        <v>0</v>
      </c>
      <c r="AV513" s="229">
        <v>0</v>
      </c>
      <c r="AW513" s="229">
        <v>0</v>
      </c>
      <c r="AX513" s="229">
        <v>0</v>
      </c>
      <c r="AY513" s="229">
        <v>0</v>
      </c>
      <c r="AZ513" s="229">
        <v>0</v>
      </c>
      <c r="BA513" s="229">
        <v>0</v>
      </c>
      <c r="BB513" s="229">
        <v>0</v>
      </c>
      <c r="BC513" s="229">
        <v>0</v>
      </c>
    </row>
    <row r="514" spans="3:55" outlineLevel="2" x14ac:dyDescent="0.2">
      <c r="C514" s="162" t="str">
        <v>Sitios de terceros - macro</v>
      </c>
      <c r="D514" s="81"/>
      <c r="E514" s="86"/>
      <c r="F514" s="229">
        <v>363765.27424643753</v>
      </c>
      <c r="G514" s="229">
        <v>11466.238864955674</v>
      </c>
      <c r="H514" s="229">
        <v>101413.75319981246</v>
      </c>
      <c r="I514" s="229">
        <v>951.85557840785373</v>
      </c>
      <c r="J514" s="229">
        <v>5415.0546397429925</v>
      </c>
      <c r="K514" s="229">
        <v>101413.75319981248</v>
      </c>
      <c r="L514" s="229">
        <v>1670.3158877386672</v>
      </c>
      <c r="M514" s="229">
        <v>1418684.5695611066</v>
      </c>
      <c r="N514" s="229">
        <v>44718.331573327137</v>
      </c>
      <c r="O514" s="229">
        <v>395513.63747926854</v>
      </c>
      <c r="P514" s="229">
        <v>3712.2367557906296</v>
      </c>
      <c r="Q514" s="229">
        <v>21118.713094997671</v>
      </c>
      <c r="R514" s="229">
        <v>395513.6374792686</v>
      </c>
      <c r="S514" s="229">
        <v>6514.2319621808028</v>
      </c>
      <c r="T514" s="229">
        <v>0</v>
      </c>
      <c r="U514" s="229">
        <v>0</v>
      </c>
      <c r="V514" s="229">
        <v>0</v>
      </c>
      <c r="W514" s="229">
        <v>0</v>
      </c>
      <c r="X514" s="229">
        <v>0</v>
      </c>
      <c r="Y514" s="229">
        <v>0</v>
      </c>
      <c r="Z514" s="229">
        <v>0</v>
      </c>
      <c r="AA514" s="229">
        <v>60.216495462673272</v>
      </c>
      <c r="AB514" s="229">
        <v>25.008095240718635</v>
      </c>
      <c r="AC514" s="229">
        <v>22.789962413137236</v>
      </c>
      <c r="AD514" s="229">
        <v>69.279078029805603</v>
      </c>
      <c r="AE514" s="229">
        <v>28.771813574446789</v>
      </c>
      <c r="AF514" s="229">
        <v>26.219851756314391</v>
      </c>
      <c r="AG514" s="229">
        <v>0</v>
      </c>
      <c r="AH514" s="229">
        <v>0</v>
      </c>
      <c r="AI514" s="229">
        <v>0</v>
      </c>
      <c r="AJ514" s="229">
        <v>6831565.4306196673</v>
      </c>
      <c r="AK514" s="229">
        <v>696928.32326180674</v>
      </c>
      <c r="AL514" s="229">
        <v>1359837.6686541517</v>
      </c>
      <c r="AM514" s="229">
        <v>0</v>
      </c>
      <c r="AN514" s="229">
        <v>542187.7325888623</v>
      </c>
      <c r="AO514" s="229">
        <v>0</v>
      </c>
      <c r="AP514" s="229">
        <v>0</v>
      </c>
      <c r="AQ514" s="229">
        <v>0</v>
      </c>
      <c r="AR514" s="229">
        <v>0</v>
      </c>
      <c r="AS514" s="229">
        <v>0</v>
      </c>
      <c r="AT514" s="229">
        <v>0</v>
      </c>
      <c r="AU514" s="229">
        <v>0</v>
      </c>
      <c r="AV514" s="229">
        <v>0</v>
      </c>
      <c r="AW514" s="229">
        <v>0</v>
      </c>
      <c r="AX514" s="229">
        <v>0</v>
      </c>
      <c r="AY514" s="229">
        <v>0</v>
      </c>
      <c r="AZ514" s="229">
        <v>0</v>
      </c>
      <c r="BA514" s="229">
        <v>0</v>
      </c>
      <c r="BB514" s="229">
        <v>0</v>
      </c>
      <c r="BC514" s="229">
        <v>0</v>
      </c>
    </row>
    <row r="515" spans="3:55" outlineLevel="2" x14ac:dyDescent="0.2">
      <c r="C515" s="162" t="str">
        <v>Sitios de terceros - micro</v>
      </c>
      <c r="D515" s="81"/>
      <c r="E515" s="86"/>
      <c r="F515" s="229">
        <v>448.30004613214595</v>
      </c>
      <c r="G515" s="229">
        <v>14.130857935162497</v>
      </c>
      <c r="H515" s="229">
        <v>124.98111682620356</v>
      </c>
      <c r="I515" s="229">
        <v>1.1730556210879446</v>
      </c>
      <c r="J515" s="229">
        <v>6.6734496574301536</v>
      </c>
      <c r="K515" s="229">
        <v>124.98111682620357</v>
      </c>
      <c r="L515" s="229">
        <v>2.0584776572741648</v>
      </c>
      <c r="M515" s="229">
        <v>1748.3701799153694</v>
      </c>
      <c r="N515" s="229">
        <v>55.110345947133737</v>
      </c>
      <c r="O515" s="229">
        <v>487.42635562219385</v>
      </c>
      <c r="P515" s="229">
        <v>4.5749169222429842</v>
      </c>
      <c r="Q515" s="229">
        <v>26.026453663977598</v>
      </c>
      <c r="R515" s="229">
        <v>487.42635562219397</v>
      </c>
      <c r="S515" s="229">
        <v>8.0280628633692448</v>
      </c>
      <c r="T515" s="229">
        <v>0</v>
      </c>
      <c r="U515" s="229">
        <v>0</v>
      </c>
      <c r="V515" s="229">
        <v>0</v>
      </c>
      <c r="W515" s="229">
        <v>0</v>
      </c>
      <c r="X515" s="229">
        <v>0</v>
      </c>
      <c r="Y515" s="229">
        <v>0</v>
      </c>
      <c r="Z515" s="229">
        <v>0</v>
      </c>
      <c r="AA515" s="229">
        <v>7.421010086725438E-2</v>
      </c>
      <c r="AB515" s="229">
        <v>3.0819682481555775E-2</v>
      </c>
      <c r="AC515" s="229">
        <v>2.8086081669900766E-2</v>
      </c>
      <c r="AD515" s="229">
        <v>8.537872104777619E-2</v>
      </c>
      <c r="AE515" s="229">
        <v>3.5458044695029924E-2</v>
      </c>
      <c r="AF515" s="229">
        <v>3.2313036961220835E-2</v>
      </c>
      <c r="AG515" s="229">
        <v>0</v>
      </c>
      <c r="AH515" s="229">
        <v>0</v>
      </c>
      <c r="AI515" s="229">
        <v>0</v>
      </c>
      <c r="AJ515" s="229">
        <v>8419.1408980582837</v>
      </c>
      <c r="AK515" s="229">
        <v>858.88626976912929</v>
      </c>
      <c r="AL515" s="229">
        <v>1675.8479512722649</v>
      </c>
      <c r="AM515" s="229">
        <v>0</v>
      </c>
      <c r="AN515" s="229">
        <v>668.18578556018122</v>
      </c>
      <c r="AO515" s="229">
        <v>0</v>
      </c>
      <c r="AP515" s="229">
        <v>0</v>
      </c>
      <c r="AQ515" s="229">
        <v>0</v>
      </c>
      <c r="AR515" s="229">
        <v>0</v>
      </c>
      <c r="AS515" s="229">
        <v>0</v>
      </c>
      <c r="AT515" s="229">
        <v>0</v>
      </c>
      <c r="AU515" s="229">
        <v>0</v>
      </c>
      <c r="AV515" s="229">
        <v>0</v>
      </c>
      <c r="AW515" s="229">
        <v>0</v>
      </c>
      <c r="AX515" s="229">
        <v>0</v>
      </c>
      <c r="AY515" s="229">
        <v>0</v>
      </c>
      <c r="AZ515" s="229">
        <v>0</v>
      </c>
      <c r="BA515" s="229">
        <v>0</v>
      </c>
      <c r="BB515" s="229">
        <v>0</v>
      </c>
      <c r="BC515" s="229">
        <v>0</v>
      </c>
    </row>
    <row r="516" spans="3:55" outlineLevel="2" x14ac:dyDescent="0.2">
      <c r="C516" s="162" t="str">
        <v>LMA: líneas alquiladas TDM: 2.048</v>
      </c>
      <c r="D516" s="81"/>
      <c r="E516" s="86"/>
      <c r="F516" s="229">
        <v>8.84173019659106</v>
      </c>
      <c r="G516" s="229">
        <v>0.27870002331482152</v>
      </c>
      <c r="H516" s="229">
        <v>2.4649770263913431</v>
      </c>
      <c r="I516" s="229">
        <v>2.3135936292535738E-2</v>
      </c>
      <c r="J516" s="229">
        <v>0.13161908382703472</v>
      </c>
      <c r="K516" s="229">
        <v>2.4649770263913435</v>
      </c>
      <c r="L516" s="229">
        <v>4.0598934170004576E-2</v>
      </c>
      <c r="M516" s="229">
        <v>31.830228707727819</v>
      </c>
      <c r="N516" s="229">
        <v>1.0033200839333576</v>
      </c>
      <c r="O516" s="229">
        <v>8.8739172950088374</v>
      </c>
      <c r="P516" s="229">
        <v>8.3289370653128664E-2</v>
      </c>
      <c r="Q516" s="229">
        <v>0.47382870177732506</v>
      </c>
      <c r="R516" s="229">
        <v>8.8739172950088374</v>
      </c>
      <c r="S516" s="229">
        <v>0.14615616301201648</v>
      </c>
      <c r="T516" s="229">
        <v>0</v>
      </c>
      <c r="U516" s="229">
        <v>0</v>
      </c>
      <c r="V516" s="229">
        <v>0</v>
      </c>
      <c r="W516" s="229">
        <v>0</v>
      </c>
      <c r="X516" s="229">
        <v>0</v>
      </c>
      <c r="Y516" s="229">
        <v>0</v>
      </c>
      <c r="Z516" s="229">
        <v>0</v>
      </c>
      <c r="AA516" s="229">
        <v>1.4636306540478444E-3</v>
      </c>
      <c r="AB516" s="229">
        <v>6.0785029936444681E-4</v>
      </c>
      <c r="AC516" s="229">
        <v>5.5393604918676251E-4</v>
      </c>
      <c r="AD516" s="229">
        <v>1.683907067482045E-3</v>
      </c>
      <c r="AE516" s="229">
        <v>6.9933176941879601E-4</v>
      </c>
      <c r="AF516" s="229">
        <v>6.3730342458937026E-4</v>
      </c>
      <c r="AG516" s="229">
        <v>0</v>
      </c>
      <c r="AH516" s="229">
        <v>0</v>
      </c>
      <c r="AI516" s="229">
        <v>0</v>
      </c>
      <c r="AJ516" s="229">
        <v>91.705998944203472</v>
      </c>
      <c r="AK516" s="229">
        <v>4.9128213720109004</v>
      </c>
      <c r="AL516" s="229">
        <v>256.77679704376976</v>
      </c>
      <c r="AM516" s="229">
        <v>0</v>
      </c>
      <c r="AN516" s="229">
        <v>157.21028390434881</v>
      </c>
      <c r="AO516" s="229">
        <v>0</v>
      </c>
      <c r="AP516" s="229">
        <v>0</v>
      </c>
      <c r="AQ516" s="229">
        <v>0</v>
      </c>
      <c r="AR516" s="229">
        <v>0</v>
      </c>
      <c r="AS516" s="229">
        <v>0</v>
      </c>
      <c r="AT516" s="229">
        <v>0</v>
      </c>
      <c r="AU516" s="229">
        <v>0</v>
      </c>
      <c r="AV516" s="229">
        <v>0</v>
      </c>
      <c r="AW516" s="229">
        <v>0</v>
      </c>
      <c r="AX516" s="229">
        <v>0</v>
      </c>
      <c r="AY516" s="229">
        <v>0</v>
      </c>
      <c r="AZ516" s="229">
        <v>0</v>
      </c>
      <c r="BA516" s="229">
        <v>0</v>
      </c>
      <c r="BB516" s="229">
        <v>0</v>
      </c>
      <c r="BC516" s="229">
        <v>0</v>
      </c>
    </row>
    <row r="517" spans="3:55" outlineLevel="2" x14ac:dyDescent="0.2">
      <c r="C517" s="162" t="str">
        <v>LMA: líneas alquiladas TDM: 8.45</v>
      </c>
      <c r="D517" s="81"/>
      <c r="E517" s="86"/>
      <c r="F517" s="229">
        <v>210.3332648737873</v>
      </c>
      <c r="G517" s="229">
        <v>6.6299111735854606</v>
      </c>
      <c r="H517" s="229">
        <v>58.638598359364821</v>
      </c>
      <c r="I517" s="229">
        <v>0.55037384178462934</v>
      </c>
      <c r="J517" s="229">
        <v>3.1310468658849659</v>
      </c>
      <c r="K517" s="229">
        <v>58.638598359364828</v>
      </c>
      <c r="L517" s="229">
        <v>0.96579585494085374</v>
      </c>
      <c r="M517" s="229">
        <v>757.19975354563428</v>
      </c>
      <c r="N517" s="229">
        <v>23.867680224907662</v>
      </c>
      <c r="O517" s="229">
        <v>211.09895409371336</v>
      </c>
      <c r="P517" s="229">
        <v>1.9813458304246656</v>
      </c>
      <c r="Q517" s="229">
        <v>11.27176871718588</v>
      </c>
      <c r="R517" s="229">
        <v>211.09895409371342</v>
      </c>
      <c r="S517" s="229">
        <v>3.4768650777870738</v>
      </c>
      <c r="T517" s="229">
        <v>0</v>
      </c>
      <c r="U517" s="229">
        <v>0</v>
      </c>
      <c r="V517" s="229">
        <v>0</v>
      </c>
      <c r="W517" s="229">
        <v>0</v>
      </c>
      <c r="X517" s="229">
        <v>0</v>
      </c>
      <c r="Y517" s="229">
        <v>0</v>
      </c>
      <c r="Z517" s="229">
        <v>0</v>
      </c>
      <c r="AA517" s="229">
        <v>3.4817870166851707E-2</v>
      </c>
      <c r="AB517" s="229">
        <v>1.4459968261542999E-2</v>
      </c>
      <c r="AC517" s="229">
        <v>1.3177418352084481E-2</v>
      </c>
      <c r="AD517" s="229">
        <v>4.0057959626962888E-2</v>
      </c>
      <c r="AE517" s="229">
        <v>1.6636193484905221E-2</v>
      </c>
      <c r="AF517" s="229">
        <v>1.5160619814073196E-2</v>
      </c>
      <c r="AG517" s="229">
        <v>0</v>
      </c>
      <c r="AH517" s="229">
        <v>0</v>
      </c>
      <c r="AI517" s="229">
        <v>0</v>
      </c>
      <c r="AJ517" s="229">
        <v>2181.5664737070615</v>
      </c>
      <c r="AK517" s="229">
        <v>116.86963252002116</v>
      </c>
      <c r="AL517" s="229">
        <v>6108.3861263797735</v>
      </c>
      <c r="AM517" s="229">
        <v>0</v>
      </c>
      <c r="AN517" s="229">
        <v>3739.8282406406774</v>
      </c>
      <c r="AO517" s="229">
        <v>0</v>
      </c>
      <c r="AP517" s="229">
        <v>0</v>
      </c>
      <c r="AQ517" s="229">
        <v>0</v>
      </c>
      <c r="AR517" s="229">
        <v>0</v>
      </c>
      <c r="AS517" s="229">
        <v>0</v>
      </c>
      <c r="AT517" s="229">
        <v>0</v>
      </c>
      <c r="AU517" s="229">
        <v>0</v>
      </c>
      <c r="AV517" s="229">
        <v>0</v>
      </c>
      <c r="AW517" s="229">
        <v>0</v>
      </c>
      <c r="AX517" s="229">
        <v>0</v>
      </c>
      <c r="AY517" s="229">
        <v>0</v>
      </c>
      <c r="AZ517" s="229">
        <v>0</v>
      </c>
      <c r="BA517" s="229">
        <v>0</v>
      </c>
      <c r="BB517" s="229">
        <v>0</v>
      </c>
      <c r="BC517" s="229">
        <v>0</v>
      </c>
    </row>
    <row r="518" spans="3:55" outlineLevel="2" x14ac:dyDescent="0.2">
      <c r="C518" s="162" t="str">
        <v>LMA: líneas alquiladas TDM: 34.37</v>
      </c>
      <c r="D518" s="81"/>
      <c r="E518" s="86"/>
      <c r="F518" s="229">
        <v>0</v>
      </c>
      <c r="G518" s="229">
        <v>0</v>
      </c>
      <c r="H518" s="229">
        <v>0</v>
      </c>
      <c r="I518" s="229">
        <v>0</v>
      </c>
      <c r="J518" s="229">
        <v>0</v>
      </c>
      <c r="K518" s="229">
        <v>0</v>
      </c>
      <c r="L518" s="229">
        <v>0</v>
      </c>
      <c r="M518" s="229">
        <v>0</v>
      </c>
      <c r="N518" s="229">
        <v>0</v>
      </c>
      <c r="O518" s="229">
        <v>0</v>
      </c>
      <c r="P518" s="229">
        <v>0</v>
      </c>
      <c r="Q518" s="229">
        <v>0</v>
      </c>
      <c r="R518" s="229">
        <v>0</v>
      </c>
      <c r="S518" s="229">
        <v>0</v>
      </c>
      <c r="T518" s="229">
        <v>0</v>
      </c>
      <c r="U518" s="229">
        <v>0</v>
      </c>
      <c r="V518" s="229">
        <v>0</v>
      </c>
      <c r="W518" s="229">
        <v>0</v>
      </c>
      <c r="X518" s="229">
        <v>0</v>
      </c>
      <c r="Y518" s="229">
        <v>0</v>
      </c>
      <c r="Z518" s="229">
        <v>0</v>
      </c>
      <c r="AA518" s="229">
        <v>0</v>
      </c>
      <c r="AB518" s="229">
        <v>0</v>
      </c>
      <c r="AC518" s="229">
        <v>0</v>
      </c>
      <c r="AD518" s="229">
        <v>0</v>
      </c>
      <c r="AE518" s="229">
        <v>0</v>
      </c>
      <c r="AF518" s="229">
        <v>0</v>
      </c>
      <c r="AG518" s="229">
        <v>0</v>
      </c>
      <c r="AH518" s="229">
        <v>0</v>
      </c>
      <c r="AI518" s="229">
        <v>0</v>
      </c>
      <c r="AJ518" s="229">
        <v>0</v>
      </c>
      <c r="AK518" s="229">
        <v>0</v>
      </c>
      <c r="AL518" s="229">
        <v>0</v>
      </c>
      <c r="AM518" s="229">
        <v>0</v>
      </c>
      <c r="AN518" s="229">
        <v>0</v>
      </c>
      <c r="AO518" s="229">
        <v>0</v>
      </c>
      <c r="AP518" s="229">
        <v>0</v>
      </c>
      <c r="AQ518" s="229">
        <v>0</v>
      </c>
      <c r="AR518" s="229">
        <v>0</v>
      </c>
      <c r="AS518" s="229">
        <v>0</v>
      </c>
      <c r="AT518" s="229">
        <v>0</v>
      </c>
      <c r="AU518" s="229">
        <v>0</v>
      </c>
      <c r="AV518" s="229">
        <v>0</v>
      </c>
      <c r="AW518" s="229">
        <v>0</v>
      </c>
      <c r="AX518" s="229">
        <v>0</v>
      </c>
      <c r="AY518" s="229">
        <v>0</v>
      </c>
      <c r="AZ518" s="229">
        <v>0</v>
      </c>
      <c r="BA518" s="229">
        <v>0</v>
      </c>
      <c r="BB518" s="229">
        <v>0</v>
      </c>
      <c r="BC518" s="229">
        <v>0</v>
      </c>
    </row>
    <row r="519" spans="3:55" outlineLevel="2" x14ac:dyDescent="0.2">
      <c r="C519" s="162" t="str">
        <v>LMA: líneas alquiladas Ethernet: 10</v>
      </c>
      <c r="D519" s="81"/>
      <c r="E519" s="86"/>
      <c r="F519" s="229">
        <v>5.9778803932799089</v>
      </c>
      <c r="G519" s="229">
        <v>0.18842866361412688</v>
      </c>
      <c r="H519" s="229">
        <v>1.6665672338239239</v>
      </c>
      <c r="I519" s="229">
        <v>1.5642171483206496E-2</v>
      </c>
      <c r="J519" s="229">
        <v>8.8987463211040799E-2</v>
      </c>
      <c r="K519" s="229">
        <v>1.6665672338239241</v>
      </c>
      <c r="L519" s="229">
        <v>2.7448877896828795E-2</v>
      </c>
      <c r="M519" s="229">
        <v>21.520369415807671</v>
      </c>
      <c r="N519" s="229">
        <v>0.67834318901085688</v>
      </c>
      <c r="O519" s="229">
        <v>5.9996420417661263</v>
      </c>
      <c r="P519" s="229">
        <v>5.6311817339543387E-2</v>
      </c>
      <c r="Q519" s="229">
        <v>0.3203548675597469</v>
      </c>
      <c r="R519" s="229">
        <v>5.9996420417661271</v>
      </c>
      <c r="S519" s="229">
        <v>9.8815960428583677E-2</v>
      </c>
      <c r="T519" s="229">
        <v>0</v>
      </c>
      <c r="U519" s="229">
        <v>0</v>
      </c>
      <c r="V519" s="229">
        <v>0</v>
      </c>
      <c r="W519" s="229">
        <v>0</v>
      </c>
      <c r="X519" s="229">
        <v>0</v>
      </c>
      <c r="Y519" s="229">
        <v>0</v>
      </c>
      <c r="Z519" s="229">
        <v>0</v>
      </c>
      <c r="AA519" s="229">
        <v>9.8955846822937452E-4</v>
      </c>
      <c r="AB519" s="229">
        <v>4.1096666668487687E-4</v>
      </c>
      <c r="AC519" s="229">
        <v>3.7451532380406523E-4</v>
      </c>
      <c r="AD519" s="229">
        <v>1.1384870176978955E-3</v>
      </c>
      <c r="AE519" s="229">
        <v>4.7281715002095079E-4</v>
      </c>
      <c r="AF519" s="229">
        <v>4.3087988003657704E-4</v>
      </c>
      <c r="AG519" s="229">
        <v>0</v>
      </c>
      <c r="AH519" s="229">
        <v>0</v>
      </c>
      <c r="AI519" s="229">
        <v>0</v>
      </c>
      <c r="AJ519" s="229">
        <v>62.002286978408812</v>
      </c>
      <c r="AK519" s="229">
        <v>3.321551088129044</v>
      </c>
      <c r="AL519" s="229">
        <v>173.60640353954469</v>
      </c>
      <c r="AM519" s="229">
        <v>0</v>
      </c>
      <c r="AN519" s="229">
        <v>106.28963482012941</v>
      </c>
      <c r="AO519" s="229">
        <v>0</v>
      </c>
      <c r="AP519" s="229">
        <v>0</v>
      </c>
      <c r="AQ519" s="229">
        <v>0</v>
      </c>
      <c r="AR519" s="229">
        <v>0</v>
      </c>
      <c r="AS519" s="229">
        <v>0</v>
      </c>
      <c r="AT519" s="229">
        <v>0</v>
      </c>
      <c r="AU519" s="229">
        <v>0</v>
      </c>
      <c r="AV519" s="229">
        <v>0</v>
      </c>
      <c r="AW519" s="229">
        <v>0</v>
      </c>
      <c r="AX519" s="229">
        <v>0</v>
      </c>
      <c r="AY519" s="229">
        <v>0</v>
      </c>
      <c r="AZ519" s="229">
        <v>0</v>
      </c>
      <c r="BA519" s="229">
        <v>0</v>
      </c>
      <c r="BB519" s="229">
        <v>0</v>
      </c>
      <c r="BC519" s="229">
        <v>0</v>
      </c>
    </row>
    <row r="520" spans="3:55" outlineLevel="2" x14ac:dyDescent="0.2">
      <c r="C520" s="162" t="str">
        <v>LMA: líneas alquiladas Ethernet: 30</v>
      </c>
      <c r="D520" s="81"/>
      <c r="E520" s="86"/>
      <c r="F520" s="229">
        <v>315.97589360740091</v>
      </c>
      <c r="G520" s="229">
        <v>9.9598706313450727</v>
      </c>
      <c r="H520" s="229">
        <v>88.090600065586031</v>
      </c>
      <c r="I520" s="229">
        <v>0.82680629039058562</v>
      </c>
      <c r="J520" s="229">
        <v>4.7036560382796102</v>
      </c>
      <c r="K520" s="229">
        <v>88.090600065586045</v>
      </c>
      <c r="L520" s="229">
        <v>1.4508794340751543</v>
      </c>
      <c r="M520" s="229">
        <v>1137.5132169866433</v>
      </c>
      <c r="N520" s="229">
        <v>35.855534272842263</v>
      </c>
      <c r="O520" s="229">
        <v>317.1261602361098</v>
      </c>
      <c r="P520" s="229">
        <v>2.9765026454061085</v>
      </c>
      <c r="Q520" s="229">
        <v>16.933161737806596</v>
      </c>
      <c r="R520" s="229">
        <v>317.12616023610985</v>
      </c>
      <c r="S520" s="229">
        <v>5.2231659626705556</v>
      </c>
      <c r="T520" s="229">
        <v>0</v>
      </c>
      <c r="U520" s="229">
        <v>0</v>
      </c>
      <c r="V520" s="229">
        <v>0</v>
      </c>
      <c r="W520" s="229">
        <v>0</v>
      </c>
      <c r="X520" s="229">
        <v>0</v>
      </c>
      <c r="Y520" s="229">
        <v>0</v>
      </c>
      <c r="Z520" s="229">
        <v>0</v>
      </c>
      <c r="AA520" s="229">
        <v>5.2305600096490039E-2</v>
      </c>
      <c r="AB520" s="229">
        <v>2.172267613359866E-2</v>
      </c>
      <c r="AC520" s="229">
        <v>1.9795948785071911E-2</v>
      </c>
      <c r="AD520" s="229">
        <v>6.0177592911011796E-2</v>
      </c>
      <c r="AE520" s="229">
        <v>2.4991938891705257E-2</v>
      </c>
      <c r="AF520" s="229">
        <v>2.2775239077225236E-2</v>
      </c>
      <c r="AG520" s="229">
        <v>0</v>
      </c>
      <c r="AH520" s="229">
        <v>0</v>
      </c>
      <c r="AI520" s="229">
        <v>0</v>
      </c>
      <c r="AJ520" s="229">
        <v>3277.2867211811244</v>
      </c>
      <c r="AK520" s="229">
        <v>175.56893149184597</v>
      </c>
      <c r="AL520" s="229">
        <v>9176.4028193071499</v>
      </c>
      <c r="AM520" s="229">
        <v>0</v>
      </c>
      <c r="AN520" s="229">
        <v>5618.2058077390711</v>
      </c>
      <c r="AO520" s="229">
        <v>0</v>
      </c>
      <c r="AP520" s="229">
        <v>0</v>
      </c>
      <c r="AQ520" s="229">
        <v>0</v>
      </c>
      <c r="AR520" s="229">
        <v>0</v>
      </c>
      <c r="AS520" s="229">
        <v>0</v>
      </c>
      <c r="AT520" s="229">
        <v>0</v>
      </c>
      <c r="AU520" s="229">
        <v>0</v>
      </c>
      <c r="AV520" s="229">
        <v>0</v>
      </c>
      <c r="AW520" s="229">
        <v>0</v>
      </c>
      <c r="AX520" s="229">
        <v>0</v>
      </c>
      <c r="AY520" s="229">
        <v>0</v>
      </c>
      <c r="AZ520" s="229">
        <v>0</v>
      </c>
      <c r="BA520" s="229">
        <v>0</v>
      </c>
      <c r="BB520" s="229">
        <v>0</v>
      </c>
      <c r="BC520" s="229">
        <v>0</v>
      </c>
    </row>
    <row r="521" spans="3:55" outlineLevel="2" x14ac:dyDescent="0.2">
      <c r="C521" s="162" t="str">
        <v>LMA: líneas alquiladas Ethernet: 100</v>
      </c>
      <c r="D521" s="81"/>
      <c r="E521" s="86"/>
      <c r="F521" s="229">
        <v>13890.512777562746</v>
      </c>
      <c r="G521" s="229">
        <v>437.84261099192361</v>
      </c>
      <c r="H521" s="229">
        <v>3872.5220200327726</v>
      </c>
      <c r="I521" s="229">
        <v>36.346960554875331</v>
      </c>
      <c r="J521" s="229">
        <v>206.7758826632614</v>
      </c>
      <c r="K521" s="229">
        <v>3872.5220200327731</v>
      </c>
      <c r="L521" s="229">
        <v>63.781635642004225</v>
      </c>
      <c r="M521" s="229">
        <v>50005.845999225887</v>
      </c>
      <c r="N521" s="229">
        <v>1576.233399570925</v>
      </c>
      <c r="O521" s="229">
        <v>13941.079272117981</v>
      </c>
      <c r="P521" s="229">
        <v>130.84905799755117</v>
      </c>
      <c r="Q521" s="229">
        <v>744.39317758774098</v>
      </c>
      <c r="R521" s="229">
        <v>13941.079272117984</v>
      </c>
      <c r="S521" s="229">
        <v>229.61388831121522</v>
      </c>
      <c r="T521" s="229">
        <v>0</v>
      </c>
      <c r="U521" s="229">
        <v>0</v>
      </c>
      <c r="V521" s="229">
        <v>0</v>
      </c>
      <c r="W521" s="229">
        <v>0</v>
      </c>
      <c r="X521" s="229">
        <v>0</v>
      </c>
      <c r="Y521" s="229">
        <v>0</v>
      </c>
      <c r="Z521" s="229">
        <v>0</v>
      </c>
      <c r="AA521" s="229">
        <v>2.2993893558890295</v>
      </c>
      <c r="AB521" s="229">
        <v>0.95494345138721071</v>
      </c>
      <c r="AC521" s="229">
        <v>0.87024322141699784</v>
      </c>
      <c r="AD521" s="229">
        <v>2.6454474539503288</v>
      </c>
      <c r="AE521" s="229">
        <v>1.098662440820986</v>
      </c>
      <c r="AF521" s="229">
        <v>1.001214826240256</v>
      </c>
      <c r="AG521" s="229">
        <v>0</v>
      </c>
      <c r="AH521" s="229">
        <v>0</v>
      </c>
      <c r="AI521" s="229">
        <v>0</v>
      </c>
      <c r="AJ521" s="229">
        <v>144071.72824666669</v>
      </c>
      <c r="AK521" s="229">
        <v>7718.1282989285728</v>
      </c>
      <c r="AL521" s="229">
        <v>403400.83909066673</v>
      </c>
      <c r="AM521" s="229">
        <v>0</v>
      </c>
      <c r="AN521" s="229">
        <v>246980.10556571433</v>
      </c>
      <c r="AO521" s="229">
        <v>0</v>
      </c>
      <c r="AP521" s="229">
        <v>0</v>
      </c>
      <c r="AQ521" s="229">
        <v>0</v>
      </c>
      <c r="AR521" s="229">
        <v>0</v>
      </c>
      <c r="AS521" s="229">
        <v>0</v>
      </c>
      <c r="AT521" s="229">
        <v>0</v>
      </c>
      <c r="AU521" s="229">
        <v>0</v>
      </c>
      <c r="AV521" s="229">
        <v>0</v>
      </c>
      <c r="AW521" s="229">
        <v>0</v>
      </c>
      <c r="AX521" s="229">
        <v>0</v>
      </c>
      <c r="AY521" s="229">
        <v>0</v>
      </c>
      <c r="AZ521" s="229">
        <v>0</v>
      </c>
      <c r="BA521" s="229">
        <v>0</v>
      </c>
      <c r="BB521" s="229">
        <v>0</v>
      </c>
      <c r="BC521" s="229">
        <v>0</v>
      </c>
    </row>
    <row r="522" spans="3:55" outlineLevel="2" x14ac:dyDescent="0.2">
      <c r="C522" s="162" t="str">
        <v>LMA: enlace microondas TDM: 2.048</v>
      </c>
      <c r="D522" s="81"/>
      <c r="E522" s="86"/>
      <c r="F522" s="229">
        <v>555.72116989657752</v>
      </c>
      <c r="G522" s="229">
        <v>17.516877303769121</v>
      </c>
      <c r="H522" s="229">
        <v>154.92894336478705</v>
      </c>
      <c r="I522" s="229">
        <v>1.4541418135669562</v>
      </c>
      <c r="J522" s="229">
        <v>8.2725337257266691</v>
      </c>
      <c r="K522" s="229">
        <v>154.92894336478707</v>
      </c>
      <c r="L522" s="229">
        <v>2.5517276247818286</v>
      </c>
      <c r="M522" s="229">
        <v>2000.5962116276792</v>
      </c>
      <c r="N522" s="229">
        <v>63.060758293568846</v>
      </c>
      <c r="O522" s="229">
        <v>557.74419611323344</v>
      </c>
      <c r="P522" s="229">
        <v>5.2349105288410431</v>
      </c>
      <c r="Q522" s="229">
        <v>29.78112141261601</v>
      </c>
      <c r="R522" s="229">
        <v>557.74419611323356</v>
      </c>
      <c r="S522" s="229">
        <v>9.186219449214585</v>
      </c>
      <c r="T522" s="229">
        <v>0</v>
      </c>
      <c r="U522" s="229">
        <v>0</v>
      </c>
      <c r="V522" s="229">
        <v>0</v>
      </c>
      <c r="W522" s="229">
        <v>0</v>
      </c>
      <c r="X522" s="229">
        <v>0</v>
      </c>
      <c r="Y522" s="229">
        <v>0</v>
      </c>
      <c r="Z522" s="229">
        <v>0</v>
      </c>
      <c r="AA522" s="229">
        <v>9.1992236958051143E-2</v>
      </c>
      <c r="AB522" s="229">
        <v>3.8204658135240613E-2</v>
      </c>
      <c r="AC522" s="229">
        <v>3.4816035148939682E-2</v>
      </c>
      <c r="AD522" s="229">
        <v>0.10583706862023783</v>
      </c>
      <c r="AE522" s="229">
        <v>4.3954459184594313E-2</v>
      </c>
      <c r="AF522" s="229">
        <v>4.0055848438855096E-2</v>
      </c>
      <c r="AG522" s="229">
        <v>0</v>
      </c>
      <c r="AH522" s="229">
        <v>0</v>
      </c>
      <c r="AI522" s="229">
        <v>0</v>
      </c>
      <c r="AJ522" s="229">
        <v>5763.9131580214789</v>
      </c>
      <c r="AK522" s="229">
        <v>308.78106203686497</v>
      </c>
      <c r="AL522" s="229">
        <v>16138.956842460142</v>
      </c>
      <c r="AM522" s="229">
        <v>0</v>
      </c>
      <c r="AN522" s="229">
        <v>9880.9939851796789</v>
      </c>
      <c r="AO522" s="229">
        <v>0</v>
      </c>
      <c r="AP522" s="229">
        <v>0</v>
      </c>
      <c r="AQ522" s="229">
        <v>0</v>
      </c>
      <c r="AR522" s="229">
        <v>0</v>
      </c>
      <c r="AS522" s="229">
        <v>0</v>
      </c>
      <c r="AT522" s="229">
        <v>0</v>
      </c>
      <c r="AU522" s="229">
        <v>0</v>
      </c>
      <c r="AV522" s="229">
        <v>0</v>
      </c>
      <c r="AW522" s="229">
        <v>0</v>
      </c>
      <c r="AX522" s="229">
        <v>0</v>
      </c>
      <c r="AY522" s="229">
        <v>0</v>
      </c>
      <c r="AZ522" s="229">
        <v>0</v>
      </c>
      <c r="BA522" s="229">
        <v>0</v>
      </c>
      <c r="BB522" s="229">
        <v>0</v>
      </c>
      <c r="BC522" s="229">
        <v>0</v>
      </c>
    </row>
    <row r="523" spans="3:55" outlineLevel="2" x14ac:dyDescent="0.2">
      <c r="C523" s="162" t="str">
        <v>LMA: enlace microondas TDM: 8.45</v>
      </c>
      <c r="D523" s="81"/>
      <c r="E523" s="86"/>
      <c r="F523" s="229">
        <v>5740.3765663546556</v>
      </c>
      <c r="G523" s="229">
        <v>180.94230962800913</v>
      </c>
      <c r="H523" s="229">
        <v>1600.3537819277676</v>
      </c>
      <c r="I523" s="229">
        <v>15.020701105033835</v>
      </c>
      <c r="J523" s="229">
        <v>85.451952014672386</v>
      </c>
      <c r="K523" s="229">
        <v>1600.3537819277678</v>
      </c>
      <c r="L523" s="229">
        <v>26.358321860841617</v>
      </c>
      <c r="M523" s="229">
        <v>20665.355638876761</v>
      </c>
      <c r="N523" s="229">
        <v>651.39231466083299</v>
      </c>
      <c r="O523" s="229">
        <v>5761.2736149399634</v>
      </c>
      <c r="P523" s="229">
        <v>54.07452397812181</v>
      </c>
      <c r="Q523" s="229">
        <v>307.62702725282065</v>
      </c>
      <c r="R523" s="229">
        <v>5761.2736149399643</v>
      </c>
      <c r="S523" s="229">
        <v>94.889958699029833</v>
      </c>
      <c r="T523" s="229">
        <v>0</v>
      </c>
      <c r="U523" s="229">
        <v>0</v>
      </c>
      <c r="V523" s="229">
        <v>0</v>
      </c>
      <c r="W523" s="229">
        <v>0</v>
      </c>
      <c r="X523" s="229">
        <v>0</v>
      </c>
      <c r="Y523" s="229">
        <v>0</v>
      </c>
      <c r="Z523" s="229">
        <v>0</v>
      </c>
      <c r="AA523" s="229">
        <v>0.95024287345183911</v>
      </c>
      <c r="AB523" s="229">
        <v>0.39463877959866184</v>
      </c>
      <c r="AC523" s="229">
        <v>0.35963566466173641</v>
      </c>
      <c r="AD523" s="229">
        <v>1.093254425906341</v>
      </c>
      <c r="AE523" s="229">
        <v>0.45403191592826042</v>
      </c>
      <c r="AF523" s="229">
        <v>0.41376083219332771</v>
      </c>
      <c r="AG523" s="229">
        <v>0</v>
      </c>
      <c r="AH523" s="229">
        <v>0</v>
      </c>
      <c r="AI523" s="229">
        <v>0</v>
      </c>
      <c r="AJ523" s="229">
        <v>59538.908746210662</v>
      </c>
      <c r="AK523" s="229">
        <v>3189.5843971184281</v>
      </c>
      <c r="AL523" s="229">
        <v>166708.94448938986</v>
      </c>
      <c r="AM523" s="229">
        <v>0</v>
      </c>
      <c r="AN523" s="229">
        <v>102066.70070778971</v>
      </c>
      <c r="AO523" s="229">
        <v>0</v>
      </c>
      <c r="AP523" s="229">
        <v>0</v>
      </c>
      <c r="AQ523" s="229">
        <v>0</v>
      </c>
      <c r="AR523" s="229">
        <v>0</v>
      </c>
      <c r="AS523" s="229">
        <v>0</v>
      </c>
      <c r="AT523" s="229">
        <v>0</v>
      </c>
      <c r="AU523" s="229">
        <v>0</v>
      </c>
      <c r="AV523" s="229">
        <v>0</v>
      </c>
      <c r="AW523" s="229">
        <v>0</v>
      </c>
      <c r="AX523" s="229">
        <v>0</v>
      </c>
      <c r="AY523" s="229">
        <v>0</v>
      </c>
      <c r="AZ523" s="229">
        <v>0</v>
      </c>
      <c r="BA523" s="229">
        <v>0</v>
      </c>
      <c r="BB523" s="229">
        <v>0</v>
      </c>
      <c r="BC523" s="229">
        <v>0</v>
      </c>
    </row>
    <row r="524" spans="3:55" outlineLevel="2" x14ac:dyDescent="0.2">
      <c r="C524" s="162" t="str">
        <v>LMA: enlace microondas TDM: 34.37</v>
      </c>
      <c r="D524" s="81"/>
      <c r="E524" s="86"/>
      <c r="F524" s="229">
        <v>0</v>
      </c>
      <c r="G524" s="229">
        <v>0</v>
      </c>
      <c r="H524" s="229">
        <v>0</v>
      </c>
      <c r="I524" s="229">
        <v>0</v>
      </c>
      <c r="J524" s="229">
        <v>0</v>
      </c>
      <c r="K524" s="229">
        <v>0</v>
      </c>
      <c r="L524" s="229">
        <v>0</v>
      </c>
      <c r="M524" s="229">
        <v>0</v>
      </c>
      <c r="N524" s="229">
        <v>0</v>
      </c>
      <c r="O524" s="229">
        <v>0</v>
      </c>
      <c r="P524" s="229">
        <v>0</v>
      </c>
      <c r="Q524" s="229">
        <v>0</v>
      </c>
      <c r="R524" s="229">
        <v>0</v>
      </c>
      <c r="S524" s="229">
        <v>0</v>
      </c>
      <c r="T524" s="229">
        <v>0</v>
      </c>
      <c r="U524" s="229">
        <v>0</v>
      </c>
      <c r="V524" s="229">
        <v>0</v>
      </c>
      <c r="W524" s="229">
        <v>0</v>
      </c>
      <c r="X524" s="229">
        <v>0</v>
      </c>
      <c r="Y524" s="229">
        <v>0</v>
      </c>
      <c r="Z524" s="229">
        <v>0</v>
      </c>
      <c r="AA524" s="229">
        <v>0</v>
      </c>
      <c r="AB524" s="229">
        <v>0</v>
      </c>
      <c r="AC524" s="229">
        <v>0</v>
      </c>
      <c r="AD524" s="229">
        <v>0</v>
      </c>
      <c r="AE524" s="229">
        <v>0</v>
      </c>
      <c r="AF524" s="229">
        <v>0</v>
      </c>
      <c r="AG524" s="229">
        <v>0</v>
      </c>
      <c r="AH524" s="229">
        <v>0</v>
      </c>
      <c r="AI524" s="229">
        <v>0</v>
      </c>
      <c r="AJ524" s="229">
        <v>0</v>
      </c>
      <c r="AK524" s="229">
        <v>0</v>
      </c>
      <c r="AL524" s="229">
        <v>0</v>
      </c>
      <c r="AM524" s="229">
        <v>0</v>
      </c>
      <c r="AN524" s="229">
        <v>0</v>
      </c>
      <c r="AO524" s="229">
        <v>0</v>
      </c>
      <c r="AP524" s="229">
        <v>0</v>
      </c>
      <c r="AQ524" s="229">
        <v>0</v>
      </c>
      <c r="AR524" s="229">
        <v>0</v>
      </c>
      <c r="AS524" s="229">
        <v>0</v>
      </c>
      <c r="AT524" s="229">
        <v>0</v>
      </c>
      <c r="AU524" s="229">
        <v>0</v>
      </c>
      <c r="AV524" s="229">
        <v>0</v>
      </c>
      <c r="AW524" s="229">
        <v>0</v>
      </c>
      <c r="AX524" s="229">
        <v>0</v>
      </c>
      <c r="AY524" s="229">
        <v>0</v>
      </c>
      <c r="AZ524" s="229">
        <v>0</v>
      </c>
      <c r="BA524" s="229">
        <v>0</v>
      </c>
      <c r="BB524" s="229">
        <v>0</v>
      </c>
      <c r="BC524" s="229">
        <v>0</v>
      </c>
    </row>
    <row r="525" spans="3:55" outlineLevel="2" x14ac:dyDescent="0.2">
      <c r="C525" s="162" t="str">
        <v>LMA: enlace microondas Ethernet: 10</v>
      </c>
      <c r="D525" s="81"/>
      <c r="E525" s="86"/>
      <c r="F525" s="229">
        <v>126.08799653115619</v>
      </c>
      <c r="G525" s="229">
        <v>3.9744175395106391</v>
      </c>
      <c r="H525" s="229">
        <v>35.151945133186963</v>
      </c>
      <c r="I525" s="229">
        <v>0.32993133585132611</v>
      </c>
      <c r="J525" s="229">
        <v>1.876961433568235</v>
      </c>
      <c r="K525" s="229">
        <v>35.15194513318697</v>
      </c>
      <c r="L525" s="229">
        <v>0.57896341066478452</v>
      </c>
      <c r="M525" s="229">
        <v>453.91678751216227</v>
      </c>
      <c r="N525" s="229">
        <v>14.307903142238304</v>
      </c>
      <c r="O525" s="229">
        <v>126.54700247947309</v>
      </c>
      <c r="P525" s="229">
        <v>1.187752809064774</v>
      </c>
      <c r="Q525" s="229">
        <v>6.7570611608456472</v>
      </c>
      <c r="R525" s="229">
        <v>126.54700247947311</v>
      </c>
      <c r="S525" s="229">
        <v>2.0842682783932243</v>
      </c>
      <c r="T525" s="229">
        <v>0</v>
      </c>
      <c r="U525" s="229">
        <v>0</v>
      </c>
      <c r="V525" s="229">
        <v>0</v>
      </c>
      <c r="W525" s="229">
        <v>0</v>
      </c>
      <c r="X525" s="229">
        <v>0</v>
      </c>
      <c r="Y525" s="229">
        <v>0</v>
      </c>
      <c r="Z525" s="229">
        <v>0</v>
      </c>
      <c r="AA525" s="229">
        <v>2.0872188217372942E-2</v>
      </c>
      <c r="AB525" s="229">
        <v>8.6682837785840017E-3</v>
      </c>
      <c r="AC525" s="229">
        <v>7.8994365463980771E-3</v>
      </c>
      <c r="AD525" s="229">
        <v>2.4013452544087564E-2</v>
      </c>
      <c r="AE525" s="229">
        <v>9.9728604872608914E-3</v>
      </c>
      <c r="AF525" s="229">
        <v>9.0883017466309862E-3</v>
      </c>
      <c r="AG525" s="229">
        <v>0</v>
      </c>
      <c r="AH525" s="229">
        <v>0</v>
      </c>
      <c r="AI525" s="229">
        <v>0</v>
      </c>
      <c r="AJ525" s="229">
        <v>1307.7786156855452</v>
      </c>
      <c r="AK525" s="229">
        <v>70.059568697439929</v>
      </c>
      <c r="AL525" s="229">
        <v>3661.7801239195269</v>
      </c>
      <c r="AM525" s="229">
        <v>0</v>
      </c>
      <c r="AN525" s="229">
        <v>2241.9061983180777</v>
      </c>
      <c r="AO525" s="229">
        <v>0</v>
      </c>
      <c r="AP525" s="229">
        <v>0</v>
      </c>
      <c r="AQ525" s="229">
        <v>0</v>
      </c>
      <c r="AR525" s="229">
        <v>0</v>
      </c>
      <c r="AS525" s="229">
        <v>0</v>
      </c>
      <c r="AT525" s="229">
        <v>0</v>
      </c>
      <c r="AU525" s="229">
        <v>0</v>
      </c>
      <c r="AV525" s="229">
        <v>0</v>
      </c>
      <c r="AW525" s="229">
        <v>0</v>
      </c>
      <c r="AX525" s="229">
        <v>0</v>
      </c>
      <c r="AY525" s="229">
        <v>0</v>
      </c>
      <c r="AZ525" s="229">
        <v>0</v>
      </c>
      <c r="BA525" s="229">
        <v>0</v>
      </c>
      <c r="BB525" s="229">
        <v>0</v>
      </c>
      <c r="BC525" s="229">
        <v>0</v>
      </c>
    </row>
    <row r="526" spans="3:55" outlineLevel="2" x14ac:dyDescent="0.2">
      <c r="C526" s="162" t="str">
        <v>LMA: enlace microondas Ethernet: 30</v>
      </c>
      <c r="D526" s="81"/>
      <c r="E526" s="86"/>
      <c r="F526" s="229">
        <v>5015.8462268909889</v>
      </c>
      <c r="G526" s="229">
        <v>158.10440143457967</v>
      </c>
      <c r="H526" s="229">
        <v>1398.3627007714986</v>
      </c>
      <c r="I526" s="229">
        <v>13.124840520834651</v>
      </c>
      <c r="J526" s="229">
        <v>74.666504216020357</v>
      </c>
      <c r="K526" s="229">
        <v>1398.3627007714988</v>
      </c>
      <c r="L526" s="229">
        <v>23.031466267872094</v>
      </c>
      <c r="M526" s="229">
        <v>18057.04641680756</v>
      </c>
      <c r="N526" s="229">
        <v>569.17584516448699</v>
      </c>
      <c r="O526" s="229">
        <v>5034.1057227773954</v>
      </c>
      <c r="P526" s="229">
        <v>47.249425875004746</v>
      </c>
      <c r="Q526" s="229">
        <v>268.79941517767332</v>
      </c>
      <c r="R526" s="229">
        <v>5034.1057227773963</v>
      </c>
      <c r="S526" s="229">
        <v>82.913278564339549</v>
      </c>
      <c r="T526" s="229">
        <v>0</v>
      </c>
      <c r="U526" s="229">
        <v>0</v>
      </c>
      <c r="V526" s="229">
        <v>0</v>
      </c>
      <c r="W526" s="229">
        <v>0</v>
      </c>
      <c r="X526" s="229">
        <v>0</v>
      </c>
      <c r="Y526" s="229">
        <v>0</v>
      </c>
      <c r="Z526" s="229">
        <v>0</v>
      </c>
      <c r="AA526" s="229">
        <v>0.83030652716572773</v>
      </c>
      <c r="AB526" s="229">
        <v>0.34482884715903445</v>
      </c>
      <c r="AC526" s="229">
        <v>0.31424370349183028</v>
      </c>
      <c r="AD526" s="229">
        <v>0.9552676595041697</v>
      </c>
      <c r="AE526" s="229">
        <v>0.39672558865646912</v>
      </c>
      <c r="AF526" s="229">
        <v>0.36153738086735077</v>
      </c>
      <c r="AG526" s="229">
        <v>0</v>
      </c>
      <c r="AH526" s="229">
        <v>0</v>
      </c>
      <c r="AI526" s="229">
        <v>0</v>
      </c>
      <c r="AJ526" s="229">
        <v>52024.115027271364</v>
      </c>
      <c r="AK526" s="229">
        <v>2787.0061621752516</v>
      </c>
      <c r="AL526" s="229">
        <v>145667.52207635983</v>
      </c>
      <c r="AM526" s="229">
        <v>0</v>
      </c>
      <c r="AN526" s="229">
        <v>89184.197189608065</v>
      </c>
      <c r="AO526" s="229">
        <v>0</v>
      </c>
      <c r="AP526" s="229">
        <v>0</v>
      </c>
      <c r="AQ526" s="229">
        <v>0</v>
      </c>
      <c r="AR526" s="229">
        <v>0</v>
      </c>
      <c r="AS526" s="229">
        <v>0</v>
      </c>
      <c r="AT526" s="229">
        <v>0</v>
      </c>
      <c r="AU526" s="229">
        <v>0</v>
      </c>
      <c r="AV526" s="229">
        <v>0</v>
      </c>
      <c r="AW526" s="229">
        <v>0</v>
      </c>
      <c r="AX526" s="229">
        <v>0</v>
      </c>
      <c r="AY526" s="229">
        <v>0</v>
      </c>
      <c r="AZ526" s="229">
        <v>0</v>
      </c>
      <c r="BA526" s="229">
        <v>0</v>
      </c>
      <c r="BB526" s="229">
        <v>0</v>
      </c>
      <c r="BC526" s="229">
        <v>0</v>
      </c>
    </row>
    <row r="527" spans="3:55" outlineLevel="2" x14ac:dyDescent="0.2">
      <c r="C527" s="162" t="str">
        <v>LMA: enlace microondas Ethernet: 100</v>
      </c>
      <c r="D527" s="81"/>
      <c r="E527" s="86"/>
      <c r="F527" s="229">
        <v>150654.11236194067</v>
      </c>
      <c r="G527" s="229">
        <v>4748.7656481459771</v>
      </c>
      <c r="H527" s="229">
        <v>42000.707740068981</v>
      </c>
      <c r="I527" s="229">
        <v>394.21288235624155</v>
      </c>
      <c r="J527" s="229">
        <v>2242.6556570906059</v>
      </c>
      <c r="K527" s="229">
        <v>42000.707740068989</v>
      </c>
      <c r="L527" s="229">
        <v>691.76464947789134</v>
      </c>
      <c r="M527" s="229">
        <v>542354.80450298637</v>
      </c>
      <c r="N527" s="229">
        <v>17095.55633332552</v>
      </c>
      <c r="O527" s="229">
        <v>151202.54786424834</v>
      </c>
      <c r="P527" s="229">
        <v>1419.1663764824696</v>
      </c>
      <c r="Q527" s="229">
        <v>8073.5603655261821</v>
      </c>
      <c r="R527" s="229">
        <v>151202.54786424836</v>
      </c>
      <c r="S527" s="229">
        <v>2490.352738120409</v>
      </c>
      <c r="T527" s="229">
        <v>0</v>
      </c>
      <c r="U527" s="229">
        <v>0</v>
      </c>
      <c r="V527" s="229">
        <v>0</v>
      </c>
      <c r="W527" s="229">
        <v>0</v>
      </c>
      <c r="X527" s="229">
        <v>0</v>
      </c>
      <c r="Y527" s="229">
        <v>0</v>
      </c>
      <c r="Z527" s="229">
        <v>0</v>
      </c>
      <c r="AA527" s="229">
        <v>24.938781449847841</v>
      </c>
      <c r="AB527" s="229">
        <v>10.357152419669799</v>
      </c>
      <c r="AC527" s="229">
        <v>9.4385082941896723</v>
      </c>
      <c r="AD527" s="229">
        <v>28.692068058049941</v>
      </c>
      <c r="AE527" s="229">
        <v>11.915903858830104</v>
      </c>
      <c r="AF527" s="229">
        <v>10.859003792465218</v>
      </c>
      <c r="AG527" s="229">
        <v>0</v>
      </c>
      <c r="AH527" s="229">
        <v>0</v>
      </c>
      <c r="AI527" s="229">
        <v>0</v>
      </c>
      <c r="AJ527" s="229">
        <v>1562577.1836524454</v>
      </c>
      <c r="AK527" s="229">
        <v>83709.491981381012</v>
      </c>
      <c r="AL527" s="229">
        <v>4375216.114226847</v>
      </c>
      <c r="AM527" s="229">
        <v>0</v>
      </c>
      <c r="AN527" s="229">
        <v>2678703.7434041924</v>
      </c>
      <c r="AO527" s="229">
        <v>0</v>
      </c>
      <c r="AP527" s="229">
        <v>0</v>
      </c>
      <c r="AQ527" s="229">
        <v>0</v>
      </c>
      <c r="AR527" s="229">
        <v>0</v>
      </c>
      <c r="AS527" s="229">
        <v>0</v>
      </c>
      <c r="AT527" s="229">
        <v>0</v>
      </c>
      <c r="AU527" s="229">
        <v>0</v>
      </c>
      <c r="AV527" s="229">
        <v>0</v>
      </c>
      <c r="AW527" s="229">
        <v>0</v>
      </c>
      <c r="AX527" s="229">
        <v>0</v>
      </c>
      <c r="AY527" s="229">
        <v>0</v>
      </c>
      <c r="AZ527" s="229">
        <v>0</v>
      </c>
      <c r="BA527" s="229">
        <v>0</v>
      </c>
      <c r="BB527" s="229">
        <v>0</v>
      </c>
      <c r="BC527" s="229">
        <v>0</v>
      </c>
    </row>
    <row r="528" spans="3:55" outlineLevel="2" x14ac:dyDescent="0.2">
      <c r="C528" s="162" t="str">
        <v>LMA: enlace de fibra propia</v>
      </c>
      <c r="D528" s="81"/>
      <c r="E528" s="86"/>
      <c r="F528" s="229">
        <v>44848.224169757901</v>
      </c>
      <c r="G528" s="229">
        <v>1413.6600918402771</v>
      </c>
      <c r="H528" s="229">
        <v>12503.191094377074</v>
      </c>
      <c r="I528" s="229">
        <v>117.35323677089022</v>
      </c>
      <c r="J528" s="229">
        <v>667.6161843039356</v>
      </c>
      <c r="K528" s="229">
        <v>12503.191094377076</v>
      </c>
      <c r="L528" s="229">
        <v>205.93142521037535</v>
      </c>
      <c r="M528" s="229">
        <v>161453.60701112845</v>
      </c>
      <c r="N528" s="229">
        <v>5089.1763306249986</v>
      </c>
      <c r="O528" s="229">
        <v>45011.48793975747</v>
      </c>
      <c r="P528" s="229">
        <v>422.47165237520477</v>
      </c>
      <c r="Q528" s="229">
        <v>2403.4182634941685</v>
      </c>
      <c r="R528" s="229">
        <v>45011.487939757477</v>
      </c>
      <c r="S528" s="229">
        <v>741.35313075735132</v>
      </c>
      <c r="T528" s="229">
        <v>0</v>
      </c>
      <c r="U528" s="229">
        <v>0</v>
      </c>
      <c r="V528" s="229">
        <v>0</v>
      </c>
      <c r="W528" s="229">
        <v>0</v>
      </c>
      <c r="X528" s="229">
        <v>0</v>
      </c>
      <c r="Y528" s="229">
        <v>0</v>
      </c>
      <c r="Z528" s="229">
        <v>0</v>
      </c>
      <c r="AA528" s="229">
        <v>7.4240260916098935</v>
      </c>
      <c r="AB528" s="229">
        <v>3.0832208042337319</v>
      </c>
      <c r="AC528" s="229">
        <v>2.8097496256124432</v>
      </c>
      <c r="AD528" s="229">
        <v>8.5413420183971809</v>
      </c>
      <c r="AE528" s="229">
        <v>3.5472455352709078</v>
      </c>
      <c r="AF528" s="229">
        <v>3.2326169442671153</v>
      </c>
      <c r="AG528" s="229">
        <v>0</v>
      </c>
      <c r="AH528" s="229">
        <v>0</v>
      </c>
      <c r="AI528" s="229">
        <v>0</v>
      </c>
      <c r="AJ528" s="229">
        <v>465163.6169521361</v>
      </c>
      <c r="AK528" s="229">
        <v>24919.479479578717</v>
      </c>
      <c r="AL528" s="229">
        <v>1302458.1274659811</v>
      </c>
      <c r="AM528" s="229">
        <v>0</v>
      </c>
      <c r="AN528" s="229">
        <v>797423.34334651905</v>
      </c>
      <c r="AO528" s="229">
        <v>0</v>
      </c>
      <c r="AP528" s="229">
        <v>0</v>
      </c>
      <c r="AQ528" s="229">
        <v>0</v>
      </c>
      <c r="AR528" s="229">
        <v>0</v>
      </c>
      <c r="AS528" s="229">
        <v>0</v>
      </c>
      <c r="AT528" s="229">
        <v>0</v>
      </c>
      <c r="AU528" s="229">
        <v>0</v>
      </c>
      <c r="AV528" s="229">
        <v>0</v>
      </c>
      <c r="AW528" s="229">
        <v>0</v>
      </c>
      <c r="AX528" s="229">
        <v>0</v>
      </c>
      <c r="AY528" s="229">
        <v>0</v>
      </c>
      <c r="AZ528" s="229">
        <v>0</v>
      </c>
      <c r="BA528" s="229">
        <v>0</v>
      </c>
      <c r="BB528" s="229">
        <v>0</v>
      </c>
      <c r="BC528" s="229">
        <v>0</v>
      </c>
    </row>
    <row r="529" spans="3:55" outlineLevel="2" x14ac:dyDescent="0.2">
      <c r="C529" s="162" t="str">
        <v>Hub to core: línea alquilada TDM:  8.45</v>
      </c>
      <c r="D529" s="81"/>
      <c r="E529" s="86"/>
      <c r="F529" s="229">
        <v>0</v>
      </c>
      <c r="G529" s="229">
        <v>0</v>
      </c>
      <c r="H529" s="229">
        <v>0</v>
      </c>
      <c r="I529" s="229">
        <v>0</v>
      </c>
      <c r="J529" s="229">
        <v>0</v>
      </c>
      <c r="K529" s="229">
        <v>0</v>
      </c>
      <c r="L529" s="229">
        <v>0</v>
      </c>
      <c r="M529" s="229">
        <v>0</v>
      </c>
      <c r="N529" s="229">
        <v>0</v>
      </c>
      <c r="O529" s="229">
        <v>0</v>
      </c>
      <c r="P529" s="229">
        <v>0</v>
      </c>
      <c r="Q529" s="229">
        <v>0</v>
      </c>
      <c r="R529" s="229">
        <v>0</v>
      </c>
      <c r="S529" s="229">
        <v>0</v>
      </c>
      <c r="T529" s="229">
        <v>0</v>
      </c>
      <c r="U529" s="229">
        <v>0</v>
      </c>
      <c r="V529" s="229">
        <v>0</v>
      </c>
      <c r="W529" s="229">
        <v>0</v>
      </c>
      <c r="X529" s="229">
        <v>0</v>
      </c>
      <c r="Y529" s="229">
        <v>0</v>
      </c>
      <c r="Z529" s="229">
        <v>0</v>
      </c>
      <c r="AA529" s="229">
        <v>0</v>
      </c>
      <c r="AB529" s="229">
        <v>0</v>
      </c>
      <c r="AC529" s="229">
        <v>0</v>
      </c>
      <c r="AD529" s="229">
        <v>0</v>
      </c>
      <c r="AE529" s="229">
        <v>0</v>
      </c>
      <c r="AF529" s="229">
        <v>0</v>
      </c>
      <c r="AG529" s="229">
        <v>0</v>
      </c>
      <c r="AH529" s="229">
        <v>0</v>
      </c>
      <c r="AI529" s="229">
        <v>0</v>
      </c>
      <c r="AJ529" s="229">
        <v>0</v>
      </c>
      <c r="AK529" s="229">
        <v>0</v>
      </c>
      <c r="AL529" s="229">
        <v>0</v>
      </c>
      <c r="AM529" s="229">
        <v>0</v>
      </c>
      <c r="AN529" s="229">
        <v>0</v>
      </c>
      <c r="AO529" s="229">
        <v>0</v>
      </c>
      <c r="AP529" s="229">
        <v>0</v>
      </c>
      <c r="AQ529" s="229">
        <v>0</v>
      </c>
      <c r="AR529" s="229">
        <v>0</v>
      </c>
      <c r="AS529" s="229">
        <v>0</v>
      </c>
      <c r="AT529" s="229">
        <v>0</v>
      </c>
      <c r="AU529" s="229">
        <v>0</v>
      </c>
      <c r="AV529" s="229">
        <v>0</v>
      </c>
      <c r="AW529" s="229">
        <v>0</v>
      </c>
      <c r="AX529" s="229">
        <v>0</v>
      </c>
      <c r="AY529" s="229">
        <v>0</v>
      </c>
      <c r="AZ529" s="229">
        <v>0</v>
      </c>
      <c r="BA529" s="229">
        <v>0</v>
      </c>
      <c r="BB529" s="229">
        <v>0</v>
      </c>
      <c r="BC529" s="229">
        <v>0</v>
      </c>
    </row>
    <row r="530" spans="3:55" outlineLevel="2" x14ac:dyDescent="0.2">
      <c r="C530" s="162" t="str">
        <v>Hub to core: línea alquilada TDM:  34.37</v>
      </c>
      <c r="D530" s="81"/>
      <c r="E530" s="86"/>
      <c r="F530" s="229">
        <v>0</v>
      </c>
      <c r="G530" s="229">
        <v>0</v>
      </c>
      <c r="H530" s="229">
        <v>0</v>
      </c>
      <c r="I530" s="229">
        <v>0</v>
      </c>
      <c r="J530" s="229">
        <v>0</v>
      </c>
      <c r="K530" s="229">
        <v>0</v>
      </c>
      <c r="L530" s="229">
        <v>0</v>
      </c>
      <c r="M530" s="229">
        <v>0</v>
      </c>
      <c r="N530" s="229">
        <v>0</v>
      </c>
      <c r="O530" s="229">
        <v>0</v>
      </c>
      <c r="P530" s="229">
        <v>0</v>
      </c>
      <c r="Q530" s="229">
        <v>0</v>
      </c>
      <c r="R530" s="229">
        <v>0</v>
      </c>
      <c r="S530" s="229">
        <v>0</v>
      </c>
      <c r="T530" s="229">
        <v>0</v>
      </c>
      <c r="U530" s="229">
        <v>0</v>
      </c>
      <c r="V530" s="229">
        <v>0</v>
      </c>
      <c r="W530" s="229">
        <v>0</v>
      </c>
      <c r="X530" s="229">
        <v>0</v>
      </c>
      <c r="Y530" s="229">
        <v>0</v>
      </c>
      <c r="Z530" s="229">
        <v>0</v>
      </c>
      <c r="AA530" s="229">
        <v>0</v>
      </c>
      <c r="AB530" s="229">
        <v>0</v>
      </c>
      <c r="AC530" s="229">
        <v>0</v>
      </c>
      <c r="AD530" s="229">
        <v>0</v>
      </c>
      <c r="AE530" s="229">
        <v>0</v>
      </c>
      <c r="AF530" s="229">
        <v>0</v>
      </c>
      <c r="AG530" s="229">
        <v>0</v>
      </c>
      <c r="AH530" s="229">
        <v>0</v>
      </c>
      <c r="AI530" s="229">
        <v>0</v>
      </c>
      <c r="AJ530" s="229">
        <v>0</v>
      </c>
      <c r="AK530" s="229">
        <v>0</v>
      </c>
      <c r="AL530" s="229">
        <v>0</v>
      </c>
      <c r="AM530" s="229">
        <v>0</v>
      </c>
      <c r="AN530" s="229">
        <v>0</v>
      </c>
      <c r="AO530" s="229">
        <v>0</v>
      </c>
      <c r="AP530" s="229">
        <v>0</v>
      </c>
      <c r="AQ530" s="229">
        <v>0</v>
      </c>
      <c r="AR530" s="229">
        <v>0</v>
      </c>
      <c r="AS530" s="229">
        <v>0</v>
      </c>
      <c r="AT530" s="229">
        <v>0</v>
      </c>
      <c r="AU530" s="229">
        <v>0</v>
      </c>
      <c r="AV530" s="229">
        <v>0</v>
      </c>
      <c r="AW530" s="229">
        <v>0</v>
      </c>
      <c r="AX530" s="229">
        <v>0</v>
      </c>
      <c r="AY530" s="229">
        <v>0</v>
      </c>
      <c r="AZ530" s="229">
        <v>0</v>
      </c>
      <c r="BA530" s="229">
        <v>0</v>
      </c>
      <c r="BB530" s="229">
        <v>0</v>
      </c>
      <c r="BC530" s="229">
        <v>0</v>
      </c>
    </row>
    <row r="531" spans="3:55" outlineLevel="2" x14ac:dyDescent="0.2">
      <c r="C531" s="162" t="str">
        <v>Hub to core: línea alquilada TDM:  155.52</v>
      </c>
      <c r="D531" s="81"/>
      <c r="E531" s="86"/>
      <c r="F531" s="229">
        <v>0</v>
      </c>
      <c r="G531" s="229">
        <v>0</v>
      </c>
      <c r="H531" s="229">
        <v>0</v>
      </c>
      <c r="I531" s="229">
        <v>0</v>
      </c>
      <c r="J531" s="229">
        <v>0</v>
      </c>
      <c r="K531" s="229">
        <v>0</v>
      </c>
      <c r="L531" s="229">
        <v>0</v>
      </c>
      <c r="M531" s="229">
        <v>0</v>
      </c>
      <c r="N531" s="229">
        <v>0</v>
      </c>
      <c r="O531" s="229">
        <v>0</v>
      </c>
      <c r="P531" s="229">
        <v>0</v>
      </c>
      <c r="Q531" s="229">
        <v>0</v>
      </c>
      <c r="R531" s="229">
        <v>0</v>
      </c>
      <c r="S531" s="229">
        <v>0</v>
      </c>
      <c r="T531" s="229">
        <v>0</v>
      </c>
      <c r="U531" s="229">
        <v>0</v>
      </c>
      <c r="V531" s="229">
        <v>0</v>
      </c>
      <c r="W531" s="229">
        <v>0</v>
      </c>
      <c r="X531" s="229">
        <v>0</v>
      </c>
      <c r="Y531" s="229">
        <v>0</v>
      </c>
      <c r="Z531" s="229">
        <v>0</v>
      </c>
      <c r="AA531" s="229">
        <v>0</v>
      </c>
      <c r="AB531" s="229">
        <v>0</v>
      </c>
      <c r="AC531" s="229">
        <v>0</v>
      </c>
      <c r="AD531" s="229">
        <v>0</v>
      </c>
      <c r="AE531" s="229">
        <v>0</v>
      </c>
      <c r="AF531" s="229">
        <v>0</v>
      </c>
      <c r="AG531" s="229">
        <v>0</v>
      </c>
      <c r="AH531" s="229">
        <v>0</v>
      </c>
      <c r="AI531" s="229">
        <v>0</v>
      </c>
      <c r="AJ531" s="229">
        <v>0</v>
      </c>
      <c r="AK531" s="229">
        <v>0</v>
      </c>
      <c r="AL531" s="229">
        <v>0</v>
      </c>
      <c r="AM531" s="229">
        <v>0</v>
      </c>
      <c r="AN531" s="229">
        <v>0</v>
      </c>
      <c r="AO531" s="229">
        <v>0</v>
      </c>
      <c r="AP531" s="229">
        <v>0</v>
      </c>
      <c r="AQ531" s="229">
        <v>0</v>
      </c>
      <c r="AR531" s="229">
        <v>0</v>
      </c>
      <c r="AS531" s="229">
        <v>0</v>
      </c>
      <c r="AT531" s="229">
        <v>0</v>
      </c>
      <c r="AU531" s="229">
        <v>0</v>
      </c>
      <c r="AV531" s="229">
        <v>0</v>
      </c>
      <c r="AW531" s="229">
        <v>0</v>
      </c>
      <c r="AX531" s="229">
        <v>0</v>
      </c>
      <c r="AY531" s="229">
        <v>0</v>
      </c>
      <c r="AZ531" s="229">
        <v>0</v>
      </c>
      <c r="BA531" s="229">
        <v>0</v>
      </c>
      <c r="BB531" s="229">
        <v>0</v>
      </c>
      <c r="BC531" s="229">
        <v>0</v>
      </c>
    </row>
    <row r="532" spans="3:55" outlineLevel="2" x14ac:dyDescent="0.2">
      <c r="C532" s="162" t="str">
        <v>Hub to core: línea alquilada Ethernet:  10</v>
      </c>
      <c r="D532" s="81"/>
      <c r="E532" s="86"/>
      <c r="F532" s="229">
        <v>0</v>
      </c>
      <c r="G532" s="229">
        <v>0</v>
      </c>
      <c r="H532" s="229">
        <v>0</v>
      </c>
      <c r="I532" s="229">
        <v>0</v>
      </c>
      <c r="J532" s="229">
        <v>0</v>
      </c>
      <c r="K532" s="229">
        <v>0</v>
      </c>
      <c r="L532" s="229">
        <v>0</v>
      </c>
      <c r="M532" s="229">
        <v>0</v>
      </c>
      <c r="N532" s="229">
        <v>0</v>
      </c>
      <c r="O532" s="229">
        <v>0</v>
      </c>
      <c r="P532" s="229">
        <v>0</v>
      </c>
      <c r="Q532" s="229">
        <v>0</v>
      </c>
      <c r="R532" s="229">
        <v>0</v>
      </c>
      <c r="S532" s="229">
        <v>0</v>
      </c>
      <c r="T532" s="229">
        <v>0</v>
      </c>
      <c r="U532" s="229">
        <v>0</v>
      </c>
      <c r="V532" s="229">
        <v>0</v>
      </c>
      <c r="W532" s="229">
        <v>0</v>
      </c>
      <c r="X532" s="229">
        <v>0</v>
      </c>
      <c r="Y532" s="229">
        <v>0</v>
      </c>
      <c r="Z532" s="229">
        <v>0</v>
      </c>
      <c r="AA532" s="229">
        <v>0</v>
      </c>
      <c r="AB532" s="229">
        <v>0</v>
      </c>
      <c r="AC532" s="229">
        <v>0</v>
      </c>
      <c r="AD532" s="229">
        <v>0</v>
      </c>
      <c r="AE532" s="229">
        <v>0</v>
      </c>
      <c r="AF532" s="229">
        <v>0</v>
      </c>
      <c r="AG532" s="229">
        <v>0</v>
      </c>
      <c r="AH532" s="229">
        <v>0</v>
      </c>
      <c r="AI532" s="229">
        <v>0</v>
      </c>
      <c r="AJ532" s="229">
        <v>0</v>
      </c>
      <c r="AK532" s="229">
        <v>0</v>
      </c>
      <c r="AL532" s="229">
        <v>0</v>
      </c>
      <c r="AM532" s="229">
        <v>0</v>
      </c>
      <c r="AN532" s="229">
        <v>0</v>
      </c>
      <c r="AO532" s="229">
        <v>0</v>
      </c>
      <c r="AP532" s="229">
        <v>0</v>
      </c>
      <c r="AQ532" s="229">
        <v>0</v>
      </c>
      <c r="AR532" s="229">
        <v>0</v>
      </c>
      <c r="AS532" s="229">
        <v>0</v>
      </c>
      <c r="AT532" s="229">
        <v>0</v>
      </c>
      <c r="AU532" s="229">
        <v>0</v>
      </c>
      <c r="AV532" s="229">
        <v>0</v>
      </c>
      <c r="AW532" s="229">
        <v>0</v>
      </c>
      <c r="AX532" s="229">
        <v>0</v>
      </c>
      <c r="AY532" s="229">
        <v>0</v>
      </c>
      <c r="AZ532" s="229">
        <v>0</v>
      </c>
      <c r="BA532" s="229">
        <v>0</v>
      </c>
      <c r="BB532" s="229">
        <v>0</v>
      </c>
      <c r="BC532" s="229">
        <v>0</v>
      </c>
    </row>
    <row r="533" spans="3:55" outlineLevel="2" x14ac:dyDescent="0.2">
      <c r="C533" s="162" t="str">
        <v>Hub to core: línea alquilada Ethernet:  100</v>
      </c>
      <c r="D533" s="81"/>
      <c r="E533" s="86"/>
      <c r="F533" s="229">
        <v>0</v>
      </c>
      <c r="G533" s="229">
        <v>0</v>
      </c>
      <c r="H533" s="229">
        <v>0</v>
      </c>
      <c r="I533" s="229">
        <v>0</v>
      </c>
      <c r="J533" s="229">
        <v>0</v>
      </c>
      <c r="K533" s="229">
        <v>0</v>
      </c>
      <c r="L533" s="229">
        <v>0</v>
      </c>
      <c r="M533" s="229">
        <v>0</v>
      </c>
      <c r="N533" s="229">
        <v>0</v>
      </c>
      <c r="O533" s="229">
        <v>0</v>
      </c>
      <c r="P533" s="229">
        <v>0</v>
      </c>
      <c r="Q533" s="229">
        <v>0</v>
      </c>
      <c r="R533" s="229">
        <v>0</v>
      </c>
      <c r="S533" s="229">
        <v>0</v>
      </c>
      <c r="T533" s="229">
        <v>0</v>
      </c>
      <c r="U533" s="229">
        <v>0</v>
      </c>
      <c r="V533" s="229">
        <v>0</v>
      </c>
      <c r="W533" s="229">
        <v>0</v>
      </c>
      <c r="X533" s="229">
        <v>0</v>
      </c>
      <c r="Y533" s="229">
        <v>0</v>
      </c>
      <c r="Z533" s="229">
        <v>0</v>
      </c>
      <c r="AA533" s="229">
        <v>0</v>
      </c>
      <c r="AB533" s="229">
        <v>0</v>
      </c>
      <c r="AC533" s="229">
        <v>0</v>
      </c>
      <c r="AD533" s="229">
        <v>0</v>
      </c>
      <c r="AE533" s="229">
        <v>0</v>
      </c>
      <c r="AF533" s="229">
        <v>0</v>
      </c>
      <c r="AG533" s="229">
        <v>0</v>
      </c>
      <c r="AH533" s="229">
        <v>0</v>
      </c>
      <c r="AI533" s="229">
        <v>0</v>
      </c>
      <c r="AJ533" s="229">
        <v>0</v>
      </c>
      <c r="AK533" s="229">
        <v>0</v>
      </c>
      <c r="AL533" s="229">
        <v>0</v>
      </c>
      <c r="AM533" s="229">
        <v>0</v>
      </c>
      <c r="AN533" s="229">
        <v>0</v>
      </c>
      <c r="AO533" s="229">
        <v>0</v>
      </c>
      <c r="AP533" s="229">
        <v>0</v>
      </c>
      <c r="AQ533" s="229">
        <v>0</v>
      </c>
      <c r="AR533" s="229">
        <v>0</v>
      </c>
      <c r="AS533" s="229">
        <v>0</v>
      </c>
      <c r="AT533" s="229">
        <v>0</v>
      </c>
      <c r="AU533" s="229">
        <v>0</v>
      </c>
      <c r="AV533" s="229">
        <v>0</v>
      </c>
      <c r="AW533" s="229">
        <v>0</v>
      </c>
      <c r="AX533" s="229">
        <v>0</v>
      </c>
      <c r="AY533" s="229">
        <v>0</v>
      </c>
      <c r="AZ533" s="229">
        <v>0</v>
      </c>
      <c r="BA533" s="229">
        <v>0</v>
      </c>
      <c r="BB533" s="229">
        <v>0</v>
      </c>
      <c r="BC533" s="229">
        <v>0</v>
      </c>
    </row>
    <row r="534" spans="3:55" outlineLevel="2" x14ac:dyDescent="0.2">
      <c r="C534" s="162" t="str">
        <v>Hub to core: línea alquilada Ethernet:  1024</v>
      </c>
      <c r="D534" s="81"/>
      <c r="E534" s="86"/>
      <c r="F534" s="229">
        <v>1285463.4868332562</v>
      </c>
      <c r="G534" s="229">
        <v>40519.072148221327</v>
      </c>
      <c r="H534" s="229">
        <v>358373.06645373092</v>
      </c>
      <c r="I534" s="229">
        <v>3363.6404500582385</v>
      </c>
      <c r="J534" s="229">
        <v>19135.567662461664</v>
      </c>
      <c r="K534" s="229">
        <v>358373.06645373098</v>
      </c>
      <c r="L534" s="229">
        <v>5902.515267883794</v>
      </c>
      <c r="M534" s="229">
        <v>4627668.5525997225</v>
      </c>
      <c r="N534" s="229">
        <v>145868.65973359678</v>
      </c>
      <c r="O534" s="229">
        <v>1290143.0392334315</v>
      </c>
      <c r="P534" s="229">
        <v>12109.105620209659</v>
      </c>
      <c r="Q534" s="229">
        <v>68888.043584861996</v>
      </c>
      <c r="R534" s="229">
        <v>1290143.0392334317</v>
      </c>
      <c r="S534" s="229">
        <v>21249.054964381663</v>
      </c>
      <c r="T534" s="229">
        <v>0</v>
      </c>
      <c r="U534" s="229">
        <v>0</v>
      </c>
      <c r="V534" s="229">
        <v>0</v>
      </c>
      <c r="W534" s="229">
        <v>0</v>
      </c>
      <c r="X534" s="229">
        <v>0</v>
      </c>
      <c r="Y534" s="229">
        <v>0</v>
      </c>
      <c r="Z534" s="229">
        <v>0</v>
      </c>
      <c r="AA534" s="229">
        <v>212.79135668647459</v>
      </c>
      <c r="AB534" s="229">
        <v>88.37290303145852</v>
      </c>
      <c r="AC534" s="229">
        <v>80.534527681560689</v>
      </c>
      <c r="AD534" s="229">
        <v>244.81645586778899</v>
      </c>
      <c r="AE534" s="229">
        <v>101.673024937693</v>
      </c>
      <c r="AF534" s="229">
        <v>92.654974097635574</v>
      </c>
      <c r="AG534" s="229">
        <v>0</v>
      </c>
      <c r="AH534" s="229">
        <v>0</v>
      </c>
      <c r="AI534" s="229">
        <v>0</v>
      </c>
      <c r="AJ534" s="229">
        <v>13332765.255808564</v>
      </c>
      <c r="AK534" s="229">
        <v>714255.28156117315</v>
      </c>
      <c r="AL534" s="229">
        <v>37331742.71626398</v>
      </c>
      <c r="AM534" s="229">
        <v>0</v>
      </c>
      <c r="AN534" s="229">
        <v>22856169.009957541</v>
      </c>
      <c r="AO534" s="229">
        <v>0</v>
      </c>
      <c r="AP534" s="229">
        <v>0</v>
      </c>
      <c r="AQ534" s="229">
        <v>0</v>
      </c>
      <c r="AR534" s="229">
        <v>0</v>
      </c>
      <c r="AS534" s="229">
        <v>0</v>
      </c>
      <c r="AT534" s="229">
        <v>0</v>
      </c>
      <c r="AU534" s="229">
        <v>0</v>
      </c>
      <c r="AV534" s="229">
        <v>0</v>
      </c>
      <c r="AW534" s="229">
        <v>0</v>
      </c>
      <c r="AX534" s="229">
        <v>0</v>
      </c>
      <c r="AY534" s="229">
        <v>0</v>
      </c>
      <c r="AZ534" s="229">
        <v>0</v>
      </c>
      <c r="BA534" s="229">
        <v>0</v>
      </c>
      <c r="BB534" s="229">
        <v>0</v>
      </c>
      <c r="BC534" s="229">
        <v>0</v>
      </c>
    </row>
    <row r="535" spans="3:55" outlineLevel="2" x14ac:dyDescent="0.2">
      <c r="C535" s="162" t="str">
        <v>Hub to Core puntos de acceso a anillos: 155.52</v>
      </c>
      <c r="D535" s="81"/>
      <c r="E535" s="86"/>
      <c r="F535" s="229">
        <v>0</v>
      </c>
      <c r="G535" s="229">
        <v>0</v>
      </c>
      <c r="H535" s="229">
        <v>0</v>
      </c>
      <c r="I535" s="229">
        <v>0</v>
      </c>
      <c r="J535" s="229">
        <v>0</v>
      </c>
      <c r="K535" s="229">
        <v>0</v>
      </c>
      <c r="L535" s="229">
        <v>0</v>
      </c>
      <c r="M535" s="229">
        <v>0</v>
      </c>
      <c r="N535" s="229">
        <v>0</v>
      </c>
      <c r="O535" s="229">
        <v>0</v>
      </c>
      <c r="P535" s="229">
        <v>0</v>
      </c>
      <c r="Q535" s="229">
        <v>0</v>
      </c>
      <c r="R535" s="229">
        <v>0</v>
      </c>
      <c r="S535" s="229">
        <v>0</v>
      </c>
      <c r="T535" s="229">
        <v>0</v>
      </c>
      <c r="U535" s="229">
        <v>0</v>
      </c>
      <c r="V535" s="229">
        <v>0</v>
      </c>
      <c r="W535" s="229">
        <v>0</v>
      </c>
      <c r="X535" s="229">
        <v>0</v>
      </c>
      <c r="Y535" s="229">
        <v>0</v>
      </c>
      <c r="Z535" s="229">
        <v>0</v>
      </c>
      <c r="AA535" s="229">
        <v>0</v>
      </c>
      <c r="AB535" s="229">
        <v>0</v>
      </c>
      <c r="AC535" s="229">
        <v>0</v>
      </c>
      <c r="AD535" s="229">
        <v>0</v>
      </c>
      <c r="AE535" s="229">
        <v>0</v>
      </c>
      <c r="AF535" s="229">
        <v>0</v>
      </c>
      <c r="AG535" s="229">
        <v>0</v>
      </c>
      <c r="AH535" s="229">
        <v>0</v>
      </c>
      <c r="AI535" s="229">
        <v>0</v>
      </c>
      <c r="AJ535" s="229">
        <v>0</v>
      </c>
      <c r="AK535" s="229">
        <v>0</v>
      </c>
      <c r="AL535" s="229">
        <v>0</v>
      </c>
      <c r="AM535" s="229">
        <v>0</v>
      </c>
      <c r="AN535" s="229">
        <v>0</v>
      </c>
      <c r="AO535" s="229">
        <v>0</v>
      </c>
      <c r="AP535" s="229">
        <v>0</v>
      </c>
      <c r="AQ535" s="229">
        <v>0</v>
      </c>
      <c r="AR535" s="229">
        <v>0</v>
      </c>
      <c r="AS535" s="229">
        <v>0</v>
      </c>
      <c r="AT535" s="229">
        <v>0</v>
      </c>
      <c r="AU535" s="229">
        <v>0</v>
      </c>
      <c r="AV535" s="229">
        <v>0</v>
      </c>
      <c r="AW535" s="229">
        <v>0</v>
      </c>
      <c r="AX535" s="229">
        <v>0</v>
      </c>
      <c r="AY535" s="229">
        <v>0</v>
      </c>
      <c r="AZ535" s="229">
        <v>0</v>
      </c>
      <c r="BA535" s="229">
        <v>0</v>
      </c>
      <c r="BB535" s="229">
        <v>0</v>
      </c>
      <c r="BC535" s="229">
        <v>0</v>
      </c>
    </row>
    <row r="536" spans="3:55" outlineLevel="2" x14ac:dyDescent="0.2">
      <c r="C536" s="162" t="str">
        <v>Hub to Core puntos de acceso a anillos: 622.08</v>
      </c>
      <c r="D536" s="81"/>
      <c r="E536" s="86"/>
      <c r="F536" s="229">
        <v>0</v>
      </c>
      <c r="G536" s="229">
        <v>0</v>
      </c>
      <c r="H536" s="229">
        <v>0</v>
      </c>
      <c r="I536" s="229">
        <v>0</v>
      </c>
      <c r="J536" s="229">
        <v>0</v>
      </c>
      <c r="K536" s="229">
        <v>0</v>
      </c>
      <c r="L536" s="229">
        <v>0</v>
      </c>
      <c r="M536" s="229">
        <v>0</v>
      </c>
      <c r="N536" s="229">
        <v>0</v>
      </c>
      <c r="O536" s="229">
        <v>0</v>
      </c>
      <c r="P536" s="229">
        <v>0</v>
      </c>
      <c r="Q536" s="229">
        <v>0</v>
      </c>
      <c r="R536" s="229">
        <v>0</v>
      </c>
      <c r="S536" s="229">
        <v>0</v>
      </c>
      <c r="T536" s="229">
        <v>0</v>
      </c>
      <c r="U536" s="229">
        <v>0</v>
      </c>
      <c r="V536" s="229">
        <v>0</v>
      </c>
      <c r="W536" s="229">
        <v>0</v>
      </c>
      <c r="X536" s="229">
        <v>0</v>
      </c>
      <c r="Y536" s="229">
        <v>0</v>
      </c>
      <c r="Z536" s="229">
        <v>0</v>
      </c>
      <c r="AA536" s="229">
        <v>0</v>
      </c>
      <c r="AB536" s="229">
        <v>0</v>
      </c>
      <c r="AC536" s="229">
        <v>0</v>
      </c>
      <c r="AD536" s="229">
        <v>0</v>
      </c>
      <c r="AE536" s="229">
        <v>0</v>
      </c>
      <c r="AF536" s="229">
        <v>0</v>
      </c>
      <c r="AG536" s="229">
        <v>0</v>
      </c>
      <c r="AH536" s="229">
        <v>0</v>
      </c>
      <c r="AI536" s="229">
        <v>0</v>
      </c>
      <c r="AJ536" s="229">
        <v>0</v>
      </c>
      <c r="AK536" s="229">
        <v>0</v>
      </c>
      <c r="AL536" s="229">
        <v>0</v>
      </c>
      <c r="AM536" s="229">
        <v>0</v>
      </c>
      <c r="AN536" s="229">
        <v>0</v>
      </c>
      <c r="AO536" s="229">
        <v>0</v>
      </c>
      <c r="AP536" s="229">
        <v>0</v>
      </c>
      <c r="AQ536" s="229">
        <v>0</v>
      </c>
      <c r="AR536" s="229">
        <v>0</v>
      </c>
      <c r="AS536" s="229">
        <v>0</v>
      </c>
      <c r="AT536" s="229">
        <v>0</v>
      </c>
      <c r="AU536" s="229">
        <v>0</v>
      </c>
      <c r="AV536" s="229">
        <v>0</v>
      </c>
      <c r="AW536" s="229">
        <v>0</v>
      </c>
      <c r="AX536" s="229">
        <v>0</v>
      </c>
      <c r="AY536" s="229">
        <v>0</v>
      </c>
      <c r="AZ536" s="229">
        <v>0</v>
      </c>
      <c r="BA536" s="229">
        <v>0</v>
      </c>
      <c r="BB536" s="229">
        <v>0</v>
      </c>
      <c r="BC536" s="229">
        <v>0</v>
      </c>
    </row>
    <row r="537" spans="3:55" outlineLevel="2" x14ac:dyDescent="0.2">
      <c r="C537" s="162" t="str">
        <v>Hub to Core puntos de acceso a anillos: 2488.32</v>
      </c>
      <c r="D537" s="81"/>
      <c r="E537" s="86"/>
      <c r="F537" s="229">
        <v>0</v>
      </c>
      <c r="G537" s="229">
        <v>0</v>
      </c>
      <c r="H537" s="229">
        <v>0</v>
      </c>
      <c r="I537" s="229">
        <v>0</v>
      </c>
      <c r="J537" s="229">
        <v>0</v>
      </c>
      <c r="K537" s="229">
        <v>0</v>
      </c>
      <c r="L537" s="229">
        <v>0</v>
      </c>
      <c r="M537" s="229">
        <v>0</v>
      </c>
      <c r="N537" s="229">
        <v>0</v>
      </c>
      <c r="O537" s="229">
        <v>0</v>
      </c>
      <c r="P537" s="229">
        <v>0</v>
      </c>
      <c r="Q537" s="229">
        <v>0</v>
      </c>
      <c r="R537" s="229">
        <v>0</v>
      </c>
      <c r="S537" s="229">
        <v>0</v>
      </c>
      <c r="T537" s="229">
        <v>0</v>
      </c>
      <c r="U537" s="229">
        <v>0</v>
      </c>
      <c r="V537" s="229">
        <v>0</v>
      </c>
      <c r="W537" s="229">
        <v>0</v>
      </c>
      <c r="X537" s="229">
        <v>0</v>
      </c>
      <c r="Y537" s="229">
        <v>0</v>
      </c>
      <c r="Z537" s="229">
        <v>0</v>
      </c>
      <c r="AA537" s="229">
        <v>0</v>
      </c>
      <c r="AB537" s="229">
        <v>0</v>
      </c>
      <c r="AC537" s="229">
        <v>0</v>
      </c>
      <c r="AD537" s="229">
        <v>0</v>
      </c>
      <c r="AE537" s="229">
        <v>0</v>
      </c>
      <c r="AF537" s="229">
        <v>0</v>
      </c>
      <c r="AG537" s="229">
        <v>0</v>
      </c>
      <c r="AH537" s="229">
        <v>0</v>
      </c>
      <c r="AI537" s="229">
        <v>0</v>
      </c>
      <c r="AJ537" s="229">
        <v>0</v>
      </c>
      <c r="AK537" s="229">
        <v>0</v>
      </c>
      <c r="AL537" s="229">
        <v>0</v>
      </c>
      <c r="AM537" s="229">
        <v>0</v>
      </c>
      <c r="AN537" s="229">
        <v>0</v>
      </c>
      <c r="AO537" s="229">
        <v>0</v>
      </c>
      <c r="AP537" s="229">
        <v>0</v>
      </c>
      <c r="AQ537" s="229">
        <v>0</v>
      </c>
      <c r="AR537" s="229">
        <v>0</v>
      </c>
      <c r="AS537" s="229">
        <v>0</v>
      </c>
      <c r="AT537" s="229">
        <v>0</v>
      </c>
      <c r="AU537" s="229">
        <v>0</v>
      </c>
      <c r="AV537" s="229">
        <v>0</v>
      </c>
      <c r="AW537" s="229">
        <v>0</v>
      </c>
      <c r="AX537" s="229">
        <v>0</v>
      </c>
      <c r="AY537" s="229">
        <v>0</v>
      </c>
      <c r="AZ537" s="229">
        <v>0</v>
      </c>
      <c r="BA537" s="229">
        <v>0</v>
      </c>
      <c r="BB537" s="229">
        <v>0</v>
      </c>
      <c r="BC537" s="229">
        <v>0</v>
      </c>
    </row>
    <row r="538" spans="3:55" outlineLevel="2" x14ac:dyDescent="0.2">
      <c r="C538" s="162" t="str">
        <v>Hub to Core punto de acceso a anillos: 1024</v>
      </c>
      <c r="D538" s="81"/>
      <c r="E538" s="86"/>
      <c r="F538" s="229">
        <v>0</v>
      </c>
      <c r="G538" s="229">
        <v>0</v>
      </c>
      <c r="H538" s="229">
        <v>0</v>
      </c>
      <c r="I538" s="229">
        <v>0</v>
      </c>
      <c r="J538" s="229">
        <v>0</v>
      </c>
      <c r="K538" s="229">
        <v>0</v>
      </c>
      <c r="L538" s="229">
        <v>0</v>
      </c>
      <c r="M538" s="229">
        <v>0</v>
      </c>
      <c r="N538" s="229">
        <v>0</v>
      </c>
      <c r="O538" s="229">
        <v>0</v>
      </c>
      <c r="P538" s="229">
        <v>0</v>
      </c>
      <c r="Q538" s="229">
        <v>0</v>
      </c>
      <c r="R538" s="229">
        <v>0</v>
      </c>
      <c r="S538" s="229">
        <v>0</v>
      </c>
      <c r="T538" s="229">
        <v>0</v>
      </c>
      <c r="U538" s="229">
        <v>0</v>
      </c>
      <c r="V538" s="229">
        <v>0</v>
      </c>
      <c r="W538" s="229">
        <v>0</v>
      </c>
      <c r="X538" s="229">
        <v>0</v>
      </c>
      <c r="Y538" s="229">
        <v>0</v>
      </c>
      <c r="Z538" s="229">
        <v>0</v>
      </c>
      <c r="AA538" s="229">
        <v>0</v>
      </c>
      <c r="AB538" s="229">
        <v>0</v>
      </c>
      <c r="AC538" s="229">
        <v>0</v>
      </c>
      <c r="AD538" s="229">
        <v>0</v>
      </c>
      <c r="AE538" s="229">
        <v>0</v>
      </c>
      <c r="AF538" s="229">
        <v>0</v>
      </c>
      <c r="AG538" s="229">
        <v>0</v>
      </c>
      <c r="AH538" s="229">
        <v>0</v>
      </c>
      <c r="AI538" s="229">
        <v>0</v>
      </c>
      <c r="AJ538" s="229">
        <v>0</v>
      </c>
      <c r="AK538" s="229">
        <v>0</v>
      </c>
      <c r="AL538" s="229">
        <v>0</v>
      </c>
      <c r="AM538" s="229">
        <v>0</v>
      </c>
      <c r="AN538" s="229">
        <v>0</v>
      </c>
      <c r="AO538" s="229">
        <v>0</v>
      </c>
      <c r="AP538" s="229">
        <v>0</v>
      </c>
      <c r="AQ538" s="229">
        <v>0</v>
      </c>
      <c r="AR538" s="229">
        <v>0</v>
      </c>
      <c r="AS538" s="229">
        <v>0</v>
      </c>
      <c r="AT538" s="229">
        <v>0</v>
      </c>
      <c r="AU538" s="229">
        <v>0</v>
      </c>
      <c r="AV538" s="229">
        <v>0</v>
      </c>
      <c r="AW538" s="229">
        <v>0</v>
      </c>
      <c r="AX538" s="229">
        <v>0</v>
      </c>
      <c r="AY538" s="229">
        <v>0</v>
      </c>
      <c r="AZ538" s="229">
        <v>0</v>
      </c>
      <c r="BA538" s="229">
        <v>0</v>
      </c>
      <c r="BB538" s="229">
        <v>0</v>
      </c>
      <c r="BC538" s="229">
        <v>0</v>
      </c>
    </row>
    <row r="539" spans="3:55" outlineLevel="2" x14ac:dyDescent="0.2">
      <c r="C539" s="162" t="str">
        <v>Hub to Core punto de acceso a anillos: 2048</v>
      </c>
      <c r="D539" s="81"/>
      <c r="E539" s="86"/>
      <c r="F539" s="229">
        <v>0</v>
      </c>
      <c r="G539" s="229">
        <v>0</v>
      </c>
      <c r="H539" s="229">
        <v>0</v>
      </c>
      <c r="I539" s="229">
        <v>0</v>
      </c>
      <c r="J539" s="229">
        <v>0</v>
      </c>
      <c r="K539" s="229">
        <v>0</v>
      </c>
      <c r="L539" s="229">
        <v>0</v>
      </c>
      <c r="M539" s="229">
        <v>0</v>
      </c>
      <c r="N539" s="229">
        <v>0</v>
      </c>
      <c r="O539" s="229">
        <v>0</v>
      </c>
      <c r="P539" s="229">
        <v>0</v>
      </c>
      <c r="Q539" s="229">
        <v>0</v>
      </c>
      <c r="R539" s="229">
        <v>0</v>
      </c>
      <c r="S539" s="229">
        <v>0</v>
      </c>
      <c r="T539" s="229">
        <v>0</v>
      </c>
      <c r="U539" s="229">
        <v>0</v>
      </c>
      <c r="V539" s="229">
        <v>0</v>
      </c>
      <c r="W539" s="229">
        <v>0</v>
      </c>
      <c r="X539" s="229">
        <v>0</v>
      </c>
      <c r="Y539" s="229">
        <v>0</v>
      </c>
      <c r="Z539" s="229">
        <v>0</v>
      </c>
      <c r="AA539" s="229">
        <v>0</v>
      </c>
      <c r="AB539" s="229">
        <v>0</v>
      </c>
      <c r="AC539" s="229">
        <v>0</v>
      </c>
      <c r="AD539" s="229">
        <v>0</v>
      </c>
      <c r="AE539" s="229">
        <v>0</v>
      </c>
      <c r="AF539" s="229">
        <v>0</v>
      </c>
      <c r="AG539" s="229">
        <v>0</v>
      </c>
      <c r="AH539" s="229">
        <v>0</v>
      </c>
      <c r="AI539" s="229">
        <v>0</v>
      </c>
      <c r="AJ539" s="229">
        <v>0</v>
      </c>
      <c r="AK539" s="229">
        <v>0</v>
      </c>
      <c r="AL539" s="229">
        <v>0</v>
      </c>
      <c r="AM539" s="229">
        <v>0</v>
      </c>
      <c r="AN539" s="229">
        <v>0</v>
      </c>
      <c r="AO539" s="229">
        <v>0</v>
      </c>
      <c r="AP539" s="229">
        <v>0</v>
      </c>
      <c r="AQ539" s="229">
        <v>0</v>
      </c>
      <c r="AR539" s="229">
        <v>0</v>
      </c>
      <c r="AS539" s="229">
        <v>0</v>
      </c>
      <c r="AT539" s="229">
        <v>0</v>
      </c>
      <c r="AU539" s="229">
        <v>0</v>
      </c>
      <c r="AV539" s="229">
        <v>0</v>
      </c>
      <c r="AW539" s="229">
        <v>0</v>
      </c>
      <c r="AX539" s="229">
        <v>0</v>
      </c>
      <c r="AY539" s="229">
        <v>0</v>
      </c>
      <c r="AZ539" s="229">
        <v>0</v>
      </c>
      <c r="BA539" s="229">
        <v>0</v>
      </c>
      <c r="BB539" s="229">
        <v>0</v>
      </c>
      <c r="BC539" s="229">
        <v>0</v>
      </c>
    </row>
    <row r="540" spans="3:55" outlineLevel="2" x14ac:dyDescent="0.2">
      <c r="C540" s="162" t="str">
        <v>Hub to Core punto de acceso a anillos: 10240</v>
      </c>
      <c r="D540" s="81"/>
      <c r="E540" s="86"/>
      <c r="F540" s="229">
        <v>0</v>
      </c>
      <c r="G540" s="229">
        <v>0</v>
      </c>
      <c r="H540" s="229">
        <v>0</v>
      </c>
      <c r="I540" s="229">
        <v>0</v>
      </c>
      <c r="J540" s="229">
        <v>0</v>
      </c>
      <c r="K540" s="229">
        <v>0</v>
      </c>
      <c r="L540" s="229">
        <v>0</v>
      </c>
      <c r="M540" s="229">
        <v>0</v>
      </c>
      <c r="N540" s="229">
        <v>0</v>
      </c>
      <c r="O540" s="229">
        <v>0</v>
      </c>
      <c r="P540" s="229">
        <v>0</v>
      </c>
      <c r="Q540" s="229">
        <v>0</v>
      </c>
      <c r="R540" s="229">
        <v>0</v>
      </c>
      <c r="S540" s="229">
        <v>0</v>
      </c>
      <c r="T540" s="229">
        <v>0</v>
      </c>
      <c r="U540" s="229">
        <v>0</v>
      </c>
      <c r="V540" s="229">
        <v>0</v>
      </c>
      <c r="W540" s="229">
        <v>0</v>
      </c>
      <c r="X540" s="229">
        <v>0</v>
      </c>
      <c r="Y540" s="229">
        <v>0</v>
      </c>
      <c r="Z540" s="229">
        <v>0</v>
      </c>
      <c r="AA540" s="229">
        <v>0</v>
      </c>
      <c r="AB540" s="229">
        <v>0</v>
      </c>
      <c r="AC540" s="229">
        <v>0</v>
      </c>
      <c r="AD540" s="229">
        <v>0</v>
      </c>
      <c r="AE540" s="229">
        <v>0</v>
      </c>
      <c r="AF540" s="229">
        <v>0</v>
      </c>
      <c r="AG540" s="229">
        <v>0</v>
      </c>
      <c r="AH540" s="229">
        <v>0</v>
      </c>
      <c r="AI540" s="229">
        <v>0</v>
      </c>
      <c r="AJ540" s="229">
        <v>0</v>
      </c>
      <c r="AK540" s="229">
        <v>0</v>
      </c>
      <c r="AL540" s="229">
        <v>0</v>
      </c>
      <c r="AM540" s="229">
        <v>0</v>
      </c>
      <c r="AN540" s="229">
        <v>0</v>
      </c>
      <c r="AO540" s="229">
        <v>0</v>
      </c>
      <c r="AP540" s="229">
        <v>0</v>
      </c>
      <c r="AQ540" s="229">
        <v>0</v>
      </c>
      <c r="AR540" s="229">
        <v>0</v>
      </c>
      <c r="AS540" s="229">
        <v>0</v>
      </c>
      <c r="AT540" s="229">
        <v>0</v>
      </c>
      <c r="AU540" s="229">
        <v>0</v>
      </c>
      <c r="AV540" s="229">
        <v>0</v>
      </c>
      <c r="AW540" s="229">
        <v>0</v>
      </c>
      <c r="AX540" s="229">
        <v>0</v>
      </c>
      <c r="AY540" s="229">
        <v>0</v>
      </c>
      <c r="AZ540" s="229">
        <v>0</v>
      </c>
      <c r="BA540" s="229">
        <v>0</v>
      </c>
      <c r="BB540" s="229">
        <v>0</v>
      </c>
      <c r="BC540" s="229">
        <v>0</v>
      </c>
    </row>
    <row r="541" spans="3:55" outlineLevel="2" x14ac:dyDescent="0.2">
      <c r="C541" s="162" t="str">
        <v>Hub to Core - longitud de los anillos de fibra</v>
      </c>
      <c r="D541" s="81"/>
      <c r="E541" s="86"/>
      <c r="F541" s="229">
        <v>0</v>
      </c>
      <c r="G541" s="229">
        <v>0</v>
      </c>
      <c r="H541" s="229">
        <v>0</v>
      </c>
      <c r="I541" s="229">
        <v>0</v>
      </c>
      <c r="J541" s="229">
        <v>0</v>
      </c>
      <c r="K541" s="229">
        <v>0</v>
      </c>
      <c r="L541" s="229">
        <v>0</v>
      </c>
      <c r="M541" s="229">
        <v>0</v>
      </c>
      <c r="N541" s="229">
        <v>0</v>
      </c>
      <c r="O541" s="229">
        <v>0</v>
      </c>
      <c r="P541" s="229">
        <v>0</v>
      </c>
      <c r="Q541" s="229">
        <v>0</v>
      </c>
      <c r="R541" s="229">
        <v>0</v>
      </c>
      <c r="S541" s="229">
        <v>0</v>
      </c>
      <c r="T541" s="229">
        <v>0</v>
      </c>
      <c r="U541" s="229">
        <v>0</v>
      </c>
      <c r="V541" s="229">
        <v>0</v>
      </c>
      <c r="W541" s="229">
        <v>0</v>
      </c>
      <c r="X541" s="229">
        <v>0</v>
      </c>
      <c r="Y541" s="229">
        <v>0</v>
      </c>
      <c r="Z541" s="229">
        <v>0</v>
      </c>
      <c r="AA541" s="229">
        <v>0</v>
      </c>
      <c r="AB541" s="229">
        <v>0</v>
      </c>
      <c r="AC541" s="229">
        <v>0</v>
      </c>
      <c r="AD541" s="229">
        <v>0</v>
      </c>
      <c r="AE541" s="229">
        <v>0</v>
      </c>
      <c r="AF541" s="229">
        <v>0</v>
      </c>
      <c r="AG541" s="229">
        <v>0</v>
      </c>
      <c r="AH541" s="229">
        <v>0</v>
      </c>
      <c r="AI541" s="229">
        <v>0</v>
      </c>
      <c r="AJ541" s="229">
        <v>0</v>
      </c>
      <c r="AK541" s="229">
        <v>0</v>
      </c>
      <c r="AL541" s="229">
        <v>0</v>
      </c>
      <c r="AM541" s="229">
        <v>0</v>
      </c>
      <c r="AN541" s="229">
        <v>0</v>
      </c>
      <c r="AO541" s="229">
        <v>0</v>
      </c>
      <c r="AP541" s="229">
        <v>0</v>
      </c>
      <c r="AQ541" s="229">
        <v>0</v>
      </c>
      <c r="AR541" s="229">
        <v>0</v>
      </c>
      <c r="AS541" s="229">
        <v>0</v>
      </c>
      <c r="AT541" s="229">
        <v>0</v>
      </c>
      <c r="AU541" s="229">
        <v>0</v>
      </c>
      <c r="AV541" s="229">
        <v>0</v>
      </c>
      <c r="AW541" s="229">
        <v>0</v>
      </c>
      <c r="AX541" s="229">
        <v>0</v>
      </c>
      <c r="AY541" s="229">
        <v>0</v>
      </c>
      <c r="AZ541" s="229">
        <v>0</v>
      </c>
      <c r="BA541" s="229">
        <v>0</v>
      </c>
      <c r="BB541" s="229">
        <v>0</v>
      </c>
      <c r="BC541" s="229">
        <v>0</v>
      </c>
    </row>
    <row r="542" spans="3:55" outlineLevel="2" x14ac:dyDescent="0.2">
      <c r="C542" s="162" t="str">
        <v>Sitios BSC remotos</v>
      </c>
      <c r="D542" s="81"/>
      <c r="E542" s="86"/>
      <c r="F542" s="229">
        <v>0</v>
      </c>
      <c r="G542" s="229">
        <v>0</v>
      </c>
      <c r="H542" s="229">
        <v>0</v>
      </c>
      <c r="I542" s="229">
        <v>0</v>
      </c>
      <c r="J542" s="229">
        <v>0</v>
      </c>
      <c r="K542" s="229">
        <v>0</v>
      </c>
      <c r="L542" s="229">
        <v>0</v>
      </c>
      <c r="M542" s="229">
        <v>0</v>
      </c>
      <c r="N542" s="229">
        <v>0</v>
      </c>
      <c r="O542" s="229">
        <v>0</v>
      </c>
      <c r="P542" s="229">
        <v>0</v>
      </c>
      <c r="Q542" s="229">
        <v>0</v>
      </c>
      <c r="R542" s="229">
        <v>0</v>
      </c>
      <c r="S542" s="229">
        <v>0</v>
      </c>
      <c r="T542" s="229">
        <v>0</v>
      </c>
      <c r="U542" s="229">
        <v>0</v>
      </c>
      <c r="V542" s="229">
        <v>0</v>
      </c>
      <c r="W542" s="229">
        <v>0</v>
      </c>
      <c r="X542" s="229">
        <v>0</v>
      </c>
      <c r="Y542" s="229">
        <v>0</v>
      </c>
      <c r="Z542" s="229">
        <v>0</v>
      </c>
      <c r="AA542" s="229">
        <v>0</v>
      </c>
      <c r="AB542" s="229">
        <v>0</v>
      </c>
      <c r="AC542" s="229">
        <v>0</v>
      </c>
      <c r="AD542" s="229">
        <v>0</v>
      </c>
      <c r="AE542" s="229">
        <v>0</v>
      </c>
      <c r="AF542" s="229">
        <v>0</v>
      </c>
      <c r="AG542" s="229">
        <v>0</v>
      </c>
      <c r="AH542" s="229">
        <v>0</v>
      </c>
      <c r="AI542" s="229">
        <v>0</v>
      </c>
      <c r="AJ542" s="229">
        <v>0</v>
      </c>
      <c r="AK542" s="229">
        <v>0</v>
      </c>
      <c r="AL542" s="229">
        <v>0</v>
      </c>
      <c r="AM542" s="229">
        <v>0</v>
      </c>
      <c r="AN542" s="229">
        <v>0</v>
      </c>
      <c r="AO542" s="229">
        <v>0</v>
      </c>
      <c r="AP542" s="229">
        <v>0</v>
      </c>
      <c r="AQ542" s="229">
        <v>0</v>
      </c>
      <c r="AR542" s="229">
        <v>0</v>
      </c>
      <c r="AS542" s="229">
        <v>0</v>
      </c>
      <c r="AT542" s="229">
        <v>0</v>
      </c>
      <c r="AU542" s="229">
        <v>0</v>
      </c>
      <c r="AV542" s="229">
        <v>0</v>
      </c>
      <c r="AW542" s="229">
        <v>0</v>
      </c>
      <c r="AX542" s="229">
        <v>0</v>
      </c>
      <c r="AY542" s="229">
        <v>0</v>
      </c>
      <c r="AZ542" s="229">
        <v>0</v>
      </c>
      <c r="BA542" s="229">
        <v>0</v>
      </c>
      <c r="BB542" s="229">
        <v>0</v>
      </c>
      <c r="BC542" s="229">
        <v>0</v>
      </c>
    </row>
    <row r="543" spans="3:55" outlineLevel="2" x14ac:dyDescent="0.2">
      <c r="C543" s="162" t="str">
        <v>Sitios RNC remotos</v>
      </c>
      <c r="D543" s="81"/>
      <c r="E543" s="86"/>
      <c r="F543" s="229">
        <v>0</v>
      </c>
      <c r="G543" s="229">
        <v>0</v>
      </c>
      <c r="H543" s="229">
        <v>0</v>
      </c>
      <c r="I543" s="229">
        <v>0</v>
      </c>
      <c r="J543" s="229">
        <v>0</v>
      </c>
      <c r="K543" s="229">
        <v>0</v>
      </c>
      <c r="L543" s="229">
        <v>0</v>
      </c>
      <c r="M543" s="229">
        <v>0</v>
      </c>
      <c r="N543" s="229">
        <v>0</v>
      </c>
      <c r="O543" s="229">
        <v>0</v>
      </c>
      <c r="P543" s="229">
        <v>0</v>
      </c>
      <c r="Q543" s="229">
        <v>0</v>
      </c>
      <c r="R543" s="229">
        <v>0</v>
      </c>
      <c r="S543" s="229">
        <v>0</v>
      </c>
      <c r="T543" s="229">
        <v>0</v>
      </c>
      <c r="U543" s="229">
        <v>0</v>
      </c>
      <c r="V543" s="229">
        <v>0</v>
      </c>
      <c r="W543" s="229">
        <v>0</v>
      </c>
      <c r="X543" s="229">
        <v>0</v>
      </c>
      <c r="Y543" s="229">
        <v>0</v>
      </c>
      <c r="Z543" s="229">
        <v>0</v>
      </c>
      <c r="AA543" s="229">
        <v>0</v>
      </c>
      <c r="AB543" s="229">
        <v>0</v>
      </c>
      <c r="AC543" s="229">
        <v>0</v>
      </c>
      <c r="AD543" s="229">
        <v>0</v>
      </c>
      <c r="AE543" s="229">
        <v>0</v>
      </c>
      <c r="AF543" s="229">
        <v>0</v>
      </c>
      <c r="AG543" s="229">
        <v>0</v>
      </c>
      <c r="AH543" s="229">
        <v>0</v>
      </c>
      <c r="AI543" s="229">
        <v>0</v>
      </c>
      <c r="AJ543" s="229">
        <v>0</v>
      </c>
      <c r="AK543" s="229">
        <v>0</v>
      </c>
      <c r="AL543" s="229">
        <v>0</v>
      </c>
      <c r="AM543" s="229">
        <v>0</v>
      </c>
      <c r="AN543" s="229">
        <v>0</v>
      </c>
      <c r="AO543" s="229">
        <v>0</v>
      </c>
      <c r="AP543" s="229">
        <v>0</v>
      </c>
      <c r="AQ543" s="229">
        <v>0</v>
      </c>
      <c r="AR543" s="229">
        <v>0</v>
      </c>
      <c r="AS543" s="229">
        <v>0</v>
      </c>
      <c r="AT543" s="229">
        <v>0</v>
      </c>
      <c r="AU543" s="229">
        <v>0</v>
      </c>
      <c r="AV543" s="229">
        <v>0</v>
      </c>
      <c r="AW543" s="229">
        <v>0</v>
      </c>
      <c r="AX543" s="229">
        <v>0</v>
      </c>
      <c r="AY543" s="229">
        <v>0</v>
      </c>
      <c r="AZ543" s="229">
        <v>0</v>
      </c>
      <c r="BA543" s="229">
        <v>0</v>
      </c>
      <c r="BB543" s="229">
        <v>0</v>
      </c>
      <c r="BC543" s="229">
        <v>0</v>
      </c>
    </row>
    <row r="544" spans="3:55" outlineLevel="2" x14ac:dyDescent="0.2">
      <c r="C544" s="162" t="str">
        <v>BSC: 2100</v>
      </c>
      <c r="D544" s="81"/>
      <c r="E544" s="86"/>
      <c r="F544" s="229">
        <v>0</v>
      </c>
      <c r="G544" s="229">
        <v>0</v>
      </c>
      <c r="H544" s="229">
        <v>0</v>
      </c>
      <c r="I544" s="229">
        <v>0</v>
      </c>
      <c r="J544" s="229">
        <v>0</v>
      </c>
      <c r="K544" s="229">
        <v>0</v>
      </c>
      <c r="L544" s="229">
        <v>0</v>
      </c>
      <c r="M544" s="229">
        <v>0</v>
      </c>
      <c r="N544" s="229">
        <v>0</v>
      </c>
      <c r="O544" s="229">
        <v>0</v>
      </c>
      <c r="P544" s="229">
        <v>0</v>
      </c>
      <c r="Q544" s="229">
        <v>0</v>
      </c>
      <c r="R544" s="229">
        <v>0</v>
      </c>
      <c r="S544" s="229">
        <v>0</v>
      </c>
      <c r="T544" s="229">
        <v>0</v>
      </c>
      <c r="U544" s="229">
        <v>0</v>
      </c>
      <c r="V544" s="229">
        <v>0</v>
      </c>
      <c r="W544" s="229">
        <v>0</v>
      </c>
      <c r="X544" s="229">
        <v>0</v>
      </c>
      <c r="Y544" s="229">
        <v>0</v>
      </c>
      <c r="Z544" s="229">
        <v>0</v>
      </c>
      <c r="AA544" s="229">
        <v>0</v>
      </c>
      <c r="AB544" s="229">
        <v>0</v>
      </c>
      <c r="AC544" s="229">
        <v>0</v>
      </c>
      <c r="AD544" s="229">
        <v>0</v>
      </c>
      <c r="AE544" s="229">
        <v>0</v>
      </c>
      <c r="AF544" s="229">
        <v>0</v>
      </c>
      <c r="AG544" s="229">
        <v>0</v>
      </c>
      <c r="AH544" s="229">
        <v>0</v>
      </c>
      <c r="AI544" s="229">
        <v>0</v>
      </c>
      <c r="AJ544" s="229">
        <v>0</v>
      </c>
      <c r="AK544" s="229">
        <v>0</v>
      </c>
      <c r="AL544" s="229">
        <v>0</v>
      </c>
      <c r="AM544" s="229">
        <v>0</v>
      </c>
      <c r="AN544" s="229">
        <v>0</v>
      </c>
      <c r="AO544" s="229">
        <v>0</v>
      </c>
      <c r="AP544" s="229">
        <v>0</v>
      </c>
      <c r="AQ544" s="229">
        <v>0</v>
      </c>
      <c r="AR544" s="229">
        <v>0</v>
      </c>
      <c r="AS544" s="229">
        <v>0</v>
      </c>
      <c r="AT544" s="229">
        <v>0</v>
      </c>
      <c r="AU544" s="229">
        <v>0</v>
      </c>
      <c r="AV544" s="229">
        <v>0</v>
      </c>
      <c r="AW544" s="229">
        <v>0</v>
      </c>
      <c r="AX544" s="229">
        <v>0</v>
      </c>
      <c r="AY544" s="229">
        <v>0</v>
      </c>
      <c r="AZ544" s="229">
        <v>0</v>
      </c>
      <c r="BA544" s="229">
        <v>0</v>
      </c>
      <c r="BB544" s="229">
        <v>0</v>
      </c>
      <c r="BC544" s="229">
        <v>0</v>
      </c>
    </row>
    <row r="545" spans="3:55" outlineLevel="2" x14ac:dyDescent="0.2">
      <c r="C545" s="162" t="str">
        <v>BSC: 4200</v>
      </c>
      <c r="D545" s="81"/>
      <c r="E545" s="86"/>
      <c r="F545" s="229">
        <v>103806.99807303965</v>
      </c>
      <c r="G545" s="229">
        <v>3272.0985757235812</v>
      </c>
      <c r="H545" s="229">
        <v>28940.248089378343</v>
      </c>
      <c r="I545" s="229">
        <v>271.62919934643486</v>
      </c>
      <c r="J545" s="229">
        <v>1545.2837484767426</v>
      </c>
      <c r="K545" s="229">
        <v>28940.248089378347</v>
      </c>
      <c r="L545" s="229">
        <v>476.65483875294194</v>
      </c>
      <c r="M545" s="229">
        <v>0</v>
      </c>
      <c r="N545" s="229">
        <v>0</v>
      </c>
      <c r="O545" s="229">
        <v>0</v>
      </c>
      <c r="P545" s="229">
        <v>0</v>
      </c>
      <c r="Q545" s="229">
        <v>0</v>
      </c>
      <c r="R545" s="229">
        <v>0</v>
      </c>
      <c r="S545" s="229">
        <v>0</v>
      </c>
      <c r="T545" s="229">
        <v>0</v>
      </c>
      <c r="U545" s="229">
        <v>0</v>
      </c>
      <c r="V545" s="229">
        <v>0</v>
      </c>
      <c r="W545" s="229">
        <v>0</v>
      </c>
      <c r="X545" s="229">
        <v>0</v>
      </c>
      <c r="Y545" s="229">
        <v>0</v>
      </c>
      <c r="Z545" s="229">
        <v>0</v>
      </c>
      <c r="AA545" s="229">
        <v>0</v>
      </c>
      <c r="AB545" s="229">
        <v>0</v>
      </c>
      <c r="AC545" s="229">
        <v>0</v>
      </c>
      <c r="AD545" s="229">
        <v>0</v>
      </c>
      <c r="AE545" s="229">
        <v>0</v>
      </c>
      <c r="AF545" s="229">
        <v>0</v>
      </c>
      <c r="AG545" s="229">
        <v>0</v>
      </c>
      <c r="AH545" s="229">
        <v>0</v>
      </c>
      <c r="AI545" s="229">
        <v>0</v>
      </c>
      <c r="AJ545" s="229">
        <v>1949510.7139109368</v>
      </c>
      <c r="AK545" s="229">
        <v>0</v>
      </c>
      <c r="AL545" s="229">
        <v>0</v>
      </c>
      <c r="AM545" s="229">
        <v>0</v>
      </c>
      <c r="AN545" s="229">
        <v>0</v>
      </c>
      <c r="AO545" s="229">
        <v>0</v>
      </c>
      <c r="AP545" s="229">
        <v>0</v>
      </c>
      <c r="AQ545" s="229">
        <v>0</v>
      </c>
      <c r="AR545" s="229">
        <v>0</v>
      </c>
      <c r="AS545" s="229">
        <v>0</v>
      </c>
      <c r="AT545" s="229">
        <v>0</v>
      </c>
      <c r="AU545" s="229">
        <v>0</v>
      </c>
      <c r="AV545" s="229">
        <v>0</v>
      </c>
      <c r="AW545" s="229">
        <v>0</v>
      </c>
      <c r="AX545" s="229">
        <v>0</v>
      </c>
      <c r="AY545" s="229">
        <v>0</v>
      </c>
      <c r="AZ545" s="229">
        <v>0</v>
      </c>
      <c r="BA545" s="229">
        <v>0</v>
      </c>
      <c r="BB545" s="229">
        <v>0</v>
      </c>
      <c r="BC545" s="229">
        <v>0</v>
      </c>
    </row>
    <row r="546" spans="3:55" outlineLevel="2" x14ac:dyDescent="0.2">
      <c r="C546" s="162" t="str">
        <v>BSC: 8000</v>
      </c>
      <c r="D546" s="81"/>
      <c r="E546" s="86"/>
      <c r="F546" s="229">
        <v>0</v>
      </c>
      <c r="G546" s="229">
        <v>0</v>
      </c>
      <c r="H546" s="229">
        <v>0</v>
      </c>
      <c r="I546" s="229">
        <v>0</v>
      </c>
      <c r="J546" s="229">
        <v>0</v>
      </c>
      <c r="K546" s="229">
        <v>0</v>
      </c>
      <c r="L546" s="229">
        <v>0</v>
      </c>
      <c r="M546" s="229">
        <v>0</v>
      </c>
      <c r="N546" s="229">
        <v>0</v>
      </c>
      <c r="O546" s="229">
        <v>0</v>
      </c>
      <c r="P546" s="229">
        <v>0</v>
      </c>
      <c r="Q546" s="229">
        <v>0</v>
      </c>
      <c r="R546" s="229">
        <v>0</v>
      </c>
      <c r="S546" s="229">
        <v>0</v>
      </c>
      <c r="T546" s="229">
        <v>0</v>
      </c>
      <c r="U546" s="229">
        <v>0</v>
      </c>
      <c r="V546" s="229">
        <v>0</v>
      </c>
      <c r="W546" s="229">
        <v>0</v>
      </c>
      <c r="X546" s="229">
        <v>0</v>
      </c>
      <c r="Y546" s="229">
        <v>0</v>
      </c>
      <c r="Z546" s="229">
        <v>0</v>
      </c>
      <c r="AA546" s="229">
        <v>0</v>
      </c>
      <c r="AB546" s="229">
        <v>0</v>
      </c>
      <c r="AC546" s="229">
        <v>0</v>
      </c>
      <c r="AD546" s="229">
        <v>0</v>
      </c>
      <c r="AE546" s="229">
        <v>0</v>
      </c>
      <c r="AF546" s="229">
        <v>0</v>
      </c>
      <c r="AG546" s="229">
        <v>0</v>
      </c>
      <c r="AH546" s="229">
        <v>0</v>
      </c>
      <c r="AI546" s="229">
        <v>0</v>
      </c>
      <c r="AJ546" s="229">
        <v>0</v>
      </c>
      <c r="AK546" s="229">
        <v>0</v>
      </c>
      <c r="AL546" s="229">
        <v>0</v>
      </c>
      <c r="AM546" s="229">
        <v>0</v>
      </c>
      <c r="AN546" s="229">
        <v>0</v>
      </c>
      <c r="AO546" s="229">
        <v>0</v>
      </c>
      <c r="AP546" s="229">
        <v>0</v>
      </c>
      <c r="AQ546" s="229">
        <v>0</v>
      </c>
      <c r="AR546" s="229">
        <v>0</v>
      </c>
      <c r="AS546" s="229">
        <v>0</v>
      </c>
      <c r="AT546" s="229">
        <v>0</v>
      </c>
      <c r="AU546" s="229">
        <v>0</v>
      </c>
      <c r="AV546" s="229">
        <v>0</v>
      </c>
      <c r="AW546" s="229">
        <v>0</v>
      </c>
      <c r="AX546" s="229">
        <v>0</v>
      </c>
      <c r="AY546" s="229">
        <v>0</v>
      </c>
      <c r="AZ546" s="229">
        <v>0</v>
      </c>
      <c r="BA546" s="229">
        <v>0</v>
      </c>
      <c r="BB546" s="229">
        <v>0</v>
      </c>
      <c r="BC546" s="229">
        <v>0</v>
      </c>
    </row>
    <row r="547" spans="3:55" outlineLevel="2" x14ac:dyDescent="0.2">
      <c r="C547" s="162" t="str">
        <v>RNC: 1600</v>
      </c>
      <c r="D547" s="81"/>
      <c r="E547" s="86"/>
      <c r="F547" s="229">
        <v>0</v>
      </c>
      <c r="G547" s="229">
        <v>0</v>
      </c>
      <c r="H547" s="229">
        <v>0</v>
      </c>
      <c r="I547" s="229">
        <v>0</v>
      </c>
      <c r="J547" s="229">
        <v>0</v>
      </c>
      <c r="K547" s="229">
        <v>0</v>
      </c>
      <c r="L547" s="229">
        <v>0</v>
      </c>
      <c r="M547" s="229">
        <v>0</v>
      </c>
      <c r="N547" s="229">
        <v>0</v>
      </c>
      <c r="O547" s="229">
        <v>0</v>
      </c>
      <c r="P547" s="229">
        <v>0</v>
      </c>
      <c r="Q547" s="229">
        <v>0</v>
      </c>
      <c r="R547" s="229">
        <v>0</v>
      </c>
      <c r="S547" s="229">
        <v>0</v>
      </c>
      <c r="T547" s="229">
        <v>0</v>
      </c>
      <c r="U547" s="229">
        <v>0</v>
      </c>
      <c r="V547" s="229">
        <v>0</v>
      </c>
      <c r="W547" s="229">
        <v>0</v>
      </c>
      <c r="X547" s="229">
        <v>0</v>
      </c>
      <c r="Y547" s="229">
        <v>0</v>
      </c>
      <c r="Z547" s="229">
        <v>0</v>
      </c>
      <c r="AA547" s="229">
        <v>0</v>
      </c>
      <c r="AB547" s="229">
        <v>0</v>
      </c>
      <c r="AC547" s="229">
        <v>0</v>
      </c>
      <c r="AD547" s="229">
        <v>0</v>
      </c>
      <c r="AE547" s="229">
        <v>0</v>
      </c>
      <c r="AF547" s="229">
        <v>0</v>
      </c>
      <c r="AG547" s="229">
        <v>0</v>
      </c>
      <c r="AH547" s="229">
        <v>0</v>
      </c>
      <c r="AI547" s="229">
        <v>0</v>
      </c>
      <c r="AJ547" s="229">
        <v>0</v>
      </c>
      <c r="AK547" s="229">
        <v>0</v>
      </c>
      <c r="AL547" s="229">
        <v>0</v>
      </c>
      <c r="AM547" s="229">
        <v>0</v>
      </c>
      <c r="AN547" s="229">
        <v>0</v>
      </c>
      <c r="AO547" s="229">
        <v>0</v>
      </c>
      <c r="AP547" s="229">
        <v>0</v>
      </c>
      <c r="AQ547" s="229">
        <v>0</v>
      </c>
      <c r="AR547" s="229">
        <v>0</v>
      </c>
      <c r="AS547" s="229">
        <v>0</v>
      </c>
      <c r="AT547" s="229">
        <v>0</v>
      </c>
      <c r="AU547" s="229">
        <v>0</v>
      </c>
      <c r="AV547" s="229">
        <v>0</v>
      </c>
      <c r="AW547" s="229">
        <v>0</v>
      </c>
      <c r="AX547" s="229">
        <v>0</v>
      </c>
      <c r="AY547" s="229">
        <v>0</v>
      </c>
      <c r="AZ547" s="229">
        <v>0</v>
      </c>
      <c r="BA547" s="229">
        <v>0</v>
      </c>
      <c r="BB547" s="229">
        <v>0</v>
      </c>
      <c r="BC547" s="229">
        <v>0</v>
      </c>
    </row>
    <row r="548" spans="3:55" outlineLevel="2" x14ac:dyDescent="0.2">
      <c r="C548" s="162" t="str">
        <v>RNC: 2600</v>
      </c>
      <c r="D548" s="81"/>
      <c r="E548" s="86"/>
      <c r="F548" s="229">
        <v>0</v>
      </c>
      <c r="G548" s="229">
        <v>0</v>
      </c>
      <c r="H548" s="229">
        <v>0</v>
      </c>
      <c r="I548" s="229">
        <v>0</v>
      </c>
      <c r="J548" s="229">
        <v>0</v>
      </c>
      <c r="K548" s="229">
        <v>0</v>
      </c>
      <c r="L548" s="229">
        <v>0</v>
      </c>
      <c r="M548" s="229">
        <v>7053064.7758779693</v>
      </c>
      <c r="N548" s="229">
        <v>222319.53178530719</v>
      </c>
      <c r="O548" s="229">
        <v>1966316.8013079904</v>
      </c>
      <c r="P548" s="229">
        <v>18455.579812280917</v>
      </c>
      <c r="Q548" s="229">
        <v>104992.79024954894</v>
      </c>
      <c r="R548" s="229">
        <v>1966316.8013079907</v>
      </c>
      <c r="S548" s="229">
        <v>32385.846001391128</v>
      </c>
      <c r="T548" s="229">
        <v>0</v>
      </c>
      <c r="U548" s="229">
        <v>0</v>
      </c>
      <c r="V548" s="229">
        <v>0</v>
      </c>
      <c r="W548" s="229">
        <v>0</v>
      </c>
      <c r="X548" s="229">
        <v>0</v>
      </c>
      <c r="Y548" s="229">
        <v>0</v>
      </c>
      <c r="Z548" s="229">
        <v>0</v>
      </c>
      <c r="AA548" s="229">
        <v>0</v>
      </c>
      <c r="AB548" s="229">
        <v>0</v>
      </c>
      <c r="AC548" s="229">
        <v>0</v>
      </c>
      <c r="AD548" s="229">
        <v>344.4245714947678</v>
      </c>
      <c r="AE548" s="229">
        <v>143.04058084091085</v>
      </c>
      <c r="AF548" s="229">
        <v>130.35336876076292</v>
      </c>
      <c r="AG548" s="229">
        <v>0</v>
      </c>
      <c r="AH548" s="229">
        <v>0</v>
      </c>
      <c r="AI548" s="229">
        <v>0</v>
      </c>
      <c r="AJ548" s="229">
        <v>0</v>
      </c>
      <c r="AK548" s="229">
        <v>3464815.7268886263</v>
      </c>
      <c r="AL548" s="229">
        <v>6760504.3203252405</v>
      </c>
      <c r="AM548" s="229">
        <v>0</v>
      </c>
      <c r="AN548" s="229">
        <v>0</v>
      </c>
      <c r="AO548" s="229">
        <v>0</v>
      </c>
      <c r="AP548" s="229">
        <v>0</v>
      </c>
      <c r="AQ548" s="229">
        <v>0</v>
      </c>
      <c r="AR548" s="229">
        <v>0</v>
      </c>
      <c r="AS548" s="229">
        <v>0</v>
      </c>
      <c r="AT548" s="229">
        <v>0</v>
      </c>
      <c r="AU548" s="229">
        <v>0</v>
      </c>
      <c r="AV548" s="229">
        <v>0</v>
      </c>
      <c r="AW548" s="229">
        <v>0</v>
      </c>
      <c r="AX548" s="229">
        <v>0</v>
      </c>
      <c r="AY548" s="229">
        <v>0</v>
      </c>
      <c r="AZ548" s="229">
        <v>0</v>
      </c>
      <c r="BA548" s="229">
        <v>0</v>
      </c>
      <c r="BB548" s="229">
        <v>0</v>
      </c>
      <c r="BC548" s="229">
        <v>0</v>
      </c>
    </row>
    <row r="549" spans="3:55" outlineLevel="2" x14ac:dyDescent="0.2">
      <c r="C549" s="162" t="str">
        <v>RNC: 5000</v>
      </c>
      <c r="D549" s="81"/>
      <c r="E549" s="86"/>
      <c r="F549" s="229">
        <v>0</v>
      </c>
      <c r="G549" s="229">
        <v>0</v>
      </c>
      <c r="H549" s="229">
        <v>0</v>
      </c>
      <c r="I549" s="229">
        <v>0</v>
      </c>
      <c r="J549" s="229">
        <v>0</v>
      </c>
      <c r="K549" s="229">
        <v>0</v>
      </c>
      <c r="L549" s="229">
        <v>0</v>
      </c>
      <c r="M549" s="229">
        <v>0</v>
      </c>
      <c r="N549" s="229">
        <v>0</v>
      </c>
      <c r="O549" s="229">
        <v>0</v>
      </c>
      <c r="P549" s="229">
        <v>0</v>
      </c>
      <c r="Q549" s="229">
        <v>0</v>
      </c>
      <c r="R549" s="229">
        <v>0</v>
      </c>
      <c r="S549" s="229">
        <v>0</v>
      </c>
      <c r="T549" s="229">
        <v>0</v>
      </c>
      <c r="U549" s="229">
        <v>0</v>
      </c>
      <c r="V549" s="229">
        <v>0</v>
      </c>
      <c r="W549" s="229">
        <v>0</v>
      </c>
      <c r="X549" s="229">
        <v>0</v>
      </c>
      <c r="Y549" s="229">
        <v>0</v>
      </c>
      <c r="Z549" s="229">
        <v>0</v>
      </c>
      <c r="AA549" s="229">
        <v>0</v>
      </c>
      <c r="AB549" s="229">
        <v>0</v>
      </c>
      <c r="AC549" s="229">
        <v>0</v>
      </c>
      <c r="AD549" s="229">
        <v>0</v>
      </c>
      <c r="AE549" s="229">
        <v>0</v>
      </c>
      <c r="AF549" s="229">
        <v>0</v>
      </c>
      <c r="AG549" s="229">
        <v>0</v>
      </c>
      <c r="AH549" s="229">
        <v>0</v>
      </c>
      <c r="AI549" s="229">
        <v>0</v>
      </c>
      <c r="AJ549" s="229">
        <v>0</v>
      </c>
      <c r="AK549" s="229">
        <v>0</v>
      </c>
      <c r="AL549" s="229">
        <v>0</v>
      </c>
      <c r="AM549" s="229">
        <v>0</v>
      </c>
      <c r="AN549" s="229">
        <v>0</v>
      </c>
      <c r="AO549" s="229">
        <v>0</v>
      </c>
      <c r="AP549" s="229">
        <v>0</v>
      </c>
      <c r="AQ549" s="229">
        <v>0</v>
      </c>
      <c r="AR549" s="229">
        <v>0</v>
      </c>
      <c r="AS549" s="229">
        <v>0</v>
      </c>
      <c r="AT549" s="229">
        <v>0</v>
      </c>
      <c r="AU549" s="229">
        <v>0</v>
      </c>
      <c r="AV549" s="229">
        <v>0</v>
      </c>
      <c r="AW549" s="229">
        <v>0</v>
      </c>
      <c r="AX549" s="229">
        <v>0</v>
      </c>
      <c r="AY549" s="229">
        <v>0</v>
      </c>
      <c r="AZ549" s="229">
        <v>0</v>
      </c>
      <c r="BA549" s="229">
        <v>0</v>
      </c>
      <c r="BB549" s="229">
        <v>0</v>
      </c>
      <c r="BC549" s="229">
        <v>0</v>
      </c>
    </row>
    <row r="550" spans="3:55" outlineLevel="2" x14ac:dyDescent="0.2">
      <c r="C550" s="162" t="str">
        <v>BSC a Core punto de acceso: Voz: 8.45</v>
      </c>
      <c r="D550" s="81"/>
      <c r="E550" s="86"/>
      <c r="F550" s="229">
        <v>0</v>
      </c>
      <c r="G550" s="229">
        <v>0</v>
      </c>
      <c r="H550" s="229">
        <v>0</v>
      </c>
      <c r="I550" s="229">
        <v>0</v>
      </c>
      <c r="J550" s="229">
        <v>0</v>
      </c>
      <c r="K550" s="229">
        <v>0</v>
      </c>
      <c r="L550" s="229">
        <v>0</v>
      </c>
      <c r="M550" s="229">
        <v>0</v>
      </c>
      <c r="N550" s="229">
        <v>0</v>
      </c>
      <c r="O550" s="229">
        <v>0</v>
      </c>
      <c r="P550" s="229">
        <v>0</v>
      </c>
      <c r="Q550" s="229">
        <v>0</v>
      </c>
      <c r="R550" s="229">
        <v>0</v>
      </c>
      <c r="S550" s="229">
        <v>0</v>
      </c>
      <c r="T550" s="229">
        <v>0</v>
      </c>
      <c r="U550" s="229">
        <v>0</v>
      </c>
      <c r="V550" s="229">
        <v>0</v>
      </c>
      <c r="W550" s="229">
        <v>0</v>
      </c>
      <c r="X550" s="229">
        <v>0</v>
      </c>
      <c r="Y550" s="229">
        <v>0</v>
      </c>
      <c r="Z550" s="229">
        <v>0</v>
      </c>
      <c r="AA550" s="229">
        <v>0</v>
      </c>
      <c r="AB550" s="229">
        <v>0</v>
      </c>
      <c r="AC550" s="229">
        <v>0</v>
      </c>
      <c r="AD550" s="229">
        <v>0</v>
      </c>
      <c r="AE550" s="229">
        <v>0</v>
      </c>
      <c r="AF550" s="229">
        <v>0</v>
      </c>
      <c r="AG550" s="229">
        <v>0</v>
      </c>
      <c r="AH550" s="229">
        <v>0</v>
      </c>
      <c r="AI550" s="229">
        <v>0</v>
      </c>
      <c r="AJ550" s="229">
        <v>0</v>
      </c>
      <c r="AK550" s="229">
        <v>0</v>
      </c>
      <c r="AL550" s="229">
        <v>0</v>
      </c>
      <c r="AM550" s="229">
        <v>0</v>
      </c>
      <c r="AN550" s="229">
        <v>0</v>
      </c>
      <c r="AO550" s="229">
        <v>0</v>
      </c>
      <c r="AP550" s="229">
        <v>0</v>
      </c>
      <c r="AQ550" s="229">
        <v>0</v>
      </c>
      <c r="AR550" s="229">
        <v>0</v>
      </c>
      <c r="AS550" s="229">
        <v>0</v>
      </c>
      <c r="AT550" s="229">
        <v>0</v>
      </c>
      <c r="AU550" s="229">
        <v>0</v>
      </c>
      <c r="AV550" s="229">
        <v>0</v>
      </c>
      <c r="AW550" s="229">
        <v>0</v>
      </c>
      <c r="AX550" s="229">
        <v>0</v>
      </c>
      <c r="AY550" s="229">
        <v>0</v>
      </c>
      <c r="AZ550" s="229">
        <v>0</v>
      </c>
      <c r="BA550" s="229">
        <v>0</v>
      </c>
      <c r="BB550" s="229">
        <v>0</v>
      </c>
      <c r="BC550" s="229">
        <v>0</v>
      </c>
    </row>
    <row r="551" spans="3:55" outlineLevel="2" x14ac:dyDescent="0.2">
      <c r="C551" s="162" t="str">
        <v>BSC a Core punto de acceso: Voz: 34.37</v>
      </c>
      <c r="D551" s="81"/>
      <c r="E551" s="86"/>
      <c r="F551" s="229">
        <v>0</v>
      </c>
      <c r="G551" s="229">
        <v>0</v>
      </c>
      <c r="H551" s="229">
        <v>0</v>
      </c>
      <c r="I551" s="229">
        <v>0</v>
      </c>
      <c r="J551" s="229">
        <v>0</v>
      </c>
      <c r="K551" s="229">
        <v>0</v>
      </c>
      <c r="L551" s="229">
        <v>0</v>
      </c>
      <c r="M551" s="229">
        <v>0</v>
      </c>
      <c r="N551" s="229">
        <v>0</v>
      </c>
      <c r="O551" s="229">
        <v>0</v>
      </c>
      <c r="P551" s="229">
        <v>0</v>
      </c>
      <c r="Q551" s="229">
        <v>0</v>
      </c>
      <c r="R551" s="229">
        <v>0</v>
      </c>
      <c r="S551" s="229">
        <v>0</v>
      </c>
      <c r="T551" s="229">
        <v>0</v>
      </c>
      <c r="U551" s="229">
        <v>0</v>
      </c>
      <c r="V551" s="229">
        <v>0</v>
      </c>
      <c r="W551" s="229">
        <v>0</v>
      </c>
      <c r="X551" s="229">
        <v>0</v>
      </c>
      <c r="Y551" s="229">
        <v>0</v>
      </c>
      <c r="Z551" s="229">
        <v>0</v>
      </c>
      <c r="AA551" s="229">
        <v>0</v>
      </c>
      <c r="AB551" s="229">
        <v>0</v>
      </c>
      <c r="AC551" s="229">
        <v>0</v>
      </c>
      <c r="AD551" s="229">
        <v>0</v>
      </c>
      <c r="AE551" s="229">
        <v>0</v>
      </c>
      <c r="AF551" s="229">
        <v>0</v>
      </c>
      <c r="AG551" s="229">
        <v>0</v>
      </c>
      <c r="AH551" s="229">
        <v>0</v>
      </c>
      <c r="AI551" s="229">
        <v>0</v>
      </c>
      <c r="AJ551" s="229">
        <v>0</v>
      </c>
      <c r="AK551" s="229">
        <v>0</v>
      </c>
      <c r="AL551" s="229">
        <v>0</v>
      </c>
      <c r="AM551" s="229">
        <v>0</v>
      </c>
      <c r="AN551" s="229">
        <v>0</v>
      </c>
      <c r="AO551" s="229">
        <v>0</v>
      </c>
      <c r="AP551" s="229">
        <v>0</v>
      </c>
      <c r="AQ551" s="229">
        <v>0</v>
      </c>
      <c r="AR551" s="229">
        <v>0</v>
      </c>
      <c r="AS551" s="229">
        <v>0</v>
      </c>
      <c r="AT551" s="229">
        <v>0</v>
      </c>
      <c r="AU551" s="229">
        <v>0</v>
      </c>
      <c r="AV551" s="229">
        <v>0</v>
      </c>
      <c r="AW551" s="229">
        <v>0</v>
      </c>
      <c r="AX551" s="229">
        <v>0</v>
      </c>
      <c r="AY551" s="229">
        <v>0</v>
      </c>
      <c r="AZ551" s="229">
        <v>0</v>
      </c>
      <c r="BA551" s="229">
        <v>0</v>
      </c>
      <c r="BB551" s="229">
        <v>0</v>
      </c>
      <c r="BC551" s="229">
        <v>0</v>
      </c>
    </row>
    <row r="552" spans="3:55" outlineLevel="2" x14ac:dyDescent="0.2">
      <c r="C552" s="162" t="str">
        <v>BSC a Core punto de acceso: Voz: 155.52</v>
      </c>
      <c r="D552" s="81"/>
      <c r="E552" s="86"/>
      <c r="F552" s="229">
        <v>0</v>
      </c>
      <c r="G552" s="229">
        <v>0</v>
      </c>
      <c r="H552" s="229">
        <v>0</v>
      </c>
      <c r="I552" s="229">
        <v>0</v>
      </c>
      <c r="J552" s="229">
        <v>0</v>
      </c>
      <c r="K552" s="229">
        <v>0</v>
      </c>
      <c r="L552" s="229">
        <v>0</v>
      </c>
      <c r="M552" s="229">
        <v>0</v>
      </c>
      <c r="N552" s="229">
        <v>0</v>
      </c>
      <c r="O552" s="229">
        <v>0</v>
      </c>
      <c r="P552" s="229">
        <v>0</v>
      </c>
      <c r="Q552" s="229">
        <v>0</v>
      </c>
      <c r="R552" s="229">
        <v>0</v>
      </c>
      <c r="S552" s="229">
        <v>0</v>
      </c>
      <c r="T552" s="229">
        <v>0</v>
      </c>
      <c r="U552" s="229">
        <v>0</v>
      </c>
      <c r="V552" s="229">
        <v>0</v>
      </c>
      <c r="W552" s="229">
        <v>0</v>
      </c>
      <c r="X552" s="229">
        <v>0</v>
      </c>
      <c r="Y552" s="229">
        <v>0</v>
      </c>
      <c r="Z552" s="229">
        <v>0</v>
      </c>
      <c r="AA552" s="229">
        <v>0</v>
      </c>
      <c r="AB552" s="229">
        <v>0</v>
      </c>
      <c r="AC552" s="229">
        <v>0</v>
      </c>
      <c r="AD552" s="229">
        <v>0</v>
      </c>
      <c r="AE552" s="229">
        <v>0</v>
      </c>
      <c r="AF552" s="229">
        <v>0</v>
      </c>
      <c r="AG552" s="229">
        <v>0</v>
      </c>
      <c r="AH552" s="229">
        <v>0</v>
      </c>
      <c r="AI552" s="229">
        <v>0</v>
      </c>
      <c r="AJ552" s="229">
        <v>0</v>
      </c>
      <c r="AK552" s="229">
        <v>0</v>
      </c>
      <c r="AL552" s="229">
        <v>0</v>
      </c>
      <c r="AM552" s="229">
        <v>0</v>
      </c>
      <c r="AN552" s="229">
        <v>0</v>
      </c>
      <c r="AO552" s="229">
        <v>0</v>
      </c>
      <c r="AP552" s="229">
        <v>0</v>
      </c>
      <c r="AQ552" s="229">
        <v>0</v>
      </c>
      <c r="AR552" s="229">
        <v>0</v>
      </c>
      <c r="AS552" s="229">
        <v>0</v>
      </c>
      <c r="AT552" s="229">
        <v>0</v>
      </c>
      <c r="AU552" s="229">
        <v>0</v>
      </c>
      <c r="AV552" s="229">
        <v>0</v>
      </c>
      <c r="AW552" s="229">
        <v>0</v>
      </c>
      <c r="AX552" s="229">
        <v>0</v>
      </c>
      <c r="AY552" s="229">
        <v>0</v>
      </c>
      <c r="AZ552" s="229">
        <v>0</v>
      </c>
      <c r="BA552" s="229">
        <v>0</v>
      </c>
      <c r="BB552" s="229">
        <v>0</v>
      </c>
      <c r="BC552" s="229">
        <v>0</v>
      </c>
    </row>
    <row r="553" spans="3:55" outlineLevel="2" x14ac:dyDescent="0.2">
      <c r="C553" s="162" t="str">
        <v>BSC a Core punto de acceso: Voz: 30</v>
      </c>
      <c r="D553" s="81"/>
      <c r="E553" s="86"/>
      <c r="F553" s="229">
        <v>0</v>
      </c>
      <c r="G553" s="229">
        <v>0</v>
      </c>
      <c r="H553" s="229">
        <v>0</v>
      </c>
      <c r="I553" s="229">
        <v>0</v>
      </c>
      <c r="J553" s="229">
        <v>0</v>
      </c>
      <c r="K553" s="229">
        <v>0</v>
      </c>
      <c r="L553" s="229">
        <v>0</v>
      </c>
      <c r="M553" s="229">
        <v>0</v>
      </c>
      <c r="N553" s="229">
        <v>0</v>
      </c>
      <c r="O553" s="229">
        <v>0</v>
      </c>
      <c r="P553" s="229">
        <v>0</v>
      </c>
      <c r="Q553" s="229">
        <v>0</v>
      </c>
      <c r="R553" s="229">
        <v>0</v>
      </c>
      <c r="S553" s="229">
        <v>0</v>
      </c>
      <c r="T553" s="229">
        <v>0</v>
      </c>
      <c r="U553" s="229">
        <v>0</v>
      </c>
      <c r="V553" s="229">
        <v>0</v>
      </c>
      <c r="W553" s="229">
        <v>0</v>
      </c>
      <c r="X553" s="229">
        <v>0</v>
      </c>
      <c r="Y553" s="229">
        <v>0</v>
      </c>
      <c r="Z553" s="229">
        <v>0</v>
      </c>
      <c r="AA553" s="229">
        <v>0</v>
      </c>
      <c r="AB553" s="229">
        <v>0</v>
      </c>
      <c r="AC553" s="229">
        <v>0</v>
      </c>
      <c r="AD553" s="229">
        <v>0</v>
      </c>
      <c r="AE553" s="229">
        <v>0</v>
      </c>
      <c r="AF553" s="229">
        <v>0</v>
      </c>
      <c r="AG553" s="229">
        <v>0</v>
      </c>
      <c r="AH553" s="229">
        <v>0</v>
      </c>
      <c r="AI553" s="229">
        <v>0</v>
      </c>
      <c r="AJ553" s="229">
        <v>0</v>
      </c>
      <c r="AK553" s="229">
        <v>0</v>
      </c>
      <c r="AL553" s="229">
        <v>0</v>
      </c>
      <c r="AM553" s="229">
        <v>0</v>
      </c>
      <c r="AN553" s="229">
        <v>0</v>
      </c>
      <c r="AO553" s="229">
        <v>0</v>
      </c>
      <c r="AP553" s="229">
        <v>0</v>
      </c>
      <c r="AQ553" s="229">
        <v>0</v>
      </c>
      <c r="AR553" s="229">
        <v>0</v>
      </c>
      <c r="AS553" s="229">
        <v>0</v>
      </c>
      <c r="AT553" s="229">
        <v>0</v>
      </c>
      <c r="AU553" s="229">
        <v>0</v>
      </c>
      <c r="AV553" s="229">
        <v>0</v>
      </c>
      <c r="AW553" s="229">
        <v>0</v>
      </c>
      <c r="AX553" s="229">
        <v>0</v>
      </c>
      <c r="AY553" s="229">
        <v>0</v>
      </c>
      <c r="AZ553" s="229">
        <v>0</v>
      </c>
      <c r="BA553" s="229">
        <v>0</v>
      </c>
      <c r="BB553" s="229">
        <v>0</v>
      </c>
      <c r="BC553" s="229">
        <v>0</v>
      </c>
    </row>
    <row r="554" spans="3:55" outlineLevel="2" x14ac:dyDescent="0.2">
      <c r="C554" s="162" t="str">
        <v>BSC a Core punto de acceso: Voz: 100</v>
      </c>
      <c r="D554" s="81"/>
      <c r="E554" s="86"/>
      <c r="F554" s="229">
        <v>0</v>
      </c>
      <c r="G554" s="229">
        <v>0</v>
      </c>
      <c r="H554" s="229">
        <v>0</v>
      </c>
      <c r="I554" s="229">
        <v>0</v>
      </c>
      <c r="J554" s="229">
        <v>0</v>
      </c>
      <c r="K554" s="229">
        <v>0</v>
      </c>
      <c r="L554" s="229">
        <v>0</v>
      </c>
      <c r="M554" s="229">
        <v>0</v>
      </c>
      <c r="N554" s="229">
        <v>0</v>
      </c>
      <c r="O554" s="229">
        <v>0</v>
      </c>
      <c r="P554" s="229">
        <v>0</v>
      </c>
      <c r="Q554" s="229">
        <v>0</v>
      </c>
      <c r="R554" s="229">
        <v>0</v>
      </c>
      <c r="S554" s="229">
        <v>0</v>
      </c>
      <c r="T554" s="229">
        <v>0</v>
      </c>
      <c r="U554" s="229">
        <v>0</v>
      </c>
      <c r="V554" s="229">
        <v>0</v>
      </c>
      <c r="W554" s="229">
        <v>0</v>
      </c>
      <c r="X554" s="229">
        <v>0</v>
      </c>
      <c r="Y554" s="229">
        <v>0</v>
      </c>
      <c r="Z554" s="229">
        <v>0</v>
      </c>
      <c r="AA554" s="229">
        <v>0</v>
      </c>
      <c r="AB554" s="229">
        <v>0</v>
      </c>
      <c r="AC554" s="229">
        <v>0</v>
      </c>
      <c r="AD554" s="229">
        <v>0</v>
      </c>
      <c r="AE554" s="229">
        <v>0</v>
      </c>
      <c r="AF554" s="229">
        <v>0</v>
      </c>
      <c r="AG554" s="229">
        <v>0</v>
      </c>
      <c r="AH554" s="229">
        <v>0</v>
      </c>
      <c r="AI554" s="229">
        <v>0</v>
      </c>
      <c r="AJ554" s="229">
        <v>0</v>
      </c>
      <c r="AK554" s="229">
        <v>0</v>
      </c>
      <c r="AL554" s="229">
        <v>0</v>
      </c>
      <c r="AM554" s="229">
        <v>0</v>
      </c>
      <c r="AN554" s="229">
        <v>0</v>
      </c>
      <c r="AO554" s="229">
        <v>0</v>
      </c>
      <c r="AP554" s="229">
        <v>0</v>
      </c>
      <c r="AQ554" s="229">
        <v>0</v>
      </c>
      <c r="AR554" s="229">
        <v>0</v>
      </c>
      <c r="AS554" s="229">
        <v>0</v>
      </c>
      <c r="AT554" s="229">
        <v>0</v>
      </c>
      <c r="AU554" s="229">
        <v>0</v>
      </c>
      <c r="AV554" s="229">
        <v>0</v>
      </c>
      <c r="AW554" s="229">
        <v>0</v>
      </c>
      <c r="AX554" s="229">
        <v>0</v>
      </c>
      <c r="AY554" s="229">
        <v>0</v>
      </c>
      <c r="AZ554" s="229">
        <v>0</v>
      </c>
      <c r="BA554" s="229">
        <v>0</v>
      </c>
      <c r="BB554" s="229">
        <v>0</v>
      </c>
      <c r="BC554" s="229">
        <v>0</v>
      </c>
    </row>
    <row r="555" spans="3:55" outlineLevel="2" x14ac:dyDescent="0.2">
      <c r="C555" s="162" t="str">
        <v>BSC a Core punto de acceso: Voz: 1024</v>
      </c>
      <c r="D555" s="81"/>
      <c r="E555" s="86"/>
      <c r="F555" s="229">
        <v>0</v>
      </c>
      <c r="G555" s="229">
        <v>0</v>
      </c>
      <c r="H555" s="229">
        <v>0</v>
      </c>
      <c r="I555" s="229">
        <v>0</v>
      </c>
      <c r="J555" s="229">
        <v>0</v>
      </c>
      <c r="K555" s="229">
        <v>0</v>
      </c>
      <c r="L555" s="229">
        <v>0</v>
      </c>
      <c r="M555" s="229">
        <v>0</v>
      </c>
      <c r="N555" s="229">
        <v>0</v>
      </c>
      <c r="O555" s="229">
        <v>0</v>
      </c>
      <c r="P555" s="229">
        <v>0</v>
      </c>
      <c r="Q555" s="229">
        <v>0</v>
      </c>
      <c r="R555" s="229">
        <v>0</v>
      </c>
      <c r="S555" s="229">
        <v>0</v>
      </c>
      <c r="T555" s="229">
        <v>0</v>
      </c>
      <c r="U555" s="229">
        <v>0</v>
      </c>
      <c r="V555" s="229">
        <v>0</v>
      </c>
      <c r="W555" s="229">
        <v>0</v>
      </c>
      <c r="X555" s="229">
        <v>0</v>
      </c>
      <c r="Y555" s="229">
        <v>0</v>
      </c>
      <c r="Z555" s="229">
        <v>0</v>
      </c>
      <c r="AA555" s="229">
        <v>0</v>
      </c>
      <c r="AB555" s="229">
        <v>0</v>
      </c>
      <c r="AC555" s="229">
        <v>0</v>
      </c>
      <c r="AD555" s="229">
        <v>0</v>
      </c>
      <c r="AE555" s="229">
        <v>0</v>
      </c>
      <c r="AF555" s="229">
        <v>0</v>
      </c>
      <c r="AG555" s="229">
        <v>0</v>
      </c>
      <c r="AH555" s="229">
        <v>0</v>
      </c>
      <c r="AI555" s="229">
        <v>0</v>
      </c>
      <c r="AJ555" s="229">
        <v>0</v>
      </c>
      <c r="AK555" s="229">
        <v>0</v>
      </c>
      <c r="AL555" s="229">
        <v>0</v>
      </c>
      <c r="AM555" s="229">
        <v>0</v>
      </c>
      <c r="AN555" s="229">
        <v>0</v>
      </c>
      <c r="AO555" s="229">
        <v>0</v>
      </c>
      <c r="AP555" s="229">
        <v>0</v>
      </c>
      <c r="AQ555" s="229">
        <v>0</v>
      </c>
      <c r="AR555" s="229">
        <v>0</v>
      </c>
      <c r="AS555" s="229">
        <v>0</v>
      </c>
      <c r="AT555" s="229">
        <v>0</v>
      </c>
      <c r="AU555" s="229">
        <v>0</v>
      </c>
      <c r="AV555" s="229">
        <v>0</v>
      </c>
      <c r="AW555" s="229">
        <v>0</v>
      </c>
      <c r="AX555" s="229">
        <v>0</v>
      </c>
      <c r="AY555" s="229">
        <v>0</v>
      </c>
      <c r="AZ555" s="229">
        <v>0</v>
      </c>
      <c r="BA555" s="229">
        <v>0</v>
      </c>
      <c r="BB555" s="229">
        <v>0</v>
      </c>
      <c r="BC555" s="229">
        <v>0</v>
      </c>
    </row>
    <row r="556" spans="3:55" outlineLevel="2" x14ac:dyDescent="0.2">
      <c r="C556" s="162" t="str">
        <v>BSC a Core punto de acceso: Datos: 8.45</v>
      </c>
      <c r="D556" s="81"/>
      <c r="E556" s="86"/>
      <c r="F556" s="229">
        <v>0</v>
      </c>
      <c r="G556" s="229">
        <v>0</v>
      </c>
      <c r="H556" s="229">
        <v>0</v>
      </c>
      <c r="I556" s="229">
        <v>0</v>
      </c>
      <c r="J556" s="229">
        <v>0</v>
      </c>
      <c r="K556" s="229">
        <v>0</v>
      </c>
      <c r="L556" s="229">
        <v>0</v>
      </c>
      <c r="M556" s="229">
        <v>0</v>
      </c>
      <c r="N556" s="229">
        <v>0</v>
      </c>
      <c r="O556" s="229">
        <v>0</v>
      </c>
      <c r="P556" s="229">
        <v>0</v>
      </c>
      <c r="Q556" s="229">
        <v>0</v>
      </c>
      <c r="R556" s="229">
        <v>0</v>
      </c>
      <c r="S556" s="229">
        <v>0</v>
      </c>
      <c r="T556" s="229">
        <v>0</v>
      </c>
      <c r="U556" s="229">
        <v>0</v>
      </c>
      <c r="V556" s="229">
        <v>0</v>
      </c>
      <c r="W556" s="229">
        <v>0</v>
      </c>
      <c r="X556" s="229">
        <v>0</v>
      </c>
      <c r="Y556" s="229">
        <v>0</v>
      </c>
      <c r="Z556" s="229">
        <v>0</v>
      </c>
      <c r="AA556" s="229">
        <v>0</v>
      </c>
      <c r="AB556" s="229">
        <v>0</v>
      </c>
      <c r="AC556" s="229">
        <v>0</v>
      </c>
      <c r="AD556" s="229">
        <v>0</v>
      </c>
      <c r="AE556" s="229">
        <v>0</v>
      </c>
      <c r="AF556" s="229">
        <v>0</v>
      </c>
      <c r="AG556" s="229">
        <v>0</v>
      </c>
      <c r="AH556" s="229">
        <v>0</v>
      </c>
      <c r="AI556" s="229">
        <v>0</v>
      </c>
      <c r="AJ556" s="229">
        <v>0</v>
      </c>
      <c r="AK556" s="229">
        <v>0</v>
      </c>
      <c r="AL556" s="229">
        <v>0</v>
      </c>
      <c r="AM556" s="229">
        <v>0</v>
      </c>
      <c r="AN556" s="229">
        <v>0</v>
      </c>
      <c r="AO556" s="229">
        <v>0</v>
      </c>
      <c r="AP556" s="229">
        <v>0</v>
      </c>
      <c r="AQ556" s="229">
        <v>0</v>
      </c>
      <c r="AR556" s="229">
        <v>0</v>
      </c>
      <c r="AS556" s="229">
        <v>0</v>
      </c>
      <c r="AT556" s="229">
        <v>0</v>
      </c>
      <c r="AU556" s="229">
        <v>0</v>
      </c>
      <c r="AV556" s="229">
        <v>0</v>
      </c>
      <c r="AW556" s="229">
        <v>0</v>
      </c>
      <c r="AX556" s="229">
        <v>0</v>
      </c>
      <c r="AY556" s="229">
        <v>0</v>
      </c>
      <c r="AZ556" s="229">
        <v>0</v>
      </c>
      <c r="BA556" s="229">
        <v>0</v>
      </c>
      <c r="BB556" s="229">
        <v>0</v>
      </c>
      <c r="BC556" s="229">
        <v>0</v>
      </c>
    </row>
    <row r="557" spans="3:55" outlineLevel="2" x14ac:dyDescent="0.2">
      <c r="C557" s="162" t="str">
        <v>BSC a Core punto de acceso: Datos: 34.37</v>
      </c>
      <c r="D557" s="81"/>
      <c r="E557" s="86"/>
      <c r="F557" s="229">
        <v>0</v>
      </c>
      <c r="G557" s="229">
        <v>0</v>
      </c>
      <c r="H557" s="229">
        <v>0</v>
      </c>
      <c r="I557" s="229">
        <v>0</v>
      </c>
      <c r="J557" s="229">
        <v>0</v>
      </c>
      <c r="K557" s="229">
        <v>0</v>
      </c>
      <c r="L557" s="229">
        <v>0</v>
      </c>
      <c r="M557" s="229">
        <v>0</v>
      </c>
      <c r="N557" s="229">
        <v>0</v>
      </c>
      <c r="O557" s="229">
        <v>0</v>
      </c>
      <c r="P557" s="229">
        <v>0</v>
      </c>
      <c r="Q557" s="229">
        <v>0</v>
      </c>
      <c r="R557" s="229">
        <v>0</v>
      </c>
      <c r="S557" s="229">
        <v>0</v>
      </c>
      <c r="T557" s="229">
        <v>0</v>
      </c>
      <c r="U557" s="229">
        <v>0</v>
      </c>
      <c r="V557" s="229">
        <v>0</v>
      </c>
      <c r="W557" s="229">
        <v>0</v>
      </c>
      <c r="X557" s="229">
        <v>0</v>
      </c>
      <c r="Y557" s="229">
        <v>0</v>
      </c>
      <c r="Z557" s="229">
        <v>0</v>
      </c>
      <c r="AA557" s="229">
        <v>0</v>
      </c>
      <c r="AB557" s="229">
        <v>0</v>
      </c>
      <c r="AC557" s="229">
        <v>0</v>
      </c>
      <c r="AD557" s="229">
        <v>0</v>
      </c>
      <c r="AE557" s="229">
        <v>0</v>
      </c>
      <c r="AF557" s="229">
        <v>0</v>
      </c>
      <c r="AG557" s="229">
        <v>0</v>
      </c>
      <c r="AH557" s="229">
        <v>0</v>
      </c>
      <c r="AI557" s="229">
        <v>0</v>
      </c>
      <c r="AJ557" s="229">
        <v>0</v>
      </c>
      <c r="AK557" s="229">
        <v>0</v>
      </c>
      <c r="AL557" s="229">
        <v>0</v>
      </c>
      <c r="AM557" s="229">
        <v>0</v>
      </c>
      <c r="AN557" s="229">
        <v>0</v>
      </c>
      <c r="AO557" s="229">
        <v>0</v>
      </c>
      <c r="AP557" s="229">
        <v>0</v>
      </c>
      <c r="AQ557" s="229">
        <v>0</v>
      </c>
      <c r="AR557" s="229">
        <v>0</v>
      </c>
      <c r="AS557" s="229">
        <v>0</v>
      </c>
      <c r="AT557" s="229">
        <v>0</v>
      </c>
      <c r="AU557" s="229">
        <v>0</v>
      </c>
      <c r="AV557" s="229">
        <v>0</v>
      </c>
      <c r="AW557" s="229">
        <v>0</v>
      </c>
      <c r="AX557" s="229">
        <v>0</v>
      </c>
      <c r="AY557" s="229">
        <v>0</v>
      </c>
      <c r="AZ557" s="229">
        <v>0</v>
      </c>
      <c r="BA557" s="229">
        <v>0</v>
      </c>
      <c r="BB557" s="229">
        <v>0</v>
      </c>
      <c r="BC557" s="229">
        <v>0</v>
      </c>
    </row>
    <row r="558" spans="3:55" outlineLevel="2" x14ac:dyDescent="0.2">
      <c r="C558" s="162" t="str">
        <v>BSC a Core punto de acceso: Datos: 155.52</v>
      </c>
      <c r="D558" s="81"/>
      <c r="E558" s="86"/>
      <c r="F558" s="229">
        <v>0</v>
      </c>
      <c r="G558" s="229">
        <v>0</v>
      </c>
      <c r="H558" s="229">
        <v>0</v>
      </c>
      <c r="I558" s="229">
        <v>0</v>
      </c>
      <c r="J558" s="229">
        <v>0</v>
      </c>
      <c r="K558" s="229">
        <v>0</v>
      </c>
      <c r="L558" s="229">
        <v>0</v>
      </c>
      <c r="M558" s="229">
        <v>0</v>
      </c>
      <c r="N558" s="229">
        <v>0</v>
      </c>
      <c r="O558" s="229">
        <v>0</v>
      </c>
      <c r="P558" s="229">
        <v>0</v>
      </c>
      <c r="Q558" s="229">
        <v>0</v>
      </c>
      <c r="R558" s="229">
        <v>0</v>
      </c>
      <c r="S558" s="229">
        <v>0</v>
      </c>
      <c r="T558" s="229">
        <v>0</v>
      </c>
      <c r="U558" s="229">
        <v>0</v>
      </c>
      <c r="V558" s="229">
        <v>0</v>
      </c>
      <c r="W558" s="229">
        <v>0</v>
      </c>
      <c r="X558" s="229">
        <v>0</v>
      </c>
      <c r="Y558" s="229">
        <v>0</v>
      </c>
      <c r="Z558" s="229">
        <v>0</v>
      </c>
      <c r="AA558" s="229">
        <v>0</v>
      </c>
      <c r="AB558" s="229">
        <v>0</v>
      </c>
      <c r="AC558" s="229">
        <v>0</v>
      </c>
      <c r="AD558" s="229">
        <v>0</v>
      </c>
      <c r="AE558" s="229">
        <v>0</v>
      </c>
      <c r="AF558" s="229">
        <v>0</v>
      </c>
      <c r="AG558" s="229">
        <v>0</v>
      </c>
      <c r="AH558" s="229">
        <v>0</v>
      </c>
      <c r="AI558" s="229">
        <v>0</v>
      </c>
      <c r="AJ558" s="229">
        <v>0</v>
      </c>
      <c r="AK558" s="229">
        <v>0</v>
      </c>
      <c r="AL558" s="229">
        <v>0</v>
      </c>
      <c r="AM558" s="229">
        <v>0</v>
      </c>
      <c r="AN558" s="229">
        <v>0</v>
      </c>
      <c r="AO558" s="229">
        <v>0</v>
      </c>
      <c r="AP558" s="229">
        <v>0</v>
      </c>
      <c r="AQ558" s="229">
        <v>0</v>
      </c>
      <c r="AR558" s="229">
        <v>0</v>
      </c>
      <c r="AS558" s="229">
        <v>0</v>
      </c>
      <c r="AT558" s="229">
        <v>0</v>
      </c>
      <c r="AU558" s="229">
        <v>0</v>
      </c>
      <c r="AV558" s="229">
        <v>0</v>
      </c>
      <c r="AW558" s="229">
        <v>0</v>
      </c>
      <c r="AX558" s="229">
        <v>0</v>
      </c>
      <c r="AY558" s="229">
        <v>0</v>
      </c>
      <c r="AZ558" s="229">
        <v>0</v>
      </c>
      <c r="BA558" s="229">
        <v>0</v>
      </c>
      <c r="BB558" s="229">
        <v>0</v>
      </c>
      <c r="BC558" s="229">
        <v>0</v>
      </c>
    </row>
    <row r="559" spans="3:55" outlineLevel="2" x14ac:dyDescent="0.2">
      <c r="C559" s="162" t="str">
        <v>BSC a Core punto de acceso: Datos: 30</v>
      </c>
      <c r="D559" s="81"/>
      <c r="E559" s="86"/>
      <c r="F559" s="229">
        <v>0</v>
      </c>
      <c r="G559" s="229">
        <v>0</v>
      </c>
      <c r="H559" s="229">
        <v>0</v>
      </c>
      <c r="I559" s="229">
        <v>0</v>
      </c>
      <c r="J559" s="229">
        <v>0</v>
      </c>
      <c r="K559" s="229">
        <v>0</v>
      </c>
      <c r="L559" s="229">
        <v>0</v>
      </c>
      <c r="M559" s="229">
        <v>0</v>
      </c>
      <c r="N559" s="229">
        <v>0</v>
      </c>
      <c r="O559" s="229">
        <v>0</v>
      </c>
      <c r="P559" s="229">
        <v>0</v>
      </c>
      <c r="Q559" s="229">
        <v>0</v>
      </c>
      <c r="R559" s="229">
        <v>0</v>
      </c>
      <c r="S559" s="229">
        <v>0</v>
      </c>
      <c r="T559" s="229">
        <v>0</v>
      </c>
      <c r="U559" s="229">
        <v>0</v>
      </c>
      <c r="V559" s="229">
        <v>0</v>
      </c>
      <c r="W559" s="229">
        <v>0</v>
      </c>
      <c r="X559" s="229">
        <v>0</v>
      </c>
      <c r="Y559" s="229">
        <v>0</v>
      </c>
      <c r="Z559" s="229">
        <v>0</v>
      </c>
      <c r="AA559" s="229">
        <v>0</v>
      </c>
      <c r="AB559" s="229">
        <v>0</v>
      </c>
      <c r="AC559" s="229">
        <v>0</v>
      </c>
      <c r="AD559" s="229">
        <v>0</v>
      </c>
      <c r="AE559" s="229">
        <v>0</v>
      </c>
      <c r="AF559" s="229">
        <v>0</v>
      </c>
      <c r="AG559" s="229">
        <v>0</v>
      </c>
      <c r="AH559" s="229">
        <v>0</v>
      </c>
      <c r="AI559" s="229">
        <v>0</v>
      </c>
      <c r="AJ559" s="229">
        <v>0</v>
      </c>
      <c r="AK559" s="229">
        <v>0</v>
      </c>
      <c r="AL559" s="229">
        <v>0</v>
      </c>
      <c r="AM559" s="229">
        <v>0</v>
      </c>
      <c r="AN559" s="229">
        <v>0</v>
      </c>
      <c r="AO559" s="229">
        <v>0</v>
      </c>
      <c r="AP559" s="229">
        <v>0</v>
      </c>
      <c r="AQ559" s="229">
        <v>0</v>
      </c>
      <c r="AR559" s="229">
        <v>0</v>
      </c>
      <c r="AS559" s="229">
        <v>0</v>
      </c>
      <c r="AT559" s="229">
        <v>0</v>
      </c>
      <c r="AU559" s="229">
        <v>0</v>
      </c>
      <c r="AV559" s="229">
        <v>0</v>
      </c>
      <c r="AW559" s="229">
        <v>0</v>
      </c>
      <c r="AX559" s="229">
        <v>0</v>
      </c>
      <c r="AY559" s="229">
        <v>0</v>
      </c>
      <c r="AZ559" s="229">
        <v>0</v>
      </c>
      <c r="BA559" s="229">
        <v>0</v>
      </c>
      <c r="BB559" s="229">
        <v>0</v>
      </c>
      <c r="BC559" s="229">
        <v>0</v>
      </c>
    </row>
    <row r="560" spans="3:55" outlineLevel="2" x14ac:dyDescent="0.2">
      <c r="C560" s="162" t="str">
        <v>BSC a Core punto de acceso: Datos: 100</v>
      </c>
      <c r="D560" s="81"/>
      <c r="E560" s="86"/>
      <c r="F560" s="229">
        <v>0</v>
      </c>
      <c r="G560" s="229">
        <v>0</v>
      </c>
      <c r="H560" s="229">
        <v>0</v>
      </c>
      <c r="I560" s="229">
        <v>0</v>
      </c>
      <c r="J560" s="229">
        <v>0</v>
      </c>
      <c r="K560" s="229">
        <v>0</v>
      </c>
      <c r="L560" s="229">
        <v>0</v>
      </c>
      <c r="M560" s="229">
        <v>0</v>
      </c>
      <c r="N560" s="229">
        <v>0</v>
      </c>
      <c r="O560" s="229">
        <v>0</v>
      </c>
      <c r="P560" s="229">
        <v>0</v>
      </c>
      <c r="Q560" s="229">
        <v>0</v>
      </c>
      <c r="R560" s="229">
        <v>0</v>
      </c>
      <c r="S560" s="229">
        <v>0</v>
      </c>
      <c r="T560" s="229">
        <v>0</v>
      </c>
      <c r="U560" s="229">
        <v>0</v>
      </c>
      <c r="V560" s="229">
        <v>0</v>
      </c>
      <c r="W560" s="229">
        <v>0</v>
      </c>
      <c r="X560" s="229">
        <v>0</v>
      </c>
      <c r="Y560" s="229">
        <v>0</v>
      </c>
      <c r="Z560" s="229">
        <v>0</v>
      </c>
      <c r="AA560" s="229">
        <v>0</v>
      </c>
      <c r="AB560" s="229">
        <v>0</v>
      </c>
      <c r="AC560" s="229">
        <v>0</v>
      </c>
      <c r="AD560" s="229">
        <v>0</v>
      </c>
      <c r="AE560" s="229">
        <v>0</v>
      </c>
      <c r="AF560" s="229">
        <v>0</v>
      </c>
      <c r="AG560" s="229">
        <v>0</v>
      </c>
      <c r="AH560" s="229">
        <v>0</v>
      </c>
      <c r="AI560" s="229">
        <v>0</v>
      </c>
      <c r="AJ560" s="229">
        <v>0</v>
      </c>
      <c r="AK560" s="229">
        <v>0</v>
      </c>
      <c r="AL560" s="229">
        <v>0</v>
      </c>
      <c r="AM560" s="229">
        <v>0</v>
      </c>
      <c r="AN560" s="229">
        <v>0</v>
      </c>
      <c r="AO560" s="229">
        <v>0</v>
      </c>
      <c r="AP560" s="229">
        <v>0</v>
      </c>
      <c r="AQ560" s="229">
        <v>0</v>
      </c>
      <c r="AR560" s="229">
        <v>0</v>
      </c>
      <c r="AS560" s="229">
        <v>0</v>
      </c>
      <c r="AT560" s="229">
        <v>0</v>
      </c>
      <c r="AU560" s="229">
        <v>0</v>
      </c>
      <c r="AV560" s="229">
        <v>0</v>
      </c>
      <c r="AW560" s="229">
        <v>0</v>
      </c>
      <c r="AX560" s="229">
        <v>0</v>
      </c>
      <c r="AY560" s="229">
        <v>0</v>
      </c>
      <c r="AZ560" s="229">
        <v>0</v>
      </c>
      <c r="BA560" s="229">
        <v>0</v>
      </c>
      <c r="BB560" s="229">
        <v>0</v>
      </c>
      <c r="BC560" s="229">
        <v>0</v>
      </c>
    </row>
    <row r="561" spans="3:55" outlineLevel="2" x14ac:dyDescent="0.2">
      <c r="C561" s="162" t="str">
        <v>BSC a Core punto de acceso: Datos: 1024</v>
      </c>
      <c r="D561" s="81"/>
      <c r="E561" s="86"/>
      <c r="F561" s="229">
        <v>0</v>
      </c>
      <c r="G561" s="229">
        <v>0</v>
      </c>
      <c r="H561" s="229">
        <v>0</v>
      </c>
      <c r="I561" s="229">
        <v>0</v>
      </c>
      <c r="J561" s="229">
        <v>0</v>
      </c>
      <c r="K561" s="229">
        <v>0</v>
      </c>
      <c r="L561" s="229">
        <v>0</v>
      </c>
      <c r="M561" s="229">
        <v>0</v>
      </c>
      <c r="N561" s="229">
        <v>0</v>
      </c>
      <c r="O561" s="229">
        <v>0</v>
      </c>
      <c r="P561" s="229">
        <v>0</v>
      </c>
      <c r="Q561" s="229">
        <v>0</v>
      </c>
      <c r="R561" s="229">
        <v>0</v>
      </c>
      <c r="S561" s="229">
        <v>0</v>
      </c>
      <c r="T561" s="229">
        <v>0</v>
      </c>
      <c r="U561" s="229">
        <v>0</v>
      </c>
      <c r="V561" s="229">
        <v>0</v>
      </c>
      <c r="W561" s="229">
        <v>0</v>
      </c>
      <c r="X561" s="229">
        <v>0</v>
      </c>
      <c r="Y561" s="229">
        <v>0</v>
      </c>
      <c r="Z561" s="229">
        <v>0</v>
      </c>
      <c r="AA561" s="229">
        <v>0</v>
      </c>
      <c r="AB561" s="229">
        <v>0</v>
      </c>
      <c r="AC561" s="229">
        <v>0</v>
      </c>
      <c r="AD561" s="229">
        <v>0</v>
      </c>
      <c r="AE561" s="229">
        <v>0</v>
      </c>
      <c r="AF561" s="229">
        <v>0</v>
      </c>
      <c r="AG561" s="229">
        <v>0</v>
      </c>
      <c r="AH561" s="229">
        <v>0</v>
      </c>
      <c r="AI561" s="229">
        <v>0</v>
      </c>
      <c r="AJ561" s="229">
        <v>0</v>
      </c>
      <c r="AK561" s="229">
        <v>0</v>
      </c>
      <c r="AL561" s="229">
        <v>0</v>
      </c>
      <c r="AM561" s="229">
        <v>0</v>
      </c>
      <c r="AN561" s="229">
        <v>0</v>
      </c>
      <c r="AO561" s="229">
        <v>0</v>
      </c>
      <c r="AP561" s="229">
        <v>0</v>
      </c>
      <c r="AQ561" s="229">
        <v>0</v>
      </c>
      <c r="AR561" s="229">
        <v>0</v>
      </c>
      <c r="AS561" s="229">
        <v>0</v>
      </c>
      <c r="AT561" s="229">
        <v>0</v>
      </c>
      <c r="AU561" s="229">
        <v>0</v>
      </c>
      <c r="AV561" s="229">
        <v>0</v>
      </c>
      <c r="AW561" s="229">
        <v>0</v>
      </c>
      <c r="AX561" s="229">
        <v>0</v>
      </c>
      <c r="AY561" s="229">
        <v>0</v>
      </c>
      <c r="AZ561" s="229">
        <v>0</v>
      </c>
      <c r="BA561" s="229">
        <v>0</v>
      </c>
      <c r="BB561" s="229">
        <v>0</v>
      </c>
      <c r="BC561" s="229">
        <v>0</v>
      </c>
    </row>
    <row r="562" spans="3:55" outlineLevel="2" x14ac:dyDescent="0.2">
      <c r="C562" s="162" t="str">
        <v>RNC a Core punto de acceso: Voz: 34.4</v>
      </c>
      <c r="D562" s="81"/>
      <c r="E562" s="86"/>
      <c r="F562" s="229">
        <v>0</v>
      </c>
      <c r="G562" s="229">
        <v>0</v>
      </c>
      <c r="H562" s="229">
        <v>0</v>
      </c>
      <c r="I562" s="229">
        <v>0</v>
      </c>
      <c r="J562" s="229">
        <v>0</v>
      </c>
      <c r="K562" s="229">
        <v>0</v>
      </c>
      <c r="L562" s="229">
        <v>0</v>
      </c>
      <c r="M562" s="229">
        <v>0</v>
      </c>
      <c r="N562" s="229">
        <v>0</v>
      </c>
      <c r="O562" s="229">
        <v>0</v>
      </c>
      <c r="P562" s="229">
        <v>0</v>
      </c>
      <c r="Q562" s="229">
        <v>0</v>
      </c>
      <c r="R562" s="229">
        <v>0</v>
      </c>
      <c r="S562" s="229">
        <v>0</v>
      </c>
      <c r="T562" s="229">
        <v>0</v>
      </c>
      <c r="U562" s="229">
        <v>0</v>
      </c>
      <c r="V562" s="229">
        <v>0</v>
      </c>
      <c r="W562" s="229">
        <v>0</v>
      </c>
      <c r="X562" s="229">
        <v>0</v>
      </c>
      <c r="Y562" s="229">
        <v>0</v>
      </c>
      <c r="Z562" s="229">
        <v>0</v>
      </c>
      <c r="AA562" s="229">
        <v>0</v>
      </c>
      <c r="AB562" s="229">
        <v>0</v>
      </c>
      <c r="AC562" s="229">
        <v>0</v>
      </c>
      <c r="AD562" s="229">
        <v>0</v>
      </c>
      <c r="AE562" s="229">
        <v>0</v>
      </c>
      <c r="AF562" s="229">
        <v>0</v>
      </c>
      <c r="AG562" s="229">
        <v>0</v>
      </c>
      <c r="AH562" s="229">
        <v>0</v>
      </c>
      <c r="AI562" s="229">
        <v>0</v>
      </c>
      <c r="AJ562" s="229">
        <v>0</v>
      </c>
      <c r="AK562" s="229">
        <v>0</v>
      </c>
      <c r="AL562" s="229">
        <v>0</v>
      </c>
      <c r="AM562" s="229">
        <v>0</v>
      </c>
      <c r="AN562" s="229">
        <v>0</v>
      </c>
      <c r="AO562" s="229">
        <v>0</v>
      </c>
      <c r="AP562" s="229">
        <v>0</v>
      </c>
      <c r="AQ562" s="229">
        <v>0</v>
      </c>
      <c r="AR562" s="229">
        <v>0</v>
      </c>
      <c r="AS562" s="229">
        <v>0</v>
      </c>
      <c r="AT562" s="229">
        <v>0</v>
      </c>
      <c r="AU562" s="229">
        <v>0</v>
      </c>
      <c r="AV562" s="229">
        <v>0</v>
      </c>
      <c r="AW562" s="229">
        <v>0</v>
      </c>
      <c r="AX562" s="229">
        <v>0</v>
      </c>
      <c r="AY562" s="229">
        <v>0</v>
      </c>
      <c r="AZ562" s="229">
        <v>0</v>
      </c>
      <c r="BA562" s="229">
        <v>0</v>
      </c>
      <c r="BB562" s="229">
        <v>0</v>
      </c>
      <c r="BC562" s="229">
        <v>0</v>
      </c>
    </row>
    <row r="563" spans="3:55" outlineLevel="2" x14ac:dyDescent="0.2">
      <c r="C563" s="162" t="str">
        <v>RNC a Core punto de acceso: Voz: 155.52</v>
      </c>
      <c r="D563" s="81"/>
      <c r="E563" s="86"/>
      <c r="F563" s="229">
        <v>0</v>
      </c>
      <c r="G563" s="229">
        <v>0</v>
      </c>
      <c r="H563" s="229">
        <v>0</v>
      </c>
      <c r="I563" s="229">
        <v>0</v>
      </c>
      <c r="J563" s="229">
        <v>0</v>
      </c>
      <c r="K563" s="229">
        <v>0</v>
      </c>
      <c r="L563" s="229">
        <v>0</v>
      </c>
      <c r="M563" s="229">
        <v>0</v>
      </c>
      <c r="N563" s="229">
        <v>0</v>
      </c>
      <c r="O563" s="229">
        <v>0</v>
      </c>
      <c r="P563" s="229">
        <v>0</v>
      </c>
      <c r="Q563" s="229">
        <v>0</v>
      </c>
      <c r="R563" s="229">
        <v>0</v>
      </c>
      <c r="S563" s="229">
        <v>0</v>
      </c>
      <c r="T563" s="229">
        <v>0</v>
      </c>
      <c r="U563" s="229">
        <v>0</v>
      </c>
      <c r="V563" s="229">
        <v>0</v>
      </c>
      <c r="W563" s="229">
        <v>0</v>
      </c>
      <c r="X563" s="229">
        <v>0</v>
      </c>
      <c r="Y563" s="229">
        <v>0</v>
      </c>
      <c r="Z563" s="229">
        <v>0</v>
      </c>
      <c r="AA563" s="229">
        <v>0</v>
      </c>
      <c r="AB563" s="229">
        <v>0</v>
      </c>
      <c r="AC563" s="229">
        <v>0</v>
      </c>
      <c r="AD563" s="229">
        <v>0</v>
      </c>
      <c r="AE563" s="229">
        <v>0</v>
      </c>
      <c r="AF563" s="229">
        <v>0</v>
      </c>
      <c r="AG563" s="229">
        <v>0</v>
      </c>
      <c r="AH563" s="229">
        <v>0</v>
      </c>
      <c r="AI563" s="229">
        <v>0</v>
      </c>
      <c r="AJ563" s="229">
        <v>0</v>
      </c>
      <c r="AK563" s="229">
        <v>0</v>
      </c>
      <c r="AL563" s="229">
        <v>0</v>
      </c>
      <c r="AM563" s="229">
        <v>0</v>
      </c>
      <c r="AN563" s="229">
        <v>0</v>
      </c>
      <c r="AO563" s="229">
        <v>0</v>
      </c>
      <c r="AP563" s="229">
        <v>0</v>
      </c>
      <c r="AQ563" s="229">
        <v>0</v>
      </c>
      <c r="AR563" s="229">
        <v>0</v>
      </c>
      <c r="AS563" s="229">
        <v>0</v>
      </c>
      <c r="AT563" s="229">
        <v>0</v>
      </c>
      <c r="AU563" s="229">
        <v>0</v>
      </c>
      <c r="AV563" s="229">
        <v>0</v>
      </c>
      <c r="AW563" s="229">
        <v>0</v>
      </c>
      <c r="AX563" s="229">
        <v>0</v>
      </c>
      <c r="AY563" s="229">
        <v>0</v>
      </c>
      <c r="AZ563" s="229">
        <v>0</v>
      </c>
      <c r="BA563" s="229">
        <v>0</v>
      </c>
      <c r="BB563" s="229">
        <v>0</v>
      </c>
      <c r="BC563" s="229">
        <v>0</v>
      </c>
    </row>
    <row r="564" spans="3:55" outlineLevel="2" x14ac:dyDescent="0.2">
      <c r="C564" s="162" t="str">
        <v>RNC a Core punto de acceso: Voz: 622.08</v>
      </c>
      <c r="D564" s="81"/>
      <c r="E564" s="86"/>
      <c r="F564" s="229">
        <v>0</v>
      </c>
      <c r="G564" s="229">
        <v>0</v>
      </c>
      <c r="H564" s="229">
        <v>0</v>
      </c>
      <c r="I564" s="229">
        <v>0</v>
      </c>
      <c r="J564" s="229">
        <v>0</v>
      </c>
      <c r="K564" s="229">
        <v>0</v>
      </c>
      <c r="L564" s="229">
        <v>0</v>
      </c>
      <c r="M564" s="229">
        <v>0</v>
      </c>
      <c r="N564" s="229">
        <v>0</v>
      </c>
      <c r="O564" s="229">
        <v>0</v>
      </c>
      <c r="P564" s="229">
        <v>0</v>
      </c>
      <c r="Q564" s="229">
        <v>0</v>
      </c>
      <c r="R564" s="229">
        <v>0</v>
      </c>
      <c r="S564" s="229">
        <v>0</v>
      </c>
      <c r="T564" s="229">
        <v>0</v>
      </c>
      <c r="U564" s="229">
        <v>0</v>
      </c>
      <c r="V564" s="229">
        <v>0</v>
      </c>
      <c r="W564" s="229">
        <v>0</v>
      </c>
      <c r="X564" s="229">
        <v>0</v>
      </c>
      <c r="Y564" s="229">
        <v>0</v>
      </c>
      <c r="Z564" s="229">
        <v>0</v>
      </c>
      <c r="AA564" s="229">
        <v>0</v>
      </c>
      <c r="AB564" s="229">
        <v>0</v>
      </c>
      <c r="AC564" s="229">
        <v>0</v>
      </c>
      <c r="AD564" s="229">
        <v>0</v>
      </c>
      <c r="AE564" s="229">
        <v>0</v>
      </c>
      <c r="AF564" s="229">
        <v>0</v>
      </c>
      <c r="AG564" s="229">
        <v>0</v>
      </c>
      <c r="AH564" s="229">
        <v>0</v>
      </c>
      <c r="AI564" s="229">
        <v>0</v>
      </c>
      <c r="AJ564" s="229">
        <v>0</v>
      </c>
      <c r="AK564" s="229">
        <v>0</v>
      </c>
      <c r="AL564" s="229">
        <v>0</v>
      </c>
      <c r="AM564" s="229">
        <v>0</v>
      </c>
      <c r="AN564" s="229">
        <v>0</v>
      </c>
      <c r="AO564" s="229">
        <v>0</v>
      </c>
      <c r="AP564" s="229">
        <v>0</v>
      </c>
      <c r="AQ564" s="229">
        <v>0</v>
      </c>
      <c r="AR564" s="229">
        <v>0</v>
      </c>
      <c r="AS564" s="229">
        <v>0</v>
      </c>
      <c r="AT564" s="229">
        <v>0</v>
      </c>
      <c r="AU564" s="229">
        <v>0</v>
      </c>
      <c r="AV564" s="229">
        <v>0</v>
      </c>
      <c r="AW564" s="229">
        <v>0</v>
      </c>
      <c r="AX564" s="229">
        <v>0</v>
      </c>
      <c r="AY564" s="229">
        <v>0</v>
      </c>
      <c r="AZ564" s="229">
        <v>0</v>
      </c>
      <c r="BA564" s="229">
        <v>0</v>
      </c>
      <c r="BB564" s="229">
        <v>0</v>
      </c>
      <c r="BC564" s="229">
        <v>0</v>
      </c>
    </row>
    <row r="565" spans="3:55" outlineLevel="2" x14ac:dyDescent="0.2">
      <c r="C565" s="162" t="str">
        <v>RNC a Core punto de acceso: Voz 100</v>
      </c>
      <c r="D565" s="81"/>
      <c r="E565" s="86"/>
      <c r="F565" s="229">
        <v>0</v>
      </c>
      <c r="G565" s="229">
        <v>0</v>
      </c>
      <c r="H565" s="229">
        <v>0</v>
      </c>
      <c r="I565" s="229">
        <v>0</v>
      </c>
      <c r="J565" s="229">
        <v>0</v>
      </c>
      <c r="K565" s="229">
        <v>0</v>
      </c>
      <c r="L565" s="229">
        <v>0</v>
      </c>
      <c r="M565" s="229">
        <v>0</v>
      </c>
      <c r="N565" s="229">
        <v>0</v>
      </c>
      <c r="O565" s="229">
        <v>0</v>
      </c>
      <c r="P565" s="229">
        <v>0</v>
      </c>
      <c r="Q565" s="229">
        <v>0</v>
      </c>
      <c r="R565" s="229">
        <v>0</v>
      </c>
      <c r="S565" s="229">
        <v>0</v>
      </c>
      <c r="T565" s="229">
        <v>0</v>
      </c>
      <c r="U565" s="229">
        <v>0</v>
      </c>
      <c r="V565" s="229">
        <v>0</v>
      </c>
      <c r="W565" s="229">
        <v>0</v>
      </c>
      <c r="X565" s="229">
        <v>0</v>
      </c>
      <c r="Y565" s="229">
        <v>0</v>
      </c>
      <c r="Z565" s="229">
        <v>0</v>
      </c>
      <c r="AA565" s="229">
        <v>0</v>
      </c>
      <c r="AB565" s="229">
        <v>0</v>
      </c>
      <c r="AC565" s="229">
        <v>0</v>
      </c>
      <c r="AD565" s="229">
        <v>0</v>
      </c>
      <c r="AE565" s="229">
        <v>0</v>
      </c>
      <c r="AF565" s="229">
        <v>0</v>
      </c>
      <c r="AG565" s="229">
        <v>0</v>
      </c>
      <c r="AH565" s="229">
        <v>0</v>
      </c>
      <c r="AI565" s="229">
        <v>0</v>
      </c>
      <c r="AJ565" s="229">
        <v>0</v>
      </c>
      <c r="AK565" s="229">
        <v>0</v>
      </c>
      <c r="AL565" s="229">
        <v>0</v>
      </c>
      <c r="AM565" s="229">
        <v>0</v>
      </c>
      <c r="AN565" s="229">
        <v>0</v>
      </c>
      <c r="AO565" s="229">
        <v>0</v>
      </c>
      <c r="AP565" s="229">
        <v>0</v>
      </c>
      <c r="AQ565" s="229">
        <v>0</v>
      </c>
      <c r="AR565" s="229">
        <v>0</v>
      </c>
      <c r="AS565" s="229">
        <v>0</v>
      </c>
      <c r="AT565" s="229">
        <v>0</v>
      </c>
      <c r="AU565" s="229">
        <v>0</v>
      </c>
      <c r="AV565" s="229">
        <v>0</v>
      </c>
      <c r="AW565" s="229">
        <v>0</v>
      </c>
      <c r="AX565" s="229">
        <v>0</v>
      </c>
      <c r="AY565" s="229">
        <v>0</v>
      </c>
      <c r="AZ565" s="229">
        <v>0</v>
      </c>
      <c r="BA565" s="229">
        <v>0</v>
      </c>
      <c r="BB565" s="229">
        <v>0</v>
      </c>
      <c r="BC565" s="229">
        <v>0</v>
      </c>
    </row>
    <row r="566" spans="3:55" outlineLevel="2" x14ac:dyDescent="0.2">
      <c r="C566" s="162" t="str">
        <v>RNC a Core punto de acceso: Voz 1024</v>
      </c>
      <c r="D566" s="81"/>
      <c r="E566" s="86"/>
      <c r="F566" s="229">
        <v>0</v>
      </c>
      <c r="G566" s="229">
        <v>0</v>
      </c>
      <c r="H566" s="229">
        <v>0</v>
      </c>
      <c r="I566" s="229">
        <v>0</v>
      </c>
      <c r="J566" s="229">
        <v>0</v>
      </c>
      <c r="K566" s="229">
        <v>0</v>
      </c>
      <c r="L566" s="229">
        <v>0</v>
      </c>
      <c r="M566" s="229">
        <v>0</v>
      </c>
      <c r="N566" s="229">
        <v>0</v>
      </c>
      <c r="O566" s="229">
        <v>0</v>
      </c>
      <c r="P566" s="229">
        <v>0</v>
      </c>
      <c r="Q566" s="229">
        <v>0</v>
      </c>
      <c r="R566" s="229">
        <v>0</v>
      </c>
      <c r="S566" s="229">
        <v>0</v>
      </c>
      <c r="T566" s="229">
        <v>0</v>
      </c>
      <c r="U566" s="229">
        <v>0</v>
      </c>
      <c r="V566" s="229">
        <v>0</v>
      </c>
      <c r="W566" s="229">
        <v>0</v>
      </c>
      <c r="X566" s="229">
        <v>0</v>
      </c>
      <c r="Y566" s="229">
        <v>0</v>
      </c>
      <c r="Z566" s="229">
        <v>0</v>
      </c>
      <c r="AA566" s="229">
        <v>0</v>
      </c>
      <c r="AB566" s="229">
        <v>0</v>
      </c>
      <c r="AC566" s="229">
        <v>0</v>
      </c>
      <c r="AD566" s="229">
        <v>0</v>
      </c>
      <c r="AE566" s="229">
        <v>0</v>
      </c>
      <c r="AF566" s="229">
        <v>0</v>
      </c>
      <c r="AG566" s="229">
        <v>0</v>
      </c>
      <c r="AH566" s="229">
        <v>0</v>
      </c>
      <c r="AI566" s="229">
        <v>0</v>
      </c>
      <c r="AJ566" s="229">
        <v>0</v>
      </c>
      <c r="AK566" s="229">
        <v>0</v>
      </c>
      <c r="AL566" s="229">
        <v>0</v>
      </c>
      <c r="AM566" s="229">
        <v>0</v>
      </c>
      <c r="AN566" s="229">
        <v>0</v>
      </c>
      <c r="AO566" s="229">
        <v>0</v>
      </c>
      <c r="AP566" s="229">
        <v>0</v>
      </c>
      <c r="AQ566" s="229">
        <v>0</v>
      </c>
      <c r="AR566" s="229">
        <v>0</v>
      </c>
      <c r="AS566" s="229">
        <v>0</v>
      </c>
      <c r="AT566" s="229">
        <v>0</v>
      </c>
      <c r="AU566" s="229">
        <v>0</v>
      </c>
      <c r="AV566" s="229">
        <v>0</v>
      </c>
      <c r="AW566" s="229">
        <v>0</v>
      </c>
      <c r="AX566" s="229">
        <v>0</v>
      </c>
      <c r="AY566" s="229">
        <v>0</v>
      </c>
      <c r="AZ566" s="229">
        <v>0</v>
      </c>
      <c r="BA566" s="229">
        <v>0</v>
      </c>
      <c r="BB566" s="229">
        <v>0</v>
      </c>
      <c r="BC566" s="229">
        <v>0</v>
      </c>
    </row>
    <row r="567" spans="3:55" outlineLevel="2" x14ac:dyDescent="0.2">
      <c r="C567" s="162" t="str">
        <v>RNC a Core punto de acceso: Voz 2488</v>
      </c>
      <c r="D567" s="81"/>
      <c r="E567" s="86"/>
      <c r="F567" s="229">
        <v>0</v>
      </c>
      <c r="G567" s="229">
        <v>0</v>
      </c>
      <c r="H567" s="229">
        <v>0</v>
      </c>
      <c r="I567" s="229">
        <v>0</v>
      </c>
      <c r="J567" s="229">
        <v>0</v>
      </c>
      <c r="K567" s="229">
        <v>0</v>
      </c>
      <c r="L567" s="229">
        <v>0</v>
      </c>
      <c r="M567" s="229">
        <v>0</v>
      </c>
      <c r="N567" s="229">
        <v>0</v>
      </c>
      <c r="O567" s="229">
        <v>0</v>
      </c>
      <c r="P567" s="229">
        <v>0</v>
      </c>
      <c r="Q567" s="229">
        <v>0</v>
      </c>
      <c r="R567" s="229">
        <v>0</v>
      </c>
      <c r="S567" s="229">
        <v>0</v>
      </c>
      <c r="T567" s="229">
        <v>0</v>
      </c>
      <c r="U567" s="229">
        <v>0</v>
      </c>
      <c r="V567" s="229">
        <v>0</v>
      </c>
      <c r="W567" s="229">
        <v>0</v>
      </c>
      <c r="X567" s="229">
        <v>0</v>
      </c>
      <c r="Y567" s="229">
        <v>0</v>
      </c>
      <c r="Z567" s="229">
        <v>0</v>
      </c>
      <c r="AA567" s="229">
        <v>0</v>
      </c>
      <c r="AB567" s="229">
        <v>0</v>
      </c>
      <c r="AC567" s="229">
        <v>0</v>
      </c>
      <c r="AD567" s="229">
        <v>0</v>
      </c>
      <c r="AE567" s="229">
        <v>0</v>
      </c>
      <c r="AF567" s="229">
        <v>0</v>
      </c>
      <c r="AG567" s="229">
        <v>0</v>
      </c>
      <c r="AH567" s="229">
        <v>0</v>
      </c>
      <c r="AI567" s="229">
        <v>0</v>
      </c>
      <c r="AJ567" s="229">
        <v>0</v>
      </c>
      <c r="AK567" s="229">
        <v>0</v>
      </c>
      <c r="AL567" s="229">
        <v>0</v>
      </c>
      <c r="AM567" s="229">
        <v>0</v>
      </c>
      <c r="AN567" s="229">
        <v>0</v>
      </c>
      <c r="AO567" s="229">
        <v>0</v>
      </c>
      <c r="AP567" s="229">
        <v>0</v>
      </c>
      <c r="AQ567" s="229">
        <v>0</v>
      </c>
      <c r="AR567" s="229">
        <v>0</v>
      </c>
      <c r="AS567" s="229">
        <v>0</v>
      </c>
      <c r="AT567" s="229">
        <v>0</v>
      </c>
      <c r="AU567" s="229">
        <v>0</v>
      </c>
      <c r="AV567" s="229">
        <v>0</v>
      </c>
      <c r="AW567" s="229">
        <v>0</v>
      </c>
      <c r="AX567" s="229">
        <v>0</v>
      </c>
      <c r="AY567" s="229">
        <v>0</v>
      </c>
      <c r="AZ567" s="229">
        <v>0</v>
      </c>
      <c r="BA567" s="229">
        <v>0</v>
      </c>
      <c r="BB567" s="229">
        <v>0</v>
      </c>
      <c r="BC567" s="229">
        <v>0</v>
      </c>
    </row>
    <row r="568" spans="3:55" outlineLevel="2" x14ac:dyDescent="0.2">
      <c r="C568" s="162" t="str">
        <v>RNC a Core punto de acceso: Datos: 34.4</v>
      </c>
      <c r="D568" s="81"/>
      <c r="E568" s="86"/>
      <c r="F568" s="229">
        <v>0</v>
      </c>
      <c r="G568" s="229">
        <v>0</v>
      </c>
      <c r="H568" s="229">
        <v>0</v>
      </c>
      <c r="I568" s="229">
        <v>0</v>
      </c>
      <c r="J568" s="229">
        <v>0</v>
      </c>
      <c r="K568" s="229">
        <v>0</v>
      </c>
      <c r="L568" s="229">
        <v>0</v>
      </c>
      <c r="M568" s="229">
        <v>0</v>
      </c>
      <c r="N568" s="229">
        <v>0</v>
      </c>
      <c r="O568" s="229">
        <v>0</v>
      </c>
      <c r="P568" s="229">
        <v>0</v>
      </c>
      <c r="Q568" s="229">
        <v>0</v>
      </c>
      <c r="R568" s="229">
        <v>0</v>
      </c>
      <c r="S568" s="229">
        <v>0</v>
      </c>
      <c r="T568" s="229">
        <v>0</v>
      </c>
      <c r="U568" s="229">
        <v>0</v>
      </c>
      <c r="V568" s="229">
        <v>0</v>
      </c>
      <c r="W568" s="229">
        <v>0</v>
      </c>
      <c r="X568" s="229">
        <v>0</v>
      </c>
      <c r="Y568" s="229">
        <v>0</v>
      </c>
      <c r="Z568" s="229">
        <v>0</v>
      </c>
      <c r="AA568" s="229">
        <v>0</v>
      </c>
      <c r="AB568" s="229">
        <v>0</v>
      </c>
      <c r="AC568" s="229">
        <v>0</v>
      </c>
      <c r="AD568" s="229">
        <v>0</v>
      </c>
      <c r="AE568" s="229">
        <v>0</v>
      </c>
      <c r="AF568" s="229">
        <v>0</v>
      </c>
      <c r="AG568" s="229">
        <v>0</v>
      </c>
      <c r="AH568" s="229">
        <v>0</v>
      </c>
      <c r="AI568" s="229">
        <v>0</v>
      </c>
      <c r="AJ568" s="229">
        <v>0</v>
      </c>
      <c r="AK568" s="229">
        <v>0</v>
      </c>
      <c r="AL568" s="229">
        <v>0</v>
      </c>
      <c r="AM568" s="229">
        <v>0</v>
      </c>
      <c r="AN568" s="229">
        <v>0</v>
      </c>
      <c r="AO568" s="229">
        <v>0</v>
      </c>
      <c r="AP568" s="229">
        <v>0</v>
      </c>
      <c r="AQ568" s="229">
        <v>0</v>
      </c>
      <c r="AR568" s="229">
        <v>0</v>
      </c>
      <c r="AS568" s="229">
        <v>0</v>
      </c>
      <c r="AT568" s="229">
        <v>0</v>
      </c>
      <c r="AU568" s="229">
        <v>0</v>
      </c>
      <c r="AV568" s="229">
        <v>0</v>
      </c>
      <c r="AW568" s="229">
        <v>0</v>
      </c>
      <c r="AX568" s="229">
        <v>0</v>
      </c>
      <c r="AY568" s="229">
        <v>0</v>
      </c>
      <c r="AZ568" s="229">
        <v>0</v>
      </c>
      <c r="BA568" s="229">
        <v>0</v>
      </c>
      <c r="BB568" s="229">
        <v>0</v>
      </c>
      <c r="BC568" s="229">
        <v>0</v>
      </c>
    </row>
    <row r="569" spans="3:55" outlineLevel="2" x14ac:dyDescent="0.2">
      <c r="C569" s="162" t="str">
        <v>RNC a Core punto de acceso: Datos: 155.52</v>
      </c>
      <c r="D569" s="81"/>
      <c r="E569" s="86"/>
      <c r="F569" s="229">
        <v>0</v>
      </c>
      <c r="G569" s="229">
        <v>0</v>
      </c>
      <c r="H569" s="229">
        <v>0</v>
      </c>
      <c r="I569" s="229">
        <v>0</v>
      </c>
      <c r="J569" s="229">
        <v>0</v>
      </c>
      <c r="K569" s="229">
        <v>0</v>
      </c>
      <c r="L569" s="229">
        <v>0</v>
      </c>
      <c r="M569" s="229">
        <v>0</v>
      </c>
      <c r="N569" s="229">
        <v>0</v>
      </c>
      <c r="O569" s="229">
        <v>0</v>
      </c>
      <c r="P569" s="229">
        <v>0</v>
      </c>
      <c r="Q569" s="229">
        <v>0</v>
      </c>
      <c r="R569" s="229">
        <v>0</v>
      </c>
      <c r="S569" s="229">
        <v>0</v>
      </c>
      <c r="T569" s="229">
        <v>0</v>
      </c>
      <c r="U569" s="229">
        <v>0</v>
      </c>
      <c r="V569" s="229">
        <v>0</v>
      </c>
      <c r="W569" s="229">
        <v>0</v>
      </c>
      <c r="X569" s="229">
        <v>0</v>
      </c>
      <c r="Y569" s="229">
        <v>0</v>
      </c>
      <c r="Z569" s="229">
        <v>0</v>
      </c>
      <c r="AA569" s="229">
        <v>0</v>
      </c>
      <c r="AB569" s="229">
        <v>0</v>
      </c>
      <c r="AC569" s="229">
        <v>0</v>
      </c>
      <c r="AD569" s="229">
        <v>0</v>
      </c>
      <c r="AE569" s="229">
        <v>0</v>
      </c>
      <c r="AF569" s="229">
        <v>0</v>
      </c>
      <c r="AG569" s="229">
        <v>0</v>
      </c>
      <c r="AH569" s="229">
        <v>0</v>
      </c>
      <c r="AI569" s="229">
        <v>0</v>
      </c>
      <c r="AJ569" s="229">
        <v>0</v>
      </c>
      <c r="AK569" s="229">
        <v>0</v>
      </c>
      <c r="AL569" s="229">
        <v>0</v>
      </c>
      <c r="AM569" s="229">
        <v>0</v>
      </c>
      <c r="AN569" s="229">
        <v>0</v>
      </c>
      <c r="AO569" s="229">
        <v>0</v>
      </c>
      <c r="AP569" s="229">
        <v>0</v>
      </c>
      <c r="AQ569" s="229">
        <v>0</v>
      </c>
      <c r="AR569" s="229">
        <v>0</v>
      </c>
      <c r="AS569" s="229">
        <v>0</v>
      </c>
      <c r="AT569" s="229">
        <v>0</v>
      </c>
      <c r="AU569" s="229">
        <v>0</v>
      </c>
      <c r="AV569" s="229">
        <v>0</v>
      </c>
      <c r="AW569" s="229">
        <v>0</v>
      </c>
      <c r="AX569" s="229">
        <v>0</v>
      </c>
      <c r="AY569" s="229">
        <v>0</v>
      </c>
      <c r="AZ569" s="229">
        <v>0</v>
      </c>
      <c r="BA569" s="229">
        <v>0</v>
      </c>
      <c r="BB569" s="229">
        <v>0</v>
      </c>
      <c r="BC569" s="229">
        <v>0</v>
      </c>
    </row>
    <row r="570" spans="3:55" outlineLevel="2" x14ac:dyDescent="0.2">
      <c r="C570" s="162" t="str">
        <v>RNC a Core punto de acceso: Datos: 622.08</v>
      </c>
      <c r="D570" s="81"/>
      <c r="E570" s="86"/>
      <c r="F570" s="229">
        <v>0</v>
      </c>
      <c r="G570" s="229">
        <v>0</v>
      </c>
      <c r="H570" s="229">
        <v>0</v>
      </c>
      <c r="I570" s="229">
        <v>0</v>
      </c>
      <c r="J570" s="229">
        <v>0</v>
      </c>
      <c r="K570" s="229">
        <v>0</v>
      </c>
      <c r="L570" s="229">
        <v>0</v>
      </c>
      <c r="M570" s="229">
        <v>0</v>
      </c>
      <c r="N570" s="229">
        <v>0</v>
      </c>
      <c r="O570" s="229">
        <v>0</v>
      </c>
      <c r="P570" s="229">
        <v>0</v>
      </c>
      <c r="Q570" s="229">
        <v>0</v>
      </c>
      <c r="R570" s="229">
        <v>0</v>
      </c>
      <c r="S570" s="229">
        <v>0</v>
      </c>
      <c r="T570" s="229">
        <v>0</v>
      </c>
      <c r="U570" s="229">
        <v>0</v>
      </c>
      <c r="V570" s="229">
        <v>0</v>
      </c>
      <c r="W570" s="229">
        <v>0</v>
      </c>
      <c r="X570" s="229">
        <v>0</v>
      </c>
      <c r="Y570" s="229">
        <v>0</v>
      </c>
      <c r="Z570" s="229">
        <v>0</v>
      </c>
      <c r="AA570" s="229">
        <v>0</v>
      </c>
      <c r="AB570" s="229">
        <v>0</v>
      </c>
      <c r="AC570" s="229">
        <v>0</v>
      </c>
      <c r="AD570" s="229">
        <v>0</v>
      </c>
      <c r="AE570" s="229">
        <v>0</v>
      </c>
      <c r="AF570" s="229">
        <v>0</v>
      </c>
      <c r="AG570" s="229">
        <v>0</v>
      </c>
      <c r="AH570" s="229">
        <v>0</v>
      </c>
      <c r="AI570" s="229">
        <v>0</v>
      </c>
      <c r="AJ570" s="229">
        <v>0</v>
      </c>
      <c r="AK570" s="229">
        <v>0</v>
      </c>
      <c r="AL570" s="229">
        <v>0</v>
      </c>
      <c r="AM570" s="229">
        <v>0</v>
      </c>
      <c r="AN570" s="229">
        <v>0</v>
      </c>
      <c r="AO570" s="229">
        <v>0</v>
      </c>
      <c r="AP570" s="229">
        <v>0</v>
      </c>
      <c r="AQ570" s="229">
        <v>0</v>
      </c>
      <c r="AR570" s="229">
        <v>0</v>
      </c>
      <c r="AS570" s="229">
        <v>0</v>
      </c>
      <c r="AT570" s="229">
        <v>0</v>
      </c>
      <c r="AU570" s="229">
        <v>0</v>
      </c>
      <c r="AV570" s="229">
        <v>0</v>
      </c>
      <c r="AW570" s="229">
        <v>0</v>
      </c>
      <c r="AX570" s="229">
        <v>0</v>
      </c>
      <c r="AY570" s="229">
        <v>0</v>
      </c>
      <c r="AZ570" s="229">
        <v>0</v>
      </c>
      <c r="BA570" s="229">
        <v>0</v>
      </c>
      <c r="BB570" s="229">
        <v>0</v>
      </c>
      <c r="BC570" s="229">
        <v>0</v>
      </c>
    </row>
    <row r="571" spans="3:55" outlineLevel="2" x14ac:dyDescent="0.2">
      <c r="C571" s="162" t="str">
        <v>RNC a Core punto de acceso: Datos: 100</v>
      </c>
      <c r="D571" s="81"/>
      <c r="E571" s="86"/>
      <c r="F571" s="229">
        <v>0</v>
      </c>
      <c r="G571" s="229">
        <v>0</v>
      </c>
      <c r="H571" s="229">
        <v>0</v>
      </c>
      <c r="I571" s="229">
        <v>0</v>
      </c>
      <c r="J571" s="229">
        <v>0</v>
      </c>
      <c r="K571" s="229">
        <v>0</v>
      </c>
      <c r="L571" s="229">
        <v>0</v>
      </c>
      <c r="M571" s="229">
        <v>0</v>
      </c>
      <c r="N571" s="229">
        <v>0</v>
      </c>
      <c r="O571" s="229">
        <v>0</v>
      </c>
      <c r="P571" s="229">
        <v>0</v>
      </c>
      <c r="Q571" s="229">
        <v>0</v>
      </c>
      <c r="R571" s="229">
        <v>0</v>
      </c>
      <c r="S571" s="229">
        <v>0</v>
      </c>
      <c r="T571" s="229">
        <v>0</v>
      </c>
      <c r="U571" s="229">
        <v>0</v>
      </c>
      <c r="V571" s="229">
        <v>0</v>
      </c>
      <c r="W571" s="229">
        <v>0</v>
      </c>
      <c r="X571" s="229">
        <v>0</v>
      </c>
      <c r="Y571" s="229">
        <v>0</v>
      </c>
      <c r="Z571" s="229">
        <v>0</v>
      </c>
      <c r="AA571" s="229">
        <v>0</v>
      </c>
      <c r="AB571" s="229">
        <v>0</v>
      </c>
      <c r="AC571" s="229">
        <v>0</v>
      </c>
      <c r="AD571" s="229">
        <v>0</v>
      </c>
      <c r="AE571" s="229">
        <v>0</v>
      </c>
      <c r="AF571" s="229">
        <v>0</v>
      </c>
      <c r="AG571" s="229">
        <v>0</v>
      </c>
      <c r="AH571" s="229">
        <v>0</v>
      </c>
      <c r="AI571" s="229">
        <v>0</v>
      </c>
      <c r="AJ571" s="229">
        <v>0</v>
      </c>
      <c r="AK571" s="229">
        <v>0</v>
      </c>
      <c r="AL571" s="229">
        <v>0</v>
      </c>
      <c r="AM571" s="229">
        <v>0</v>
      </c>
      <c r="AN571" s="229">
        <v>0</v>
      </c>
      <c r="AO571" s="229">
        <v>0</v>
      </c>
      <c r="AP571" s="229">
        <v>0</v>
      </c>
      <c r="AQ571" s="229">
        <v>0</v>
      </c>
      <c r="AR571" s="229">
        <v>0</v>
      </c>
      <c r="AS571" s="229">
        <v>0</v>
      </c>
      <c r="AT571" s="229">
        <v>0</v>
      </c>
      <c r="AU571" s="229">
        <v>0</v>
      </c>
      <c r="AV571" s="229">
        <v>0</v>
      </c>
      <c r="AW571" s="229">
        <v>0</v>
      </c>
      <c r="AX571" s="229">
        <v>0</v>
      </c>
      <c r="AY571" s="229">
        <v>0</v>
      </c>
      <c r="AZ571" s="229">
        <v>0</v>
      </c>
      <c r="BA571" s="229">
        <v>0</v>
      </c>
      <c r="BB571" s="229">
        <v>0</v>
      </c>
      <c r="BC571" s="229">
        <v>0</v>
      </c>
    </row>
    <row r="572" spans="3:55" outlineLevel="2" x14ac:dyDescent="0.2">
      <c r="C572" s="162" t="str">
        <v>RNC a Core punto de acceso: Datos: 1024</v>
      </c>
      <c r="D572" s="81"/>
      <c r="E572" s="86"/>
      <c r="F572" s="229">
        <v>0</v>
      </c>
      <c r="G572" s="229">
        <v>0</v>
      </c>
      <c r="H572" s="229">
        <v>0</v>
      </c>
      <c r="I572" s="229">
        <v>0</v>
      </c>
      <c r="J572" s="229">
        <v>0</v>
      </c>
      <c r="K572" s="229">
        <v>0</v>
      </c>
      <c r="L572" s="229">
        <v>0</v>
      </c>
      <c r="M572" s="229">
        <v>0</v>
      </c>
      <c r="N572" s="229">
        <v>0</v>
      </c>
      <c r="O572" s="229">
        <v>0</v>
      </c>
      <c r="P572" s="229">
        <v>0</v>
      </c>
      <c r="Q572" s="229">
        <v>0</v>
      </c>
      <c r="R572" s="229">
        <v>0</v>
      </c>
      <c r="S572" s="229">
        <v>0</v>
      </c>
      <c r="T572" s="229">
        <v>0</v>
      </c>
      <c r="U572" s="229">
        <v>0</v>
      </c>
      <c r="V572" s="229">
        <v>0</v>
      </c>
      <c r="W572" s="229">
        <v>0</v>
      </c>
      <c r="X572" s="229">
        <v>0</v>
      </c>
      <c r="Y572" s="229">
        <v>0</v>
      </c>
      <c r="Z572" s="229">
        <v>0</v>
      </c>
      <c r="AA572" s="229">
        <v>0</v>
      </c>
      <c r="AB572" s="229">
        <v>0</v>
      </c>
      <c r="AC572" s="229">
        <v>0</v>
      </c>
      <c r="AD572" s="229">
        <v>0</v>
      </c>
      <c r="AE572" s="229">
        <v>0</v>
      </c>
      <c r="AF572" s="229">
        <v>0</v>
      </c>
      <c r="AG572" s="229">
        <v>0</v>
      </c>
      <c r="AH572" s="229">
        <v>0</v>
      </c>
      <c r="AI572" s="229">
        <v>0</v>
      </c>
      <c r="AJ572" s="229">
        <v>0</v>
      </c>
      <c r="AK572" s="229">
        <v>0</v>
      </c>
      <c r="AL572" s="229">
        <v>0</v>
      </c>
      <c r="AM572" s="229">
        <v>0</v>
      </c>
      <c r="AN572" s="229">
        <v>0</v>
      </c>
      <c r="AO572" s="229">
        <v>0</v>
      </c>
      <c r="AP572" s="229">
        <v>0</v>
      </c>
      <c r="AQ572" s="229">
        <v>0</v>
      </c>
      <c r="AR572" s="229">
        <v>0</v>
      </c>
      <c r="AS572" s="229">
        <v>0</v>
      </c>
      <c r="AT572" s="229">
        <v>0</v>
      </c>
      <c r="AU572" s="229">
        <v>0</v>
      </c>
      <c r="AV572" s="229">
        <v>0</v>
      </c>
      <c r="AW572" s="229">
        <v>0</v>
      </c>
      <c r="AX572" s="229">
        <v>0</v>
      </c>
      <c r="AY572" s="229">
        <v>0</v>
      </c>
      <c r="AZ572" s="229">
        <v>0</v>
      </c>
      <c r="BA572" s="229">
        <v>0</v>
      </c>
      <c r="BB572" s="229">
        <v>0</v>
      </c>
      <c r="BC572" s="229">
        <v>0</v>
      </c>
    </row>
    <row r="573" spans="3:55" outlineLevel="2" x14ac:dyDescent="0.2">
      <c r="C573" s="162" t="str">
        <v>RNC a Core punto de acceso: Datos: 2488</v>
      </c>
      <c r="D573" s="81"/>
      <c r="E573" s="86"/>
      <c r="F573" s="229">
        <v>0</v>
      </c>
      <c r="G573" s="229">
        <v>0</v>
      </c>
      <c r="H573" s="229">
        <v>0</v>
      </c>
      <c r="I573" s="229">
        <v>0</v>
      </c>
      <c r="J573" s="229">
        <v>0</v>
      </c>
      <c r="K573" s="229">
        <v>0</v>
      </c>
      <c r="L573" s="229">
        <v>0</v>
      </c>
      <c r="M573" s="229">
        <v>0</v>
      </c>
      <c r="N573" s="229">
        <v>0</v>
      </c>
      <c r="O573" s="229">
        <v>0</v>
      </c>
      <c r="P573" s="229">
        <v>0</v>
      </c>
      <c r="Q573" s="229">
        <v>0</v>
      </c>
      <c r="R573" s="229">
        <v>0</v>
      </c>
      <c r="S573" s="229">
        <v>0</v>
      </c>
      <c r="T573" s="229">
        <v>0</v>
      </c>
      <c r="U573" s="229">
        <v>0</v>
      </c>
      <c r="V573" s="229">
        <v>0</v>
      </c>
      <c r="W573" s="229">
        <v>0</v>
      </c>
      <c r="X573" s="229">
        <v>0</v>
      </c>
      <c r="Y573" s="229">
        <v>0</v>
      </c>
      <c r="Z573" s="229">
        <v>0</v>
      </c>
      <c r="AA573" s="229">
        <v>0</v>
      </c>
      <c r="AB573" s="229">
        <v>0</v>
      </c>
      <c r="AC573" s="229">
        <v>0</v>
      </c>
      <c r="AD573" s="229">
        <v>0</v>
      </c>
      <c r="AE573" s="229">
        <v>0</v>
      </c>
      <c r="AF573" s="229">
        <v>0</v>
      </c>
      <c r="AG573" s="229">
        <v>0</v>
      </c>
      <c r="AH573" s="229">
        <v>0</v>
      </c>
      <c r="AI573" s="229">
        <v>0</v>
      </c>
      <c r="AJ573" s="229">
        <v>0</v>
      </c>
      <c r="AK573" s="229">
        <v>0</v>
      </c>
      <c r="AL573" s="229">
        <v>0</v>
      </c>
      <c r="AM573" s="229">
        <v>0</v>
      </c>
      <c r="AN573" s="229">
        <v>0</v>
      </c>
      <c r="AO573" s="229">
        <v>0</v>
      </c>
      <c r="AP573" s="229">
        <v>0</v>
      </c>
      <c r="AQ573" s="229">
        <v>0</v>
      </c>
      <c r="AR573" s="229">
        <v>0</v>
      </c>
      <c r="AS573" s="229">
        <v>0</v>
      </c>
      <c r="AT573" s="229">
        <v>0</v>
      </c>
      <c r="AU573" s="229">
        <v>0</v>
      </c>
      <c r="AV573" s="229">
        <v>0</v>
      </c>
      <c r="AW573" s="229">
        <v>0</v>
      </c>
      <c r="AX573" s="229">
        <v>0</v>
      </c>
      <c r="AY573" s="229">
        <v>0</v>
      </c>
      <c r="AZ573" s="229">
        <v>0</v>
      </c>
      <c r="BA573" s="229">
        <v>0</v>
      </c>
      <c r="BB573" s="229">
        <v>0</v>
      </c>
      <c r="BC573" s="229">
        <v>0</v>
      </c>
    </row>
    <row r="574" spans="3:55" outlineLevel="2" x14ac:dyDescent="0.2">
      <c r="C574" s="162" t="str">
        <v>BSC a Core líneas alquiladas: Voz: 8.45</v>
      </c>
      <c r="D574" s="81"/>
      <c r="E574" s="86"/>
      <c r="F574" s="229">
        <v>0</v>
      </c>
      <c r="G574" s="229">
        <v>0</v>
      </c>
      <c r="H574" s="229">
        <v>0</v>
      </c>
      <c r="I574" s="229">
        <v>0</v>
      </c>
      <c r="J574" s="229">
        <v>0</v>
      </c>
      <c r="K574" s="229">
        <v>0</v>
      </c>
      <c r="L574" s="229">
        <v>0</v>
      </c>
      <c r="M574" s="229">
        <v>0</v>
      </c>
      <c r="N574" s="229">
        <v>0</v>
      </c>
      <c r="O574" s="229">
        <v>0</v>
      </c>
      <c r="P574" s="229">
        <v>0</v>
      </c>
      <c r="Q574" s="229">
        <v>0</v>
      </c>
      <c r="R574" s="229">
        <v>0</v>
      </c>
      <c r="S574" s="229">
        <v>0</v>
      </c>
      <c r="T574" s="229">
        <v>0</v>
      </c>
      <c r="U574" s="229">
        <v>0</v>
      </c>
      <c r="V574" s="229">
        <v>0</v>
      </c>
      <c r="W574" s="229">
        <v>0</v>
      </c>
      <c r="X574" s="229">
        <v>0</v>
      </c>
      <c r="Y574" s="229">
        <v>0</v>
      </c>
      <c r="Z574" s="229">
        <v>0</v>
      </c>
      <c r="AA574" s="229">
        <v>0</v>
      </c>
      <c r="AB574" s="229">
        <v>0</v>
      </c>
      <c r="AC574" s="229">
        <v>0</v>
      </c>
      <c r="AD574" s="229">
        <v>0</v>
      </c>
      <c r="AE574" s="229">
        <v>0</v>
      </c>
      <c r="AF574" s="229">
        <v>0</v>
      </c>
      <c r="AG574" s="229">
        <v>0</v>
      </c>
      <c r="AH574" s="229">
        <v>0</v>
      </c>
      <c r="AI574" s="229">
        <v>0</v>
      </c>
      <c r="AJ574" s="229">
        <v>0</v>
      </c>
      <c r="AK574" s="229">
        <v>0</v>
      </c>
      <c r="AL574" s="229">
        <v>0</v>
      </c>
      <c r="AM574" s="229">
        <v>0</v>
      </c>
      <c r="AN574" s="229">
        <v>0</v>
      </c>
      <c r="AO574" s="229">
        <v>0</v>
      </c>
      <c r="AP574" s="229">
        <v>0</v>
      </c>
      <c r="AQ574" s="229">
        <v>0</v>
      </c>
      <c r="AR574" s="229">
        <v>0</v>
      </c>
      <c r="AS574" s="229">
        <v>0</v>
      </c>
      <c r="AT574" s="229">
        <v>0</v>
      </c>
      <c r="AU574" s="229">
        <v>0</v>
      </c>
      <c r="AV574" s="229">
        <v>0</v>
      </c>
      <c r="AW574" s="229">
        <v>0</v>
      </c>
      <c r="AX574" s="229">
        <v>0</v>
      </c>
      <c r="AY574" s="229">
        <v>0</v>
      </c>
      <c r="AZ574" s="229">
        <v>0</v>
      </c>
      <c r="BA574" s="229">
        <v>0</v>
      </c>
      <c r="BB574" s="229">
        <v>0</v>
      </c>
      <c r="BC574" s="229">
        <v>0</v>
      </c>
    </row>
    <row r="575" spans="3:55" outlineLevel="2" x14ac:dyDescent="0.2">
      <c r="C575" s="162" t="str">
        <v>BSC a Core líneas alquiladas: Voz: 34.37</v>
      </c>
      <c r="D575" s="81"/>
      <c r="E575" s="86"/>
      <c r="F575" s="229">
        <v>0</v>
      </c>
      <c r="G575" s="229">
        <v>0</v>
      </c>
      <c r="H575" s="229">
        <v>0</v>
      </c>
      <c r="I575" s="229">
        <v>0</v>
      </c>
      <c r="J575" s="229">
        <v>0</v>
      </c>
      <c r="K575" s="229">
        <v>0</v>
      </c>
      <c r="L575" s="229">
        <v>0</v>
      </c>
      <c r="M575" s="229">
        <v>0</v>
      </c>
      <c r="N575" s="229">
        <v>0</v>
      </c>
      <c r="O575" s="229">
        <v>0</v>
      </c>
      <c r="P575" s="229">
        <v>0</v>
      </c>
      <c r="Q575" s="229">
        <v>0</v>
      </c>
      <c r="R575" s="229">
        <v>0</v>
      </c>
      <c r="S575" s="229">
        <v>0</v>
      </c>
      <c r="T575" s="229">
        <v>0</v>
      </c>
      <c r="U575" s="229">
        <v>0</v>
      </c>
      <c r="V575" s="229">
        <v>0</v>
      </c>
      <c r="W575" s="229">
        <v>0</v>
      </c>
      <c r="X575" s="229">
        <v>0</v>
      </c>
      <c r="Y575" s="229">
        <v>0</v>
      </c>
      <c r="Z575" s="229">
        <v>0</v>
      </c>
      <c r="AA575" s="229">
        <v>0</v>
      </c>
      <c r="AB575" s="229">
        <v>0</v>
      </c>
      <c r="AC575" s="229">
        <v>0</v>
      </c>
      <c r="AD575" s="229">
        <v>0</v>
      </c>
      <c r="AE575" s="229">
        <v>0</v>
      </c>
      <c r="AF575" s="229">
        <v>0</v>
      </c>
      <c r="AG575" s="229">
        <v>0</v>
      </c>
      <c r="AH575" s="229">
        <v>0</v>
      </c>
      <c r="AI575" s="229">
        <v>0</v>
      </c>
      <c r="AJ575" s="229">
        <v>0</v>
      </c>
      <c r="AK575" s="229">
        <v>0</v>
      </c>
      <c r="AL575" s="229">
        <v>0</v>
      </c>
      <c r="AM575" s="229">
        <v>0</v>
      </c>
      <c r="AN575" s="229">
        <v>0</v>
      </c>
      <c r="AO575" s="229">
        <v>0</v>
      </c>
      <c r="AP575" s="229">
        <v>0</v>
      </c>
      <c r="AQ575" s="229">
        <v>0</v>
      </c>
      <c r="AR575" s="229">
        <v>0</v>
      </c>
      <c r="AS575" s="229">
        <v>0</v>
      </c>
      <c r="AT575" s="229">
        <v>0</v>
      </c>
      <c r="AU575" s="229">
        <v>0</v>
      </c>
      <c r="AV575" s="229">
        <v>0</v>
      </c>
      <c r="AW575" s="229">
        <v>0</v>
      </c>
      <c r="AX575" s="229">
        <v>0</v>
      </c>
      <c r="AY575" s="229">
        <v>0</v>
      </c>
      <c r="AZ575" s="229">
        <v>0</v>
      </c>
      <c r="BA575" s="229">
        <v>0</v>
      </c>
      <c r="BB575" s="229">
        <v>0</v>
      </c>
      <c r="BC575" s="229">
        <v>0</v>
      </c>
    </row>
    <row r="576" spans="3:55" outlineLevel="2" x14ac:dyDescent="0.2">
      <c r="C576" s="162" t="str">
        <v>BSC a Core líneas alquiladas: Voz: 155.52</v>
      </c>
      <c r="D576" s="81"/>
      <c r="E576" s="86"/>
      <c r="F576" s="229">
        <v>0</v>
      </c>
      <c r="G576" s="229">
        <v>0</v>
      </c>
      <c r="H576" s="229">
        <v>0</v>
      </c>
      <c r="I576" s="229">
        <v>0</v>
      </c>
      <c r="J576" s="229">
        <v>0</v>
      </c>
      <c r="K576" s="229">
        <v>0</v>
      </c>
      <c r="L576" s="229">
        <v>0</v>
      </c>
      <c r="M576" s="229">
        <v>0</v>
      </c>
      <c r="N576" s="229">
        <v>0</v>
      </c>
      <c r="O576" s="229">
        <v>0</v>
      </c>
      <c r="P576" s="229">
        <v>0</v>
      </c>
      <c r="Q576" s="229">
        <v>0</v>
      </c>
      <c r="R576" s="229">
        <v>0</v>
      </c>
      <c r="S576" s="229">
        <v>0</v>
      </c>
      <c r="T576" s="229">
        <v>0</v>
      </c>
      <c r="U576" s="229">
        <v>0</v>
      </c>
      <c r="V576" s="229">
        <v>0</v>
      </c>
      <c r="W576" s="229">
        <v>0</v>
      </c>
      <c r="X576" s="229">
        <v>0</v>
      </c>
      <c r="Y576" s="229">
        <v>0</v>
      </c>
      <c r="Z576" s="229">
        <v>0</v>
      </c>
      <c r="AA576" s="229">
        <v>0</v>
      </c>
      <c r="AB576" s="229">
        <v>0</v>
      </c>
      <c r="AC576" s="229">
        <v>0</v>
      </c>
      <c r="AD576" s="229">
        <v>0</v>
      </c>
      <c r="AE576" s="229">
        <v>0</v>
      </c>
      <c r="AF576" s="229">
        <v>0</v>
      </c>
      <c r="AG576" s="229">
        <v>0</v>
      </c>
      <c r="AH576" s="229">
        <v>0</v>
      </c>
      <c r="AI576" s="229">
        <v>0</v>
      </c>
      <c r="AJ576" s="229">
        <v>0</v>
      </c>
      <c r="AK576" s="229">
        <v>0</v>
      </c>
      <c r="AL576" s="229">
        <v>0</v>
      </c>
      <c r="AM576" s="229">
        <v>0</v>
      </c>
      <c r="AN576" s="229">
        <v>0</v>
      </c>
      <c r="AO576" s="229">
        <v>0</v>
      </c>
      <c r="AP576" s="229">
        <v>0</v>
      </c>
      <c r="AQ576" s="229">
        <v>0</v>
      </c>
      <c r="AR576" s="229">
        <v>0</v>
      </c>
      <c r="AS576" s="229">
        <v>0</v>
      </c>
      <c r="AT576" s="229">
        <v>0</v>
      </c>
      <c r="AU576" s="229">
        <v>0</v>
      </c>
      <c r="AV576" s="229">
        <v>0</v>
      </c>
      <c r="AW576" s="229">
        <v>0</v>
      </c>
      <c r="AX576" s="229">
        <v>0</v>
      </c>
      <c r="AY576" s="229">
        <v>0</v>
      </c>
      <c r="AZ576" s="229">
        <v>0</v>
      </c>
      <c r="BA576" s="229">
        <v>0</v>
      </c>
      <c r="BB576" s="229">
        <v>0</v>
      </c>
      <c r="BC576" s="229">
        <v>0</v>
      </c>
    </row>
    <row r="577" spans="3:55" outlineLevel="2" x14ac:dyDescent="0.2">
      <c r="C577" s="162" t="str">
        <v>BSC a Core líneas alquiladas: Voz: 30</v>
      </c>
      <c r="D577" s="81"/>
      <c r="E577" s="86"/>
      <c r="F577" s="229">
        <v>0</v>
      </c>
      <c r="G577" s="229">
        <v>0</v>
      </c>
      <c r="H577" s="229">
        <v>0</v>
      </c>
      <c r="I577" s="229">
        <v>0</v>
      </c>
      <c r="J577" s="229">
        <v>0</v>
      </c>
      <c r="K577" s="229">
        <v>0</v>
      </c>
      <c r="L577" s="229">
        <v>0</v>
      </c>
      <c r="M577" s="229">
        <v>0</v>
      </c>
      <c r="N577" s="229">
        <v>0</v>
      </c>
      <c r="O577" s="229">
        <v>0</v>
      </c>
      <c r="P577" s="229">
        <v>0</v>
      </c>
      <c r="Q577" s="229">
        <v>0</v>
      </c>
      <c r="R577" s="229">
        <v>0</v>
      </c>
      <c r="S577" s="229">
        <v>0</v>
      </c>
      <c r="T577" s="229">
        <v>0</v>
      </c>
      <c r="U577" s="229">
        <v>0</v>
      </c>
      <c r="V577" s="229">
        <v>0</v>
      </c>
      <c r="W577" s="229">
        <v>0</v>
      </c>
      <c r="X577" s="229">
        <v>0</v>
      </c>
      <c r="Y577" s="229">
        <v>0</v>
      </c>
      <c r="Z577" s="229">
        <v>0</v>
      </c>
      <c r="AA577" s="229">
        <v>0</v>
      </c>
      <c r="AB577" s="229">
        <v>0</v>
      </c>
      <c r="AC577" s="229">
        <v>0</v>
      </c>
      <c r="AD577" s="229">
        <v>0</v>
      </c>
      <c r="AE577" s="229">
        <v>0</v>
      </c>
      <c r="AF577" s="229">
        <v>0</v>
      </c>
      <c r="AG577" s="229">
        <v>0</v>
      </c>
      <c r="AH577" s="229">
        <v>0</v>
      </c>
      <c r="AI577" s="229">
        <v>0</v>
      </c>
      <c r="AJ577" s="229">
        <v>0</v>
      </c>
      <c r="AK577" s="229">
        <v>0</v>
      </c>
      <c r="AL577" s="229">
        <v>0</v>
      </c>
      <c r="AM577" s="229">
        <v>0</v>
      </c>
      <c r="AN577" s="229">
        <v>0</v>
      </c>
      <c r="AO577" s="229">
        <v>0</v>
      </c>
      <c r="AP577" s="229">
        <v>0</v>
      </c>
      <c r="AQ577" s="229">
        <v>0</v>
      </c>
      <c r="AR577" s="229">
        <v>0</v>
      </c>
      <c r="AS577" s="229">
        <v>0</v>
      </c>
      <c r="AT577" s="229">
        <v>0</v>
      </c>
      <c r="AU577" s="229">
        <v>0</v>
      </c>
      <c r="AV577" s="229">
        <v>0</v>
      </c>
      <c r="AW577" s="229">
        <v>0</v>
      </c>
      <c r="AX577" s="229">
        <v>0</v>
      </c>
      <c r="AY577" s="229">
        <v>0</v>
      </c>
      <c r="AZ577" s="229">
        <v>0</v>
      </c>
      <c r="BA577" s="229">
        <v>0</v>
      </c>
      <c r="BB577" s="229">
        <v>0</v>
      </c>
      <c r="BC577" s="229">
        <v>0</v>
      </c>
    </row>
    <row r="578" spans="3:55" outlineLevel="2" x14ac:dyDescent="0.2">
      <c r="C578" s="162" t="str">
        <v>BSC a Core líneas alquiladas: Voz: 100</v>
      </c>
      <c r="D578" s="81"/>
      <c r="E578" s="86"/>
      <c r="F578" s="229">
        <v>0</v>
      </c>
      <c r="G578" s="229">
        <v>0</v>
      </c>
      <c r="H578" s="229">
        <v>0</v>
      </c>
      <c r="I578" s="229">
        <v>0</v>
      </c>
      <c r="J578" s="229">
        <v>0</v>
      </c>
      <c r="K578" s="229">
        <v>0</v>
      </c>
      <c r="L578" s="229">
        <v>0</v>
      </c>
      <c r="M578" s="229">
        <v>0</v>
      </c>
      <c r="N578" s="229">
        <v>0</v>
      </c>
      <c r="O578" s="229">
        <v>0</v>
      </c>
      <c r="P578" s="229">
        <v>0</v>
      </c>
      <c r="Q578" s="229">
        <v>0</v>
      </c>
      <c r="R578" s="229">
        <v>0</v>
      </c>
      <c r="S578" s="229">
        <v>0</v>
      </c>
      <c r="T578" s="229">
        <v>0</v>
      </c>
      <c r="U578" s="229">
        <v>0</v>
      </c>
      <c r="V578" s="229">
        <v>0</v>
      </c>
      <c r="W578" s="229">
        <v>0</v>
      </c>
      <c r="X578" s="229">
        <v>0</v>
      </c>
      <c r="Y578" s="229">
        <v>0</v>
      </c>
      <c r="Z578" s="229">
        <v>0</v>
      </c>
      <c r="AA578" s="229">
        <v>0</v>
      </c>
      <c r="AB578" s="229">
        <v>0</v>
      </c>
      <c r="AC578" s="229">
        <v>0</v>
      </c>
      <c r="AD578" s="229">
        <v>0</v>
      </c>
      <c r="AE578" s="229">
        <v>0</v>
      </c>
      <c r="AF578" s="229">
        <v>0</v>
      </c>
      <c r="AG578" s="229">
        <v>0</v>
      </c>
      <c r="AH578" s="229">
        <v>0</v>
      </c>
      <c r="AI578" s="229">
        <v>0</v>
      </c>
      <c r="AJ578" s="229">
        <v>0</v>
      </c>
      <c r="AK578" s="229">
        <v>0</v>
      </c>
      <c r="AL578" s="229">
        <v>0</v>
      </c>
      <c r="AM578" s="229">
        <v>0</v>
      </c>
      <c r="AN578" s="229">
        <v>0</v>
      </c>
      <c r="AO578" s="229">
        <v>0</v>
      </c>
      <c r="AP578" s="229">
        <v>0</v>
      </c>
      <c r="AQ578" s="229">
        <v>0</v>
      </c>
      <c r="AR578" s="229">
        <v>0</v>
      </c>
      <c r="AS578" s="229">
        <v>0</v>
      </c>
      <c r="AT578" s="229">
        <v>0</v>
      </c>
      <c r="AU578" s="229">
        <v>0</v>
      </c>
      <c r="AV578" s="229">
        <v>0</v>
      </c>
      <c r="AW578" s="229">
        <v>0</v>
      </c>
      <c r="AX578" s="229">
        <v>0</v>
      </c>
      <c r="AY578" s="229">
        <v>0</v>
      </c>
      <c r="AZ578" s="229">
        <v>0</v>
      </c>
      <c r="BA578" s="229">
        <v>0</v>
      </c>
      <c r="BB578" s="229">
        <v>0</v>
      </c>
      <c r="BC578" s="229">
        <v>0</v>
      </c>
    </row>
    <row r="579" spans="3:55" outlineLevel="2" x14ac:dyDescent="0.2">
      <c r="C579" s="162" t="str">
        <v>BSC a Core líneas alquiladas: Voz: 1024</v>
      </c>
      <c r="D579" s="86"/>
      <c r="E579" s="86"/>
      <c r="F579" s="229">
        <v>0</v>
      </c>
      <c r="G579" s="229">
        <v>0</v>
      </c>
      <c r="H579" s="229">
        <v>0</v>
      </c>
      <c r="I579" s="229">
        <v>0</v>
      </c>
      <c r="J579" s="229">
        <v>0</v>
      </c>
      <c r="K579" s="229">
        <v>0</v>
      </c>
      <c r="L579" s="229">
        <v>0</v>
      </c>
      <c r="M579" s="229">
        <v>0</v>
      </c>
      <c r="N579" s="229">
        <v>0</v>
      </c>
      <c r="O579" s="229">
        <v>0</v>
      </c>
      <c r="P579" s="229">
        <v>0</v>
      </c>
      <c r="Q579" s="229">
        <v>0</v>
      </c>
      <c r="R579" s="229">
        <v>0</v>
      </c>
      <c r="S579" s="229">
        <v>0</v>
      </c>
      <c r="T579" s="229">
        <v>0</v>
      </c>
      <c r="U579" s="229">
        <v>0</v>
      </c>
      <c r="V579" s="229">
        <v>0</v>
      </c>
      <c r="W579" s="229">
        <v>0</v>
      </c>
      <c r="X579" s="229">
        <v>0</v>
      </c>
      <c r="Y579" s="229">
        <v>0</v>
      </c>
      <c r="Z579" s="229">
        <v>0</v>
      </c>
      <c r="AA579" s="229">
        <v>0</v>
      </c>
      <c r="AB579" s="229">
        <v>0</v>
      </c>
      <c r="AC579" s="229">
        <v>0</v>
      </c>
      <c r="AD579" s="229">
        <v>0</v>
      </c>
      <c r="AE579" s="229">
        <v>0</v>
      </c>
      <c r="AF579" s="229">
        <v>0</v>
      </c>
      <c r="AG579" s="229">
        <v>0</v>
      </c>
      <c r="AH579" s="229">
        <v>0</v>
      </c>
      <c r="AI579" s="229">
        <v>0</v>
      </c>
      <c r="AJ579" s="229">
        <v>0</v>
      </c>
      <c r="AK579" s="229">
        <v>0</v>
      </c>
      <c r="AL579" s="229">
        <v>0</v>
      </c>
      <c r="AM579" s="229">
        <v>0</v>
      </c>
      <c r="AN579" s="229">
        <v>0</v>
      </c>
      <c r="AO579" s="229">
        <v>0</v>
      </c>
      <c r="AP579" s="229">
        <v>0</v>
      </c>
      <c r="AQ579" s="229">
        <v>0</v>
      </c>
      <c r="AR579" s="229">
        <v>0</v>
      </c>
      <c r="AS579" s="229">
        <v>0</v>
      </c>
      <c r="AT579" s="229">
        <v>0</v>
      </c>
      <c r="AU579" s="229">
        <v>0</v>
      </c>
      <c r="AV579" s="229">
        <v>0</v>
      </c>
      <c r="AW579" s="229">
        <v>0</v>
      </c>
      <c r="AX579" s="229">
        <v>0</v>
      </c>
      <c r="AY579" s="229">
        <v>0</v>
      </c>
      <c r="AZ579" s="229">
        <v>0</v>
      </c>
      <c r="BA579" s="229">
        <v>0</v>
      </c>
      <c r="BB579" s="229">
        <v>0</v>
      </c>
      <c r="BC579" s="229">
        <v>0</v>
      </c>
    </row>
    <row r="580" spans="3:55" outlineLevel="2" x14ac:dyDescent="0.2">
      <c r="C580" s="162" t="str">
        <v>BSC a Core líneas alquiladas: Datos: 8.45</v>
      </c>
      <c r="D580" s="86"/>
      <c r="E580" s="86"/>
      <c r="F580" s="229">
        <v>0</v>
      </c>
      <c r="G580" s="229">
        <v>0</v>
      </c>
      <c r="H580" s="229">
        <v>0</v>
      </c>
      <c r="I580" s="229">
        <v>0</v>
      </c>
      <c r="J580" s="229">
        <v>0</v>
      </c>
      <c r="K580" s="229">
        <v>0</v>
      </c>
      <c r="L580" s="229">
        <v>0</v>
      </c>
      <c r="M580" s="229">
        <v>0</v>
      </c>
      <c r="N580" s="229">
        <v>0</v>
      </c>
      <c r="O580" s="229">
        <v>0</v>
      </c>
      <c r="P580" s="229">
        <v>0</v>
      </c>
      <c r="Q580" s="229">
        <v>0</v>
      </c>
      <c r="R580" s="229">
        <v>0</v>
      </c>
      <c r="S580" s="229">
        <v>0</v>
      </c>
      <c r="T580" s="229">
        <v>0</v>
      </c>
      <c r="U580" s="229">
        <v>0</v>
      </c>
      <c r="V580" s="229">
        <v>0</v>
      </c>
      <c r="W580" s="229">
        <v>0</v>
      </c>
      <c r="X580" s="229">
        <v>0</v>
      </c>
      <c r="Y580" s="229">
        <v>0</v>
      </c>
      <c r="Z580" s="229">
        <v>0</v>
      </c>
      <c r="AA580" s="229">
        <v>0</v>
      </c>
      <c r="AB580" s="229">
        <v>0</v>
      </c>
      <c r="AC580" s="229">
        <v>0</v>
      </c>
      <c r="AD580" s="229">
        <v>0</v>
      </c>
      <c r="AE580" s="229">
        <v>0</v>
      </c>
      <c r="AF580" s="229">
        <v>0</v>
      </c>
      <c r="AG580" s="229">
        <v>0</v>
      </c>
      <c r="AH580" s="229">
        <v>0</v>
      </c>
      <c r="AI580" s="229">
        <v>0</v>
      </c>
      <c r="AJ580" s="229">
        <v>0</v>
      </c>
      <c r="AK580" s="229">
        <v>0</v>
      </c>
      <c r="AL580" s="229">
        <v>0</v>
      </c>
      <c r="AM580" s="229">
        <v>0</v>
      </c>
      <c r="AN580" s="229">
        <v>0</v>
      </c>
      <c r="AO580" s="229">
        <v>0</v>
      </c>
      <c r="AP580" s="229">
        <v>0</v>
      </c>
      <c r="AQ580" s="229">
        <v>0</v>
      </c>
      <c r="AR580" s="229">
        <v>0</v>
      </c>
      <c r="AS580" s="229">
        <v>0</v>
      </c>
      <c r="AT580" s="229">
        <v>0</v>
      </c>
      <c r="AU580" s="229">
        <v>0</v>
      </c>
      <c r="AV580" s="229">
        <v>0</v>
      </c>
      <c r="AW580" s="229">
        <v>0</v>
      </c>
      <c r="AX580" s="229">
        <v>0</v>
      </c>
      <c r="AY580" s="229">
        <v>0</v>
      </c>
      <c r="AZ580" s="229">
        <v>0</v>
      </c>
      <c r="BA580" s="229">
        <v>0</v>
      </c>
      <c r="BB580" s="229">
        <v>0</v>
      </c>
      <c r="BC580" s="229">
        <v>0</v>
      </c>
    </row>
    <row r="581" spans="3:55" outlineLevel="2" x14ac:dyDescent="0.2">
      <c r="C581" s="162" t="str">
        <v>BSC a Core líneas alquiladas: Datos: 34.37</v>
      </c>
      <c r="D581" s="86"/>
      <c r="E581" s="86"/>
      <c r="F581" s="229">
        <v>0</v>
      </c>
      <c r="G581" s="229">
        <v>0</v>
      </c>
      <c r="H581" s="229">
        <v>0</v>
      </c>
      <c r="I581" s="229">
        <v>0</v>
      </c>
      <c r="J581" s="229">
        <v>0</v>
      </c>
      <c r="K581" s="229">
        <v>0</v>
      </c>
      <c r="L581" s="229">
        <v>0</v>
      </c>
      <c r="M581" s="229">
        <v>0</v>
      </c>
      <c r="N581" s="229">
        <v>0</v>
      </c>
      <c r="O581" s="229">
        <v>0</v>
      </c>
      <c r="P581" s="229">
        <v>0</v>
      </c>
      <c r="Q581" s="229">
        <v>0</v>
      </c>
      <c r="R581" s="229">
        <v>0</v>
      </c>
      <c r="S581" s="229">
        <v>0</v>
      </c>
      <c r="T581" s="229">
        <v>0</v>
      </c>
      <c r="U581" s="229">
        <v>0</v>
      </c>
      <c r="V581" s="229">
        <v>0</v>
      </c>
      <c r="W581" s="229">
        <v>0</v>
      </c>
      <c r="X581" s="229">
        <v>0</v>
      </c>
      <c r="Y581" s="229">
        <v>0</v>
      </c>
      <c r="Z581" s="229">
        <v>0</v>
      </c>
      <c r="AA581" s="229">
        <v>0</v>
      </c>
      <c r="AB581" s="229">
        <v>0</v>
      </c>
      <c r="AC581" s="229">
        <v>0</v>
      </c>
      <c r="AD581" s="229">
        <v>0</v>
      </c>
      <c r="AE581" s="229">
        <v>0</v>
      </c>
      <c r="AF581" s="229">
        <v>0</v>
      </c>
      <c r="AG581" s="229">
        <v>0</v>
      </c>
      <c r="AH581" s="229">
        <v>0</v>
      </c>
      <c r="AI581" s="229">
        <v>0</v>
      </c>
      <c r="AJ581" s="229">
        <v>0</v>
      </c>
      <c r="AK581" s="229">
        <v>0</v>
      </c>
      <c r="AL581" s="229">
        <v>0</v>
      </c>
      <c r="AM581" s="229">
        <v>0</v>
      </c>
      <c r="AN581" s="229">
        <v>0</v>
      </c>
      <c r="AO581" s="229">
        <v>0</v>
      </c>
      <c r="AP581" s="229">
        <v>0</v>
      </c>
      <c r="AQ581" s="229">
        <v>0</v>
      </c>
      <c r="AR581" s="229">
        <v>0</v>
      </c>
      <c r="AS581" s="229">
        <v>0</v>
      </c>
      <c r="AT581" s="229">
        <v>0</v>
      </c>
      <c r="AU581" s="229">
        <v>0</v>
      </c>
      <c r="AV581" s="229">
        <v>0</v>
      </c>
      <c r="AW581" s="229">
        <v>0</v>
      </c>
      <c r="AX581" s="229">
        <v>0</v>
      </c>
      <c r="AY581" s="229">
        <v>0</v>
      </c>
      <c r="AZ581" s="229">
        <v>0</v>
      </c>
      <c r="BA581" s="229">
        <v>0</v>
      </c>
      <c r="BB581" s="229">
        <v>0</v>
      </c>
      <c r="BC581" s="229">
        <v>0</v>
      </c>
    </row>
    <row r="582" spans="3:55" outlineLevel="2" x14ac:dyDescent="0.2">
      <c r="C582" s="162" t="str">
        <v>BSC a Core líneas alquiladas: Datos: 155.52</v>
      </c>
      <c r="D582" s="86"/>
      <c r="E582" s="86"/>
      <c r="F582" s="229">
        <v>0</v>
      </c>
      <c r="G582" s="229">
        <v>0</v>
      </c>
      <c r="H582" s="229">
        <v>0</v>
      </c>
      <c r="I582" s="229">
        <v>0</v>
      </c>
      <c r="J582" s="229">
        <v>0</v>
      </c>
      <c r="K582" s="229">
        <v>0</v>
      </c>
      <c r="L582" s="229">
        <v>0</v>
      </c>
      <c r="M582" s="229">
        <v>0</v>
      </c>
      <c r="N582" s="229">
        <v>0</v>
      </c>
      <c r="O582" s="229">
        <v>0</v>
      </c>
      <c r="P582" s="229">
        <v>0</v>
      </c>
      <c r="Q582" s="229">
        <v>0</v>
      </c>
      <c r="R582" s="229">
        <v>0</v>
      </c>
      <c r="S582" s="229">
        <v>0</v>
      </c>
      <c r="T582" s="229">
        <v>0</v>
      </c>
      <c r="U582" s="229">
        <v>0</v>
      </c>
      <c r="V582" s="229">
        <v>0</v>
      </c>
      <c r="W582" s="229">
        <v>0</v>
      </c>
      <c r="X582" s="229">
        <v>0</v>
      </c>
      <c r="Y582" s="229">
        <v>0</v>
      </c>
      <c r="Z582" s="229">
        <v>0</v>
      </c>
      <c r="AA582" s="229">
        <v>0</v>
      </c>
      <c r="AB582" s="229">
        <v>0</v>
      </c>
      <c r="AC582" s="229">
        <v>0</v>
      </c>
      <c r="AD582" s="229">
        <v>0</v>
      </c>
      <c r="AE582" s="229">
        <v>0</v>
      </c>
      <c r="AF582" s="229">
        <v>0</v>
      </c>
      <c r="AG582" s="229">
        <v>0</v>
      </c>
      <c r="AH582" s="229">
        <v>0</v>
      </c>
      <c r="AI582" s="229">
        <v>0</v>
      </c>
      <c r="AJ582" s="229">
        <v>0</v>
      </c>
      <c r="AK582" s="229">
        <v>0</v>
      </c>
      <c r="AL582" s="229">
        <v>0</v>
      </c>
      <c r="AM582" s="229">
        <v>0</v>
      </c>
      <c r="AN582" s="229">
        <v>0</v>
      </c>
      <c r="AO582" s="229">
        <v>0</v>
      </c>
      <c r="AP582" s="229">
        <v>0</v>
      </c>
      <c r="AQ582" s="229">
        <v>0</v>
      </c>
      <c r="AR582" s="229">
        <v>0</v>
      </c>
      <c r="AS582" s="229">
        <v>0</v>
      </c>
      <c r="AT582" s="229">
        <v>0</v>
      </c>
      <c r="AU582" s="229">
        <v>0</v>
      </c>
      <c r="AV582" s="229">
        <v>0</v>
      </c>
      <c r="AW582" s="229">
        <v>0</v>
      </c>
      <c r="AX582" s="229">
        <v>0</v>
      </c>
      <c r="AY582" s="229">
        <v>0</v>
      </c>
      <c r="AZ582" s="229">
        <v>0</v>
      </c>
      <c r="BA582" s="229">
        <v>0</v>
      </c>
      <c r="BB582" s="229">
        <v>0</v>
      </c>
      <c r="BC582" s="229">
        <v>0</v>
      </c>
    </row>
    <row r="583" spans="3:55" outlineLevel="2" x14ac:dyDescent="0.2">
      <c r="C583" s="162" t="str">
        <v>BSC a Core líneas alquiladas: Datos: 30</v>
      </c>
      <c r="D583" s="86"/>
      <c r="E583" s="86"/>
      <c r="F583" s="229">
        <v>0</v>
      </c>
      <c r="G583" s="229">
        <v>0</v>
      </c>
      <c r="H583" s="229">
        <v>0</v>
      </c>
      <c r="I583" s="229">
        <v>0</v>
      </c>
      <c r="J583" s="229">
        <v>0</v>
      </c>
      <c r="K583" s="229">
        <v>0</v>
      </c>
      <c r="L583" s="229">
        <v>0</v>
      </c>
      <c r="M583" s="229">
        <v>0</v>
      </c>
      <c r="N583" s="229">
        <v>0</v>
      </c>
      <c r="O583" s="229">
        <v>0</v>
      </c>
      <c r="P583" s="229">
        <v>0</v>
      </c>
      <c r="Q583" s="229">
        <v>0</v>
      </c>
      <c r="R583" s="229">
        <v>0</v>
      </c>
      <c r="S583" s="229">
        <v>0</v>
      </c>
      <c r="T583" s="229">
        <v>0</v>
      </c>
      <c r="U583" s="229">
        <v>0</v>
      </c>
      <c r="V583" s="229">
        <v>0</v>
      </c>
      <c r="W583" s="229">
        <v>0</v>
      </c>
      <c r="X583" s="229">
        <v>0</v>
      </c>
      <c r="Y583" s="229">
        <v>0</v>
      </c>
      <c r="Z583" s="229">
        <v>0</v>
      </c>
      <c r="AA583" s="229">
        <v>0</v>
      </c>
      <c r="AB583" s="229">
        <v>0</v>
      </c>
      <c r="AC583" s="229">
        <v>0</v>
      </c>
      <c r="AD583" s="229">
        <v>0</v>
      </c>
      <c r="AE583" s="229">
        <v>0</v>
      </c>
      <c r="AF583" s="229">
        <v>0</v>
      </c>
      <c r="AG583" s="229">
        <v>0</v>
      </c>
      <c r="AH583" s="229">
        <v>0</v>
      </c>
      <c r="AI583" s="229">
        <v>0</v>
      </c>
      <c r="AJ583" s="229">
        <v>0</v>
      </c>
      <c r="AK583" s="229">
        <v>0</v>
      </c>
      <c r="AL583" s="229">
        <v>0</v>
      </c>
      <c r="AM583" s="229">
        <v>0</v>
      </c>
      <c r="AN583" s="229">
        <v>0</v>
      </c>
      <c r="AO583" s="229">
        <v>0</v>
      </c>
      <c r="AP583" s="229">
        <v>0</v>
      </c>
      <c r="AQ583" s="229">
        <v>0</v>
      </c>
      <c r="AR583" s="229">
        <v>0</v>
      </c>
      <c r="AS583" s="229">
        <v>0</v>
      </c>
      <c r="AT583" s="229">
        <v>0</v>
      </c>
      <c r="AU583" s="229">
        <v>0</v>
      </c>
      <c r="AV583" s="229">
        <v>0</v>
      </c>
      <c r="AW583" s="229">
        <v>0</v>
      </c>
      <c r="AX583" s="229">
        <v>0</v>
      </c>
      <c r="AY583" s="229">
        <v>0</v>
      </c>
      <c r="AZ583" s="229">
        <v>0</v>
      </c>
      <c r="BA583" s="229">
        <v>0</v>
      </c>
      <c r="BB583" s="229">
        <v>0</v>
      </c>
      <c r="BC583" s="229">
        <v>0</v>
      </c>
    </row>
    <row r="584" spans="3:55" outlineLevel="2" x14ac:dyDescent="0.2">
      <c r="C584" s="162" t="str">
        <v>BSC a Core líneas alquiladas: Datos: 100</v>
      </c>
      <c r="D584" s="86"/>
      <c r="E584" s="86"/>
      <c r="F584" s="229">
        <v>0</v>
      </c>
      <c r="G584" s="229">
        <v>0</v>
      </c>
      <c r="H584" s="229">
        <v>0</v>
      </c>
      <c r="I584" s="229">
        <v>0</v>
      </c>
      <c r="J584" s="229">
        <v>0</v>
      </c>
      <c r="K584" s="229">
        <v>0</v>
      </c>
      <c r="L584" s="229">
        <v>0</v>
      </c>
      <c r="M584" s="229">
        <v>0</v>
      </c>
      <c r="N584" s="229">
        <v>0</v>
      </c>
      <c r="O584" s="229">
        <v>0</v>
      </c>
      <c r="P584" s="229">
        <v>0</v>
      </c>
      <c r="Q584" s="229">
        <v>0</v>
      </c>
      <c r="R584" s="229">
        <v>0</v>
      </c>
      <c r="S584" s="229">
        <v>0</v>
      </c>
      <c r="T584" s="229">
        <v>0</v>
      </c>
      <c r="U584" s="229">
        <v>0</v>
      </c>
      <c r="V584" s="229">
        <v>0</v>
      </c>
      <c r="W584" s="229">
        <v>0</v>
      </c>
      <c r="X584" s="229">
        <v>0</v>
      </c>
      <c r="Y584" s="229">
        <v>0</v>
      </c>
      <c r="Z584" s="229">
        <v>0</v>
      </c>
      <c r="AA584" s="229">
        <v>0</v>
      </c>
      <c r="AB584" s="229">
        <v>0</v>
      </c>
      <c r="AC584" s="229">
        <v>0</v>
      </c>
      <c r="AD584" s="229">
        <v>0</v>
      </c>
      <c r="AE584" s="229">
        <v>0</v>
      </c>
      <c r="AF584" s="229">
        <v>0</v>
      </c>
      <c r="AG584" s="229">
        <v>0</v>
      </c>
      <c r="AH584" s="229">
        <v>0</v>
      </c>
      <c r="AI584" s="229">
        <v>0</v>
      </c>
      <c r="AJ584" s="229">
        <v>0</v>
      </c>
      <c r="AK584" s="229">
        <v>0</v>
      </c>
      <c r="AL584" s="229">
        <v>0</v>
      </c>
      <c r="AM584" s="229">
        <v>0</v>
      </c>
      <c r="AN584" s="229">
        <v>0</v>
      </c>
      <c r="AO584" s="229">
        <v>0</v>
      </c>
      <c r="AP584" s="229">
        <v>0</v>
      </c>
      <c r="AQ584" s="229">
        <v>0</v>
      </c>
      <c r="AR584" s="229">
        <v>0</v>
      </c>
      <c r="AS584" s="229">
        <v>0</v>
      </c>
      <c r="AT584" s="229">
        <v>0</v>
      </c>
      <c r="AU584" s="229">
        <v>0</v>
      </c>
      <c r="AV584" s="229">
        <v>0</v>
      </c>
      <c r="AW584" s="229">
        <v>0</v>
      </c>
      <c r="AX584" s="229">
        <v>0</v>
      </c>
      <c r="AY584" s="229">
        <v>0</v>
      </c>
      <c r="AZ584" s="229">
        <v>0</v>
      </c>
      <c r="BA584" s="229">
        <v>0</v>
      </c>
      <c r="BB584" s="229">
        <v>0</v>
      </c>
      <c r="BC584" s="229">
        <v>0</v>
      </c>
    </row>
    <row r="585" spans="3:55" outlineLevel="2" x14ac:dyDescent="0.2">
      <c r="C585" s="162" t="str">
        <v>BSC a Core líneas alquiladas: Datos: 1024</v>
      </c>
      <c r="D585" s="86"/>
      <c r="E585" s="86"/>
      <c r="F585" s="229">
        <v>0</v>
      </c>
      <c r="G585" s="229">
        <v>0</v>
      </c>
      <c r="H585" s="229">
        <v>0</v>
      </c>
      <c r="I585" s="229">
        <v>0</v>
      </c>
      <c r="J585" s="229">
        <v>0</v>
      </c>
      <c r="K585" s="229">
        <v>0</v>
      </c>
      <c r="L585" s="229">
        <v>0</v>
      </c>
      <c r="M585" s="229">
        <v>0</v>
      </c>
      <c r="N585" s="229">
        <v>0</v>
      </c>
      <c r="O585" s="229">
        <v>0</v>
      </c>
      <c r="P585" s="229">
        <v>0</v>
      </c>
      <c r="Q585" s="229">
        <v>0</v>
      </c>
      <c r="R585" s="229">
        <v>0</v>
      </c>
      <c r="S585" s="229">
        <v>0</v>
      </c>
      <c r="T585" s="229">
        <v>0</v>
      </c>
      <c r="U585" s="229">
        <v>0</v>
      </c>
      <c r="V585" s="229">
        <v>0</v>
      </c>
      <c r="W585" s="229">
        <v>0</v>
      </c>
      <c r="X585" s="229">
        <v>0</v>
      </c>
      <c r="Y585" s="229">
        <v>0</v>
      </c>
      <c r="Z585" s="229">
        <v>0</v>
      </c>
      <c r="AA585" s="229">
        <v>0</v>
      </c>
      <c r="AB585" s="229">
        <v>0</v>
      </c>
      <c r="AC585" s="229">
        <v>0</v>
      </c>
      <c r="AD585" s="229">
        <v>0</v>
      </c>
      <c r="AE585" s="229">
        <v>0</v>
      </c>
      <c r="AF585" s="229">
        <v>0</v>
      </c>
      <c r="AG585" s="229">
        <v>0</v>
      </c>
      <c r="AH585" s="229">
        <v>0</v>
      </c>
      <c r="AI585" s="229">
        <v>0</v>
      </c>
      <c r="AJ585" s="229">
        <v>0</v>
      </c>
      <c r="AK585" s="229">
        <v>0</v>
      </c>
      <c r="AL585" s="229">
        <v>0</v>
      </c>
      <c r="AM585" s="229">
        <v>0</v>
      </c>
      <c r="AN585" s="229">
        <v>0</v>
      </c>
      <c r="AO585" s="229">
        <v>0</v>
      </c>
      <c r="AP585" s="229">
        <v>0</v>
      </c>
      <c r="AQ585" s="229">
        <v>0</v>
      </c>
      <c r="AR585" s="229">
        <v>0</v>
      </c>
      <c r="AS585" s="229">
        <v>0</v>
      </c>
      <c r="AT585" s="229">
        <v>0</v>
      </c>
      <c r="AU585" s="229">
        <v>0</v>
      </c>
      <c r="AV585" s="229">
        <v>0</v>
      </c>
      <c r="AW585" s="229">
        <v>0</v>
      </c>
      <c r="AX585" s="229">
        <v>0</v>
      </c>
      <c r="AY585" s="229">
        <v>0</v>
      </c>
      <c r="AZ585" s="229">
        <v>0</v>
      </c>
      <c r="BA585" s="229">
        <v>0</v>
      </c>
      <c r="BB585" s="229">
        <v>0</v>
      </c>
      <c r="BC585" s="229">
        <v>0</v>
      </c>
    </row>
    <row r="586" spans="3:55" outlineLevel="2" x14ac:dyDescent="0.2">
      <c r="C586" s="162" t="str">
        <v>RNC a Core líneas alquiladas: Voz: 34.4</v>
      </c>
      <c r="D586" s="86"/>
      <c r="E586" s="86"/>
      <c r="F586" s="229">
        <v>0</v>
      </c>
      <c r="G586" s="229">
        <v>0</v>
      </c>
      <c r="H586" s="229">
        <v>0</v>
      </c>
      <c r="I586" s="229">
        <v>0</v>
      </c>
      <c r="J586" s="229">
        <v>0</v>
      </c>
      <c r="K586" s="229">
        <v>0</v>
      </c>
      <c r="L586" s="229">
        <v>0</v>
      </c>
      <c r="M586" s="229">
        <v>0</v>
      </c>
      <c r="N586" s="229">
        <v>0</v>
      </c>
      <c r="O586" s="229">
        <v>0</v>
      </c>
      <c r="P586" s="229">
        <v>0</v>
      </c>
      <c r="Q586" s="229">
        <v>0</v>
      </c>
      <c r="R586" s="229">
        <v>0</v>
      </c>
      <c r="S586" s="229">
        <v>0</v>
      </c>
      <c r="T586" s="229">
        <v>0</v>
      </c>
      <c r="U586" s="229">
        <v>0</v>
      </c>
      <c r="V586" s="229">
        <v>0</v>
      </c>
      <c r="W586" s="229">
        <v>0</v>
      </c>
      <c r="X586" s="229">
        <v>0</v>
      </c>
      <c r="Y586" s="229">
        <v>0</v>
      </c>
      <c r="Z586" s="229">
        <v>0</v>
      </c>
      <c r="AA586" s="229">
        <v>0</v>
      </c>
      <c r="AB586" s="229">
        <v>0</v>
      </c>
      <c r="AC586" s="229">
        <v>0</v>
      </c>
      <c r="AD586" s="229">
        <v>0</v>
      </c>
      <c r="AE586" s="229">
        <v>0</v>
      </c>
      <c r="AF586" s="229">
        <v>0</v>
      </c>
      <c r="AG586" s="229">
        <v>0</v>
      </c>
      <c r="AH586" s="229">
        <v>0</v>
      </c>
      <c r="AI586" s="229">
        <v>0</v>
      </c>
      <c r="AJ586" s="229">
        <v>0</v>
      </c>
      <c r="AK586" s="229">
        <v>0</v>
      </c>
      <c r="AL586" s="229">
        <v>0</v>
      </c>
      <c r="AM586" s="229">
        <v>0</v>
      </c>
      <c r="AN586" s="229">
        <v>0</v>
      </c>
      <c r="AO586" s="229">
        <v>0</v>
      </c>
      <c r="AP586" s="229">
        <v>0</v>
      </c>
      <c r="AQ586" s="229">
        <v>0</v>
      </c>
      <c r="AR586" s="229">
        <v>0</v>
      </c>
      <c r="AS586" s="229">
        <v>0</v>
      </c>
      <c r="AT586" s="229">
        <v>0</v>
      </c>
      <c r="AU586" s="229">
        <v>0</v>
      </c>
      <c r="AV586" s="229">
        <v>0</v>
      </c>
      <c r="AW586" s="229">
        <v>0</v>
      </c>
      <c r="AX586" s="229">
        <v>0</v>
      </c>
      <c r="AY586" s="229">
        <v>0</v>
      </c>
      <c r="AZ586" s="229">
        <v>0</v>
      </c>
      <c r="BA586" s="229">
        <v>0</v>
      </c>
      <c r="BB586" s="229">
        <v>0</v>
      </c>
      <c r="BC586" s="229">
        <v>0</v>
      </c>
    </row>
    <row r="587" spans="3:55" outlineLevel="2" x14ac:dyDescent="0.2">
      <c r="C587" s="162" t="str">
        <v>RNC a Core líneas alquiladas: Voz: 155.52</v>
      </c>
      <c r="D587" s="86"/>
      <c r="E587" s="86"/>
      <c r="F587" s="229">
        <v>0</v>
      </c>
      <c r="G587" s="229">
        <v>0</v>
      </c>
      <c r="H587" s="229">
        <v>0</v>
      </c>
      <c r="I587" s="229">
        <v>0</v>
      </c>
      <c r="J587" s="229">
        <v>0</v>
      </c>
      <c r="K587" s="229">
        <v>0</v>
      </c>
      <c r="L587" s="229">
        <v>0</v>
      </c>
      <c r="M587" s="229">
        <v>0</v>
      </c>
      <c r="N587" s="229">
        <v>0</v>
      </c>
      <c r="O587" s="229">
        <v>0</v>
      </c>
      <c r="P587" s="229">
        <v>0</v>
      </c>
      <c r="Q587" s="229">
        <v>0</v>
      </c>
      <c r="R587" s="229">
        <v>0</v>
      </c>
      <c r="S587" s="229">
        <v>0</v>
      </c>
      <c r="T587" s="229">
        <v>0</v>
      </c>
      <c r="U587" s="229">
        <v>0</v>
      </c>
      <c r="V587" s="229">
        <v>0</v>
      </c>
      <c r="W587" s="229">
        <v>0</v>
      </c>
      <c r="X587" s="229">
        <v>0</v>
      </c>
      <c r="Y587" s="229">
        <v>0</v>
      </c>
      <c r="Z587" s="229">
        <v>0</v>
      </c>
      <c r="AA587" s="229">
        <v>0</v>
      </c>
      <c r="AB587" s="229">
        <v>0</v>
      </c>
      <c r="AC587" s="229">
        <v>0</v>
      </c>
      <c r="AD587" s="229">
        <v>0</v>
      </c>
      <c r="AE587" s="229">
        <v>0</v>
      </c>
      <c r="AF587" s="229">
        <v>0</v>
      </c>
      <c r="AG587" s="229">
        <v>0</v>
      </c>
      <c r="AH587" s="229">
        <v>0</v>
      </c>
      <c r="AI587" s="229">
        <v>0</v>
      </c>
      <c r="AJ587" s="229">
        <v>0</v>
      </c>
      <c r="AK587" s="229">
        <v>0</v>
      </c>
      <c r="AL587" s="229">
        <v>0</v>
      </c>
      <c r="AM587" s="229">
        <v>0</v>
      </c>
      <c r="AN587" s="229">
        <v>0</v>
      </c>
      <c r="AO587" s="229">
        <v>0</v>
      </c>
      <c r="AP587" s="229">
        <v>0</v>
      </c>
      <c r="AQ587" s="229">
        <v>0</v>
      </c>
      <c r="AR587" s="229">
        <v>0</v>
      </c>
      <c r="AS587" s="229">
        <v>0</v>
      </c>
      <c r="AT587" s="229">
        <v>0</v>
      </c>
      <c r="AU587" s="229">
        <v>0</v>
      </c>
      <c r="AV587" s="229">
        <v>0</v>
      </c>
      <c r="AW587" s="229">
        <v>0</v>
      </c>
      <c r="AX587" s="229">
        <v>0</v>
      </c>
      <c r="AY587" s="229">
        <v>0</v>
      </c>
      <c r="AZ587" s="229">
        <v>0</v>
      </c>
      <c r="BA587" s="229">
        <v>0</v>
      </c>
      <c r="BB587" s="229">
        <v>0</v>
      </c>
      <c r="BC587" s="229">
        <v>0</v>
      </c>
    </row>
    <row r="588" spans="3:55" outlineLevel="2" x14ac:dyDescent="0.2">
      <c r="C588" s="162" t="str">
        <v>RNC a Core líneas alquiladas: Voz: 622.08</v>
      </c>
      <c r="D588" s="86"/>
      <c r="E588" s="86"/>
      <c r="F588" s="229">
        <v>0</v>
      </c>
      <c r="G588" s="229">
        <v>0</v>
      </c>
      <c r="H588" s="229">
        <v>0</v>
      </c>
      <c r="I588" s="229">
        <v>0</v>
      </c>
      <c r="J588" s="229">
        <v>0</v>
      </c>
      <c r="K588" s="229">
        <v>0</v>
      </c>
      <c r="L588" s="229">
        <v>0</v>
      </c>
      <c r="M588" s="229">
        <v>0</v>
      </c>
      <c r="N588" s="229">
        <v>0</v>
      </c>
      <c r="O588" s="229">
        <v>0</v>
      </c>
      <c r="P588" s="229">
        <v>0</v>
      </c>
      <c r="Q588" s="229">
        <v>0</v>
      </c>
      <c r="R588" s="229">
        <v>0</v>
      </c>
      <c r="S588" s="229">
        <v>0</v>
      </c>
      <c r="T588" s="229">
        <v>0</v>
      </c>
      <c r="U588" s="229">
        <v>0</v>
      </c>
      <c r="V588" s="229">
        <v>0</v>
      </c>
      <c r="W588" s="229">
        <v>0</v>
      </c>
      <c r="X588" s="229">
        <v>0</v>
      </c>
      <c r="Y588" s="229">
        <v>0</v>
      </c>
      <c r="Z588" s="229">
        <v>0</v>
      </c>
      <c r="AA588" s="229">
        <v>0</v>
      </c>
      <c r="AB588" s="229">
        <v>0</v>
      </c>
      <c r="AC588" s="229">
        <v>0</v>
      </c>
      <c r="AD588" s="229">
        <v>0</v>
      </c>
      <c r="AE588" s="229">
        <v>0</v>
      </c>
      <c r="AF588" s="229">
        <v>0</v>
      </c>
      <c r="AG588" s="229">
        <v>0</v>
      </c>
      <c r="AH588" s="229">
        <v>0</v>
      </c>
      <c r="AI588" s="229">
        <v>0</v>
      </c>
      <c r="AJ588" s="229">
        <v>0</v>
      </c>
      <c r="AK588" s="229">
        <v>0</v>
      </c>
      <c r="AL588" s="229">
        <v>0</v>
      </c>
      <c r="AM588" s="229">
        <v>0</v>
      </c>
      <c r="AN588" s="229">
        <v>0</v>
      </c>
      <c r="AO588" s="229">
        <v>0</v>
      </c>
      <c r="AP588" s="229">
        <v>0</v>
      </c>
      <c r="AQ588" s="229">
        <v>0</v>
      </c>
      <c r="AR588" s="229">
        <v>0</v>
      </c>
      <c r="AS588" s="229">
        <v>0</v>
      </c>
      <c r="AT588" s="229">
        <v>0</v>
      </c>
      <c r="AU588" s="229">
        <v>0</v>
      </c>
      <c r="AV588" s="229">
        <v>0</v>
      </c>
      <c r="AW588" s="229">
        <v>0</v>
      </c>
      <c r="AX588" s="229">
        <v>0</v>
      </c>
      <c r="AY588" s="229">
        <v>0</v>
      </c>
      <c r="AZ588" s="229">
        <v>0</v>
      </c>
      <c r="BA588" s="229">
        <v>0</v>
      </c>
      <c r="BB588" s="229">
        <v>0</v>
      </c>
      <c r="BC588" s="229">
        <v>0</v>
      </c>
    </row>
    <row r="589" spans="3:55" outlineLevel="2" x14ac:dyDescent="0.2">
      <c r="C589" s="162" t="str">
        <v>RNC a Core líneas alquiladas: Voz: 100</v>
      </c>
      <c r="D589" s="86"/>
      <c r="E589" s="86"/>
      <c r="F589" s="229">
        <v>0</v>
      </c>
      <c r="G589" s="229">
        <v>0</v>
      </c>
      <c r="H589" s="229">
        <v>0</v>
      </c>
      <c r="I589" s="229">
        <v>0</v>
      </c>
      <c r="J589" s="229">
        <v>0</v>
      </c>
      <c r="K589" s="229">
        <v>0</v>
      </c>
      <c r="L589" s="229">
        <v>0</v>
      </c>
      <c r="M589" s="229">
        <v>0</v>
      </c>
      <c r="N589" s="229">
        <v>0</v>
      </c>
      <c r="O589" s="229">
        <v>0</v>
      </c>
      <c r="P589" s="229">
        <v>0</v>
      </c>
      <c r="Q589" s="229">
        <v>0</v>
      </c>
      <c r="R589" s="229">
        <v>0</v>
      </c>
      <c r="S589" s="229">
        <v>0</v>
      </c>
      <c r="T589" s="229">
        <v>0</v>
      </c>
      <c r="U589" s="229">
        <v>0</v>
      </c>
      <c r="V589" s="229">
        <v>0</v>
      </c>
      <c r="W589" s="229">
        <v>0</v>
      </c>
      <c r="X589" s="229">
        <v>0</v>
      </c>
      <c r="Y589" s="229">
        <v>0</v>
      </c>
      <c r="Z589" s="229">
        <v>0</v>
      </c>
      <c r="AA589" s="229">
        <v>0</v>
      </c>
      <c r="AB589" s="229">
        <v>0</v>
      </c>
      <c r="AC589" s="229">
        <v>0</v>
      </c>
      <c r="AD589" s="229">
        <v>0</v>
      </c>
      <c r="AE589" s="229">
        <v>0</v>
      </c>
      <c r="AF589" s="229">
        <v>0</v>
      </c>
      <c r="AG589" s="229">
        <v>0</v>
      </c>
      <c r="AH589" s="229">
        <v>0</v>
      </c>
      <c r="AI589" s="229">
        <v>0</v>
      </c>
      <c r="AJ589" s="229">
        <v>0</v>
      </c>
      <c r="AK589" s="229">
        <v>0</v>
      </c>
      <c r="AL589" s="229">
        <v>0</v>
      </c>
      <c r="AM589" s="229">
        <v>0</v>
      </c>
      <c r="AN589" s="229">
        <v>0</v>
      </c>
      <c r="AO589" s="229">
        <v>0</v>
      </c>
      <c r="AP589" s="229">
        <v>0</v>
      </c>
      <c r="AQ589" s="229">
        <v>0</v>
      </c>
      <c r="AR589" s="229">
        <v>0</v>
      </c>
      <c r="AS589" s="229">
        <v>0</v>
      </c>
      <c r="AT589" s="229">
        <v>0</v>
      </c>
      <c r="AU589" s="229">
        <v>0</v>
      </c>
      <c r="AV589" s="229">
        <v>0</v>
      </c>
      <c r="AW589" s="229">
        <v>0</v>
      </c>
      <c r="AX589" s="229">
        <v>0</v>
      </c>
      <c r="AY589" s="229">
        <v>0</v>
      </c>
      <c r="AZ589" s="229">
        <v>0</v>
      </c>
      <c r="BA589" s="229">
        <v>0</v>
      </c>
      <c r="BB589" s="229">
        <v>0</v>
      </c>
      <c r="BC589" s="229">
        <v>0</v>
      </c>
    </row>
    <row r="590" spans="3:55" outlineLevel="2" x14ac:dyDescent="0.2">
      <c r="C590" s="162" t="str">
        <v>RNC a Core líneas alquiladas: Voz: 1024</v>
      </c>
      <c r="D590" s="86"/>
      <c r="E590" s="86"/>
      <c r="F590" s="229">
        <v>0</v>
      </c>
      <c r="G590" s="229">
        <v>0</v>
      </c>
      <c r="H590" s="229">
        <v>0</v>
      </c>
      <c r="I590" s="229">
        <v>0</v>
      </c>
      <c r="J590" s="229">
        <v>0</v>
      </c>
      <c r="K590" s="229">
        <v>0</v>
      </c>
      <c r="L590" s="229">
        <v>0</v>
      </c>
      <c r="M590" s="229">
        <v>0</v>
      </c>
      <c r="N590" s="229">
        <v>0</v>
      </c>
      <c r="O590" s="229">
        <v>0</v>
      </c>
      <c r="P590" s="229">
        <v>0</v>
      </c>
      <c r="Q590" s="229">
        <v>0</v>
      </c>
      <c r="R590" s="229">
        <v>0</v>
      </c>
      <c r="S590" s="229">
        <v>0</v>
      </c>
      <c r="T590" s="229">
        <v>0</v>
      </c>
      <c r="U590" s="229">
        <v>0</v>
      </c>
      <c r="V590" s="229">
        <v>0</v>
      </c>
      <c r="W590" s="229">
        <v>0</v>
      </c>
      <c r="X590" s="229">
        <v>0</v>
      </c>
      <c r="Y590" s="229">
        <v>0</v>
      </c>
      <c r="Z590" s="229">
        <v>0</v>
      </c>
      <c r="AA590" s="229">
        <v>0</v>
      </c>
      <c r="AB590" s="229">
        <v>0</v>
      </c>
      <c r="AC590" s="229">
        <v>0</v>
      </c>
      <c r="AD590" s="229">
        <v>0</v>
      </c>
      <c r="AE590" s="229">
        <v>0</v>
      </c>
      <c r="AF590" s="229">
        <v>0</v>
      </c>
      <c r="AG590" s="229">
        <v>0</v>
      </c>
      <c r="AH590" s="229">
        <v>0</v>
      </c>
      <c r="AI590" s="229">
        <v>0</v>
      </c>
      <c r="AJ590" s="229">
        <v>0</v>
      </c>
      <c r="AK590" s="229">
        <v>0</v>
      </c>
      <c r="AL590" s="229">
        <v>0</v>
      </c>
      <c r="AM590" s="229">
        <v>0</v>
      </c>
      <c r="AN590" s="229">
        <v>0</v>
      </c>
      <c r="AO590" s="229">
        <v>0</v>
      </c>
      <c r="AP590" s="229">
        <v>0</v>
      </c>
      <c r="AQ590" s="229">
        <v>0</v>
      </c>
      <c r="AR590" s="229">
        <v>0</v>
      </c>
      <c r="AS590" s="229">
        <v>0</v>
      </c>
      <c r="AT590" s="229">
        <v>0</v>
      </c>
      <c r="AU590" s="229">
        <v>0</v>
      </c>
      <c r="AV590" s="229">
        <v>0</v>
      </c>
      <c r="AW590" s="229">
        <v>0</v>
      </c>
      <c r="AX590" s="229">
        <v>0</v>
      </c>
      <c r="AY590" s="229">
        <v>0</v>
      </c>
      <c r="AZ590" s="229">
        <v>0</v>
      </c>
      <c r="BA590" s="229">
        <v>0</v>
      </c>
      <c r="BB590" s="229">
        <v>0</v>
      </c>
      <c r="BC590" s="229">
        <v>0</v>
      </c>
    </row>
    <row r="591" spans="3:55" outlineLevel="2" x14ac:dyDescent="0.2">
      <c r="C591" s="162" t="str">
        <v>RNC a Core líneas alquiladas: Voz: 2488</v>
      </c>
      <c r="D591" s="86"/>
      <c r="E591" s="86"/>
      <c r="F591" s="229">
        <v>0</v>
      </c>
      <c r="G591" s="229">
        <v>0</v>
      </c>
      <c r="H591" s="229">
        <v>0</v>
      </c>
      <c r="I591" s="229">
        <v>0</v>
      </c>
      <c r="J591" s="229">
        <v>0</v>
      </c>
      <c r="K591" s="229">
        <v>0</v>
      </c>
      <c r="L591" s="229">
        <v>0</v>
      </c>
      <c r="M591" s="229">
        <v>0</v>
      </c>
      <c r="N591" s="229">
        <v>0</v>
      </c>
      <c r="O591" s="229">
        <v>0</v>
      </c>
      <c r="P591" s="229">
        <v>0</v>
      </c>
      <c r="Q591" s="229">
        <v>0</v>
      </c>
      <c r="R591" s="229">
        <v>0</v>
      </c>
      <c r="S591" s="229">
        <v>0</v>
      </c>
      <c r="T591" s="229">
        <v>0</v>
      </c>
      <c r="U591" s="229">
        <v>0</v>
      </c>
      <c r="V591" s="229">
        <v>0</v>
      </c>
      <c r="W591" s="229">
        <v>0</v>
      </c>
      <c r="X591" s="229">
        <v>0</v>
      </c>
      <c r="Y591" s="229">
        <v>0</v>
      </c>
      <c r="Z591" s="229">
        <v>0</v>
      </c>
      <c r="AA591" s="229">
        <v>0</v>
      </c>
      <c r="AB591" s="229">
        <v>0</v>
      </c>
      <c r="AC591" s="229">
        <v>0</v>
      </c>
      <c r="AD591" s="229">
        <v>0</v>
      </c>
      <c r="AE591" s="229">
        <v>0</v>
      </c>
      <c r="AF591" s="229">
        <v>0</v>
      </c>
      <c r="AG591" s="229">
        <v>0</v>
      </c>
      <c r="AH591" s="229">
        <v>0</v>
      </c>
      <c r="AI591" s="229">
        <v>0</v>
      </c>
      <c r="AJ591" s="229">
        <v>0</v>
      </c>
      <c r="AK591" s="229">
        <v>0</v>
      </c>
      <c r="AL591" s="229">
        <v>0</v>
      </c>
      <c r="AM591" s="229">
        <v>0</v>
      </c>
      <c r="AN591" s="229">
        <v>0</v>
      </c>
      <c r="AO591" s="229">
        <v>0</v>
      </c>
      <c r="AP591" s="229">
        <v>0</v>
      </c>
      <c r="AQ591" s="229">
        <v>0</v>
      </c>
      <c r="AR591" s="229">
        <v>0</v>
      </c>
      <c r="AS591" s="229">
        <v>0</v>
      </c>
      <c r="AT591" s="229">
        <v>0</v>
      </c>
      <c r="AU591" s="229">
        <v>0</v>
      </c>
      <c r="AV591" s="229">
        <v>0</v>
      </c>
      <c r="AW591" s="229">
        <v>0</v>
      </c>
      <c r="AX591" s="229">
        <v>0</v>
      </c>
      <c r="AY591" s="229">
        <v>0</v>
      </c>
      <c r="AZ591" s="229">
        <v>0</v>
      </c>
      <c r="BA591" s="229">
        <v>0</v>
      </c>
      <c r="BB591" s="229">
        <v>0</v>
      </c>
      <c r="BC591" s="229">
        <v>0</v>
      </c>
    </row>
    <row r="592" spans="3:55" outlineLevel="2" x14ac:dyDescent="0.2">
      <c r="C592" s="162" t="str">
        <v>RNC a Core líneas alquiladas: Datos: 34.4</v>
      </c>
      <c r="D592" s="86"/>
      <c r="E592" s="86"/>
      <c r="F592" s="229">
        <v>0</v>
      </c>
      <c r="G592" s="229">
        <v>0</v>
      </c>
      <c r="H592" s="229">
        <v>0</v>
      </c>
      <c r="I592" s="229">
        <v>0</v>
      </c>
      <c r="J592" s="229">
        <v>0</v>
      </c>
      <c r="K592" s="229">
        <v>0</v>
      </c>
      <c r="L592" s="229">
        <v>0</v>
      </c>
      <c r="M592" s="229">
        <v>0</v>
      </c>
      <c r="N592" s="229">
        <v>0</v>
      </c>
      <c r="O592" s="229">
        <v>0</v>
      </c>
      <c r="P592" s="229">
        <v>0</v>
      </c>
      <c r="Q592" s="229">
        <v>0</v>
      </c>
      <c r="R592" s="229">
        <v>0</v>
      </c>
      <c r="S592" s="229">
        <v>0</v>
      </c>
      <c r="T592" s="229">
        <v>0</v>
      </c>
      <c r="U592" s="229">
        <v>0</v>
      </c>
      <c r="V592" s="229">
        <v>0</v>
      </c>
      <c r="W592" s="229">
        <v>0</v>
      </c>
      <c r="X592" s="229">
        <v>0</v>
      </c>
      <c r="Y592" s="229">
        <v>0</v>
      </c>
      <c r="Z592" s="229">
        <v>0</v>
      </c>
      <c r="AA592" s="229">
        <v>0</v>
      </c>
      <c r="AB592" s="229">
        <v>0</v>
      </c>
      <c r="AC592" s="229">
        <v>0</v>
      </c>
      <c r="AD592" s="229">
        <v>0</v>
      </c>
      <c r="AE592" s="229">
        <v>0</v>
      </c>
      <c r="AF592" s="229">
        <v>0</v>
      </c>
      <c r="AG592" s="229">
        <v>0</v>
      </c>
      <c r="AH592" s="229">
        <v>0</v>
      </c>
      <c r="AI592" s="229">
        <v>0</v>
      </c>
      <c r="AJ592" s="229">
        <v>0</v>
      </c>
      <c r="AK592" s="229">
        <v>0</v>
      </c>
      <c r="AL592" s="229">
        <v>0</v>
      </c>
      <c r="AM592" s="229">
        <v>0</v>
      </c>
      <c r="AN592" s="229">
        <v>0</v>
      </c>
      <c r="AO592" s="229">
        <v>0</v>
      </c>
      <c r="AP592" s="229">
        <v>0</v>
      </c>
      <c r="AQ592" s="229">
        <v>0</v>
      </c>
      <c r="AR592" s="229">
        <v>0</v>
      </c>
      <c r="AS592" s="229">
        <v>0</v>
      </c>
      <c r="AT592" s="229">
        <v>0</v>
      </c>
      <c r="AU592" s="229">
        <v>0</v>
      </c>
      <c r="AV592" s="229">
        <v>0</v>
      </c>
      <c r="AW592" s="229">
        <v>0</v>
      </c>
      <c r="AX592" s="229">
        <v>0</v>
      </c>
      <c r="AY592" s="229">
        <v>0</v>
      </c>
      <c r="AZ592" s="229">
        <v>0</v>
      </c>
      <c r="BA592" s="229">
        <v>0</v>
      </c>
      <c r="BB592" s="229">
        <v>0</v>
      </c>
      <c r="BC592" s="229">
        <v>0</v>
      </c>
    </row>
    <row r="593" spans="3:55" outlineLevel="2" x14ac:dyDescent="0.2">
      <c r="C593" s="162" t="str">
        <v>RNC a Core líneas alquiladas: Datos: 155.52</v>
      </c>
      <c r="D593" s="86"/>
      <c r="E593" s="86"/>
      <c r="F593" s="229">
        <v>0</v>
      </c>
      <c r="G593" s="229">
        <v>0</v>
      </c>
      <c r="H593" s="229">
        <v>0</v>
      </c>
      <c r="I593" s="229">
        <v>0</v>
      </c>
      <c r="J593" s="229">
        <v>0</v>
      </c>
      <c r="K593" s="229">
        <v>0</v>
      </c>
      <c r="L593" s="229">
        <v>0</v>
      </c>
      <c r="M593" s="229">
        <v>0</v>
      </c>
      <c r="N593" s="229">
        <v>0</v>
      </c>
      <c r="O593" s="229">
        <v>0</v>
      </c>
      <c r="P593" s="229">
        <v>0</v>
      </c>
      <c r="Q593" s="229">
        <v>0</v>
      </c>
      <c r="R593" s="229">
        <v>0</v>
      </c>
      <c r="S593" s="229">
        <v>0</v>
      </c>
      <c r="T593" s="229">
        <v>0</v>
      </c>
      <c r="U593" s="229">
        <v>0</v>
      </c>
      <c r="V593" s="229">
        <v>0</v>
      </c>
      <c r="W593" s="229">
        <v>0</v>
      </c>
      <c r="X593" s="229">
        <v>0</v>
      </c>
      <c r="Y593" s="229">
        <v>0</v>
      </c>
      <c r="Z593" s="229">
        <v>0</v>
      </c>
      <c r="AA593" s="229">
        <v>0</v>
      </c>
      <c r="AB593" s="229">
        <v>0</v>
      </c>
      <c r="AC593" s="229">
        <v>0</v>
      </c>
      <c r="AD593" s="229">
        <v>0</v>
      </c>
      <c r="AE593" s="229">
        <v>0</v>
      </c>
      <c r="AF593" s="229">
        <v>0</v>
      </c>
      <c r="AG593" s="229">
        <v>0</v>
      </c>
      <c r="AH593" s="229">
        <v>0</v>
      </c>
      <c r="AI593" s="229">
        <v>0</v>
      </c>
      <c r="AJ593" s="229">
        <v>0</v>
      </c>
      <c r="AK593" s="229">
        <v>0</v>
      </c>
      <c r="AL593" s="229">
        <v>0</v>
      </c>
      <c r="AM593" s="229">
        <v>0</v>
      </c>
      <c r="AN593" s="229">
        <v>0</v>
      </c>
      <c r="AO593" s="229">
        <v>0</v>
      </c>
      <c r="AP593" s="229">
        <v>0</v>
      </c>
      <c r="AQ593" s="229">
        <v>0</v>
      </c>
      <c r="AR593" s="229">
        <v>0</v>
      </c>
      <c r="AS593" s="229">
        <v>0</v>
      </c>
      <c r="AT593" s="229">
        <v>0</v>
      </c>
      <c r="AU593" s="229">
        <v>0</v>
      </c>
      <c r="AV593" s="229">
        <v>0</v>
      </c>
      <c r="AW593" s="229">
        <v>0</v>
      </c>
      <c r="AX593" s="229">
        <v>0</v>
      </c>
      <c r="AY593" s="229">
        <v>0</v>
      </c>
      <c r="AZ593" s="229">
        <v>0</v>
      </c>
      <c r="BA593" s="229">
        <v>0</v>
      </c>
      <c r="BB593" s="229">
        <v>0</v>
      </c>
      <c r="BC593" s="229">
        <v>0</v>
      </c>
    </row>
    <row r="594" spans="3:55" outlineLevel="2" x14ac:dyDescent="0.2">
      <c r="C594" s="162" t="str">
        <v>RNC a Core líneas alquiladas: Datos: 622.08</v>
      </c>
      <c r="D594" s="86"/>
      <c r="E594" s="86"/>
      <c r="F594" s="229">
        <v>0</v>
      </c>
      <c r="G594" s="229">
        <v>0</v>
      </c>
      <c r="H594" s="229">
        <v>0</v>
      </c>
      <c r="I594" s="229">
        <v>0</v>
      </c>
      <c r="J594" s="229">
        <v>0</v>
      </c>
      <c r="K594" s="229">
        <v>0</v>
      </c>
      <c r="L594" s="229">
        <v>0</v>
      </c>
      <c r="M594" s="229">
        <v>0</v>
      </c>
      <c r="N594" s="229">
        <v>0</v>
      </c>
      <c r="O594" s="229">
        <v>0</v>
      </c>
      <c r="P594" s="229">
        <v>0</v>
      </c>
      <c r="Q594" s="229">
        <v>0</v>
      </c>
      <c r="R594" s="229">
        <v>0</v>
      </c>
      <c r="S594" s="229">
        <v>0</v>
      </c>
      <c r="T594" s="229">
        <v>0</v>
      </c>
      <c r="U594" s="229">
        <v>0</v>
      </c>
      <c r="V594" s="229">
        <v>0</v>
      </c>
      <c r="W594" s="229">
        <v>0</v>
      </c>
      <c r="X594" s="229">
        <v>0</v>
      </c>
      <c r="Y594" s="229">
        <v>0</v>
      </c>
      <c r="Z594" s="229">
        <v>0</v>
      </c>
      <c r="AA594" s="229">
        <v>0</v>
      </c>
      <c r="AB594" s="229">
        <v>0</v>
      </c>
      <c r="AC594" s="229">
        <v>0</v>
      </c>
      <c r="AD594" s="229">
        <v>0</v>
      </c>
      <c r="AE594" s="229">
        <v>0</v>
      </c>
      <c r="AF594" s="229">
        <v>0</v>
      </c>
      <c r="AG594" s="229">
        <v>0</v>
      </c>
      <c r="AH594" s="229">
        <v>0</v>
      </c>
      <c r="AI594" s="229">
        <v>0</v>
      </c>
      <c r="AJ594" s="229">
        <v>0</v>
      </c>
      <c r="AK594" s="229">
        <v>0</v>
      </c>
      <c r="AL594" s="229">
        <v>0</v>
      </c>
      <c r="AM594" s="229">
        <v>0</v>
      </c>
      <c r="AN594" s="229">
        <v>0</v>
      </c>
      <c r="AO594" s="229">
        <v>0</v>
      </c>
      <c r="AP594" s="229">
        <v>0</v>
      </c>
      <c r="AQ594" s="229">
        <v>0</v>
      </c>
      <c r="AR594" s="229">
        <v>0</v>
      </c>
      <c r="AS594" s="229">
        <v>0</v>
      </c>
      <c r="AT594" s="229">
        <v>0</v>
      </c>
      <c r="AU594" s="229">
        <v>0</v>
      </c>
      <c r="AV594" s="229">
        <v>0</v>
      </c>
      <c r="AW594" s="229">
        <v>0</v>
      </c>
      <c r="AX594" s="229">
        <v>0</v>
      </c>
      <c r="AY594" s="229">
        <v>0</v>
      </c>
      <c r="AZ594" s="229">
        <v>0</v>
      </c>
      <c r="BA594" s="229">
        <v>0</v>
      </c>
      <c r="BB594" s="229">
        <v>0</v>
      </c>
      <c r="BC594" s="229">
        <v>0</v>
      </c>
    </row>
    <row r="595" spans="3:55" outlineLevel="2" x14ac:dyDescent="0.2">
      <c r="C595" s="162" t="str">
        <v>RNC a Core líneas alquiladas: Datos: 100</v>
      </c>
      <c r="D595" s="86"/>
      <c r="E595" s="86"/>
      <c r="F595" s="229">
        <v>0</v>
      </c>
      <c r="G595" s="229">
        <v>0</v>
      </c>
      <c r="H595" s="229">
        <v>0</v>
      </c>
      <c r="I595" s="229">
        <v>0</v>
      </c>
      <c r="J595" s="229">
        <v>0</v>
      </c>
      <c r="K595" s="229">
        <v>0</v>
      </c>
      <c r="L595" s="229">
        <v>0</v>
      </c>
      <c r="M595" s="229">
        <v>0</v>
      </c>
      <c r="N595" s="229">
        <v>0</v>
      </c>
      <c r="O595" s="229">
        <v>0</v>
      </c>
      <c r="P595" s="229">
        <v>0</v>
      </c>
      <c r="Q595" s="229">
        <v>0</v>
      </c>
      <c r="R595" s="229">
        <v>0</v>
      </c>
      <c r="S595" s="229">
        <v>0</v>
      </c>
      <c r="T595" s="229">
        <v>0</v>
      </c>
      <c r="U595" s="229">
        <v>0</v>
      </c>
      <c r="V595" s="229">
        <v>0</v>
      </c>
      <c r="W595" s="229">
        <v>0</v>
      </c>
      <c r="X595" s="229">
        <v>0</v>
      </c>
      <c r="Y595" s="229">
        <v>0</v>
      </c>
      <c r="Z595" s="229">
        <v>0</v>
      </c>
      <c r="AA595" s="229">
        <v>0</v>
      </c>
      <c r="AB595" s="229">
        <v>0</v>
      </c>
      <c r="AC595" s="229">
        <v>0</v>
      </c>
      <c r="AD595" s="229">
        <v>0</v>
      </c>
      <c r="AE595" s="229">
        <v>0</v>
      </c>
      <c r="AF595" s="229">
        <v>0</v>
      </c>
      <c r="AG595" s="229">
        <v>0</v>
      </c>
      <c r="AH595" s="229">
        <v>0</v>
      </c>
      <c r="AI595" s="229">
        <v>0</v>
      </c>
      <c r="AJ595" s="229">
        <v>0</v>
      </c>
      <c r="AK595" s="229">
        <v>0</v>
      </c>
      <c r="AL595" s="229">
        <v>0</v>
      </c>
      <c r="AM595" s="229">
        <v>0</v>
      </c>
      <c r="AN595" s="229">
        <v>0</v>
      </c>
      <c r="AO595" s="229">
        <v>0</v>
      </c>
      <c r="AP595" s="229">
        <v>0</v>
      </c>
      <c r="AQ595" s="229">
        <v>0</v>
      </c>
      <c r="AR595" s="229">
        <v>0</v>
      </c>
      <c r="AS595" s="229">
        <v>0</v>
      </c>
      <c r="AT595" s="229">
        <v>0</v>
      </c>
      <c r="AU595" s="229">
        <v>0</v>
      </c>
      <c r="AV595" s="229">
        <v>0</v>
      </c>
      <c r="AW595" s="229">
        <v>0</v>
      </c>
      <c r="AX595" s="229">
        <v>0</v>
      </c>
      <c r="AY595" s="229">
        <v>0</v>
      </c>
      <c r="AZ595" s="229">
        <v>0</v>
      </c>
      <c r="BA595" s="229">
        <v>0</v>
      </c>
      <c r="BB595" s="229">
        <v>0</v>
      </c>
      <c r="BC595" s="229">
        <v>0</v>
      </c>
    </row>
    <row r="596" spans="3:55" outlineLevel="2" x14ac:dyDescent="0.2">
      <c r="C596" s="162" t="str">
        <v>RNC a Core líneas alquiladas: Datos: 1024</v>
      </c>
      <c r="D596" s="86"/>
      <c r="E596" s="86"/>
      <c r="F596" s="229">
        <v>0</v>
      </c>
      <c r="G596" s="229">
        <v>0</v>
      </c>
      <c r="H596" s="229">
        <v>0</v>
      </c>
      <c r="I596" s="229">
        <v>0</v>
      </c>
      <c r="J596" s="229">
        <v>0</v>
      </c>
      <c r="K596" s="229">
        <v>0</v>
      </c>
      <c r="L596" s="229">
        <v>0</v>
      </c>
      <c r="M596" s="229">
        <v>0</v>
      </c>
      <c r="N596" s="229">
        <v>0</v>
      </c>
      <c r="O596" s="229">
        <v>0</v>
      </c>
      <c r="P596" s="229">
        <v>0</v>
      </c>
      <c r="Q596" s="229">
        <v>0</v>
      </c>
      <c r="R596" s="229">
        <v>0</v>
      </c>
      <c r="S596" s="229">
        <v>0</v>
      </c>
      <c r="T596" s="229">
        <v>0</v>
      </c>
      <c r="U596" s="229">
        <v>0</v>
      </c>
      <c r="V596" s="229">
        <v>0</v>
      </c>
      <c r="W596" s="229">
        <v>0</v>
      </c>
      <c r="X596" s="229">
        <v>0</v>
      </c>
      <c r="Y596" s="229">
        <v>0</v>
      </c>
      <c r="Z596" s="229">
        <v>0</v>
      </c>
      <c r="AA596" s="229">
        <v>0</v>
      </c>
      <c r="AB596" s="229">
        <v>0</v>
      </c>
      <c r="AC596" s="229">
        <v>0</v>
      </c>
      <c r="AD596" s="229">
        <v>0</v>
      </c>
      <c r="AE596" s="229">
        <v>0</v>
      </c>
      <c r="AF596" s="229">
        <v>0</v>
      </c>
      <c r="AG596" s="229">
        <v>0</v>
      </c>
      <c r="AH596" s="229">
        <v>0</v>
      </c>
      <c r="AI596" s="229">
        <v>0</v>
      </c>
      <c r="AJ596" s="229">
        <v>0</v>
      </c>
      <c r="AK596" s="229">
        <v>0</v>
      </c>
      <c r="AL596" s="229">
        <v>0</v>
      </c>
      <c r="AM596" s="229">
        <v>0</v>
      </c>
      <c r="AN596" s="229">
        <v>0</v>
      </c>
      <c r="AO596" s="229">
        <v>0</v>
      </c>
      <c r="AP596" s="229">
        <v>0</v>
      </c>
      <c r="AQ596" s="229">
        <v>0</v>
      </c>
      <c r="AR596" s="229">
        <v>0</v>
      </c>
      <c r="AS596" s="229">
        <v>0</v>
      </c>
      <c r="AT596" s="229">
        <v>0</v>
      </c>
      <c r="AU596" s="229">
        <v>0</v>
      </c>
      <c r="AV596" s="229">
        <v>0</v>
      </c>
      <c r="AW596" s="229">
        <v>0</v>
      </c>
      <c r="AX596" s="229">
        <v>0</v>
      </c>
      <c r="AY596" s="229">
        <v>0</v>
      </c>
      <c r="AZ596" s="229">
        <v>0</v>
      </c>
      <c r="BA596" s="229">
        <v>0</v>
      </c>
      <c r="BB596" s="229">
        <v>0</v>
      </c>
      <c r="BC596" s="229">
        <v>0</v>
      </c>
    </row>
    <row r="597" spans="3:55" outlineLevel="2" x14ac:dyDescent="0.2">
      <c r="C597" s="162" t="str">
        <v>RNC a Core líneas alquiladas: Datos: 2488</v>
      </c>
      <c r="D597" s="86"/>
      <c r="E597" s="86"/>
      <c r="F597" s="229">
        <v>0</v>
      </c>
      <c r="G597" s="229">
        <v>0</v>
      </c>
      <c r="H597" s="229">
        <v>0</v>
      </c>
      <c r="I597" s="229">
        <v>0</v>
      </c>
      <c r="J597" s="229">
        <v>0</v>
      </c>
      <c r="K597" s="229">
        <v>0</v>
      </c>
      <c r="L597" s="229">
        <v>0</v>
      </c>
      <c r="M597" s="229">
        <v>0</v>
      </c>
      <c r="N597" s="229">
        <v>0</v>
      </c>
      <c r="O597" s="229">
        <v>0</v>
      </c>
      <c r="P597" s="229">
        <v>0</v>
      </c>
      <c r="Q597" s="229">
        <v>0</v>
      </c>
      <c r="R597" s="229">
        <v>0</v>
      </c>
      <c r="S597" s="229">
        <v>0</v>
      </c>
      <c r="T597" s="229">
        <v>0</v>
      </c>
      <c r="U597" s="229">
        <v>0</v>
      </c>
      <c r="V597" s="229">
        <v>0</v>
      </c>
      <c r="W597" s="229">
        <v>0</v>
      </c>
      <c r="X597" s="229">
        <v>0</v>
      </c>
      <c r="Y597" s="229">
        <v>0</v>
      </c>
      <c r="Z597" s="229">
        <v>0</v>
      </c>
      <c r="AA597" s="229">
        <v>0</v>
      </c>
      <c r="AB597" s="229">
        <v>0</v>
      </c>
      <c r="AC597" s="229">
        <v>0</v>
      </c>
      <c r="AD597" s="229">
        <v>0</v>
      </c>
      <c r="AE597" s="229">
        <v>0</v>
      </c>
      <c r="AF597" s="229">
        <v>0</v>
      </c>
      <c r="AG597" s="229">
        <v>0</v>
      </c>
      <c r="AH597" s="229">
        <v>0</v>
      </c>
      <c r="AI597" s="229">
        <v>0</v>
      </c>
      <c r="AJ597" s="229">
        <v>0</v>
      </c>
      <c r="AK597" s="229">
        <v>0</v>
      </c>
      <c r="AL597" s="229">
        <v>0</v>
      </c>
      <c r="AM597" s="229">
        <v>0</v>
      </c>
      <c r="AN597" s="229">
        <v>0</v>
      </c>
      <c r="AO597" s="229">
        <v>0</v>
      </c>
      <c r="AP597" s="229">
        <v>0</v>
      </c>
      <c r="AQ597" s="229">
        <v>0</v>
      </c>
      <c r="AR597" s="229">
        <v>0</v>
      </c>
      <c r="AS597" s="229">
        <v>0</v>
      </c>
      <c r="AT597" s="229">
        <v>0</v>
      </c>
      <c r="AU597" s="229">
        <v>0</v>
      </c>
      <c r="AV597" s="229">
        <v>0</v>
      </c>
      <c r="AW597" s="229">
        <v>0</v>
      </c>
      <c r="AX597" s="229">
        <v>0</v>
      </c>
      <c r="AY597" s="229">
        <v>0</v>
      </c>
      <c r="AZ597" s="229">
        <v>0</v>
      </c>
      <c r="BA597" s="229">
        <v>0</v>
      </c>
      <c r="BB597" s="229">
        <v>0</v>
      </c>
      <c r="BC597" s="229">
        <v>0</v>
      </c>
    </row>
    <row r="598" spans="3:55" outlineLevel="2" x14ac:dyDescent="0.2">
      <c r="C598" s="162" t="str">
        <v>Core a core: líneas alquiladas, TDM:  155</v>
      </c>
      <c r="D598" s="86"/>
      <c r="E598" s="86"/>
      <c r="F598" s="229">
        <v>0</v>
      </c>
      <c r="G598" s="229">
        <v>0</v>
      </c>
      <c r="H598" s="229">
        <v>0</v>
      </c>
      <c r="I598" s="229">
        <v>0</v>
      </c>
      <c r="J598" s="229">
        <v>0</v>
      </c>
      <c r="K598" s="229">
        <v>0</v>
      </c>
      <c r="L598" s="229">
        <v>0</v>
      </c>
      <c r="M598" s="229">
        <v>0</v>
      </c>
      <c r="N598" s="229">
        <v>0</v>
      </c>
      <c r="O598" s="229">
        <v>0</v>
      </c>
      <c r="P598" s="229">
        <v>0</v>
      </c>
      <c r="Q598" s="229">
        <v>0</v>
      </c>
      <c r="R598" s="229">
        <v>0</v>
      </c>
      <c r="S598" s="229">
        <v>0</v>
      </c>
      <c r="T598" s="229">
        <v>0</v>
      </c>
      <c r="U598" s="229">
        <v>0</v>
      </c>
      <c r="V598" s="229">
        <v>0</v>
      </c>
      <c r="W598" s="229">
        <v>0</v>
      </c>
      <c r="X598" s="229">
        <v>0</v>
      </c>
      <c r="Y598" s="229">
        <v>0</v>
      </c>
      <c r="Z598" s="229">
        <v>0</v>
      </c>
      <c r="AA598" s="229">
        <v>0</v>
      </c>
      <c r="AB598" s="229">
        <v>0</v>
      </c>
      <c r="AC598" s="229">
        <v>0</v>
      </c>
      <c r="AD598" s="229">
        <v>0</v>
      </c>
      <c r="AE598" s="229">
        <v>0</v>
      </c>
      <c r="AF598" s="229">
        <v>0</v>
      </c>
      <c r="AG598" s="229">
        <v>0</v>
      </c>
      <c r="AH598" s="229">
        <v>0</v>
      </c>
      <c r="AI598" s="229">
        <v>0</v>
      </c>
      <c r="AJ598" s="229">
        <v>0</v>
      </c>
      <c r="AK598" s="229">
        <v>0</v>
      </c>
      <c r="AL598" s="229">
        <v>0</v>
      </c>
      <c r="AM598" s="229">
        <v>0</v>
      </c>
      <c r="AN598" s="229">
        <v>0</v>
      </c>
      <c r="AO598" s="229">
        <v>0</v>
      </c>
      <c r="AP598" s="229">
        <v>0</v>
      </c>
      <c r="AQ598" s="229">
        <v>0</v>
      </c>
      <c r="AR598" s="229">
        <v>0</v>
      </c>
      <c r="AS598" s="229">
        <v>0</v>
      </c>
      <c r="AT598" s="229">
        <v>0</v>
      </c>
      <c r="AU598" s="229">
        <v>0</v>
      </c>
      <c r="AV598" s="229">
        <v>0</v>
      </c>
      <c r="AW598" s="229">
        <v>0</v>
      </c>
      <c r="AX598" s="229">
        <v>0</v>
      </c>
      <c r="AY598" s="229">
        <v>0</v>
      </c>
      <c r="AZ598" s="229">
        <v>0</v>
      </c>
      <c r="BA598" s="229">
        <v>0</v>
      </c>
      <c r="BB598" s="229">
        <v>0</v>
      </c>
      <c r="BC598" s="229">
        <v>0</v>
      </c>
    </row>
    <row r="599" spans="3:55" outlineLevel="2" x14ac:dyDescent="0.2">
      <c r="C599" s="162" t="str">
        <v>Core a core: líneas alquiladas, TDM:  622</v>
      </c>
      <c r="D599" s="86"/>
      <c r="E599" s="86"/>
      <c r="F599" s="229">
        <v>0</v>
      </c>
      <c r="G599" s="229">
        <v>0</v>
      </c>
      <c r="H599" s="229">
        <v>0</v>
      </c>
      <c r="I599" s="229">
        <v>0</v>
      </c>
      <c r="J599" s="229">
        <v>0</v>
      </c>
      <c r="K599" s="229">
        <v>0</v>
      </c>
      <c r="L599" s="229">
        <v>0</v>
      </c>
      <c r="M599" s="229">
        <v>0</v>
      </c>
      <c r="N599" s="229">
        <v>0</v>
      </c>
      <c r="O599" s="229">
        <v>0</v>
      </c>
      <c r="P599" s="229">
        <v>0</v>
      </c>
      <c r="Q599" s="229">
        <v>0</v>
      </c>
      <c r="R599" s="229">
        <v>0</v>
      </c>
      <c r="S599" s="229">
        <v>0</v>
      </c>
      <c r="T599" s="229">
        <v>0</v>
      </c>
      <c r="U599" s="229">
        <v>0</v>
      </c>
      <c r="V599" s="229">
        <v>0</v>
      </c>
      <c r="W599" s="229">
        <v>0</v>
      </c>
      <c r="X599" s="229">
        <v>0</v>
      </c>
      <c r="Y599" s="229">
        <v>0</v>
      </c>
      <c r="Z599" s="229">
        <v>0</v>
      </c>
      <c r="AA599" s="229">
        <v>0</v>
      </c>
      <c r="AB599" s="229">
        <v>0</v>
      </c>
      <c r="AC599" s="229">
        <v>0</v>
      </c>
      <c r="AD599" s="229">
        <v>0</v>
      </c>
      <c r="AE599" s="229">
        <v>0</v>
      </c>
      <c r="AF599" s="229">
        <v>0</v>
      </c>
      <c r="AG599" s="229">
        <v>0</v>
      </c>
      <c r="AH599" s="229">
        <v>0</v>
      </c>
      <c r="AI599" s="229">
        <v>0</v>
      </c>
      <c r="AJ599" s="229">
        <v>0</v>
      </c>
      <c r="AK599" s="229">
        <v>0</v>
      </c>
      <c r="AL599" s="229">
        <v>0</v>
      </c>
      <c r="AM599" s="229">
        <v>0</v>
      </c>
      <c r="AN599" s="229">
        <v>0</v>
      </c>
      <c r="AO599" s="229">
        <v>0</v>
      </c>
      <c r="AP599" s="229">
        <v>0</v>
      </c>
      <c r="AQ599" s="229">
        <v>0</v>
      </c>
      <c r="AR599" s="229">
        <v>0</v>
      </c>
      <c r="AS599" s="229">
        <v>0</v>
      </c>
      <c r="AT599" s="229">
        <v>0</v>
      </c>
      <c r="AU599" s="229">
        <v>0</v>
      </c>
      <c r="AV599" s="229">
        <v>0</v>
      </c>
      <c r="AW599" s="229">
        <v>0</v>
      </c>
      <c r="AX599" s="229">
        <v>0</v>
      </c>
      <c r="AY599" s="229">
        <v>0</v>
      </c>
      <c r="AZ599" s="229">
        <v>0</v>
      </c>
      <c r="BA599" s="229">
        <v>0</v>
      </c>
      <c r="BB599" s="229">
        <v>0</v>
      </c>
      <c r="BC599" s="229">
        <v>0</v>
      </c>
    </row>
    <row r="600" spans="3:55" outlineLevel="2" x14ac:dyDescent="0.2">
      <c r="C600" s="162" t="str">
        <v>Core a core: líneas alquiladas, TDM:  2488</v>
      </c>
      <c r="D600" s="86"/>
      <c r="E600" s="86"/>
      <c r="F600" s="229">
        <v>0</v>
      </c>
      <c r="G600" s="229">
        <v>0</v>
      </c>
      <c r="H600" s="229">
        <v>0</v>
      </c>
      <c r="I600" s="229">
        <v>0</v>
      </c>
      <c r="J600" s="229">
        <v>0</v>
      </c>
      <c r="K600" s="229">
        <v>0</v>
      </c>
      <c r="L600" s="229">
        <v>0</v>
      </c>
      <c r="M600" s="229">
        <v>0</v>
      </c>
      <c r="N600" s="229">
        <v>0</v>
      </c>
      <c r="O600" s="229">
        <v>0</v>
      </c>
      <c r="P600" s="229">
        <v>0</v>
      </c>
      <c r="Q600" s="229">
        <v>0</v>
      </c>
      <c r="R600" s="229">
        <v>0</v>
      </c>
      <c r="S600" s="229">
        <v>0</v>
      </c>
      <c r="T600" s="229">
        <v>0</v>
      </c>
      <c r="U600" s="229">
        <v>0</v>
      </c>
      <c r="V600" s="229">
        <v>0</v>
      </c>
      <c r="W600" s="229">
        <v>0</v>
      </c>
      <c r="X600" s="229">
        <v>0</v>
      </c>
      <c r="Y600" s="229">
        <v>0</v>
      </c>
      <c r="Z600" s="229">
        <v>0</v>
      </c>
      <c r="AA600" s="229">
        <v>0</v>
      </c>
      <c r="AB600" s="229">
        <v>0</v>
      </c>
      <c r="AC600" s="229">
        <v>0</v>
      </c>
      <c r="AD600" s="229">
        <v>0</v>
      </c>
      <c r="AE600" s="229">
        <v>0</v>
      </c>
      <c r="AF600" s="229">
        <v>0</v>
      </c>
      <c r="AG600" s="229">
        <v>0</v>
      </c>
      <c r="AH600" s="229">
        <v>0</v>
      </c>
      <c r="AI600" s="229">
        <v>0</v>
      </c>
      <c r="AJ600" s="229">
        <v>0</v>
      </c>
      <c r="AK600" s="229">
        <v>0</v>
      </c>
      <c r="AL600" s="229">
        <v>0</v>
      </c>
      <c r="AM600" s="229">
        <v>0</v>
      </c>
      <c r="AN600" s="229">
        <v>0</v>
      </c>
      <c r="AO600" s="229">
        <v>0</v>
      </c>
      <c r="AP600" s="229">
        <v>0</v>
      </c>
      <c r="AQ600" s="229">
        <v>0</v>
      </c>
      <c r="AR600" s="229">
        <v>0</v>
      </c>
      <c r="AS600" s="229">
        <v>0</v>
      </c>
      <c r="AT600" s="229">
        <v>0</v>
      </c>
      <c r="AU600" s="229">
        <v>0</v>
      </c>
      <c r="AV600" s="229">
        <v>0</v>
      </c>
      <c r="AW600" s="229">
        <v>0</v>
      </c>
      <c r="AX600" s="229">
        <v>0</v>
      </c>
      <c r="AY600" s="229">
        <v>0</v>
      </c>
      <c r="AZ600" s="229">
        <v>0</v>
      </c>
      <c r="BA600" s="229">
        <v>0</v>
      </c>
      <c r="BB600" s="229">
        <v>0</v>
      </c>
      <c r="BC600" s="229">
        <v>0</v>
      </c>
    </row>
    <row r="601" spans="3:55" outlineLevel="2" x14ac:dyDescent="0.2">
      <c r="C601" s="162" t="str">
        <v>Core a core: líneas alquiladas, Ethernet:  1000</v>
      </c>
      <c r="D601" s="86"/>
      <c r="E601" s="86"/>
      <c r="F601" s="229">
        <v>0</v>
      </c>
      <c r="G601" s="229">
        <v>0</v>
      </c>
      <c r="H601" s="229">
        <v>0</v>
      </c>
      <c r="I601" s="229">
        <v>0</v>
      </c>
      <c r="J601" s="229">
        <v>0</v>
      </c>
      <c r="K601" s="229">
        <v>0</v>
      </c>
      <c r="L601" s="229">
        <v>0</v>
      </c>
      <c r="M601" s="229">
        <v>0</v>
      </c>
      <c r="N601" s="229">
        <v>0</v>
      </c>
      <c r="O601" s="229">
        <v>0</v>
      </c>
      <c r="P601" s="229">
        <v>0</v>
      </c>
      <c r="Q601" s="229">
        <v>0</v>
      </c>
      <c r="R601" s="229">
        <v>0</v>
      </c>
      <c r="S601" s="229">
        <v>0</v>
      </c>
      <c r="T601" s="229">
        <v>0</v>
      </c>
      <c r="U601" s="229">
        <v>0</v>
      </c>
      <c r="V601" s="229">
        <v>0</v>
      </c>
      <c r="W601" s="229">
        <v>0</v>
      </c>
      <c r="X601" s="229">
        <v>0</v>
      </c>
      <c r="Y601" s="229">
        <v>0</v>
      </c>
      <c r="Z601" s="229">
        <v>0</v>
      </c>
      <c r="AA601" s="229">
        <v>0</v>
      </c>
      <c r="AB601" s="229">
        <v>0</v>
      </c>
      <c r="AC601" s="229">
        <v>0</v>
      </c>
      <c r="AD601" s="229">
        <v>0</v>
      </c>
      <c r="AE601" s="229">
        <v>0</v>
      </c>
      <c r="AF601" s="229">
        <v>0</v>
      </c>
      <c r="AG601" s="229">
        <v>0</v>
      </c>
      <c r="AH601" s="229">
        <v>0</v>
      </c>
      <c r="AI601" s="229">
        <v>0</v>
      </c>
      <c r="AJ601" s="229">
        <v>0</v>
      </c>
      <c r="AK601" s="229">
        <v>0</v>
      </c>
      <c r="AL601" s="229">
        <v>0</v>
      </c>
      <c r="AM601" s="229">
        <v>0</v>
      </c>
      <c r="AN601" s="229">
        <v>0</v>
      </c>
      <c r="AO601" s="229">
        <v>0</v>
      </c>
      <c r="AP601" s="229">
        <v>0</v>
      </c>
      <c r="AQ601" s="229">
        <v>0</v>
      </c>
      <c r="AR601" s="229">
        <v>0</v>
      </c>
      <c r="AS601" s="229">
        <v>0</v>
      </c>
      <c r="AT601" s="229">
        <v>0</v>
      </c>
      <c r="AU601" s="229">
        <v>0</v>
      </c>
      <c r="AV601" s="229">
        <v>0</v>
      </c>
      <c r="AW601" s="229">
        <v>0</v>
      </c>
      <c r="AX601" s="229">
        <v>0</v>
      </c>
      <c r="AY601" s="229">
        <v>0</v>
      </c>
      <c r="AZ601" s="229">
        <v>0</v>
      </c>
      <c r="BA601" s="229">
        <v>0</v>
      </c>
      <c r="BB601" s="229">
        <v>0</v>
      </c>
      <c r="BC601" s="229">
        <v>0</v>
      </c>
    </row>
    <row r="602" spans="3:55" outlineLevel="2" x14ac:dyDescent="0.2">
      <c r="C602" s="162" t="str">
        <v>Core a core: líneas alquiladas, Ethernet:  2500</v>
      </c>
      <c r="D602" s="86"/>
      <c r="E602" s="86"/>
      <c r="F602" s="229">
        <v>0</v>
      </c>
      <c r="G602" s="229">
        <v>0</v>
      </c>
      <c r="H602" s="229">
        <v>0</v>
      </c>
      <c r="I602" s="229">
        <v>0</v>
      </c>
      <c r="J602" s="229">
        <v>0</v>
      </c>
      <c r="K602" s="229">
        <v>0</v>
      </c>
      <c r="L602" s="229">
        <v>0</v>
      </c>
      <c r="M602" s="229">
        <v>0</v>
      </c>
      <c r="N602" s="229">
        <v>0</v>
      </c>
      <c r="O602" s="229">
        <v>0</v>
      </c>
      <c r="P602" s="229">
        <v>0</v>
      </c>
      <c r="Q602" s="229">
        <v>0</v>
      </c>
      <c r="R602" s="229">
        <v>0</v>
      </c>
      <c r="S602" s="229">
        <v>0</v>
      </c>
      <c r="T602" s="229">
        <v>0</v>
      </c>
      <c r="U602" s="229">
        <v>0</v>
      </c>
      <c r="V602" s="229">
        <v>0</v>
      </c>
      <c r="W602" s="229">
        <v>0</v>
      </c>
      <c r="X602" s="229">
        <v>0</v>
      </c>
      <c r="Y602" s="229">
        <v>0</v>
      </c>
      <c r="Z602" s="229">
        <v>0</v>
      </c>
      <c r="AA602" s="229">
        <v>0</v>
      </c>
      <c r="AB602" s="229">
        <v>0</v>
      </c>
      <c r="AC602" s="229">
        <v>0</v>
      </c>
      <c r="AD602" s="229">
        <v>0</v>
      </c>
      <c r="AE602" s="229">
        <v>0</v>
      </c>
      <c r="AF602" s="229">
        <v>0</v>
      </c>
      <c r="AG602" s="229">
        <v>0</v>
      </c>
      <c r="AH602" s="229">
        <v>0</v>
      </c>
      <c r="AI602" s="229">
        <v>0</v>
      </c>
      <c r="AJ602" s="229">
        <v>0</v>
      </c>
      <c r="AK602" s="229">
        <v>0</v>
      </c>
      <c r="AL602" s="229">
        <v>0</v>
      </c>
      <c r="AM602" s="229">
        <v>0</v>
      </c>
      <c r="AN602" s="229">
        <v>0</v>
      </c>
      <c r="AO602" s="229">
        <v>0</v>
      </c>
      <c r="AP602" s="229">
        <v>0</v>
      </c>
      <c r="AQ602" s="229">
        <v>0</v>
      </c>
      <c r="AR602" s="229">
        <v>0</v>
      </c>
      <c r="AS602" s="229">
        <v>0</v>
      </c>
      <c r="AT602" s="229">
        <v>0</v>
      </c>
      <c r="AU602" s="229">
        <v>0</v>
      </c>
      <c r="AV602" s="229">
        <v>0</v>
      </c>
      <c r="AW602" s="229">
        <v>0</v>
      </c>
      <c r="AX602" s="229">
        <v>0</v>
      </c>
      <c r="AY602" s="229">
        <v>0</v>
      </c>
      <c r="AZ602" s="229">
        <v>0</v>
      </c>
      <c r="BA602" s="229">
        <v>0</v>
      </c>
      <c r="BB602" s="229">
        <v>0</v>
      </c>
      <c r="BC602" s="229">
        <v>0</v>
      </c>
    </row>
    <row r="603" spans="3:55" outlineLevel="2" x14ac:dyDescent="0.2">
      <c r="C603" s="162" t="str">
        <v>Core a core: líneas alquiladas, Ethernet:  10000</v>
      </c>
      <c r="D603" s="86"/>
      <c r="E603" s="86"/>
      <c r="F603" s="229">
        <v>0</v>
      </c>
      <c r="G603" s="229">
        <v>0</v>
      </c>
      <c r="H603" s="229">
        <v>0</v>
      </c>
      <c r="I603" s="229">
        <v>0</v>
      </c>
      <c r="J603" s="229">
        <v>0</v>
      </c>
      <c r="K603" s="229">
        <v>0</v>
      </c>
      <c r="L603" s="229">
        <v>0</v>
      </c>
      <c r="M603" s="229">
        <v>0</v>
      </c>
      <c r="N603" s="229">
        <v>0</v>
      </c>
      <c r="O603" s="229">
        <v>0</v>
      </c>
      <c r="P603" s="229">
        <v>0</v>
      </c>
      <c r="Q603" s="229">
        <v>0</v>
      </c>
      <c r="R603" s="229">
        <v>0</v>
      </c>
      <c r="S603" s="229">
        <v>0</v>
      </c>
      <c r="T603" s="229">
        <v>0</v>
      </c>
      <c r="U603" s="229">
        <v>0</v>
      </c>
      <c r="V603" s="229">
        <v>0</v>
      </c>
      <c r="W603" s="229">
        <v>0</v>
      </c>
      <c r="X603" s="229">
        <v>0</v>
      </c>
      <c r="Y603" s="229">
        <v>0</v>
      </c>
      <c r="Z603" s="229">
        <v>0</v>
      </c>
      <c r="AA603" s="229">
        <v>0</v>
      </c>
      <c r="AB603" s="229">
        <v>0</v>
      </c>
      <c r="AC603" s="229">
        <v>0</v>
      </c>
      <c r="AD603" s="229">
        <v>0</v>
      </c>
      <c r="AE603" s="229">
        <v>0</v>
      </c>
      <c r="AF603" s="229">
        <v>0</v>
      </c>
      <c r="AG603" s="229">
        <v>0</v>
      </c>
      <c r="AH603" s="229">
        <v>0</v>
      </c>
      <c r="AI603" s="229">
        <v>0</v>
      </c>
      <c r="AJ603" s="229">
        <v>0</v>
      </c>
      <c r="AK603" s="229">
        <v>0</v>
      </c>
      <c r="AL603" s="229">
        <v>0</v>
      </c>
      <c r="AM603" s="229">
        <v>0</v>
      </c>
      <c r="AN603" s="229">
        <v>0</v>
      </c>
      <c r="AO603" s="229">
        <v>0</v>
      </c>
      <c r="AP603" s="229">
        <v>0</v>
      </c>
      <c r="AQ603" s="229">
        <v>0</v>
      </c>
      <c r="AR603" s="229">
        <v>0</v>
      </c>
      <c r="AS603" s="229">
        <v>0</v>
      </c>
      <c r="AT603" s="229">
        <v>0</v>
      </c>
      <c r="AU603" s="229">
        <v>0</v>
      </c>
      <c r="AV603" s="229">
        <v>0</v>
      </c>
      <c r="AW603" s="229">
        <v>0</v>
      </c>
      <c r="AX603" s="229">
        <v>0</v>
      </c>
      <c r="AY603" s="229">
        <v>0</v>
      </c>
      <c r="AZ603" s="229">
        <v>0</v>
      </c>
      <c r="BA603" s="229">
        <v>0</v>
      </c>
      <c r="BB603" s="229">
        <v>0</v>
      </c>
      <c r="BC603" s="229">
        <v>0</v>
      </c>
    </row>
    <row r="604" spans="3:55" outlineLevel="2" x14ac:dyDescent="0.2">
      <c r="C604" s="162" t="str">
        <v>Anillo core, puntos de acceso (ADM/multiplexadores): 155</v>
      </c>
      <c r="D604" s="86"/>
      <c r="E604" s="86"/>
      <c r="F604" s="229">
        <v>0</v>
      </c>
      <c r="G604" s="229">
        <v>0</v>
      </c>
      <c r="H604" s="229">
        <v>0</v>
      </c>
      <c r="I604" s="229">
        <v>0</v>
      </c>
      <c r="J604" s="229">
        <v>0</v>
      </c>
      <c r="K604" s="229">
        <v>0</v>
      </c>
      <c r="L604" s="229">
        <v>0</v>
      </c>
      <c r="M604" s="229">
        <v>0</v>
      </c>
      <c r="N604" s="229">
        <v>0</v>
      </c>
      <c r="O604" s="229">
        <v>0</v>
      </c>
      <c r="P604" s="229">
        <v>0</v>
      </c>
      <c r="Q604" s="229">
        <v>0</v>
      </c>
      <c r="R604" s="229">
        <v>0</v>
      </c>
      <c r="S604" s="229">
        <v>0</v>
      </c>
      <c r="T604" s="229">
        <v>0</v>
      </c>
      <c r="U604" s="229">
        <v>0</v>
      </c>
      <c r="V604" s="229">
        <v>0</v>
      </c>
      <c r="W604" s="229">
        <v>0</v>
      </c>
      <c r="X604" s="229">
        <v>0</v>
      </c>
      <c r="Y604" s="229">
        <v>0</v>
      </c>
      <c r="Z604" s="229">
        <v>0</v>
      </c>
      <c r="AA604" s="229">
        <v>0</v>
      </c>
      <c r="AB604" s="229">
        <v>0</v>
      </c>
      <c r="AC604" s="229">
        <v>0</v>
      </c>
      <c r="AD604" s="229">
        <v>0</v>
      </c>
      <c r="AE604" s="229">
        <v>0</v>
      </c>
      <c r="AF604" s="229">
        <v>0</v>
      </c>
      <c r="AG604" s="229">
        <v>0</v>
      </c>
      <c r="AH604" s="229">
        <v>0</v>
      </c>
      <c r="AI604" s="229">
        <v>0</v>
      </c>
      <c r="AJ604" s="229">
        <v>0</v>
      </c>
      <c r="AK604" s="229">
        <v>0</v>
      </c>
      <c r="AL604" s="229">
        <v>0</v>
      </c>
      <c r="AM604" s="229">
        <v>0</v>
      </c>
      <c r="AN604" s="229">
        <v>0</v>
      </c>
      <c r="AO604" s="229">
        <v>0</v>
      </c>
      <c r="AP604" s="229">
        <v>0</v>
      </c>
      <c r="AQ604" s="229">
        <v>0</v>
      </c>
      <c r="AR604" s="229">
        <v>0</v>
      </c>
      <c r="AS604" s="229">
        <v>0</v>
      </c>
      <c r="AT604" s="229">
        <v>0</v>
      </c>
      <c r="AU604" s="229">
        <v>0</v>
      </c>
      <c r="AV604" s="229">
        <v>0</v>
      </c>
      <c r="AW604" s="229">
        <v>0</v>
      </c>
      <c r="AX604" s="229">
        <v>0</v>
      </c>
      <c r="AY604" s="229">
        <v>0</v>
      </c>
      <c r="AZ604" s="229">
        <v>0</v>
      </c>
      <c r="BA604" s="229">
        <v>0</v>
      </c>
      <c r="BB604" s="229">
        <v>0</v>
      </c>
      <c r="BC604" s="229">
        <v>0</v>
      </c>
    </row>
    <row r="605" spans="3:55" outlineLevel="2" x14ac:dyDescent="0.2">
      <c r="C605" s="162" t="str">
        <v>Anillo core, puntos de acceso (ADM/multiplexadores): 622</v>
      </c>
      <c r="D605" s="86"/>
      <c r="E605" s="86"/>
      <c r="F605" s="229">
        <v>0</v>
      </c>
      <c r="G605" s="229">
        <v>0</v>
      </c>
      <c r="H605" s="229">
        <v>0</v>
      </c>
      <c r="I605" s="229">
        <v>0</v>
      </c>
      <c r="J605" s="229">
        <v>0</v>
      </c>
      <c r="K605" s="229">
        <v>0</v>
      </c>
      <c r="L605" s="229">
        <v>0</v>
      </c>
      <c r="M605" s="229">
        <v>0</v>
      </c>
      <c r="N605" s="229">
        <v>0</v>
      </c>
      <c r="O605" s="229">
        <v>0</v>
      </c>
      <c r="P605" s="229">
        <v>0</v>
      </c>
      <c r="Q605" s="229">
        <v>0</v>
      </c>
      <c r="R605" s="229">
        <v>0</v>
      </c>
      <c r="S605" s="229">
        <v>0</v>
      </c>
      <c r="T605" s="229">
        <v>0</v>
      </c>
      <c r="U605" s="229">
        <v>0</v>
      </c>
      <c r="V605" s="229">
        <v>0</v>
      </c>
      <c r="W605" s="229">
        <v>0</v>
      </c>
      <c r="X605" s="229">
        <v>0</v>
      </c>
      <c r="Y605" s="229">
        <v>0</v>
      </c>
      <c r="Z605" s="229">
        <v>0</v>
      </c>
      <c r="AA605" s="229">
        <v>0</v>
      </c>
      <c r="AB605" s="229">
        <v>0</v>
      </c>
      <c r="AC605" s="229">
        <v>0</v>
      </c>
      <c r="AD605" s="229">
        <v>0</v>
      </c>
      <c r="AE605" s="229">
        <v>0</v>
      </c>
      <c r="AF605" s="229">
        <v>0</v>
      </c>
      <c r="AG605" s="229">
        <v>0</v>
      </c>
      <c r="AH605" s="229">
        <v>0</v>
      </c>
      <c r="AI605" s="229">
        <v>0</v>
      </c>
      <c r="AJ605" s="229">
        <v>0</v>
      </c>
      <c r="AK605" s="229">
        <v>0</v>
      </c>
      <c r="AL605" s="229">
        <v>0</v>
      </c>
      <c r="AM605" s="229">
        <v>0</v>
      </c>
      <c r="AN605" s="229">
        <v>0</v>
      </c>
      <c r="AO605" s="229">
        <v>0</v>
      </c>
      <c r="AP605" s="229">
        <v>0</v>
      </c>
      <c r="AQ605" s="229">
        <v>0</v>
      </c>
      <c r="AR605" s="229">
        <v>0</v>
      </c>
      <c r="AS605" s="229">
        <v>0</v>
      </c>
      <c r="AT605" s="229">
        <v>0</v>
      </c>
      <c r="AU605" s="229">
        <v>0</v>
      </c>
      <c r="AV605" s="229">
        <v>0</v>
      </c>
      <c r="AW605" s="229">
        <v>0</v>
      </c>
      <c r="AX605" s="229">
        <v>0</v>
      </c>
      <c r="AY605" s="229">
        <v>0</v>
      </c>
      <c r="AZ605" s="229">
        <v>0</v>
      </c>
      <c r="BA605" s="229">
        <v>0</v>
      </c>
      <c r="BB605" s="229">
        <v>0</v>
      </c>
      <c r="BC605" s="229">
        <v>0</v>
      </c>
    </row>
    <row r="606" spans="3:55" outlineLevel="2" x14ac:dyDescent="0.2">
      <c r="C606" s="162" t="str">
        <v>Anillo core, puntos de acceso (ADM/multiplexadores): 2488</v>
      </c>
      <c r="D606" s="86"/>
      <c r="E606" s="86"/>
      <c r="F606" s="229">
        <v>0</v>
      </c>
      <c r="G606" s="229">
        <v>0</v>
      </c>
      <c r="H606" s="229">
        <v>0</v>
      </c>
      <c r="I606" s="229">
        <v>0</v>
      </c>
      <c r="J606" s="229">
        <v>0</v>
      </c>
      <c r="K606" s="229">
        <v>0</v>
      </c>
      <c r="L606" s="229">
        <v>0</v>
      </c>
      <c r="M606" s="229">
        <v>0</v>
      </c>
      <c r="N606" s="229">
        <v>0</v>
      </c>
      <c r="O606" s="229">
        <v>0</v>
      </c>
      <c r="P606" s="229">
        <v>0</v>
      </c>
      <c r="Q606" s="229">
        <v>0</v>
      </c>
      <c r="R606" s="229">
        <v>0</v>
      </c>
      <c r="S606" s="229">
        <v>0</v>
      </c>
      <c r="T606" s="229">
        <v>0</v>
      </c>
      <c r="U606" s="229">
        <v>0</v>
      </c>
      <c r="V606" s="229">
        <v>0</v>
      </c>
      <c r="W606" s="229">
        <v>0</v>
      </c>
      <c r="X606" s="229">
        <v>0</v>
      </c>
      <c r="Y606" s="229">
        <v>0</v>
      </c>
      <c r="Z606" s="229">
        <v>0</v>
      </c>
      <c r="AA606" s="229">
        <v>0</v>
      </c>
      <c r="AB606" s="229">
        <v>0</v>
      </c>
      <c r="AC606" s="229">
        <v>0</v>
      </c>
      <c r="AD606" s="229">
        <v>0</v>
      </c>
      <c r="AE606" s="229">
        <v>0</v>
      </c>
      <c r="AF606" s="229">
        <v>0</v>
      </c>
      <c r="AG606" s="229">
        <v>0</v>
      </c>
      <c r="AH606" s="229">
        <v>0</v>
      </c>
      <c r="AI606" s="229">
        <v>0</v>
      </c>
      <c r="AJ606" s="229">
        <v>0</v>
      </c>
      <c r="AK606" s="229">
        <v>0</v>
      </c>
      <c r="AL606" s="229">
        <v>0</v>
      </c>
      <c r="AM606" s="229">
        <v>0</v>
      </c>
      <c r="AN606" s="229">
        <v>0</v>
      </c>
      <c r="AO606" s="229">
        <v>0</v>
      </c>
      <c r="AP606" s="229">
        <v>0</v>
      </c>
      <c r="AQ606" s="229">
        <v>0</v>
      </c>
      <c r="AR606" s="229">
        <v>0</v>
      </c>
      <c r="AS606" s="229">
        <v>0</v>
      </c>
      <c r="AT606" s="229">
        <v>0</v>
      </c>
      <c r="AU606" s="229">
        <v>0</v>
      </c>
      <c r="AV606" s="229">
        <v>0</v>
      </c>
      <c r="AW606" s="229">
        <v>0</v>
      </c>
      <c r="AX606" s="229">
        <v>0</v>
      </c>
      <c r="AY606" s="229">
        <v>0</v>
      </c>
      <c r="AZ606" s="229">
        <v>0</v>
      </c>
      <c r="BA606" s="229">
        <v>0</v>
      </c>
      <c r="BB606" s="229">
        <v>0</v>
      </c>
      <c r="BC606" s="229">
        <v>0</v>
      </c>
    </row>
    <row r="607" spans="3:55" outlineLevel="2" x14ac:dyDescent="0.2">
      <c r="C607" s="162" t="str">
        <v>Anillo core, puntos de acceso (ADM/multiplexadores): 9952</v>
      </c>
      <c r="D607" s="86"/>
      <c r="E607" s="86"/>
      <c r="F607" s="229">
        <v>0</v>
      </c>
      <c r="G607" s="229">
        <v>0</v>
      </c>
      <c r="H607" s="229">
        <v>0</v>
      </c>
      <c r="I607" s="229">
        <v>0</v>
      </c>
      <c r="J607" s="229">
        <v>0</v>
      </c>
      <c r="K607" s="229">
        <v>0</v>
      </c>
      <c r="L607" s="229">
        <v>0</v>
      </c>
      <c r="M607" s="229">
        <v>0</v>
      </c>
      <c r="N607" s="229">
        <v>0</v>
      </c>
      <c r="O607" s="229">
        <v>0</v>
      </c>
      <c r="P607" s="229">
        <v>0</v>
      </c>
      <c r="Q607" s="229">
        <v>0</v>
      </c>
      <c r="R607" s="229">
        <v>0</v>
      </c>
      <c r="S607" s="229">
        <v>0</v>
      </c>
      <c r="T607" s="229">
        <v>0</v>
      </c>
      <c r="U607" s="229">
        <v>0</v>
      </c>
      <c r="V607" s="229">
        <v>0</v>
      </c>
      <c r="W607" s="229">
        <v>0</v>
      </c>
      <c r="X607" s="229">
        <v>0</v>
      </c>
      <c r="Y607" s="229">
        <v>0</v>
      </c>
      <c r="Z607" s="229">
        <v>0</v>
      </c>
      <c r="AA607" s="229">
        <v>0</v>
      </c>
      <c r="AB607" s="229">
        <v>0</v>
      </c>
      <c r="AC607" s="229">
        <v>0</v>
      </c>
      <c r="AD607" s="229">
        <v>0</v>
      </c>
      <c r="AE607" s="229">
        <v>0</v>
      </c>
      <c r="AF607" s="229">
        <v>0</v>
      </c>
      <c r="AG607" s="229">
        <v>0</v>
      </c>
      <c r="AH607" s="229">
        <v>0</v>
      </c>
      <c r="AI607" s="229">
        <v>0</v>
      </c>
      <c r="AJ607" s="229">
        <v>0</v>
      </c>
      <c r="AK607" s="229">
        <v>0</v>
      </c>
      <c r="AL607" s="229">
        <v>0</v>
      </c>
      <c r="AM607" s="229">
        <v>0</v>
      </c>
      <c r="AN607" s="229">
        <v>0</v>
      </c>
      <c r="AO607" s="229">
        <v>0</v>
      </c>
      <c r="AP607" s="229">
        <v>0</v>
      </c>
      <c r="AQ607" s="229">
        <v>0</v>
      </c>
      <c r="AR607" s="229">
        <v>0</v>
      </c>
      <c r="AS607" s="229">
        <v>0</v>
      </c>
      <c r="AT607" s="229">
        <v>0</v>
      </c>
      <c r="AU607" s="229">
        <v>0</v>
      </c>
      <c r="AV607" s="229">
        <v>0</v>
      </c>
      <c r="AW607" s="229">
        <v>0</v>
      </c>
      <c r="AX607" s="229">
        <v>0</v>
      </c>
      <c r="AY607" s="229">
        <v>0</v>
      </c>
      <c r="AZ607" s="229">
        <v>0</v>
      </c>
      <c r="BA607" s="229">
        <v>0</v>
      </c>
      <c r="BB607" s="229">
        <v>0</v>
      </c>
      <c r="BC607" s="229">
        <v>0</v>
      </c>
    </row>
    <row r="608" spans="3:55" outlineLevel="2" x14ac:dyDescent="0.2">
      <c r="C608" s="162" t="str">
        <v>Anillo core, puntos de acceso (ADM/multiplexadores): 1000</v>
      </c>
      <c r="D608" s="86"/>
      <c r="E608" s="86"/>
      <c r="F608" s="229">
        <v>0</v>
      </c>
      <c r="G608" s="229">
        <v>0</v>
      </c>
      <c r="H608" s="229">
        <v>0</v>
      </c>
      <c r="I608" s="229">
        <v>0</v>
      </c>
      <c r="J608" s="229">
        <v>0</v>
      </c>
      <c r="K608" s="229">
        <v>0</v>
      </c>
      <c r="L608" s="229">
        <v>0</v>
      </c>
      <c r="M608" s="229">
        <v>0</v>
      </c>
      <c r="N608" s="229">
        <v>0</v>
      </c>
      <c r="O608" s="229">
        <v>0</v>
      </c>
      <c r="P608" s="229">
        <v>0</v>
      </c>
      <c r="Q608" s="229">
        <v>0</v>
      </c>
      <c r="R608" s="229">
        <v>0</v>
      </c>
      <c r="S608" s="229">
        <v>0</v>
      </c>
      <c r="T608" s="229">
        <v>0</v>
      </c>
      <c r="U608" s="229">
        <v>0</v>
      </c>
      <c r="V608" s="229">
        <v>0</v>
      </c>
      <c r="W608" s="229">
        <v>0</v>
      </c>
      <c r="X608" s="229">
        <v>0</v>
      </c>
      <c r="Y608" s="229">
        <v>0</v>
      </c>
      <c r="Z608" s="229">
        <v>0</v>
      </c>
      <c r="AA608" s="229">
        <v>0</v>
      </c>
      <c r="AB608" s="229">
        <v>0</v>
      </c>
      <c r="AC608" s="229">
        <v>0</v>
      </c>
      <c r="AD608" s="229">
        <v>0</v>
      </c>
      <c r="AE608" s="229">
        <v>0</v>
      </c>
      <c r="AF608" s="229">
        <v>0</v>
      </c>
      <c r="AG608" s="229">
        <v>0</v>
      </c>
      <c r="AH608" s="229">
        <v>0</v>
      </c>
      <c r="AI608" s="229">
        <v>0</v>
      </c>
      <c r="AJ608" s="229">
        <v>0</v>
      </c>
      <c r="AK608" s="229">
        <v>0</v>
      </c>
      <c r="AL608" s="229">
        <v>0</v>
      </c>
      <c r="AM608" s="229">
        <v>0</v>
      </c>
      <c r="AN608" s="229">
        <v>0</v>
      </c>
      <c r="AO608" s="229">
        <v>0</v>
      </c>
      <c r="AP608" s="229">
        <v>0</v>
      </c>
      <c r="AQ608" s="229">
        <v>0</v>
      </c>
      <c r="AR608" s="229">
        <v>0</v>
      </c>
      <c r="AS608" s="229">
        <v>0</v>
      </c>
      <c r="AT608" s="229">
        <v>0</v>
      </c>
      <c r="AU608" s="229">
        <v>0</v>
      </c>
      <c r="AV608" s="229">
        <v>0</v>
      </c>
      <c r="AW608" s="229">
        <v>0</v>
      </c>
      <c r="AX608" s="229">
        <v>0</v>
      </c>
      <c r="AY608" s="229">
        <v>0</v>
      </c>
      <c r="AZ608" s="229">
        <v>0</v>
      </c>
      <c r="BA608" s="229">
        <v>0</v>
      </c>
      <c r="BB608" s="229">
        <v>0</v>
      </c>
      <c r="BC608" s="229">
        <v>0</v>
      </c>
    </row>
    <row r="609" spans="3:55" outlineLevel="2" x14ac:dyDescent="0.2">
      <c r="C609" s="162" t="str">
        <v>Anillo core, puntos de acceso (ADM/multiplexadores): 2500</v>
      </c>
      <c r="D609" s="86"/>
      <c r="E609" s="86"/>
      <c r="F609" s="229">
        <v>0</v>
      </c>
      <c r="G609" s="229">
        <v>0</v>
      </c>
      <c r="H609" s="229">
        <v>0</v>
      </c>
      <c r="I609" s="229">
        <v>0</v>
      </c>
      <c r="J609" s="229">
        <v>0</v>
      </c>
      <c r="K609" s="229">
        <v>0</v>
      </c>
      <c r="L609" s="229">
        <v>0</v>
      </c>
      <c r="M609" s="229">
        <v>0</v>
      </c>
      <c r="N609" s="229">
        <v>0</v>
      </c>
      <c r="O609" s="229">
        <v>0</v>
      </c>
      <c r="P609" s="229">
        <v>0</v>
      </c>
      <c r="Q609" s="229">
        <v>0</v>
      </c>
      <c r="R609" s="229">
        <v>0</v>
      </c>
      <c r="S609" s="229">
        <v>0</v>
      </c>
      <c r="T609" s="229">
        <v>0</v>
      </c>
      <c r="U609" s="229">
        <v>0</v>
      </c>
      <c r="V609" s="229">
        <v>0</v>
      </c>
      <c r="W609" s="229">
        <v>0</v>
      </c>
      <c r="X609" s="229">
        <v>0</v>
      </c>
      <c r="Y609" s="229">
        <v>0</v>
      </c>
      <c r="Z609" s="229">
        <v>0</v>
      </c>
      <c r="AA609" s="229">
        <v>0</v>
      </c>
      <c r="AB609" s="229">
        <v>0</v>
      </c>
      <c r="AC609" s="229">
        <v>0</v>
      </c>
      <c r="AD609" s="229">
        <v>0</v>
      </c>
      <c r="AE609" s="229">
        <v>0</v>
      </c>
      <c r="AF609" s="229">
        <v>0</v>
      </c>
      <c r="AG609" s="229">
        <v>0</v>
      </c>
      <c r="AH609" s="229">
        <v>0</v>
      </c>
      <c r="AI609" s="229">
        <v>0</v>
      </c>
      <c r="AJ609" s="229">
        <v>0</v>
      </c>
      <c r="AK609" s="229">
        <v>0</v>
      </c>
      <c r="AL609" s="229">
        <v>0</v>
      </c>
      <c r="AM609" s="229">
        <v>0</v>
      </c>
      <c r="AN609" s="229">
        <v>0</v>
      </c>
      <c r="AO609" s="229">
        <v>0</v>
      </c>
      <c r="AP609" s="229">
        <v>0</v>
      </c>
      <c r="AQ609" s="229">
        <v>0</v>
      </c>
      <c r="AR609" s="229">
        <v>0</v>
      </c>
      <c r="AS609" s="229">
        <v>0</v>
      </c>
      <c r="AT609" s="229">
        <v>0</v>
      </c>
      <c r="AU609" s="229">
        <v>0</v>
      </c>
      <c r="AV609" s="229">
        <v>0</v>
      </c>
      <c r="AW609" s="229">
        <v>0</v>
      </c>
      <c r="AX609" s="229">
        <v>0</v>
      </c>
      <c r="AY609" s="229">
        <v>0</v>
      </c>
      <c r="AZ609" s="229">
        <v>0</v>
      </c>
      <c r="BA609" s="229">
        <v>0</v>
      </c>
      <c r="BB609" s="229">
        <v>0</v>
      </c>
      <c r="BC609" s="229">
        <v>0</v>
      </c>
    </row>
    <row r="610" spans="3:55" outlineLevel="2" x14ac:dyDescent="0.2">
      <c r="C610" s="162" t="str">
        <v>Anillo core, puntos de acceso (ADM/multiplexadores): 10000</v>
      </c>
      <c r="D610" s="86"/>
      <c r="E610" s="86"/>
      <c r="F610" s="229">
        <v>0</v>
      </c>
      <c r="G610" s="229">
        <v>0</v>
      </c>
      <c r="H610" s="229">
        <v>0</v>
      </c>
      <c r="I610" s="229">
        <v>0</v>
      </c>
      <c r="J610" s="229">
        <v>0</v>
      </c>
      <c r="K610" s="229">
        <v>0</v>
      </c>
      <c r="L610" s="229">
        <v>0</v>
      </c>
      <c r="M610" s="229">
        <v>0</v>
      </c>
      <c r="N610" s="229">
        <v>0</v>
      </c>
      <c r="O610" s="229">
        <v>0</v>
      </c>
      <c r="P610" s="229">
        <v>0</v>
      </c>
      <c r="Q610" s="229">
        <v>0</v>
      </c>
      <c r="R610" s="229">
        <v>0</v>
      </c>
      <c r="S610" s="229">
        <v>0</v>
      </c>
      <c r="T610" s="229">
        <v>0</v>
      </c>
      <c r="U610" s="229">
        <v>0</v>
      </c>
      <c r="V610" s="229">
        <v>0</v>
      </c>
      <c r="W610" s="229">
        <v>0</v>
      </c>
      <c r="X610" s="229">
        <v>0</v>
      </c>
      <c r="Y610" s="229">
        <v>0</v>
      </c>
      <c r="Z610" s="229">
        <v>0</v>
      </c>
      <c r="AA610" s="229">
        <v>0</v>
      </c>
      <c r="AB610" s="229">
        <v>0</v>
      </c>
      <c r="AC610" s="229">
        <v>0</v>
      </c>
      <c r="AD610" s="229">
        <v>0</v>
      </c>
      <c r="AE610" s="229">
        <v>0</v>
      </c>
      <c r="AF610" s="229">
        <v>0</v>
      </c>
      <c r="AG610" s="229">
        <v>0</v>
      </c>
      <c r="AH610" s="229">
        <v>0</v>
      </c>
      <c r="AI610" s="229">
        <v>0</v>
      </c>
      <c r="AJ610" s="229">
        <v>0</v>
      </c>
      <c r="AK610" s="229">
        <v>0</v>
      </c>
      <c r="AL610" s="229">
        <v>0</v>
      </c>
      <c r="AM610" s="229">
        <v>0</v>
      </c>
      <c r="AN610" s="229">
        <v>0</v>
      </c>
      <c r="AO610" s="229">
        <v>0</v>
      </c>
      <c r="AP610" s="229">
        <v>0</v>
      </c>
      <c r="AQ610" s="229">
        <v>0</v>
      </c>
      <c r="AR610" s="229">
        <v>0</v>
      </c>
      <c r="AS610" s="229">
        <v>0</v>
      </c>
      <c r="AT610" s="229">
        <v>0</v>
      </c>
      <c r="AU610" s="229">
        <v>0</v>
      </c>
      <c r="AV610" s="229">
        <v>0</v>
      </c>
      <c r="AW610" s="229">
        <v>0</v>
      </c>
      <c r="AX610" s="229">
        <v>0</v>
      </c>
      <c r="AY610" s="229">
        <v>0</v>
      </c>
      <c r="AZ610" s="229">
        <v>0</v>
      </c>
      <c r="BA610" s="229">
        <v>0</v>
      </c>
      <c r="BB610" s="229">
        <v>0</v>
      </c>
      <c r="BC610" s="229">
        <v>0</v>
      </c>
    </row>
    <row r="611" spans="3:55" outlineLevel="2" x14ac:dyDescent="0.2">
      <c r="C611" s="162" t="str">
        <v>Anillo core, puntos de acceso (ADM/multiplexadores): 40000</v>
      </c>
      <c r="D611" s="86"/>
      <c r="E611" s="86"/>
      <c r="F611" s="229">
        <v>2320.713087341162</v>
      </c>
      <c r="G611" s="229">
        <v>43.890694049793183</v>
      </c>
      <c r="H611" s="229">
        <v>388.1935538372731</v>
      </c>
      <c r="I611" s="229">
        <v>3.6435314546928845</v>
      </c>
      <c r="J611" s="229">
        <v>20.7278523720857</v>
      </c>
      <c r="K611" s="229">
        <v>388.19355383727316</v>
      </c>
      <c r="L611" s="229">
        <v>6.3936679201153162</v>
      </c>
      <c r="M611" s="229">
        <v>8354.5671144281841</v>
      </c>
      <c r="N611" s="229">
        <v>158.00649857925549</v>
      </c>
      <c r="O611" s="229">
        <v>1397.4967938141833</v>
      </c>
      <c r="P611" s="229">
        <v>13.116713236894388</v>
      </c>
      <c r="Q611" s="229">
        <v>74.62026853950853</v>
      </c>
      <c r="R611" s="229">
        <v>1397.4967938141835</v>
      </c>
      <c r="S611" s="229">
        <v>23.017204512415145</v>
      </c>
      <c r="T611" s="229">
        <v>0</v>
      </c>
      <c r="U611" s="229">
        <v>0</v>
      </c>
      <c r="V611" s="229">
        <v>0</v>
      </c>
      <c r="W611" s="229">
        <v>0</v>
      </c>
      <c r="X611" s="229">
        <v>0</v>
      </c>
      <c r="Y611" s="229">
        <v>0</v>
      </c>
      <c r="Z611" s="229">
        <v>0</v>
      </c>
      <c r="AA611" s="229">
        <v>0.38416313757143666</v>
      </c>
      <c r="AB611" s="229">
        <v>9.5726477522907763E-2</v>
      </c>
      <c r="AC611" s="229">
        <v>8.723586517444834E-2</v>
      </c>
      <c r="AD611" s="229">
        <v>0.44197968977593782</v>
      </c>
      <c r="AE611" s="229">
        <v>0.11013331239010536</v>
      </c>
      <c r="AF611" s="229">
        <v>0.10036486288320282</v>
      </c>
      <c r="AG611" s="229">
        <v>0</v>
      </c>
      <c r="AH611" s="229">
        <v>0</v>
      </c>
      <c r="AI611" s="229">
        <v>0</v>
      </c>
      <c r="AJ611" s="229">
        <v>14442.194493984587</v>
      </c>
      <c r="AK611" s="229">
        <v>773.68899074917431</v>
      </c>
      <c r="AL611" s="229">
        <v>40438.144583156849</v>
      </c>
      <c r="AM611" s="229">
        <v>0</v>
      </c>
      <c r="AN611" s="229">
        <v>24758.047703973578</v>
      </c>
      <c r="AO611" s="229">
        <v>0</v>
      </c>
      <c r="AP611" s="229">
        <v>0</v>
      </c>
      <c r="AQ611" s="229">
        <v>0</v>
      </c>
      <c r="AR611" s="229">
        <v>0</v>
      </c>
      <c r="AS611" s="229">
        <v>0</v>
      </c>
      <c r="AT611" s="229">
        <v>0</v>
      </c>
      <c r="AU611" s="229">
        <v>0</v>
      </c>
      <c r="AV611" s="229">
        <v>0</v>
      </c>
      <c r="AW611" s="229">
        <v>0</v>
      </c>
      <c r="AX611" s="229">
        <v>0</v>
      </c>
      <c r="AY611" s="229">
        <v>0</v>
      </c>
      <c r="AZ611" s="229">
        <v>0</v>
      </c>
      <c r="BA611" s="229">
        <v>0</v>
      </c>
      <c r="BB611" s="229">
        <v>0</v>
      </c>
      <c r="BC611" s="229">
        <v>0</v>
      </c>
    </row>
    <row r="612" spans="3:55" outlineLevel="2" x14ac:dyDescent="0.2">
      <c r="C612" s="162" t="str">
        <v>Fibra en la red core (km)</v>
      </c>
      <c r="D612" s="86"/>
      <c r="E612" s="86"/>
      <c r="F612" s="229">
        <v>418364.34357117111</v>
      </c>
      <c r="G612" s="229">
        <v>7912.3531061146768</v>
      </c>
      <c r="H612" s="229">
        <v>69981.223536667138</v>
      </c>
      <c r="I612" s="229">
        <v>656.83416603209582</v>
      </c>
      <c r="J612" s="229">
        <v>3736.6938630156287</v>
      </c>
      <c r="K612" s="229">
        <v>69981.223536667138</v>
      </c>
      <c r="L612" s="229">
        <v>1152.6124004737303</v>
      </c>
      <c r="M612" s="229">
        <v>1506111.6368562158</v>
      </c>
      <c r="N612" s="229">
        <v>28484.471182012847</v>
      </c>
      <c r="O612" s="229">
        <v>251932.40473200171</v>
      </c>
      <c r="P612" s="229">
        <v>2364.6029977155454</v>
      </c>
      <c r="Q612" s="229">
        <v>13452.097906856266</v>
      </c>
      <c r="R612" s="229">
        <v>251932.40473200174</v>
      </c>
      <c r="S612" s="229">
        <v>4149.4046417054305</v>
      </c>
      <c r="T612" s="229">
        <v>0</v>
      </c>
      <c r="U612" s="229">
        <v>0</v>
      </c>
      <c r="V612" s="229">
        <v>0</v>
      </c>
      <c r="W612" s="229">
        <v>0</v>
      </c>
      <c r="X612" s="229">
        <v>0</v>
      </c>
      <c r="Y612" s="229">
        <v>0</v>
      </c>
      <c r="Z612" s="229">
        <v>0</v>
      </c>
      <c r="AA612" s="229">
        <v>69.254644079442173</v>
      </c>
      <c r="AB612" s="229">
        <v>17.256999647955329</v>
      </c>
      <c r="AC612" s="229">
        <v>15.726362585986495</v>
      </c>
      <c r="AD612" s="229">
        <v>79.677468013398212</v>
      </c>
      <c r="AE612" s="229">
        <v>19.854178094972607</v>
      </c>
      <c r="AF612" s="229">
        <v>18.093180155177464</v>
      </c>
      <c r="AG612" s="229">
        <v>0</v>
      </c>
      <c r="AH612" s="229">
        <v>0</v>
      </c>
      <c r="AI612" s="229">
        <v>0</v>
      </c>
      <c r="AJ612" s="229">
        <v>2603552.8700902308</v>
      </c>
      <c r="AK612" s="229">
        <v>139476.04661197664</v>
      </c>
      <c r="AL612" s="229">
        <v>7289948.0362526458</v>
      </c>
      <c r="AM612" s="229">
        <v>0</v>
      </c>
      <c r="AN612" s="229">
        <v>4463233.4915832523</v>
      </c>
      <c r="AO612" s="229">
        <v>0</v>
      </c>
      <c r="AP612" s="229">
        <v>0</v>
      </c>
      <c r="AQ612" s="229">
        <v>0</v>
      </c>
      <c r="AR612" s="229">
        <v>0</v>
      </c>
      <c r="AS612" s="229">
        <v>0</v>
      </c>
      <c r="AT612" s="229">
        <v>0</v>
      </c>
      <c r="AU612" s="229">
        <v>0</v>
      </c>
      <c r="AV612" s="229">
        <v>0</v>
      </c>
      <c r="AW612" s="229">
        <v>0</v>
      </c>
      <c r="AX612" s="229">
        <v>0</v>
      </c>
      <c r="AY612" s="229">
        <v>0</v>
      </c>
      <c r="AZ612" s="229">
        <v>0</v>
      </c>
      <c r="BA612" s="229">
        <v>0</v>
      </c>
      <c r="BB612" s="229">
        <v>0</v>
      </c>
      <c r="BC612" s="229">
        <v>0</v>
      </c>
    </row>
    <row r="613" spans="3:55" outlineLevel="2" x14ac:dyDescent="0.2">
      <c r="C613" s="162" t="str">
        <v>Salto MW core a core</v>
      </c>
      <c r="D613" s="86"/>
      <c r="E613" s="86"/>
      <c r="F613" s="229">
        <v>6087.546657231861</v>
      </c>
      <c r="G613" s="229">
        <v>115.1312712044556</v>
      </c>
      <c r="H613" s="229">
        <v>1018.2845884359198</v>
      </c>
      <c r="I613" s="229">
        <v>9.557479487025514</v>
      </c>
      <c r="J613" s="229">
        <v>54.371981227482145</v>
      </c>
      <c r="K613" s="229">
        <v>1018.2845884359199</v>
      </c>
      <c r="L613" s="229">
        <v>16.771462179816972</v>
      </c>
      <c r="M613" s="229">
        <v>21915.1679660347</v>
      </c>
      <c r="N613" s="229">
        <v>414.47257633604022</v>
      </c>
      <c r="O613" s="229">
        <v>3665.8245183693116</v>
      </c>
      <c r="P613" s="229">
        <v>34.406926153291863</v>
      </c>
      <c r="Q613" s="229">
        <v>195.73913241893572</v>
      </c>
      <c r="R613" s="229">
        <v>3665.824518369312</v>
      </c>
      <c r="S613" s="229">
        <v>60.377263847341112</v>
      </c>
      <c r="T613" s="229">
        <v>0</v>
      </c>
      <c r="U613" s="229">
        <v>0</v>
      </c>
      <c r="V613" s="229">
        <v>0</v>
      </c>
      <c r="W613" s="229">
        <v>0</v>
      </c>
      <c r="X613" s="229">
        <v>0</v>
      </c>
      <c r="Y613" s="229">
        <v>0</v>
      </c>
      <c r="Z613" s="229">
        <v>0</v>
      </c>
      <c r="AA613" s="229">
        <v>1.0077122573708783</v>
      </c>
      <c r="AB613" s="229">
        <v>0.25110359459419507</v>
      </c>
      <c r="AC613" s="229">
        <v>0.22883156144125869</v>
      </c>
      <c r="AD613" s="229">
        <v>1.1593729521051954</v>
      </c>
      <c r="AE613" s="229">
        <v>0.28889468558062137</v>
      </c>
      <c r="AF613" s="229">
        <v>0.2632707114381681</v>
      </c>
      <c r="AG613" s="229">
        <v>0</v>
      </c>
      <c r="AH613" s="229">
        <v>0</v>
      </c>
      <c r="AI613" s="229">
        <v>0</v>
      </c>
      <c r="AJ613" s="229">
        <v>37883.844105724958</v>
      </c>
      <c r="AK613" s="229">
        <v>2029.4916485209799</v>
      </c>
      <c r="AL613" s="229">
        <v>106074.76349602989</v>
      </c>
      <c r="AM613" s="229">
        <v>0</v>
      </c>
      <c r="AN613" s="229">
        <v>64943.732752671363</v>
      </c>
      <c r="AO613" s="229">
        <v>0</v>
      </c>
      <c r="AP613" s="229">
        <v>0</v>
      </c>
      <c r="AQ613" s="229">
        <v>0</v>
      </c>
      <c r="AR613" s="229">
        <v>0</v>
      </c>
      <c r="AS613" s="229">
        <v>0</v>
      </c>
      <c r="AT613" s="229">
        <v>0</v>
      </c>
      <c r="AU613" s="229">
        <v>0</v>
      </c>
      <c r="AV613" s="229">
        <v>0</v>
      </c>
      <c r="AW613" s="229">
        <v>0</v>
      </c>
      <c r="AX613" s="229">
        <v>0</v>
      </c>
      <c r="AY613" s="229">
        <v>0</v>
      </c>
      <c r="AZ613" s="229">
        <v>0</v>
      </c>
      <c r="BA613" s="229">
        <v>0</v>
      </c>
      <c r="BB613" s="229">
        <v>0</v>
      </c>
      <c r="BC613" s="229">
        <v>0</v>
      </c>
    </row>
    <row r="614" spans="3:55" outlineLevel="2" x14ac:dyDescent="0.2">
      <c r="C614" s="162" t="str">
        <v>Main switching/core sites</v>
      </c>
      <c r="D614" s="86"/>
      <c r="E614" s="86"/>
      <c r="F614" s="229">
        <v>0</v>
      </c>
      <c r="G614" s="229">
        <v>0</v>
      </c>
      <c r="H614" s="229">
        <v>0</v>
      </c>
      <c r="I614" s="229">
        <v>0</v>
      </c>
      <c r="J614" s="229">
        <v>0</v>
      </c>
      <c r="K614" s="229">
        <v>0</v>
      </c>
      <c r="L614" s="229">
        <v>0</v>
      </c>
      <c r="M614" s="229">
        <v>0</v>
      </c>
      <c r="N614" s="229">
        <v>0</v>
      </c>
      <c r="O614" s="229">
        <v>0</v>
      </c>
      <c r="P614" s="229">
        <v>0</v>
      </c>
      <c r="Q614" s="229">
        <v>0</v>
      </c>
      <c r="R614" s="229">
        <v>0</v>
      </c>
      <c r="S614" s="229">
        <v>0</v>
      </c>
      <c r="T614" s="229">
        <v>0</v>
      </c>
      <c r="U614" s="229">
        <v>0</v>
      </c>
      <c r="V614" s="229">
        <v>0</v>
      </c>
      <c r="W614" s="229">
        <v>0</v>
      </c>
      <c r="X614" s="229">
        <v>0</v>
      </c>
      <c r="Y614" s="229">
        <v>0</v>
      </c>
      <c r="Z614" s="229">
        <v>0</v>
      </c>
      <c r="AA614" s="229">
        <v>0</v>
      </c>
      <c r="AB614" s="229">
        <v>0</v>
      </c>
      <c r="AC614" s="229">
        <v>0</v>
      </c>
      <c r="AD614" s="229">
        <v>0</v>
      </c>
      <c r="AE614" s="229">
        <v>0</v>
      </c>
      <c r="AF614" s="229">
        <v>0</v>
      </c>
      <c r="AG614" s="229">
        <v>0</v>
      </c>
      <c r="AH614" s="229">
        <v>0</v>
      </c>
      <c r="AI614" s="229">
        <v>0</v>
      </c>
      <c r="AJ614" s="229">
        <v>0</v>
      </c>
      <c r="AK614" s="229">
        <v>0</v>
      </c>
      <c r="AL614" s="229">
        <v>0</v>
      </c>
      <c r="AM614" s="229">
        <v>0</v>
      </c>
      <c r="AN614" s="229">
        <v>0</v>
      </c>
      <c r="AO614" s="229">
        <v>0</v>
      </c>
      <c r="AP614" s="229">
        <v>19787.643184695022</v>
      </c>
      <c r="AQ614" s="229">
        <v>19296.450699587542</v>
      </c>
      <c r="AR614" s="229">
        <v>0</v>
      </c>
      <c r="AS614" s="229">
        <v>0</v>
      </c>
      <c r="AT614" s="229">
        <v>0</v>
      </c>
      <c r="AU614" s="229">
        <v>0</v>
      </c>
      <c r="AV614" s="229">
        <v>0</v>
      </c>
      <c r="AW614" s="229">
        <v>0</v>
      </c>
      <c r="AX614" s="229">
        <v>0</v>
      </c>
      <c r="AY614" s="229">
        <v>0</v>
      </c>
      <c r="AZ614" s="229">
        <v>0</v>
      </c>
      <c r="BA614" s="229">
        <v>0</v>
      </c>
      <c r="BB614" s="229">
        <v>0</v>
      </c>
      <c r="BC614" s="229">
        <v>0</v>
      </c>
    </row>
    <row r="615" spans="3:55" outlineLevel="2" x14ac:dyDescent="0.2">
      <c r="C615" s="162" t="str">
        <v>Asset spare</v>
      </c>
      <c r="D615" s="86"/>
      <c r="E615" s="86"/>
      <c r="F615" s="229">
        <v>0</v>
      </c>
      <c r="G615" s="229">
        <v>0</v>
      </c>
      <c r="H615" s="229">
        <v>0</v>
      </c>
      <c r="I615" s="229">
        <v>0</v>
      </c>
      <c r="J615" s="229">
        <v>0</v>
      </c>
      <c r="K615" s="229">
        <v>0</v>
      </c>
      <c r="L615" s="229">
        <v>0</v>
      </c>
      <c r="M615" s="229">
        <v>0</v>
      </c>
      <c r="N615" s="229">
        <v>0</v>
      </c>
      <c r="O615" s="229">
        <v>0</v>
      </c>
      <c r="P615" s="229">
        <v>0</v>
      </c>
      <c r="Q615" s="229">
        <v>0</v>
      </c>
      <c r="R615" s="229">
        <v>0</v>
      </c>
      <c r="S615" s="229">
        <v>0</v>
      </c>
      <c r="T615" s="229">
        <v>0</v>
      </c>
      <c r="U615" s="229">
        <v>0</v>
      </c>
      <c r="V615" s="229">
        <v>0</v>
      </c>
      <c r="W615" s="229">
        <v>0</v>
      </c>
      <c r="X615" s="229">
        <v>0</v>
      </c>
      <c r="Y615" s="229">
        <v>0</v>
      </c>
      <c r="Z615" s="229">
        <v>0</v>
      </c>
      <c r="AA615" s="229">
        <v>0</v>
      </c>
      <c r="AB615" s="229">
        <v>0</v>
      </c>
      <c r="AC615" s="229">
        <v>0</v>
      </c>
      <c r="AD615" s="229">
        <v>0</v>
      </c>
      <c r="AE615" s="229">
        <v>0</v>
      </c>
      <c r="AF615" s="229">
        <v>0</v>
      </c>
      <c r="AG615" s="229">
        <v>0</v>
      </c>
      <c r="AH615" s="229">
        <v>0</v>
      </c>
      <c r="AI615" s="229">
        <v>0</v>
      </c>
      <c r="AJ615" s="229">
        <v>0</v>
      </c>
      <c r="AK615" s="229">
        <v>0</v>
      </c>
      <c r="AL615" s="229">
        <v>0</v>
      </c>
      <c r="AM615" s="229">
        <v>0</v>
      </c>
      <c r="AN615" s="229">
        <v>0</v>
      </c>
      <c r="AO615" s="229">
        <v>0</v>
      </c>
      <c r="AP615" s="229">
        <v>0</v>
      </c>
      <c r="AQ615" s="229">
        <v>0</v>
      </c>
      <c r="AR615" s="229">
        <v>0</v>
      </c>
      <c r="AS615" s="229">
        <v>0</v>
      </c>
      <c r="AT615" s="229">
        <v>0</v>
      </c>
      <c r="AU615" s="229">
        <v>0</v>
      </c>
      <c r="AV615" s="229">
        <v>0</v>
      </c>
      <c r="AW615" s="229">
        <v>0</v>
      </c>
      <c r="AX615" s="229">
        <v>0</v>
      </c>
      <c r="AY615" s="229">
        <v>0</v>
      </c>
      <c r="AZ615" s="229">
        <v>0</v>
      </c>
      <c r="BA615" s="229">
        <v>0</v>
      </c>
      <c r="BB615" s="229">
        <v>0</v>
      </c>
      <c r="BC615" s="229">
        <v>0</v>
      </c>
    </row>
    <row r="616" spans="3:55" outlineLevel="2" x14ac:dyDescent="0.2">
      <c r="C616" s="162" t="str">
        <v>MSS</v>
      </c>
      <c r="D616" s="86"/>
      <c r="E616" s="86"/>
      <c r="F616" s="229">
        <v>518262.60755230725</v>
      </c>
      <c r="G616" s="229">
        <v>9287.3963076568562</v>
      </c>
      <c r="H616" s="229">
        <v>80533.723557096411</v>
      </c>
      <c r="I616" s="229">
        <v>787.21023455360319</v>
      </c>
      <c r="J616" s="229">
        <v>10965.182013741261</v>
      </c>
      <c r="K616" s="229">
        <v>201334.30889274104</v>
      </c>
      <c r="L616" s="229">
        <v>3453.4907174803534</v>
      </c>
      <c r="M616" s="229">
        <v>1554787.8226569218</v>
      </c>
      <c r="N616" s="229">
        <v>27862.18892297057</v>
      </c>
      <c r="O616" s="229">
        <v>241601.17067128923</v>
      </c>
      <c r="P616" s="229">
        <v>2361.6307036608096</v>
      </c>
      <c r="Q616" s="229">
        <v>32895.546041223781</v>
      </c>
      <c r="R616" s="229">
        <v>604002.92667822319</v>
      </c>
      <c r="S616" s="229">
        <v>10360.472152441062</v>
      </c>
      <c r="T616" s="229">
        <v>0</v>
      </c>
      <c r="U616" s="229">
        <v>0</v>
      </c>
      <c r="V616" s="229">
        <v>0</v>
      </c>
      <c r="W616" s="229">
        <v>0</v>
      </c>
      <c r="X616" s="229">
        <v>0</v>
      </c>
      <c r="Y616" s="229">
        <v>0</v>
      </c>
      <c r="Z616" s="229">
        <v>0</v>
      </c>
      <c r="AA616" s="229">
        <v>10238.947713763233</v>
      </c>
      <c r="AB616" s="229">
        <v>8504.5327737231892</v>
      </c>
      <c r="AC616" s="229">
        <v>7750.2096976529128</v>
      </c>
      <c r="AD616" s="229">
        <v>30716.843141289701</v>
      </c>
      <c r="AE616" s="229">
        <v>25513.598321169564</v>
      </c>
      <c r="AF616" s="229">
        <v>23250.629092958738</v>
      </c>
      <c r="AG616" s="229">
        <v>0</v>
      </c>
      <c r="AH616" s="229">
        <v>0</v>
      </c>
      <c r="AI616" s="229">
        <v>0</v>
      </c>
      <c r="AJ616" s="229">
        <v>0</v>
      </c>
      <c r="AK616" s="229">
        <v>0</v>
      </c>
      <c r="AL616" s="229">
        <v>0</v>
      </c>
      <c r="AM616" s="229">
        <v>0</v>
      </c>
      <c r="AN616" s="229">
        <v>0</v>
      </c>
      <c r="AO616" s="229">
        <v>0</v>
      </c>
      <c r="AP616" s="229">
        <v>0</v>
      </c>
      <c r="AQ616" s="229">
        <v>0</v>
      </c>
      <c r="AR616" s="229">
        <v>0</v>
      </c>
      <c r="AS616" s="229">
        <v>0</v>
      </c>
      <c r="AT616" s="229">
        <v>0</v>
      </c>
      <c r="AU616" s="229">
        <v>0</v>
      </c>
      <c r="AV616" s="229">
        <v>0</v>
      </c>
      <c r="AW616" s="229">
        <v>0</v>
      </c>
      <c r="AX616" s="229">
        <v>0</v>
      </c>
      <c r="AY616" s="229">
        <v>0</v>
      </c>
      <c r="AZ616" s="229">
        <v>0</v>
      </c>
      <c r="BA616" s="229">
        <v>0</v>
      </c>
      <c r="BB616" s="229">
        <v>0</v>
      </c>
      <c r="BC616" s="229">
        <v>0</v>
      </c>
    </row>
    <row r="617" spans="3:55" outlineLevel="2" x14ac:dyDescent="0.2">
      <c r="C617" s="162" t="str">
        <v>MGW</v>
      </c>
      <c r="D617" s="86"/>
      <c r="E617" s="86"/>
      <c r="F617" s="229">
        <v>335273.22539747698</v>
      </c>
      <c r="G617" s="229">
        <v>10568.141490128075</v>
      </c>
      <c r="H617" s="229">
        <v>93470.483694191731</v>
      </c>
      <c r="I617" s="229">
        <v>877.30114026547312</v>
      </c>
      <c r="J617" s="229">
        <v>4990.9184941613094</v>
      </c>
      <c r="K617" s="229">
        <v>93470.483694191746</v>
      </c>
      <c r="L617" s="229">
        <v>1539.4877817155398</v>
      </c>
      <c r="M617" s="229">
        <v>1307565.5790501605</v>
      </c>
      <c r="N617" s="229">
        <v>41215.751811499496</v>
      </c>
      <c r="O617" s="229">
        <v>364534.88640734775</v>
      </c>
      <c r="P617" s="229">
        <v>3421.4744470353457</v>
      </c>
      <c r="Q617" s="229">
        <v>19464.582127229107</v>
      </c>
      <c r="R617" s="229">
        <v>364534.8864073478</v>
      </c>
      <c r="S617" s="229">
        <v>6004.0023486906066</v>
      </c>
      <c r="T617" s="229">
        <v>0</v>
      </c>
      <c r="U617" s="229">
        <v>0</v>
      </c>
      <c r="V617" s="229">
        <v>0</v>
      </c>
      <c r="W617" s="229">
        <v>0</v>
      </c>
      <c r="X617" s="229">
        <v>0</v>
      </c>
      <c r="Y617" s="229">
        <v>0</v>
      </c>
      <c r="Z617" s="229">
        <v>0</v>
      </c>
      <c r="AA617" s="229">
        <v>0</v>
      </c>
      <c r="AB617" s="229">
        <v>0</v>
      </c>
      <c r="AC617" s="229">
        <v>0</v>
      </c>
      <c r="AD617" s="229">
        <v>0</v>
      </c>
      <c r="AE617" s="229">
        <v>0</v>
      </c>
      <c r="AF617" s="229">
        <v>0</v>
      </c>
      <c r="AG617" s="229">
        <v>0</v>
      </c>
      <c r="AH617" s="229">
        <v>0</v>
      </c>
      <c r="AI617" s="229">
        <v>0</v>
      </c>
      <c r="AJ617" s="229">
        <v>0</v>
      </c>
      <c r="AK617" s="229">
        <v>0</v>
      </c>
      <c r="AL617" s="229">
        <v>0</v>
      </c>
      <c r="AM617" s="229">
        <v>0</v>
      </c>
      <c r="AN617" s="229">
        <v>0</v>
      </c>
      <c r="AO617" s="229">
        <v>0</v>
      </c>
      <c r="AP617" s="229">
        <v>0</v>
      </c>
      <c r="AQ617" s="229">
        <v>0</v>
      </c>
      <c r="AR617" s="229">
        <v>0</v>
      </c>
      <c r="AS617" s="229">
        <v>0</v>
      </c>
      <c r="AT617" s="229">
        <v>0</v>
      </c>
      <c r="AU617" s="229">
        <v>0</v>
      </c>
      <c r="AV617" s="229">
        <v>0</v>
      </c>
      <c r="AW617" s="229">
        <v>0</v>
      </c>
      <c r="AX617" s="229">
        <v>0</v>
      </c>
      <c r="AY617" s="229">
        <v>0</v>
      </c>
      <c r="AZ617" s="229">
        <v>0</v>
      </c>
      <c r="BA617" s="229">
        <v>0</v>
      </c>
      <c r="BB617" s="229">
        <v>0</v>
      </c>
      <c r="BC617" s="229">
        <v>0</v>
      </c>
    </row>
    <row r="618" spans="3:55" outlineLevel="2" x14ac:dyDescent="0.2">
      <c r="C618" s="162" t="str">
        <v>SGSN</v>
      </c>
      <c r="D618" s="86"/>
      <c r="E618" s="86"/>
      <c r="F618" s="229">
        <v>0</v>
      </c>
      <c r="G618" s="229">
        <v>0</v>
      </c>
      <c r="H618" s="229">
        <v>0</v>
      </c>
      <c r="I618" s="229">
        <v>0</v>
      </c>
      <c r="J618" s="229">
        <v>0</v>
      </c>
      <c r="K618" s="229">
        <v>0</v>
      </c>
      <c r="L618" s="229">
        <v>0</v>
      </c>
      <c r="M618" s="229">
        <v>0</v>
      </c>
      <c r="N618" s="229">
        <v>0</v>
      </c>
      <c r="O618" s="229">
        <v>0</v>
      </c>
      <c r="P618" s="229">
        <v>0</v>
      </c>
      <c r="Q618" s="229">
        <v>0</v>
      </c>
      <c r="R618" s="229">
        <v>0</v>
      </c>
      <c r="S618" s="229">
        <v>0</v>
      </c>
      <c r="T618" s="229">
        <v>0</v>
      </c>
      <c r="U618" s="229">
        <v>0</v>
      </c>
      <c r="V618" s="229">
        <v>0</v>
      </c>
      <c r="W618" s="229">
        <v>0</v>
      </c>
      <c r="X618" s="229">
        <v>0</v>
      </c>
      <c r="Y618" s="229">
        <v>0</v>
      </c>
      <c r="Z618" s="229">
        <v>0</v>
      </c>
      <c r="AA618" s="229">
        <v>0</v>
      </c>
      <c r="AB618" s="229">
        <v>0</v>
      </c>
      <c r="AC618" s="229">
        <v>0</v>
      </c>
      <c r="AD618" s="229">
        <v>17555.834768834244</v>
      </c>
      <c r="AE618" s="229">
        <v>14581.984041282351</v>
      </c>
      <c r="AF618" s="229">
        <v>13288.611747955025</v>
      </c>
      <c r="AG618" s="229">
        <v>0</v>
      </c>
      <c r="AH618" s="229">
        <v>0</v>
      </c>
      <c r="AI618" s="229">
        <v>0</v>
      </c>
      <c r="AJ618" s="229">
        <v>388146.8833318571</v>
      </c>
      <c r="AK618" s="229">
        <v>19407.344166592855</v>
      </c>
      <c r="AL618" s="229">
        <v>760767.89133043995</v>
      </c>
      <c r="AM618" s="229">
        <v>190191.97283260993</v>
      </c>
      <c r="AN618" s="229">
        <v>0</v>
      </c>
      <c r="AO618" s="229">
        <v>0</v>
      </c>
      <c r="AP618" s="229">
        <v>0</v>
      </c>
      <c r="AQ618" s="229">
        <v>0</v>
      </c>
      <c r="AR618" s="229">
        <v>0</v>
      </c>
      <c r="AS618" s="229">
        <v>0</v>
      </c>
      <c r="AT618" s="229">
        <v>0</v>
      </c>
      <c r="AU618" s="229">
        <v>0</v>
      </c>
      <c r="AV618" s="229">
        <v>0</v>
      </c>
      <c r="AW618" s="229">
        <v>0</v>
      </c>
      <c r="AX618" s="229">
        <v>0</v>
      </c>
      <c r="AY618" s="229">
        <v>0</v>
      </c>
      <c r="AZ618" s="229">
        <v>0</v>
      </c>
      <c r="BA618" s="229">
        <v>0</v>
      </c>
      <c r="BB618" s="229">
        <v>0</v>
      </c>
      <c r="BC618" s="229">
        <v>0</v>
      </c>
    </row>
    <row r="619" spans="3:55" outlineLevel="2" x14ac:dyDescent="0.2">
      <c r="C619" s="162" t="str">
        <v>GGSN</v>
      </c>
      <c r="D619" s="86"/>
      <c r="E619" s="86"/>
      <c r="F619" s="229">
        <v>0</v>
      </c>
      <c r="G619" s="229">
        <v>0</v>
      </c>
      <c r="H619" s="229">
        <v>0</v>
      </c>
      <c r="I619" s="229">
        <v>0</v>
      </c>
      <c r="J619" s="229">
        <v>0</v>
      </c>
      <c r="K619" s="229">
        <v>0</v>
      </c>
      <c r="L619" s="229">
        <v>0</v>
      </c>
      <c r="M619" s="229">
        <v>0</v>
      </c>
      <c r="N619" s="229">
        <v>0</v>
      </c>
      <c r="O619" s="229">
        <v>0</v>
      </c>
      <c r="P619" s="229">
        <v>0</v>
      </c>
      <c r="Q619" s="229">
        <v>0</v>
      </c>
      <c r="R619" s="229">
        <v>0</v>
      </c>
      <c r="S619" s="229">
        <v>0</v>
      </c>
      <c r="T619" s="229">
        <v>0</v>
      </c>
      <c r="U619" s="229">
        <v>0</v>
      </c>
      <c r="V619" s="229">
        <v>0</v>
      </c>
      <c r="W619" s="229">
        <v>0</v>
      </c>
      <c r="X619" s="229">
        <v>0</v>
      </c>
      <c r="Y619" s="229">
        <v>0</v>
      </c>
      <c r="Z619" s="229">
        <v>0</v>
      </c>
      <c r="AA619" s="229">
        <v>0</v>
      </c>
      <c r="AB619" s="229">
        <v>0</v>
      </c>
      <c r="AC619" s="229">
        <v>0</v>
      </c>
      <c r="AD619" s="229">
        <v>16583.898464251495</v>
      </c>
      <c r="AE619" s="229">
        <v>13774.687785126616</v>
      </c>
      <c r="AF619" s="229">
        <v>12552.919918690906</v>
      </c>
      <c r="AG619" s="229">
        <v>0</v>
      </c>
      <c r="AH619" s="229">
        <v>0</v>
      </c>
      <c r="AI619" s="229">
        <v>0</v>
      </c>
      <c r="AJ619" s="229">
        <v>366658.0705019146</v>
      </c>
      <c r="AK619" s="229">
        <v>18332.903525095728</v>
      </c>
      <c r="AL619" s="229">
        <v>718649.81818375259</v>
      </c>
      <c r="AM619" s="229">
        <v>179662.45454593809</v>
      </c>
      <c r="AN619" s="229">
        <v>0</v>
      </c>
      <c r="AO619" s="229">
        <v>0</v>
      </c>
      <c r="AP619" s="229">
        <v>0</v>
      </c>
      <c r="AQ619" s="229">
        <v>0</v>
      </c>
      <c r="AR619" s="229">
        <v>0</v>
      </c>
      <c r="AS619" s="229">
        <v>0</v>
      </c>
      <c r="AT619" s="229">
        <v>0</v>
      </c>
      <c r="AU619" s="229">
        <v>0</v>
      </c>
      <c r="AV619" s="229">
        <v>0</v>
      </c>
      <c r="AW619" s="229">
        <v>0</v>
      </c>
      <c r="AX619" s="229">
        <v>0</v>
      </c>
      <c r="AY619" s="229">
        <v>0</v>
      </c>
      <c r="AZ619" s="229">
        <v>0</v>
      </c>
      <c r="BA619" s="229">
        <v>0</v>
      </c>
      <c r="BB619" s="229">
        <v>0</v>
      </c>
      <c r="BC619" s="229">
        <v>0</v>
      </c>
    </row>
    <row r="620" spans="3:55" outlineLevel="2" x14ac:dyDescent="0.2">
      <c r="C620" s="162" t="str">
        <v>LTE MME</v>
      </c>
      <c r="D620" s="86"/>
      <c r="E620" s="86"/>
      <c r="F620" s="229">
        <v>0</v>
      </c>
      <c r="G620" s="229">
        <v>0</v>
      </c>
      <c r="H620" s="229">
        <v>0</v>
      </c>
      <c r="I620" s="229">
        <v>0</v>
      </c>
      <c r="J620" s="229">
        <v>0</v>
      </c>
      <c r="K620" s="229">
        <v>0</v>
      </c>
      <c r="L620" s="229">
        <v>0</v>
      </c>
      <c r="M620" s="229">
        <v>0</v>
      </c>
      <c r="N620" s="229">
        <v>0</v>
      </c>
      <c r="O620" s="229">
        <v>0</v>
      </c>
      <c r="P620" s="229">
        <v>0</v>
      </c>
      <c r="Q620" s="229">
        <v>0</v>
      </c>
      <c r="R620" s="229">
        <v>0</v>
      </c>
      <c r="S620" s="229">
        <v>0</v>
      </c>
      <c r="T620" s="229">
        <v>0</v>
      </c>
      <c r="U620" s="229">
        <v>0</v>
      </c>
      <c r="V620" s="229">
        <v>0</v>
      </c>
      <c r="W620" s="229">
        <v>0</v>
      </c>
      <c r="X620" s="229">
        <v>0</v>
      </c>
      <c r="Y620" s="229">
        <v>0</v>
      </c>
      <c r="Z620" s="229">
        <v>0</v>
      </c>
      <c r="AA620" s="229">
        <v>0</v>
      </c>
      <c r="AB620" s="229">
        <v>0</v>
      </c>
      <c r="AC620" s="229">
        <v>0</v>
      </c>
      <c r="AD620" s="229">
        <v>0</v>
      </c>
      <c r="AE620" s="229">
        <v>0</v>
      </c>
      <c r="AF620" s="229">
        <v>0</v>
      </c>
      <c r="AG620" s="229">
        <v>0</v>
      </c>
      <c r="AH620" s="229">
        <v>0</v>
      </c>
      <c r="AI620" s="229">
        <v>0</v>
      </c>
      <c r="AJ620" s="229">
        <v>0</v>
      </c>
      <c r="AK620" s="229">
        <v>0</v>
      </c>
      <c r="AL620" s="229">
        <v>0</v>
      </c>
      <c r="AM620" s="229">
        <v>0</v>
      </c>
      <c r="AN620" s="229">
        <v>2514238.0574994273</v>
      </c>
      <c r="AO620" s="229">
        <v>0</v>
      </c>
      <c r="AP620" s="229">
        <v>0</v>
      </c>
      <c r="AQ620" s="229">
        <v>0</v>
      </c>
      <c r="AR620" s="229">
        <v>0</v>
      </c>
      <c r="AS620" s="229">
        <v>0</v>
      </c>
      <c r="AT620" s="229">
        <v>0</v>
      </c>
      <c r="AU620" s="229">
        <v>0</v>
      </c>
      <c r="AV620" s="229">
        <v>0</v>
      </c>
      <c r="AW620" s="229">
        <v>0</v>
      </c>
      <c r="AX620" s="229">
        <v>0</v>
      </c>
      <c r="AY620" s="229">
        <v>0</v>
      </c>
      <c r="AZ620" s="229">
        <v>0</v>
      </c>
      <c r="BA620" s="229">
        <v>0</v>
      </c>
      <c r="BB620" s="229">
        <v>0</v>
      </c>
      <c r="BC620" s="229">
        <v>0</v>
      </c>
    </row>
    <row r="621" spans="3:55" outlineLevel="2" x14ac:dyDescent="0.2">
      <c r="C621" s="162" t="str">
        <v>LTE SGW</v>
      </c>
      <c r="D621" s="86"/>
      <c r="E621" s="86"/>
      <c r="F621" s="229">
        <v>0</v>
      </c>
      <c r="G621" s="229">
        <v>0</v>
      </c>
      <c r="H621" s="229">
        <v>0</v>
      </c>
      <c r="I621" s="229">
        <v>0</v>
      </c>
      <c r="J621" s="229">
        <v>0</v>
      </c>
      <c r="K621" s="229">
        <v>0</v>
      </c>
      <c r="L621" s="229">
        <v>0</v>
      </c>
      <c r="M621" s="229">
        <v>0</v>
      </c>
      <c r="N621" s="229">
        <v>0</v>
      </c>
      <c r="O621" s="229">
        <v>0</v>
      </c>
      <c r="P621" s="229">
        <v>0</v>
      </c>
      <c r="Q621" s="229">
        <v>0</v>
      </c>
      <c r="R621" s="229">
        <v>0</v>
      </c>
      <c r="S621" s="229">
        <v>0</v>
      </c>
      <c r="T621" s="229">
        <v>0</v>
      </c>
      <c r="U621" s="229">
        <v>0</v>
      </c>
      <c r="V621" s="229">
        <v>0</v>
      </c>
      <c r="W621" s="229">
        <v>0</v>
      </c>
      <c r="X621" s="229">
        <v>0</v>
      </c>
      <c r="Y621" s="229">
        <v>0</v>
      </c>
      <c r="Z621" s="229">
        <v>0</v>
      </c>
      <c r="AA621" s="229">
        <v>0</v>
      </c>
      <c r="AB621" s="229">
        <v>0</v>
      </c>
      <c r="AC621" s="229">
        <v>0</v>
      </c>
      <c r="AD621" s="229">
        <v>0</v>
      </c>
      <c r="AE621" s="229">
        <v>0</v>
      </c>
      <c r="AF621" s="229">
        <v>0</v>
      </c>
      <c r="AG621" s="229">
        <v>0</v>
      </c>
      <c r="AH621" s="229">
        <v>0</v>
      </c>
      <c r="AI621" s="229">
        <v>0</v>
      </c>
      <c r="AJ621" s="229">
        <v>0</v>
      </c>
      <c r="AK621" s="229">
        <v>0</v>
      </c>
      <c r="AL621" s="229">
        <v>0</v>
      </c>
      <c r="AM621" s="229">
        <v>0</v>
      </c>
      <c r="AN621" s="229">
        <v>3335153.1223544986</v>
      </c>
      <c r="AO621" s="229">
        <v>0</v>
      </c>
      <c r="AP621" s="229">
        <v>0</v>
      </c>
      <c r="AQ621" s="229">
        <v>0</v>
      </c>
      <c r="AR621" s="229">
        <v>0</v>
      </c>
      <c r="AS621" s="229">
        <v>0</v>
      </c>
      <c r="AT621" s="229">
        <v>0</v>
      </c>
      <c r="AU621" s="229">
        <v>0</v>
      </c>
      <c r="AV621" s="229">
        <v>0</v>
      </c>
      <c r="AW621" s="229">
        <v>0</v>
      </c>
      <c r="AX621" s="229">
        <v>0</v>
      </c>
      <c r="AY621" s="229">
        <v>0</v>
      </c>
      <c r="AZ621" s="229">
        <v>0</v>
      </c>
      <c r="BA621" s="229">
        <v>0</v>
      </c>
      <c r="BB621" s="229">
        <v>0</v>
      </c>
      <c r="BC621" s="229">
        <v>0</v>
      </c>
    </row>
    <row r="622" spans="3:55" outlineLevel="2" x14ac:dyDescent="0.2">
      <c r="C622" s="162" t="str">
        <v>HLR</v>
      </c>
      <c r="D622" s="86"/>
      <c r="E622" s="86"/>
      <c r="F622" s="229">
        <v>0</v>
      </c>
      <c r="G622" s="229">
        <v>0</v>
      </c>
      <c r="H622" s="229">
        <v>0</v>
      </c>
      <c r="I622" s="229">
        <v>0</v>
      </c>
      <c r="J622" s="229">
        <v>0</v>
      </c>
      <c r="K622" s="229">
        <v>0</v>
      </c>
      <c r="L622" s="229">
        <v>0</v>
      </c>
      <c r="M622" s="229">
        <v>0</v>
      </c>
      <c r="N622" s="229">
        <v>0</v>
      </c>
      <c r="O622" s="229">
        <v>0</v>
      </c>
      <c r="P622" s="229">
        <v>0</v>
      </c>
      <c r="Q622" s="229">
        <v>0</v>
      </c>
      <c r="R622" s="229">
        <v>0</v>
      </c>
      <c r="S622" s="229">
        <v>0</v>
      </c>
      <c r="T622" s="229">
        <v>0</v>
      </c>
      <c r="U622" s="229">
        <v>0</v>
      </c>
      <c r="V622" s="229">
        <v>0</v>
      </c>
      <c r="W622" s="229">
        <v>0</v>
      </c>
      <c r="X622" s="229">
        <v>0</v>
      </c>
      <c r="Y622" s="229">
        <v>0</v>
      </c>
      <c r="Z622" s="229">
        <v>0</v>
      </c>
      <c r="AA622" s="229">
        <v>0</v>
      </c>
      <c r="AB622" s="229">
        <v>0</v>
      </c>
      <c r="AC622" s="229">
        <v>0</v>
      </c>
      <c r="AD622" s="229">
        <v>0</v>
      </c>
      <c r="AE622" s="229">
        <v>0</v>
      </c>
      <c r="AF622" s="229">
        <v>0</v>
      </c>
      <c r="AG622" s="229">
        <v>0</v>
      </c>
      <c r="AH622" s="229">
        <v>0</v>
      </c>
      <c r="AI622" s="229">
        <v>0</v>
      </c>
      <c r="AJ622" s="229">
        <v>0</v>
      </c>
      <c r="AK622" s="229">
        <v>0</v>
      </c>
      <c r="AL622" s="229">
        <v>0</v>
      </c>
      <c r="AM622" s="229">
        <v>0</v>
      </c>
      <c r="AN622" s="229">
        <v>0</v>
      </c>
      <c r="AO622" s="229">
        <v>0</v>
      </c>
      <c r="AP622" s="229">
        <v>71138.961676805935</v>
      </c>
      <c r="AQ622" s="229">
        <v>69373.065503732461</v>
      </c>
      <c r="AR622" s="229">
        <v>0</v>
      </c>
      <c r="AS622" s="229">
        <v>0</v>
      </c>
      <c r="AT622" s="229">
        <v>0</v>
      </c>
      <c r="AU622" s="229">
        <v>0</v>
      </c>
      <c r="AV622" s="229">
        <v>0</v>
      </c>
      <c r="AW622" s="229">
        <v>0</v>
      </c>
      <c r="AX622" s="229">
        <v>0</v>
      </c>
      <c r="AY622" s="229">
        <v>0</v>
      </c>
      <c r="AZ622" s="229">
        <v>0</v>
      </c>
      <c r="BA622" s="229">
        <v>0</v>
      </c>
      <c r="BB622" s="229">
        <v>0</v>
      </c>
      <c r="BC622" s="229">
        <v>0</v>
      </c>
    </row>
    <row r="623" spans="3:55" outlineLevel="2" x14ac:dyDescent="0.2">
      <c r="C623" s="162" t="str">
        <v>AUC</v>
      </c>
      <c r="D623" s="86"/>
      <c r="E623" s="86"/>
      <c r="F623" s="229">
        <v>0</v>
      </c>
      <c r="G623" s="229">
        <v>0</v>
      </c>
      <c r="H623" s="229">
        <v>0</v>
      </c>
      <c r="I623" s="229">
        <v>0</v>
      </c>
      <c r="J623" s="229">
        <v>0</v>
      </c>
      <c r="K623" s="229">
        <v>0</v>
      </c>
      <c r="L623" s="229">
        <v>0</v>
      </c>
      <c r="M623" s="229">
        <v>0</v>
      </c>
      <c r="N623" s="229">
        <v>0</v>
      </c>
      <c r="O623" s="229">
        <v>0</v>
      </c>
      <c r="P623" s="229">
        <v>0</v>
      </c>
      <c r="Q623" s="229">
        <v>0</v>
      </c>
      <c r="R623" s="229">
        <v>0</v>
      </c>
      <c r="S623" s="229">
        <v>0</v>
      </c>
      <c r="T623" s="229">
        <v>0</v>
      </c>
      <c r="U623" s="229">
        <v>0</v>
      </c>
      <c r="V623" s="229">
        <v>0</v>
      </c>
      <c r="W623" s="229">
        <v>0</v>
      </c>
      <c r="X623" s="229">
        <v>0</v>
      </c>
      <c r="Y623" s="229">
        <v>0</v>
      </c>
      <c r="Z623" s="229">
        <v>0</v>
      </c>
      <c r="AA623" s="229">
        <v>0</v>
      </c>
      <c r="AB623" s="229">
        <v>0</v>
      </c>
      <c r="AC623" s="229">
        <v>0</v>
      </c>
      <c r="AD623" s="229">
        <v>0</v>
      </c>
      <c r="AE623" s="229">
        <v>0</v>
      </c>
      <c r="AF623" s="229">
        <v>0</v>
      </c>
      <c r="AG623" s="229">
        <v>0</v>
      </c>
      <c r="AH623" s="229">
        <v>0</v>
      </c>
      <c r="AI623" s="229">
        <v>0</v>
      </c>
      <c r="AJ623" s="229">
        <v>0</v>
      </c>
      <c r="AK623" s="229">
        <v>0</v>
      </c>
      <c r="AL623" s="229">
        <v>0</v>
      </c>
      <c r="AM623" s="229">
        <v>0</v>
      </c>
      <c r="AN623" s="229">
        <v>0</v>
      </c>
      <c r="AO623" s="229">
        <v>0</v>
      </c>
      <c r="AP623" s="229">
        <v>15389.003445178731</v>
      </c>
      <c r="AQ623" s="229">
        <v>15006.999243111275</v>
      </c>
      <c r="AR623" s="229">
        <v>0</v>
      </c>
      <c r="AS623" s="229">
        <v>0</v>
      </c>
      <c r="AT623" s="229">
        <v>0</v>
      </c>
      <c r="AU623" s="229">
        <v>0</v>
      </c>
      <c r="AV623" s="229">
        <v>0</v>
      </c>
      <c r="AW623" s="229">
        <v>0</v>
      </c>
      <c r="AX623" s="229">
        <v>0</v>
      </c>
      <c r="AY623" s="229">
        <v>0</v>
      </c>
      <c r="AZ623" s="229">
        <v>0</v>
      </c>
      <c r="BA623" s="229">
        <v>0</v>
      </c>
      <c r="BB623" s="229">
        <v>0</v>
      </c>
      <c r="BC623" s="229">
        <v>0</v>
      </c>
    </row>
    <row r="624" spans="3:55" outlineLevel="2" x14ac:dyDescent="0.2">
      <c r="C624" s="162" t="str">
        <v>EIR</v>
      </c>
      <c r="D624" s="86"/>
      <c r="E624" s="86"/>
      <c r="F624" s="229">
        <v>0</v>
      </c>
      <c r="G624" s="229">
        <v>0</v>
      </c>
      <c r="H624" s="229">
        <v>0</v>
      </c>
      <c r="I624" s="229">
        <v>0</v>
      </c>
      <c r="J624" s="229">
        <v>0</v>
      </c>
      <c r="K624" s="229">
        <v>0</v>
      </c>
      <c r="L624" s="229">
        <v>0</v>
      </c>
      <c r="M624" s="229">
        <v>0</v>
      </c>
      <c r="N624" s="229">
        <v>0</v>
      </c>
      <c r="O624" s="229">
        <v>0</v>
      </c>
      <c r="P624" s="229">
        <v>0</v>
      </c>
      <c r="Q624" s="229">
        <v>0</v>
      </c>
      <c r="R624" s="229">
        <v>0</v>
      </c>
      <c r="S624" s="229">
        <v>0</v>
      </c>
      <c r="T624" s="229">
        <v>0</v>
      </c>
      <c r="U624" s="229">
        <v>0</v>
      </c>
      <c r="V624" s="229">
        <v>0</v>
      </c>
      <c r="W624" s="229">
        <v>0</v>
      </c>
      <c r="X624" s="229">
        <v>0</v>
      </c>
      <c r="Y624" s="229">
        <v>0</v>
      </c>
      <c r="Z624" s="229">
        <v>0</v>
      </c>
      <c r="AA624" s="229">
        <v>0</v>
      </c>
      <c r="AB624" s="229">
        <v>0</v>
      </c>
      <c r="AC624" s="229">
        <v>0</v>
      </c>
      <c r="AD624" s="229">
        <v>0</v>
      </c>
      <c r="AE624" s="229">
        <v>0</v>
      </c>
      <c r="AF624" s="229">
        <v>0</v>
      </c>
      <c r="AG624" s="229">
        <v>0</v>
      </c>
      <c r="AH624" s="229">
        <v>0</v>
      </c>
      <c r="AI624" s="229">
        <v>0</v>
      </c>
      <c r="AJ624" s="229">
        <v>0</v>
      </c>
      <c r="AK624" s="229">
        <v>0</v>
      </c>
      <c r="AL624" s="229">
        <v>0</v>
      </c>
      <c r="AM624" s="229">
        <v>0</v>
      </c>
      <c r="AN624" s="229">
        <v>0</v>
      </c>
      <c r="AO624" s="229">
        <v>0</v>
      </c>
      <c r="AP624" s="229">
        <v>25839.903433536623</v>
      </c>
      <c r="AQ624" s="229">
        <v>25198.474524394314</v>
      </c>
      <c r="AR624" s="229">
        <v>0</v>
      </c>
      <c r="AS624" s="229">
        <v>0</v>
      </c>
      <c r="AT624" s="229">
        <v>0</v>
      </c>
      <c r="AU624" s="229">
        <v>0</v>
      </c>
      <c r="AV624" s="229">
        <v>0</v>
      </c>
      <c r="AW624" s="229">
        <v>0</v>
      </c>
      <c r="AX624" s="229">
        <v>0</v>
      </c>
      <c r="AY624" s="229">
        <v>0</v>
      </c>
      <c r="AZ624" s="229">
        <v>0</v>
      </c>
      <c r="BA624" s="229">
        <v>0</v>
      </c>
      <c r="BB624" s="229">
        <v>0</v>
      </c>
      <c r="BC624" s="229">
        <v>0</v>
      </c>
    </row>
    <row r="625" spans="3:55" outlineLevel="2" x14ac:dyDescent="0.2">
      <c r="C625" s="162" t="str">
        <v>IN (SCP+SMP)</v>
      </c>
      <c r="D625" s="86"/>
      <c r="E625" s="86"/>
      <c r="F625" s="229">
        <v>383314.91763790988</v>
      </c>
      <c r="G625" s="229">
        <v>12020.924571847336</v>
      </c>
      <c r="H625" s="229">
        <v>104236.94481215726</v>
      </c>
      <c r="I625" s="229">
        <v>1018.9071875778023</v>
      </c>
      <c r="J625" s="229">
        <v>5677.0109312592012</v>
      </c>
      <c r="K625" s="229">
        <v>104236.94481215728</v>
      </c>
      <c r="L625" s="229">
        <v>1787.9780316978847</v>
      </c>
      <c r="M625" s="229">
        <v>1149944.7529137298</v>
      </c>
      <c r="N625" s="229">
        <v>36062.773715542011</v>
      </c>
      <c r="O625" s="229">
        <v>312710.83443647181</v>
      </c>
      <c r="P625" s="229">
        <v>3056.7215627334072</v>
      </c>
      <c r="Q625" s="229">
        <v>17031.032793777602</v>
      </c>
      <c r="R625" s="229">
        <v>312710.83443647187</v>
      </c>
      <c r="S625" s="229">
        <v>5363.9340950936539</v>
      </c>
      <c r="T625" s="229">
        <v>0</v>
      </c>
      <c r="U625" s="229">
        <v>0</v>
      </c>
      <c r="V625" s="229">
        <v>0</v>
      </c>
      <c r="W625" s="229">
        <v>0</v>
      </c>
      <c r="X625" s="229">
        <v>0</v>
      </c>
      <c r="Y625" s="229">
        <v>0</v>
      </c>
      <c r="Z625" s="229">
        <v>0</v>
      </c>
      <c r="AA625" s="229">
        <v>0</v>
      </c>
      <c r="AB625" s="229">
        <v>0</v>
      </c>
      <c r="AC625" s="229">
        <v>0</v>
      </c>
      <c r="AD625" s="229">
        <v>0</v>
      </c>
      <c r="AE625" s="229">
        <v>0</v>
      </c>
      <c r="AF625" s="229">
        <v>0</v>
      </c>
      <c r="AG625" s="229">
        <v>0</v>
      </c>
      <c r="AH625" s="229">
        <v>0</v>
      </c>
      <c r="AI625" s="229">
        <v>0</v>
      </c>
      <c r="AJ625" s="229">
        <v>0</v>
      </c>
      <c r="AK625" s="229">
        <v>0</v>
      </c>
      <c r="AL625" s="229">
        <v>0</v>
      </c>
      <c r="AM625" s="229">
        <v>0</v>
      </c>
      <c r="AN625" s="229">
        <v>0</v>
      </c>
      <c r="AO625" s="229">
        <v>0</v>
      </c>
      <c r="AP625" s="229">
        <v>0</v>
      </c>
      <c r="AQ625" s="229">
        <v>0</v>
      </c>
      <c r="AR625" s="229">
        <v>0</v>
      </c>
      <c r="AS625" s="229">
        <v>0</v>
      </c>
      <c r="AT625" s="229">
        <v>0</v>
      </c>
      <c r="AU625" s="229">
        <v>0</v>
      </c>
      <c r="AV625" s="229">
        <v>0</v>
      </c>
      <c r="AW625" s="229">
        <v>0</v>
      </c>
      <c r="AX625" s="229">
        <v>0</v>
      </c>
      <c r="AY625" s="229">
        <v>0</v>
      </c>
      <c r="AZ625" s="229">
        <v>0</v>
      </c>
      <c r="BA625" s="229">
        <v>0</v>
      </c>
      <c r="BB625" s="229">
        <v>0</v>
      </c>
      <c r="BC625" s="229">
        <v>0</v>
      </c>
    </row>
    <row r="626" spans="3:55" outlineLevel="2" x14ac:dyDescent="0.2">
      <c r="C626" s="162" t="str">
        <v>Asset spare</v>
      </c>
      <c r="D626" s="86"/>
      <c r="E626" s="86"/>
      <c r="F626" s="229">
        <v>0</v>
      </c>
      <c r="G626" s="229">
        <v>0</v>
      </c>
      <c r="H626" s="229">
        <v>0</v>
      </c>
      <c r="I626" s="229">
        <v>0</v>
      </c>
      <c r="J626" s="229">
        <v>0</v>
      </c>
      <c r="K626" s="229">
        <v>0</v>
      </c>
      <c r="L626" s="229">
        <v>0</v>
      </c>
      <c r="M626" s="229">
        <v>0</v>
      </c>
      <c r="N626" s="229">
        <v>0</v>
      </c>
      <c r="O626" s="229">
        <v>0</v>
      </c>
      <c r="P626" s="229">
        <v>0</v>
      </c>
      <c r="Q626" s="229">
        <v>0</v>
      </c>
      <c r="R626" s="229">
        <v>0</v>
      </c>
      <c r="S626" s="229">
        <v>0</v>
      </c>
      <c r="T626" s="229">
        <v>0</v>
      </c>
      <c r="U626" s="229">
        <v>0</v>
      </c>
      <c r="V626" s="229">
        <v>0</v>
      </c>
      <c r="W626" s="229">
        <v>0</v>
      </c>
      <c r="X626" s="229">
        <v>0</v>
      </c>
      <c r="Y626" s="229">
        <v>0</v>
      </c>
      <c r="Z626" s="229">
        <v>0</v>
      </c>
      <c r="AA626" s="229">
        <v>0</v>
      </c>
      <c r="AB626" s="229">
        <v>0</v>
      </c>
      <c r="AC626" s="229">
        <v>0</v>
      </c>
      <c r="AD626" s="229">
        <v>0</v>
      </c>
      <c r="AE626" s="229">
        <v>0</v>
      </c>
      <c r="AF626" s="229">
        <v>0</v>
      </c>
      <c r="AG626" s="229">
        <v>0</v>
      </c>
      <c r="AH626" s="229">
        <v>0</v>
      </c>
      <c r="AI626" s="229">
        <v>0</v>
      </c>
      <c r="AJ626" s="229">
        <v>0</v>
      </c>
      <c r="AK626" s="229">
        <v>0</v>
      </c>
      <c r="AL626" s="229">
        <v>0</v>
      </c>
      <c r="AM626" s="229">
        <v>0</v>
      </c>
      <c r="AN626" s="229">
        <v>0</v>
      </c>
      <c r="AO626" s="229">
        <v>0</v>
      </c>
      <c r="AP626" s="229">
        <v>0</v>
      </c>
      <c r="AQ626" s="229">
        <v>0</v>
      </c>
      <c r="AR626" s="229">
        <v>0</v>
      </c>
      <c r="AS626" s="229">
        <v>0</v>
      </c>
      <c r="AT626" s="229">
        <v>0</v>
      </c>
      <c r="AU626" s="229">
        <v>0</v>
      </c>
      <c r="AV626" s="229">
        <v>0</v>
      </c>
      <c r="AW626" s="229">
        <v>0</v>
      </c>
      <c r="AX626" s="229">
        <v>0</v>
      </c>
      <c r="AY626" s="229">
        <v>0</v>
      </c>
      <c r="AZ626" s="229">
        <v>0</v>
      </c>
      <c r="BA626" s="229">
        <v>0</v>
      </c>
      <c r="BB626" s="229">
        <v>0</v>
      </c>
      <c r="BC626" s="229">
        <v>0</v>
      </c>
    </row>
    <row r="627" spans="3:55" outlineLevel="2" x14ac:dyDescent="0.2">
      <c r="C627" s="162" t="str">
        <v>Asset spare</v>
      </c>
      <c r="D627" s="86"/>
      <c r="E627" s="86"/>
      <c r="F627" s="229">
        <v>0</v>
      </c>
      <c r="G627" s="229">
        <v>0</v>
      </c>
      <c r="H627" s="229">
        <v>0</v>
      </c>
      <c r="I627" s="229">
        <v>0</v>
      </c>
      <c r="J627" s="229">
        <v>0</v>
      </c>
      <c r="K627" s="229">
        <v>0</v>
      </c>
      <c r="L627" s="229">
        <v>0</v>
      </c>
      <c r="M627" s="229">
        <v>0</v>
      </c>
      <c r="N627" s="229">
        <v>0</v>
      </c>
      <c r="O627" s="229">
        <v>0</v>
      </c>
      <c r="P627" s="229">
        <v>0</v>
      </c>
      <c r="Q627" s="229">
        <v>0</v>
      </c>
      <c r="R627" s="229">
        <v>0</v>
      </c>
      <c r="S627" s="229">
        <v>0</v>
      </c>
      <c r="T627" s="229">
        <v>0</v>
      </c>
      <c r="U627" s="229">
        <v>0</v>
      </c>
      <c r="V627" s="229">
        <v>0</v>
      </c>
      <c r="W627" s="229">
        <v>0</v>
      </c>
      <c r="X627" s="229">
        <v>0</v>
      </c>
      <c r="Y627" s="229">
        <v>0</v>
      </c>
      <c r="Z627" s="229">
        <v>0</v>
      </c>
      <c r="AA627" s="229">
        <v>0</v>
      </c>
      <c r="AB627" s="229">
        <v>0</v>
      </c>
      <c r="AC627" s="229">
        <v>0</v>
      </c>
      <c r="AD627" s="229">
        <v>0</v>
      </c>
      <c r="AE627" s="229">
        <v>0</v>
      </c>
      <c r="AF627" s="229">
        <v>0</v>
      </c>
      <c r="AG627" s="229">
        <v>0</v>
      </c>
      <c r="AH627" s="229">
        <v>0</v>
      </c>
      <c r="AI627" s="229">
        <v>0</v>
      </c>
      <c r="AJ627" s="229">
        <v>0</v>
      </c>
      <c r="AK627" s="229">
        <v>0</v>
      </c>
      <c r="AL627" s="229">
        <v>0</v>
      </c>
      <c r="AM627" s="229">
        <v>0</v>
      </c>
      <c r="AN627" s="229">
        <v>0</v>
      </c>
      <c r="AO627" s="229">
        <v>0</v>
      </c>
      <c r="AP627" s="229">
        <v>0</v>
      </c>
      <c r="AQ627" s="229">
        <v>0</v>
      </c>
      <c r="AR627" s="229">
        <v>0</v>
      </c>
      <c r="AS627" s="229">
        <v>0</v>
      </c>
      <c r="AT627" s="229">
        <v>0</v>
      </c>
      <c r="AU627" s="229">
        <v>0</v>
      </c>
      <c r="AV627" s="229">
        <v>0</v>
      </c>
      <c r="AW627" s="229">
        <v>0</v>
      </c>
      <c r="AX627" s="229">
        <v>0</v>
      </c>
      <c r="AY627" s="229">
        <v>0</v>
      </c>
      <c r="AZ627" s="229">
        <v>0</v>
      </c>
      <c r="BA627" s="229">
        <v>0</v>
      </c>
      <c r="BB627" s="229">
        <v>0</v>
      </c>
      <c r="BC627" s="229">
        <v>0</v>
      </c>
    </row>
    <row r="628" spans="3:55" outlineLevel="2" x14ac:dyDescent="0.2">
      <c r="C628" s="162" t="str">
        <v>SMSC</v>
      </c>
      <c r="D628" s="86"/>
      <c r="E628" s="86"/>
      <c r="F628" s="229">
        <v>0</v>
      </c>
      <c r="G628" s="229">
        <v>0</v>
      </c>
      <c r="H628" s="229">
        <v>0</v>
      </c>
      <c r="I628" s="229">
        <v>0</v>
      </c>
      <c r="J628" s="229">
        <v>0</v>
      </c>
      <c r="K628" s="229">
        <v>0</v>
      </c>
      <c r="L628" s="229">
        <v>0</v>
      </c>
      <c r="M628" s="229">
        <v>0</v>
      </c>
      <c r="N628" s="229">
        <v>0</v>
      </c>
      <c r="O628" s="229">
        <v>0</v>
      </c>
      <c r="P628" s="229">
        <v>0</v>
      </c>
      <c r="Q628" s="229">
        <v>0</v>
      </c>
      <c r="R628" s="229">
        <v>0</v>
      </c>
      <c r="S628" s="229">
        <v>0</v>
      </c>
      <c r="T628" s="229">
        <v>0</v>
      </c>
      <c r="U628" s="229">
        <v>0</v>
      </c>
      <c r="V628" s="229">
        <v>0</v>
      </c>
      <c r="W628" s="229">
        <v>0</v>
      </c>
      <c r="X628" s="229">
        <v>0</v>
      </c>
      <c r="Y628" s="229">
        <v>0</v>
      </c>
      <c r="Z628" s="229">
        <v>0</v>
      </c>
      <c r="AA628" s="229">
        <v>275572.61927583674</v>
      </c>
      <c r="AB628" s="229">
        <v>228892.30785130372</v>
      </c>
      <c r="AC628" s="229">
        <v>0</v>
      </c>
      <c r="AD628" s="229">
        <v>826717.85782751022</v>
      </c>
      <c r="AE628" s="229">
        <v>686676.92355391104</v>
      </c>
      <c r="AF628" s="229">
        <v>0</v>
      </c>
      <c r="AG628" s="229">
        <v>0</v>
      </c>
      <c r="AH628" s="229">
        <v>0</v>
      </c>
      <c r="AI628" s="229">
        <v>0</v>
      </c>
      <c r="AJ628" s="229">
        <v>0</v>
      </c>
      <c r="AK628" s="229">
        <v>0</v>
      </c>
      <c r="AL628" s="229">
        <v>0</v>
      </c>
      <c r="AM628" s="229">
        <v>0</v>
      </c>
      <c r="AN628" s="229">
        <v>0</v>
      </c>
      <c r="AO628" s="229">
        <v>0</v>
      </c>
      <c r="AP628" s="229">
        <v>0</v>
      </c>
      <c r="AQ628" s="229">
        <v>0</v>
      </c>
      <c r="AR628" s="229">
        <v>0</v>
      </c>
      <c r="AS628" s="229">
        <v>0</v>
      </c>
      <c r="AT628" s="229">
        <v>0</v>
      </c>
      <c r="AU628" s="229">
        <v>0</v>
      </c>
      <c r="AV628" s="229">
        <v>0</v>
      </c>
      <c r="AW628" s="229">
        <v>0</v>
      </c>
      <c r="AX628" s="229">
        <v>0</v>
      </c>
      <c r="AY628" s="229">
        <v>0</v>
      </c>
      <c r="AZ628" s="229">
        <v>0</v>
      </c>
      <c r="BA628" s="229">
        <v>0</v>
      </c>
      <c r="BB628" s="229">
        <v>0</v>
      </c>
      <c r="BC628" s="229">
        <v>0</v>
      </c>
    </row>
    <row r="629" spans="3:55" outlineLevel="2" x14ac:dyDescent="0.2">
      <c r="C629" s="162" t="str">
        <v>MMSC</v>
      </c>
      <c r="D629" s="86"/>
      <c r="E629" s="86"/>
      <c r="F629" s="229">
        <v>0</v>
      </c>
      <c r="G629" s="229">
        <v>0</v>
      </c>
      <c r="H629" s="229">
        <v>0</v>
      </c>
      <c r="I629" s="229">
        <v>0</v>
      </c>
      <c r="J629" s="229">
        <v>0</v>
      </c>
      <c r="K629" s="229">
        <v>0</v>
      </c>
      <c r="L629" s="229">
        <v>0</v>
      </c>
      <c r="M629" s="229">
        <v>0</v>
      </c>
      <c r="N629" s="229">
        <v>0</v>
      </c>
      <c r="O629" s="229">
        <v>0</v>
      </c>
      <c r="P629" s="229">
        <v>0</v>
      </c>
      <c r="Q629" s="229">
        <v>0</v>
      </c>
      <c r="R629" s="229">
        <v>0</v>
      </c>
      <c r="S629" s="229">
        <v>0</v>
      </c>
      <c r="T629" s="229">
        <v>0</v>
      </c>
      <c r="U629" s="229">
        <v>0</v>
      </c>
      <c r="V629" s="229">
        <v>0</v>
      </c>
      <c r="W629" s="229">
        <v>0</v>
      </c>
      <c r="X629" s="229">
        <v>0</v>
      </c>
      <c r="Y629" s="229">
        <v>0</v>
      </c>
      <c r="Z629" s="229">
        <v>0</v>
      </c>
      <c r="AA629" s="229">
        <v>66434.740534334691</v>
      </c>
      <c r="AB629" s="229">
        <v>55181.10297883203</v>
      </c>
      <c r="AC629" s="229">
        <v>0</v>
      </c>
      <c r="AD629" s="229">
        <v>199304.22160300406</v>
      </c>
      <c r="AE629" s="229">
        <v>165543.30893649606</v>
      </c>
      <c r="AF629" s="229">
        <v>0</v>
      </c>
      <c r="AG629" s="229">
        <v>0</v>
      </c>
      <c r="AH629" s="229">
        <v>0</v>
      </c>
      <c r="AI629" s="229">
        <v>0</v>
      </c>
      <c r="AJ629" s="229">
        <v>0</v>
      </c>
      <c r="AK629" s="229">
        <v>0</v>
      </c>
      <c r="AL629" s="229">
        <v>0</v>
      </c>
      <c r="AM629" s="229">
        <v>0</v>
      </c>
      <c r="AN629" s="229">
        <v>0</v>
      </c>
      <c r="AO629" s="229">
        <v>0</v>
      </c>
      <c r="AP629" s="229">
        <v>0</v>
      </c>
      <c r="AQ629" s="229">
        <v>0</v>
      </c>
      <c r="AR629" s="229">
        <v>0</v>
      </c>
      <c r="AS629" s="229">
        <v>0</v>
      </c>
      <c r="AT629" s="229">
        <v>0</v>
      </c>
      <c r="AU629" s="229">
        <v>0</v>
      </c>
      <c r="AV629" s="229">
        <v>0</v>
      </c>
      <c r="AW629" s="229">
        <v>0</v>
      </c>
      <c r="AX629" s="229">
        <v>0</v>
      </c>
      <c r="AY629" s="229">
        <v>0</v>
      </c>
      <c r="AZ629" s="229">
        <v>0</v>
      </c>
      <c r="BA629" s="229">
        <v>0</v>
      </c>
      <c r="BB629" s="229">
        <v>0</v>
      </c>
      <c r="BC629" s="229">
        <v>0</v>
      </c>
    </row>
    <row r="630" spans="3:55" outlineLevel="2" x14ac:dyDescent="0.2">
      <c r="C630" s="162" t="str">
        <v>Asset spare</v>
      </c>
      <c r="D630" s="86"/>
      <c r="E630" s="86"/>
      <c r="F630" s="229">
        <v>0</v>
      </c>
      <c r="G630" s="229">
        <v>0</v>
      </c>
      <c r="H630" s="229">
        <v>0</v>
      </c>
      <c r="I630" s="229">
        <v>0</v>
      </c>
      <c r="J630" s="229">
        <v>0</v>
      </c>
      <c r="K630" s="229">
        <v>0</v>
      </c>
      <c r="L630" s="229">
        <v>0</v>
      </c>
      <c r="M630" s="229">
        <v>0</v>
      </c>
      <c r="N630" s="229">
        <v>0</v>
      </c>
      <c r="O630" s="229">
        <v>0</v>
      </c>
      <c r="P630" s="229">
        <v>0</v>
      </c>
      <c r="Q630" s="229">
        <v>0</v>
      </c>
      <c r="R630" s="229">
        <v>0</v>
      </c>
      <c r="S630" s="229">
        <v>0</v>
      </c>
      <c r="T630" s="229">
        <v>0</v>
      </c>
      <c r="U630" s="229">
        <v>0</v>
      </c>
      <c r="V630" s="229">
        <v>0</v>
      </c>
      <c r="W630" s="229">
        <v>0</v>
      </c>
      <c r="X630" s="229">
        <v>0</v>
      </c>
      <c r="Y630" s="229">
        <v>0</v>
      </c>
      <c r="Z630" s="229">
        <v>0</v>
      </c>
      <c r="AA630" s="229">
        <v>0</v>
      </c>
      <c r="AB630" s="229">
        <v>0</v>
      </c>
      <c r="AC630" s="229">
        <v>0</v>
      </c>
      <c r="AD630" s="229">
        <v>0</v>
      </c>
      <c r="AE630" s="229">
        <v>0</v>
      </c>
      <c r="AF630" s="229">
        <v>0</v>
      </c>
      <c r="AG630" s="229">
        <v>0</v>
      </c>
      <c r="AH630" s="229">
        <v>0</v>
      </c>
      <c r="AI630" s="229">
        <v>0</v>
      </c>
      <c r="AJ630" s="229">
        <v>0</v>
      </c>
      <c r="AK630" s="229">
        <v>0</v>
      </c>
      <c r="AL630" s="229">
        <v>0</v>
      </c>
      <c r="AM630" s="229">
        <v>0</v>
      </c>
      <c r="AN630" s="229">
        <v>0</v>
      </c>
      <c r="AO630" s="229">
        <v>0</v>
      </c>
      <c r="AP630" s="229">
        <v>0</v>
      </c>
      <c r="AQ630" s="229">
        <v>0</v>
      </c>
      <c r="AR630" s="229">
        <v>0</v>
      </c>
      <c r="AS630" s="229">
        <v>0</v>
      </c>
      <c r="AT630" s="229">
        <v>0</v>
      </c>
      <c r="AU630" s="229">
        <v>0</v>
      </c>
      <c r="AV630" s="229">
        <v>0</v>
      </c>
      <c r="AW630" s="229">
        <v>0</v>
      </c>
      <c r="AX630" s="229">
        <v>0</v>
      </c>
      <c r="AY630" s="229">
        <v>0</v>
      </c>
      <c r="AZ630" s="229">
        <v>0</v>
      </c>
      <c r="BA630" s="229">
        <v>0</v>
      </c>
      <c r="BB630" s="229">
        <v>0</v>
      </c>
      <c r="BC630" s="229">
        <v>0</v>
      </c>
    </row>
    <row r="631" spans="3:55" outlineLevel="2" x14ac:dyDescent="0.2">
      <c r="C631" s="162" t="str">
        <v>MSC/MGW STM1 ports for voice traffic</v>
      </c>
      <c r="D631" s="86"/>
      <c r="E631" s="86"/>
      <c r="F631" s="229">
        <v>66817.152411647025</v>
      </c>
      <c r="G631" s="229">
        <v>4190.8306318762443</v>
      </c>
      <c r="H631" s="229">
        <v>36339.915343537526</v>
      </c>
      <c r="I631" s="229">
        <v>355.21955297351303</v>
      </c>
      <c r="J631" s="229">
        <v>1979.1648442696419</v>
      </c>
      <c r="K631" s="229">
        <v>36339.915343537534</v>
      </c>
      <c r="L631" s="229">
        <v>623.33916659871136</v>
      </c>
      <c r="M631" s="229">
        <v>200451.4572349411</v>
      </c>
      <c r="N631" s="229">
        <v>12572.491895628735</v>
      </c>
      <c r="O631" s="229">
        <v>109019.74603061259</v>
      </c>
      <c r="P631" s="229">
        <v>1065.658658920539</v>
      </c>
      <c r="Q631" s="229">
        <v>5937.4945328089261</v>
      </c>
      <c r="R631" s="229">
        <v>109019.7460306126</v>
      </c>
      <c r="S631" s="229">
        <v>1870.0174997961344</v>
      </c>
      <c r="T631" s="229">
        <v>0</v>
      </c>
      <c r="U631" s="229">
        <v>0</v>
      </c>
      <c r="V631" s="229">
        <v>0</v>
      </c>
      <c r="W631" s="229">
        <v>0</v>
      </c>
      <c r="X631" s="229">
        <v>0</v>
      </c>
      <c r="Y631" s="229">
        <v>0</v>
      </c>
      <c r="Z631" s="229">
        <v>0</v>
      </c>
      <c r="AA631" s="229">
        <v>0</v>
      </c>
      <c r="AB631" s="229">
        <v>0</v>
      </c>
      <c r="AC631" s="229">
        <v>0</v>
      </c>
      <c r="AD631" s="229">
        <v>0</v>
      </c>
      <c r="AE631" s="229">
        <v>0</v>
      </c>
      <c r="AF631" s="229">
        <v>0</v>
      </c>
      <c r="AG631" s="229">
        <v>0</v>
      </c>
      <c r="AH631" s="229">
        <v>0</v>
      </c>
      <c r="AI631" s="229">
        <v>0</v>
      </c>
      <c r="AJ631" s="229">
        <v>0</v>
      </c>
      <c r="AK631" s="229">
        <v>0</v>
      </c>
      <c r="AL631" s="229">
        <v>0</v>
      </c>
      <c r="AM631" s="229">
        <v>0</v>
      </c>
      <c r="AN631" s="229">
        <v>0</v>
      </c>
      <c r="AO631" s="229">
        <v>0</v>
      </c>
      <c r="AP631" s="229">
        <v>0</v>
      </c>
      <c r="AQ631" s="229">
        <v>0</v>
      </c>
      <c r="AR631" s="229">
        <v>0</v>
      </c>
      <c r="AS631" s="229">
        <v>0</v>
      </c>
      <c r="AT631" s="229">
        <v>0</v>
      </c>
      <c r="AU631" s="229">
        <v>0</v>
      </c>
      <c r="AV631" s="229">
        <v>0</v>
      </c>
      <c r="AW631" s="229">
        <v>0</v>
      </c>
      <c r="AX631" s="229">
        <v>0</v>
      </c>
      <c r="AY631" s="229">
        <v>0</v>
      </c>
      <c r="AZ631" s="229">
        <v>0</v>
      </c>
      <c r="BA631" s="229">
        <v>0</v>
      </c>
      <c r="BB631" s="229">
        <v>0</v>
      </c>
      <c r="BC631" s="229">
        <v>0</v>
      </c>
    </row>
    <row r="632" spans="3:55" outlineLevel="2" x14ac:dyDescent="0.2">
      <c r="C632" s="162" t="str">
        <v>PoI STM1 Gateway</v>
      </c>
      <c r="D632" s="86"/>
      <c r="E632" s="86"/>
      <c r="F632" s="229">
        <v>0</v>
      </c>
      <c r="G632" s="229">
        <v>5567.701364955863</v>
      </c>
      <c r="H632" s="229">
        <v>48279.163257430642</v>
      </c>
      <c r="I632" s="229">
        <v>471.92467643680317</v>
      </c>
      <c r="J632" s="229">
        <v>2629.4068581767842</v>
      </c>
      <c r="K632" s="229">
        <v>48279.163257430642</v>
      </c>
      <c r="L632" s="229">
        <v>828.13328276841276</v>
      </c>
      <c r="M632" s="229">
        <v>0</v>
      </c>
      <c r="N632" s="229">
        <v>16703.104094867591</v>
      </c>
      <c r="O632" s="229">
        <v>144837.48977229191</v>
      </c>
      <c r="P632" s="229">
        <v>1415.7740293104093</v>
      </c>
      <c r="Q632" s="229">
        <v>7888.2205745303536</v>
      </c>
      <c r="R632" s="229">
        <v>144837.48977229194</v>
      </c>
      <c r="S632" s="229">
        <v>2484.3998483052383</v>
      </c>
      <c r="T632" s="229">
        <v>0</v>
      </c>
      <c r="U632" s="229">
        <v>0</v>
      </c>
      <c r="V632" s="229">
        <v>0</v>
      </c>
      <c r="W632" s="229">
        <v>0</v>
      </c>
      <c r="X632" s="229">
        <v>0</v>
      </c>
      <c r="Y632" s="229">
        <v>0</v>
      </c>
      <c r="Z632" s="229">
        <v>0</v>
      </c>
      <c r="AA632" s="229">
        <v>0</v>
      </c>
      <c r="AB632" s="229">
        <v>0</v>
      </c>
      <c r="AC632" s="229">
        <v>0</v>
      </c>
      <c r="AD632" s="229">
        <v>0</v>
      </c>
      <c r="AE632" s="229">
        <v>0</v>
      </c>
      <c r="AF632" s="229">
        <v>0</v>
      </c>
      <c r="AG632" s="229">
        <v>0</v>
      </c>
      <c r="AH632" s="229">
        <v>0</v>
      </c>
      <c r="AI632" s="229">
        <v>0</v>
      </c>
      <c r="AJ632" s="229">
        <v>0</v>
      </c>
      <c r="AK632" s="229">
        <v>0</v>
      </c>
      <c r="AL632" s="229">
        <v>0</v>
      </c>
      <c r="AM632" s="229">
        <v>0</v>
      </c>
      <c r="AN632" s="229">
        <v>0</v>
      </c>
      <c r="AO632" s="229">
        <v>0</v>
      </c>
      <c r="AP632" s="229">
        <v>0</v>
      </c>
      <c r="AQ632" s="229">
        <v>0</v>
      </c>
      <c r="AR632" s="229">
        <v>0</v>
      </c>
      <c r="AS632" s="229">
        <v>0</v>
      </c>
      <c r="AT632" s="229">
        <v>0</v>
      </c>
      <c r="AU632" s="229">
        <v>0</v>
      </c>
      <c r="AV632" s="229">
        <v>0</v>
      </c>
      <c r="AW632" s="229">
        <v>0</v>
      </c>
      <c r="AX632" s="229">
        <v>0</v>
      </c>
      <c r="AY632" s="229">
        <v>0</v>
      </c>
      <c r="AZ632" s="229">
        <v>0</v>
      </c>
      <c r="BA632" s="229">
        <v>0</v>
      </c>
      <c r="BB632" s="229">
        <v>0</v>
      </c>
      <c r="BC632" s="229">
        <v>0</v>
      </c>
    </row>
    <row r="633" spans="3:55" outlineLevel="2" x14ac:dyDescent="0.2">
      <c r="C633" s="162" t="str">
        <v>I-SBC</v>
      </c>
      <c r="D633" s="86"/>
      <c r="E633" s="86"/>
      <c r="F633" s="229">
        <v>0</v>
      </c>
      <c r="G633" s="229">
        <v>0</v>
      </c>
      <c r="H633" s="229">
        <v>0</v>
      </c>
      <c r="I633" s="229">
        <v>0</v>
      </c>
      <c r="J633" s="229">
        <v>0</v>
      </c>
      <c r="K633" s="229">
        <v>0</v>
      </c>
      <c r="L633" s="229">
        <v>0</v>
      </c>
      <c r="M633" s="229">
        <v>0</v>
      </c>
      <c r="N633" s="229">
        <v>0</v>
      </c>
      <c r="O633" s="229">
        <v>0</v>
      </c>
      <c r="P633" s="229">
        <v>0</v>
      </c>
      <c r="Q633" s="229">
        <v>0</v>
      </c>
      <c r="R633" s="229">
        <v>0</v>
      </c>
      <c r="S633" s="229">
        <v>0</v>
      </c>
      <c r="T633" s="229">
        <v>0</v>
      </c>
      <c r="U633" s="229">
        <v>0</v>
      </c>
      <c r="V633" s="229">
        <v>0</v>
      </c>
      <c r="W633" s="229">
        <v>0</v>
      </c>
      <c r="X633" s="229">
        <v>0</v>
      </c>
      <c r="Y633" s="229">
        <v>0</v>
      </c>
      <c r="Z633" s="229">
        <v>0</v>
      </c>
      <c r="AA633" s="229">
        <v>0</v>
      </c>
      <c r="AB633" s="229">
        <v>0</v>
      </c>
      <c r="AC633" s="229">
        <v>0</v>
      </c>
      <c r="AD633" s="229">
        <v>0</v>
      </c>
      <c r="AE633" s="229">
        <v>0</v>
      </c>
      <c r="AF633" s="229">
        <v>0</v>
      </c>
      <c r="AG633" s="229">
        <v>0</v>
      </c>
      <c r="AH633" s="229">
        <v>0</v>
      </c>
      <c r="AI633" s="229">
        <v>0</v>
      </c>
      <c r="AJ633" s="229">
        <v>0</v>
      </c>
      <c r="AK633" s="229">
        <v>0</v>
      </c>
      <c r="AL633" s="229">
        <v>0</v>
      </c>
      <c r="AM633" s="229">
        <v>0</v>
      </c>
      <c r="AN633" s="229">
        <v>0</v>
      </c>
      <c r="AO633" s="229">
        <v>0</v>
      </c>
      <c r="AP633" s="229">
        <v>0</v>
      </c>
      <c r="AQ633" s="229">
        <v>0</v>
      </c>
      <c r="AR633" s="229">
        <v>0</v>
      </c>
      <c r="AS633" s="229">
        <v>0</v>
      </c>
      <c r="AT633" s="229">
        <v>0</v>
      </c>
      <c r="AU633" s="229">
        <v>0</v>
      </c>
      <c r="AV633" s="229">
        <v>0</v>
      </c>
      <c r="AW633" s="229">
        <v>0</v>
      </c>
      <c r="AX633" s="229">
        <v>0</v>
      </c>
      <c r="AY633" s="229">
        <v>0</v>
      </c>
      <c r="AZ633" s="229">
        <v>0</v>
      </c>
      <c r="BA633" s="229">
        <v>0</v>
      </c>
      <c r="BB633" s="229">
        <v>0</v>
      </c>
      <c r="BC633" s="229">
        <v>0</v>
      </c>
    </row>
    <row r="634" spans="3:55" outlineLevel="2" x14ac:dyDescent="0.2">
      <c r="C634" s="162" t="str">
        <v>Asset spare</v>
      </c>
      <c r="D634" s="86"/>
      <c r="E634" s="86"/>
      <c r="F634" s="229">
        <v>0</v>
      </c>
      <c r="G634" s="229">
        <v>0</v>
      </c>
      <c r="H634" s="229">
        <v>0</v>
      </c>
      <c r="I634" s="229">
        <v>0</v>
      </c>
      <c r="J634" s="229">
        <v>0</v>
      </c>
      <c r="K634" s="229">
        <v>0</v>
      </c>
      <c r="L634" s="229">
        <v>0</v>
      </c>
      <c r="M634" s="229">
        <v>0</v>
      </c>
      <c r="N634" s="229">
        <v>0</v>
      </c>
      <c r="O634" s="229">
        <v>0</v>
      </c>
      <c r="P634" s="229">
        <v>0</v>
      </c>
      <c r="Q634" s="229">
        <v>0</v>
      </c>
      <c r="R634" s="229">
        <v>0</v>
      </c>
      <c r="S634" s="229">
        <v>0</v>
      </c>
      <c r="T634" s="229">
        <v>0</v>
      </c>
      <c r="U634" s="229">
        <v>0</v>
      </c>
      <c r="V634" s="229">
        <v>0</v>
      </c>
      <c r="W634" s="229">
        <v>0</v>
      </c>
      <c r="X634" s="229">
        <v>0</v>
      </c>
      <c r="Y634" s="229">
        <v>0</v>
      </c>
      <c r="Z634" s="229">
        <v>0</v>
      </c>
      <c r="AA634" s="229">
        <v>0</v>
      </c>
      <c r="AB634" s="229">
        <v>0</v>
      </c>
      <c r="AC634" s="229">
        <v>0</v>
      </c>
      <c r="AD634" s="229">
        <v>0</v>
      </c>
      <c r="AE634" s="229">
        <v>0</v>
      </c>
      <c r="AF634" s="229">
        <v>0</v>
      </c>
      <c r="AG634" s="229">
        <v>0</v>
      </c>
      <c r="AH634" s="229">
        <v>0</v>
      </c>
      <c r="AI634" s="229">
        <v>0</v>
      </c>
      <c r="AJ634" s="229">
        <v>0</v>
      </c>
      <c r="AK634" s="229">
        <v>0</v>
      </c>
      <c r="AL634" s="229">
        <v>0</v>
      </c>
      <c r="AM634" s="229">
        <v>0</v>
      </c>
      <c r="AN634" s="229">
        <v>0</v>
      </c>
      <c r="AO634" s="229">
        <v>0</v>
      </c>
      <c r="AP634" s="229">
        <v>0</v>
      </c>
      <c r="AQ634" s="229">
        <v>0</v>
      </c>
      <c r="AR634" s="229">
        <v>0</v>
      </c>
      <c r="AS634" s="229">
        <v>0</v>
      </c>
      <c r="AT634" s="229">
        <v>0</v>
      </c>
      <c r="AU634" s="229">
        <v>0</v>
      </c>
      <c r="AV634" s="229">
        <v>0</v>
      </c>
      <c r="AW634" s="229">
        <v>0</v>
      </c>
      <c r="AX634" s="229">
        <v>0</v>
      </c>
      <c r="AY634" s="229">
        <v>0</v>
      </c>
      <c r="AZ634" s="229">
        <v>0</v>
      </c>
      <c r="BA634" s="229">
        <v>0</v>
      </c>
      <c r="BB634" s="229">
        <v>0</v>
      </c>
      <c r="BC634" s="229">
        <v>0</v>
      </c>
    </row>
    <row r="635" spans="3:55" outlineLevel="2" x14ac:dyDescent="0.2">
      <c r="C635" s="162" t="str">
        <v>MSS software</v>
      </c>
      <c r="D635" s="86"/>
      <c r="E635" s="86"/>
      <c r="F635" s="229">
        <v>162765.74549493889</v>
      </c>
      <c r="G635" s="229">
        <v>2916.8031065604919</v>
      </c>
      <c r="H635" s="229">
        <v>25292.450895043861</v>
      </c>
      <c r="I635" s="229">
        <v>247.23153633157091</v>
      </c>
      <c r="J635" s="229">
        <v>3443.7291036362476</v>
      </c>
      <c r="K635" s="229">
        <v>63231.12723760966</v>
      </c>
      <c r="L635" s="229">
        <v>1084.6045672585176</v>
      </c>
      <c r="M635" s="229">
        <v>488297.23648481665</v>
      </c>
      <c r="N635" s="229">
        <v>8750.4093196814756</v>
      </c>
      <c r="O635" s="229">
        <v>75877.352685131584</v>
      </c>
      <c r="P635" s="229">
        <v>741.69460899471267</v>
      </c>
      <c r="Q635" s="229">
        <v>10331.187310908745</v>
      </c>
      <c r="R635" s="229">
        <v>189693.381712829</v>
      </c>
      <c r="S635" s="229">
        <v>3253.8137017755525</v>
      </c>
      <c r="T635" s="229">
        <v>0</v>
      </c>
      <c r="U635" s="229">
        <v>0</v>
      </c>
      <c r="V635" s="229">
        <v>0</v>
      </c>
      <c r="W635" s="229">
        <v>0</v>
      </c>
      <c r="X635" s="229">
        <v>0</v>
      </c>
      <c r="Y635" s="229">
        <v>0</v>
      </c>
      <c r="Z635" s="229">
        <v>0</v>
      </c>
      <c r="AA635" s="229">
        <v>3215.6476917856189</v>
      </c>
      <c r="AB635" s="229">
        <v>2670.936696627271</v>
      </c>
      <c r="AC635" s="229">
        <v>2434.0337134070851</v>
      </c>
      <c r="AD635" s="229">
        <v>9646.9430753568558</v>
      </c>
      <c r="AE635" s="229">
        <v>8012.810089881812</v>
      </c>
      <c r="AF635" s="229">
        <v>7302.1011402212553</v>
      </c>
      <c r="AG635" s="229">
        <v>0</v>
      </c>
      <c r="AH635" s="229">
        <v>0</v>
      </c>
      <c r="AI635" s="229">
        <v>0</v>
      </c>
      <c r="AJ635" s="229">
        <v>0</v>
      </c>
      <c r="AK635" s="229">
        <v>0</v>
      </c>
      <c r="AL635" s="229">
        <v>0</v>
      </c>
      <c r="AM635" s="229">
        <v>0</v>
      </c>
      <c r="AN635" s="229">
        <v>0</v>
      </c>
      <c r="AO635" s="229">
        <v>0</v>
      </c>
      <c r="AP635" s="229">
        <v>0</v>
      </c>
      <c r="AQ635" s="229">
        <v>0</v>
      </c>
      <c r="AR635" s="229">
        <v>0</v>
      </c>
      <c r="AS635" s="229">
        <v>0</v>
      </c>
      <c r="AT635" s="229">
        <v>0</v>
      </c>
      <c r="AU635" s="229">
        <v>0</v>
      </c>
      <c r="AV635" s="229">
        <v>0</v>
      </c>
      <c r="AW635" s="229">
        <v>0</v>
      </c>
      <c r="AX635" s="229">
        <v>0</v>
      </c>
      <c r="AY635" s="229">
        <v>0</v>
      </c>
      <c r="AZ635" s="229">
        <v>0</v>
      </c>
      <c r="BA635" s="229">
        <v>0</v>
      </c>
      <c r="BB635" s="229">
        <v>0</v>
      </c>
      <c r="BC635" s="229">
        <v>0</v>
      </c>
    </row>
    <row r="636" spans="3:55" outlineLevel="2" x14ac:dyDescent="0.2">
      <c r="C636" s="162" t="str">
        <v>SGSN software</v>
      </c>
      <c r="D636" s="86"/>
      <c r="E636" s="86"/>
      <c r="F636" s="229">
        <v>0</v>
      </c>
      <c r="G636" s="229">
        <v>0</v>
      </c>
      <c r="H636" s="229">
        <v>0</v>
      </c>
      <c r="I636" s="229">
        <v>0</v>
      </c>
      <c r="J636" s="229">
        <v>0</v>
      </c>
      <c r="K636" s="229">
        <v>0</v>
      </c>
      <c r="L636" s="229">
        <v>0</v>
      </c>
      <c r="M636" s="229">
        <v>0</v>
      </c>
      <c r="N636" s="229">
        <v>0</v>
      </c>
      <c r="O636" s="229">
        <v>0</v>
      </c>
      <c r="P636" s="229">
        <v>0</v>
      </c>
      <c r="Q636" s="229">
        <v>0</v>
      </c>
      <c r="R636" s="229">
        <v>0</v>
      </c>
      <c r="S636" s="229">
        <v>0</v>
      </c>
      <c r="T636" s="229">
        <v>0</v>
      </c>
      <c r="U636" s="229">
        <v>0</v>
      </c>
      <c r="V636" s="229">
        <v>0</v>
      </c>
      <c r="W636" s="229">
        <v>0</v>
      </c>
      <c r="X636" s="229">
        <v>0</v>
      </c>
      <c r="Y636" s="229">
        <v>0</v>
      </c>
      <c r="Z636" s="229">
        <v>0</v>
      </c>
      <c r="AA636" s="229">
        <v>0</v>
      </c>
      <c r="AB636" s="229">
        <v>0</v>
      </c>
      <c r="AC636" s="229">
        <v>0</v>
      </c>
      <c r="AD636" s="229">
        <v>32.587244272052615</v>
      </c>
      <c r="AE636" s="229">
        <v>27.067164972867573</v>
      </c>
      <c r="AF636" s="229">
        <v>24.666399676751656</v>
      </c>
      <c r="AG636" s="229">
        <v>0</v>
      </c>
      <c r="AH636" s="229">
        <v>0</v>
      </c>
      <c r="AI636" s="229">
        <v>0</v>
      </c>
      <c r="AJ636" s="229">
        <v>720.48053921226551</v>
      </c>
      <c r="AK636" s="229">
        <v>36.024026960613277</v>
      </c>
      <c r="AL636" s="229">
        <v>1412.1418568560405</v>
      </c>
      <c r="AM636" s="229">
        <v>353.03546421401001</v>
      </c>
      <c r="AN636" s="229">
        <v>0</v>
      </c>
      <c r="AO636" s="229">
        <v>0</v>
      </c>
      <c r="AP636" s="229">
        <v>0</v>
      </c>
      <c r="AQ636" s="229">
        <v>0</v>
      </c>
      <c r="AR636" s="229">
        <v>0</v>
      </c>
      <c r="AS636" s="229">
        <v>0</v>
      </c>
      <c r="AT636" s="229">
        <v>0</v>
      </c>
      <c r="AU636" s="229">
        <v>0</v>
      </c>
      <c r="AV636" s="229">
        <v>0</v>
      </c>
      <c r="AW636" s="229">
        <v>0</v>
      </c>
      <c r="AX636" s="229">
        <v>0</v>
      </c>
      <c r="AY636" s="229">
        <v>0</v>
      </c>
      <c r="AZ636" s="229">
        <v>0</v>
      </c>
      <c r="BA636" s="229">
        <v>0</v>
      </c>
      <c r="BB636" s="229">
        <v>0</v>
      </c>
      <c r="BC636" s="229">
        <v>0</v>
      </c>
    </row>
    <row r="637" spans="3:55" outlineLevel="2" x14ac:dyDescent="0.2">
      <c r="C637" s="162" t="str">
        <v>GGSN software</v>
      </c>
      <c r="D637" s="86"/>
      <c r="E637" s="86"/>
      <c r="F637" s="229">
        <v>0</v>
      </c>
      <c r="G637" s="229">
        <v>0</v>
      </c>
      <c r="H637" s="229">
        <v>0</v>
      </c>
      <c r="I637" s="229">
        <v>0</v>
      </c>
      <c r="J637" s="229">
        <v>0</v>
      </c>
      <c r="K637" s="229">
        <v>0</v>
      </c>
      <c r="L637" s="229">
        <v>0</v>
      </c>
      <c r="M637" s="229">
        <v>0</v>
      </c>
      <c r="N637" s="229">
        <v>0</v>
      </c>
      <c r="O637" s="229">
        <v>0</v>
      </c>
      <c r="P637" s="229">
        <v>0</v>
      </c>
      <c r="Q637" s="229">
        <v>0</v>
      </c>
      <c r="R637" s="229">
        <v>0</v>
      </c>
      <c r="S637" s="229">
        <v>0</v>
      </c>
      <c r="T637" s="229">
        <v>0</v>
      </c>
      <c r="U637" s="229">
        <v>0</v>
      </c>
      <c r="V637" s="229">
        <v>0</v>
      </c>
      <c r="W637" s="229">
        <v>0</v>
      </c>
      <c r="X637" s="229">
        <v>0</v>
      </c>
      <c r="Y637" s="229">
        <v>0</v>
      </c>
      <c r="Z637" s="229">
        <v>0</v>
      </c>
      <c r="AA637" s="229">
        <v>0</v>
      </c>
      <c r="AB637" s="229">
        <v>0</v>
      </c>
      <c r="AC637" s="229">
        <v>0</v>
      </c>
      <c r="AD637" s="229">
        <v>49.894345296922666</v>
      </c>
      <c r="AE637" s="229">
        <v>41.442549240754175</v>
      </c>
      <c r="AF637" s="229">
        <v>37.766736347179567</v>
      </c>
      <c r="AG637" s="229">
        <v>0</v>
      </c>
      <c r="AH637" s="229">
        <v>0</v>
      </c>
      <c r="AI637" s="229">
        <v>0</v>
      </c>
      <c r="AJ637" s="229">
        <v>1103.1280983154304</v>
      </c>
      <c r="AK637" s="229">
        <v>55.156404915771517</v>
      </c>
      <c r="AL637" s="229">
        <v>2162.1310726982438</v>
      </c>
      <c r="AM637" s="229">
        <v>540.53276817456083</v>
      </c>
      <c r="AN637" s="229">
        <v>0</v>
      </c>
      <c r="AO637" s="229">
        <v>0</v>
      </c>
      <c r="AP637" s="229">
        <v>0</v>
      </c>
      <c r="AQ637" s="229">
        <v>0</v>
      </c>
      <c r="AR637" s="229">
        <v>0</v>
      </c>
      <c r="AS637" s="229">
        <v>0</v>
      </c>
      <c r="AT637" s="229">
        <v>0</v>
      </c>
      <c r="AU637" s="229">
        <v>0</v>
      </c>
      <c r="AV637" s="229">
        <v>0</v>
      </c>
      <c r="AW637" s="229">
        <v>0</v>
      </c>
      <c r="AX637" s="229">
        <v>0</v>
      </c>
      <c r="AY637" s="229">
        <v>0</v>
      </c>
      <c r="AZ637" s="229">
        <v>0</v>
      </c>
      <c r="BA637" s="229">
        <v>0</v>
      </c>
      <c r="BB637" s="229">
        <v>0</v>
      </c>
      <c r="BC637" s="229">
        <v>0</v>
      </c>
    </row>
    <row r="638" spans="3:55" outlineLevel="2" x14ac:dyDescent="0.2">
      <c r="C638" s="162" t="str">
        <v>MME software</v>
      </c>
      <c r="D638" s="86"/>
      <c r="E638" s="86"/>
      <c r="F638" s="229">
        <v>0</v>
      </c>
      <c r="G638" s="229">
        <v>0</v>
      </c>
      <c r="H638" s="229">
        <v>0</v>
      </c>
      <c r="I638" s="229">
        <v>0</v>
      </c>
      <c r="J638" s="229">
        <v>0</v>
      </c>
      <c r="K638" s="229">
        <v>0</v>
      </c>
      <c r="L638" s="229">
        <v>0</v>
      </c>
      <c r="M638" s="229">
        <v>0</v>
      </c>
      <c r="N638" s="229">
        <v>0</v>
      </c>
      <c r="O638" s="229">
        <v>0</v>
      </c>
      <c r="P638" s="229">
        <v>0</v>
      </c>
      <c r="Q638" s="229">
        <v>0</v>
      </c>
      <c r="R638" s="229">
        <v>0</v>
      </c>
      <c r="S638" s="229">
        <v>0</v>
      </c>
      <c r="T638" s="229">
        <v>0</v>
      </c>
      <c r="U638" s="229">
        <v>0</v>
      </c>
      <c r="V638" s="229">
        <v>0</v>
      </c>
      <c r="W638" s="229">
        <v>0</v>
      </c>
      <c r="X638" s="229">
        <v>0</v>
      </c>
      <c r="Y638" s="229">
        <v>0</v>
      </c>
      <c r="Z638" s="229">
        <v>0</v>
      </c>
      <c r="AA638" s="229">
        <v>0</v>
      </c>
      <c r="AB638" s="229">
        <v>0</v>
      </c>
      <c r="AC638" s="229">
        <v>0</v>
      </c>
      <c r="AD638" s="229">
        <v>0</v>
      </c>
      <c r="AE638" s="229">
        <v>0</v>
      </c>
      <c r="AF638" s="229">
        <v>0</v>
      </c>
      <c r="AG638" s="229">
        <v>0</v>
      </c>
      <c r="AH638" s="229">
        <v>0</v>
      </c>
      <c r="AI638" s="229">
        <v>0</v>
      </c>
      <c r="AJ638" s="229">
        <v>0</v>
      </c>
      <c r="AK638" s="229">
        <v>0</v>
      </c>
      <c r="AL638" s="229">
        <v>0</v>
      </c>
      <c r="AM638" s="229">
        <v>0</v>
      </c>
      <c r="AN638" s="229">
        <v>737536.16975184763</v>
      </c>
      <c r="AO638" s="229">
        <v>0</v>
      </c>
      <c r="AP638" s="229">
        <v>0</v>
      </c>
      <c r="AQ638" s="229">
        <v>0</v>
      </c>
      <c r="AR638" s="229">
        <v>0</v>
      </c>
      <c r="AS638" s="229">
        <v>0</v>
      </c>
      <c r="AT638" s="229">
        <v>0</v>
      </c>
      <c r="AU638" s="229">
        <v>0</v>
      </c>
      <c r="AV638" s="229">
        <v>0</v>
      </c>
      <c r="AW638" s="229">
        <v>0</v>
      </c>
      <c r="AX638" s="229">
        <v>0</v>
      </c>
      <c r="AY638" s="229">
        <v>0</v>
      </c>
      <c r="AZ638" s="229">
        <v>0</v>
      </c>
      <c r="BA638" s="229">
        <v>0</v>
      </c>
      <c r="BB638" s="229">
        <v>0</v>
      </c>
      <c r="BC638" s="229">
        <v>0</v>
      </c>
    </row>
    <row r="639" spans="3:55" outlineLevel="2" x14ac:dyDescent="0.2">
      <c r="C639" s="162" t="str">
        <v>SGW software</v>
      </c>
      <c r="D639" s="86"/>
      <c r="E639" s="86"/>
      <c r="F639" s="229">
        <v>0</v>
      </c>
      <c r="G639" s="229">
        <v>0</v>
      </c>
      <c r="H639" s="229">
        <v>0</v>
      </c>
      <c r="I639" s="229">
        <v>0</v>
      </c>
      <c r="J639" s="229">
        <v>0</v>
      </c>
      <c r="K639" s="229">
        <v>0</v>
      </c>
      <c r="L639" s="229">
        <v>0</v>
      </c>
      <c r="M639" s="229">
        <v>0</v>
      </c>
      <c r="N639" s="229">
        <v>0</v>
      </c>
      <c r="O639" s="229">
        <v>0</v>
      </c>
      <c r="P639" s="229">
        <v>0</v>
      </c>
      <c r="Q639" s="229">
        <v>0</v>
      </c>
      <c r="R639" s="229">
        <v>0</v>
      </c>
      <c r="S639" s="229">
        <v>0</v>
      </c>
      <c r="T639" s="229">
        <v>0</v>
      </c>
      <c r="U639" s="229">
        <v>0</v>
      </c>
      <c r="V639" s="229">
        <v>0</v>
      </c>
      <c r="W639" s="229">
        <v>0</v>
      </c>
      <c r="X639" s="229">
        <v>0</v>
      </c>
      <c r="Y639" s="229">
        <v>0</v>
      </c>
      <c r="Z639" s="229">
        <v>0</v>
      </c>
      <c r="AA639" s="229">
        <v>0</v>
      </c>
      <c r="AB639" s="229">
        <v>0</v>
      </c>
      <c r="AC639" s="229">
        <v>0</v>
      </c>
      <c r="AD639" s="229">
        <v>0</v>
      </c>
      <c r="AE639" s="229">
        <v>0</v>
      </c>
      <c r="AF639" s="229">
        <v>0</v>
      </c>
      <c r="AG639" s="229">
        <v>0</v>
      </c>
      <c r="AH639" s="229">
        <v>0</v>
      </c>
      <c r="AI639" s="229">
        <v>0</v>
      </c>
      <c r="AJ639" s="229">
        <v>0</v>
      </c>
      <c r="AK639" s="229">
        <v>0</v>
      </c>
      <c r="AL639" s="229">
        <v>0</v>
      </c>
      <c r="AM639" s="229">
        <v>0</v>
      </c>
      <c r="AN639" s="229">
        <v>1845.3990384323492</v>
      </c>
      <c r="AO639" s="229">
        <v>0</v>
      </c>
      <c r="AP639" s="229">
        <v>0</v>
      </c>
      <c r="AQ639" s="229">
        <v>0</v>
      </c>
      <c r="AR639" s="229">
        <v>0</v>
      </c>
      <c r="AS639" s="229">
        <v>0</v>
      </c>
      <c r="AT639" s="229">
        <v>0</v>
      </c>
      <c r="AU639" s="229">
        <v>0</v>
      </c>
      <c r="AV639" s="229">
        <v>0</v>
      </c>
      <c r="AW639" s="229">
        <v>0</v>
      </c>
      <c r="AX639" s="229">
        <v>0</v>
      </c>
      <c r="AY639" s="229">
        <v>0</v>
      </c>
      <c r="AZ639" s="229">
        <v>0</v>
      </c>
      <c r="BA639" s="229">
        <v>0</v>
      </c>
      <c r="BB639" s="229">
        <v>0</v>
      </c>
      <c r="BC639" s="229">
        <v>0</v>
      </c>
    </row>
    <row r="640" spans="3:55" outlineLevel="2" x14ac:dyDescent="0.2">
      <c r="C640" s="162" t="str">
        <v>HLR software</v>
      </c>
      <c r="D640" s="86"/>
      <c r="E640" s="86"/>
      <c r="F640" s="229">
        <v>0</v>
      </c>
      <c r="G640" s="229">
        <v>0</v>
      </c>
      <c r="H640" s="229">
        <v>0</v>
      </c>
      <c r="I640" s="229">
        <v>0</v>
      </c>
      <c r="J640" s="229">
        <v>0</v>
      </c>
      <c r="K640" s="229">
        <v>0</v>
      </c>
      <c r="L640" s="229">
        <v>0</v>
      </c>
      <c r="M640" s="229">
        <v>0</v>
      </c>
      <c r="N640" s="229">
        <v>0</v>
      </c>
      <c r="O640" s="229">
        <v>0</v>
      </c>
      <c r="P640" s="229">
        <v>0</v>
      </c>
      <c r="Q640" s="229">
        <v>0</v>
      </c>
      <c r="R640" s="229">
        <v>0</v>
      </c>
      <c r="S640" s="229">
        <v>0</v>
      </c>
      <c r="T640" s="229">
        <v>0</v>
      </c>
      <c r="U640" s="229">
        <v>0</v>
      </c>
      <c r="V640" s="229">
        <v>0</v>
      </c>
      <c r="W640" s="229">
        <v>0</v>
      </c>
      <c r="X640" s="229">
        <v>0</v>
      </c>
      <c r="Y640" s="229">
        <v>0</v>
      </c>
      <c r="Z640" s="229">
        <v>0</v>
      </c>
      <c r="AA640" s="229">
        <v>0</v>
      </c>
      <c r="AB640" s="229">
        <v>0</v>
      </c>
      <c r="AC640" s="229">
        <v>0</v>
      </c>
      <c r="AD640" s="229">
        <v>0</v>
      </c>
      <c r="AE640" s="229">
        <v>0</v>
      </c>
      <c r="AF640" s="229">
        <v>0</v>
      </c>
      <c r="AG640" s="229">
        <v>0</v>
      </c>
      <c r="AH640" s="229">
        <v>0</v>
      </c>
      <c r="AI640" s="229">
        <v>0</v>
      </c>
      <c r="AJ640" s="229">
        <v>0</v>
      </c>
      <c r="AK640" s="229">
        <v>0</v>
      </c>
      <c r="AL640" s="229">
        <v>0</v>
      </c>
      <c r="AM640" s="229">
        <v>0</v>
      </c>
      <c r="AN640" s="229">
        <v>0</v>
      </c>
      <c r="AO640" s="229">
        <v>0</v>
      </c>
      <c r="AP640" s="229">
        <v>49.135854591607874</v>
      </c>
      <c r="AQ640" s="229">
        <v>47.916145791552324</v>
      </c>
      <c r="AR640" s="229">
        <v>0</v>
      </c>
      <c r="AS640" s="229">
        <v>0</v>
      </c>
      <c r="AT640" s="229">
        <v>0</v>
      </c>
      <c r="AU640" s="229">
        <v>0</v>
      </c>
      <c r="AV640" s="229">
        <v>0</v>
      </c>
      <c r="AW640" s="229">
        <v>0</v>
      </c>
      <c r="AX640" s="229">
        <v>0</v>
      </c>
      <c r="AY640" s="229">
        <v>0</v>
      </c>
      <c r="AZ640" s="229">
        <v>0</v>
      </c>
      <c r="BA640" s="229">
        <v>0</v>
      </c>
      <c r="BB640" s="229">
        <v>0</v>
      </c>
      <c r="BC640" s="229">
        <v>0</v>
      </c>
    </row>
    <row r="641" spans="3:55" outlineLevel="2" x14ac:dyDescent="0.2">
      <c r="C641" s="162" t="str">
        <v>Call server – hardware</v>
      </c>
      <c r="D641" s="86"/>
      <c r="E641" s="86"/>
      <c r="F641" s="229">
        <v>0</v>
      </c>
      <c r="G641" s="229">
        <v>0</v>
      </c>
      <c r="H641" s="229">
        <v>0</v>
      </c>
      <c r="I641" s="229">
        <v>0</v>
      </c>
      <c r="J641" s="229">
        <v>0</v>
      </c>
      <c r="K641" s="229">
        <v>0</v>
      </c>
      <c r="L641" s="229">
        <v>0</v>
      </c>
      <c r="M641" s="229">
        <v>0</v>
      </c>
      <c r="N641" s="229">
        <v>0</v>
      </c>
      <c r="O641" s="229">
        <v>0</v>
      </c>
      <c r="P641" s="229">
        <v>0</v>
      </c>
      <c r="Q641" s="229">
        <v>0</v>
      </c>
      <c r="R641" s="229">
        <v>0</v>
      </c>
      <c r="S641" s="229">
        <v>0</v>
      </c>
      <c r="T641" s="229">
        <v>0</v>
      </c>
      <c r="U641" s="229">
        <v>0</v>
      </c>
      <c r="V641" s="229">
        <v>0</v>
      </c>
      <c r="W641" s="229">
        <v>0</v>
      </c>
      <c r="X641" s="229">
        <v>0</v>
      </c>
      <c r="Y641" s="229">
        <v>0</v>
      </c>
      <c r="Z641" s="229">
        <v>0</v>
      </c>
      <c r="AA641" s="229">
        <v>0</v>
      </c>
      <c r="AB641" s="229">
        <v>0</v>
      </c>
      <c r="AC641" s="229">
        <v>0</v>
      </c>
      <c r="AD641" s="229">
        <v>0</v>
      </c>
      <c r="AE641" s="229">
        <v>0</v>
      </c>
      <c r="AF641" s="229">
        <v>0</v>
      </c>
      <c r="AG641" s="229">
        <v>0</v>
      </c>
      <c r="AH641" s="229">
        <v>0</v>
      </c>
      <c r="AI641" s="229">
        <v>0</v>
      </c>
      <c r="AJ641" s="229">
        <v>0</v>
      </c>
      <c r="AK641" s="229">
        <v>0</v>
      </c>
      <c r="AL641" s="229">
        <v>0</v>
      </c>
      <c r="AM641" s="229">
        <v>0</v>
      </c>
      <c r="AN641" s="229">
        <v>0</v>
      </c>
      <c r="AO641" s="229">
        <v>0</v>
      </c>
      <c r="AP641" s="229">
        <v>0</v>
      </c>
      <c r="AQ641" s="229">
        <v>0</v>
      </c>
      <c r="AR641" s="229">
        <v>0</v>
      </c>
      <c r="AS641" s="229">
        <v>0</v>
      </c>
      <c r="AT641" s="229">
        <v>0</v>
      </c>
      <c r="AU641" s="229">
        <v>0</v>
      </c>
      <c r="AV641" s="229">
        <v>0</v>
      </c>
      <c r="AW641" s="229">
        <v>0</v>
      </c>
      <c r="AX641" s="229">
        <v>0</v>
      </c>
      <c r="AY641" s="229">
        <v>0</v>
      </c>
      <c r="AZ641" s="229">
        <v>0</v>
      </c>
      <c r="BA641" s="229">
        <v>0</v>
      </c>
      <c r="BB641" s="229">
        <v>0</v>
      </c>
      <c r="BC641" s="229">
        <v>0</v>
      </c>
    </row>
    <row r="642" spans="3:55" outlineLevel="2" x14ac:dyDescent="0.2">
      <c r="C642" s="162" t="str">
        <v>Call server – software</v>
      </c>
      <c r="D642" s="86"/>
      <c r="E642" s="86"/>
      <c r="F642" s="229">
        <v>0</v>
      </c>
      <c r="G642" s="229">
        <v>0</v>
      </c>
      <c r="H642" s="229">
        <v>0</v>
      </c>
      <c r="I642" s="229">
        <v>0</v>
      </c>
      <c r="J642" s="229">
        <v>0</v>
      </c>
      <c r="K642" s="229">
        <v>0</v>
      </c>
      <c r="L642" s="229">
        <v>0</v>
      </c>
      <c r="M642" s="229">
        <v>0</v>
      </c>
      <c r="N642" s="229">
        <v>0</v>
      </c>
      <c r="O642" s="229">
        <v>0</v>
      </c>
      <c r="P642" s="229">
        <v>0</v>
      </c>
      <c r="Q642" s="229">
        <v>0</v>
      </c>
      <c r="R642" s="229">
        <v>0</v>
      </c>
      <c r="S642" s="229">
        <v>0</v>
      </c>
      <c r="T642" s="229">
        <v>0</v>
      </c>
      <c r="U642" s="229">
        <v>0</v>
      </c>
      <c r="V642" s="229">
        <v>0</v>
      </c>
      <c r="W642" s="229">
        <v>0</v>
      </c>
      <c r="X642" s="229">
        <v>0</v>
      </c>
      <c r="Y642" s="229">
        <v>0</v>
      </c>
      <c r="Z642" s="229">
        <v>0</v>
      </c>
      <c r="AA642" s="229">
        <v>0</v>
      </c>
      <c r="AB642" s="229">
        <v>0</v>
      </c>
      <c r="AC642" s="229">
        <v>0</v>
      </c>
      <c r="AD642" s="229">
        <v>0</v>
      </c>
      <c r="AE642" s="229">
        <v>0</v>
      </c>
      <c r="AF642" s="229">
        <v>0</v>
      </c>
      <c r="AG642" s="229">
        <v>0</v>
      </c>
      <c r="AH642" s="229">
        <v>0</v>
      </c>
      <c r="AI642" s="229">
        <v>0</v>
      </c>
      <c r="AJ642" s="229">
        <v>0</v>
      </c>
      <c r="AK642" s="229">
        <v>0</v>
      </c>
      <c r="AL642" s="229">
        <v>0</v>
      </c>
      <c r="AM642" s="229">
        <v>0</v>
      </c>
      <c r="AN642" s="229">
        <v>0</v>
      </c>
      <c r="AO642" s="229">
        <v>0</v>
      </c>
      <c r="AP642" s="229">
        <v>0</v>
      </c>
      <c r="AQ642" s="229">
        <v>0</v>
      </c>
      <c r="AR642" s="229">
        <v>0</v>
      </c>
      <c r="AS642" s="229">
        <v>0</v>
      </c>
      <c r="AT642" s="229">
        <v>0</v>
      </c>
      <c r="AU642" s="229">
        <v>0</v>
      </c>
      <c r="AV642" s="229">
        <v>0</v>
      </c>
      <c r="AW642" s="229">
        <v>0</v>
      </c>
      <c r="AX642" s="229">
        <v>0</v>
      </c>
      <c r="AY642" s="229">
        <v>0</v>
      </c>
      <c r="AZ642" s="229">
        <v>0</v>
      </c>
      <c r="BA642" s="229">
        <v>0</v>
      </c>
      <c r="BB642" s="229">
        <v>0</v>
      </c>
      <c r="BC642" s="229">
        <v>0</v>
      </c>
    </row>
    <row r="643" spans="3:55" outlineLevel="2" x14ac:dyDescent="0.2">
      <c r="C643" s="162" t="str">
        <v>Telephony Application Server (TAS)</v>
      </c>
      <c r="D643" s="86"/>
      <c r="E643" s="86"/>
      <c r="F643" s="229">
        <v>0</v>
      </c>
      <c r="G643" s="229">
        <v>0</v>
      </c>
      <c r="H643" s="229">
        <v>0</v>
      </c>
      <c r="I643" s="229">
        <v>0</v>
      </c>
      <c r="J643" s="229">
        <v>0</v>
      </c>
      <c r="K643" s="229">
        <v>0</v>
      </c>
      <c r="L643" s="229">
        <v>0</v>
      </c>
      <c r="M643" s="229">
        <v>0</v>
      </c>
      <c r="N643" s="229">
        <v>0</v>
      </c>
      <c r="O643" s="229">
        <v>0</v>
      </c>
      <c r="P643" s="229">
        <v>0</v>
      </c>
      <c r="Q643" s="229">
        <v>0</v>
      </c>
      <c r="R643" s="229">
        <v>0</v>
      </c>
      <c r="S643" s="229">
        <v>0</v>
      </c>
      <c r="T643" s="229">
        <v>0</v>
      </c>
      <c r="U643" s="229">
        <v>0</v>
      </c>
      <c r="V643" s="229">
        <v>0</v>
      </c>
      <c r="W643" s="229">
        <v>0</v>
      </c>
      <c r="X643" s="229">
        <v>0</v>
      </c>
      <c r="Y643" s="229">
        <v>0</v>
      </c>
      <c r="Z643" s="229">
        <v>0</v>
      </c>
      <c r="AA643" s="229">
        <v>0</v>
      </c>
      <c r="AB643" s="229">
        <v>0</v>
      </c>
      <c r="AC643" s="229">
        <v>0</v>
      </c>
      <c r="AD643" s="229">
        <v>0</v>
      </c>
      <c r="AE643" s="229">
        <v>0</v>
      </c>
      <c r="AF643" s="229">
        <v>0</v>
      </c>
      <c r="AG643" s="229">
        <v>0</v>
      </c>
      <c r="AH643" s="229">
        <v>0</v>
      </c>
      <c r="AI643" s="229">
        <v>0</v>
      </c>
      <c r="AJ643" s="229">
        <v>0</v>
      </c>
      <c r="AK643" s="229">
        <v>0</v>
      </c>
      <c r="AL643" s="229">
        <v>0</v>
      </c>
      <c r="AM643" s="229">
        <v>0</v>
      </c>
      <c r="AN643" s="229">
        <v>0</v>
      </c>
      <c r="AO643" s="229">
        <v>0</v>
      </c>
      <c r="AP643" s="229">
        <v>0</v>
      </c>
      <c r="AQ643" s="229">
        <v>0</v>
      </c>
      <c r="AR643" s="229">
        <v>0</v>
      </c>
      <c r="AS643" s="229">
        <v>0</v>
      </c>
      <c r="AT643" s="229">
        <v>0</v>
      </c>
      <c r="AU643" s="229">
        <v>0</v>
      </c>
      <c r="AV643" s="229">
        <v>0</v>
      </c>
      <c r="AW643" s="229">
        <v>0</v>
      </c>
      <c r="AX643" s="229">
        <v>0</v>
      </c>
      <c r="AY643" s="229">
        <v>0</v>
      </c>
      <c r="AZ643" s="229">
        <v>0</v>
      </c>
      <c r="BA643" s="229">
        <v>0</v>
      </c>
      <c r="BB643" s="229">
        <v>0</v>
      </c>
      <c r="BC643" s="229">
        <v>0</v>
      </c>
    </row>
    <row r="644" spans="3:55" outlineLevel="2" x14ac:dyDescent="0.2">
      <c r="C644" s="162" t="str">
        <v>Session border controller (SBC) – hardware</v>
      </c>
      <c r="D644" s="86"/>
      <c r="E644" s="86"/>
      <c r="F644" s="229">
        <v>0</v>
      </c>
      <c r="G644" s="229">
        <v>0</v>
      </c>
      <c r="H644" s="229">
        <v>0</v>
      </c>
      <c r="I644" s="229">
        <v>0</v>
      </c>
      <c r="J644" s="229">
        <v>0</v>
      </c>
      <c r="K644" s="229">
        <v>0</v>
      </c>
      <c r="L644" s="229">
        <v>0</v>
      </c>
      <c r="M644" s="229">
        <v>0</v>
      </c>
      <c r="N644" s="229">
        <v>0</v>
      </c>
      <c r="O644" s="229">
        <v>0</v>
      </c>
      <c r="P644" s="229">
        <v>0</v>
      </c>
      <c r="Q644" s="229">
        <v>0</v>
      </c>
      <c r="R644" s="229">
        <v>0</v>
      </c>
      <c r="S644" s="229">
        <v>0</v>
      </c>
      <c r="T644" s="229">
        <v>0</v>
      </c>
      <c r="U644" s="229">
        <v>0</v>
      </c>
      <c r="V644" s="229">
        <v>0</v>
      </c>
      <c r="W644" s="229">
        <v>0</v>
      </c>
      <c r="X644" s="229">
        <v>0</v>
      </c>
      <c r="Y644" s="229">
        <v>0</v>
      </c>
      <c r="Z644" s="229">
        <v>0</v>
      </c>
      <c r="AA644" s="229">
        <v>0</v>
      </c>
      <c r="AB644" s="229">
        <v>0</v>
      </c>
      <c r="AC644" s="229">
        <v>0</v>
      </c>
      <c r="AD644" s="229">
        <v>0</v>
      </c>
      <c r="AE644" s="229">
        <v>0</v>
      </c>
      <c r="AF644" s="229">
        <v>0</v>
      </c>
      <c r="AG644" s="229">
        <v>0</v>
      </c>
      <c r="AH644" s="229">
        <v>0</v>
      </c>
      <c r="AI644" s="229">
        <v>0</v>
      </c>
      <c r="AJ644" s="229">
        <v>0</v>
      </c>
      <c r="AK644" s="229">
        <v>0</v>
      </c>
      <c r="AL644" s="229">
        <v>0</v>
      </c>
      <c r="AM644" s="229">
        <v>0</v>
      </c>
      <c r="AN644" s="229">
        <v>0</v>
      </c>
      <c r="AO644" s="229">
        <v>0</v>
      </c>
      <c r="AP644" s="229">
        <v>0</v>
      </c>
      <c r="AQ644" s="229">
        <v>0</v>
      </c>
      <c r="AR644" s="229">
        <v>0</v>
      </c>
      <c r="AS644" s="229">
        <v>0</v>
      </c>
      <c r="AT644" s="229">
        <v>0</v>
      </c>
      <c r="AU644" s="229">
        <v>0</v>
      </c>
      <c r="AV644" s="229">
        <v>0</v>
      </c>
      <c r="AW644" s="229">
        <v>0</v>
      </c>
      <c r="AX644" s="229">
        <v>0</v>
      </c>
      <c r="AY644" s="229">
        <v>0</v>
      </c>
      <c r="AZ644" s="229">
        <v>0</v>
      </c>
      <c r="BA644" s="229">
        <v>0</v>
      </c>
      <c r="BB644" s="229">
        <v>0</v>
      </c>
      <c r="BC644" s="229">
        <v>0</v>
      </c>
    </row>
    <row r="645" spans="3:55" outlineLevel="2" x14ac:dyDescent="0.2">
      <c r="C645" s="162" t="str">
        <v>Session border controller (SBC) – software</v>
      </c>
      <c r="D645" s="86"/>
      <c r="E645" s="86"/>
      <c r="F645" s="229">
        <v>0</v>
      </c>
      <c r="G645" s="229">
        <v>0</v>
      </c>
      <c r="H645" s="229">
        <v>0</v>
      </c>
      <c r="I645" s="229">
        <v>0</v>
      </c>
      <c r="J645" s="229">
        <v>0</v>
      </c>
      <c r="K645" s="229">
        <v>0</v>
      </c>
      <c r="L645" s="229">
        <v>0</v>
      </c>
      <c r="M645" s="229">
        <v>0</v>
      </c>
      <c r="N645" s="229">
        <v>0</v>
      </c>
      <c r="O645" s="229">
        <v>0</v>
      </c>
      <c r="P645" s="229">
        <v>0</v>
      </c>
      <c r="Q645" s="229">
        <v>0</v>
      </c>
      <c r="R645" s="229">
        <v>0</v>
      </c>
      <c r="S645" s="229">
        <v>0</v>
      </c>
      <c r="T645" s="229">
        <v>0</v>
      </c>
      <c r="U645" s="229">
        <v>0</v>
      </c>
      <c r="V645" s="229">
        <v>0</v>
      </c>
      <c r="W645" s="229">
        <v>0</v>
      </c>
      <c r="X645" s="229">
        <v>0</v>
      </c>
      <c r="Y645" s="229">
        <v>0</v>
      </c>
      <c r="Z645" s="229">
        <v>0</v>
      </c>
      <c r="AA645" s="229">
        <v>0</v>
      </c>
      <c r="AB645" s="229">
        <v>0</v>
      </c>
      <c r="AC645" s="229">
        <v>0</v>
      </c>
      <c r="AD645" s="229">
        <v>0</v>
      </c>
      <c r="AE645" s="229">
        <v>0</v>
      </c>
      <c r="AF645" s="229">
        <v>0</v>
      </c>
      <c r="AG645" s="229">
        <v>0</v>
      </c>
      <c r="AH645" s="229">
        <v>0</v>
      </c>
      <c r="AI645" s="229">
        <v>0</v>
      </c>
      <c r="AJ645" s="229">
        <v>0</v>
      </c>
      <c r="AK645" s="229">
        <v>0</v>
      </c>
      <c r="AL645" s="229">
        <v>0</v>
      </c>
      <c r="AM645" s="229">
        <v>0</v>
      </c>
      <c r="AN645" s="229">
        <v>0</v>
      </c>
      <c r="AO645" s="229">
        <v>0</v>
      </c>
      <c r="AP645" s="229">
        <v>0</v>
      </c>
      <c r="AQ645" s="229">
        <v>0</v>
      </c>
      <c r="AR645" s="229">
        <v>0</v>
      </c>
      <c r="AS645" s="229">
        <v>0</v>
      </c>
      <c r="AT645" s="229">
        <v>0</v>
      </c>
      <c r="AU645" s="229">
        <v>0</v>
      </c>
      <c r="AV645" s="229">
        <v>0</v>
      </c>
      <c r="AW645" s="229">
        <v>0</v>
      </c>
      <c r="AX645" s="229">
        <v>0</v>
      </c>
      <c r="AY645" s="229">
        <v>0</v>
      </c>
      <c r="AZ645" s="229">
        <v>0</v>
      </c>
      <c r="BA645" s="229">
        <v>0</v>
      </c>
      <c r="BB645" s="229">
        <v>0</v>
      </c>
      <c r="BC645" s="229">
        <v>0</v>
      </c>
    </row>
    <row r="646" spans="3:55" outlineLevel="2" x14ac:dyDescent="0.2">
      <c r="C646" s="162" t="str">
        <v>PCC</v>
      </c>
      <c r="D646" s="86"/>
      <c r="E646" s="86"/>
      <c r="F646" s="229">
        <v>0</v>
      </c>
      <c r="G646" s="229">
        <v>0</v>
      </c>
      <c r="H646" s="229">
        <v>0</v>
      </c>
      <c r="I646" s="229">
        <v>0</v>
      </c>
      <c r="J646" s="229">
        <v>0</v>
      </c>
      <c r="K646" s="229">
        <v>0</v>
      </c>
      <c r="L646" s="229">
        <v>0</v>
      </c>
      <c r="M646" s="229">
        <v>0</v>
      </c>
      <c r="N646" s="229">
        <v>0</v>
      </c>
      <c r="O646" s="229">
        <v>0</v>
      </c>
      <c r="P646" s="229">
        <v>0</v>
      </c>
      <c r="Q646" s="229">
        <v>0</v>
      </c>
      <c r="R646" s="229">
        <v>0</v>
      </c>
      <c r="S646" s="229">
        <v>0</v>
      </c>
      <c r="T646" s="229">
        <v>0</v>
      </c>
      <c r="U646" s="229">
        <v>0</v>
      </c>
      <c r="V646" s="229">
        <v>0</v>
      </c>
      <c r="W646" s="229">
        <v>0</v>
      </c>
      <c r="X646" s="229">
        <v>0</v>
      </c>
      <c r="Y646" s="229">
        <v>0</v>
      </c>
      <c r="Z646" s="229">
        <v>0</v>
      </c>
      <c r="AA646" s="229">
        <v>0</v>
      </c>
      <c r="AB646" s="229">
        <v>0</v>
      </c>
      <c r="AC646" s="229">
        <v>0</v>
      </c>
      <c r="AD646" s="229">
        <v>0</v>
      </c>
      <c r="AE646" s="229">
        <v>0</v>
      </c>
      <c r="AF646" s="229">
        <v>0</v>
      </c>
      <c r="AG646" s="229">
        <v>0</v>
      </c>
      <c r="AH646" s="229">
        <v>0</v>
      </c>
      <c r="AI646" s="229">
        <v>0</v>
      </c>
      <c r="AJ646" s="229">
        <v>0</v>
      </c>
      <c r="AK646" s="229">
        <v>0</v>
      </c>
      <c r="AL646" s="229">
        <v>0</v>
      </c>
      <c r="AM646" s="229">
        <v>0</v>
      </c>
      <c r="AN646" s="229">
        <v>0</v>
      </c>
      <c r="AO646" s="229">
        <v>0</v>
      </c>
      <c r="AP646" s="229">
        <v>0</v>
      </c>
      <c r="AQ646" s="229">
        <v>0</v>
      </c>
      <c r="AR646" s="229">
        <v>0</v>
      </c>
      <c r="AS646" s="229">
        <v>0</v>
      </c>
      <c r="AT646" s="229">
        <v>0</v>
      </c>
      <c r="AU646" s="229">
        <v>0</v>
      </c>
      <c r="AV646" s="229">
        <v>0</v>
      </c>
      <c r="AW646" s="229">
        <v>0</v>
      </c>
      <c r="AX646" s="229">
        <v>0</v>
      </c>
      <c r="AY646" s="229">
        <v>0</v>
      </c>
      <c r="AZ646" s="229">
        <v>0</v>
      </c>
      <c r="BA646" s="229">
        <v>0</v>
      </c>
      <c r="BB646" s="229">
        <v>0</v>
      </c>
      <c r="BC646" s="229">
        <v>0</v>
      </c>
    </row>
    <row r="647" spans="3:55" outlineLevel="2" x14ac:dyDescent="0.2">
      <c r="C647" s="162" t="str">
        <v>MGCF</v>
      </c>
      <c r="D647" s="86"/>
      <c r="E647" s="86"/>
      <c r="F647" s="229">
        <v>0</v>
      </c>
      <c r="G647" s="229">
        <v>0</v>
      </c>
      <c r="H647" s="229">
        <v>0</v>
      </c>
      <c r="I647" s="229">
        <v>0</v>
      </c>
      <c r="J647" s="229">
        <v>0</v>
      </c>
      <c r="K647" s="229">
        <v>0</v>
      </c>
      <c r="L647" s="229">
        <v>0</v>
      </c>
      <c r="M647" s="229">
        <v>0</v>
      </c>
      <c r="N647" s="229">
        <v>0</v>
      </c>
      <c r="O647" s="229">
        <v>0</v>
      </c>
      <c r="P647" s="229">
        <v>0</v>
      </c>
      <c r="Q647" s="229">
        <v>0</v>
      </c>
      <c r="R647" s="229">
        <v>0</v>
      </c>
      <c r="S647" s="229">
        <v>0</v>
      </c>
      <c r="T647" s="229">
        <v>0</v>
      </c>
      <c r="U647" s="229">
        <v>0</v>
      </c>
      <c r="V647" s="229">
        <v>0</v>
      </c>
      <c r="W647" s="229">
        <v>0</v>
      </c>
      <c r="X647" s="229">
        <v>0</v>
      </c>
      <c r="Y647" s="229">
        <v>0</v>
      </c>
      <c r="Z647" s="229">
        <v>0</v>
      </c>
      <c r="AA647" s="229">
        <v>0</v>
      </c>
      <c r="AB647" s="229">
        <v>0</v>
      </c>
      <c r="AC647" s="229">
        <v>0</v>
      </c>
      <c r="AD647" s="229">
        <v>0</v>
      </c>
      <c r="AE647" s="229">
        <v>0</v>
      </c>
      <c r="AF647" s="229">
        <v>0</v>
      </c>
      <c r="AG647" s="229">
        <v>0</v>
      </c>
      <c r="AH647" s="229">
        <v>0</v>
      </c>
      <c r="AI647" s="229">
        <v>0</v>
      </c>
      <c r="AJ647" s="229">
        <v>0</v>
      </c>
      <c r="AK647" s="229">
        <v>0</v>
      </c>
      <c r="AL647" s="229">
        <v>0</v>
      </c>
      <c r="AM647" s="229">
        <v>0</v>
      </c>
      <c r="AN647" s="229">
        <v>0</v>
      </c>
      <c r="AO647" s="229">
        <v>0</v>
      </c>
      <c r="AP647" s="229">
        <v>0</v>
      </c>
      <c r="AQ647" s="229">
        <v>0</v>
      </c>
      <c r="AR647" s="229">
        <v>0</v>
      </c>
      <c r="AS647" s="229">
        <v>0</v>
      </c>
      <c r="AT647" s="229">
        <v>0</v>
      </c>
      <c r="AU647" s="229">
        <v>0</v>
      </c>
      <c r="AV647" s="229">
        <v>0</v>
      </c>
      <c r="AW647" s="229">
        <v>0</v>
      </c>
      <c r="AX647" s="229">
        <v>0</v>
      </c>
      <c r="AY647" s="229">
        <v>0</v>
      </c>
      <c r="AZ647" s="229">
        <v>0</v>
      </c>
      <c r="BA647" s="229">
        <v>0</v>
      </c>
      <c r="BB647" s="229">
        <v>0</v>
      </c>
      <c r="BC647" s="229">
        <v>0</v>
      </c>
    </row>
    <row r="648" spans="3:55" outlineLevel="2" x14ac:dyDescent="0.2">
      <c r="C648" s="162" t="str">
        <v>Puertos BSC - sitios E1</v>
      </c>
      <c r="D648" s="86"/>
      <c r="E648" s="86"/>
      <c r="F648" s="229">
        <v>8241.473498646099</v>
      </c>
      <c r="G648" s="229">
        <v>259.77934240820014</v>
      </c>
      <c r="H648" s="229">
        <v>2297.6320681678585</v>
      </c>
      <c r="I648" s="229">
        <v>21.565259466389559</v>
      </c>
      <c r="J648" s="229">
        <v>122.68358874994931</v>
      </c>
      <c r="K648" s="229">
        <v>2297.6320681678585</v>
      </c>
      <c r="L648" s="229">
        <v>37.84271093958214</v>
      </c>
      <c r="M648" s="229">
        <v>0</v>
      </c>
      <c r="N648" s="229">
        <v>0</v>
      </c>
      <c r="O648" s="229">
        <v>0</v>
      </c>
      <c r="P648" s="229">
        <v>0</v>
      </c>
      <c r="Q648" s="229">
        <v>0</v>
      </c>
      <c r="R648" s="229">
        <v>0</v>
      </c>
      <c r="S648" s="229">
        <v>0</v>
      </c>
      <c r="T648" s="229">
        <v>0</v>
      </c>
      <c r="U648" s="229">
        <v>0</v>
      </c>
      <c r="V648" s="229">
        <v>0</v>
      </c>
      <c r="W648" s="229">
        <v>0</v>
      </c>
      <c r="X648" s="229">
        <v>0</v>
      </c>
      <c r="Y648" s="229">
        <v>0</v>
      </c>
      <c r="Z648" s="229">
        <v>0</v>
      </c>
      <c r="AA648" s="229">
        <v>0</v>
      </c>
      <c r="AB648" s="229">
        <v>0</v>
      </c>
      <c r="AC648" s="229">
        <v>0</v>
      </c>
      <c r="AD648" s="229">
        <v>0</v>
      </c>
      <c r="AE648" s="229">
        <v>0</v>
      </c>
      <c r="AF648" s="229">
        <v>0</v>
      </c>
      <c r="AG648" s="229">
        <v>0</v>
      </c>
      <c r="AH648" s="229">
        <v>0</v>
      </c>
      <c r="AI648" s="229">
        <v>0</v>
      </c>
      <c r="AJ648" s="229">
        <v>154776.08622030308</v>
      </c>
      <c r="AK648" s="229">
        <v>0</v>
      </c>
      <c r="AL648" s="229">
        <v>0</v>
      </c>
      <c r="AM648" s="229">
        <v>0</v>
      </c>
      <c r="AN648" s="229">
        <v>0</v>
      </c>
      <c r="AO648" s="229">
        <v>0</v>
      </c>
      <c r="AP648" s="229">
        <v>0</v>
      </c>
      <c r="AQ648" s="229">
        <v>0</v>
      </c>
      <c r="AR648" s="229">
        <v>0</v>
      </c>
      <c r="AS648" s="229">
        <v>0</v>
      </c>
      <c r="AT648" s="229">
        <v>0</v>
      </c>
      <c r="AU648" s="229">
        <v>0</v>
      </c>
      <c r="AV648" s="229">
        <v>0</v>
      </c>
      <c r="AW648" s="229">
        <v>0</v>
      </c>
      <c r="AX648" s="229">
        <v>0</v>
      </c>
      <c r="AY648" s="229">
        <v>0</v>
      </c>
      <c r="AZ648" s="229">
        <v>0</v>
      </c>
      <c r="BA648" s="229">
        <v>0</v>
      </c>
      <c r="BB648" s="229">
        <v>0</v>
      </c>
      <c r="BC648" s="229">
        <v>0</v>
      </c>
    </row>
    <row r="649" spans="3:55" outlineLevel="2" x14ac:dyDescent="0.2">
      <c r="C649" s="162" t="str">
        <v>Puertos BSC - sitios 10M</v>
      </c>
      <c r="D649" s="86"/>
      <c r="E649" s="86"/>
      <c r="F649" s="229">
        <v>0</v>
      </c>
      <c r="G649" s="229">
        <v>0</v>
      </c>
      <c r="H649" s="229">
        <v>0</v>
      </c>
      <c r="I649" s="229">
        <v>0</v>
      </c>
      <c r="J649" s="229">
        <v>0</v>
      </c>
      <c r="K649" s="229">
        <v>0</v>
      </c>
      <c r="L649" s="229">
        <v>0</v>
      </c>
      <c r="M649" s="229">
        <v>0</v>
      </c>
      <c r="N649" s="229">
        <v>0</v>
      </c>
      <c r="O649" s="229">
        <v>0</v>
      </c>
      <c r="P649" s="229">
        <v>0</v>
      </c>
      <c r="Q649" s="229">
        <v>0</v>
      </c>
      <c r="R649" s="229">
        <v>0</v>
      </c>
      <c r="S649" s="229">
        <v>0</v>
      </c>
      <c r="T649" s="229">
        <v>0</v>
      </c>
      <c r="U649" s="229">
        <v>0</v>
      </c>
      <c r="V649" s="229">
        <v>0</v>
      </c>
      <c r="W649" s="229">
        <v>0</v>
      </c>
      <c r="X649" s="229">
        <v>0</v>
      </c>
      <c r="Y649" s="229">
        <v>0</v>
      </c>
      <c r="Z649" s="229">
        <v>0</v>
      </c>
      <c r="AA649" s="229">
        <v>0</v>
      </c>
      <c r="AB649" s="229">
        <v>0</v>
      </c>
      <c r="AC649" s="229">
        <v>0</v>
      </c>
      <c r="AD649" s="229">
        <v>0</v>
      </c>
      <c r="AE649" s="229">
        <v>0</v>
      </c>
      <c r="AF649" s="229">
        <v>0</v>
      </c>
      <c r="AG649" s="229">
        <v>0</v>
      </c>
      <c r="AH649" s="229">
        <v>0</v>
      </c>
      <c r="AI649" s="229">
        <v>0</v>
      </c>
      <c r="AJ649" s="229">
        <v>0</v>
      </c>
      <c r="AK649" s="229">
        <v>0</v>
      </c>
      <c r="AL649" s="229">
        <v>0</v>
      </c>
      <c r="AM649" s="229">
        <v>0</v>
      </c>
      <c r="AN649" s="229">
        <v>0</v>
      </c>
      <c r="AO649" s="229">
        <v>0</v>
      </c>
      <c r="AP649" s="229">
        <v>0</v>
      </c>
      <c r="AQ649" s="229">
        <v>0</v>
      </c>
      <c r="AR649" s="229">
        <v>0</v>
      </c>
      <c r="AS649" s="229">
        <v>0</v>
      </c>
      <c r="AT649" s="229">
        <v>0</v>
      </c>
      <c r="AU649" s="229">
        <v>0</v>
      </c>
      <c r="AV649" s="229">
        <v>0</v>
      </c>
      <c r="AW649" s="229">
        <v>0</v>
      </c>
      <c r="AX649" s="229">
        <v>0</v>
      </c>
      <c r="AY649" s="229">
        <v>0</v>
      </c>
      <c r="AZ649" s="229">
        <v>0</v>
      </c>
      <c r="BA649" s="229">
        <v>0</v>
      </c>
      <c r="BB649" s="229">
        <v>0</v>
      </c>
      <c r="BC649" s="229">
        <v>0</v>
      </c>
    </row>
    <row r="650" spans="3:55" outlineLevel="2" x14ac:dyDescent="0.2">
      <c r="C650" s="162" t="str">
        <v>Puertos RNC - sitios E1 para voz</v>
      </c>
      <c r="D650" s="86"/>
      <c r="E650" s="86"/>
      <c r="F650" s="229">
        <v>0</v>
      </c>
      <c r="G650" s="229">
        <v>0</v>
      </c>
      <c r="H650" s="229">
        <v>0</v>
      </c>
      <c r="I650" s="229">
        <v>0</v>
      </c>
      <c r="J650" s="229">
        <v>0</v>
      </c>
      <c r="K650" s="229">
        <v>0</v>
      </c>
      <c r="L650" s="229">
        <v>0</v>
      </c>
      <c r="M650" s="229">
        <v>0</v>
      </c>
      <c r="N650" s="229">
        <v>0</v>
      </c>
      <c r="O650" s="229">
        <v>0</v>
      </c>
      <c r="P650" s="229">
        <v>0</v>
      </c>
      <c r="Q650" s="229">
        <v>0</v>
      </c>
      <c r="R650" s="229">
        <v>0</v>
      </c>
      <c r="S650" s="229">
        <v>0</v>
      </c>
      <c r="T650" s="229">
        <v>0</v>
      </c>
      <c r="U650" s="229">
        <v>0</v>
      </c>
      <c r="V650" s="229">
        <v>0</v>
      </c>
      <c r="W650" s="229">
        <v>0</v>
      </c>
      <c r="X650" s="229">
        <v>0</v>
      </c>
      <c r="Y650" s="229">
        <v>0</v>
      </c>
      <c r="Z650" s="229">
        <v>0</v>
      </c>
      <c r="AA650" s="229">
        <v>0</v>
      </c>
      <c r="AB650" s="229">
        <v>0</v>
      </c>
      <c r="AC650" s="229">
        <v>0</v>
      </c>
      <c r="AD650" s="229">
        <v>0</v>
      </c>
      <c r="AE650" s="229">
        <v>0</v>
      </c>
      <c r="AF650" s="229">
        <v>0</v>
      </c>
      <c r="AG650" s="229">
        <v>0</v>
      </c>
      <c r="AH650" s="229">
        <v>0</v>
      </c>
      <c r="AI650" s="229">
        <v>0</v>
      </c>
      <c r="AJ650" s="229">
        <v>0</v>
      </c>
      <c r="AK650" s="229">
        <v>0</v>
      </c>
      <c r="AL650" s="229">
        <v>0</v>
      </c>
      <c r="AM650" s="229">
        <v>0</v>
      </c>
      <c r="AN650" s="229">
        <v>0</v>
      </c>
      <c r="AO650" s="229">
        <v>0</v>
      </c>
      <c r="AP650" s="229">
        <v>0</v>
      </c>
      <c r="AQ650" s="229">
        <v>0</v>
      </c>
      <c r="AR650" s="229">
        <v>0</v>
      </c>
      <c r="AS650" s="229">
        <v>0</v>
      </c>
      <c r="AT650" s="229">
        <v>0</v>
      </c>
      <c r="AU650" s="229">
        <v>0</v>
      </c>
      <c r="AV650" s="229">
        <v>0</v>
      </c>
      <c r="AW650" s="229">
        <v>0</v>
      </c>
      <c r="AX650" s="229">
        <v>0</v>
      </c>
      <c r="AY650" s="229">
        <v>0</v>
      </c>
      <c r="AZ650" s="229">
        <v>0</v>
      </c>
      <c r="BA650" s="229">
        <v>0</v>
      </c>
      <c r="BB650" s="229">
        <v>0</v>
      </c>
      <c r="BC650" s="229">
        <v>0</v>
      </c>
    </row>
    <row r="651" spans="3:55" outlineLevel="2" x14ac:dyDescent="0.2">
      <c r="C651" s="162" t="str">
        <v>Puertos RNC - sitios 10M para voz</v>
      </c>
      <c r="D651" s="86"/>
      <c r="E651" s="86"/>
      <c r="F651" s="229">
        <v>0</v>
      </c>
      <c r="G651" s="229">
        <v>0</v>
      </c>
      <c r="H651" s="229">
        <v>0</v>
      </c>
      <c r="I651" s="229">
        <v>0</v>
      </c>
      <c r="J651" s="229">
        <v>0</v>
      </c>
      <c r="K651" s="229">
        <v>0</v>
      </c>
      <c r="L651" s="229">
        <v>0</v>
      </c>
      <c r="M651" s="229">
        <v>16168.937355040121</v>
      </c>
      <c r="N651" s="229">
        <v>509.66079235973211</v>
      </c>
      <c r="O651" s="229">
        <v>4507.7217054984612</v>
      </c>
      <c r="P651" s="229">
        <v>42.308857683583</v>
      </c>
      <c r="Q651" s="229">
        <v>240.69279132127394</v>
      </c>
      <c r="R651" s="229">
        <v>4507.7217054984621</v>
      </c>
      <c r="S651" s="229">
        <v>74.243570961856946</v>
      </c>
      <c r="T651" s="229">
        <v>0</v>
      </c>
      <c r="U651" s="229">
        <v>0</v>
      </c>
      <c r="V651" s="229">
        <v>0</v>
      </c>
      <c r="W651" s="229">
        <v>0</v>
      </c>
      <c r="X651" s="229">
        <v>0</v>
      </c>
      <c r="Y651" s="229">
        <v>0</v>
      </c>
      <c r="Z651" s="229">
        <v>0</v>
      </c>
      <c r="AA651" s="229">
        <v>0</v>
      </c>
      <c r="AB651" s="229">
        <v>0</v>
      </c>
      <c r="AC651" s="229">
        <v>0</v>
      </c>
      <c r="AD651" s="229">
        <v>0.78958289722246422</v>
      </c>
      <c r="AE651" s="229">
        <v>0.32791619875025735</v>
      </c>
      <c r="AF651" s="229">
        <v>0.2988311493635552</v>
      </c>
      <c r="AG651" s="229">
        <v>0</v>
      </c>
      <c r="AH651" s="229">
        <v>0</v>
      </c>
      <c r="AI651" s="229">
        <v>0</v>
      </c>
      <c r="AJ651" s="229">
        <v>0</v>
      </c>
      <c r="AK651" s="229">
        <v>7942.9851015151489</v>
      </c>
      <c r="AL651" s="229">
        <v>0</v>
      </c>
      <c r="AM651" s="229">
        <v>0</v>
      </c>
      <c r="AN651" s="229">
        <v>0</v>
      </c>
      <c r="AO651" s="229">
        <v>0</v>
      </c>
      <c r="AP651" s="229">
        <v>0</v>
      </c>
      <c r="AQ651" s="229">
        <v>0</v>
      </c>
      <c r="AR651" s="229">
        <v>0</v>
      </c>
      <c r="AS651" s="229">
        <v>0</v>
      </c>
      <c r="AT651" s="229">
        <v>0</v>
      </c>
      <c r="AU651" s="229">
        <v>0</v>
      </c>
      <c r="AV651" s="229">
        <v>0</v>
      </c>
      <c r="AW651" s="229">
        <v>0</v>
      </c>
      <c r="AX651" s="229">
        <v>0</v>
      </c>
      <c r="AY651" s="229">
        <v>0</v>
      </c>
      <c r="AZ651" s="229">
        <v>0</v>
      </c>
      <c r="BA651" s="229">
        <v>0</v>
      </c>
      <c r="BB651" s="229">
        <v>0</v>
      </c>
      <c r="BC651" s="229">
        <v>0</v>
      </c>
    </row>
    <row r="652" spans="3:55" outlineLevel="2" x14ac:dyDescent="0.2">
      <c r="C652" s="162" t="str">
        <v>Puertos RNC - sitios E1 para datos</v>
      </c>
      <c r="D652" s="86"/>
      <c r="E652" s="86"/>
      <c r="F652" s="229">
        <v>0</v>
      </c>
      <c r="G652" s="229">
        <v>0</v>
      </c>
      <c r="H652" s="229">
        <v>0</v>
      </c>
      <c r="I652" s="229">
        <v>0</v>
      </c>
      <c r="J652" s="229">
        <v>0</v>
      </c>
      <c r="K652" s="229">
        <v>0</v>
      </c>
      <c r="L652" s="229">
        <v>0</v>
      </c>
      <c r="M652" s="229">
        <v>0</v>
      </c>
      <c r="N652" s="229">
        <v>0</v>
      </c>
      <c r="O652" s="229">
        <v>0</v>
      </c>
      <c r="P652" s="229">
        <v>0</v>
      </c>
      <c r="Q652" s="229">
        <v>0</v>
      </c>
      <c r="R652" s="229">
        <v>0</v>
      </c>
      <c r="S652" s="229">
        <v>0</v>
      </c>
      <c r="T652" s="229">
        <v>0</v>
      </c>
      <c r="U652" s="229">
        <v>0</v>
      </c>
      <c r="V652" s="229">
        <v>0</v>
      </c>
      <c r="W652" s="229">
        <v>0</v>
      </c>
      <c r="X652" s="229">
        <v>0</v>
      </c>
      <c r="Y652" s="229">
        <v>0</v>
      </c>
      <c r="Z652" s="229">
        <v>0</v>
      </c>
      <c r="AA652" s="229">
        <v>0</v>
      </c>
      <c r="AB652" s="229">
        <v>0</v>
      </c>
      <c r="AC652" s="229">
        <v>0</v>
      </c>
      <c r="AD652" s="229">
        <v>0</v>
      </c>
      <c r="AE652" s="229">
        <v>0</v>
      </c>
      <c r="AF652" s="229">
        <v>0</v>
      </c>
      <c r="AG652" s="229">
        <v>0</v>
      </c>
      <c r="AH652" s="229">
        <v>0</v>
      </c>
      <c r="AI652" s="229">
        <v>0</v>
      </c>
      <c r="AJ652" s="229">
        <v>0</v>
      </c>
      <c r="AK652" s="229">
        <v>0</v>
      </c>
      <c r="AL652" s="229">
        <v>0</v>
      </c>
      <c r="AM652" s="229">
        <v>0</v>
      </c>
      <c r="AN652" s="229">
        <v>0</v>
      </c>
      <c r="AO652" s="229">
        <v>0</v>
      </c>
      <c r="AP652" s="229">
        <v>0</v>
      </c>
      <c r="AQ652" s="229">
        <v>0</v>
      </c>
      <c r="AR652" s="229">
        <v>0</v>
      </c>
      <c r="AS652" s="229">
        <v>0</v>
      </c>
      <c r="AT652" s="229">
        <v>0</v>
      </c>
      <c r="AU652" s="229">
        <v>0</v>
      </c>
      <c r="AV652" s="229">
        <v>0</v>
      </c>
      <c r="AW652" s="229">
        <v>0</v>
      </c>
      <c r="AX652" s="229">
        <v>0</v>
      </c>
      <c r="AY652" s="229">
        <v>0</v>
      </c>
      <c r="AZ652" s="229">
        <v>0</v>
      </c>
      <c r="BA652" s="229">
        <v>0</v>
      </c>
      <c r="BB652" s="229">
        <v>0</v>
      </c>
      <c r="BC652" s="229">
        <v>0</v>
      </c>
    </row>
    <row r="653" spans="3:55" outlineLevel="2" x14ac:dyDescent="0.2">
      <c r="C653" s="162" t="str">
        <v>Puertos RNC - sitios 10M para datos</v>
      </c>
      <c r="D653" s="86"/>
      <c r="E653" s="86"/>
      <c r="F653" s="229">
        <v>0</v>
      </c>
      <c r="G653" s="229">
        <v>0</v>
      </c>
      <c r="H653" s="229">
        <v>0</v>
      </c>
      <c r="I653" s="229">
        <v>0</v>
      </c>
      <c r="J653" s="229">
        <v>0</v>
      </c>
      <c r="K653" s="229">
        <v>0</v>
      </c>
      <c r="L653" s="229">
        <v>0</v>
      </c>
      <c r="M653" s="229">
        <v>0</v>
      </c>
      <c r="N653" s="229">
        <v>0</v>
      </c>
      <c r="O653" s="229">
        <v>0</v>
      </c>
      <c r="P653" s="229">
        <v>0</v>
      </c>
      <c r="Q653" s="229">
        <v>0</v>
      </c>
      <c r="R653" s="229">
        <v>0</v>
      </c>
      <c r="S653" s="229">
        <v>0</v>
      </c>
      <c r="T653" s="229">
        <v>0</v>
      </c>
      <c r="U653" s="229">
        <v>0</v>
      </c>
      <c r="V653" s="229">
        <v>0</v>
      </c>
      <c r="W653" s="229">
        <v>0</v>
      </c>
      <c r="X653" s="229">
        <v>0</v>
      </c>
      <c r="Y653" s="229">
        <v>0</v>
      </c>
      <c r="Z653" s="229">
        <v>0</v>
      </c>
      <c r="AA653" s="229">
        <v>0</v>
      </c>
      <c r="AB653" s="229">
        <v>0</v>
      </c>
      <c r="AC653" s="229">
        <v>0</v>
      </c>
      <c r="AD653" s="229">
        <v>0</v>
      </c>
      <c r="AE653" s="229">
        <v>0</v>
      </c>
      <c r="AF653" s="229">
        <v>2205.3164907355149</v>
      </c>
      <c r="AG653" s="229">
        <v>0</v>
      </c>
      <c r="AH653" s="229">
        <v>0</v>
      </c>
      <c r="AI653" s="229">
        <v>0</v>
      </c>
      <c r="AJ653" s="229">
        <v>0</v>
      </c>
      <c r="AK653" s="229">
        <v>0</v>
      </c>
      <c r="AL653" s="229">
        <v>126253.51753777354</v>
      </c>
      <c r="AM653" s="229">
        <v>0</v>
      </c>
      <c r="AN653" s="229">
        <v>0</v>
      </c>
      <c r="AO653" s="229">
        <v>0</v>
      </c>
      <c r="AP653" s="229">
        <v>0</v>
      </c>
      <c r="AQ653" s="229">
        <v>0</v>
      </c>
      <c r="AR653" s="229">
        <v>0</v>
      </c>
      <c r="AS653" s="229">
        <v>0</v>
      </c>
      <c r="AT653" s="229">
        <v>0</v>
      </c>
      <c r="AU653" s="229">
        <v>0</v>
      </c>
      <c r="AV653" s="229">
        <v>0</v>
      </c>
      <c r="AW653" s="229">
        <v>0</v>
      </c>
      <c r="AX653" s="229">
        <v>0</v>
      </c>
      <c r="AY653" s="229">
        <v>0</v>
      </c>
      <c r="AZ653" s="229">
        <v>0</v>
      </c>
      <c r="BA653" s="229">
        <v>0</v>
      </c>
      <c r="BB653" s="229">
        <v>0</v>
      </c>
      <c r="BC653" s="229">
        <v>0</v>
      </c>
    </row>
    <row r="654" spans="3:55" outlineLevel="2" x14ac:dyDescent="0.2">
      <c r="C654" s="162" t="str">
        <v>Puertos BSC a Core: Voz: 8.45</v>
      </c>
      <c r="D654" s="86"/>
      <c r="E654" s="86"/>
      <c r="F654" s="229">
        <v>0</v>
      </c>
      <c r="G654" s="229">
        <v>0</v>
      </c>
      <c r="H654" s="229">
        <v>0</v>
      </c>
      <c r="I654" s="229">
        <v>0</v>
      </c>
      <c r="J654" s="229">
        <v>0</v>
      </c>
      <c r="K654" s="229">
        <v>0</v>
      </c>
      <c r="L654" s="229">
        <v>0</v>
      </c>
      <c r="M654" s="229">
        <v>0</v>
      </c>
      <c r="N654" s="229">
        <v>0</v>
      </c>
      <c r="O654" s="229">
        <v>0</v>
      </c>
      <c r="P654" s="229">
        <v>0</v>
      </c>
      <c r="Q654" s="229">
        <v>0</v>
      </c>
      <c r="R654" s="229">
        <v>0</v>
      </c>
      <c r="S654" s="229">
        <v>0</v>
      </c>
      <c r="T654" s="229">
        <v>0</v>
      </c>
      <c r="U654" s="229">
        <v>0</v>
      </c>
      <c r="V654" s="229">
        <v>0</v>
      </c>
      <c r="W654" s="229">
        <v>0</v>
      </c>
      <c r="X654" s="229">
        <v>0</v>
      </c>
      <c r="Y654" s="229">
        <v>0</v>
      </c>
      <c r="Z654" s="229">
        <v>0</v>
      </c>
      <c r="AA654" s="229">
        <v>0</v>
      </c>
      <c r="AB654" s="229">
        <v>0</v>
      </c>
      <c r="AC654" s="229">
        <v>0</v>
      </c>
      <c r="AD654" s="229">
        <v>0</v>
      </c>
      <c r="AE654" s="229">
        <v>0</v>
      </c>
      <c r="AF654" s="229">
        <v>0</v>
      </c>
      <c r="AG654" s="229">
        <v>0</v>
      </c>
      <c r="AH654" s="229">
        <v>0</v>
      </c>
      <c r="AI654" s="229">
        <v>0</v>
      </c>
      <c r="AJ654" s="229">
        <v>0</v>
      </c>
      <c r="AK654" s="229">
        <v>0</v>
      </c>
      <c r="AL654" s="229">
        <v>0</v>
      </c>
      <c r="AM654" s="229">
        <v>0</v>
      </c>
      <c r="AN654" s="229">
        <v>0</v>
      </c>
      <c r="AO654" s="229">
        <v>0</v>
      </c>
      <c r="AP654" s="229">
        <v>0</v>
      </c>
      <c r="AQ654" s="229">
        <v>0</v>
      </c>
      <c r="AR654" s="229">
        <v>0</v>
      </c>
      <c r="AS654" s="229">
        <v>0</v>
      </c>
      <c r="AT654" s="229">
        <v>0</v>
      </c>
      <c r="AU654" s="229">
        <v>0</v>
      </c>
      <c r="AV654" s="229">
        <v>0</v>
      </c>
      <c r="AW654" s="229">
        <v>0</v>
      </c>
      <c r="AX654" s="229">
        <v>0</v>
      </c>
      <c r="AY654" s="229">
        <v>0</v>
      </c>
      <c r="AZ654" s="229">
        <v>0</v>
      </c>
      <c r="BA654" s="229">
        <v>0</v>
      </c>
      <c r="BB654" s="229">
        <v>0</v>
      </c>
      <c r="BC654" s="229">
        <v>0</v>
      </c>
    </row>
    <row r="655" spans="3:55" outlineLevel="2" x14ac:dyDescent="0.2">
      <c r="C655" s="162" t="str">
        <v>Puertos BSC a Core: Voz: 34.37</v>
      </c>
      <c r="D655" s="86"/>
      <c r="E655" s="86"/>
      <c r="F655" s="229">
        <v>0</v>
      </c>
      <c r="G655" s="229">
        <v>0</v>
      </c>
      <c r="H655" s="229">
        <v>0</v>
      </c>
      <c r="I655" s="229">
        <v>0</v>
      </c>
      <c r="J655" s="229">
        <v>0</v>
      </c>
      <c r="K655" s="229">
        <v>0</v>
      </c>
      <c r="L655" s="229">
        <v>0</v>
      </c>
      <c r="M655" s="229">
        <v>0</v>
      </c>
      <c r="N655" s="229">
        <v>0</v>
      </c>
      <c r="O655" s="229">
        <v>0</v>
      </c>
      <c r="P655" s="229">
        <v>0</v>
      </c>
      <c r="Q655" s="229">
        <v>0</v>
      </c>
      <c r="R655" s="229">
        <v>0</v>
      </c>
      <c r="S655" s="229">
        <v>0</v>
      </c>
      <c r="T655" s="229">
        <v>0</v>
      </c>
      <c r="U655" s="229">
        <v>0</v>
      </c>
      <c r="V655" s="229">
        <v>0</v>
      </c>
      <c r="W655" s="229">
        <v>0</v>
      </c>
      <c r="X655" s="229">
        <v>0</v>
      </c>
      <c r="Y655" s="229">
        <v>0</v>
      </c>
      <c r="Z655" s="229">
        <v>0</v>
      </c>
      <c r="AA655" s="229">
        <v>0</v>
      </c>
      <c r="AB655" s="229">
        <v>0</v>
      </c>
      <c r="AC655" s="229">
        <v>0</v>
      </c>
      <c r="AD655" s="229">
        <v>0</v>
      </c>
      <c r="AE655" s="229">
        <v>0</v>
      </c>
      <c r="AF655" s="229">
        <v>0</v>
      </c>
      <c r="AG655" s="229">
        <v>0</v>
      </c>
      <c r="AH655" s="229">
        <v>0</v>
      </c>
      <c r="AI655" s="229">
        <v>0</v>
      </c>
      <c r="AJ655" s="229">
        <v>0</v>
      </c>
      <c r="AK655" s="229">
        <v>0</v>
      </c>
      <c r="AL655" s="229">
        <v>0</v>
      </c>
      <c r="AM655" s="229">
        <v>0</v>
      </c>
      <c r="AN655" s="229">
        <v>0</v>
      </c>
      <c r="AO655" s="229">
        <v>0</v>
      </c>
      <c r="AP655" s="229">
        <v>0</v>
      </c>
      <c r="AQ655" s="229">
        <v>0</v>
      </c>
      <c r="AR655" s="229">
        <v>0</v>
      </c>
      <c r="AS655" s="229">
        <v>0</v>
      </c>
      <c r="AT655" s="229">
        <v>0</v>
      </c>
      <c r="AU655" s="229">
        <v>0</v>
      </c>
      <c r="AV655" s="229">
        <v>0</v>
      </c>
      <c r="AW655" s="229">
        <v>0</v>
      </c>
      <c r="AX655" s="229">
        <v>0</v>
      </c>
      <c r="AY655" s="229">
        <v>0</v>
      </c>
      <c r="AZ655" s="229">
        <v>0</v>
      </c>
      <c r="BA655" s="229">
        <v>0</v>
      </c>
      <c r="BB655" s="229">
        <v>0</v>
      </c>
      <c r="BC655" s="229">
        <v>0</v>
      </c>
    </row>
    <row r="656" spans="3:55" outlineLevel="2" x14ac:dyDescent="0.2">
      <c r="C656" s="162" t="str">
        <v>Puertos BSC a Core: Voz: 155.52</v>
      </c>
      <c r="D656" s="86"/>
      <c r="E656" s="86"/>
      <c r="F656" s="229">
        <v>84923.302970384</v>
      </c>
      <c r="G656" s="229">
        <v>2676.8659517503652</v>
      </c>
      <c r="H656" s="229">
        <v>23675.68181485308</v>
      </c>
      <c r="I656" s="229">
        <v>222.21670234091047</v>
      </c>
      <c r="J656" s="229">
        <v>1264.1787392287936</v>
      </c>
      <c r="K656" s="229">
        <v>23675.68181485308</v>
      </c>
      <c r="L656" s="229">
        <v>389.94580360790428</v>
      </c>
      <c r="M656" s="229">
        <v>0</v>
      </c>
      <c r="N656" s="229">
        <v>0</v>
      </c>
      <c r="O656" s="229">
        <v>0</v>
      </c>
      <c r="P656" s="229">
        <v>0</v>
      </c>
      <c r="Q656" s="229">
        <v>0</v>
      </c>
      <c r="R656" s="229">
        <v>0</v>
      </c>
      <c r="S656" s="229">
        <v>0</v>
      </c>
      <c r="T656" s="229">
        <v>0</v>
      </c>
      <c r="U656" s="229">
        <v>0</v>
      </c>
      <c r="V656" s="229">
        <v>0</v>
      </c>
      <c r="W656" s="229">
        <v>0</v>
      </c>
      <c r="X656" s="229">
        <v>0</v>
      </c>
      <c r="Y656" s="229">
        <v>0</v>
      </c>
      <c r="Z656" s="229">
        <v>0</v>
      </c>
      <c r="AA656" s="229">
        <v>14.057921550056911</v>
      </c>
      <c r="AB656" s="229">
        <v>5.8382979333013276</v>
      </c>
      <c r="AC656" s="229">
        <v>5.3204608018283679</v>
      </c>
      <c r="AD656" s="229">
        <v>0</v>
      </c>
      <c r="AE656" s="229">
        <v>0</v>
      </c>
      <c r="AF656" s="229">
        <v>0</v>
      </c>
      <c r="AG656" s="229">
        <v>0</v>
      </c>
      <c r="AH656" s="229">
        <v>0</v>
      </c>
      <c r="AI656" s="229">
        <v>0</v>
      </c>
      <c r="AJ656" s="229">
        <v>0</v>
      </c>
      <c r="AK656" s="229">
        <v>0</v>
      </c>
      <c r="AL656" s="229">
        <v>0</v>
      </c>
      <c r="AM656" s="229">
        <v>0</v>
      </c>
      <c r="AN656" s="229">
        <v>0</v>
      </c>
      <c r="AO656" s="229">
        <v>0</v>
      </c>
      <c r="AP656" s="229">
        <v>0</v>
      </c>
      <c r="AQ656" s="229">
        <v>0</v>
      </c>
      <c r="AR656" s="229">
        <v>0</v>
      </c>
      <c r="AS656" s="229">
        <v>0</v>
      </c>
      <c r="AT656" s="229">
        <v>0</v>
      </c>
      <c r="AU656" s="229">
        <v>0</v>
      </c>
      <c r="AV656" s="229">
        <v>0</v>
      </c>
      <c r="AW656" s="229">
        <v>0</v>
      </c>
      <c r="AX656" s="229">
        <v>0</v>
      </c>
      <c r="AY656" s="229">
        <v>0</v>
      </c>
      <c r="AZ656" s="229">
        <v>0</v>
      </c>
      <c r="BA656" s="229">
        <v>0</v>
      </c>
      <c r="BB656" s="229">
        <v>0</v>
      </c>
      <c r="BC656" s="229">
        <v>0</v>
      </c>
    </row>
    <row r="657" spans="3:55" outlineLevel="2" x14ac:dyDescent="0.2">
      <c r="C657" s="162" t="str">
        <v>Puertos BSC a Core: Voz: 30</v>
      </c>
      <c r="D657" s="86"/>
      <c r="E657" s="86"/>
      <c r="F657" s="229">
        <v>0</v>
      </c>
      <c r="G657" s="229">
        <v>0</v>
      </c>
      <c r="H657" s="229">
        <v>0</v>
      </c>
      <c r="I657" s="229">
        <v>0</v>
      </c>
      <c r="J657" s="229">
        <v>0</v>
      </c>
      <c r="K657" s="229">
        <v>0</v>
      </c>
      <c r="L657" s="229">
        <v>0</v>
      </c>
      <c r="M657" s="229">
        <v>0</v>
      </c>
      <c r="N657" s="229">
        <v>0</v>
      </c>
      <c r="O657" s="229">
        <v>0</v>
      </c>
      <c r="P657" s="229">
        <v>0</v>
      </c>
      <c r="Q657" s="229">
        <v>0</v>
      </c>
      <c r="R657" s="229">
        <v>0</v>
      </c>
      <c r="S657" s="229">
        <v>0</v>
      </c>
      <c r="T657" s="229">
        <v>0</v>
      </c>
      <c r="U657" s="229">
        <v>0</v>
      </c>
      <c r="V657" s="229">
        <v>0</v>
      </c>
      <c r="W657" s="229">
        <v>0</v>
      </c>
      <c r="X657" s="229">
        <v>0</v>
      </c>
      <c r="Y657" s="229">
        <v>0</v>
      </c>
      <c r="Z657" s="229">
        <v>0</v>
      </c>
      <c r="AA657" s="229">
        <v>0</v>
      </c>
      <c r="AB657" s="229">
        <v>0</v>
      </c>
      <c r="AC657" s="229">
        <v>0</v>
      </c>
      <c r="AD657" s="229">
        <v>0</v>
      </c>
      <c r="AE657" s="229">
        <v>0</v>
      </c>
      <c r="AF657" s="229">
        <v>0</v>
      </c>
      <c r="AG657" s="229">
        <v>0</v>
      </c>
      <c r="AH657" s="229">
        <v>0</v>
      </c>
      <c r="AI657" s="229">
        <v>0</v>
      </c>
      <c r="AJ657" s="229">
        <v>0</v>
      </c>
      <c r="AK657" s="229">
        <v>0</v>
      </c>
      <c r="AL657" s="229">
        <v>0</v>
      </c>
      <c r="AM657" s="229">
        <v>0</v>
      </c>
      <c r="AN657" s="229">
        <v>0</v>
      </c>
      <c r="AO657" s="229">
        <v>0</v>
      </c>
      <c r="AP657" s="229">
        <v>0</v>
      </c>
      <c r="AQ657" s="229">
        <v>0</v>
      </c>
      <c r="AR657" s="229">
        <v>0</v>
      </c>
      <c r="AS657" s="229">
        <v>0</v>
      </c>
      <c r="AT657" s="229">
        <v>0</v>
      </c>
      <c r="AU657" s="229">
        <v>0</v>
      </c>
      <c r="AV657" s="229">
        <v>0</v>
      </c>
      <c r="AW657" s="229">
        <v>0</v>
      </c>
      <c r="AX657" s="229">
        <v>0</v>
      </c>
      <c r="AY657" s="229">
        <v>0</v>
      </c>
      <c r="AZ657" s="229">
        <v>0</v>
      </c>
      <c r="BA657" s="229">
        <v>0</v>
      </c>
      <c r="BB657" s="229">
        <v>0</v>
      </c>
      <c r="BC657" s="229">
        <v>0</v>
      </c>
    </row>
    <row r="658" spans="3:55" outlineLevel="2" x14ac:dyDescent="0.2">
      <c r="C658" s="162" t="str">
        <v>Puertos BSC a Core: Voz: 100</v>
      </c>
      <c r="D658" s="86"/>
      <c r="E658" s="86"/>
      <c r="F658" s="229">
        <v>0</v>
      </c>
      <c r="G658" s="229">
        <v>0</v>
      </c>
      <c r="H658" s="229">
        <v>0</v>
      </c>
      <c r="I658" s="229">
        <v>0</v>
      </c>
      <c r="J658" s="229">
        <v>0</v>
      </c>
      <c r="K658" s="229">
        <v>0</v>
      </c>
      <c r="L658" s="229">
        <v>0</v>
      </c>
      <c r="M658" s="229">
        <v>0</v>
      </c>
      <c r="N658" s="229">
        <v>0</v>
      </c>
      <c r="O658" s="229">
        <v>0</v>
      </c>
      <c r="P658" s="229">
        <v>0</v>
      </c>
      <c r="Q658" s="229">
        <v>0</v>
      </c>
      <c r="R658" s="229">
        <v>0</v>
      </c>
      <c r="S658" s="229">
        <v>0</v>
      </c>
      <c r="T658" s="229">
        <v>0</v>
      </c>
      <c r="U658" s="229">
        <v>0</v>
      </c>
      <c r="V658" s="229">
        <v>0</v>
      </c>
      <c r="W658" s="229">
        <v>0</v>
      </c>
      <c r="X658" s="229">
        <v>0</v>
      </c>
      <c r="Y658" s="229">
        <v>0</v>
      </c>
      <c r="Z658" s="229">
        <v>0</v>
      </c>
      <c r="AA658" s="229">
        <v>0</v>
      </c>
      <c r="AB658" s="229">
        <v>0</v>
      </c>
      <c r="AC658" s="229">
        <v>0</v>
      </c>
      <c r="AD658" s="229">
        <v>0</v>
      </c>
      <c r="AE658" s="229">
        <v>0</v>
      </c>
      <c r="AF658" s="229">
        <v>0</v>
      </c>
      <c r="AG658" s="229">
        <v>0</v>
      </c>
      <c r="AH658" s="229">
        <v>0</v>
      </c>
      <c r="AI658" s="229">
        <v>0</v>
      </c>
      <c r="AJ658" s="229">
        <v>0</v>
      </c>
      <c r="AK658" s="229">
        <v>0</v>
      </c>
      <c r="AL658" s="229">
        <v>0</v>
      </c>
      <c r="AM658" s="229">
        <v>0</v>
      </c>
      <c r="AN658" s="229">
        <v>0</v>
      </c>
      <c r="AO658" s="229">
        <v>0</v>
      </c>
      <c r="AP658" s="229">
        <v>0</v>
      </c>
      <c r="AQ658" s="229">
        <v>0</v>
      </c>
      <c r="AR658" s="229">
        <v>0</v>
      </c>
      <c r="AS658" s="229">
        <v>0</v>
      </c>
      <c r="AT658" s="229">
        <v>0</v>
      </c>
      <c r="AU658" s="229">
        <v>0</v>
      </c>
      <c r="AV658" s="229">
        <v>0</v>
      </c>
      <c r="AW658" s="229">
        <v>0</v>
      </c>
      <c r="AX658" s="229">
        <v>0</v>
      </c>
      <c r="AY658" s="229">
        <v>0</v>
      </c>
      <c r="AZ658" s="229">
        <v>0</v>
      </c>
      <c r="BA658" s="229">
        <v>0</v>
      </c>
      <c r="BB658" s="229">
        <v>0</v>
      </c>
      <c r="BC658" s="229">
        <v>0</v>
      </c>
    </row>
    <row r="659" spans="3:55" outlineLevel="2" x14ac:dyDescent="0.2">
      <c r="C659" s="162" t="str">
        <v>Puertos BSC a Core: Voz: 1024</v>
      </c>
      <c r="D659" s="86"/>
      <c r="E659" s="86"/>
      <c r="F659" s="229">
        <v>0</v>
      </c>
      <c r="G659" s="229">
        <v>0</v>
      </c>
      <c r="H659" s="229">
        <v>0</v>
      </c>
      <c r="I659" s="229">
        <v>0</v>
      </c>
      <c r="J659" s="229">
        <v>0</v>
      </c>
      <c r="K659" s="229">
        <v>0</v>
      </c>
      <c r="L659" s="229">
        <v>0</v>
      </c>
      <c r="M659" s="229">
        <v>0</v>
      </c>
      <c r="N659" s="229">
        <v>0</v>
      </c>
      <c r="O659" s="229">
        <v>0</v>
      </c>
      <c r="P659" s="229">
        <v>0</v>
      </c>
      <c r="Q659" s="229">
        <v>0</v>
      </c>
      <c r="R659" s="229">
        <v>0</v>
      </c>
      <c r="S659" s="229">
        <v>0</v>
      </c>
      <c r="T659" s="229">
        <v>0</v>
      </c>
      <c r="U659" s="229">
        <v>0</v>
      </c>
      <c r="V659" s="229">
        <v>0</v>
      </c>
      <c r="W659" s="229">
        <v>0</v>
      </c>
      <c r="X659" s="229">
        <v>0</v>
      </c>
      <c r="Y659" s="229">
        <v>0</v>
      </c>
      <c r="Z659" s="229">
        <v>0</v>
      </c>
      <c r="AA659" s="229">
        <v>0</v>
      </c>
      <c r="AB659" s="229">
        <v>0</v>
      </c>
      <c r="AC659" s="229">
        <v>0</v>
      </c>
      <c r="AD659" s="229">
        <v>0</v>
      </c>
      <c r="AE659" s="229">
        <v>0</v>
      </c>
      <c r="AF659" s="229">
        <v>0</v>
      </c>
      <c r="AG659" s="229">
        <v>0</v>
      </c>
      <c r="AH659" s="229">
        <v>0</v>
      </c>
      <c r="AI659" s="229">
        <v>0</v>
      </c>
      <c r="AJ659" s="229">
        <v>0</v>
      </c>
      <c r="AK659" s="229">
        <v>0</v>
      </c>
      <c r="AL659" s="229">
        <v>0</v>
      </c>
      <c r="AM659" s="229">
        <v>0</v>
      </c>
      <c r="AN659" s="229">
        <v>0</v>
      </c>
      <c r="AO659" s="229">
        <v>0</v>
      </c>
      <c r="AP659" s="229">
        <v>0</v>
      </c>
      <c r="AQ659" s="229">
        <v>0</v>
      </c>
      <c r="AR659" s="229">
        <v>0</v>
      </c>
      <c r="AS659" s="229">
        <v>0</v>
      </c>
      <c r="AT659" s="229">
        <v>0</v>
      </c>
      <c r="AU659" s="229">
        <v>0</v>
      </c>
      <c r="AV659" s="229">
        <v>0</v>
      </c>
      <c r="AW659" s="229">
        <v>0</v>
      </c>
      <c r="AX659" s="229">
        <v>0</v>
      </c>
      <c r="AY659" s="229">
        <v>0</v>
      </c>
      <c r="AZ659" s="229">
        <v>0</v>
      </c>
      <c r="BA659" s="229">
        <v>0</v>
      </c>
      <c r="BB659" s="229">
        <v>0</v>
      </c>
      <c r="BC659" s="229">
        <v>0</v>
      </c>
    </row>
    <row r="660" spans="3:55" outlineLevel="2" x14ac:dyDescent="0.2">
      <c r="C660" s="162" t="str">
        <v>Puertos BSC a Core: Datos: 8.45</v>
      </c>
      <c r="D660" s="86"/>
      <c r="E660" s="86"/>
      <c r="F660" s="229">
        <v>0</v>
      </c>
      <c r="G660" s="229">
        <v>0</v>
      </c>
      <c r="H660" s="229">
        <v>0</v>
      </c>
      <c r="I660" s="229">
        <v>0</v>
      </c>
      <c r="J660" s="229">
        <v>0</v>
      </c>
      <c r="K660" s="229">
        <v>0</v>
      </c>
      <c r="L660" s="229">
        <v>0</v>
      </c>
      <c r="M660" s="229">
        <v>0</v>
      </c>
      <c r="N660" s="229">
        <v>0</v>
      </c>
      <c r="O660" s="229">
        <v>0</v>
      </c>
      <c r="P660" s="229">
        <v>0</v>
      </c>
      <c r="Q660" s="229">
        <v>0</v>
      </c>
      <c r="R660" s="229">
        <v>0</v>
      </c>
      <c r="S660" s="229">
        <v>0</v>
      </c>
      <c r="T660" s="229">
        <v>0</v>
      </c>
      <c r="U660" s="229">
        <v>0</v>
      </c>
      <c r="V660" s="229">
        <v>0</v>
      </c>
      <c r="W660" s="229">
        <v>0</v>
      </c>
      <c r="X660" s="229">
        <v>0</v>
      </c>
      <c r="Y660" s="229">
        <v>0</v>
      </c>
      <c r="Z660" s="229">
        <v>0</v>
      </c>
      <c r="AA660" s="229">
        <v>0</v>
      </c>
      <c r="AB660" s="229">
        <v>0</v>
      </c>
      <c r="AC660" s="229">
        <v>0</v>
      </c>
      <c r="AD660" s="229">
        <v>0</v>
      </c>
      <c r="AE660" s="229">
        <v>0</v>
      </c>
      <c r="AF660" s="229">
        <v>0</v>
      </c>
      <c r="AG660" s="229">
        <v>0</v>
      </c>
      <c r="AH660" s="229">
        <v>0</v>
      </c>
      <c r="AI660" s="229">
        <v>0</v>
      </c>
      <c r="AJ660" s="229">
        <v>0</v>
      </c>
      <c r="AK660" s="229">
        <v>0</v>
      </c>
      <c r="AL660" s="229">
        <v>0</v>
      </c>
      <c r="AM660" s="229">
        <v>0</v>
      </c>
      <c r="AN660" s="229">
        <v>0</v>
      </c>
      <c r="AO660" s="229">
        <v>0</v>
      </c>
      <c r="AP660" s="229">
        <v>0</v>
      </c>
      <c r="AQ660" s="229">
        <v>0</v>
      </c>
      <c r="AR660" s="229">
        <v>0</v>
      </c>
      <c r="AS660" s="229">
        <v>0</v>
      </c>
      <c r="AT660" s="229">
        <v>0</v>
      </c>
      <c r="AU660" s="229">
        <v>0</v>
      </c>
      <c r="AV660" s="229">
        <v>0</v>
      </c>
      <c r="AW660" s="229">
        <v>0</v>
      </c>
      <c r="AX660" s="229">
        <v>0</v>
      </c>
      <c r="AY660" s="229">
        <v>0</v>
      </c>
      <c r="AZ660" s="229">
        <v>0</v>
      </c>
      <c r="BA660" s="229">
        <v>0</v>
      </c>
      <c r="BB660" s="229">
        <v>0</v>
      </c>
      <c r="BC660" s="229">
        <v>0</v>
      </c>
    </row>
    <row r="661" spans="3:55" outlineLevel="2" x14ac:dyDescent="0.2">
      <c r="C661" s="162" t="str">
        <v>Puertos BSC a Core: Datos: 34.37</v>
      </c>
      <c r="D661" s="86"/>
      <c r="E661" s="86"/>
      <c r="F661" s="229">
        <v>0</v>
      </c>
      <c r="G661" s="229">
        <v>0</v>
      </c>
      <c r="H661" s="229">
        <v>0</v>
      </c>
      <c r="I661" s="229">
        <v>0</v>
      </c>
      <c r="J661" s="229">
        <v>0</v>
      </c>
      <c r="K661" s="229">
        <v>0</v>
      </c>
      <c r="L661" s="229">
        <v>0</v>
      </c>
      <c r="M661" s="229">
        <v>0</v>
      </c>
      <c r="N661" s="229">
        <v>0</v>
      </c>
      <c r="O661" s="229">
        <v>0</v>
      </c>
      <c r="P661" s="229">
        <v>0</v>
      </c>
      <c r="Q661" s="229">
        <v>0</v>
      </c>
      <c r="R661" s="229">
        <v>0</v>
      </c>
      <c r="S661" s="229">
        <v>0</v>
      </c>
      <c r="T661" s="229">
        <v>0</v>
      </c>
      <c r="U661" s="229">
        <v>0</v>
      </c>
      <c r="V661" s="229">
        <v>0</v>
      </c>
      <c r="W661" s="229">
        <v>0</v>
      </c>
      <c r="X661" s="229">
        <v>0</v>
      </c>
      <c r="Y661" s="229">
        <v>0</v>
      </c>
      <c r="Z661" s="229">
        <v>0</v>
      </c>
      <c r="AA661" s="229">
        <v>0</v>
      </c>
      <c r="AB661" s="229">
        <v>0</v>
      </c>
      <c r="AC661" s="229">
        <v>0</v>
      </c>
      <c r="AD661" s="229">
        <v>0</v>
      </c>
      <c r="AE661" s="229">
        <v>0</v>
      </c>
      <c r="AF661" s="229">
        <v>0</v>
      </c>
      <c r="AG661" s="229">
        <v>0</v>
      </c>
      <c r="AH661" s="229">
        <v>0</v>
      </c>
      <c r="AI661" s="229">
        <v>0</v>
      </c>
      <c r="AJ661" s="229">
        <v>0</v>
      </c>
      <c r="AK661" s="229">
        <v>0</v>
      </c>
      <c r="AL661" s="229">
        <v>0</v>
      </c>
      <c r="AM661" s="229">
        <v>0</v>
      </c>
      <c r="AN661" s="229">
        <v>0</v>
      </c>
      <c r="AO661" s="229">
        <v>0</v>
      </c>
      <c r="AP661" s="229">
        <v>0</v>
      </c>
      <c r="AQ661" s="229">
        <v>0</v>
      </c>
      <c r="AR661" s="229">
        <v>0</v>
      </c>
      <c r="AS661" s="229">
        <v>0</v>
      </c>
      <c r="AT661" s="229">
        <v>0</v>
      </c>
      <c r="AU661" s="229">
        <v>0</v>
      </c>
      <c r="AV661" s="229">
        <v>0</v>
      </c>
      <c r="AW661" s="229">
        <v>0</v>
      </c>
      <c r="AX661" s="229">
        <v>0</v>
      </c>
      <c r="AY661" s="229">
        <v>0</v>
      </c>
      <c r="AZ661" s="229">
        <v>0</v>
      </c>
      <c r="BA661" s="229">
        <v>0</v>
      </c>
      <c r="BB661" s="229">
        <v>0</v>
      </c>
      <c r="BC661" s="229">
        <v>0</v>
      </c>
    </row>
    <row r="662" spans="3:55" outlineLevel="2" x14ac:dyDescent="0.2">
      <c r="C662" s="162" t="str">
        <v>Puertos BSC a Core: Datos: 155.52</v>
      </c>
      <c r="D662" s="86"/>
      <c r="E662" s="86"/>
      <c r="F662" s="229">
        <v>0</v>
      </c>
      <c r="G662" s="229">
        <v>0</v>
      </c>
      <c r="H662" s="229">
        <v>0</v>
      </c>
      <c r="I662" s="229">
        <v>0</v>
      </c>
      <c r="J662" s="229">
        <v>0</v>
      </c>
      <c r="K662" s="229">
        <v>0</v>
      </c>
      <c r="L662" s="229">
        <v>0</v>
      </c>
      <c r="M662" s="229">
        <v>0</v>
      </c>
      <c r="N662" s="229">
        <v>0</v>
      </c>
      <c r="O662" s="229">
        <v>0</v>
      </c>
      <c r="P662" s="229">
        <v>0</v>
      </c>
      <c r="Q662" s="229">
        <v>0</v>
      </c>
      <c r="R662" s="229">
        <v>0</v>
      </c>
      <c r="S662" s="229">
        <v>0</v>
      </c>
      <c r="T662" s="229">
        <v>0</v>
      </c>
      <c r="U662" s="229">
        <v>0</v>
      </c>
      <c r="V662" s="229">
        <v>0</v>
      </c>
      <c r="W662" s="229">
        <v>0</v>
      </c>
      <c r="X662" s="229">
        <v>0</v>
      </c>
      <c r="Y662" s="229">
        <v>0</v>
      </c>
      <c r="Z662" s="229">
        <v>0</v>
      </c>
      <c r="AA662" s="229">
        <v>0</v>
      </c>
      <c r="AB662" s="229">
        <v>0</v>
      </c>
      <c r="AC662" s="229">
        <v>0</v>
      </c>
      <c r="AD662" s="229">
        <v>0</v>
      </c>
      <c r="AE662" s="229">
        <v>0</v>
      </c>
      <c r="AF662" s="229">
        <v>0</v>
      </c>
      <c r="AG662" s="229">
        <v>0</v>
      </c>
      <c r="AH662" s="229">
        <v>0</v>
      </c>
      <c r="AI662" s="229">
        <v>0</v>
      </c>
      <c r="AJ662" s="229">
        <v>0</v>
      </c>
      <c r="AK662" s="229">
        <v>0</v>
      </c>
      <c r="AL662" s="229">
        <v>0</v>
      </c>
      <c r="AM662" s="229">
        <v>0</v>
      </c>
      <c r="AN662" s="229">
        <v>0</v>
      </c>
      <c r="AO662" s="229">
        <v>0</v>
      </c>
      <c r="AP662" s="229">
        <v>0</v>
      </c>
      <c r="AQ662" s="229">
        <v>0</v>
      </c>
      <c r="AR662" s="229">
        <v>0</v>
      </c>
      <c r="AS662" s="229">
        <v>0</v>
      </c>
      <c r="AT662" s="229">
        <v>0</v>
      </c>
      <c r="AU662" s="229">
        <v>0</v>
      </c>
      <c r="AV662" s="229">
        <v>0</v>
      </c>
      <c r="AW662" s="229">
        <v>0</v>
      </c>
      <c r="AX662" s="229">
        <v>0</v>
      </c>
      <c r="AY662" s="229">
        <v>0</v>
      </c>
      <c r="AZ662" s="229">
        <v>0</v>
      </c>
      <c r="BA662" s="229">
        <v>0</v>
      </c>
      <c r="BB662" s="229">
        <v>0</v>
      </c>
      <c r="BC662" s="229">
        <v>0</v>
      </c>
    </row>
    <row r="663" spans="3:55" outlineLevel="2" x14ac:dyDescent="0.2">
      <c r="C663" s="162" t="str">
        <v>Puertos BSC a Core: Datos: 30</v>
      </c>
      <c r="D663" s="86"/>
      <c r="E663" s="86"/>
      <c r="F663" s="229">
        <v>0</v>
      </c>
      <c r="G663" s="229">
        <v>0</v>
      </c>
      <c r="H663" s="229">
        <v>0</v>
      </c>
      <c r="I663" s="229">
        <v>0</v>
      </c>
      <c r="J663" s="229">
        <v>0</v>
      </c>
      <c r="K663" s="229">
        <v>0</v>
      </c>
      <c r="L663" s="229">
        <v>0</v>
      </c>
      <c r="M663" s="229">
        <v>0</v>
      </c>
      <c r="N663" s="229">
        <v>0</v>
      </c>
      <c r="O663" s="229">
        <v>0</v>
      </c>
      <c r="P663" s="229">
        <v>0</v>
      </c>
      <c r="Q663" s="229">
        <v>0</v>
      </c>
      <c r="R663" s="229">
        <v>0</v>
      </c>
      <c r="S663" s="229">
        <v>0</v>
      </c>
      <c r="T663" s="229">
        <v>0</v>
      </c>
      <c r="U663" s="229">
        <v>0</v>
      </c>
      <c r="V663" s="229">
        <v>0</v>
      </c>
      <c r="W663" s="229">
        <v>0</v>
      </c>
      <c r="X663" s="229">
        <v>0</v>
      </c>
      <c r="Y663" s="229">
        <v>0</v>
      </c>
      <c r="Z663" s="229">
        <v>0</v>
      </c>
      <c r="AA663" s="229">
        <v>0</v>
      </c>
      <c r="AB663" s="229">
        <v>0</v>
      </c>
      <c r="AC663" s="229">
        <v>0</v>
      </c>
      <c r="AD663" s="229">
        <v>0</v>
      </c>
      <c r="AE663" s="229">
        <v>0</v>
      </c>
      <c r="AF663" s="229">
        <v>0</v>
      </c>
      <c r="AG663" s="229">
        <v>0</v>
      </c>
      <c r="AH663" s="229">
        <v>0</v>
      </c>
      <c r="AI663" s="229">
        <v>0</v>
      </c>
      <c r="AJ663" s="229">
        <v>0</v>
      </c>
      <c r="AK663" s="229">
        <v>0</v>
      </c>
      <c r="AL663" s="229">
        <v>0</v>
      </c>
      <c r="AM663" s="229">
        <v>0</v>
      </c>
      <c r="AN663" s="229">
        <v>0</v>
      </c>
      <c r="AO663" s="229">
        <v>0</v>
      </c>
      <c r="AP663" s="229">
        <v>0</v>
      </c>
      <c r="AQ663" s="229">
        <v>0</v>
      </c>
      <c r="AR663" s="229">
        <v>0</v>
      </c>
      <c r="AS663" s="229">
        <v>0</v>
      </c>
      <c r="AT663" s="229">
        <v>0</v>
      </c>
      <c r="AU663" s="229">
        <v>0</v>
      </c>
      <c r="AV663" s="229">
        <v>0</v>
      </c>
      <c r="AW663" s="229">
        <v>0</v>
      </c>
      <c r="AX663" s="229">
        <v>0</v>
      </c>
      <c r="AY663" s="229">
        <v>0</v>
      </c>
      <c r="AZ663" s="229">
        <v>0</v>
      </c>
      <c r="BA663" s="229">
        <v>0</v>
      </c>
      <c r="BB663" s="229">
        <v>0</v>
      </c>
      <c r="BC663" s="229">
        <v>0</v>
      </c>
    </row>
    <row r="664" spans="3:55" outlineLevel="2" x14ac:dyDescent="0.2">
      <c r="C664" s="162" t="str">
        <v>Puertos BSC a Core: Datos: 100</v>
      </c>
      <c r="D664" s="86"/>
      <c r="E664" s="86"/>
      <c r="F664" s="229">
        <v>0</v>
      </c>
      <c r="G664" s="229">
        <v>0</v>
      </c>
      <c r="H664" s="229">
        <v>0</v>
      </c>
      <c r="I664" s="229">
        <v>0</v>
      </c>
      <c r="J664" s="229">
        <v>0</v>
      </c>
      <c r="K664" s="229">
        <v>0</v>
      </c>
      <c r="L664" s="229">
        <v>0</v>
      </c>
      <c r="M664" s="229">
        <v>0</v>
      </c>
      <c r="N664" s="229">
        <v>0</v>
      </c>
      <c r="O664" s="229">
        <v>0</v>
      </c>
      <c r="P664" s="229">
        <v>0</v>
      </c>
      <c r="Q664" s="229">
        <v>0</v>
      </c>
      <c r="R664" s="229">
        <v>0</v>
      </c>
      <c r="S664" s="229">
        <v>0</v>
      </c>
      <c r="T664" s="229">
        <v>0</v>
      </c>
      <c r="U664" s="229">
        <v>0</v>
      </c>
      <c r="V664" s="229">
        <v>0</v>
      </c>
      <c r="W664" s="229">
        <v>0</v>
      </c>
      <c r="X664" s="229">
        <v>0</v>
      </c>
      <c r="Y664" s="229">
        <v>0</v>
      </c>
      <c r="Z664" s="229">
        <v>0</v>
      </c>
      <c r="AA664" s="229">
        <v>0</v>
      </c>
      <c r="AB664" s="229">
        <v>0</v>
      </c>
      <c r="AC664" s="229">
        <v>0</v>
      </c>
      <c r="AD664" s="229">
        <v>0</v>
      </c>
      <c r="AE664" s="229">
        <v>0</v>
      </c>
      <c r="AF664" s="229">
        <v>0</v>
      </c>
      <c r="AG664" s="229">
        <v>0</v>
      </c>
      <c r="AH664" s="229">
        <v>0</v>
      </c>
      <c r="AI664" s="229">
        <v>0</v>
      </c>
      <c r="AJ664" s="229">
        <v>0</v>
      </c>
      <c r="AK664" s="229">
        <v>0</v>
      </c>
      <c r="AL664" s="229">
        <v>0</v>
      </c>
      <c r="AM664" s="229">
        <v>0</v>
      </c>
      <c r="AN664" s="229">
        <v>0</v>
      </c>
      <c r="AO664" s="229">
        <v>0</v>
      </c>
      <c r="AP664" s="229">
        <v>0</v>
      </c>
      <c r="AQ664" s="229">
        <v>0</v>
      </c>
      <c r="AR664" s="229">
        <v>0</v>
      </c>
      <c r="AS664" s="229">
        <v>0</v>
      </c>
      <c r="AT664" s="229">
        <v>0</v>
      </c>
      <c r="AU664" s="229">
        <v>0</v>
      </c>
      <c r="AV664" s="229">
        <v>0</v>
      </c>
      <c r="AW664" s="229">
        <v>0</v>
      </c>
      <c r="AX664" s="229">
        <v>0</v>
      </c>
      <c r="AY664" s="229">
        <v>0</v>
      </c>
      <c r="AZ664" s="229">
        <v>0</v>
      </c>
      <c r="BA664" s="229">
        <v>0</v>
      </c>
      <c r="BB664" s="229">
        <v>0</v>
      </c>
      <c r="BC664" s="229">
        <v>0</v>
      </c>
    </row>
    <row r="665" spans="3:55" outlineLevel="2" x14ac:dyDescent="0.2">
      <c r="C665" s="162" t="str">
        <v>Puertos BSC a Core: Datos: 1024</v>
      </c>
      <c r="D665" s="86"/>
      <c r="E665" s="86"/>
      <c r="F665" s="229">
        <v>0</v>
      </c>
      <c r="G665" s="229">
        <v>0</v>
      </c>
      <c r="H665" s="229">
        <v>0</v>
      </c>
      <c r="I665" s="229">
        <v>0</v>
      </c>
      <c r="J665" s="229">
        <v>0</v>
      </c>
      <c r="K665" s="229">
        <v>0</v>
      </c>
      <c r="L665" s="229">
        <v>0</v>
      </c>
      <c r="M665" s="229">
        <v>0</v>
      </c>
      <c r="N665" s="229">
        <v>0</v>
      </c>
      <c r="O665" s="229">
        <v>0</v>
      </c>
      <c r="P665" s="229">
        <v>0</v>
      </c>
      <c r="Q665" s="229">
        <v>0</v>
      </c>
      <c r="R665" s="229">
        <v>0</v>
      </c>
      <c r="S665" s="229">
        <v>0</v>
      </c>
      <c r="T665" s="229">
        <v>0</v>
      </c>
      <c r="U665" s="229">
        <v>0</v>
      </c>
      <c r="V665" s="229">
        <v>0</v>
      </c>
      <c r="W665" s="229">
        <v>0</v>
      </c>
      <c r="X665" s="229">
        <v>0</v>
      </c>
      <c r="Y665" s="229">
        <v>0</v>
      </c>
      <c r="Z665" s="229">
        <v>0</v>
      </c>
      <c r="AA665" s="229">
        <v>0</v>
      </c>
      <c r="AB665" s="229">
        <v>0</v>
      </c>
      <c r="AC665" s="229">
        <v>0</v>
      </c>
      <c r="AD665" s="229">
        <v>0</v>
      </c>
      <c r="AE665" s="229">
        <v>0</v>
      </c>
      <c r="AF665" s="229">
        <v>0</v>
      </c>
      <c r="AG665" s="229">
        <v>0</v>
      </c>
      <c r="AH665" s="229">
        <v>0</v>
      </c>
      <c r="AI665" s="229">
        <v>0</v>
      </c>
      <c r="AJ665" s="229">
        <v>0</v>
      </c>
      <c r="AK665" s="229">
        <v>0</v>
      </c>
      <c r="AL665" s="229">
        <v>0</v>
      </c>
      <c r="AM665" s="229">
        <v>0</v>
      </c>
      <c r="AN665" s="229">
        <v>0</v>
      </c>
      <c r="AO665" s="229">
        <v>0</v>
      </c>
      <c r="AP665" s="229">
        <v>0</v>
      </c>
      <c r="AQ665" s="229">
        <v>0</v>
      </c>
      <c r="AR665" s="229">
        <v>0</v>
      </c>
      <c r="AS665" s="229">
        <v>0</v>
      </c>
      <c r="AT665" s="229">
        <v>0</v>
      </c>
      <c r="AU665" s="229">
        <v>0</v>
      </c>
      <c r="AV665" s="229">
        <v>0</v>
      </c>
      <c r="AW665" s="229">
        <v>0</v>
      </c>
      <c r="AX665" s="229">
        <v>0</v>
      </c>
      <c r="AY665" s="229">
        <v>0</v>
      </c>
      <c r="AZ665" s="229">
        <v>0</v>
      </c>
      <c r="BA665" s="229">
        <v>0</v>
      </c>
      <c r="BB665" s="229">
        <v>0</v>
      </c>
      <c r="BC665" s="229">
        <v>0</v>
      </c>
    </row>
    <row r="666" spans="3:55" outlineLevel="2" x14ac:dyDescent="0.2">
      <c r="C666" s="162" t="str">
        <v>Puertos RNC a Core: Voz: 34.4</v>
      </c>
      <c r="D666" s="86"/>
      <c r="E666" s="86"/>
      <c r="F666" s="229">
        <v>0</v>
      </c>
      <c r="G666" s="229">
        <v>0</v>
      </c>
      <c r="H666" s="229">
        <v>0</v>
      </c>
      <c r="I666" s="229">
        <v>0</v>
      </c>
      <c r="J666" s="229">
        <v>0</v>
      </c>
      <c r="K666" s="229">
        <v>0</v>
      </c>
      <c r="L666" s="229">
        <v>0</v>
      </c>
      <c r="M666" s="229">
        <v>0</v>
      </c>
      <c r="N666" s="229">
        <v>0</v>
      </c>
      <c r="O666" s="229">
        <v>0</v>
      </c>
      <c r="P666" s="229">
        <v>0</v>
      </c>
      <c r="Q666" s="229">
        <v>0</v>
      </c>
      <c r="R666" s="229">
        <v>0</v>
      </c>
      <c r="S666" s="229">
        <v>0</v>
      </c>
      <c r="T666" s="229">
        <v>0</v>
      </c>
      <c r="U666" s="229">
        <v>0</v>
      </c>
      <c r="V666" s="229">
        <v>0</v>
      </c>
      <c r="W666" s="229">
        <v>0</v>
      </c>
      <c r="X666" s="229">
        <v>0</v>
      </c>
      <c r="Y666" s="229">
        <v>0</v>
      </c>
      <c r="Z666" s="229">
        <v>0</v>
      </c>
      <c r="AA666" s="229">
        <v>0</v>
      </c>
      <c r="AB666" s="229">
        <v>0</v>
      </c>
      <c r="AC666" s="229">
        <v>0</v>
      </c>
      <c r="AD666" s="229">
        <v>0</v>
      </c>
      <c r="AE666" s="229">
        <v>0</v>
      </c>
      <c r="AF666" s="229">
        <v>0</v>
      </c>
      <c r="AG666" s="229">
        <v>0</v>
      </c>
      <c r="AH666" s="229">
        <v>0</v>
      </c>
      <c r="AI666" s="229">
        <v>0</v>
      </c>
      <c r="AJ666" s="229">
        <v>0</v>
      </c>
      <c r="AK666" s="229">
        <v>0</v>
      </c>
      <c r="AL666" s="229">
        <v>0</v>
      </c>
      <c r="AM666" s="229">
        <v>0</v>
      </c>
      <c r="AN666" s="229">
        <v>0</v>
      </c>
      <c r="AO666" s="229">
        <v>0</v>
      </c>
      <c r="AP666" s="229">
        <v>0</v>
      </c>
      <c r="AQ666" s="229">
        <v>0</v>
      </c>
      <c r="AR666" s="229">
        <v>0</v>
      </c>
      <c r="AS666" s="229">
        <v>0</v>
      </c>
      <c r="AT666" s="229">
        <v>0</v>
      </c>
      <c r="AU666" s="229">
        <v>0</v>
      </c>
      <c r="AV666" s="229">
        <v>0</v>
      </c>
      <c r="AW666" s="229">
        <v>0</v>
      </c>
      <c r="AX666" s="229">
        <v>0</v>
      </c>
      <c r="AY666" s="229">
        <v>0</v>
      </c>
      <c r="AZ666" s="229">
        <v>0</v>
      </c>
      <c r="BA666" s="229">
        <v>0</v>
      </c>
      <c r="BB666" s="229">
        <v>0</v>
      </c>
      <c r="BC666" s="229">
        <v>0</v>
      </c>
    </row>
    <row r="667" spans="3:55" outlineLevel="2" x14ac:dyDescent="0.2">
      <c r="C667" s="162" t="str">
        <v>Puertos RNC a Core: Voz: 155.52</v>
      </c>
      <c r="D667" s="86"/>
      <c r="E667" s="86"/>
      <c r="F667" s="229">
        <v>0</v>
      </c>
      <c r="G667" s="229">
        <v>0</v>
      </c>
      <c r="H667" s="229">
        <v>0</v>
      </c>
      <c r="I667" s="229">
        <v>0</v>
      </c>
      <c r="J667" s="229">
        <v>0</v>
      </c>
      <c r="K667" s="229">
        <v>0</v>
      </c>
      <c r="L667" s="229">
        <v>0</v>
      </c>
      <c r="M667" s="229">
        <v>0</v>
      </c>
      <c r="N667" s="229">
        <v>0</v>
      </c>
      <c r="O667" s="229">
        <v>0</v>
      </c>
      <c r="P667" s="229">
        <v>0</v>
      </c>
      <c r="Q667" s="229">
        <v>0</v>
      </c>
      <c r="R667" s="229">
        <v>0</v>
      </c>
      <c r="S667" s="229">
        <v>0</v>
      </c>
      <c r="T667" s="229">
        <v>0</v>
      </c>
      <c r="U667" s="229">
        <v>0</v>
      </c>
      <c r="V667" s="229">
        <v>0</v>
      </c>
      <c r="W667" s="229">
        <v>0</v>
      </c>
      <c r="X667" s="229">
        <v>0</v>
      </c>
      <c r="Y667" s="229">
        <v>0</v>
      </c>
      <c r="Z667" s="229">
        <v>0</v>
      </c>
      <c r="AA667" s="229">
        <v>0</v>
      </c>
      <c r="AB667" s="229">
        <v>0</v>
      </c>
      <c r="AC667" s="229">
        <v>0</v>
      </c>
      <c r="AD667" s="229">
        <v>0</v>
      </c>
      <c r="AE667" s="229">
        <v>0</v>
      </c>
      <c r="AF667" s="229">
        <v>0</v>
      </c>
      <c r="AG667" s="229">
        <v>0</v>
      </c>
      <c r="AH667" s="229">
        <v>0</v>
      </c>
      <c r="AI667" s="229">
        <v>0</v>
      </c>
      <c r="AJ667" s="229">
        <v>0</v>
      </c>
      <c r="AK667" s="229">
        <v>0</v>
      </c>
      <c r="AL667" s="229">
        <v>0</v>
      </c>
      <c r="AM667" s="229">
        <v>0</v>
      </c>
      <c r="AN667" s="229">
        <v>0</v>
      </c>
      <c r="AO667" s="229">
        <v>0</v>
      </c>
      <c r="AP667" s="229">
        <v>0</v>
      </c>
      <c r="AQ667" s="229">
        <v>0</v>
      </c>
      <c r="AR667" s="229">
        <v>0</v>
      </c>
      <c r="AS667" s="229">
        <v>0</v>
      </c>
      <c r="AT667" s="229">
        <v>0</v>
      </c>
      <c r="AU667" s="229">
        <v>0</v>
      </c>
      <c r="AV667" s="229">
        <v>0</v>
      </c>
      <c r="AW667" s="229">
        <v>0</v>
      </c>
      <c r="AX667" s="229">
        <v>0</v>
      </c>
      <c r="AY667" s="229">
        <v>0</v>
      </c>
      <c r="AZ667" s="229">
        <v>0</v>
      </c>
      <c r="BA667" s="229">
        <v>0</v>
      </c>
      <c r="BB667" s="229">
        <v>0</v>
      </c>
      <c r="BC667" s="229">
        <v>0</v>
      </c>
    </row>
    <row r="668" spans="3:55" outlineLevel="2" x14ac:dyDescent="0.2">
      <c r="C668" s="162" t="str">
        <v>Puertos RNC a Core: Voz: 622.08</v>
      </c>
      <c r="D668" s="86"/>
      <c r="E668" s="86"/>
      <c r="F668" s="229">
        <v>0</v>
      </c>
      <c r="G668" s="229">
        <v>0</v>
      </c>
      <c r="H668" s="229">
        <v>0</v>
      </c>
      <c r="I668" s="229">
        <v>0</v>
      </c>
      <c r="J668" s="229">
        <v>0</v>
      </c>
      <c r="K668" s="229">
        <v>0</v>
      </c>
      <c r="L668" s="229">
        <v>0</v>
      </c>
      <c r="M668" s="229">
        <v>0</v>
      </c>
      <c r="N668" s="229">
        <v>0</v>
      </c>
      <c r="O668" s="229">
        <v>0</v>
      </c>
      <c r="P668" s="229">
        <v>0</v>
      </c>
      <c r="Q668" s="229">
        <v>0</v>
      </c>
      <c r="R668" s="229">
        <v>0</v>
      </c>
      <c r="S668" s="229">
        <v>0</v>
      </c>
      <c r="T668" s="229">
        <v>0</v>
      </c>
      <c r="U668" s="229">
        <v>0</v>
      </c>
      <c r="V668" s="229">
        <v>0</v>
      </c>
      <c r="W668" s="229">
        <v>0</v>
      </c>
      <c r="X668" s="229">
        <v>0</v>
      </c>
      <c r="Y668" s="229">
        <v>0</v>
      </c>
      <c r="Z668" s="229">
        <v>0</v>
      </c>
      <c r="AA668" s="229">
        <v>0</v>
      </c>
      <c r="AB668" s="229">
        <v>0</v>
      </c>
      <c r="AC668" s="229">
        <v>0</v>
      </c>
      <c r="AD668" s="229">
        <v>0</v>
      </c>
      <c r="AE668" s="229">
        <v>0</v>
      </c>
      <c r="AF668" s="229">
        <v>0</v>
      </c>
      <c r="AG668" s="229">
        <v>0</v>
      </c>
      <c r="AH668" s="229">
        <v>0</v>
      </c>
      <c r="AI668" s="229">
        <v>0</v>
      </c>
      <c r="AJ668" s="229">
        <v>0</v>
      </c>
      <c r="AK668" s="229">
        <v>0</v>
      </c>
      <c r="AL668" s="229">
        <v>0</v>
      </c>
      <c r="AM668" s="229">
        <v>0</v>
      </c>
      <c r="AN668" s="229">
        <v>0</v>
      </c>
      <c r="AO668" s="229">
        <v>0</v>
      </c>
      <c r="AP668" s="229">
        <v>0</v>
      </c>
      <c r="AQ668" s="229">
        <v>0</v>
      </c>
      <c r="AR668" s="229">
        <v>0</v>
      </c>
      <c r="AS668" s="229">
        <v>0</v>
      </c>
      <c r="AT668" s="229">
        <v>0</v>
      </c>
      <c r="AU668" s="229">
        <v>0</v>
      </c>
      <c r="AV668" s="229">
        <v>0</v>
      </c>
      <c r="AW668" s="229">
        <v>0</v>
      </c>
      <c r="AX668" s="229">
        <v>0</v>
      </c>
      <c r="AY668" s="229">
        <v>0</v>
      </c>
      <c r="AZ668" s="229">
        <v>0</v>
      </c>
      <c r="BA668" s="229">
        <v>0</v>
      </c>
      <c r="BB668" s="229">
        <v>0</v>
      </c>
      <c r="BC668" s="229">
        <v>0</v>
      </c>
    </row>
    <row r="669" spans="3:55" outlineLevel="2" x14ac:dyDescent="0.2">
      <c r="C669" s="162" t="str">
        <v>Puertos RNC a Core: Voz: 100</v>
      </c>
      <c r="D669" s="86"/>
      <c r="E669" s="86"/>
      <c r="F669" s="229">
        <v>0</v>
      </c>
      <c r="G669" s="229">
        <v>0</v>
      </c>
      <c r="H669" s="229">
        <v>0</v>
      </c>
      <c r="I669" s="229">
        <v>0</v>
      </c>
      <c r="J669" s="229">
        <v>0</v>
      </c>
      <c r="K669" s="229">
        <v>0</v>
      </c>
      <c r="L669" s="229">
        <v>0</v>
      </c>
      <c r="M669" s="229">
        <v>471.23655873404817</v>
      </c>
      <c r="N669" s="229">
        <v>14.853839348842756</v>
      </c>
      <c r="O669" s="229">
        <v>131.37556399572054</v>
      </c>
      <c r="P669" s="229">
        <v>1.2330730252081414</v>
      </c>
      <c r="Q669" s="229">
        <v>7.0148854067378554</v>
      </c>
      <c r="R669" s="229">
        <v>131.37556399572057</v>
      </c>
      <c r="S669" s="229">
        <v>2.1637961802905235</v>
      </c>
      <c r="T669" s="229">
        <v>0</v>
      </c>
      <c r="U669" s="229">
        <v>0</v>
      </c>
      <c r="V669" s="229">
        <v>0</v>
      </c>
      <c r="W669" s="229">
        <v>0</v>
      </c>
      <c r="X669" s="229">
        <v>0</v>
      </c>
      <c r="Y669" s="229">
        <v>0</v>
      </c>
      <c r="Z669" s="229">
        <v>0</v>
      </c>
      <c r="AA669" s="229">
        <v>0</v>
      </c>
      <c r="AB669" s="229">
        <v>0</v>
      </c>
      <c r="AC669" s="229">
        <v>0</v>
      </c>
      <c r="AD669" s="229">
        <v>2.3012045822936547E-2</v>
      </c>
      <c r="AE669" s="229">
        <v>9.5569732048008185E-3</v>
      </c>
      <c r="AF669" s="229">
        <v>8.7093022489029663E-3</v>
      </c>
      <c r="AG669" s="229">
        <v>0</v>
      </c>
      <c r="AH669" s="229">
        <v>0</v>
      </c>
      <c r="AI669" s="229">
        <v>0</v>
      </c>
      <c r="AJ669" s="229">
        <v>0</v>
      </c>
      <c r="AK669" s="229">
        <v>0</v>
      </c>
      <c r="AL669" s="229">
        <v>0</v>
      </c>
      <c r="AM669" s="229">
        <v>0</v>
      </c>
      <c r="AN669" s="229">
        <v>0</v>
      </c>
      <c r="AO669" s="229">
        <v>0</v>
      </c>
      <c r="AP669" s="229">
        <v>0</v>
      </c>
      <c r="AQ669" s="229">
        <v>0</v>
      </c>
      <c r="AR669" s="229">
        <v>0</v>
      </c>
      <c r="AS669" s="229">
        <v>0</v>
      </c>
      <c r="AT669" s="229">
        <v>0</v>
      </c>
      <c r="AU669" s="229">
        <v>0</v>
      </c>
      <c r="AV669" s="229">
        <v>0</v>
      </c>
      <c r="AW669" s="229">
        <v>0</v>
      </c>
      <c r="AX669" s="229">
        <v>0</v>
      </c>
      <c r="AY669" s="229">
        <v>0</v>
      </c>
      <c r="AZ669" s="229">
        <v>0</v>
      </c>
      <c r="BA669" s="229">
        <v>0</v>
      </c>
      <c r="BB669" s="229">
        <v>0</v>
      </c>
      <c r="BC669" s="229">
        <v>0</v>
      </c>
    </row>
    <row r="670" spans="3:55" outlineLevel="2" x14ac:dyDescent="0.2">
      <c r="C670" s="162" t="str">
        <v>Puertos RNC a Core: Voz: 1024</v>
      </c>
      <c r="D670" s="86"/>
      <c r="E670" s="86"/>
      <c r="F670" s="229">
        <v>0</v>
      </c>
      <c r="G670" s="229">
        <v>0</v>
      </c>
      <c r="H670" s="229">
        <v>0</v>
      </c>
      <c r="I670" s="229">
        <v>0</v>
      </c>
      <c r="J670" s="229">
        <v>0</v>
      </c>
      <c r="K670" s="229">
        <v>0</v>
      </c>
      <c r="L670" s="229">
        <v>0</v>
      </c>
      <c r="M670" s="229">
        <v>5833.6478338143834</v>
      </c>
      <c r="N670" s="229">
        <v>183.8823116228281</v>
      </c>
      <c r="O670" s="229">
        <v>1626.3567843264693</v>
      </c>
      <c r="P670" s="229">
        <v>15.264761719177468</v>
      </c>
      <c r="Q670" s="229">
        <v>86.840399580644117</v>
      </c>
      <c r="R670" s="229">
        <v>1626.3567843264696</v>
      </c>
      <c r="S670" s="229">
        <v>26.786599354426563</v>
      </c>
      <c r="T670" s="229">
        <v>0</v>
      </c>
      <c r="U670" s="229">
        <v>0</v>
      </c>
      <c r="V670" s="229">
        <v>0</v>
      </c>
      <c r="W670" s="229">
        <v>0</v>
      </c>
      <c r="X670" s="229">
        <v>0</v>
      </c>
      <c r="Y670" s="229">
        <v>0</v>
      </c>
      <c r="Z670" s="229">
        <v>0</v>
      </c>
      <c r="AA670" s="229">
        <v>0</v>
      </c>
      <c r="AB670" s="229">
        <v>0</v>
      </c>
      <c r="AC670" s="229">
        <v>0</v>
      </c>
      <c r="AD670" s="229">
        <v>0.28487639334955445</v>
      </c>
      <c r="AE670" s="229">
        <v>0.11831003983176351</v>
      </c>
      <c r="AF670" s="229">
        <v>0.10781634246468021</v>
      </c>
      <c r="AG670" s="229">
        <v>0</v>
      </c>
      <c r="AH670" s="229">
        <v>0</v>
      </c>
      <c r="AI670" s="229">
        <v>0</v>
      </c>
      <c r="AJ670" s="229">
        <v>0</v>
      </c>
      <c r="AK670" s="229">
        <v>0</v>
      </c>
      <c r="AL670" s="229">
        <v>0</v>
      </c>
      <c r="AM670" s="229">
        <v>0</v>
      </c>
      <c r="AN670" s="229">
        <v>0</v>
      </c>
      <c r="AO670" s="229">
        <v>0</v>
      </c>
      <c r="AP670" s="229">
        <v>0</v>
      </c>
      <c r="AQ670" s="229">
        <v>0</v>
      </c>
      <c r="AR670" s="229">
        <v>0</v>
      </c>
      <c r="AS670" s="229">
        <v>0</v>
      </c>
      <c r="AT670" s="229">
        <v>0</v>
      </c>
      <c r="AU670" s="229">
        <v>0</v>
      </c>
      <c r="AV670" s="229">
        <v>0</v>
      </c>
      <c r="AW670" s="229">
        <v>0</v>
      </c>
      <c r="AX670" s="229">
        <v>0</v>
      </c>
      <c r="AY670" s="229">
        <v>0</v>
      </c>
      <c r="AZ670" s="229">
        <v>0</v>
      </c>
      <c r="BA670" s="229">
        <v>0</v>
      </c>
      <c r="BB670" s="229">
        <v>0</v>
      </c>
      <c r="BC670" s="229">
        <v>0</v>
      </c>
    </row>
    <row r="671" spans="3:55" outlineLevel="2" x14ac:dyDescent="0.2">
      <c r="C671" s="162" t="str">
        <v>Puertos RNC a Core: Voz: 2488</v>
      </c>
      <c r="D671" s="86"/>
      <c r="E671" s="86"/>
      <c r="F671" s="229">
        <v>0</v>
      </c>
      <c r="G671" s="229">
        <v>0</v>
      </c>
      <c r="H671" s="229">
        <v>0</v>
      </c>
      <c r="I671" s="229">
        <v>0</v>
      </c>
      <c r="J671" s="229">
        <v>0</v>
      </c>
      <c r="K671" s="229">
        <v>0</v>
      </c>
      <c r="L671" s="229">
        <v>0</v>
      </c>
      <c r="M671" s="229">
        <v>0</v>
      </c>
      <c r="N671" s="229">
        <v>0</v>
      </c>
      <c r="O671" s="229">
        <v>0</v>
      </c>
      <c r="P671" s="229">
        <v>0</v>
      </c>
      <c r="Q671" s="229">
        <v>0</v>
      </c>
      <c r="R671" s="229">
        <v>0</v>
      </c>
      <c r="S671" s="229">
        <v>0</v>
      </c>
      <c r="T671" s="229">
        <v>0</v>
      </c>
      <c r="U671" s="229">
        <v>0</v>
      </c>
      <c r="V671" s="229">
        <v>0</v>
      </c>
      <c r="W671" s="229">
        <v>0</v>
      </c>
      <c r="X671" s="229">
        <v>0</v>
      </c>
      <c r="Y671" s="229">
        <v>0</v>
      </c>
      <c r="Z671" s="229">
        <v>0</v>
      </c>
      <c r="AA671" s="229">
        <v>0</v>
      </c>
      <c r="AB671" s="229">
        <v>0</v>
      </c>
      <c r="AC671" s="229">
        <v>0</v>
      </c>
      <c r="AD671" s="229">
        <v>0</v>
      </c>
      <c r="AE671" s="229">
        <v>0</v>
      </c>
      <c r="AF671" s="229">
        <v>0</v>
      </c>
      <c r="AG671" s="229">
        <v>0</v>
      </c>
      <c r="AH671" s="229">
        <v>0</v>
      </c>
      <c r="AI671" s="229">
        <v>0</v>
      </c>
      <c r="AJ671" s="229">
        <v>0</v>
      </c>
      <c r="AK671" s="229">
        <v>0</v>
      </c>
      <c r="AL671" s="229">
        <v>0</v>
      </c>
      <c r="AM671" s="229">
        <v>0</v>
      </c>
      <c r="AN671" s="229">
        <v>0</v>
      </c>
      <c r="AO671" s="229">
        <v>0</v>
      </c>
      <c r="AP671" s="229">
        <v>0</v>
      </c>
      <c r="AQ671" s="229">
        <v>0</v>
      </c>
      <c r="AR671" s="229">
        <v>0</v>
      </c>
      <c r="AS671" s="229">
        <v>0</v>
      </c>
      <c r="AT671" s="229">
        <v>0</v>
      </c>
      <c r="AU671" s="229">
        <v>0</v>
      </c>
      <c r="AV671" s="229">
        <v>0</v>
      </c>
      <c r="AW671" s="229">
        <v>0</v>
      </c>
      <c r="AX671" s="229">
        <v>0</v>
      </c>
      <c r="AY671" s="229">
        <v>0</v>
      </c>
      <c r="AZ671" s="229">
        <v>0</v>
      </c>
      <c r="BA671" s="229">
        <v>0</v>
      </c>
      <c r="BB671" s="229">
        <v>0</v>
      </c>
      <c r="BC671" s="229">
        <v>0</v>
      </c>
    </row>
    <row r="672" spans="3:55" outlineLevel="2" x14ac:dyDescent="0.2">
      <c r="C672" s="162" t="str">
        <v>Puertos RNC a Core: Datos: 34.4</v>
      </c>
      <c r="D672" s="86"/>
      <c r="E672" s="86"/>
      <c r="F672" s="229">
        <v>0</v>
      </c>
      <c r="G672" s="229">
        <v>0</v>
      </c>
      <c r="H672" s="229">
        <v>0</v>
      </c>
      <c r="I672" s="229">
        <v>0</v>
      </c>
      <c r="J672" s="229">
        <v>0</v>
      </c>
      <c r="K672" s="229">
        <v>0</v>
      </c>
      <c r="L672" s="229">
        <v>0</v>
      </c>
      <c r="M672" s="229">
        <v>0</v>
      </c>
      <c r="N672" s="229">
        <v>0</v>
      </c>
      <c r="O672" s="229">
        <v>0</v>
      </c>
      <c r="P672" s="229">
        <v>0</v>
      </c>
      <c r="Q672" s="229">
        <v>0</v>
      </c>
      <c r="R672" s="229">
        <v>0</v>
      </c>
      <c r="S672" s="229">
        <v>0</v>
      </c>
      <c r="T672" s="229">
        <v>0</v>
      </c>
      <c r="U672" s="229">
        <v>0</v>
      </c>
      <c r="V672" s="229">
        <v>0</v>
      </c>
      <c r="W672" s="229">
        <v>0</v>
      </c>
      <c r="X672" s="229">
        <v>0</v>
      </c>
      <c r="Y672" s="229">
        <v>0</v>
      </c>
      <c r="Z672" s="229">
        <v>0</v>
      </c>
      <c r="AA672" s="229">
        <v>0</v>
      </c>
      <c r="AB672" s="229">
        <v>0</v>
      </c>
      <c r="AC672" s="229">
        <v>0</v>
      </c>
      <c r="AD672" s="229">
        <v>0</v>
      </c>
      <c r="AE672" s="229">
        <v>0</v>
      </c>
      <c r="AF672" s="229">
        <v>0</v>
      </c>
      <c r="AG672" s="229">
        <v>0</v>
      </c>
      <c r="AH672" s="229">
        <v>0</v>
      </c>
      <c r="AI672" s="229">
        <v>0</v>
      </c>
      <c r="AJ672" s="229">
        <v>0</v>
      </c>
      <c r="AK672" s="229">
        <v>0</v>
      </c>
      <c r="AL672" s="229">
        <v>0</v>
      </c>
      <c r="AM672" s="229">
        <v>0</v>
      </c>
      <c r="AN672" s="229">
        <v>0</v>
      </c>
      <c r="AO672" s="229">
        <v>0</v>
      </c>
      <c r="AP672" s="229">
        <v>0</v>
      </c>
      <c r="AQ672" s="229">
        <v>0</v>
      </c>
      <c r="AR672" s="229">
        <v>0</v>
      </c>
      <c r="AS672" s="229">
        <v>0</v>
      </c>
      <c r="AT672" s="229">
        <v>0</v>
      </c>
      <c r="AU672" s="229">
        <v>0</v>
      </c>
      <c r="AV672" s="229">
        <v>0</v>
      </c>
      <c r="AW672" s="229">
        <v>0</v>
      </c>
      <c r="AX672" s="229">
        <v>0</v>
      </c>
      <c r="AY672" s="229">
        <v>0</v>
      </c>
      <c r="AZ672" s="229">
        <v>0</v>
      </c>
      <c r="BA672" s="229">
        <v>0</v>
      </c>
      <c r="BB672" s="229">
        <v>0</v>
      </c>
      <c r="BC672" s="229">
        <v>0</v>
      </c>
    </row>
    <row r="673" spans="3:56" outlineLevel="2" x14ac:dyDescent="0.2">
      <c r="C673" s="162" t="str">
        <v>Puertos RNC a Core: Datos: 155.52</v>
      </c>
      <c r="D673" s="86"/>
      <c r="E673" s="86"/>
      <c r="F673" s="229">
        <v>0</v>
      </c>
      <c r="G673" s="229">
        <v>0</v>
      </c>
      <c r="H673" s="229">
        <v>0</v>
      </c>
      <c r="I673" s="229">
        <v>0</v>
      </c>
      <c r="J673" s="229">
        <v>0</v>
      </c>
      <c r="K673" s="229">
        <v>0</v>
      </c>
      <c r="L673" s="229">
        <v>0</v>
      </c>
      <c r="M673" s="229">
        <v>0</v>
      </c>
      <c r="N673" s="229">
        <v>0</v>
      </c>
      <c r="O673" s="229">
        <v>0</v>
      </c>
      <c r="P673" s="229">
        <v>0</v>
      </c>
      <c r="Q673" s="229">
        <v>0</v>
      </c>
      <c r="R673" s="229">
        <v>0</v>
      </c>
      <c r="S673" s="229">
        <v>0</v>
      </c>
      <c r="T673" s="229">
        <v>0</v>
      </c>
      <c r="U673" s="229">
        <v>0</v>
      </c>
      <c r="V673" s="229">
        <v>0</v>
      </c>
      <c r="W673" s="229">
        <v>0</v>
      </c>
      <c r="X673" s="229">
        <v>0</v>
      </c>
      <c r="Y673" s="229">
        <v>0</v>
      </c>
      <c r="Z673" s="229">
        <v>0</v>
      </c>
      <c r="AA673" s="229">
        <v>0</v>
      </c>
      <c r="AB673" s="229">
        <v>0</v>
      </c>
      <c r="AC673" s="229">
        <v>0</v>
      </c>
      <c r="AD673" s="229">
        <v>0</v>
      </c>
      <c r="AE673" s="229">
        <v>0</v>
      </c>
      <c r="AF673" s="229">
        <v>0</v>
      </c>
      <c r="AG673" s="229">
        <v>0</v>
      </c>
      <c r="AH673" s="229">
        <v>0</v>
      </c>
      <c r="AI673" s="229">
        <v>0</v>
      </c>
      <c r="AJ673" s="229">
        <v>0</v>
      </c>
      <c r="AK673" s="229">
        <v>0</v>
      </c>
      <c r="AL673" s="229">
        <v>0</v>
      </c>
      <c r="AM673" s="229">
        <v>0</v>
      </c>
      <c r="AN673" s="229">
        <v>0</v>
      </c>
      <c r="AO673" s="229">
        <v>0</v>
      </c>
      <c r="AP673" s="229">
        <v>0</v>
      </c>
      <c r="AQ673" s="229">
        <v>0</v>
      </c>
      <c r="AR673" s="229">
        <v>0</v>
      </c>
      <c r="AS673" s="229">
        <v>0</v>
      </c>
      <c r="AT673" s="229">
        <v>0</v>
      </c>
      <c r="AU673" s="229">
        <v>0</v>
      </c>
      <c r="AV673" s="229">
        <v>0</v>
      </c>
      <c r="AW673" s="229">
        <v>0</v>
      </c>
      <c r="AX673" s="229">
        <v>0</v>
      </c>
      <c r="AY673" s="229">
        <v>0</v>
      </c>
      <c r="AZ673" s="229">
        <v>0</v>
      </c>
      <c r="BA673" s="229">
        <v>0</v>
      </c>
      <c r="BB673" s="229">
        <v>0</v>
      </c>
      <c r="BC673" s="229">
        <v>0</v>
      </c>
    </row>
    <row r="674" spans="3:56" outlineLevel="2" x14ac:dyDescent="0.2">
      <c r="C674" s="162" t="str">
        <v>Puertos RNC a Core: Datos: 622.08</v>
      </c>
      <c r="D674" s="86"/>
      <c r="E674" s="86"/>
      <c r="F674" s="229">
        <v>0</v>
      </c>
      <c r="G674" s="229">
        <v>0</v>
      </c>
      <c r="H674" s="229">
        <v>0</v>
      </c>
      <c r="I674" s="229">
        <v>0</v>
      </c>
      <c r="J674" s="229">
        <v>0</v>
      </c>
      <c r="K674" s="229">
        <v>0</v>
      </c>
      <c r="L674" s="229">
        <v>0</v>
      </c>
      <c r="M674" s="229">
        <v>0</v>
      </c>
      <c r="N674" s="229">
        <v>0</v>
      </c>
      <c r="O674" s="229">
        <v>0</v>
      </c>
      <c r="P674" s="229">
        <v>0</v>
      </c>
      <c r="Q674" s="229">
        <v>0</v>
      </c>
      <c r="R674" s="229">
        <v>0</v>
      </c>
      <c r="S674" s="229">
        <v>0</v>
      </c>
      <c r="T674" s="229">
        <v>0</v>
      </c>
      <c r="U674" s="229">
        <v>0</v>
      </c>
      <c r="V674" s="229">
        <v>0</v>
      </c>
      <c r="W674" s="229">
        <v>0</v>
      </c>
      <c r="X674" s="229">
        <v>0</v>
      </c>
      <c r="Y674" s="229">
        <v>0</v>
      </c>
      <c r="Z674" s="229">
        <v>0</v>
      </c>
      <c r="AA674" s="229">
        <v>0</v>
      </c>
      <c r="AB674" s="229">
        <v>0</v>
      </c>
      <c r="AC674" s="229">
        <v>0</v>
      </c>
      <c r="AD674" s="229">
        <v>0</v>
      </c>
      <c r="AE674" s="229">
        <v>0</v>
      </c>
      <c r="AF674" s="229">
        <v>0</v>
      </c>
      <c r="AG674" s="229">
        <v>0</v>
      </c>
      <c r="AH674" s="229">
        <v>0</v>
      </c>
      <c r="AI674" s="229">
        <v>0</v>
      </c>
      <c r="AJ674" s="229">
        <v>0</v>
      </c>
      <c r="AK674" s="229">
        <v>0</v>
      </c>
      <c r="AL674" s="229">
        <v>0</v>
      </c>
      <c r="AM674" s="229">
        <v>0</v>
      </c>
      <c r="AN674" s="229">
        <v>0</v>
      </c>
      <c r="AO674" s="229">
        <v>0</v>
      </c>
      <c r="AP674" s="229">
        <v>0</v>
      </c>
      <c r="AQ674" s="229">
        <v>0</v>
      </c>
      <c r="AR674" s="229">
        <v>0</v>
      </c>
      <c r="AS674" s="229">
        <v>0</v>
      </c>
      <c r="AT674" s="229">
        <v>0</v>
      </c>
      <c r="AU674" s="229">
        <v>0</v>
      </c>
      <c r="AV674" s="229">
        <v>0</v>
      </c>
      <c r="AW674" s="229">
        <v>0</v>
      </c>
      <c r="AX674" s="229">
        <v>0</v>
      </c>
      <c r="AY674" s="229">
        <v>0</v>
      </c>
      <c r="AZ674" s="229">
        <v>0</v>
      </c>
      <c r="BA674" s="229">
        <v>0</v>
      </c>
      <c r="BB674" s="229">
        <v>0</v>
      </c>
      <c r="BC674" s="229">
        <v>0</v>
      </c>
    </row>
    <row r="675" spans="3:56" outlineLevel="2" x14ac:dyDescent="0.2">
      <c r="C675" s="162" t="str">
        <v>Puertos RNC a Core: Datos: 100</v>
      </c>
      <c r="D675" s="86"/>
      <c r="E675" s="86"/>
      <c r="F675" s="229">
        <v>0</v>
      </c>
      <c r="G675" s="229">
        <v>0</v>
      </c>
      <c r="H675" s="229">
        <v>0</v>
      </c>
      <c r="I675" s="229">
        <v>0</v>
      </c>
      <c r="J675" s="229">
        <v>0</v>
      </c>
      <c r="K675" s="229">
        <v>0</v>
      </c>
      <c r="L675" s="229">
        <v>0</v>
      </c>
      <c r="M675" s="229">
        <v>0</v>
      </c>
      <c r="N675" s="229">
        <v>0</v>
      </c>
      <c r="O675" s="229">
        <v>0</v>
      </c>
      <c r="P675" s="229">
        <v>0</v>
      </c>
      <c r="Q675" s="229">
        <v>0</v>
      </c>
      <c r="R675" s="229">
        <v>0</v>
      </c>
      <c r="S675" s="229">
        <v>0</v>
      </c>
      <c r="T675" s="229">
        <v>0</v>
      </c>
      <c r="U675" s="229">
        <v>0</v>
      </c>
      <c r="V675" s="229">
        <v>0</v>
      </c>
      <c r="W675" s="229">
        <v>0</v>
      </c>
      <c r="X675" s="229">
        <v>0</v>
      </c>
      <c r="Y675" s="229">
        <v>0</v>
      </c>
      <c r="Z675" s="229">
        <v>0</v>
      </c>
      <c r="AA675" s="229">
        <v>0</v>
      </c>
      <c r="AB675" s="229">
        <v>0</v>
      </c>
      <c r="AC675" s="229">
        <v>0</v>
      </c>
      <c r="AD675" s="229">
        <v>0</v>
      </c>
      <c r="AE675" s="229">
        <v>0</v>
      </c>
      <c r="AF675" s="229">
        <v>0</v>
      </c>
      <c r="AG675" s="229">
        <v>0</v>
      </c>
      <c r="AH675" s="229">
        <v>0</v>
      </c>
      <c r="AI675" s="229">
        <v>0</v>
      </c>
      <c r="AJ675" s="229">
        <v>0</v>
      </c>
      <c r="AK675" s="229">
        <v>0</v>
      </c>
      <c r="AL675" s="229">
        <v>0</v>
      </c>
      <c r="AM675" s="229">
        <v>0</v>
      </c>
      <c r="AN675" s="229">
        <v>0</v>
      </c>
      <c r="AO675" s="229">
        <v>0</v>
      </c>
      <c r="AP675" s="229">
        <v>0</v>
      </c>
      <c r="AQ675" s="229">
        <v>0</v>
      </c>
      <c r="AR675" s="229">
        <v>0</v>
      </c>
      <c r="AS675" s="229">
        <v>0</v>
      </c>
      <c r="AT675" s="229">
        <v>0</v>
      </c>
      <c r="AU675" s="229">
        <v>0</v>
      </c>
      <c r="AV675" s="229">
        <v>0</v>
      </c>
      <c r="AW675" s="229">
        <v>0</v>
      </c>
      <c r="AX675" s="229">
        <v>0</v>
      </c>
      <c r="AY675" s="229">
        <v>0</v>
      </c>
      <c r="AZ675" s="229">
        <v>0</v>
      </c>
      <c r="BA675" s="229">
        <v>0</v>
      </c>
      <c r="BB675" s="229">
        <v>0</v>
      </c>
      <c r="BC675" s="229">
        <v>0</v>
      </c>
    </row>
    <row r="676" spans="3:56" outlineLevel="2" x14ac:dyDescent="0.2">
      <c r="C676" s="162" t="str">
        <v>Puertos RNC a Core: Datos: 1024</v>
      </c>
      <c r="D676" s="86"/>
      <c r="E676" s="86"/>
      <c r="F676" s="229">
        <v>0</v>
      </c>
      <c r="G676" s="229">
        <v>0</v>
      </c>
      <c r="H676" s="229">
        <v>0</v>
      </c>
      <c r="I676" s="229">
        <v>0</v>
      </c>
      <c r="J676" s="229">
        <v>0</v>
      </c>
      <c r="K676" s="229">
        <v>0</v>
      </c>
      <c r="L676" s="229">
        <v>0</v>
      </c>
      <c r="M676" s="229">
        <v>0</v>
      </c>
      <c r="N676" s="229">
        <v>0</v>
      </c>
      <c r="O676" s="229">
        <v>0</v>
      </c>
      <c r="P676" s="229">
        <v>0</v>
      </c>
      <c r="Q676" s="229">
        <v>0</v>
      </c>
      <c r="R676" s="229">
        <v>0</v>
      </c>
      <c r="S676" s="229">
        <v>0</v>
      </c>
      <c r="T676" s="229">
        <v>0</v>
      </c>
      <c r="U676" s="229">
        <v>0</v>
      </c>
      <c r="V676" s="229">
        <v>0</v>
      </c>
      <c r="W676" s="229">
        <v>0</v>
      </c>
      <c r="X676" s="229">
        <v>0</v>
      </c>
      <c r="Y676" s="229">
        <v>0</v>
      </c>
      <c r="Z676" s="229">
        <v>0</v>
      </c>
      <c r="AA676" s="229">
        <v>0</v>
      </c>
      <c r="AB676" s="229">
        <v>0</v>
      </c>
      <c r="AC676" s="229">
        <v>0</v>
      </c>
      <c r="AD676" s="229">
        <v>0</v>
      </c>
      <c r="AE676" s="229">
        <v>0</v>
      </c>
      <c r="AF676" s="229">
        <v>0</v>
      </c>
      <c r="AG676" s="229">
        <v>0</v>
      </c>
      <c r="AH676" s="229">
        <v>0</v>
      </c>
      <c r="AI676" s="229">
        <v>0</v>
      </c>
      <c r="AJ676" s="229">
        <v>0</v>
      </c>
      <c r="AK676" s="229">
        <v>0</v>
      </c>
      <c r="AL676" s="229">
        <v>0</v>
      </c>
      <c r="AM676" s="229">
        <v>0</v>
      </c>
      <c r="AN676" s="229">
        <v>0</v>
      </c>
      <c r="AO676" s="229">
        <v>0</v>
      </c>
      <c r="AP676" s="229">
        <v>0</v>
      </c>
      <c r="AQ676" s="229">
        <v>0</v>
      </c>
      <c r="AR676" s="229">
        <v>0</v>
      </c>
      <c r="AS676" s="229">
        <v>0</v>
      </c>
      <c r="AT676" s="229">
        <v>0</v>
      </c>
      <c r="AU676" s="229">
        <v>0</v>
      </c>
      <c r="AV676" s="229">
        <v>0</v>
      </c>
      <c r="AW676" s="229">
        <v>0</v>
      </c>
      <c r="AX676" s="229">
        <v>0</v>
      </c>
      <c r="AY676" s="229">
        <v>0</v>
      </c>
      <c r="AZ676" s="229">
        <v>0</v>
      </c>
      <c r="BA676" s="229">
        <v>0</v>
      </c>
      <c r="BB676" s="229">
        <v>0</v>
      </c>
      <c r="BC676" s="229">
        <v>0</v>
      </c>
    </row>
    <row r="677" spans="3:56" outlineLevel="2" x14ac:dyDescent="0.2">
      <c r="C677" s="162" t="str">
        <v>Puertos RNC a Core: Datos: 2488</v>
      </c>
      <c r="D677" s="86"/>
      <c r="E677" s="86"/>
      <c r="F677" s="229">
        <v>0</v>
      </c>
      <c r="G677" s="229">
        <v>0</v>
      </c>
      <c r="H677" s="229">
        <v>0</v>
      </c>
      <c r="I677" s="229">
        <v>0</v>
      </c>
      <c r="J677" s="229">
        <v>0</v>
      </c>
      <c r="K677" s="229">
        <v>0</v>
      </c>
      <c r="L677" s="229">
        <v>0</v>
      </c>
      <c r="M677" s="229">
        <v>0</v>
      </c>
      <c r="N677" s="229">
        <v>0</v>
      </c>
      <c r="O677" s="229">
        <v>0</v>
      </c>
      <c r="P677" s="229">
        <v>0</v>
      </c>
      <c r="Q677" s="229">
        <v>0</v>
      </c>
      <c r="R677" s="229">
        <v>0</v>
      </c>
      <c r="S677" s="229">
        <v>0</v>
      </c>
      <c r="T677" s="229">
        <v>0</v>
      </c>
      <c r="U677" s="229">
        <v>0</v>
      </c>
      <c r="V677" s="229">
        <v>0</v>
      </c>
      <c r="W677" s="229">
        <v>0</v>
      </c>
      <c r="X677" s="229">
        <v>0</v>
      </c>
      <c r="Y677" s="229">
        <v>0</v>
      </c>
      <c r="Z677" s="229">
        <v>0</v>
      </c>
      <c r="AA677" s="229">
        <v>0</v>
      </c>
      <c r="AB677" s="229">
        <v>0</v>
      </c>
      <c r="AC677" s="229">
        <v>0</v>
      </c>
      <c r="AD677" s="229">
        <v>0</v>
      </c>
      <c r="AE677" s="229">
        <v>0</v>
      </c>
      <c r="AF677" s="229">
        <v>0</v>
      </c>
      <c r="AG677" s="229">
        <v>0</v>
      </c>
      <c r="AH677" s="229">
        <v>0</v>
      </c>
      <c r="AI677" s="229">
        <v>0</v>
      </c>
      <c r="AJ677" s="229">
        <v>0</v>
      </c>
      <c r="AK677" s="229">
        <v>530.30572559955044</v>
      </c>
      <c r="AL677" s="229">
        <v>20787.984443502377</v>
      </c>
      <c r="AM677" s="229">
        <v>5196.9961108755933</v>
      </c>
      <c r="AN677" s="229">
        <v>0</v>
      </c>
      <c r="AO677" s="229">
        <v>0</v>
      </c>
      <c r="AP677" s="229">
        <v>0</v>
      </c>
      <c r="AQ677" s="229">
        <v>0</v>
      </c>
      <c r="AR677" s="229">
        <v>0</v>
      </c>
      <c r="AS677" s="229">
        <v>0</v>
      </c>
      <c r="AT677" s="229">
        <v>0</v>
      </c>
      <c r="AU677" s="229">
        <v>0</v>
      </c>
      <c r="AV677" s="229">
        <v>0</v>
      </c>
      <c r="AW677" s="229">
        <v>0</v>
      </c>
      <c r="AX677" s="229">
        <v>0</v>
      </c>
      <c r="AY677" s="229">
        <v>0</v>
      </c>
      <c r="AZ677" s="229">
        <v>0</v>
      </c>
      <c r="BA677" s="229">
        <v>0</v>
      </c>
      <c r="BB677" s="229">
        <v>0</v>
      </c>
      <c r="BC677" s="229">
        <v>0</v>
      </c>
    </row>
    <row r="678" spans="3:56" x14ac:dyDescent="0.2">
      <c r="C678" s="162" t="str">
        <v>Canon de espectro</v>
      </c>
      <c r="D678" s="86"/>
      <c r="E678" s="86"/>
      <c r="F678" s="229">
        <v>942503.15748809162</v>
      </c>
      <c r="G678" s="759">
        <v>29708.62558863185</v>
      </c>
      <c r="H678" s="759">
        <v>262759.5028182583</v>
      </c>
      <c r="I678" s="759">
        <v>2466.2246553921632</v>
      </c>
      <c r="J678" s="759">
        <v>14030.217992910282</v>
      </c>
      <c r="K678" s="759">
        <v>262759.5028182583</v>
      </c>
      <c r="L678" s="759">
        <v>4327.7302965694953</v>
      </c>
      <c r="M678" s="229">
        <v>3675762.3142035585</v>
      </c>
      <c r="N678" s="759">
        <v>115863.63979566422</v>
      </c>
      <c r="O678" s="759">
        <v>1024762.0609912074</v>
      </c>
      <c r="P678" s="759">
        <v>9618.2761560294366</v>
      </c>
      <c r="Q678" s="759">
        <v>54717.850172350103</v>
      </c>
      <c r="R678" s="759">
        <v>1024762.0609912075</v>
      </c>
      <c r="S678" s="759">
        <v>16878.148156621035</v>
      </c>
      <c r="T678" s="229">
        <v>0</v>
      </c>
      <c r="U678" s="759">
        <v>0</v>
      </c>
      <c r="V678" s="759">
        <v>0</v>
      </c>
      <c r="W678" s="759">
        <v>0</v>
      </c>
      <c r="X678" s="759">
        <v>0</v>
      </c>
      <c r="Y678" s="759">
        <v>0</v>
      </c>
      <c r="Z678" s="759">
        <v>0</v>
      </c>
      <c r="AA678" s="229">
        <v>156.01884271115998</v>
      </c>
      <c r="AB678" s="229">
        <v>64.795103864620927</v>
      </c>
      <c r="AC678" s="229">
        <v>59.047998954581715</v>
      </c>
      <c r="AD678" s="229">
        <v>179.49967853918957</v>
      </c>
      <c r="AE678" s="229">
        <v>74.546766996246362</v>
      </c>
      <c r="AF678" s="229">
        <v>67.934722797246266</v>
      </c>
      <c r="AG678" s="229">
        <v>0</v>
      </c>
      <c r="AH678" s="229">
        <v>0</v>
      </c>
      <c r="AI678" s="229">
        <v>0</v>
      </c>
      <c r="AJ678" s="229">
        <v>17700348.122244071</v>
      </c>
      <c r="AK678" s="229">
        <v>1805717.0151215091</v>
      </c>
      <c r="AL678" s="229">
        <v>3523292.0432902896</v>
      </c>
      <c r="AM678" s="229">
        <v>0</v>
      </c>
      <c r="AN678" s="229">
        <v>1404789.5335114342</v>
      </c>
      <c r="AO678" s="229">
        <v>0</v>
      </c>
      <c r="AP678" s="229">
        <v>0</v>
      </c>
      <c r="AQ678" s="229">
        <v>0</v>
      </c>
      <c r="AR678" s="229">
        <v>0</v>
      </c>
      <c r="AS678" s="229">
        <v>0</v>
      </c>
      <c r="AT678" s="229">
        <v>0</v>
      </c>
      <c r="AU678" s="229">
        <v>0</v>
      </c>
      <c r="AV678" s="229">
        <v>0</v>
      </c>
      <c r="AW678" s="229">
        <v>0</v>
      </c>
      <c r="AX678" s="229">
        <v>0</v>
      </c>
      <c r="AY678" s="229">
        <v>0</v>
      </c>
      <c r="AZ678" s="229">
        <v>0</v>
      </c>
      <c r="BA678" s="229">
        <v>0</v>
      </c>
      <c r="BB678" s="229">
        <v>0</v>
      </c>
      <c r="BC678" s="229">
        <v>0</v>
      </c>
    </row>
    <row r="679" spans="3:56" x14ac:dyDescent="0.2">
      <c r="C679" s="86"/>
      <c r="D679" s="86"/>
      <c r="E679" s="86"/>
      <c r="F679" s="73"/>
      <c r="G679" s="760"/>
      <c r="H679" s="760"/>
      <c r="I679" s="760"/>
      <c r="J679" s="760"/>
      <c r="K679" s="760"/>
      <c r="L679" s="760"/>
      <c r="M679" s="73"/>
      <c r="N679" s="760"/>
      <c r="O679" s="760"/>
      <c r="P679" s="760"/>
      <c r="Q679" s="760"/>
      <c r="R679" s="760"/>
      <c r="S679" s="760"/>
      <c r="T679" s="73"/>
      <c r="U679" s="760"/>
      <c r="V679" s="760"/>
      <c r="W679" s="760"/>
      <c r="X679" s="760"/>
      <c r="Y679" s="760"/>
      <c r="Z679" s="760"/>
      <c r="AA679" s="73"/>
      <c r="AB679" s="73"/>
      <c r="AC679" s="73"/>
      <c r="AD679" s="73"/>
      <c r="AE679" s="73"/>
      <c r="AF679" s="73"/>
      <c r="AG679" s="73"/>
      <c r="AH679" s="73"/>
      <c r="AI679" s="73"/>
      <c r="AJ679" s="73"/>
      <c r="AK679" s="73"/>
      <c r="AL679" s="73"/>
      <c r="AM679" s="73"/>
      <c r="AN679" s="73"/>
      <c r="AO679" s="73"/>
      <c r="AP679" s="73"/>
      <c r="AQ679" s="73"/>
      <c r="AR679" s="73"/>
      <c r="AS679" s="73"/>
      <c r="AT679" s="73"/>
      <c r="AU679" s="73"/>
      <c r="AV679" s="73"/>
      <c r="AW679" s="73"/>
      <c r="AX679" s="73"/>
      <c r="AY679" s="73"/>
      <c r="AZ679" s="73"/>
      <c r="BA679" s="73"/>
      <c r="BB679" s="73"/>
      <c r="BC679" s="73"/>
    </row>
    <row r="680" spans="3:56" x14ac:dyDescent="0.2">
      <c r="C680" s="92" t="s">
        <v>61</v>
      </c>
      <c r="D680" s="93">
        <f>SUM(F680:BC680)</f>
        <v>557602186.88646269</v>
      </c>
      <c r="E680" s="36" t="b">
        <f>ROUND($O$467,3)=ROUND($D$680,3)</f>
        <v>1</v>
      </c>
      <c r="F680" s="172">
        <f>SUM(F479:F678)</f>
        <v>12158153.3509467</v>
      </c>
      <c r="G680" s="172">
        <f t="shared" ref="G680:BC680" si="15">SUM(G479:G678)</f>
        <v>376184.39102149691</v>
      </c>
      <c r="H680" s="172">
        <f t="shared" si="15"/>
        <v>3321294.6116415574</v>
      </c>
      <c r="I680" s="172">
        <f t="shared" si="15"/>
        <v>31287.86219684071</v>
      </c>
      <c r="J680" s="172">
        <f t="shared" si="15"/>
        <v>186302.47173047761</v>
      </c>
      <c r="K680" s="172">
        <f t="shared" si="15"/>
        <v>3480033.8733197679</v>
      </c>
      <c r="L680" s="172">
        <f t="shared" si="15"/>
        <v>57626.788509015591</v>
      </c>
      <c r="M680" s="172">
        <f t="shared" si="15"/>
        <v>63448545.929172151</v>
      </c>
      <c r="N680" s="172">
        <f t="shared" si="15"/>
        <v>1975574.3134786789</v>
      </c>
      <c r="O680" s="172">
        <f t="shared" si="15"/>
        <v>17455406.896730367</v>
      </c>
      <c r="P680" s="172">
        <f t="shared" si="15"/>
        <v>164177.99456930129</v>
      </c>
      <c r="Q680" s="172">
        <f t="shared" si="15"/>
        <v>958922.25967356761</v>
      </c>
      <c r="R680" s="172">
        <f t="shared" si="15"/>
        <v>17931624.681765001</v>
      </c>
      <c r="S680" s="172">
        <f t="shared" si="15"/>
        <v>296268.06787191791</v>
      </c>
      <c r="T680" s="172">
        <f t="shared" si="15"/>
        <v>0</v>
      </c>
      <c r="U680" s="172">
        <f t="shared" si="15"/>
        <v>0</v>
      </c>
      <c r="V680" s="172">
        <f t="shared" si="15"/>
        <v>0</v>
      </c>
      <c r="W680" s="172">
        <f t="shared" si="15"/>
        <v>0</v>
      </c>
      <c r="X680" s="172">
        <f t="shared" si="15"/>
        <v>0</v>
      </c>
      <c r="Y680" s="172">
        <f t="shared" si="15"/>
        <v>0</v>
      </c>
      <c r="Z680" s="172">
        <f t="shared" si="15"/>
        <v>0</v>
      </c>
      <c r="AA680" s="172">
        <f t="shared" si="15"/>
        <v>357083.03880419896</v>
      </c>
      <c r="AB680" s="172">
        <f t="shared" si="15"/>
        <v>295910.38539992459</v>
      </c>
      <c r="AC680" s="172">
        <f t="shared" si="15"/>
        <v>10787.075262393982</v>
      </c>
      <c r="AD680" s="172">
        <f t="shared" si="15"/>
        <v>1103505.2432620237</v>
      </c>
      <c r="AE680" s="172">
        <f t="shared" si="15"/>
        <v>915361.52089745901</v>
      </c>
      <c r="AF680" s="172">
        <f t="shared" si="15"/>
        <v>331091.79862729984</v>
      </c>
      <c r="AG680" s="172">
        <f t="shared" si="15"/>
        <v>0</v>
      </c>
      <c r="AH680" s="172">
        <f t="shared" si="15"/>
        <v>0</v>
      </c>
      <c r="AI680" s="172">
        <f t="shared" si="15"/>
        <v>0</v>
      </c>
      <c r="AJ680" s="172">
        <f t="shared" si="15"/>
        <v>181925086.29813614</v>
      </c>
      <c r="AK680" s="172">
        <f t="shared" si="15"/>
        <v>26454907.959929448</v>
      </c>
      <c r="AL680" s="172">
        <f t="shared" si="15"/>
        <v>108352302.5114816</v>
      </c>
      <c r="AM680" s="172">
        <f t="shared" si="15"/>
        <v>950623.47374427272</v>
      </c>
      <c r="AN680" s="172">
        <f t="shared" si="15"/>
        <v>114802996.53457972</v>
      </c>
      <c r="AO680" s="172">
        <f t="shared" si="15"/>
        <v>0</v>
      </c>
      <c r="AP680" s="172">
        <f t="shared" si="15"/>
        <v>132204.64759480793</v>
      </c>
      <c r="AQ680" s="172">
        <f t="shared" si="15"/>
        <v>128922.90611661715</v>
      </c>
      <c r="AR680" s="172">
        <f t="shared" si="15"/>
        <v>0</v>
      </c>
      <c r="AS680" s="172">
        <f t="shared" si="15"/>
        <v>0</v>
      </c>
      <c r="AT680" s="172">
        <f t="shared" si="15"/>
        <v>0</v>
      </c>
      <c r="AU680" s="172">
        <f t="shared" si="15"/>
        <v>0</v>
      </c>
      <c r="AV680" s="172">
        <f t="shared" si="15"/>
        <v>0</v>
      </c>
      <c r="AW680" s="172">
        <f t="shared" si="15"/>
        <v>0</v>
      </c>
      <c r="AX680" s="172">
        <f t="shared" si="15"/>
        <v>0</v>
      </c>
      <c r="AY680" s="172">
        <f t="shared" si="15"/>
        <v>0</v>
      </c>
      <c r="AZ680" s="172">
        <f t="shared" si="15"/>
        <v>0</v>
      </c>
      <c r="BA680" s="172">
        <f t="shared" si="15"/>
        <v>0</v>
      </c>
      <c r="BB680" s="172">
        <f t="shared" si="15"/>
        <v>0</v>
      </c>
      <c r="BC680" s="172">
        <f t="shared" si="15"/>
        <v>0</v>
      </c>
      <c r="BD680" s="88" t="s">
        <v>1946</v>
      </c>
    </row>
    <row r="681" spans="3:56" x14ac:dyDescent="0.2">
      <c r="C681" s="86"/>
      <c r="D681" s="88" t="s">
        <v>62</v>
      </c>
      <c r="E681" s="86"/>
      <c r="F681" s="86"/>
      <c r="G681" s="86"/>
      <c r="H681" s="86"/>
      <c r="I681" s="86"/>
      <c r="J681" s="86"/>
      <c r="K681" s="86"/>
      <c r="L681" s="86"/>
      <c r="M681" s="86"/>
      <c r="N681" s="86"/>
      <c r="O681" s="86"/>
      <c r="P681" s="86"/>
      <c r="Q681" s="86"/>
      <c r="R681" s="86"/>
      <c r="S681" s="86"/>
      <c r="T681" s="86"/>
      <c r="U681" s="86"/>
      <c r="V681" s="86"/>
      <c r="W681" s="86"/>
      <c r="X681" s="86"/>
      <c r="Y681" s="86"/>
      <c r="Z681" s="86"/>
      <c r="AA681" s="86"/>
      <c r="AB681" s="86"/>
      <c r="AC681" s="86"/>
      <c r="AD681" s="86"/>
      <c r="AE681" s="86"/>
      <c r="AF681" s="86"/>
      <c r="AG681" s="86"/>
      <c r="AH681" s="86"/>
      <c r="AI681" s="86"/>
      <c r="AJ681" s="86"/>
      <c r="AK681" s="86"/>
      <c r="AL681" s="86"/>
      <c r="AM681" s="86"/>
      <c r="AN681" s="86"/>
      <c r="AO681" s="86"/>
      <c r="AP681" s="86"/>
      <c r="AQ681" s="86"/>
      <c r="AR681" s="86"/>
      <c r="AS681" s="86"/>
      <c r="AT681" s="86"/>
      <c r="AU681" s="86"/>
      <c r="AV681" s="86"/>
      <c r="AW681" s="86"/>
      <c r="AX681" s="86"/>
      <c r="AY681" s="86"/>
      <c r="AZ681" s="86"/>
      <c r="BA681" s="86"/>
      <c r="BB681" s="86"/>
      <c r="BC681" s="86"/>
    </row>
    <row r="682" spans="3:56" x14ac:dyDescent="0.2">
      <c r="F682" s="86"/>
      <c r="G682" s="86"/>
      <c r="H682" s="86"/>
      <c r="I682" s="86"/>
      <c r="J682" s="86"/>
      <c r="K682" s="86"/>
      <c r="L682" s="86"/>
      <c r="M682" s="86"/>
      <c r="N682" s="86"/>
      <c r="O682" s="86"/>
      <c r="P682" s="86"/>
      <c r="Q682" s="86"/>
      <c r="R682" s="86"/>
      <c r="S682" s="86"/>
      <c r="T682" s="86"/>
      <c r="U682" s="86"/>
      <c r="V682" s="86"/>
      <c r="W682" s="86"/>
      <c r="X682" s="86"/>
      <c r="Y682" s="86"/>
      <c r="Z682" s="86"/>
      <c r="AA682" s="86"/>
      <c r="AB682" s="86"/>
      <c r="AC682" s="86"/>
      <c r="AD682" s="86"/>
      <c r="AE682" s="86"/>
      <c r="AF682" s="86"/>
      <c r="AG682" s="86"/>
      <c r="AH682" s="86"/>
      <c r="AI682" s="86"/>
      <c r="AJ682" s="86"/>
      <c r="AK682" s="86"/>
      <c r="AL682" s="86"/>
      <c r="AM682" s="86"/>
      <c r="AN682" s="86"/>
      <c r="AO682" s="86"/>
      <c r="AP682" s="86"/>
      <c r="AQ682" s="86"/>
      <c r="AR682" s="86"/>
      <c r="AS682" s="86"/>
      <c r="AT682" s="86"/>
      <c r="AU682" s="86"/>
      <c r="AV682" s="86"/>
      <c r="AW682" s="86"/>
      <c r="AX682" s="86"/>
      <c r="AY682" s="86"/>
      <c r="AZ682" s="86"/>
      <c r="BA682" s="86"/>
      <c r="BB682" s="86"/>
      <c r="BC682" s="86"/>
    </row>
    <row r="683" spans="3:56" x14ac:dyDescent="0.2">
      <c r="D683" s="84" t="s">
        <v>1979</v>
      </c>
      <c r="E683" s="732">
        <f>SUM(OPEX)</f>
        <v>288567479.41385281</v>
      </c>
      <c r="F683" s="733">
        <f t="array" ref="F683">SUM($S$267:$S$466*F61:F260*F473)</f>
        <v>6293927.386562705</v>
      </c>
      <c r="G683" s="733">
        <f t="array" ref="G683">SUM($S$267:$S$466*G61:G260*G473)</f>
        <v>197055.39377943621</v>
      </c>
      <c r="H683" s="733">
        <f t="array" ref="H683">SUM($S$267:$S$466*H61:H260*H473)</f>
        <v>1739818.634663308</v>
      </c>
      <c r="I683" s="733">
        <f t="array" ref="I683">SUM($S$267:$S$466*I61:I260*I473)</f>
        <v>16389.050247564403</v>
      </c>
      <c r="J683" s="733">
        <f t="array" ref="J683">SUM($S$267:$S$466*J61:J260*J473)</f>
        <v>97357.411184952507</v>
      </c>
      <c r="K683" s="733">
        <f t="array" ref="K683">SUM($S$267:$S$466*K61:K260*K473)</f>
        <v>1818696.3408786796</v>
      </c>
      <c r="L683" s="733">
        <f t="array" ref="L683">SUM($S$267:$S$466*L61:L260*L473)</f>
        <v>30112.491126084708</v>
      </c>
      <c r="M683" s="733">
        <f t="array" ref="M683">SUM($S$267:$S$466*M61:M260*M473)</f>
        <v>30565560.932851549</v>
      </c>
      <c r="N683" s="733">
        <f t="array" ref="N683">SUM($S$267:$S$466*N61:N260*N473)</f>
        <v>959199.49220006098</v>
      </c>
      <c r="O683" s="733">
        <f t="array" ref="O683">SUM($S$267:$S$466*O61:O260*O473)</f>
        <v>8474545.8944065738</v>
      </c>
      <c r="P683" s="733">
        <f t="array" ref="P683">SUM($S$267:$S$466*P61:P260*P473)</f>
        <v>79718.978949790762</v>
      </c>
      <c r="Q683" s="733">
        <f t="array" ref="Q683">SUM($S$267:$S$466*Q61:Q260*Q473)</f>
        <v>465879.92333296605</v>
      </c>
      <c r="R683" s="733">
        <f t="array" ref="R683">SUM($S$267:$S$466*R61:R260*R473)</f>
        <v>8711179.0130526908</v>
      </c>
      <c r="S683" s="733">
        <f t="array" ref="S683">SUM($S$267:$S$466*S61:S260*S473)</f>
        <v>143949.8124887062</v>
      </c>
      <c r="T683" s="733">
        <f t="array" ref="T683">SUM($S$267:$S$466*T61:T260*T473)</f>
        <v>0</v>
      </c>
      <c r="U683" s="733">
        <f t="array" ref="U683">SUM($S$267:$S$466*U61:U260*U473)</f>
        <v>0</v>
      </c>
      <c r="V683" s="733">
        <f t="array" ref="V683">SUM($S$267:$S$466*V61:V260*V473)</f>
        <v>0</v>
      </c>
      <c r="W683" s="733">
        <f t="array" ref="W683">SUM($S$267:$S$466*W61:W260*W473)</f>
        <v>0</v>
      </c>
      <c r="X683" s="733">
        <f t="array" ref="X683">SUM($S$267:$S$466*X61:X260*X473)</f>
        <v>0</v>
      </c>
      <c r="Y683" s="733">
        <f t="array" ref="Y683">SUM($S$267:$S$466*Y61:Y260*Y473)</f>
        <v>0</v>
      </c>
      <c r="Z683" s="733">
        <f t="array" ref="Z683">SUM($S$267:$S$466*Z61:Z260*Z473)</f>
        <v>0</v>
      </c>
      <c r="AA683" s="733">
        <f t="array" ref="AA683">SUM($S$267:$S$466*AA61:AA260*AA473)</f>
        <v>198561.0055795084</v>
      </c>
      <c r="AB683" s="733">
        <f t="array" ref="AB683">SUM($S$267:$S$466*AB61:AB260*AB473)</f>
        <v>164563.53533388418</v>
      </c>
      <c r="AC683" s="733">
        <f t="array" ref="AC683">SUM($S$267:$S$466*AC61:AC260*AC473)</f>
        <v>5389.2045541796597</v>
      </c>
      <c r="AD683" s="733">
        <f t="array" ref="AD683">SUM($S$267:$S$466*AD61:AD260*AD473)</f>
        <v>613580.75209175842</v>
      </c>
      <c r="AE683" s="733">
        <f t="array" ref="AE683">SUM($S$267:$S$466*AE61:AE260*AE473)</f>
        <v>509063.21234314633</v>
      </c>
      <c r="AF683" s="733">
        <f t="array" ref="AF683">SUM($S$267:$S$466*AF61:AF260*AF473)</f>
        <v>154119.05125015212</v>
      </c>
      <c r="AG683" s="733">
        <f t="array" ref="AG683">SUM($S$267:$S$466*AG61:AG260*AG473)</f>
        <v>0</v>
      </c>
      <c r="AH683" s="733">
        <f t="array" ref="AH683">SUM($S$267:$S$466*AH61:AH260*AH473)</f>
        <v>0</v>
      </c>
      <c r="AI683" s="733">
        <f t="array" ref="AI683">SUM($S$267:$S$466*AI61:AI260*AI473)</f>
        <v>0</v>
      </c>
      <c r="AJ683" s="733">
        <f t="array" ref="AJ683">SUM($S$267:$S$466*AJ61:AJ260*AJ473)</f>
        <v>92328938.504209667</v>
      </c>
      <c r="AK683" s="733">
        <f t="array" ref="AK683">SUM($S$267:$S$466*AK61:AK260*AK473)</f>
        <v>12250125.42340135</v>
      </c>
      <c r="AL683" s="733">
        <f t="array" ref="AL683">SUM($S$267:$S$466*AL61:AL260*AL473)</f>
        <v>65870538.85880293</v>
      </c>
      <c r="AM683" s="733">
        <f t="array" ref="AM683">SUM($S$267:$S$466*AM61:AM260*AM473)</f>
        <v>406423.87294728414</v>
      </c>
      <c r="AN683" s="733">
        <f t="array" ref="AN683">SUM($S$267:$S$466*AN61:AN260*AN473)</f>
        <v>56472785.237613827</v>
      </c>
      <c r="AO683" s="733">
        <f t="array" ref="AO683">SUM($S$267:$S$466*AO61:AO260*AO473)</f>
        <v>0</v>
      </c>
      <c r="AP683" s="733">
        <f t="array" ref="AP683">SUM($S$267:$S$466*AP61:AP260*AP473)</f>
        <v>0</v>
      </c>
      <c r="AQ683" s="733">
        <f t="array" ref="AQ683">SUM($S$267:$S$466*AQ61:AQ260*AQ473)</f>
        <v>0</v>
      </c>
      <c r="AR683" s="733">
        <f t="array" ref="AR683">SUM($S$267:$S$466*AR61:AR260*AR473)</f>
        <v>0</v>
      </c>
      <c r="AS683" s="733">
        <f t="array" ref="AS683">SUM($S$267:$S$466*AS61:AS260*AS473)</f>
        <v>0</v>
      </c>
      <c r="AT683" s="733">
        <f t="array" ref="AT683">SUM($S$267:$S$466*AT61:AT260*AT473)</f>
        <v>0</v>
      </c>
      <c r="AU683" s="733">
        <f t="array" ref="AU683">SUM($S$267:$S$466*AU61:AU260*AU473)</f>
        <v>0</v>
      </c>
      <c r="AV683" s="733">
        <f t="array" ref="AV683">SUM($S$267:$S$466*AV61:AV260*AV473)</f>
        <v>0</v>
      </c>
      <c r="AW683" s="733">
        <f t="array" ref="AW683">SUM($S$267:$S$466*AW61:AW260*AW473)</f>
        <v>0</v>
      </c>
      <c r="AX683" s="733">
        <f t="array" ref="AX683">SUM($S$267:$S$466*AX61:AX260*AX473)</f>
        <v>0</v>
      </c>
      <c r="AY683" s="733">
        <f t="array" ref="AY683">SUM($S$267:$S$466*AY61:AY260*AY473)</f>
        <v>0</v>
      </c>
      <c r="AZ683" s="733">
        <f t="array" ref="AZ683">SUM($S$267:$S$466*AZ61:AZ260*AZ473)</f>
        <v>0</v>
      </c>
      <c r="BA683" s="733">
        <f t="array" ref="BA683">SUM($S$267:$S$466*BA61:BA260*BA473)</f>
        <v>0</v>
      </c>
      <c r="BB683" s="733">
        <f t="array" ref="BB683">SUM($S$267:$S$466*BB61:BB260*BB473)</f>
        <v>0</v>
      </c>
      <c r="BC683" s="733">
        <f t="array" ref="BC683">SUM($S$267:$S$466*BC61:BC260*BC473)</f>
        <v>0</v>
      </c>
    </row>
    <row r="684" spans="3:56" x14ac:dyDescent="0.2">
      <c r="D684" s="84" t="s">
        <v>1980</v>
      </c>
      <c r="E684" s="732">
        <f>SUM(CAPEX)</f>
        <v>242482222.38277858</v>
      </c>
      <c r="F684" s="733">
        <f t="array" ref="F684">SUM($R$267:$R$466*F61:F260*F473)</f>
        <v>5290691.4088796712</v>
      </c>
      <c r="G684" s="733">
        <f t="array" ref="G684">SUM($R$267:$R$466*G61:G260*G473)</f>
        <v>161383.31323361077</v>
      </c>
      <c r="H684" s="733">
        <f t="array" ref="H684">SUM($R$267:$R$466*H61:H260*H473)</f>
        <v>1424801.0960319238</v>
      </c>
      <c r="I684" s="733">
        <f t="array" ref="I684">SUM($R$267:$R$466*I61:I260*I473)</f>
        <v>13422.874804895057</v>
      </c>
      <c r="J684" s="733">
        <f t="array" ref="J684">SUM($R$267:$R$466*J61:J260*J473)</f>
        <v>80156.64488493673</v>
      </c>
      <c r="K684" s="733">
        <f t="array" ref="K684">SUM($R$267:$R$466*K61:K260*K473)</f>
        <v>1497174.4705794756</v>
      </c>
      <c r="L684" s="733">
        <f t="array" ref="L684">SUM($R$267:$R$466*L61:L260*L473)</f>
        <v>24795.878427466247</v>
      </c>
      <c r="M684" s="733">
        <f t="array" ref="M684">SUM($R$267:$R$466*M61:M260*M473)</f>
        <v>29889937.241741184</v>
      </c>
      <c r="N684" s="733">
        <f t="array" ref="N684">SUM($R$267:$R$466*N61:N260*N473)</f>
        <v>923181.38120257878</v>
      </c>
      <c r="O684" s="733">
        <f t="array" ref="O684">SUM($R$267:$R$466*O61:O260*O473)</f>
        <v>8157439.9821502157</v>
      </c>
      <c r="P684" s="733">
        <f t="array" ref="P684">SUM($R$267:$R$466*P61:P260*P473)</f>
        <v>76714.274257816563</v>
      </c>
      <c r="Q684" s="733">
        <f t="array" ref="Q684">SUM($R$267:$R$466*Q61:Q260*Q473)</f>
        <v>447807.25531390466</v>
      </c>
      <c r="R684" s="733">
        <f t="array" ref="R684">SUM($R$267:$R$466*R61:R260*R473)</f>
        <v>8374560.1057928707</v>
      </c>
      <c r="S684" s="733">
        <f t="array" ref="S684">SUM($R$267:$R$466*S61:S260*S473)</f>
        <v>138342.45085827424</v>
      </c>
      <c r="T684" s="733">
        <f t="array" ref="T684">SUM($R$267:$R$466*T61:T260*T473)</f>
        <v>0</v>
      </c>
      <c r="U684" s="733">
        <f t="array" ref="U684">SUM($R$267:$R$466*U61:U260*U473)</f>
        <v>0</v>
      </c>
      <c r="V684" s="733">
        <f t="array" ref="V684">SUM($R$267:$R$466*V61:V260*V473)</f>
        <v>0</v>
      </c>
      <c r="W684" s="733">
        <f t="array" ref="W684">SUM($R$267:$R$466*W61:W260*W473)</f>
        <v>0</v>
      </c>
      <c r="X684" s="733">
        <f t="array" ref="X684">SUM($R$267:$R$466*X61:X260*X473)</f>
        <v>0</v>
      </c>
      <c r="Y684" s="733">
        <f t="array" ref="Y684">SUM($R$267:$R$466*Y61:Y260*Y473)</f>
        <v>0</v>
      </c>
      <c r="Z684" s="733">
        <f t="array" ref="Z684">SUM($R$267:$R$466*Z61:Z260*Z473)</f>
        <v>0</v>
      </c>
      <c r="AA684" s="733">
        <f t="array" ref="AA684">SUM($R$267:$R$466*AA61:AA260*AA473)</f>
        <v>141677.41414257057</v>
      </c>
      <c r="AB684" s="733">
        <f t="array" ref="AB684">SUM($R$267:$R$466*AB61:AB260*AB473)</f>
        <v>117387.91843714763</v>
      </c>
      <c r="AC684" s="733">
        <f t="array" ref="AC684">SUM($R$267:$R$466*AC61:AC260*AC473)</f>
        <v>4889.0137924289129</v>
      </c>
      <c r="AD684" s="733">
        <f t="array" ref="AD684">SUM($R$267:$R$466*AD61:AD260*AD473)</f>
        <v>437869.02099134284</v>
      </c>
      <c r="AE684" s="733">
        <f t="array" ref="AE684">SUM($R$267:$R$466*AE61:AE260*AE473)</f>
        <v>363118.11104736105</v>
      </c>
      <c r="AF684" s="733">
        <f t="array" ref="AF684">SUM($R$267:$R$466*AF61:AF260*AF473)</f>
        <v>161354.20876560386</v>
      </c>
      <c r="AG684" s="733">
        <f t="array" ref="AG684">SUM($R$267:$R$466*AG61:AG260*AG473)</f>
        <v>0</v>
      </c>
      <c r="AH684" s="733">
        <f t="array" ref="AH684">SUM($R$267:$R$466*AH61:AH260*AH473)</f>
        <v>0</v>
      </c>
      <c r="AI684" s="733">
        <f t="array" ref="AI684">SUM($R$267:$R$466*AI61:AI260*AI473)</f>
        <v>0</v>
      </c>
      <c r="AJ684" s="733">
        <f t="array" ref="AJ684">SUM($R$267:$R$466*AJ61:AJ260*AJ473)</f>
        <v>81014225.811756283</v>
      </c>
      <c r="AK684" s="733">
        <f t="array" ref="AK684">SUM($R$267:$R$466*AK61:AK260*AK473)</f>
        <v>12956829.542373409</v>
      </c>
      <c r="AL684" s="733">
        <f t="array" ref="AL684">SUM($R$267:$R$466*AL61:AL260*AL473)</f>
        <v>37370478.421689793</v>
      </c>
      <c r="AM684" s="733">
        <f t="array" ref="AM684">SUM($R$267:$R$466*AM61:AM260*AM473)</f>
        <v>499355.99702524953</v>
      </c>
      <c r="AN684" s="733">
        <f t="array" ref="AN684">SUM($R$267:$R$466*AN61:AN260*AN473)</f>
        <v>52914628.544598565</v>
      </c>
      <c r="AO684" s="733">
        <f t="array" ref="AO684">SUM($R$267:$R$466*AO61:AO260*AO473)</f>
        <v>0</v>
      </c>
      <c r="AP684" s="733">
        <f t="array" ref="AP684">SUM($R$267:$R$466*AP61:AP260*AP473)</f>
        <v>0</v>
      </c>
      <c r="AQ684" s="733">
        <f t="array" ref="AQ684">SUM($R$267:$R$466*AQ61:AQ260*AQ473)</f>
        <v>0</v>
      </c>
      <c r="AR684" s="733">
        <f t="array" ref="AR684">SUM($R$267:$R$466*AR61:AR260*AR473)</f>
        <v>0</v>
      </c>
      <c r="AS684" s="733">
        <f t="array" ref="AS684">SUM($R$267:$R$466*AS61:AS260*AS473)</f>
        <v>0</v>
      </c>
      <c r="AT684" s="733">
        <f t="array" ref="AT684">SUM($R$267:$R$466*AT61:AT260*AT473)</f>
        <v>0</v>
      </c>
      <c r="AU684" s="733">
        <f t="array" ref="AU684">SUM($R$267:$R$466*AU61:AU260*AU473)</f>
        <v>0</v>
      </c>
      <c r="AV684" s="733">
        <f t="array" ref="AV684">SUM($R$267:$R$466*AV61:AV260*AV473)</f>
        <v>0</v>
      </c>
      <c r="AW684" s="733">
        <f t="array" ref="AW684">SUM($R$267:$R$466*AW61:AW260*AW473)</f>
        <v>0</v>
      </c>
      <c r="AX684" s="733">
        <f t="array" ref="AX684">SUM($R$267:$R$466*AX61:AX260*AX473)</f>
        <v>0</v>
      </c>
      <c r="AY684" s="733">
        <f t="array" ref="AY684">SUM($R$267:$R$466*AY61:AY260*AY473)</f>
        <v>0</v>
      </c>
      <c r="AZ684" s="733">
        <f t="array" ref="AZ684">SUM($R$267:$R$466*AZ61:AZ260*AZ473)</f>
        <v>0</v>
      </c>
      <c r="BA684" s="733">
        <f t="array" ref="BA684">SUM($R$267:$R$466*BA61:BA260*BA473)</f>
        <v>0</v>
      </c>
      <c r="BB684" s="733">
        <f t="array" ref="BB684">SUM($R$267:$R$466*BB61:BB260*BB473)</f>
        <v>0</v>
      </c>
      <c r="BC684" s="733">
        <f t="array" ref="BC684">SUM($R$267:$R$466*BC61:BC260*BC473)</f>
        <v>0</v>
      </c>
    </row>
    <row r="685" spans="3:56" x14ac:dyDescent="0.2">
      <c r="D685" s="736" t="s">
        <v>1978</v>
      </c>
      <c r="E685" s="732">
        <f>SUM(COSTOS.COMUNES)</f>
        <v>26552485.089831572</v>
      </c>
      <c r="F685" s="733">
        <f t="array" ref="F685">SUM($T$267:$T$466*F61:F260*F473)</f>
        <v>573534.55550432089</v>
      </c>
      <c r="G685" s="733">
        <f t="array" ref="G685">SUM($T$267:$T$466*G61:G260*G473)</f>
        <v>17745.684008450025</v>
      </c>
      <c r="H685" s="733">
        <f t="array" ref="H685">SUM($T$267:$T$466*H61:H260*H473)</f>
        <v>156674.88094632502</v>
      </c>
      <c r="I685" s="733">
        <f t="array" ref="I685">SUM($T$267:$T$466*I61:I260*I473)</f>
        <v>1475.9371443812404</v>
      </c>
      <c r="J685" s="733">
        <f t="array" ref="J685">SUM($T$267:$T$466*J61:J260*J473)</f>
        <v>8788.4156605884418</v>
      </c>
      <c r="K685" s="733">
        <f t="array" ref="K685">SUM($T$267:$T$466*K61:K260*K473)</f>
        <v>164163.06186161237</v>
      </c>
      <c r="L685" s="733">
        <f t="array" ref="L685">SUM($T$267:$T$466*L61:L260*L473)</f>
        <v>2718.4189554646682</v>
      </c>
      <c r="M685" s="733">
        <f t="array" ref="M685">SUM($T$267:$T$466*M61:M260*M473)</f>
        <v>2993047.7545794165</v>
      </c>
      <c r="N685" s="733">
        <f t="array" ref="N685">SUM($T$267:$T$466*N61:N260*N473)</f>
        <v>93193.440076039347</v>
      </c>
      <c r="O685" s="733">
        <f t="array" ref="O685">SUM($T$267:$T$466*O61:O260*O473)</f>
        <v>823421.02017357585</v>
      </c>
      <c r="P685" s="733">
        <f t="array" ref="P685">SUM($T$267:$T$466*P61:P260*P473)</f>
        <v>7744.7413616939666</v>
      </c>
      <c r="Q685" s="733">
        <f t="array" ref="Q685">SUM($T$267:$T$466*Q61:Q260*Q473)</f>
        <v>45235.081026696724</v>
      </c>
      <c r="R685" s="733">
        <f t="array" ref="R685">SUM($T$267:$T$466*R61:R260*R473)</f>
        <v>845885.562919438</v>
      </c>
      <c r="S685" s="733">
        <f t="array" ref="S685">SUM($T$267:$T$466*S61:S260*S473)</f>
        <v>13975.804524937459</v>
      </c>
      <c r="T685" s="733">
        <f t="array" ref="T685">SUM($T$267:$T$466*T61:T260*T473)</f>
        <v>0</v>
      </c>
      <c r="U685" s="733">
        <f t="array" ref="U685">SUM($T$267:$T$466*U61:U260*U473)</f>
        <v>0</v>
      </c>
      <c r="V685" s="733">
        <f t="array" ref="V685">SUM($T$267:$T$466*V61:V260*V473)</f>
        <v>0</v>
      </c>
      <c r="W685" s="733">
        <f t="array" ref="W685">SUM($T$267:$T$466*W61:W260*W473)</f>
        <v>0</v>
      </c>
      <c r="X685" s="733">
        <f t="array" ref="X685">SUM($T$267:$T$466*X61:X260*X473)</f>
        <v>0</v>
      </c>
      <c r="Y685" s="733">
        <f t="array" ref="Y685">SUM($T$267:$T$466*Y61:Y260*Y473)</f>
        <v>0</v>
      </c>
      <c r="Z685" s="733">
        <f t="array" ref="Z685">SUM($T$267:$T$466*Z61:Z260*Z473)</f>
        <v>0</v>
      </c>
      <c r="AA685" s="733">
        <f t="array" ref="AA685">SUM($T$267:$T$466*AA61:AA260*AA473)</f>
        <v>16844.619082120033</v>
      </c>
      <c r="AB685" s="733">
        <f t="array" ref="AB685">SUM($T$267:$T$466*AB61:AB260*AB473)</f>
        <v>13958.931628892728</v>
      </c>
      <c r="AC685" s="733">
        <f t="array" ref="AC685">SUM($T$267:$T$466*AC61:AC260*AC473)</f>
        <v>508.85691578541025</v>
      </c>
      <c r="AD685" s="733">
        <f t="array" ref="AD685">SUM($T$267:$T$466*AD61:AD260*AD473)</f>
        <v>52055.470178922478</v>
      </c>
      <c r="AE685" s="733">
        <f t="array" ref="AE685">SUM($T$267:$T$466*AE61:AE260*AE473)</f>
        <v>43180.197506951547</v>
      </c>
      <c r="AF685" s="733">
        <f t="array" ref="AF685">SUM($T$267:$T$466*AF61:AF260*AF473)</f>
        <v>15618.538611544045</v>
      </c>
      <c r="AG685" s="733">
        <f t="array" ref="AG685">SUM($T$267:$T$466*AG61:AG260*AG473)</f>
        <v>0</v>
      </c>
      <c r="AH685" s="733">
        <f t="array" ref="AH685">SUM($T$267:$T$466*AH61:AH260*AH473)</f>
        <v>0</v>
      </c>
      <c r="AI685" s="733">
        <f t="array" ref="AI685">SUM($T$267:$T$466*AI61:AI260*AI473)</f>
        <v>0</v>
      </c>
      <c r="AJ685" s="733">
        <f t="array" ref="AJ685">SUM($T$267:$T$466*AJ61:AJ260*AJ473)</f>
        <v>8581921.9821702838</v>
      </c>
      <c r="AK685" s="733">
        <f t="array" ref="AK685">SUM($T$267:$T$466*AK61:AK260*AK473)</f>
        <v>1247952.9941546943</v>
      </c>
      <c r="AL685" s="733">
        <f t="array" ref="AL685">SUM($T$267:$T$466*AL61:AL260*AL473)</f>
        <v>5111285.2309889188</v>
      </c>
      <c r="AM685" s="733">
        <f t="array" ref="AM685">SUM($T$267:$T$466*AM61:AM260*AM473)</f>
        <v>44843.603771739021</v>
      </c>
      <c r="AN685" s="733">
        <f t="array" ref="AN685">SUM($T$267:$T$466*AN61:AN260*AN473)</f>
        <v>5415582.7523673531</v>
      </c>
      <c r="AO685" s="733">
        <f t="array" ref="AO685">SUM($T$267:$T$466*AO61:AO260*AO473)</f>
        <v>0</v>
      </c>
      <c r="AP685" s="733">
        <f t="array" ref="AP685">SUM($T$267:$T$466*AP61:AP260*AP473)</f>
        <v>132204.64759480793</v>
      </c>
      <c r="AQ685" s="733">
        <f t="array" ref="AQ685">SUM($T$267:$T$466*AQ61:AQ260*AQ473)</f>
        <v>128922.90611661715</v>
      </c>
      <c r="AR685" s="733">
        <f t="array" ref="AR685">SUM($T$267:$T$466*AR61:AR260*AR473)</f>
        <v>0</v>
      </c>
      <c r="AS685" s="733">
        <f t="array" ref="AS685">SUM($T$267:$T$466*AS61:AS260*AS473)</f>
        <v>0</v>
      </c>
      <c r="AT685" s="733">
        <f t="array" ref="AT685">SUM($T$267:$T$466*AT61:AT260*AT473)</f>
        <v>0</v>
      </c>
      <c r="AU685" s="733">
        <f t="array" ref="AU685">SUM($T$267:$T$466*AU61:AU260*AU473)</f>
        <v>0</v>
      </c>
      <c r="AV685" s="733">
        <f t="array" ref="AV685">SUM($T$267:$T$466*AV61:AV260*AV473)</f>
        <v>0</v>
      </c>
      <c r="AW685" s="733">
        <f t="array" ref="AW685">SUM($T$267:$T$466*AW61:AW260*AW473)</f>
        <v>0</v>
      </c>
      <c r="AX685" s="733">
        <f t="array" ref="AX685">SUM($T$267:$T$466*AX61:AX260*AX473)</f>
        <v>0</v>
      </c>
      <c r="AY685" s="733">
        <f t="array" ref="AY685">SUM($T$267:$T$466*AY61:AY260*AY473)</f>
        <v>0</v>
      </c>
      <c r="AZ685" s="733">
        <f t="array" ref="AZ685">SUM($T$267:$T$466*AZ61:AZ260*AZ473)</f>
        <v>0</v>
      </c>
      <c r="BA685" s="733">
        <f t="array" ref="BA685">SUM($T$267:$T$466*BA61:BA260*BA473)</f>
        <v>0</v>
      </c>
      <c r="BB685" s="733">
        <f t="array" ref="BB685">SUM($T$267:$T$466*BB61:BB260*BB473)</f>
        <v>0</v>
      </c>
      <c r="BC685" s="733">
        <f t="array" ref="BC685">SUM($T$267:$T$466*BC61:BC260*BC473)</f>
        <v>0</v>
      </c>
    </row>
    <row r="686" spans="3:56" x14ac:dyDescent="0.2">
      <c r="D686" s="86"/>
      <c r="E686" s="732"/>
      <c r="F686" s="733"/>
      <c r="G686" s="733"/>
      <c r="H686" s="733"/>
      <c r="I686" s="733"/>
      <c r="J686" s="733"/>
      <c r="K686" s="733"/>
      <c r="L686" s="733"/>
      <c r="M686" s="733"/>
      <c r="N686" s="733"/>
      <c r="O686" s="733"/>
      <c r="P686" s="733"/>
      <c r="Q686" s="733"/>
      <c r="R686" s="733"/>
      <c r="S686" s="733"/>
      <c r="T686" s="733"/>
      <c r="U686" s="733"/>
      <c r="V686" s="733"/>
      <c r="W686" s="733"/>
      <c r="X686" s="733"/>
      <c r="Y686" s="733"/>
      <c r="Z686" s="733"/>
      <c r="AA686" s="733"/>
      <c r="AB686" s="733"/>
      <c r="AC686" s="733"/>
      <c r="AD686" s="733"/>
      <c r="AE686" s="733"/>
      <c r="AF686" s="733"/>
      <c r="AG686" s="733"/>
      <c r="AH686" s="733"/>
      <c r="AI686" s="733"/>
      <c r="AJ686" s="733"/>
      <c r="AK686" s="733"/>
      <c r="AL686" s="733"/>
      <c r="AM686" s="733"/>
      <c r="AN686" s="733"/>
      <c r="AO686" s="733"/>
      <c r="AP686" s="733"/>
      <c r="AQ686" s="733"/>
      <c r="AR686" s="733"/>
      <c r="AS686" s="733"/>
      <c r="AT686" s="733"/>
      <c r="AU686" s="733"/>
      <c r="AV686" s="733"/>
      <c r="AW686" s="733"/>
      <c r="AX686" s="733"/>
      <c r="AY686" s="733"/>
      <c r="AZ686" s="733"/>
      <c r="BA686" s="733"/>
      <c r="BB686" s="733"/>
      <c r="BC686" s="733"/>
    </row>
    <row r="687" spans="3:56" x14ac:dyDescent="0.2">
      <c r="G687" s="616"/>
    </row>
    <row r="688" spans="3:56" x14ac:dyDescent="0.2">
      <c r="G688" s="616"/>
    </row>
    <row r="689" spans="7:7" x14ac:dyDescent="0.2">
      <c r="G689" s="616"/>
    </row>
    <row r="690" spans="7:7" x14ac:dyDescent="0.2">
      <c r="G690" s="616"/>
    </row>
    <row r="691" spans="7:7" x14ac:dyDescent="0.2">
      <c r="G691" s="616"/>
    </row>
    <row r="692" spans="7:7" x14ac:dyDescent="0.2">
      <c r="G692" s="616"/>
    </row>
    <row r="693" spans="7:7" x14ac:dyDescent="0.2">
      <c r="G693" s="616"/>
    </row>
    <row r="694" spans="7:7" x14ac:dyDescent="0.2">
      <c r="G694" s="616"/>
    </row>
    <row r="695" spans="7:7" x14ac:dyDescent="0.2">
      <c r="G695" s="616"/>
    </row>
    <row r="696" spans="7:7" x14ac:dyDescent="0.2">
      <c r="G696" s="616"/>
    </row>
    <row r="697" spans="7:7" x14ac:dyDescent="0.2">
      <c r="G697" s="616"/>
    </row>
    <row r="698" spans="7:7" x14ac:dyDescent="0.2">
      <c r="G698" s="616"/>
    </row>
    <row r="699" spans="7:7" x14ac:dyDescent="0.2">
      <c r="G699" s="616"/>
    </row>
  </sheetData>
  <pageMargins left="0.70866141732283472" right="0.70866141732283472" top="0.51181102362204722" bottom="0.51181102362204722" header="0.51181102362204722" footer="0.35433070866141736"/>
  <pageSetup paperSize="9" orientation="landscape" horizontalDpi="4294967292" verticalDpi="4294967292" r:id="rId1"/>
  <headerFooter alignWithMargins="0">
    <oddFooter xml:space="preserve">&amp;L&amp;F : &amp;A&amp;CPrinted at &amp;T on &amp;D&amp;RCommercial in confidence © Analysys Mason </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autoPageBreaks="0"/>
  </sheetPr>
  <dimension ref="A1:BD78"/>
  <sheetViews>
    <sheetView showGridLines="0" tabSelected="1" defaultGridColor="0" colorId="22" zoomScale="120" zoomScaleNormal="120" workbookViewId="0">
      <pane ySplit="1" topLeftCell="A2" activePane="bottomLeft" state="frozen"/>
      <selection pane="bottomLeft" activeCell="F27" sqref="F27"/>
    </sheetView>
  </sheetViews>
  <sheetFormatPr baseColWidth="10" defaultColWidth="12.7109375" defaultRowHeight="12" x14ac:dyDescent="0.2"/>
  <cols>
    <col min="1" max="1" width="6.7109375" style="562" customWidth="1"/>
    <col min="2" max="2" width="12.7109375" style="562"/>
    <col min="3" max="3" width="26.7109375" style="562" customWidth="1"/>
    <col min="4" max="5" width="12.7109375" style="562"/>
    <col min="6" max="6" width="16" style="562" customWidth="1"/>
    <col min="7" max="17" width="14.7109375" style="562" customWidth="1"/>
    <col min="18" max="18" width="13" style="562" bestFit="1" customWidth="1"/>
    <col min="19" max="19" width="13.42578125" style="562" bestFit="1" customWidth="1"/>
    <col min="20" max="20" width="13.140625" style="562" bestFit="1" customWidth="1"/>
    <col min="21" max="28" width="13" style="562" bestFit="1" customWidth="1"/>
    <col min="29" max="29" width="13.140625" style="562" bestFit="1" customWidth="1"/>
    <col min="30" max="30" width="13" style="562" bestFit="1" customWidth="1"/>
    <col min="31" max="32" width="13.42578125" style="562" bestFit="1" customWidth="1"/>
    <col min="33" max="33" width="14.140625" style="562" bestFit="1" customWidth="1"/>
    <col min="34" max="34" width="13.140625" style="562" bestFit="1" customWidth="1"/>
    <col min="35" max="36" width="12.7109375" style="562" bestFit="1" customWidth="1"/>
    <col min="37" max="37" width="13.42578125" style="562" bestFit="1" customWidth="1"/>
    <col min="38" max="38" width="12.7109375" style="562" bestFit="1" customWidth="1"/>
    <col min="39" max="39" width="14.42578125" style="562" bestFit="1" customWidth="1"/>
    <col min="40" max="41" width="13.42578125" style="562" bestFit="1" customWidth="1"/>
    <col min="42" max="56" width="12.7109375" style="562" bestFit="1" customWidth="1"/>
    <col min="57" max="16384" width="12.7109375" style="562"/>
  </cols>
  <sheetData>
    <row r="1" spans="1:56" s="560" customFormat="1" ht="45" customHeight="1" x14ac:dyDescent="0.2">
      <c r="D1" s="561" t="s">
        <v>1948</v>
      </c>
    </row>
    <row r="2" spans="1:56" hidden="1" x14ac:dyDescent="0.2"/>
    <row r="3" spans="1:56" s="86" customFormat="1" ht="15.75" hidden="1" x14ac:dyDescent="0.2">
      <c r="A3" s="618"/>
      <c r="B3" s="171" t="s">
        <v>1947</v>
      </c>
      <c r="C3" s="171"/>
      <c r="D3" s="171"/>
      <c r="E3" s="171"/>
      <c r="F3" s="171"/>
      <c r="G3" s="171"/>
      <c r="H3" s="171"/>
      <c r="I3" s="171"/>
      <c r="J3" s="171"/>
      <c r="K3" s="171"/>
      <c r="L3" s="171"/>
      <c r="M3" s="171"/>
      <c r="N3" s="171"/>
      <c r="O3" s="171"/>
      <c r="P3" s="171"/>
      <c r="Q3" s="171"/>
      <c r="R3" s="171"/>
      <c r="S3" s="171"/>
      <c r="T3" s="171"/>
      <c r="U3" s="171"/>
      <c r="V3" s="171"/>
      <c r="W3" s="171"/>
      <c r="X3" s="171"/>
      <c r="Y3" s="171"/>
      <c r="Z3" s="171"/>
      <c r="AA3" s="171"/>
      <c r="AB3" s="171"/>
      <c r="AC3" s="171"/>
      <c r="AD3" s="171"/>
      <c r="AE3" s="171"/>
      <c r="AF3" s="171"/>
      <c r="AG3" s="171"/>
      <c r="AH3" s="171"/>
      <c r="AI3" s="171"/>
      <c r="AJ3" s="171"/>
      <c r="AK3" s="171"/>
      <c r="AL3" s="171"/>
      <c r="AM3" s="171"/>
      <c r="AN3" s="171"/>
      <c r="AO3" s="171"/>
      <c r="AP3" s="171"/>
      <c r="AQ3" s="171"/>
      <c r="AR3" s="171"/>
      <c r="AS3" s="171"/>
      <c r="AT3" s="171"/>
      <c r="AU3" s="171"/>
      <c r="AV3" s="171"/>
      <c r="AW3" s="171"/>
      <c r="AX3" s="171"/>
      <c r="AY3" s="171"/>
      <c r="AZ3" s="171"/>
      <c r="BA3" s="171"/>
      <c r="BB3" s="171"/>
      <c r="BC3" s="171"/>
      <c r="BD3" s="171"/>
    </row>
    <row r="4" spans="1:56" hidden="1" x14ac:dyDescent="0.2">
      <c r="G4" s="563"/>
      <c r="H4" s="563"/>
      <c r="I4" s="563"/>
      <c r="J4" s="563"/>
      <c r="K4" s="563"/>
      <c r="L4" s="563"/>
      <c r="M4" s="563"/>
      <c r="N4" s="563"/>
      <c r="O4" s="563"/>
    </row>
    <row r="5" spans="1:56" hidden="1" x14ac:dyDescent="0.2">
      <c r="G5" s="564">
        <v>1</v>
      </c>
      <c r="H5" s="192">
        <f>G5+1</f>
        <v>2</v>
      </c>
      <c r="I5" s="192">
        <f t="shared" ref="I5:BD5" si="0">H5+1</f>
        <v>3</v>
      </c>
      <c r="J5" s="192">
        <f t="shared" si="0"/>
        <v>4</v>
      </c>
      <c r="K5" s="192">
        <f t="shared" si="0"/>
        <v>5</v>
      </c>
      <c r="L5" s="192">
        <f t="shared" si="0"/>
        <v>6</v>
      </c>
      <c r="M5" s="192">
        <f t="shared" si="0"/>
        <v>7</v>
      </c>
      <c r="N5" s="192">
        <f t="shared" si="0"/>
        <v>8</v>
      </c>
      <c r="O5" s="192">
        <f t="shared" si="0"/>
        <v>9</v>
      </c>
      <c r="P5" s="192">
        <f t="shared" si="0"/>
        <v>10</v>
      </c>
      <c r="Q5" s="192">
        <f t="shared" si="0"/>
        <v>11</v>
      </c>
      <c r="R5" s="192">
        <f t="shared" si="0"/>
        <v>12</v>
      </c>
      <c r="S5" s="192">
        <f t="shared" si="0"/>
        <v>13</v>
      </c>
      <c r="T5" s="192">
        <f t="shared" si="0"/>
        <v>14</v>
      </c>
      <c r="U5" s="192">
        <f t="shared" si="0"/>
        <v>15</v>
      </c>
      <c r="V5" s="192">
        <f t="shared" si="0"/>
        <v>16</v>
      </c>
      <c r="W5" s="192">
        <f t="shared" si="0"/>
        <v>17</v>
      </c>
      <c r="X5" s="192">
        <f t="shared" si="0"/>
        <v>18</v>
      </c>
      <c r="Y5" s="192">
        <f t="shared" si="0"/>
        <v>19</v>
      </c>
      <c r="Z5" s="192">
        <f t="shared" si="0"/>
        <v>20</v>
      </c>
      <c r="AA5" s="192">
        <f t="shared" si="0"/>
        <v>21</v>
      </c>
      <c r="AB5" s="192">
        <f t="shared" si="0"/>
        <v>22</v>
      </c>
      <c r="AC5" s="192">
        <f t="shared" si="0"/>
        <v>23</v>
      </c>
      <c r="AD5" s="192">
        <f t="shared" si="0"/>
        <v>24</v>
      </c>
      <c r="AE5" s="192">
        <f t="shared" si="0"/>
        <v>25</v>
      </c>
      <c r="AF5" s="192">
        <f t="shared" si="0"/>
        <v>26</v>
      </c>
      <c r="AG5" s="192">
        <f t="shared" si="0"/>
        <v>27</v>
      </c>
      <c r="AH5" s="192">
        <f t="shared" si="0"/>
        <v>28</v>
      </c>
      <c r="AI5" s="192">
        <f t="shared" si="0"/>
        <v>29</v>
      </c>
      <c r="AJ5" s="192">
        <f t="shared" si="0"/>
        <v>30</v>
      </c>
      <c r="AK5" s="192">
        <f t="shared" si="0"/>
        <v>31</v>
      </c>
      <c r="AL5" s="192">
        <f t="shared" si="0"/>
        <v>32</v>
      </c>
      <c r="AM5" s="192">
        <f t="shared" si="0"/>
        <v>33</v>
      </c>
      <c r="AN5" s="192">
        <f t="shared" si="0"/>
        <v>34</v>
      </c>
      <c r="AO5" s="192">
        <f t="shared" si="0"/>
        <v>35</v>
      </c>
      <c r="AP5" s="192">
        <f t="shared" si="0"/>
        <v>36</v>
      </c>
      <c r="AQ5" s="192">
        <f t="shared" si="0"/>
        <v>37</v>
      </c>
      <c r="AR5" s="192">
        <f t="shared" si="0"/>
        <v>38</v>
      </c>
      <c r="AS5" s="192">
        <f t="shared" si="0"/>
        <v>39</v>
      </c>
      <c r="AT5" s="192">
        <f t="shared" si="0"/>
        <v>40</v>
      </c>
      <c r="AU5" s="192">
        <f t="shared" si="0"/>
        <v>41</v>
      </c>
      <c r="AV5" s="192">
        <f t="shared" si="0"/>
        <v>42</v>
      </c>
      <c r="AW5" s="192">
        <f t="shared" si="0"/>
        <v>43</v>
      </c>
      <c r="AX5" s="192">
        <f t="shared" si="0"/>
        <v>44</v>
      </c>
      <c r="AY5" s="192">
        <f t="shared" si="0"/>
        <v>45</v>
      </c>
      <c r="AZ5" s="192">
        <f t="shared" si="0"/>
        <v>46</v>
      </c>
      <c r="BA5" s="192">
        <f t="shared" si="0"/>
        <v>47</v>
      </c>
      <c r="BB5" s="192">
        <f t="shared" si="0"/>
        <v>48</v>
      </c>
      <c r="BC5" s="192">
        <f t="shared" si="0"/>
        <v>49</v>
      </c>
      <c r="BD5" s="192">
        <f t="shared" si="0"/>
        <v>50</v>
      </c>
    </row>
    <row r="6" spans="1:56" ht="53.25" hidden="1" customHeight="1" x14ac:dyDescent="0.2">
      <c r="G6" s="565" t="str">
        <f t="shared" ref="G6:M6" si="1">INDEX(Network.services.list,G$5,)</f>
        <v>2G - Tráfico de voz on-net</v>
      </c>
      <c r="H6" s="565" t="str">
        <f t="shared" si="1"/>
        <v>2G - Tráfico de voz saliente a fijo</v>
      </c>
      <c r="I6" s="565" t="str">
        <f t="shared" si="1"/>
        <v>2G - Tráfico de voz saliente a móvil</v>
      </c>
      <c r="J6" s="565" t="str">
        <f t="shared" si="1"/>
        <v>2G - Tráfico de voz saliente a internacional</v>
      </c>
      <c r="K6" s="565" t="str">
        <f t="shared" si="1"/>
        <v>2G - Tráfico de voz entrante desde fijo</v>
      </c>
      <c r="L6" s="565" t="str">
        <f t="shared" si="1"/>
        <v>2G - Tráfico de voz entrante desde móvil</v>
      </c>
      <c r="M6" s="565" t="str">
        <f t="shared" si="1"/>
        <v>2G - Tráfico de voz entrante desde internacional</v>
      </c>
      <c r="N6" s="565" t="str">
        <f t="shared" ref="N6:BD6" si="2">INDEX(Network.services.list,N$5,)</f>
        <v>3G - Tráfico de voz on-net</v>
      </c>
      <c r="O6" s="565" t="str">
        <f t="shared" si="2"/>
        <v>3G - Tráfico de voz saliente a fijo</v>
      </c>
      <c r="P6" s="565" t="str">
        <f t="shared" si="2"/>
        <v>3G - Tráfico de voz saliente a móvil</v>
      </c>
      <c r="Q6" s="565" t="str">
        <f t="shared" si="2"/>
        <v>3G - Tráfico de voz saliente a internacional</v>
      </c>
      <c r="R6" s="565" t="str">
        <f t="shared" si="2"/>
        <v>3G - Tráfico de voz entrante desde fijo</v>
      </c>
      <c r="S6" s="565" t="str">
        <f t="shared" si="2"/>
        <v>3G - Tráfico de voz entrante desde móvil</v>
      </c>
      <c r="T6" s="565" t="str">
        <f t="shared" si="2"/>
        <v>3G - Tráfico de voz entrante desde internacional</v>
      </c>
      <c r="U6" s="565" t="str">
        <f t="shared" si="2"/>
        <v>4G - Tráfico de voz on-net</v>
      </c>
      <c r="V6" s="565" t="str">
        <f t="shared" si="2"/>
        <v>4G - Tráfico de voz saliente a fijo</v>
      </c>
      <c r="W6" s="565" t="str">
        <f t="shared" si="2"/>
        <v>4G - Tráfico de voz saliente a móvil</v>
      </c>
      <c r="X6" s="565" t="str">
        <f t="shared" si="2"/>
        <v>4G - Tráfico de voz saliente a internacional</v>
      </c>
      <c r="Y6" s="565" t="str">
        <f t="shared" si="2"/>
        <v>4G - Tráfico de voz entrante desde fijo</v>
      </c>
      <c r="Z6" s="565" t="str">
        <f t="shared" si="2"/>
        <v>4G - Tráfico de voz entrante desde móvil</v>
      </c>
      <c r="AA6" s="565" t="str">
        <f t="shared" si="2"/>
        <v>4G - Tráfico de voz entrante desde internacional</v>
      </c>
      <c r="AB6" s="565" t="str">
        <f t="shared" si="2"/>
        <v>2G - SMSs on-net</v>
      </c>
      <c r="AC6" s="565" t="str">
        <f t="shared" si="2"/>
        <v>2G - SMS salientes</v>
      </c>
      <c r="AD6" s="565" t="str">
        <f t="shared" si="2"/>
        <v>2G - SMS entrantes</v>
      </c>
      <c r="AE6" s="565" t="str">
        <f t="shared" si="2"/>
        <v>3G - SMSs on-net</v>
      </c>
      <c r="AF6" s="565" t="str">
        <f t="shared" si="2"/>
        <v>3G - SMS salientes</v>
      </c>
      <c r="AG6" s="565" t="str">
        <f t="shared" si="2"/>
        <v>3G - SMS entrantes</v>
      </c>
      <c r="AH6" s="565" t="str">
        <f t="shared" si="2"/>
        <v>4G - SMSs on-net</v>
      </c>
      <c r="AI6" s="565" t="str">
        <f t="shared" si="2"/>
        <v>4G - SMS salientes</v>
      </c>
      <c r="AJ6" s="565" t="str">
        <f t="shared" si="2"/>
        <v>4G - SMS entrantes</v>
      </c>
      <c r="AK6" s="565" t="str">
        <f t="shared" si="2"/>
        <v>GPRS data Mbytes</v>
      </c>
      <c r="AL6" s="565" t="str">
        <f t="shared" si="2"/>
        <v>R99 data Mbytes</v>
      </c>
      <c r="AM6" s="565" t="str">
        <f t="shared" si="2"/>
        <v>HSDPA data Mbytes</v>
      </c>
      <c r="AN6" s="565" t="str">
        <f t="shared" si="2"/>
        <v>HSUPA data Mbytes</v>
      </c>
      <c r="AO6" s="565" t="str">
        <f t="shared" si="2"/>
        <v>LTE data Mbytes</v>
      </c>
      <c r="AP6" s="565" t="str">
        <f t="shared" si="2"/>
        <v>spare</v>
      </c>
      <c r="AQ6" s="565" t="str">
        <f t="shared" si="2"/>
        <v>Suscriptores de solo voz (media del año)</v>
      </c>
      <c r="AR6" s="565" t="str">
        <f t="shared" si="2"/>
        <v>Suscriptores de voz y datos (media del año)</v>
      </c>
      <c r="AS6" s="565" t="str">
        <f t="shared" si="2"/>
        <v>spare</v>
      </c>
      <c r="AT6" s="565" t="str">
        <f t="shared" si="2"/>
        <v>spare</v>
      </c>
      <c r="AU6" s="565" t="str">
        <f t="shared" si="2"/>
        <v>spare</v>
      </c>
      <c r="AV6" s="565" t="str">
        <f t="shared" si="2"/>
        <v>spare</v>
      </c>
      <c r="AW6" s="565" t="str">
        <f t="shared" si="2"/>
        <v>spare</v>
      </c>
      <c r="AX6" s="565" t="str">
        <f t="shared" si="2"/>
        <v>spare</v>
      </c>
      <c r="AY6" s="565" t="str">
        <f t="shared" si="2"/>
        <v>spare</v>
      </c>
      <c r="AZ6" s="565" t="str">
        <f t="shared" si="2"/>
        <v>spare</v>
      </c>
      <c r="BA6" s="565" t="str">
        <f t="shared" si="2"/>
        <v>spare</v>
      </c>
      <c r="BB6" s="565" t="str">
        <f t="shared" si="2"/>
        <v>spare</v>
      </c>
      <c r="BC6" s="565" t="str">
        <f t="shared" si="2"/>
        <v>spare</v>
      </c>
      <c r="BD6" s="565" t="str">
        <f t="shared" si="2"/>
        <v>spare</v>
      </c>
    </row>
    <row r="7" spans="1:56" hidden="1" x14ac:dyDescent="0.2">
      <c r="C7" s="562" t="s">
        <v>1945</v>
      </c>
      <c r="G7" s="226">
        <f t="shared" ref="G7:BD7" si="3">INDEX(Services.demand,G$5)</f>
        <v>3378712583.9453816</v>
      </c>
      <c r="H7" s="226">
        <f t="shared" si="3"/>
        <v>211915828.2273019</v>
      </c>
      <c r="I7" s="226">
        <f t="shared" si="3"/>
        <v>1837583986.1340411</v>
      </c>
      <c r="J7" s="226">
        <f t="shared" si="3"/>
        <v>17962225.721637532</v>
      </c>
      <c r="K7" s="226">
        <f t="shared" si="3"/>
        <v>100079529.33759733</v>
      </c>
      <c r="L7" s="226">
        <f t="shared" si="3"/>
        <v>1837583986.1340413</v>
      </c>
      <c r="M7" s="226">
        <f t="shared" si="3"/>
        <v>31520108.388904903</v>
      </c>
      <c r="N7" s="226">
        <f t="shared" si="3"/>
        <v>10136137751.836145</v>
      </c>
      <c r="O7" s="226">
        <f t="shared" si="3"/>
        <v>635747484.68190575</v>
      </c>
      <c r="P7" s="226">
        <f t="shared" si="3"/>
        <v>5512751958.4021235</v>
      </c>
      <c r="Q7" s="226">
        <f t="shared" si="3"/>
        <v>53886677.164912596</v>
      </c>
      <c r="R7" s="226">
        <f t="shared" si="3"/>
        <v>300238588.01279199</v>
      </c>
      <c r="S7" s="226">
        <f t="shared" si="3"/>
        <v>5512751958.4021244</v>
      </c>
      <c r="T7" s="226">
        <f t="shared" si="3"/>
        <v>94560325.166714713</v>
      </c>
      <c r="U7" s="226">
        <f t="shared" si="3"/>
        <v>0</v>
      </c>
      <c r="V7" s="226">
        <f t="shared" si="3"/>
        <v>0</v>
      </c>
      <c r="W7" s="226">
        <f t="shared" si="3"/>
        <v>0</v>
      </c>
      <c r="X7" s="226">
        <f t="shared" si="3"/>
        <v>0</v>
      </c>
      <c r="Y7" s="226">
        <f>INDEX(Services.demand,Y$5)</f>
        <v>0</v>
      </c>
      <c r="Z7" s="226">
        <f>INDEX(Services.demand,Z$5)</f>
        <v>0</v>
      </c>
      <c r="AA7" s="226">
        <f t="shared" si="3"/>
        <v>0</v>
      </c>
      <c r="AB7" s="226">
        <f>INDEX(Services.demand,AB$5)</f>
        <v>467255840.72455692</v>
      </c>
      <c r="AC7" s="226">
        <f>INDEX(Services.demand,AC$5)</f>
        <v>388105567.31469476</v>
      </c>
      <c r="AD7" s="226">
        <f t="shared" si="3"/>
        <v>353681926.04408157</v>
      </c>
      <c r="AE7" s="226">
        <f t="shared" si="3"/>
        <v>1401767522.1736708</v>
      </c>
      <c r="AF7" s="226">
        <f t="shared" si="3"/>
        <v>1164316701.9440842</v>
      </c>
      <c r="AG7" s="226">
        <f t="shared" si="3"/>
        <v>1061045778.1322447</v>
      </c>
      <c r="AH7" s="226">
        <f t="shared" si="3"/>
        <v>0</v>
      </c>
      <c r="AI7" s="226">
        <f t="shared" si="3"/>
        <v>0</v>
      </c>
      <c r="AJ7" s="226">
        <f t="shared" si="3"/>
        <v>0</v>
      </c>
      <c r="AK7" s="226">
        <f t="shared" si="3"/>
        <v>30992071983.579018</v>
      </c>
      <c r="AL7" s="226">
        <f t="shared" si="3"/>
        <v>1549603599.1789508</v>
      </c>
      <c r="AM7" s="226">
        <f t="shared" si="3"/>
        <v>60744461087.814873</v>
      </c>
      <c r="AN7" s="226">
        <f t="shared" si="3"/>
        <v>15186115271.953714</v>
      </c>
      <c r="AO7" s="226">
        <f t="shared" si="3"/>
        <v>46488107975.368523</v>
      </c>
      <c r="AP7" s="226">
        <f t="shared" si="3"/>
        <v>0</v>
      </c>
      <c r="AQ7" s="226">
        <f t="shared" si="3"/>
        <v>5816039.3333333302</v>
      </c>
      <c r="AR7" s="226">
        <f t="shared" si="3"/>
        <v>5671666.666666666</v>
      </c>
      <c r="AS7" s="226">
        <f t="shared" si="3"/>
        <v>0</v>
      </c>
      <c r="AT7" s="226">
        <f t="shared" si="3"/>
        <v>0</v>
      </c>
      <c r="AU7" s="226">
        <f t="shared" si="3"/>
        <v>0</v>
      </c>
      <c r="AV7" s="226">
        <f t="shared" si="3"/>
        <v>0</v>
      </c>
      <c r="AW7" s="226">
        <f t="shared" si="3"/>
        <v>0</v>
      </c>
      <c r="AX7" s="226">
        <f t="shared" si="3"/>
        <v>0</v>
      </c>
      <c r="AY7" s="226">
        <f t="shared" si="3"/>
        <v>0</v>
      </c>
      <c r="AZ7" s="226">
        <f t="shared" si="3"/>
        <v>0</v>
      </c>
      <c r="BA7" s="226">
        <f t="shared" si="3"/>
        <v>0</v>
      </c>
      <c r="BB7" s="226">
        <f t="shared" si="3"/>
        <v>0</v>
      </c>
      <c r="BC7" s="226">
        <f t="shared" si="3"/>
        <v>0</v>
      </c>
      <c r="BD7" s="226">
        <f t="shared" si="3"/>
        <v>0</v>
      </c>
    </row>
    <row r="8" spans="1:56" hidden="1" x14ac:dyDescent="0.2">
      <c r="C8" s="562" t="s">
        <v>977</v>
      </c>
      <c r="G8" s="226">
        <f t="shared" ref="G8:AL8" si="4">INDEX(Services.total.costs,G$5)</f>
        <v>12158153.3509467</v>
      </c>
      <c r="H8" s="226">
        <f t="shared" si="4"/>
        <v>376184.39102149691</v>
      </c>
      <c r="I8" s="226">
        <f t="shared" si="4"/>
        <v>3321294.6116415574</v>
      </c>
      <c r="J8" s="226">
        <f t="shared" si="4"/>
        <v>31287.86219684071</v>
      </c>
      <c r="K8" s="226">
        <f t="shared" si="4"/>
        <v>186302.47173047761</v>
      </c>
      <c r="L8" s="226">
        <f t="shared" si="4"/>
        <v>3480033.8733197679</v>
      </c>
      <c r="M8" s="226">
        <f t="shared" si="4"/>
        <v>57626.788509015591</v>
      </c>
      <c r="N8" s="226">
        <f t="shared" si="4"/>
        <v>63448545.929172151</v>
      </c>
      <c r="O8" s="226">
        <f t="shared" si="4"/>
        <v>1975574.3134786789</v>
      </c>
      <c r="P8" s="226">
        <f t="shared" si="4"/>
        <v>17455406.896730367</v>
      </c>
      <c r="Q8" s="226">
        <f t="shared" si="4"/>
        <v>164177.99456930129</v>
      </c>
      <c r="R8" s="226">
        <f t="shared" si="4"/>
        <v>958922.25967356761</v>
      </c>
      <c r="S8" s="226">
        <f t="shared" si="4"/>
        <v>17931624.681765001</v>
      </c>
      <c r="T8" s="226">
        <f t="shared" si="4"/>
        <v>296268.06787191791</v>
      </c>
      <c r="U8" s="226">
        <f t="shared" si="4"/>
        <v>0</v>
      </c>
      <c r="V8" s="226">
        <f t="shared" si="4"/>
        <v>0</v>
      </c>
      <c r="W8" s="226">
        <f t="shared" si="4"/>
        <v>0</v>
      </c>
      <c r="X8" s="226">
        <f t="shared" si="4"/>
        <v>0</v>
      </c>
      <c r="Y8" s="226">
        <f t="shared" si="4"/>
        <v>0</v>
      </c>
      <c r="Z8" s="226">
        <f t="shared" si="4"/>
        <v>0</v>
      </c>
      <c r="AA8" s="226">
        <f t="shared" si="4"/>
        <v>0</v>
      </c>
      <c r="AB8" s="226">
        <f t="shared" si="4"/>
        <v>357083.03880419896</v>
      </c>
      <c r="AC8" s="226">
        <f t="shared" si="4"/>
        <v>295910.38539992459</v>
      </c>
      <c r="AD8" s="226">
        <f t="shared" si="4"/>
        <v>10787.075262393982</v>
      </c>
      <c r="AE8" s="226">
        <f t="shared" si="4"/>
        <v>1103505.2432620237</v>
      </c>
      <c r="AF8" s="226">
        <f t="shared" si="4"/>
        <v>915361.52089745901</v>
      </c>
      <c r="AG8" s="226">
        <f t="shared" si="4"/>
        <v>331091.79862729984</v>
      </c>
      <c r="AH8" s="226">
        <f t="shared" si="4"/>
        <v>0</v>
      </c>
      <c r="AI8" s="226">
        <f t="shared" si="4"/>
        <v>0</v>
      </c>
      <c r="AJ8" s="226">
        <f t="shared" si="4"/>
        <v>0</v>
      </c>
      <c r="AK8" s="226">
        <f t="shared" si="4"/>
        <v>181925086.29813614</v>
      </c>
      <c r="AL8" s="226">
        <f t="shared" si="4"/>
        <v>26454907.959929448</v>
      </c>
      <c r="AM8" s="226">
        <f t="shared" ref="AM8:BD8" si="5">INDEX(Services.total.costs,AM$5)</f>
        <v>108352302.5114816</v>
      </c>
      <c r="AN8" s="226">
        <f t="shared" si="5"/>
        <v>950623.47374427272</v>
      </c>
      <c r="AO8" s="226">
        <f t="shared" si="5"/>
        <v>114802996.53457972</v>
      </c>
      <c r="AP8" s="226">
        <f t="shared" si="5"/>
        <v>0</v>
      </c>
      <c r="AQ8" s="226">
        <f t="shared" si="5"/>
        <v>132204.64759480793</v>
      </c>
      <c r="AR8" s="226">
        <f t="shared" si="5"/>
        <v>128922.90611661715</v>
      </c>
      <c r="AS8" s="226">
        <f t="shared" si="5"/>
        <v>0</v>
      </c>
      <c r="AT8" s="226">
        <f t="shared" si="5"/>
        <v>0</v>
      </c>
      <c r="AU8" s="226">
        <f t="shared" si="5"/>
        <v>0</v>
      </c>
      <c r="AV8" s="226">
        <f t="shared" si="5"/>
        <v>0</v>
      </c>
      <c r="AW8" s="226">
        <f t="shared" si="5"/>
        <v>0</v>
      </c>
      <c r="AX8" s="226">
        <f t="shared" si="5"/>
        <v>0</v>
      </c>
      <c r="AY8" s="226">
        <f t="shared" si="5"/>
        <v>0</v>
      </c>
      <c r="AZ8" s="226">
        <f t="shared" si="5"/>
        <v>0</v>
      </c>
      <c r="BA8" s="226">
        <f t="shared" si="5"/>
        <v>0</v>
      </c>
      <c r="BB8" s="226">
        <f t="shared" si="5"/>
        <v>0</v>
      </c>
      <c r="BC8" s="226">
        <f t="shared" si="5"/>
        <v>0</v>
      </c>
      <c r="BD8" s="226">
        <f t="shared" si="5"/>
        <v>0</v>
      </c>
    </row>
    <row r="9" spans="1:56" hidden="1" x14ac:dyDescent="0.2"/>
    <row r="10" spans="1:56" s="86" customFormat="1" ht="15.75" x14ac:dyDescent="0.2">
      <c r="A10" s="171"/>
      <c r="B10" s="171" t="s">
        <v>1949</v>
      </c>
      <c r="C10" s="171"/>
      <c r="D10" s="171"/>
      <c r="E10" s="171"/>
      <c r="F10" s="171"/>
      <c r="G10" s="171"/>
      <c r="H10" s="171"/>
      <c r="I10" s="171"/>
      <c r="J10" s="171"/>
      <c r="K10" s="171"/>
      <c r="L10" s="171"/>
      <c r="M10" s="171"/>
      <c r="N10" s="171"/>
      <c r="O10" s="171"/>
      <c r="P10" s="171"/>
      <c r="Q10" s="171"/>
      <c r="R10" s="171"/>
      <c r="S10" s="171"/>
      <c r="T10" s="171"/>
      <c r="U10" s="171"/>
      <c r="V10" s="171"/>
      <c r="W10" s="171"/>
      <c r="X10" s="171"/>
      <c r="Y10" s="171"/>
      <c r="Z10" s="171"/>
      <c r="AA10" s="171"/>
      <c r="AB10" s="171"/>
      <c r="AC10" s="171"/>
      <c r="AD10" s="171"/>
      <c r="AE10" s="171"/>
      <c r="AF10" s="171"/>
      <c r="AG10" s="171"/>
      <c r="AH10" s="171"/>
      <c r="AI10" s="171"/>
      <c r="AJ10" s="171"/>
      <c r="AK10" s="171"/>
      <c r="AL10" s="171"/>
      <c r="AM10" s="171"/>
      <c r="AN10" s="171"/>
      <c r="AO10" s="171"/>
      <c r="AP10" s="171"/>
      <c r="AQ10" s="171"/>
      <c r="AR10" s="171"/>
      <c r="AS10" s="171"/>
      <c r="AT10" s="171"/>
      <c r="AU10" s="171"/>
      <c r="AV10" s="171"/>
      <c r="AW10" s="171"/>
      <c r="AX10" s="171"/>
      <c r="AY10" s="171"/>
      <c r="AZ10" s="171"/>
      <c r="BA10" s="171"/>
      <c r="BB10" s="171"/>
      <c r="BC10" s="171"/>
      <c r="BD10" s="171"/>
    </row>
    <row r="11" spans="1:56" x14ac:dyDescent="0.2">
      <c r="K11" s="563"/>
      <c r="L11" s="563"/>
      <c r="M11" s="563"/>
      <c r="N11" s="563"/>
      <c r="O11" s="563"/>
      <c r="P11" s="563"/>
      <c r="Q11" s="563"/>
    </row>
    <row r="12" spans="1:56" ht="15" x14ac:dyDescent="0.2">
      <c r="C12" s="617" t="s">
        <v>1655</v>
      </c>
    </row>
    <row r="13" spans="1:56" x14ac:dyDescent="0.2">
      <c r="G13" s="564">
        <v>5</v>
      </c>
      <c r="H13" s="564">
        <v>6</v>
      </c>
      <c r="I13" s="564">
        <v>7</v>
      </c>
      <c r="J13" s="564">
        <v>12</v>
      </c>
      <c r="K13" s="564">
        <v>13</v>
      </c>
      <c r="L13" s="564">
        <v>14</v>
      </c>
      <c r="M13" s="564">
        <v>19</v>
      </c>
      <c r="N13" s="564">
        <v>20</v>
      </c>
      <c r="O13" s="564">
        <v>21</v>
      </c>
      <c r="P13" s="564">
        <v>2</v>
      </c>
      <c r="Q13" s="564">
        <v>3</v>
      </c>
      <c r="R13" s="564">
        <v>4</v>
      </c>
      <c r="S13" s="564">
        <v>9</v>
      </c>
      <c r="T13" s="564">
        <v>10</v>
      </c>
      <c r="U13" s="564">
        <v>11</v>
      </c>
      <c r="V13" s="564">
        <v>16</v>
      </c>
      <c r="W13" s="564">
        <v>17</v>
      </c>
      <c r="X13" s="564">
        <v>18</v>
      </c>
    </row>
    <row r="14" spans="1:56" ht="12" customHeight="1" x14ac:dyDescent="0.2">
      <c r="A14" s="566"/>
      <c r="B14" s="566"/>
      <c r="G14" s="565" t="str">
        <f t="shared" ref="G14:X14" si="6">INDEX(Network.services.list,G$13,)</f>
        <v>2G - Tráfico de voz entrante desde fijo</v>
      </c>
      <c r="H14" s="565" t="str">
        <f t="shared" si="6"/>
        <v>2G - Tráfico de voz entrante desde móvil</v>
      </c>
      <c r="I14" s="565" t="str">
        <f t="shared" si="6"/>
        <v>2G - Tráfico de voz entrante desde internacional</v>
      </c>
      <c r="J14" s="565" t="str">
        <f t="shared" si="6"/>
        <v>3G - Tráfico de voz entrante desde fijo</v>
      </c>
      <c r="K14" s="565" t="str">
        <f t="shared" si="6"/>
        <v>3G - Tráfico de voz entrante desde móvil</v>
      </c>
      <c r="L14" s="565" t="str">
        <f t="shared" si="6"/>
        <v>3G - Tráfico de voz entrante desde internacional</v>
      </c>
      <c r="M14" s="565" t="str">
        <f t="shared" si="6"/>
        <v>4G - Tráfico de voz entrante desde fijo</v>
      </c>
      <c r="N14" s="565" t="str">
        <f t="shared" si="6"/>
        <v>4G - Tráfico de voz entrante desde móvil</v>
      </c>
      <c r="O14" s="565" t="str">
        <f t="shared" si="6"/>
        <v>4G - Tráfico de voz entrante desde internacional</v>
      </c>
      <c r="P14" s="565" t="str">
        <f t="shared" si="6"/>
        <v>2G - Tráfico de voz saliente a fijo</v>
      </c>
      <c r="Q14" s="565" t="str">
        <f t="shared" si="6"/>
        <v>2G - Tráfico de voz saliente a móvil</v>
      </c>
      <c r="R14" s="565" t="str">
        <f t="shared" si="6"/>
        <v>2G - Tráfico de voz saliente a internacional</v>
      </c>
      <c r="S14" s="565" t="str">
        <f t="shared" si="6"/>
        <v>3G - Tráfico de voz saliente a fijo</v>
      </c>
      <c r="T14" s="565" t="str">
        <f t="shared" si="6"/>
        <v>3G - Tráfico de voz saliente a móvil</v>
      </c>
      <c r="U14" s="565" t="str">
        <f t="shared" si="6"/>
        <v>3G - Tráfico de voz saliente a internacional</v>
      </c>
      <c r="V14" s="565" t="str">
        <f t="shared" si="6"/>
        <v>4G - Tráfico de voz saliente a fijo</v>
      </c>
      <c r="W14" s="565" t="str">
        <f t="shared" si="6"/>
        <v>4G - Tráfico de voz saliente a móvil</v>
      </c>
      <c r="X14" s="565" t="str">
        <f t="shared" si="6"/>
        <v>4G - Tráfico de voz saliente a internacional</v>
      </c>
    </row>
    <row r="15" spans="1:56" x14ac:dyDescent="0.2">
      <c r="A15" s="566"/>
      <c r="B15" s="566"/>
      <c r="C15" s="731" t="s">
        <v>1970</v>
      </c>
      <c r="F15" s="730">
        <f>SUM(G15:X15)</f>
        <v>16146582655.774097</v>
      </c>
      <c r="G15" s="614">
        <f>INDEX($G$7:$BD$7,G13)</f>
        <v>100079529.33759733</v>
      </c>
      <c r="H15" s="614">
        <f t="shared" ref="H15:X15" si="7">INDEX($G$7:$BD$7,H13)</f>
        <v>1837583986.1340413</v>
      </c>
      <c r="I15" s="614">
        <f t="shared" si="7"/>
        <v>31520108.388904903</v>
      </c>
      <c r="J15" s="614">
        <f t="shared" si="7"/>
        <v>300238588.01279199</v>
      </c>
      <c r="K15" s="614">
        <f t="shared" si="7"/>
        <v>5512751958.4021244</v>
      </c>
      <c r="L15" s="614">
        <f t="shared" si="7"/>
        <v>94560325.166714713</v>
      </c>
      <c r="M15" s="614">
        <f t="shared" si="7"/>
        <v>0</v>
      </c>
      <c r="N15" s="614">
        <f t="shared" si="7"/>
        <v>0</v>
      </c>
      <c r="O15" s="614">
        <f t="shared" si="7"/>
        <v>0</v>
      </c>
      <c r="P15" s="614">
        <f t="shared" si="7"/>
        <v>211915828.2273019</v>
      </c>
      <c r="Q15" s="614">
        <f t="shared" si="7"/>
        <v>1837583986.1340411</v>
      </c>
      <c r="R15" s="614">
        <f t="shared" si="7"/>
        <v>17962225.721637532</v>
      </c>
      <c r="S15" s="614">
        <f t="shared" si="7"/>
        <v>635747484.68190575</v>
      </c>
      <c r="T15" s="614">
        <f t="shared" si="7"/>
        <v>5512751958.4021235</v>
      </c>
      <c r="U15" s="614">
        <f t="shared" si="7"/>
        <v>53886677.164912596</v>
      </c>
      <c r="V15" s="614">
        <f t="shared" si="7"/>
        <v>0</v>
      </c>
      <c r="W15" s="614">
        <f t="shared" si="7"/>
        <v>0</v>
      </c>
      <c r="X15" s="614">
        <f t="shared" si="7"/>
        <v>0</v>
      </c>
    </row>
    <row r="16" spans="1:56" x14ac:dyDescent="0.2">
      <c r="C16" s="615" t="s">
        <v>977</v>
      </c>
      <c r="F16" s="730">
        <f>SUM(G16:X16)</f>
        <v>46234704.212507993</v>
      </c>
      <c r="G16" s="614">
        <f>INDEX($G$8:$BD$8,G13)</f>
        <v>186302.47173047761</v>
      </c>
      <c r="H16" s="614">
        <f t="shared" ref="H16:X16" si="8">INDEX($G$8:$BD$8,H13)</f>
        <v>3480033.8733197679</v>
      </c>
      <c r="I16" s="614">
        <f t="shared" si="8"/>
        <v>57626.788509015591</v>
      </c>
      <c r="J16" s="614">
        <f t="shared" si="8"/>
        <v>958922.25967356761</v>
      </c>
      <c r="K16" s="614">
        <f t="shared" si="8"/>
        <v>17931624.681765001</v>
      </c>
      <c r="L16" s="614">
        <f t="shared" si="8"/>
        <v>296268.06787191791</v>
      </c>
      <c r="M16" s="614">
        <f t="shared" si="8"/>
        <v>0</v>
      </c>
      <c r="N16" s="614">
        <f t="shared" si="8"/>
        <v>0</v>
      </c>
      <c r="O16" s="614">
        <f t="shared" si="8"/>
        <v>0</v>
      </c>
      <c r="P16" s="614">
        <f t="shared" si="8"/>
        <v>376184.39102149691</v>
      </c>
      <c r="Q16" s="614">
        <f t="shared" si="8"/>
        <v>3321294.6116415574</v>
      </c>
      <c r="R16" s="614">
        <f t="shared" si="8"/>
        <v>31287.86219684071</v>
      </c>
      <c r="S16" s="614">
        <f t="shared" si="8"/>
        <v>1975574.3134786789</v>
      </c>
      <c r="T16" s="614">
        <f t="shared" si="8"/>
        <v>17455406.896730367</v>
      </c>
      <c r="U16" s="614">
        <f t="shared" si="8"/>
        <v>164177.99456930129</v>
      </c>
      <c r="V16" s="614">
        <f t="shared" si="8"/>
        <v>0</v>
      </c>
      <c r="W16" s="614">
        <f t="shared" si="8"/>
        <v>0</v>
      </c>
      <c r="X16" s="614">
        <f t="shared" si="8"/>
        <v>0</v>
      </c>
    </row>
    <row r="17" spans="3:24" x14ac:dyDescent="0.2">
      <c r="C17" s="731" t="s">
        <v>1974</v>
      </c>
      <c r="F17" s="730">
        <f>SUM(G17:X17)</f>
        <v>21319779.727537967</v>
      </c>
      <c r="G17" s="614">
        <f t="shared" ref="G17:X17" si="9">INDEX(CAPEX,G$13)</f>
        <v>80156.64488493673</v>
      </c>
      <c r="H17" s="614">
        <f t="shared" si="9"/>
        <v>1497174.4705794756</v>
      </c>
      <c r="I17" s="614">
        <f t="shared" si="9"/>
        <v>24795.878427466247</v>
      </c>
      <c r="J17" s="614">
        <f t="shared" si="9"/>
        <v>447807.25531390466</v>
      </c>
      <c r="K17" s="614">
        <f t="shared" si="9"/>
        <v>8374560.1057928707</v>
      </c>
      <c r="L17" s="614">
        <f t="shared" si="9"/>
        <v>138342.45085827424</v>
      </c>
      <c r="M17" s="614">
        <f t="shared" si="9"/>
        <v>0</v>
      </c>
      <c r="N17" s="614">
        <f t="shared" si="9"/>
        <v>0</v>
      </c>
      <c r="O17" s="614">
        <f t="shared" si="9"/>
        <v>0</v>
      </c>
      <c r="P17" s="614">
        <f t="shared" si="9"/>
        <v>161383.31323361077</v>
      </c>
      <c r="Q17" s="614">
        <f t="shared" si="9"/>
        <v>1424801.0960319238</v>
      </c>
      <c r="R17" s="614">
        <f t="shared" si="9"/>
        <v>13422.874804895057</v>
      </c>
      <c r="S17" s="614">
        <f t="shared" si="9"/>
        <v>923181.38120257878</v>
      </c>
      <c r="T17" s="614">
        <f t="shared" si="9"/>
        <v>8157439.9821502157</v>
      </c>
      <c r="U17" s="614">
        <f t="shared" si="9"/>
        <v>76714.274257816563</v>
      </c>
      <c r="V17" s="614">
        <f t="shared" si="9"/>
        <v>0</v>
      </c>
      <c r="W17" s="614">
        <f t="shared" si="9"/>
        <v>0</v>
      </c>
      <c r="X17" s="614">
        <f t="shared" si="9"/>
        <v>0</v>
      </c>
    </row>
    <row r="18" spans="3:24" x14ac:dyDescent="0.2">
      <c r="C18" s="731" t="s">
        <v>1975</v>
      </c>
      <c r="F18" s="730">
        <f>SUM(G18:X18)</f>
        <v>22733902.436310817</v>
      </c>
      <c r="G18" s="614">
        <f t="shared" ref="G18:X18" si="10">INDEX(OPEX,G$13)</f>
        <v>97357.411184952507</v>
      </c>
      <c r="H18" s="614">
        <f t="shared" si="10"/>
        <v>1818696.3408786796</v>
      </c>
      <c r="I18" s="614">
        <f t="shared" si="10"/>
        <v>30112.491126084708</v>
      </c>
      <c r="J18" s="614">
        <f t="shared" si="10"/>
        <v>465879.92333296605</v>
      </c>
      <c r="K18" s="614">
        <f t="shared" si="10"/>
        <v>8711179.0130526908</v>
      </c>
      <c r="L18" s="614">
        <f t="shared" si="10"/>
        <v>143949.8124887062</v>
      </c>
      <c r="M18" s="614">
        <f t="shared" si="10"/>
        <v>0</v>
      </c>
      <c r="N18" s="614">
        <f t="shared" si="10"/>
        <v>0</v>
      </c>
      <c r="O18" s="614">
        <f t="shared" si="10"/>
        <v>0</v>
      </c>
      <c r="P18" s="614">
        <f t="shared" si="10"/>
        <v>197055.39377943621</v>
      </c>
      <c r="Q18" s="614">
        <f t="shared" si="10"/>
        <v>1739818.634663308</v>
      </c>
      <c r="R18" s="614">
        <f t="shared" si="10"/>
        <v>16389.050247564403</v>
      </c>
      <c r="S18" s="614">
        <f t="shared" si="10"/>
        <v>959199.49220006098</v>
      </c>
      <c r="T18" s="614">
        <f t="shared" si="10"/>
        <v>8474545.8944065738</v>
      </c>
      <c r="U18" s="614">
        <f t="shared" si="10"/>
        <v>79718.978949790762</v>
      </c>
      <c r="V18" s="614">
        <f t="shared" si="10"/>
        <v>0</v>
      </c>
      <c r="W18" s="614">
        <f t="shared" si="10"/>
        <v>0</v>
      </c>
      <c r="X18" s="614">
        <f t="shared" si="10"/>
        <v>0</v>
      </c>
    </row>
    <row r="19" spans="3:24" x14ac:dyDescent="0.2">
      <c r="C19" s="731" t="s">
        <v>971</v>
      </c>
      <c r="F19" s="730">
        <f>SUM(G19:X19)</f>
        <v>2181022.0486592031</v>
      </c>
      <c r="G19" s="614">
        <f t="shared" ref="G19:X19" si="11">INDEX(COSTOS.COMUNES,G$13)</f>
        <v>8788.4156605884418</v>
      </c>
      <c r="H19" s="614">
        <f t="shared" si="11"/>
        <v>164163.06186161237</v>
      </c>
      <c r="I19" s="614">
        <f t="shared" si="11"/>
        <v>2718.4189554646682</v>
      </c>
      <c r="J19" s="614">
        <f t="shared" si="11"/>
        <v>45235.081026696724</v>
      </c>
      <c r="K19" s="614">
        <f t="shared" si="11"/>
        <v>845885.562919438</v>
      </c>
      <c r="L19" s="614">
        <f t="shared" si="11"/>
        <v>13975.804524937459</v>
      </c>
      <c r="M19" s="614">
        <f t="shared" si="11"/>
        <v>0</v>
      </c>
      <c r="N19" s="614">
        <f t="shared" si="11"/>
        <v>0</v>
      </c>
      <c r="O19" s="614">
        <f t="shared" si="11"/>
        <v>0</v>
      </c>
      <c r="P19" s="614">
        <f t="shared" si="11"/>
        <v>17745.684008450025</v>
      </c>
      <c r="Q19" s="614">
        <f t="shared" si="11"/>
        <v>156674.88094632502</v>
      </c>
      <c r="R19" s="614">
        <f t="shared" si="11"/>
        <v>1475.9371443812404</v>
      </c>
      <c r="S19" s="614">
        <f t="shared" si="11"/>
        <v>93193.440076039347</v>
      </c>
      <c r="T19" s="614">
        <f t="shared" si="11"/>
        <v>823421.02017357585</v>
      </c>
      <c r="U19" s="614">
        <f t="shared" si="11"/>
        <v>7744.7413616939666</v>
      </c>
      <c r="V19" s="614">
        <f t="shared" si="11"/>
        <v>0</v>
      </c>
      <c r="W19" s="614">
        <f t="shared" si="11"/>
        <v>0</v>
      </c>
      <c r="X19" s="614">
        <f t="shared" si="11"/>
        <v>0</v>
      </c>
    </row>
    <row r="20" spans="3:24" x14ac:dyDescent="0.2">
      <c r="C20" s="84" t="s">
        <v>1969</v>
      </c>
      <c r="F20" s="750">
        <f>F16/F15</f>
        <v>2.8634358859813743E-3</v>
      </c>
      <c r="G20" s="740"/>
    </row>
    <row r="21" spans="3:24" x14ac:dyDescent="0.2">
      <c r="C21" s="84" t="s">
        <v>1971</v>
      </c>
      <c r="F21" s="750">
        <f>Mark.up.regulatory.contribution</f>
        <v>4.7743948579744926E-6</v>
      </c>
    </row>
    <row r="22" spans="3:24" x14ac:dyDescent="0.2">
      <c r="C22" s="747" t="s">
        <v>1972</v>
      </c>
      <c r="D22" s="748"/>
      <c r="E22" s="748"/>
      <c r="F22" s="749">
        <f>NetworkDesign!G1361</f>
        <v>77090.161205587981</v>
      </c>
    </row>
    <row r="23" spans="3:24" x14ac:dyDescent="0.2">
      <c r="C23" s="84" t="s">
        <v>1973</v>
      </c>
      <c r="F23" s="730">
        <f>F16+F22</f>
        <v>46311794.373713583</v>
      </c>
      <c r="G23" s="738"/>
    </row>
    <row r="24" spans="3:24" x14ac:dyDescent="0.2">
      <c r="C24" s="83" t="s">
        <v>1976</v>
      </c>
      <c r="D24" s="84" t="s">
        <v>1977</v>
      </c>
      <c r="F24" s="741">
        <f>(SUM($G$16:$X$16)/SUM($G$15:$X$15)+Mark.up.regulatory.contribution)</f>
        <v>2.8682102808393487E-3</v>
      </c>
      <c r="G24" s="738"/>
      <c r="H24" s="738"/>
      <c r="I24" s="738"/>
      <c r="J24" s="738"/>
      <c r="K24" s="738"/>
      <c r="L24" s="738"/>
      <c r="M24" s="738"/>
      <c r="N24" s="738"/>
      <c r="O24" s="738"/>
      <c r="P24" s="738"/>
      <c r="Q24" s="738"/>
      <c r="R24" s="738"/>
      <c r="S24" s="738"/>
      <c r="T24" s="738"/>
      <c r="U24" s="738"/>
      <c r="V24" s="738"/>
      <c r="W24" s="738"/>
      <c r="X24" s="738"/>
    </row>
    <row r="25" spans="3:24" ht="18" x14ac:dyDescent="0.2">
      <c r="C25" s="41" t="s">
        <v>1976</v>
      </c>
      <c r="D25" s="563" t="s">
        <v>1950</v>
      </c>
      <c r="F25" s="751">
        <f>+F24*100</f>
        <v>0.28682102808393489</v>
      </c>
      <c r="G25"/>
      <c r="H25"/>
      <c r="I25"/>
      <c r="J25"/>
      <c r="K25"/>
      <c r="L25"/>
      <c r="M25"/>
      <c r="N25"/>
      <c r="O25"/>
      <c r="P25"/>
      <c r="Q25"/>
      <c r="R25"/>
      <c r="S25"/>
      <c r="T25"/>
      <c r="U25"/>
      <c r="V25"/>
      <c r="W25"/>
      <c r="X25"/>
    </row>
    <row r="26" spans="3:24" x14ac:dyDescent="0.2">
      <c r="C26"/>
      <c r="D26"/>
      <c r="E26"/>
      <c r="F26" s="567" t="s">
        <v>1656</v>
      </c>
      <c r="G26"/>
      <c r="H26"/>
      <c r="I26"/>
      <c r="J26"/>
      <c r="K26"/>
      <c r="L26"/>
      <c r="M26"/>
      <c r="N26"/>
      <c r="O26"/>
      <c r="P26"/>
      <c r="Q26"/>
      <c r="R26"/>
      <c r="S26"/>
      <c r="T26"/>
      <c r="U26"/>
      <c r="V26"/>
      <c r="W26"/>
      <c r="X26"/>
    </row>
    <row r="27" spans="3:24" x14ac:dyDescent="0.2">
      <c r="K27" s="563"/>
      <c r="L27" s="563"/>
      <c r="M27" s="563"/>
      <c r="N27" s="563"/>
      <c r="O27" s="563"/>
      <c r="Q27" s="563"/>
    </row>
    <row r="28" spans="3:24" x14ac:dyDescent="0.2">
      <c r="K28" s="563"/>
      <c r="L28" s="563"/>
      <c r="M28" s="563"/>
      <c r="N28" s="563"/>
      <c r="O28" s="563"/>
      <c r="P28" s="563"/>
      <c r="Q28" s="563"/>
    </row>
    <row r="29" spans="3:24" customFormat="1" x14ac:dyDescent="0.2">
      <c r="F29" s="753"/>
      <c r="G29" s="754"/>
      <c r="H29" s="755"/>
    </row>
    <row r="30" spans="3:24" customFormat="1" x14ac:dyDescent="0.2">
      <c r="F30" s="753"/>
      <c r="G30" s="754"/>
      <c r="H30" s="756"/>
    </row>
    <row r="31" spans="3:24" customFormat="1" x14ac:dyDescent="0.2"/>
    <row r="32" spans="3:24" customFormat="1" x14ac:dyDescent="0.2"/>
    <row r="33" spans="5:17" customFormat="1" x14ac:dyDescent="0.2"/>
    <row r="34" spans="5:17" customFormat="1" x14ac:dyDescent="0.2"/>
    <row r="35" spans="5:17" customFormat="1" x14ac:dyDescent="0.2">
      <c r="E35" s="562"/>
      <c r="F35" s="562"/>
    </row>
    <row r="36" spans="5:17" customFormat="1" x14ac:dyDescent="0.2">
      <c r="E36" s="562"/>
      <c r="F36" s="562"/>
    </row>
    <row r="37" spans="5:17" customFormat="1" x14ac:dyDescent="0.2">
      <c r="E37" s="562"/>
      <c r="F37" s="562"/>
    </row>
    <row r="38" spans="5:17" x14ac:dyDescent="0.2">
      <c r="K38" s="563"/>
      <c r="L38" s="563"/>
      <c r="M38" s="563"/>
      <c r="N38" s="563"/>
      <c r="O38" s="563"/>
      <c r="P38" s="563"/>
      <c r="Q38" s="563"/>
    </row>
    <row r="39" spans="5:17" customFormat="1" x14ac:dyDescent="0.2">
      <c r="E39" s="562"/>
      <c r="F39" s="562"/>
    </row>
    <row r="40" spans="5:17" customFormat="1" x14ac:dyDescent="0.2">
      <c r="E40" s="562"/>
      <c r="F40" s="562"/>
    </row>
    <row r="41" spans="5:17" customFormat="1" x14ac:dyDescent="0.2">
      <c r="E41" s="562"/>
      <c r="F41" s="562"/>
    </row>
    <row r="42" spans="5:17" customFormat="1" x14ac:dyDescent="0.2"/>
    <row r="43" spans="5:17" customFormat="1" x14ac:dyDescent="0.2"/>
    <row r="44" spans="5:17" customFormat="1" x14ac:dyDescent="0.2"/>
    <row r="45" spans="5:17" customFormat="1" x14ac:dyDescent="0.2"/>
    <row r="46" spans="5:17" customFormat="1" x14ac:dyDescent="0.2"/>
    <row r="47" spans="5:17" customFormat="1" x14ac:dyDescent="0.2"/>
    <row r="48" spans="5:17" customFormat="1" x14ac:dyDescent="0.2"/>
    <row r="49" spans="6:17" x14ac:dyDescent="0.2">
      <c r="F49" s="567"/>
      <c r="K49" s="563"/>
      <c r="L49" s="563"/>
      <c r="M49" s="563"/>
      <c r="N49" s="563"/>
      <c r="O49" s="563"/>
      <c r="Q49" s="563"/>
    </row>
    <row r="50" spans="6:17" ht="15" customHeight="1" x14ac:dyDescent="0.2">
      <c r="K50" s="563"/>
      <c r="L50" s="563"/>
      <c r="M50" s="563"/>
      <c r="N50" s="563"/>
      <c r="O50" s="563"/>
      <c r="P50" s="563"/>
      <c r="Q50" s="563"/>
    </row>
    <row r="51" spans="6:17" customFormat="1" x14ac:dyDescent="0.2"/>
    <row r="52" spans="6:17" customFormat="1" x14ac:dyDescent="0.2"/>
    <row r="53" spans="6:17" customFormat="1" x14ac:dyDescent="0.2"/>
    <row r="54" spans="6:17" customFormat="1" x14ac:dyDescent="0.2"/>
    <row r="55" spans="6:17" customFormat="1" x14ac:dyDescent="0.2"/>
    <row r="56" spans="6:17" customFormat="1" x14ac:dyDescent="0.2"/>
    <row r="57" spans="6:17" customFormat="1" x14ac:dyDescent="0.2"/>
    <row r="58" spans="6:17" customFormat="1" x14ac:dyDescent="0.2"/>
    <row r="59" spans="6:17" customFormat="1" x14ac:dyDescent="0.2"/>
    <row r="60" spans="6:17" x14ac:dyDescent="0.2">
      <c r="F60" s="567"/>
      <c r="K60" s="563"/>
      <c r="L60" s="563"/>
      <c r="M60" s="563"/>
      <c r="N60" s="563"/>
      <c r="O60" s="563"/>
      <c r="Q60" s="563"/>
    </row>
    <row r="61" spans="6:17" x14ac:dyDescent="0.2">
      <c r="K61" s="563"/>
      <c r="L61" s="563"/>
      <c r="M61" s="563"/>
      <c r="N61" s="563"/>
      <c r="O61" s="563"/>
      <c r="P61" s="563"/>
      <c r="Q61" s="563"/>
    </row>
    <row r="62" spans="6:17" x14ac:dyDescent="0.2">
      <c r="K62" s="563"/>
      <c r="L62" s="563"/>
      <c r="M62" s="563"/>
      <c r="N62" s="563"/>
      <c r="O62" s="563"/>
      <c r="P62" s="563"/>
      <c r="Q62" s="563"/>
    </row>
    <row r="63" spans="6:17" customFormat="1" x14ac:dyDescent="0.2"/>
    <row r="64" spans="6:17" customFormat="1" x14ac:dyDescent="0.2"/>
    <row r="65" spans="12:17" customFormat="1" x14ac:dyDescent="0.2"/>
    <row r="66" spans="12:17" customFormat="1" x14ac:dyDescent="0.2"/>
    <row r="67" spans="12:17" customFormat="1" x14ac:dyDescent="0.2"/>
    <row r="68" spans="12:17" customFormat="1" x14ac:dyDescent="0.2"/>
    <row r="69" spans="12:17" customFormat="1" x14ac:dyDescent="0.2"/>
    <row r="70" spans="12:17" customFormat="1" x14ac:dyDescent="0.2"/>
    <row r="71" spans="12:17" customFormat="1" x14ac:dyDescent="0.2"/>
    <row r="72" spans="12:17" customFormat="1" x14ac:dyDescent="0.2"/>
    <row r="73" spans="12:17" x14ac:dyDescent="0.2">
      <c r="L73" s="563"/>
      <c r="M73" s="563"/>
      <c r="N73" s="563"/>
      <c r="O73" s="563"/>
      <c r="Q73" s="563"/>
    </row>
    <row r="74" spans="12:17" s="563" customFormat="1" x14ac:dyDescent="0.2"/>
    <row r="75" spans="12:17" s="563" customFormat="1" x14ac:dyDescent="0.2">
      <c r="P75" s="562"/>
      <c r="Q75" s="562"/>
    </row>
    <row r="76" spans="12:17" x14ac:dyDescent="0.2">
      <c r="L76" s="563"/>
      <c r="M76" s="563"/>
      <c r="N76" s="563"/>
      <c r="O76" s="563"/>
    </row>
    <row r="77" spans="12:17" x14ac:dyDescent="0.2">
      <c r="L77" s="563"/>
      <c r="M77" s="563"/>
      <c r="N77" s="563"/>
      <c r="O77" s="563"/>
    </row>
    <row r="78" spans="12:17" x14ac:dyDescent="0.2">
      <c r="L78" s="563"/>
      <c r="M78" s="563"/>
      <c r="N78" s="563"/>
      <c r="O78" s="563"/>
    </row>
  </sheetData>
  <pageMargins left="0.70866141732283472" right="0.70866141732283472" top="0.51181102362204722" bottom="0.51181102362204722" header="0.51181102362204722" footer="0.35433070866141736"/>
  <pageSetup paperSize="9" orientation="landscape" horizontalDpi="4294967292" verticalDpi="4294967292" r:id="rId1"/>
  <headerFooter alignWithMargins="0">
    <oddFooter xml:space="preserve">&amp;L&amp;F : &amp;A&amp;CPrinted at &amp;T on &amp;D&amp;RCommercial in confidence © Analysys Mason </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2060"/>
    <pageSetUpPr autoPageBreaks="0"/>
  </sheetPr>
  <dimension ref="A1:G1"/>
  <sheetViews>
    <sheetView zoomScale="120" zoomScaleNormal="120" workbookViewId="0"/>
  </sheetViews>
  <sheetFormatPr baseColWidth="10" defaultColWidth="0" defaultRowHeight="11.65" customHeight="1" zeroHeight="1" x14ac:dyDescent="0.2"/>
  <cols>
    <col min="1" max="1" width="6.7109375" style="81" customWidth="1"/>
    <col min="2" max="2" width="12.7109375" style="81" customWidth="1"/>
    <col min="3" max="3" width="19.5703125" style="81" customWidth="1"/>
    <col min="4" max="7" width="12.7109375" style="81" customWidth="1"/>
    <col min="8" max="16384" width="12.7109375" style="81" hidden="1"/>
  </cols>
  <sheetData>
    <row r="1" spans="4:4" s="145" customFormat="1" ht="45" customHeight="1" x14ac:dyDescent="0.2">
      <c r="D1" s="146" t="s">
        <v>1906</v>
      </c>
    </row>
  </sheetData>
  <pageMargins left="0.70866141732283472" right="0.70866141732283472" top="0.51181102362204722" bottom="0.51181102362204722" header="0.51181102362204722" footer="0.35433070866141736"/>
  <pageSetup paperSize="9" orientation="landscape" horizontalDpi="4294967292" verticalDpi="4294967292" r:id="rId1"/>
  <headerFooter alignWithMargins="0">
    <oddFooter xml:space="preserve">&amp;L&amp;F : &amp;A&amp;CPrinted at &amp;T on &amp;D&amp;RCommercial in confidence © Analysys Mason </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autoPageBreaks="0"/>
  </sheetPr>
  <dimension ref="A1:AE1424"/>
  <sheetViews>
    <sheetView showGridLines="0" defaultGridColor="0" colorId="22" zoomScale="120" zoomScaleNormal="120" workbookViewId="0">
      <pane xSplit="7" ySplit="3" topLeftCell="H4" activePane="bottomRight" state="frozen"/>
      <selection pane="topRight"/>
      <selection pane="bottomLeft"/>
      <selection pane="bottomRight" activeCell="H4" sqref="H4"/>
    </sheetView>
  </sheetViews>
  <sheetFormatPr baseColWidth="10" defaultColWidth="12.7109375" defaultRowHeight="12" outlineLevelRow="1" x14ac:dyDescent="0.2"/>
  <cols>
    <col min="1" max="2" width="6.7109375" style="632" customWidth="1"/>
    <col min="3" max="4" width="12.7109375" style="632"/>
    <col min="5" max="5" width="29.28515625" style="632" customWidth="1"/>
    <col min="6" max="6" width="12.7109375" style="632"/>
    <col min="7" max="7" width="26.42578125" style="632" customWidth="1"/>
    <col min="8" max="10" width="12.7109375" style="632"/>
    <col min="11" max="18" width="14.7109375" style="632" customWidth="1"/>
    <col min="19" max="30" width="14.7109375" customWidth="1"/>
    <col min="32" max="16384" width="12.7109375" style="632"/>
  </cols>
  <sheetData>
    <row r="1" spans="1:31" s="629" customFormat="1" ht="45" customHeight="1" x14ac:dyDescent="0.2">
      <c r="E1" s="630" t="s">
        <v>575</v>
      </c>
      <c r="G1" s="631"/>
      <c r="K1" s="739"/>
      <c r="M1" s="629" t="s">
        <v>0</v>
      </c>
      <c r="S1"/>
      <c r="T1"/>
      <c r="U1"/>
      <c r="V1"/>
      <c r="W1"/>
      <c r="X1"/>
      <c r="Y1"/>
      <c r="Z1"/>
      <c r="AA1"/>
      <c r="AB1"/>
      <c r="AC1"/>
      <c r="AD1"/>
      <c r="AE1"/>
    </row>
    <row r="2" spans="1:31" x14ac:dyDescent="0.2">
      <c r="K2" s="633">
        <v>1</v>
      </c>
      <c r="L2" s="633">
        <f>1+K2</f>
        <v>2</v>
      </c>
      <c r="M2" s="633">
        <f t="shared" ref="M2" si="0">1+L2</f>
        <v>3</v>
      </c>
      <c r="N2" s="634" t="s">
        <v>98</v>
      </c>
      <c r="O2" s="633"/>
      <c r="P2" s="633"/>
      <c r="Q2" s="633"/>
      <c r="R2" s="633"/>
    </row>
    <row r="3" spans="1:31" ht="63" customHeight="1" x14ac:dyDescent="0.2">
      <c r="G3" s="635" t="s">
        <v>695</v>
      </c>
      <c r="H3" s="631"/>
      <c r="J3" s="631"/>
      <c r="K3" s="635" t="str">
        <f t="shared" ref="K3:M3" si="1">K20&amp;", "&amp;K24</f>
        <v>Hipotético, Anualidad simple</v>
      </c>
      <c r="L3" s="635" t="str">
        <f t="shared" si="1"/>
        <v>Spare, Anualidad simple</v>
      </c>
      <c r="M3" s="635" t="str">
        <f t="shared" si="1"/>
        <v>Spare, Anualidad simple</v>
      </c>
      <c r="N3" s="634" t="s">
        <v>47</v>
      </c>
      <c r="O3"/>
      <c r="P3"/>
      <c r="Q3"/>
      <c r="R3"/>
    </row>
    <row r="4" spans="1:31" x14ac:dyDescent="0.2">
      <c r="H4" s="631"/>
      <c r="I4" s="631"/>
      <c r="J4" s="631"/>
      <c r="K4" s="634"/>
      <c r="R4" s="634"/>
    </row>
    <row r="5" spans="1:31" x14ac:dyDescent="0.2">
      <c r="C5" s="636"/>
      <c r="G5" s="637"/>
      <c r="H5" s="631"/>
      <c r="I5" s="631"/>
      <c r="J5" s="631"/>
    </row>
    <row r="6" spans="1:31" x14ac:dyDescent="0.2">
      <c r="H6" s="631"/>
      <c r="I6" s="631"/>
      <c r="J6" s="631"/>
    </row>
    <row r="7" spans="1:31" ht="18.75" thickBot="1" x14ac:dyDescent="0.25">
      <c r="A7" s="638" t="s">
        <v>582</v>
      </c>
      <c r="B7" s="638"/>
      <c r="C7" s="639"/>
      <c r="D7" s="639"/>
      <c r="E7" s="639"/>
      <c r="F7" s="639"/>
      <c r="G7" s="639"/>
      <c r="H7" s="639"/>
      <c r="I7" s="639"/>
      <c r="J7" s="639"/>
      <c r="K7" s="639"/>
      <c r="L7" s="639"/>
      <c r="M7" s="639"/>
      <c r="N7" s="639"/>
      <c r="O7" s="639"/>
      <c r="P7" s="639"/>
      <c r="Q7" s="639"/>
      <c r="R7" s="639"/>
    </row>
    <row r="8" spans="1:31" ht="12.75" thickBot="1" x14ac:dyDescent="0.25">
      <c r="A8" s="631"/>
      <c r="B8" s="631"/>
      <c r="C8" s="631"/>
      <c r="D8" s="631"/>
      <c r="E8" s="631"/>
      <c r="F8" s="631"/>
      <c r="G8" s="631"/>
      <c r="H8" s="631"/>
      <c r="I8" s="631"/>
      <c r="J8" s="631"/>
      <c r="K8" s="631"/>
      <c r="L8" s="631"/>
      <c r="M8" s="631"/>
      <c r="N8" s="631"/>
      <c r="O8" s="631"/>
      <c r="P8" s="631"/>
      <c r="Q8" s="631"/>
      <c r="R8" s="631"/>
    </row>
    <row r="9" spans="1:31" ht="37.5" customHeight="1" thickTop="1" thickBot="1" x14ac:dyDescent="0.25">
      <c r="A9" s="631"/>
      <c r="B9" s="631"/>
      <c r="C9" s="636" t="s">
        <v>576</v>
      </c>
      <c r="D9" s="631"/>
      <c r="E9" s="631"/>
      <c r="F9" s="631"/>
      <c r="G9" s="640" t="s">
        <v>1944</v>
      </c>
      <c r="H9" s="634" t="s">
        <v>42</v>
      </c>
      <c r="I9" s="631"/>
      <c r="J9" s="641"/>
      <c r="K9" s="631"/>
      <c r="L9" s="631"/>
      <c r="M9" s="631"/>
      <c r="N9" s="631"/>
    </row>
    <row r="10" spans="1:31" ht="12.75" thickTop="1" x14ac:dyDescent="0.2">
      <c r="A10" s="631"/>
      <c r="B10" s="631"/>
      <c r="C10" s="631"/>
      <c r="D10" s="631"/>
      <c r="E10" s="631"/>
      <c r="F10" s="631"/>
      <c r="G10" s="631"/>
      <c r="H10" s="631"/>
      <c r="I10" s="631"/>
      <c r="J10" s="631"/>
      <c r="K10" s="631"/>
      <c r="L10" s="631"/>
      <c r="M10" s="631"/>
      <c r="N10" s="631"/>
    </row>
    <row r="11" spans="1:31" x14ac:dyDescent="0.2">
      <c r="A11" s="631"/>
      <c r="B11" s="631"/>
      <c r="C11" s="642" t="s">
        <v>578</v>
      </c>
      <c r="D11" s="631"/>
      <c r="E11" s="631"/>
      <c r="F11" s="631"/>
      <c r="G11" s="631"/>
      <c r="H11" s="631"/>
      <c r="I11" s="631"/>
      <c r="J11" s="631"/>
      <c r="K11" s="631"/>
    </row>
    <row r="12" spans="1:31" x14ac:dyDescent="0.2">
      <c r="A12" s="631"/>
      <c r="B12" s="631"/>
      <c r="C12" s="631"/>
      <c r="D12" s="631" t="s">
        <v>1585</v>
      </c>
      <c r="E12" s="631"/>
      <c r="F12" s="631"/>
      <c r="G12" s="643">
        <f>INDEX(K12:M12,,MATCH(CTRL.scenario.selected,Scenario.list,0))</f>
        <v>0.1081</v>
      </c>
      <c r="H12" s="634" t="s">
        <v>43</v>
      </c>
      <c r="I12" s="631"/>
      <c r="J12" s="634"/>
      <c r="K12" s="644">
        <v>0.1081</v>
      </c>
      <c r="L12" s="645">
        <f>K12</f>
        <v>0.1081</v>
      </c>
      <c r="M12" s="645">
        <f t="shared" ref="M12" si="2">L12</f>
        <v>0.1081</v>
      </c>
      <c r="N12"/>
      <c r="O12"/>
      <c r="P12"/>
      <c r="Q12"/>
      <c r="R12"/>
    </row>
    <row r="13" spans="1:31" x14ac:dyDescent="0.2">
      <c r="A13" s="631"/>
      <c r="B13" s="631"/>
      <c r="C13" s="631"/>
      <c r="D13" s="631" t="s">
        <v>1586</v>
      </c>
      <c r="E13" s="631"/>
      <c r="F13" s="631"/>
      <c r="I13" s="646"/>
      <c r="J13" s="646"/>
      <c r="K13" s="631"/>
      <c r="L13" s="631"/>
      <c r="M13" s="631"/>
      <c r="N13"/>
      <c r="O13"/>
      <c r="P13"/>
      <c r="Q13"/>
      <c r="R13"/>
    </row>
    <row r="14" spans="1:31" x14ac:dyDescent="0.2">
      <c r="A14" s="631"/>
      <c r="B14" s="631"/>
      <c r="C14" s="631"/>
      <c r="D14" s="647" t="s">
        <v>61</v>
      </c>
      <c r="E14" s="631"/>
      <c r="F14" s="631"/>
      <c r="G14" s="643">
        <f>INDEX(K14:M14,,MATCH(CTRL.scenario.selected,Scenario.list,0))</f>
        <v>0.05</v>
      </c>
      <c r="H14" s="646" t="s">
        <v>44</v>
      </c>
      <c r="I14" s="646"/>
      <c r="J14" s="646"/>
      <c r="K14" s="648">
        <f>K15/SUM(Annual.cost.by.element)+K16</f>
        <v>0.05</v>
      </c>
      <c r="L14" s="648">
        <f t="shared" ref="L14:M14" si="3">L15/SUM(Annual.cost.by.element)+L16</f>
        <v>0.05</v>
      </c>
      <c r="M14" s="648">
        <f t="shared" si="3"/>
        <v>0.05</v>
      </c>
      <c r="N14"/>
      <c r="O14"/>
      <c r="P14"/>
      <c r="Q14"/>
      <c r="R14"/>
    </row>
    <row r="15" spans="1:31" x14ac:dyDescent="0.2">
      <c r="A15" s="631"/>
      <c r="B15" s="631"/>
      <c r="C15" s="631"/>
      <c r="D15" s="649" t="s">
        <v>1587</v>
      </c>
      <c r="E15" s="631"/>
      <c r="F15" s="631"/>
      <c r="G15" s="631"/>
      <c r="H15" s="646"/>
      <c r="I15" s="631"/>
      <c r="J15" s="646"/>
      <c r="K15" s="650">
        <v>0</v>
      </c>
      <c r="L15" s="651">
        <f>K15</f>
        <v>0</v>
      </c>
      <c r="M15" s="651">
        <f t="shared" ref="M15" si="4">L15</f>
        <v>0</v>
      </c>
      <c r="N15"/>
      <c r="O15"/>
      <c r="P15"/>
      <c r="Q15"/>
      <c r="R15"/>
    </row>
    <row r="16" spans="1:31" x14ac:dyDescent="0.2">
      <c r="A16" s="631"/>
      <c r="B16" s="631"/>
      <c r="C16" s="631"/>
      <c r="D16" s="649" t="s">
        <v>1588</v>
      </c>
      <c r="E16" s="631"/>
      <c r="F16" s="631"/>
      <c r="G16" s="631"/>
      <c r="H16" s="646"/>
      <c r="I16" s="631"/>
      <c r="J16" s="646"/>
      <c r="K16" s="652">
        <v>0.05</v>
      </c>
      <c r="L16" s="653">
        <f>K16</f>
        <v>0.05</v>
      </c>
      <c r="M16" s="653">
        <f t="shared" ref="M16" si="5">L16</f>
        <v>0.05</v>
      </c>
      <c r="N16"/>
      <c r="O16"/>
      <c r="P16"/>
      <c r="Q16"/>
      <c r="R16"/>
    </row>
    <row r="17" spans="3:31" x14ac:dyDescent="0.2">
      <c r="N17"/>
      <c r="O17"/>
      <c r="P17"/>
      <c r="Q17"/>
      <c r="R17"/>
    </row>
    <row r="18" spans="3:31" x14ac:dyDescent="0.2">
      <c r="K18" s="654"/>
      <c r="N18"/>
      <c r="O18"/>
      <c r="P18"/>
      <c r="Q18"/>
      <c r="R18"/>
    </row>
    <row r="19" spans="3:31" x14ac:dyDescent="0.2">
      <c r="D19" s="631"/>
      <c r="N19"/>
      <c r="O19"/>
      <c r="P19"/>
      <c r="Q19"/>
      <c r="R19"/>
    </row>
    <row r="20" spans="3:31" x14ac:dyDescent="0.2">
      <c r="C20" s="642" t="s">
        <v>405</v>
      </c>
      <c r="D20" s="631"/>
      <c r="G20" s="643" t="str">
        <f>INDEX(K20:M20,,MATCH(CTRL.scenario.selected,Scenario.list,0))</f>
        <v>Hipotético</v>
      </c>
      <c r="H20" s="634" t="s">
        <v>50</v>
      </c>
      <c r="K20" s="655" t="s">
        <v>646</v>
      </c>
      <c r="L20" s="655" t="s">
        <v>92</v>
      </c>
      <c r="M20" s="655" t="s">
        <v>92</v>
      </c>
      <c r="N20" s="634" t="s">
        <v>1644</v>
      </c>
      <c r="O20"/>
      <c r="P20"/>
      <c r="Q20"/>
      <c r="R20"/>
    </row>
    <row r="21" spans="3:31" x14ac:dyDescent="0.2">
      <c r="N21"/>
      <c r="O21"/>
      <c r="P21"/>
      <c r="Q21"/>
      <c r="R21"/>
    </row>
    <row r="22" spans="3:31" x14ac:dyDescent="0.2">
      <c r="C22" s="657" t="s">
        <v>1684</v>
      </c>
      <c r="G22" s="658" t="str">
        <f>INDEX(K22:M22,,MATCH(CTRL.scenario.selected,Scenario.list,0))</f>
        <v>2015/2016</v>
      </c>
      <c r="H22" s="634" t="s">
        <v>1666</v>
      </c>
      <c r="K22" s="655" t="s">
        <v>1659</v>
      </c>
      <c r="L22" s="656" t="str">
        <f>K22</f>
        <v>2015/2016</v>
      </c>
      <c r="M22" s="656" t="str">
        <f t="shared" ref="M22" si="6">L22</f>
        <v>2015/2016</v>
      </c>
      <c r="N22"/>
      <c r="O22"/>
      <c r="P22"/>
      <c r="Q22"/>
      <c r="R22"/>
    </row>
    <row r="23" spans="3:31" x14ac:dyDescent="0.2">
      <c r="N23"/>
      <c r="O23"/>
      <c r="P23"/>
      <c r="Q23"/>
      <c r="R23"/>
    </row>
    <row r="24" spans="3:31" x14ac:dyDescent="0.2">
      <c r="C24" s="642" t="s">
        <v>577</v>
      </c>
      <c r="G24" s="643" t="str">
        <f>INDEX(K24:M24,,MATCH(CTRL.scenario.selected,Scenario.list,0))</f>
        <v>Anualidad simple</v>
      </c>
      <c r="H24" s="634" t="s">
        <v>51</v>
      </c>
      <c r="K24" s="655" t="s">
        <v>692</v>
      </c>
      <c r="L24" s="655" t="s">
        <v>692</v>
      </c>
      <c r="M24" s="655" t="s">
        <v>692</v>
      </c>
      <c r="N24"/>
      <c r="O24"/>
      <c r="P24"/>
      <c r="Q24"/>
      <c r="R24"/>
    </row>
    <row r="25" spans="3:31" x14ac:dyDescent="0.2">
      <c r="C25" s="647"/>
      <c r="N25"/>
      <c r="O25"/>
      <c r="P25"/>
      <c r="Q25"/>
      <c r="R25"/>
    </row>
    <row r="26" spans="3:31" x14ac:dyDescent="0.2">
      <c r="C26" s="642" t="s">
        <v>1926</v>
      </c>
      <c r="D26" s="631"/>
      <c r="E26" s="631"/>
      <c r="F26" s="631"/>
      <c r="N26"/>
      <c r="O26"/>
      <c r="P26"/>
      <c r="Q26"/>
      <c r="R26"/>
    </row>
    <row r="27" spans="3:31" x14ac:dyDescent="0.2">
      <c r="C27" s="642"/>
      <c r="D27" s="659" t="s">
        <v>579</v>
      </c>
      <c r="E27" s="631"/>
      <c r="F27" s="631"/>
      <c r="G27" s="660">
        <f>INDEX(K27:M27,,MATCH(CTRL.scenario.selected,Scenario.list,0))</f>
        <v>0.5</v>
      </c>
      <c r="H27" s="634" t="s">
        <v>52</v>
      </c>
      <c r="K27" s="661">
        <v>0.5</v>
      </c>
      <c r="L27" s="661">
        <v>0.5</v>
      </c>
      <c r="M27" s="661">
        <v>0.5</v>
      </c>
      <c r="N27"/>
      <c r="O27"/>
      <c r="P27"/>
      <c r="Q27"/>
      <c r="R27"/>
    </row>
    <row r="28" spans="3:31" s="631" customFormat="1" x14ac:dyDescent="0.2">
      <c r="S28"/>
      <c r="T28"/>
      <c r="U28"/>
      <c r="V28"/>
      <c r="W28"/>
      <c r="X28"/>
      <c r="Y28"/>
      <c r="Z28"/>
      <c r="AA28"/>
      <c r="AB28"/>
      <c r="AC28"/>
      <c r="AD28"/>
      <c r="AE28"/>
    </row>
    <row r="29" spans="3:31" s="631" customFormat="1" x14ac:dyDescent="0.2">
      <c r="S29"/>
      <c r="T29"/>
      <c r="U29"/>
      <c r="V29"/>
      <c r="W29"/>
      <c r="X29"/>
      <c r="Y29"/>
      <c r="Z29"/>
      <c r="AA29"/>
      <c r="AB29"/>
      <c r="AC29"/>
      <c r="AD29"/>
      <c r="AE29"/>
    </row>
    <row r="30" spans="3:31" x14ac:dyDescent="0.2">
      <c r="C30"/>
      <c r="D30"/>
      <c r="E30"/>
      <c r="F30"/>
      <c r="G30"/>
    </row>
    <row r="31" spans="3:31" x14ac:dyDescent="0.2">
      <c r="C31"/>
      <c r="D31"/>
      <c r="E31"/>
      <c r="F31"/>
      <c r="G31"/>
    </row>
    <row r="32" spans="3:31" s="631" customFormat="1" x14ac:dyDescent="0.2">
      <c r="S32"/>
      <c r="T32"/>
      <c r="U32"/>
      <c r="V32"/>
      <c r="W32"/>
      <c r="X32"/>
      <c r="Y32"/>
      <c r="Z32"/>
      <c r="AA32"/>
      <c r="AB32"/>
      <c r="AC32"/>
      <c r="AD32"/>
      <c r="AE32"/>
    </row>
    <row r="33" spans="1:31" s="631" customFormat="1" x14ac:dyDescent="0.2">
      <c r="S33"/>
      <c r="T33"/>
      <c r="U33"/>
      <c r="V33"/>
      <c r="W33"/>
      <c r="X33"/>
      <c r="Y33"/>
      <c r="Z33"/>
      <c r="AA33"/>
      <c r="AB33"/>
      <c r="AC33"/>
      <c r="AD33"/>
      <c r="AE33"/>
    </row>
    <row r="34" spans="1:31" ht="18.75" thickBot="1" x14ac:dyDescent="0.25">
      <c r="A34" s="638" t="s">
        <v>580</v>
      </c>
      <c r="B34" s="638"/>
      <c r="C34" s="639"/>
      <c r="D34" s="639"/>
      <c r="E34" s="639"/>
      <c r="F34" s="639"/>
      <c r="G34" s="639"/>
      <c r="H34" s="639"/>
      <c r="I34" s="639"/>
      <c r="J34" s="639"/>
      <c r="K34" s="639"/>
      <c r="L34" s="639"/>
      <c r="M34" s="639"/>
      <c r="N34" s="639"/>
      <c r="O34" s="639"/>
      <c r="P34" s="639"/>
      <c r="Q34" s="639"/>
      <c r="R34" s="639"/>
    </row>
    <row r="36" spans="1:31" ht="15.75" x14ac:dyDescent="0.2">
      <c r="B36" s="662" t="s">
        <v>1496</v>
      </c>
    </row>
    <row r="38" spans="1:31" x14ac:dyDescent="0.2">
      <c r="C38" s="642" t="s">
        <v>607</v>
      </c>
      <c r="G38" s="663">
        <f>INDEX(K38:M38,,MATCH(CTRL.scenario.selected,Scenario.list,0))</f>
        <v>9</v>
      </c>
      <c r="I38" s="631"/>
      <c r="K38" s="664">
        <v>9</v>
      </c>
      <c r="L38" s="664">
        <v>9</v>
      </c>
      <c r="M38" s="664">
        <v>9</v>
      </c>
      <c r="N38"/>
      <c r="O38"/>
      <c r="P38"/>
      <c r="Q38"/>
      <c r="R38"/>
    </row>
    <row r="39" spans="1:31" x14ac:dyDescent="0.2">
      <c r="C39" s="631"/>
      <c r="G39" s="634" t="s">
        <v>1321</v>
      </c>
    </row>
    <row r="40" spans="1:31" x14ac:dyDescent="0.2">
      <c r="C40" s="636" t="s">
        <v>601</v>
      </c>
      <c r="G40" s="665">
        <f>INDEX(K40:M40,,MATCH(CTRL.scenario.selected,Scenario.list,0))</f>
        <v>0.02</v>
      </c>
      <c r="K40" s="644">
        <v>0.02</v>
      </c>
      <c r="L40" s="644">
        <v>0.02</v>
      </c>
      <c r="M40" s="644">
        <v>0.02</v>
      </c>
      <c r="N40"/>
      <c r="O40"/>
      <c r="P40"/>
      <c r="Q40"/>
      <c r="R40"/>
    </row>
    <row r="41" spans="1:31" x14ac:dyDescent="0.2">
      <c r="C41" s="631"/>
      <c r="G41" s="634" t="s">
        <v>75</v>
      </c>
    </row>
    <row r="42" spans="1:31" x14ac:dyDescent="0.2">
      <c r="C42" s="657" t="s">
        <v>587</v>
      </c>
      <c r="G42" s="666">
        <f>INDEX(K42:M42,,MATCH(CTRL.scenario.selected,Scenario.list,0))</f>
        <v>1</v>
      </c>
      <c r="I42" s="631"/>
      <c r="J42" s="631"/>
      <c r="K42" s="667">
        <v>1</v>
      </c>
      <c r="L42" s="667">
        <v>1</v>
      </c>
      <c r="M42" s="667">
        <v>1</v>
      </c>
      <c r="N42"/>
      <c r="O42"/>
      <c r="P42"/>
      <c r="Q42"/>
      <c r="R42"/>
    </row>
    <row r="43" spans="1:31" x14ac:dyDescent="0.2">
      <c r="G43" s="634" t="s">
        <v>94</v>
      </c>
      <c r="I43" s="631"/>
      <c r="J43" s="631"/>
      <c r="K43" s="631"/>
      <c r="L43" s="631"/>
      <c r="M43" s="631"/>
      <c r="N43" s="631"/>
      <c r="O43" s="631"/>
      <c r="P43" s="631"/>
      <c r="Q43" s="631"/>
      <c r="R43" s="631"/>
    </row>
    <row r="44" spans="1:31" x14ac:dyDescent="0.2">
      <c r="C44" s="642" t="s">
        <v>602</v>
      </c>
      <c r="G44" s="668"/>
    </row>
    <row r="45" spans="1:31" x14ac:dyDescent="0.2">
      <c r="C45" s="631"/>
      <c r="D45" s="655" t="s">
        <v>603</v>
      </c>
      <c r="G45" s="660">
        <f>INDEX(K45:M45,,MATCH(CTRL.scenario.selected,Scenario.list,0))</f>
        <v>0.8</v>
      </c>
      <c r="K45" s="661">
        <v>0.8</v>
      </c>
      <c r="L45" s="661">
        <v>0.8</v>
      </c>
      <c r="M45" s="661">
        <v>0.8</v>
      </c>
      <c r="N45"/>
      <c r="O45"/>
      <c r="P45"/>
      <c r="Q45"/>
      <c r="R45"/>
    </row>
    <row r="46" spans="1:31" x14ac:dyDescent="0.2">
      <c r="C46" s="631"/>
      <c r="D46" s="655" t="s">
        <v>604</v>
      </c>
      <c r="G46" s="660">
        <f>INDEX(K46:M46,,MATCH(CTRL.scenario.selected,Scenario.list,0))</f>
        <v>0.8</v>
      </c>
      <c r="K46" s="661">
        <v>0.8</v>
      </c>
      <c r="L46" s="661">
        <v>0.8</v>
      </c>
      <c r="M46" s="661">
        <v>0.8</v>
      </c>
      <c r="N46"/>
      <c r="O46"/>
      <c r="P46"/>
      <c r="Q46"/>
      <c r="R46"/>
    </row>
    <row r="47" spans="1:31" x14ac:dyDescent="0.2">
      <c r="C47" s="631"/>
      <c r="G47" s="669" t="s">
        <v>93</v>
      </c>
    </row>
    <row r="48" spans="1:31" x14ac:dyDescent="0.2">
      <c r="C48" s="636" t="s">
        <v>617</v>
      </c>
    </row>
    <row r="49" spans="1:18" x14ac:dyDescent="0.2">
      <c r="E49" s="670" t="str">
        <f t="array" ref="E49:E52">Type.of.radio.sites</f>
        <v>2G sites</v>
      </c>
      <c r="G49" s="643" t="str">
        <f>INDEX(K49:M49,,MATCH(CTRL.scenario.selected,Scenario.list,0))</f>
        <v>ATM / SDH / PDH</v>
      </c>
      <c r="K49" s="655" t="s">
        <v>82</v>
      </c>
      <c r="L49" s="655" t="s">
        <v>82</v>
      </c>
      <c r="M49" s="655" t="s">
        <v>82</v>
      </c>
      <c r="N49"/>
      <c r="O49"/>
      <c r="P49"/>
      <c r="Q49"/>
      <c r="R49"/>
    </row>
    <row r="50" spans="1:18" x14ac:dyDescent="0.2">
      <c r="E50" s="670" t="str">
        <v>3G sites</v>
      </c>
      <c r="G50" s="643" t="str">
        <f>INDEX(K50:M50,,MATCH(CTRL.scenario.selected,Scenario.list,0))</f>
        <v>Ethernet</v>
      </c>
      <c r="K50" s="655" t="s">
        <v>66</v>
      </c>
      <c r="L50" s="655" t="s">
        <v>66</v>
      </c>
      <c r="M50" s="655" t="s">
        <v>66</v>
      </c>
      <c r="N50"/>
      <c r="O50"/>
      <c r="P50"/>
      <c r="Q50"/>
      <c r="R50"/>
    </row>
    <row r="51" spans="1:18" x14ac:dyDescent="0.2">
      <c r="A51" s="631"/>
      <c r="B51" s="631"/>
      <c r="E51" s="670" t="str">
        <v>4G sites</v>
      </c>
      <c r="G51" s="643" t="str">
        <f>INDEX(K51:M51,,MATCH(CTRL.scenario.selected,Scenario.list,0))</f>
        <v>Ethernet</v>
      </c>
      <c r="K51" s="655" t="s">
        <v>66</v>
      </c>
      <c r="L51" s="655" t="s">
        <v>66</v>
      </c>
      <c r="M51" s="655" t="s">
        <v>66</v>
      </c>
      <c r="N51"/>
      <c r="O51"/>
      <c r="P51"/>
      <c r="Q51"/>
      <c r="R51"/>
    </row>
    <row r="52" spans="1:18" x14ac:dyDescent="0.2">
      <c r="A52" s="631"/>
      <c r="B52" s="631"/>
      <c r="E52" s="670" t="str">
        <v>Multi-technologies sites</v>
      </c>
      <c r="G52" s="643" t="str">
        <f>INDEX(K52:M52,,MATCH(CTRL.scenario.selected,Scenario.list,0))</f>
        <v>Ethernet</v>
      </c>
      <c r="K52" s="655" t="s">
        <v>66</v>
      </c>
      <c r="L52" s="655" t="s">
        <v>66</v>
      </c>
      <c r="M52" s="655" t="s">
        <v>66</v>
      </c>
      <c r="N52"/>
      <c r="O52"/>
      <c r="P52"/>
      <c r="Q52"/>
      <c r="R52"/>
    </row>
    <row r="53" spans="1:18" x14ac:dyDescent="0.2">
      <c r="G53" s="634" t="s">
        <v>71</v>
      </c>
      <c r="N53"/>
      <c r="O53"/>
      <c r="P53"/>
      <c r="Q53"/>
      <c r="R53"/>
    </row>
    <row r="54" spans="1:18" x14ac:dyDescent="0.2">
      <c r="C54" s="636" t="s">
        <v>588</v>
      </c>
      <c r="G54" s="643" t="str">
        <f>INDEX(K54:M54,,MATCH(CTRL.scenario.selected,Scenario.list,0))</f>
        <v>Dark fibre</v>
      </c>
      <c r="K54" s="655" t="s">
        <v>91</v>
      </c>
      <c r="L54" s="655" t="s">
        <v>91</v>
      </c>
      <c r="M54" s="655" t="s">
        <v>91</v>
      </c>
      <c r="N54"/>
      <c r="O54"/>
      <c r="P54"/>
      <c r="Q54"/>
      <c r="R54"/>
    </row>
    <row r="55" spans="1:18" x14ac:dyDescent="0.2">
      <c r="D55" s="631"/>
      <c r="G55" s="634" t="s">
        <v>78</v>
      </c>
      <c r="K55" s="631"/>
      <c r="L55" s="631"/>
      <c r="M55" s="631"/>
      <c r="N55"/>
      <c r="O55"/>
      <c r="P55"/>
      <c r="Q55"/>
      <c r="R55"/>
    </row>
    <row r="56" spans="1:18" x14ac:dyDescent="0.2">
      <c r="C56" s="636" t="s">
        <v>589</v>
      </c>
      <c r="G56" s="643" t="str">
        <f>INDEX(K56:M56,,MATCH(CTRL.scenario.selected,Scenario.list,0))</f>
        <v>Ethernet</v>
      </c>
      <c r="K56" s="655" t="s">
        <v>66</v>
      </c>
      <c r="L56" s="655" t="s">
        <v>66</v>
      </c>
      <c r="M56" s="655" t="s">
        <v>66</v>
      </c>
      <c r="N56"/>
      <c r="O56"/>
      <c r="P56"/>
      <c r="Q56"/>
      <c r="R56"/>
    </row>
    <row r="57" spans="1:18" x14ac:dyDescent="0.2">
      <c r="G57" s="634" t="s">
        <v>79</v>
      </c>
      <c r="N57"/>
      <c r="O57"/>
      <c r="P57"/>
      <c r="Q57"/>
      <c r="R57"/>
    </row>
    <row r="58" spans="1:18" x14ac:dyDescent="0.2">
      <c r="A58" s="631"/>
      <c r="B58" s="631"/>
      <c r="C58" s="636" t="s">
        <v>591</v>
      </c>
      <c r="G58" s="643" t="str">
        <f>INDEX(K58:M58,,MATCH(CTRL.scenario.selected,Scenario.list,0))</f>
        <v>Dark fibre</v>
      </c>
      <c r="K58" s="655" t="s">
        <v>91</v>
      </c>
      <c r="L58" s="655" t="s">
        <v>91</v>
      </c>
      <c r="M58" s="655" t="s">
        <v>91</v>
      </c>
      <c r="N58"/>
      <c r="O58"/>
      <c r="P58"/>
      <c r="Q58"/>
      <c r="R58"/>
    </row>
    <row r="59" spans="1:18" x14ac:dyDescent="0.2">
      <c r="A59" s="631"/>
      <c r="B59" s="631"/>
      <c r="G59" s="634" t="s">
        <v>69</v>
      </c>
      <c r="N59"/>
      <c r="O59"/>
      <c r="P59"/>
      <c r="Q59"/>
      <c r="R59"/>
    </row>
    <row r="60" spans="1:18" x14ac:dyDescent="0.2">
      <c r="C60" s="636" t="s">
        <v>592</v>
      </c>
      <c r="G60" s="643" t="str">
        <f>INDEX(K60:M60,,MATCH(CTRL.scenario.selected,Scenario.list,0))</f>
        <v>Ethernet</v>
      </c>
      <c r="K60" s="655" t="s">
        <v>66</v>
      </c>
      <c r="L60" s="655" t="s">
        <v>66</v>
      </c>
      <c r="M60" s="655" t="s">
        <v>66</v>
      </c>
      <c r="N60"/>
      <c r="O60"/>
      <c r="P60"/>
      <c r="Q60"/>
      <c r="R60"/>
    </row>
    <row r="61" spans="1:18" x14ac:dyDescent="0.2">
      <c r="G61" s="634" t="s">
        <v>70</v>
      </c>
      <c r="N61"/>
      <c r="O61"/>
      <c r="P61"/>
      <c r="Q61"/>
      <c r="R61"/>
    </row>
    <row r="62" spans="1:18" x14ac:dyDescent="0.2">
      <c r="C62" s="631"/>
      <c r="G62" s="668"/>
      <c r="N62"/>
      <c r="O62"/>
      <c r="P62"/>
      <c r="Q62"/>
      <c r="R62"/>
    </row>
    <row r="63" spans="1:18" x14ac:dyDescent="0.2">
      <c r="C63" s="657" t="s">
        <v>605</v>
      </c>
      <c r="D63" s="631"/>
      <c r="E63" s="631"/>
      <c r="G63" s="663">
        <f>INDEX(K63:M63,,MATCH(CTRL.scenario.selected,Scenario.list,0))</f>
        <v>4200</v>
      </c>
      <c r="I63" s="631"/>
      <c r="K63" s="671">
        <v>4200</v>
      </c>
      <c r="L63" s="671">
        <v>4200</v>
      </c>
      <c r="M63" s="671">
        <v>4200</v>
      </c>
      <c r="N63"/>
      <c r="O63"/>
      <c r="P63"/>
      <c r="Q63"/>
      <c r="R63"/>
    </row>
    <row r="64" spans="1:18" x14ac:dyDescent="0.2">
      <c r="C64" s="631"/>
      <c r="G64" s="669" t="s">
        <v>1322</v>
      </c>
      <c r="I64" s="631"/>
      <c r="K64" s="654"/>
      <c r="L64" s="654"/>
      <c r="M64" s="654"/>
      <c r="N64"/>
      <c r="O64"/>
      <c r="P64"/>
      <c r="Q64"/>
      <c r="R64"/>
    </row>
    <row r="65" spans="1:31" x14ac:dyDescent="0.2">
      <c r="C65" s="657" t="s">
        <v>606</v>
      </c>
      <c r="G65" s="663">
        <f>INDEX(K65:M65,,MATCH(CTRL.scenario.selected,Scenario.list,0))</f>
        <v>2600</v>
      </c>
      <c r="I65" s="631"/>
      <c r="K65" s="671">
        <v>2600</v>
      </c>
      <c r="L65" s="671">
        <v>2600</v>
      </c>
      <c r="M65" s="671">
        <v>2600</v>
      </c>
      <c r="N65"/>
      <c r="O65"/>
      <c r="P65"/>
      <c r="Q65"/>
      <c r="R65"/>
    </row>
    <row r="66" spans="1:31" x14ac:dyDescent="0.2">
      <c r="C66" s="631"/>
      <c r="G66" s="634" t="s">
        <v>1323</v>
      </c>
      <c r="I66" s="631"/>
      <c r="N66"/>
      <c r="O66"/>
      <c r="P66"/>
      <c r="Q66"/>
      <c r="R66"/>
    </row>
    <row r="67" spans="1:31" x14ac:dyDescent="0.2">
      <c r="C67" s="631"/>
      <c r="I67" s="631"/>
      <c r="N67"/>
      <c r="O67"/>
      <c r="P67"/>
      <c r="Q67"/>
      <c r="R67"/>
    </row>
    <row r="68" spans="1:31" x14ac:dyDescent="0.2">
      <c r="A68" s="631"/>
      <c r="B68" s="631"/>
      <c r="C68" s="657" t="s">
        <v>1729</v>
      </c>
      <c r="G68" s="663">
        <f>INDEX(K68:M68,,MATCH(CTRL.scenario.selected,Scenario.list,0))</f>
        <v>0</v>
      </c>
      <c r="H68" s="672" t="s">
        <v>1968</v>
      </c>
      <c r="K68" s="673">
        <v>0</v>
      </c>
      <c r="L68" s="673">
        <v>0</v>
      </c>
      <c r="M68" s="673">
        <v>0</v>
      </c>
      <c r="N68"/>
      <c r="O68"/>
      <c r="P68"/>
      <c r="Q68"/>
      <c r="R68"/>
    </row>
    <row r="69" spans="1:31" x14ac:dyDescent="0.2">
      <c r="A69" s="631"/>
      <c r="B69" s="631"/>
      <c r="C69" s="657"/>
      <c r="G69" s="634" t="s">
        <v>85</v>
      </c>
    </row>
    <row r="70" spans="1:31" x14ac:dyDescent="0.2">
      <c r="A70" s="631"/>
      <c r="B70" s="631"/>
      <c r="C70" s="631"/>
      <c r="G70" s="634"/>
    </row>
    <row r="71" spans="1:31" ht="15.75" x14ac:dyDescent="0.2">
      <c r="B71" s="662" t="s">
        <v>1497</v>
      </c>
    </row>
    <row r="72" spans="1:31" s="631" customFormat="1" x14ac:dyDescent="0.2">
      <c r="S72"/>
      <c r="T72"/>
      <c r="U72"/>
      <c r="V72"/>
      <c r="W72"/>
      <c r="X72"/>
      <c r="Y72"/>
      <c r="Z72"/>
      <c r="AA72"/>
      <c r="AB72"/>
      <c r="AC72"/>
      <c r="AD72"/>
      <c r="AE72"/>
    </row>
    <row r="73" spans="1:31" s="631" customFormat="1" x14ac:dyDescent="0.2">
      <c r="A73" s="632"/>
      <c r="B73" s="632"/>
      <c r="C73" s="636" t="s">
        <v>995</v>
      </c>
      <c r="D73" s="632"/>
      <c r="E73" s="632"/>
      <c r="S73"/>
      <c r="T73"/>
      <c r="U73"/>
      <c r="V73"/>
      <c r="W73"/>
      <c r="X73"/>
      <c r="Y73"/>
      <c r="Z73"/>
      <c r="AA73"/>
      <c r="AB73"/>
      <c r="AC73"/>
      <c r="AD73"/>
      <c r="AE73"/>
    </row>
    <row r="74" spans="1:31" s="631" customFormat="1" x14ac:dyDescent="0.2">
      <c r="A74" s="632"/>
      <c r="B74" s="632"/>
      <c r="C74" s="636"/>
      <c r="D74" s="632"/>
      <c r="E74" s="632"/>
      <c r="S74"/>
      <c r="T74"/>
      <c r="U74"/>
      <c r="V74"/>
      <c r="W74"/>
      <c r="X74"/>
      <c r="Y74"/>
      <c r="Z74"/>
      <c r="AA74"/>
      <c r="AB74"/>
      <c r="AC74"/>
      <c r="AD74"/>
      <c r="AE74"/>
    </row>
    <row r="75" spans="1:31" s="631" customFormat="1" x14ac:dyDescent="0.2">
      <c r="A75" s="632"/>
      <c r="B75" s="632"/>
      <c r="C75" s="636"/>
      <c r="D75" s="657" t="s">
        <v>118</v>
      </c>
      <c r="E75" s="632"/>
      <c r="S75"/>
      <c r="T75"/>
      <c r="U75"/>
      <c r="V75"/>
      <c r="W75"/>
      <c r="X75"/>
      <c r="Y75"/>
      <c r="Z75"/>
      <c r="AA75"/>
      <c r="AB75"/>
      <c r="AC75"/>
      <c r="AD75"/>
      <c r="AE75"/>
    </row>
    <row r="76" spans="1:31" s="631" customFormat="1" x14ac:dyDescent="0.2">
      <c r="A76" s="632"/>
      <c r="B76" s="632"/>
      <c r="C76" s="632"/>
      <c r="D76" s="632"/>
      <c r="E76" s="670" t="str">
        <f t="array" ref="E76:E85">Geotypes</f>
        <v>Muy denso</v>
      </c>
      <c r="G76" s="674">
        <f t="shared" ref="G76:G85" si="7">INDEX(K76:M76,,MATCH(CTRL.scenario.selected,Scenario.list,0))</f>
        <v>850</v>
      </c>
      <c r="K76" s="675">
        <f t="array" ref="K76:K85">INDEX($K779:$M788,,MATCH(K$20,Operators.list,0))</f>
        <v>850</v>
      </c>
      <c r="L76" s="675" t="str">
        <f t="array" ref="L76:L85">INDEX($K779:$M788,,MATCH(L$20,Operators.list,0))</f>
        <v>Spare</v>
      </c>
      <c r="M76" s="675" t="str">
        <f t="array" ref="M76:M85">INDEX($K779:$M788,,MATCH(M$20,Operators.list,0))</f>
        <v>Spare</v>
      </c>
      <c r="N76"/>
      <c r="O76"/>
      <c r="P76"/>
      <c r="Q76"/>
      <c r="R76"/>
      <c r="S76"/>
      <c r="T76"/>
      <c r="U76"/>
      <c r="V76"/>
      <c r="W76"/>
      <c r="X76"/>
      <c r="Y76"/>
      <c r="Z76"/>
      <c r="AA76"/>
      <c r="AB76"/>
      <c r="AC76"/>
      <c r="AD76"/>
      <c r="AE76"/>
    </row>
    <row r="77" spans="1:31" s="631" customFormat="1" hidden="1" outlineLevel="1" x14ac:dyDescent="0.2">
      <c r="A77" s="632"/>
      <c r="B77" s="632"/>
      <c r="C77" s="632"/>
      <c r="D77" s="632"/>
      <c r="E77" s="670" t="str">
        <v>Denso</v>
      </c>
      <c r="G77" s="674">
        <f t="shared" si="7"/>
        <v>850</v>
      </c>
      <c r="K77" s="675">
        <v>850</v>
      </c>
      <c r="L77" s="675" t="str">
        <v>Spare</v>
      </c>
      <c r="M77" s="675" t="str">
        <v>Spare</v>
      </c>
      <c r="N77"/>
      <c r="O77"/>
      <c r="P77"/>
      <c r="Q77"/>
      <c r="R77"/>
      <c r="S77"/>
      <c r="T77"/>
      <c r="U77"/>
      <c r="V77"/>
      <c r="W77"/>
      <c r="X77"/>
      <c r="Y77"/>
      <c r="Z77"/>
      <c r="AA77"/>
      <c r="AB77"/>
      <c r="AC77"/>
      <c r="AD77"/>
      <c r="AE77"/>
    </row>
    <row r="78" spans="1:31" s="631" customFormat="1" hidden="1" outlineLevel="1" x14ac:dyDescent="0.2">
      <c r="A78" s="632"/>
      <c r="B78" s="632"/>
      <c r="C78" s="632"/>
      <c r="D78" s="632"/>
      <c r="E78" s="670" t="str">
        <v>Poco denso</v>
      </c>
      <c r="G78" s="674">
        <f t="shared" si="7"/>
        <v>850</v>
      </c>
      <c r="K78" s="675">
        <v>850</v>
      </c>
      <c r="L78" s="675" t="str">
        <v>Spare</v>
      </c>
      <c r="M78" s="675" t="str">
        <v>Spare</v>
      </c>
      <c r="N78"/>
      <c r="O78"/>
      <c r="P78"/>
      <c r="Q78"/>
      <c r="R78"/>
      <c r="S78"/>
      <c r="T78"/>
      <c r="U78"/>
      <c r="V78"/>
      <c r="W78"/>
      <c r="X78"/>
      <c r="Y78"/>
      <c r="Z78"/>
      <c r="AA78"/>
      <c r="AB78"/>
      <c r="AC78"/>
      <c r="AD78"/>
      <c r="AE78"/>
    </row>
    <row r="79" spans="1:31" s="631" customFormat="1" hidden="1" outlineLevel="1" x14ac:dyDescent="0.2">
      <c r="A79" s="632"/>
      <c r="B79" s="632"/>
      <c r="C79" s="632"/>
      <c r="D79" s="632"/>
      <c r="E79" s="670" t="str">
        <v>Otro</v>
      </c>
      <c r="G79" s="674">
        <f t="shared" si="7"/>
        <v>850</v>
      </c>
      <c r="K79" s="675">
        <v>850</v>
      </c>
      <c r="L79" s="675" t="str">
        <v>Spare</v>
      </c>
      <c r="M79" s="675" t="str">
        <v>Spare</v>
      </c>
      <c r="N79"/>
      <c r="O79"/>
      <c r="P79"/>
      <c r="Q79"/>
      <c r="R79"/>
      <c r="S79"/>
      <c r="T79"/>
      <c r="U79"/>
      <c r="V79"/>
      <c r="W79"/>
      <c r="X79"/>
      <c r="Y79"/>
      <c r="Z79"/>
      <c r="AA79"/>
      <c r="AB79"/>
      <c r="AC79"/>
      <c r="AD79"/>
      <c r="AE79"/>
    </row>
    <row r="80" spans="1:31" s="631" customFormat="1" hidden="1" outlineLevel="1" x14ac:dyDescent="0.2">
      <c r="A80" s="632"/>
      <c r="B80" s="632"/>
      <c r="C80" s="632"/>
      <c r="D80" s="632"/>
      <c r="E80" s="670" t="str">
        <v>Microceldas</v>
      </c>
      <c r="G80" s="674">
        <f t="shared" si="7"/>
        <v>850</v>
      </c>
      <c r="K80" s="675">
        <v>850</v>
      </c>
      <c r="L80" s="675" t="str">
        <v>Spare</v>
      </c>
      <c r="M80" s="675" t="str">
        <v>Spare</v>
      </c>
      <c r="N80"/>
      <c r="O80"/>
      <c r="P80"/>
      <c r="Q80"/>
      <c r="R80"/>
      <c r="S80"/>
      <c r="T80"/>
      <c r="U80"/>
      <c r="V80"/>
      <c r="W80"/>
      <c r="X80"/>
      <c r="Y80"/>
      <c r="Z80"/>
      <c r="AA80"/>
      <c r="AB80"/>
      <c r="AC80"/>
      <c r="AD80"/>
      <c r="AE80"/>
    </row>
    <row r="81" spans="1:31" s="631" customFormat="1" hidden="1" outlineLevel="1" x14ac:dyDescent="0.2">
      <c r="A81" s="632"/>
      <c r="B81" s="632"/>
      <c r="C81" s="632"/>
      <c r="D81" s="632"/>
      <c r="E81" s="670" t="str">
        <v>spare</v>
      </c>
      <c r="G81" s="674" t="str">
        <f t="shared" si="7"/>
        <v>Spare</v>
      </c>
      <c r="K81" s="675" t="str">
        <v>Spare</v>
      </c>
      <c r="L81" s="675" t="str">
        <v>Spare</v>
      </c>
      <c r="M81" s="675" t="str">
        <v>Spare</v>
      </c>
      <c r="N81"/>
      <c r="O81"/>
      <c r="P81"/>
      <c r="Q81"/>
      <c r="R81"/>
      <c r="S81"/>
      <c r="T81"/>
      <c r="U81"/>
      <c r="V81"/>
      <c r="W81"/>
      <c r="X81"/>
      <c r="Y81"/>
      <c r="Z81"/>
      <c r="AA81"/>
      <c r="AB81"/>
      <c r="AC81"/>
      <c r="AD81"/>
      <c r="AE81"/>
    </row>
    <row r="82" spans="1:31" s="631" customFormat="1" hidden="1" outlineLevel="1" x14ac:dyDescent="0.2">
      <c r="A82" s="632"/>
      <c r="B82" s="632"/>
      <c r="C82" s="632"/>
      <c r="D82" s="632"/>
      <c r="E82" s="670" t="str">
        <v>spare</v>
      </c>
      <c r="G82" s="674" t="str">
        <f t="shared" si="7"/>
        <v>Spare</v>
      </c>
      <c r="K82" s="675" t="str">
        <v>Spare</v>
      </c>
      <c r="L82" s="675" t="str">
        <v>Spare</v>
      </c>
      <c r="M82" s="675" t="str">
        <v>Spare</v>
      </c>
      <c r="N82"/>
      <c r="O82"/>
      <c r="P82"/>
      <c r="Q82"/>
      <c r="R82"/>
      <c r="S82"/>
      <c r="T82"/>
      <c r="U82"/>
      <c r="V82"/>
      <c r="W82"/>
      <c r="X82"/>
      <c r="Y82"/>
      <c r="Z82"/>
      <c r="AA82"/>
      <c r="AB82"/>
      <c r="AC82"/>
      <c r="AD82"/>
      <c r="AE82"/>
    </row>
    <row r="83" spans="1:31" s="631" customFormat="1" hidden="1" outlineLevel="1" x14ac:dyDescent="0.2">
      <c r="A83" s="632"/>
      <c r="B83" s="632"/>
      <c r="C83" s="632"/>
      <c r="D83" s="632"/>
      <c r="E83" s="670" t="str">
        <v>spare</v>
      </c>
      <c r="G83" s="674" t="str">
        <f t="shared" si="7"/>
        <v>Spare</v>
      </c>
      <c r="K83" s="675" t="str">
        <v>Spare</v>
      </c>
      <c r="L83" s="675" t="str">
        <v>Spare</v>
      </c>
      <c r="M83" s="675" t="str">
        <v>Spare</v>
      </c>
      <c r="N83"/>
      <c r="O83"/>
      <c r="P83"/>
      <c r="Q83"/>
      <c r="R83"/>
      <c r="S83"/>
      <c r="T83"/>
      <c r="U83"/>
      <c r="V83"/>
      <c r="W83"/>
      <c r="X83"/>
      <c r="Y83"/>
      <c r="Z83"/>
      <c r="AA83"/>
      <c r="AB83"/>
      <c r="AC83"/>
      <c r="AD83"/>
      <c r="AE83"/>
    </row>
    <row r="84" spans="1:31" s="631" customFormat="1" hidden="1" outlineLevel="1" x14ac:dyDescent="0.2">
      <c r="A84" s="632"/>
      <c r="B84" s="632"/>
      <c r="C84" s="632"/>
      <c r="D84" s="632"/>
      <c r="E84" s="670" t="str">
        <v>spare</v>
      </c>
      <c r="G84" s="674" t="str">
        <f t="shared" si="7"/>
        <v>Spare</v>
      </c>
      <c r="K84" s="675" t="str">
        <v>Spare</v>
      </c>
      <c r="L84" s="675" t="str">
        <v>Spare</v>
      </c>
      <c r="M84" s="675" t="str">
        <v>Spare</v>
      </c>
      <c r="N84"/>
      <c r="O84"/>
      <c r="P84"/>
      <c r="Q84"/>
      <c r="R84"/>
      <c r="S84"/>
      <c r="T84"/>
      <c r="U84"/>
      <c r="V84"/>
      <c r="W84"/>
      <c r="X84"/>
      <c r="Y84"/>
      <c r="Z84"/>
      <c r="AA84"/>
      <c r="AB84"/>
      <c r="AC84"/>
      <c r="AD84"/>
      <c r="AE84"/>
    </row>
    <row r="85" spans="1:31" s="631" customFormat="1" collapsed="1" x14ac:dyDescent="0.2">
      <c r="A85" s="632"/>
      <c r="B85" s="632"/>
      <c r="C85" s="632"/>
      <c r="D85" s="632"/>
      <c r="E85" s="670" t="str">
        <v>spare</v>
      </c>
      <c r="G85" s="674" t="str">
        <f t="shared" si="7"/>
        <v>Spare</v>
      </c>
      <c r="K85" s="675" t="str">
        <v>Spare</v>
      </c>
      <c r="L85" s="675" t="str">
        <v>Spare</v>
      </c>
      <c r="M85" s="675" t="str">
        <v>Spare</v>
      </c>
      <c r="N85"/>
      <c r="O85"/>
      <c r="P85"/>
      <c r="Q85"/>
      <c r="R85"/>
      <c r="S85"/>
      <c r="T85"/>
      <c r="U85"/>
      <c r="V85"/>
      <c r="W85"/>
      <c r="X85"/>
      <c r="Y85"/>
      <c r="Z85"/>
      <c r="AA85"/>
      <c r="AB85"/>
      <c r="AC85"/>
      <c r="AD85"/>
      <c r="AE85"/>
    </row>
    <row r="86" spans="1:31" s="631" customFormat="1" x14ac:dyDescent="0.2">
      <c r="A86" s="632"/>
      <c r="B86" s="632"/>
      <c r="C86" s="636"/>
      <c r="D86" s="657" t="s">
        <v>117</v>
      </c>
      <c r="E86" s="632"/>
      <c r="G86" s="634" t="s">
        <v>1635</v>
      </c>
      <c r="S86"/>
      <c r="T86"/>
      <c r="U86"/>
      <c r="V86"/>
      <c r="W86"/>
      <c r="X86"/>
      <c r="Y86"/>
      <c r="Z86"/>
      <c r="AA86"/>
      <c r="AB86"/>
      <c r="AC86"/>
      <c r="AD86"/>
      <c r="AE86"/>
    </row>
    <row r="87" spans="1:31" s="631" customFormat="1" x14ac:dyDescent="0.2">
      <c r="A87" s="632"/>
      <c r="B87" s="632"/>
      <c r="C87" s="636"/>
      <c r="D87" s="657"/>
      <c r="E87" s="670" t="str">
        <f t="array" ref="E87:E96">Geotypes</f>
        <v>Muy denso</v>
      </c>
      <c r="G87" s="674">
        <f t="shared" ref="G87:G96" si="8">INDEX(K87:M87,,MATCH(CTRL.scenario.selected,Scenario.list,0))</f>
        <v>850</v>
      </c>
      <c r="K87" s="675">
        <f t="array" ref="K87:K96">INDEX($K790:$M799,,MATCH(K$20,Operators.list,0))</f>
        <v>850</v>
      </c>
      <c r="L87" s="675" t="str">
        <f t="array" ref="L87:L96">INDEX($K790:$M799,,MATCH(L$20,Operators.list,0))</f>
        <v>Spare</v>
      </c>
      <c r="M87" s="675" t="str">
        <f t="array" ref="M87:M96">INDEX($K790:$M799,,MATCH(M$20,Operators.list,0))</f>
        <v>Spare</v>
      </c>
      <c r="N87"/>
      <c r="O87"/>
      <c r="P87"/>
      <c r="Q87"/>
      <c r="R87"/>
      <c r="S87"/>
      <c r="T87"/>
      <c r="U87"/>
      <c r="V87"/>
      <c r="W87"/>
      <c r="X87"/>
      <c r="Y87"/>
      <c r="Z87"/>
      <c r="AA87"/>
      <c r="AB87"/>
      <c r="AC87"/>
      <c r="AD87"/>
      <c r="AE87"/>
    </row>
    <row r="88" spans="1:31" s="631" customFormat="1" hidden="1" outlineLevel="1" x14ac:dyDescent="0.2">
      <c r="A88" s="632"/>
      <c r="B88" s="632"/>
      <c r="C88" s="636"/>
      <c r="D88" s="657"/>
      <c r="E88" s="670" t="str">
        <v>Denso</v>
      </c>
      <c r="G88" s="674">
        <f t="shared" si="8"/>
        <v>850</v>
      </c>
      <c r="K88" s="675">
        <v>850</v>
      </c>
      <c r="L88" s="675" t="str">
        <v>Spare</v>
      </c>
      <c r="M88" s="675" t="str">
        <v>Spare</v>
      </c>
      <c r="N88"/>
      <c r="O88"/>
      <c r="P88"/>
      <c r="Q88"/>
      <c r="R88"/>
      <c r="S88"/>
      <c r="T88"/>
      <c r="U88"/>
      <c r="V88"/>
      <c r="W88"/>
      <c r="X88"/>
      <c r="Y88"/>
      <c r="Z88"/>
      <c r="AA88"/>
      <c r="AB88"/>
      <c r="AC88"/>
      <c r="AD88"/>
      <c r="AE88"/>
    </row>
    <row r="89" spans="1:31" s="631" customFormat="1" hidden="1" outlineLevel="1" x14ac:dyDescent="0.2">
      <c r="A89" s="632"/>
      <c r="B89" s="632"/>
      <c r="C89" s="636"/>
      <c r="D89" s="657"/>
      <c r="E89" s="670" t="str">
        <v>Poco denso</v>
      </c>
      <c r="G89" s="674">
        <f t="shared" si="8"/>
        <v>850</v>
      </c>
      <c r="K89" s="675">
        <v>850</v>
      </c>
      <c r="L89" s="675" t="str">
        <v>Spare</v>
      </c>
      <c r="M89" s="675" t="str">
        <v>Spare</v>
      </c>
      <c r="N89"/>
      <c r="O89"/>
      <c r="P89"/>
      <c r="Q89"/>
      <c r="R89"/>
      <c r="S89"/>
      <c r="T89"/>
      <c r="U89"/>
      <c r="V89"/>
      <c r="W89"/>
      <c r="X89"/>
      <c r="Y89"/>
      <c r="Z89"/>
      <c r="AA89"/>
      <c r="AB89"/>
      <c r="AC89"/>
      <c r="AD89"/>
      <c r="AE89"/>
    </row>
    <row r="90" spans="1:31" s="631" customFormat="1" hidden="1" outlineLevel="1" x14ac:dyDescent="0.2">
      <c r="A90" s="632"/>
      <c r="B90" s="632"/>
      <c r="C90" s="636"/>
      <c r="D90" s="657"/>
      <c r="E90" s="670" t="str">
        <v>Otro</v>
      </c>
      <c r="G90" s="674">
        <f t="shared" si="8"/>
        <v>850</v>
      </c>
      <c r="K90" s="675">
        <v>850</v>
      </c>
      <c r="L90" s="675" t="str">
        <v>Spare</v>
      </c>
      <c r="M90" s="675" t="str">
        <v>Spare</v>
      </c>
      <c r="N90"/>
      <c r="O90"/>
      <c r="P90"/>
      <c r="Q90"/>
      <c r="R90"/>
      <c r="S90"/>
      <c r="T90"/>
      <c r="U90"/>
      <c r="V90"/>
      <c r="W90"/>
      <c r="X90"/>
      <c r="Y90"/>
      <c r="Z90"/>
      <c r="AA90"/>
      <c r="AB90"/>
      <c r="AC90"/>
      <c r="AD90"/>
      <c r="AE90"/>
    </row>
    <row r="91" spans="1:31" s="631" customFormat="1" hidden="1" outlineLevel="1" x14ac:dyDescent="0.2">
      <c r="A91" s="632"/>
      <c r="B91" s="632"/>
      <c r="C91" s="636"/>
      <c r="D91" s="657"/>
      <c r="E91" s="670" t="str">
        <v>Microceldas</v>
      </c>
      <c r="G91" s="674">
        <f t="shared" si="8"/>
        <v>850</v>
      </c>
      <c r="K91" s="675">
        <v>850</v>
      </c>
      <c r="L91" s="675" t="str">
        <v>Spare</v>
      </c>
      <c r="M91" s="675" t="str">
        <v>Spare</v>
      </c>
      <c r="N91"/>
      <c r="O91"/>
      <c r="P91"/>
      <c r="Q91"/>
      <c r="R91"/>
      <c r="S91"/>
      <c r="T91"/>
      <c r="U91"/>
      <c r="V91"/>
      <c r="W91"/>
      <c r="X91"/>
      <c r="Y91"/>
      <c r="Z91"/>
      <c r="AA91"/>
      <c r="AB91"/>
      <c r="AC91"/>
      <c r="AD91"/>
      <c r="AE91"/>
    </row>
    <row r="92" spans="1:31" s="631" customFormat="1" hidden="1" outlineLevel="1" x14ac:dyDescent="0.2">
      <c r="A92" s="632"/>
      <c r="B92" s="632"/>
      <c r="C92" s="636"/>
      <c r="D92" s="657"/>
      <c r="E92" s="670" t="str">
        <v>spare</v>
      </c>
      <c r="G92" s="674" t="str">
        <f t="shared" si="8"/>
        <v>Spare</v>
      </c>
      <c r="K92" s="675" t="str">
        <v>Spare</v>
      </c>
      <c r="L92" s="675" t="str">
        <v>Spare</v>
      </c>
      <c r="M92" s="675" t="str">
        <v>Spare</v>
      </c>
      <c r="N92"/>
      <c r="O92"/>
      <c r="P92"/>
      <c r="Q92"/>
      <c r="R92"/>
      <c r="S92"/>
      <c r="T92"/>
      <c r="U92"/>
      <c r="V92"/>
      <c r="W92"/>
      <c r="X92"/>
      <c r="Y92"/>
      <c r="Z92"/>
      <c r="AA92"/>
      <c r="AB92"/>
      <c r="AC92"/>
      <c r="AD92"/>
      <c r="AE92"/>
    </row>
    <row r="93" spans="1:31" s="631" customFormat="1" hidden="1" outlineLevel="1" x14ac:dyDescent="0.2">
      <c r="A93" s="632"/>
      <c r="B93" s="632"/>
      <c r="C93" s="636"/>
      <c r="D93" s="657"/>
      <c r="E93" s="670" t="str">
        <v>spare</v>
      </c>
      <c r="G93" s="674" t="str">
        <f t="shared" si="8"/>
        <v>Spare</v>
      </c>
      <c r="K93" s="675" t="str">
        <v>Spare</v>
      </c>
      <c r="L93" s="675" t="str">
        <v>Spare</v>
      </c>
      <c r="M93" s="675" t="str">
        <v>Spare</v>
      </c>
      <c r="N93"/>
      <c r="O93"/>
      <c r="P93"/>
      <c r="Q93"/>
      <c r="R93"/>
      <c r="S93"/>
      <c r="T93"/>
      <c r="U93"/>
      <c r="V93"/>
      <c r="W93"/>
      <c r="X93"/>
      <c r="Y93"/>
      <c r="Z93"/>
      <c r="AA93"/>
      <c r="AB93"/>
      <c r="AC93"/>
      <c r="AD93"/>
      <c r="AE93"/>
    </row>
    <row r="94" spans="1:31" s="631" customFormat="1" hidden="1" outlineLevel="1" x14ac:dyDescent="0.2">
      <c r="A94" s="632"/>
      <c r="B94" s="632"/>
      <c r="C94" s="636"/>
      <c r="D94" s="657"/>
      <c r="E94" s="670" t="str">
        <v>spare</v>
      </c>
      <c r="G94" s="674" t="str">
        <f t="shared" si="8"/>
        <v>Spare</v>
      </c>
      <c r="K94" s="675" t="str">
        <v>Spare</v>
      </c>
      <c r="L94" s="675" t="str">
        <v>Spare</v>
      </c>
      <c r="M94" s="675" t="str">
        <v>Spare</v>
      </c>
      <c r="N94"/>
      <c r="O94"/>
      <c r="P94"/>
      <c r="Q94"/>
      <c r="R94"/>
      <c r="S94"/>
      <c r="T94"/>
      <c r="U94"/>
      <c r="V94"/>
      <c r="W94"/>
      <c r="X94"/>
      <c r="Y94"/>
      <c r="Z94"/>
      <c r="AA94"/>
      <c r="AB94"/>
      <c r="AC94"/>
      <c r="AD94"/>
      <c r="AE94"/>
    </row>
    <row r="95" spans="1:31" s="631" customFormat="1" hidden="1" outlineLevel="1" x14ac:dyDescent="0.2">
      <c r="A95" s="632"/>
      <c r="B95" s="632"/>
      <c r="C95" s="636"/>
      <c r="D95" s="657"/>
      <c r="E95" s="670" t="str">
        <v>spare</v>
      </c>
      <c r="G95" s="674" t="str">
        <f t="shared" si="8"/>
        <v>Spare</v>
      </c>
      <c r="K95" s="675" t="str">
        <v>Spare</v>
      </c>
      <c r="L95" s="675" t="str">
        <v>Spare</v>
      </c>
      <c r="M95" s="675" t="str">
        <v>Spare</v>
      </c>
      <c r="N95"/>
      <c r="O95"/>
      <c r="P95"/>
      <c r="Q95"/>
      <c r="R95"/>
      <c r="S95"/>
      <c r="T95"/>
      <c r="U95"/>
      <c r="V95"/>
      <c r="W95"/>
      <c r="X95"/>
      <c r="Y95"/>
      <c r="Z95"/>
      <c r="AA95"/>
      <c r="AB95"/>
      <c r="AC95"/>
      <c r="AD95"/>
      <c r="AE95"/>
    </row>
    <row r="96" spans="1:31" s="631" customFormat="1" collapsed="1" x14ac:dyDescent="0.2">
      <c r="A96" s="632"/>
      <c r="B96" s="632"/>
      <c r="C96" s="632"/>
      <c r="D96" s="632"/>
      <c r="E96" s="670" t="str">
        <v>spare</v>
      </c>
      <c r="G96" s="674" t="str">
        <f t="shared" si="8"/>
        <v>Spare</v>
      </c>
      <c r="K96" s="675" t="str">
        <v>Spare</v>
      </c>
      <c r="L96" s="675" t="str">
        <v>Spare</v>
      </c>
      <c r="M96" s="675" t="str">
        <v>Spare</v>
      </c>
      <c r="N96"/>
      <c r="O96"/>
      <c r="P96"/>
      <c r="Q96"/>
      <c r="R96"/>
      <c r="S96"/>
      <c r="T96"/>
      <c r="U96"/>
      <c r="V96"/>
      <c r="W96"/>
      <c r="X96"/>
      <c r="Y96"/>
      <c r="Z96"/>
      <c r="AA96"/>
      <c r="AB96"/>
      <c r="AC96"/>
      <c r="AD96"/>
      <c r="AE96"/>
    </row>
    <row r="97" spans="1:31" s="631" customFormat="1" x14ac:dyDescent="0.2">
      <c r="A97" s="632"/>
      <c r="B97" s="632"/>
      <c r="C97" s="636"/>
      <c r="D97" s="657" t="s">
        <v>421</v>
      </c>
      <c r="E97" s="632"/>
      <c r="G97" s="634" t="s">
        <v>1636</v>
      </c>
      <c r="N97"/>
      <c r="O97"/>
      <c r="P97"/>
      <c r="Q97"/>
      <c r="R97"/>
      <c r="S97"/>
      <c r="T97"/>
      <c r="U97"/>
      <c r="V97"/>
      <c r="W97"/>
      <c r="X97"/>
      <c r="Y97"/>
      <c r="Z97"/>
      <c r="AA97"/>
      <c r="AB97"/>
      <c r="AC97"/>
      <c r="AD97"/>
      <c r="AE97"/>
    </row>
    <row r="98" spans="1:31" s="631" customFormat="1" x14ac:dyDescent="0.2">
      <c r="A98" s="632"/>
      <c r="B98" s="632"/>
      <c r="C98" s="636"/>
      <c r="D98" s="657"/>
      <c r="E98" s="670" t="str">
        <f t="array" ref="E98:E107">Geotypes</f>
        <v>Muy denso</v>
      </c>
      <c r="G98" s="674" t="str">
        <f t="shared" ref="G98:G107" si="9">INDEX(K98:M98,,MATCH(CTRL.scenario.selected,Scenario.list,0))</f>
        <v>1700/2100 (AWS)</v>
      </c>
      <c r="K98" s="675" t="str">
        <f t="array" ref="K98:K107">INDEX($K801:$M810,,MATCH(K$20,Operators.list,0))</f>
        <v>1700/2100 (AWS)</v>
      </c>
      <c r="L98" s="675" t="str">
        <f t="array" ref="L98:L107">INDEX($K801:$M810,,MATCH(L$20,Operators.list,0))</f>
        <v>Spare</v>
      </c>
      <c r="M98" s="675" t="str">
        <f t="array" ref="M98:M107">INDEX($K801:$M810,,MATCH(M$20,Operators.list,0))</f>
        <v>Spare</v>
      </c>
      <c r="N98"/>
      <c r="O98"/>
      <c r="P98"/>
      <c r="Q98"/>
      <c r="R98"/>
      <c r="S98"/>
      <c r="T98"/>
      <c r="U98"/>
      <c r="V98"/>
      <c r="W98"/>
      <c r="X98"/>
      <c r="Y98"/>
      <c r="Z98"/>
      <c r="AA98"/>
      <c r="AB98"/>
      <c r="AC98"/>
      <c r="AD98"/>
      <c r="AE98"/>
    </row>
    <row r="99" spans="1:31" s="631" customFormat="1" hidden="1" outlineLevel="1" x14ac:dyDescent="0.2">
      <c r="A99" s="632"/>
      <c r="B99" s="632"/>
      <c r="C99" s="636"/>
      <c r="D99" s="657"/>
      <c r="E99" s="670" t="str">
        <v>Denso</v>
      </c>
      <c r="G99" s="674" t="str">
        <f t="shared" si="9"/>
        <v>1700/2100 (AWS)</v>
      </c>
      <c r="K99" s="675" t="str">
        <v>1700/2100 (AWS)</v>
      </c>
      <c r="L99" s="675" t="str">
        <v>Spare</v>
      </c>
      <c r="M99" s="675" t="str">
        <v>Spare</v>
      </c>
      <c r="N99"/>
      <c r="O99"/>
      <c r="P99"/>
      <c r="Q99"/>
      <c r="R99"/>
      <c r="S99"/>
      <c r="T99"/>
      <c r="U99"/>
      <c r="V99"/>
      <c r="W99"/>
      <c r="X99"/>
      <c r="Y99"/>
      <c r="Z99"/>
      <c r="AA99"/>
      <c r="AB99"/>
      <c r="AC99"/>
      <c r="AD99"/>
      <c r="AE99"/>
    </row>
    <row r="100" spans="1:31" s="631" customFormat="1" hidden="1" outlineLevel="1" x14ac:dyDescent="0.2">
      <c r="A100" s="632"/>
      <c r="B100" s="632"/>
      <c r="C100" s="636"/>
      <c r="D100" s="657"/>
      <c r="E100" s="670" t="str">
        <v>Poco denso</v>
      </c>
      <c r="G100" s="674" t="str">
        <f t="shared" si="9"/>
        <v>1700/2100 (AWS)</v>
      </c>
      <c r="K100" s="675" t="str">
        <v>1700/2100 (AWS)</v>
      </c>
      <c r="L100" s="675" t="str">
        <v>Spare</v>
      </c>
      <c r="M100" s="675" t="str">
        <v>Spare</v>
      </c>
      <c r="N100"/>
      <c r="O100"/>
      <c r="P100"/>
      <c r="Q100"/>
      <c r="R100"/>
      <c r="S100"/>
      <c r="T100"/>
      <c r="U100"/>
      <c r="V100"/>
      <c r="W100"/>
      <c r="X100"/>
      <c r="Y100"/>
      <c r="Z100"/>
      <c r="AA100"/>
      <c r="AB100"/>
      <c r="AC100"/>
      <c r="AD100"/>
      <c r="AE100"/>
    </row>
    <row r="101" spans="1:31" s="631" customFormat="1" hidden="1" outlineLevel="1" x14ac:dyDescent="0.2">
      <c r="A101" s="632"/>
      <c r="B101" s="632"/>
      <c r="C101" s="636"/>
      <c r="D101" s="657"/>
      <c r="E101" s="670" t="str">
        <v>Otro</v>
      </c>
      <c r="G101" s="674" t="str">
        <f t="shared" si="9"/>
        <v>1700/2100 (AWS)</v>
      </c>
      <c r="K101" s="675" t="str">
        <v>1700/2100 (AWS)</v>
      </c>
      <c r="L101" s="675" t="str">
        <v>Spare</v>
      </c>
      <c r="M101" s="675" t="str">
        <v>Spare</v>
      </c>
      <c r="N101"/>
      <c r="O101"/>
      <c r="P101"/>
      <c r="Q101"/>
      <c r="R101"/>
      <c r="S101"/>
      <c r="T101"/>
      <c r="U101"/>
      <c r="V101"/>
      <c r="W101"/>
      <c r="X101"/>
      <c r="Y101"/>
      <c r="Z101"/>
      <c r="AA101"/>
      <c r="AB101"/>
      <c r="AC101"/>
      <c r="AD101"/>
      <c r="AE101"/>
    </row>
    <row r="102" spans="1:31" s="631" customFormat="1" hidden="1" outlineLevel="1" x14ac:dyDescent="0.2">
      <c r="A102" s="632"/>
      <c r="B102" s="632"/>
      <c r="C102" s="636"/>
      <c r="D102" s="657"/>
      <c r="E102" s="670" t="str">
        <v>Microceldas</v>
      </c>
      <c r="G102" s="674" t="str">
        <f t="shared" si="9"/>
        <v>1700/2100 (AWS)</v>
      </c>
      <c r="K102" s="675" t="str">
        <v>1700/2100 (AWS)</v>
      </c>
      <c r="L102" s="675" t="str">
        <v>Spare</v>
      </c>
      <c r="M102" s="675" t="str">
        <v>Spare</v>
      </c>
      <c r="N102"/>
      <c r="O102"/>
      <c r="P102"/>
      <c r="Q102"/>
      <c r="R102"/>
      <c r="S102"/>
      <c r="T102"/>
      <c r="U102"/>
      <c r="V102"/>
      <c r="W102"/>
      <c r="X102"/>
      <c r="Y102"/>
      <c r="Z102"/>
      <c r="AA102"/>
      <c r="AB102"/>
      <c r="AC102"/>
      <c r="AD102"/>
      <c r="AE102"/>
    </row>
    <row r="103" spans="1:31" s="631" customFormat="1" hidden="1" outlineLevel="1" x14ac:dyDescent="0.2">
      <c r="A103" s="632"/>
      <c r="B103" s="632"/>
      <c r="C103" s="636"/>
      <c r="D103" s="657"/>
      <c r="E103" s="670" t="str">
        <v>spare</v>
      </c>
      <c r="G103" s="674" t="str">
        <f t="shared" si="9"/>
        <v>1700/2100 (AWS)</v>
      </c>
      <c r="K103" s="675" t="str">
        <v>1700/2100 (AWS)</v>
      </c>
      <c r="L103" s="675" t="str">
        <v>Spare</v>
      </c>
      <c r="M103" s="675" t="str">
        <v>Spare</v>
      </c>
      <c r="N103"/>
      <c r="O103"/>
      <c r="P103"/>
      <c r="Q103"/>
      <c r="R103"/>
      <c r="S103"/>
      <c r="T103"/>
      <c r="U103"/>
      <c r="V103"/>
      <c r="W103"/>
      <c r="X103"/>
      <c r="Y103"/>
      <c r="Z103"/>
      <c r="AA103"/>
      <c r="AB103"/>
      <c r="AC103"/>
      <c r="AD103"/>
      <c r="AE103"/>
    </row>
    <row r="104" spans="1:31" s="631" customFormat="1" hidden="1" outlineLevel="1" x14ac:dyDescent="0.2">
      <c r="A104" s="632"/>
      <c r="B104" s="632"/>
      <c r="C104" s="636"/>
      <c r="D104" s="657"/>
      <c r="E104" s="670" t="str">
        <v>spare</v>
      </c>
      <c r="G104" s="674" t="str">
        <f t="shared" si="9"/>
        <v>1700/2100 (AWS)</v>
      </c>
      <c r="K104" s="675" t="str">
        <v>1700/2100 (AWS)</v>
      </c>
      <c r="L104" s="675" t="str">
        <v>Spare</v>
      </c>
      <c r="M104" s="675" t="str">
        <v>Spare</v>
      </c>
      <c r="N104"/>
      <c r="O104"/>
      <c r="P104"/>
      <c r="Q104"/>
      <c r="R104"/>
      <c r="S104"/>
      <c r="T104"/>
      <c r="U104"/>
      <c r="V104"/>
      <c r="W104"/>
      <c r="X104"/>
      <c r="Y104"/>
      <c r="Z104"/>
      <c r="AA104"/>
      <c r="AB104"/>
      <c r="AC104"/>
      <c r="AD104"/>
      <c r="AE104"/>
    </row>
    <row r="105" spans="1:31" s="631" customFormat="1" hidden="1" outlineLevel="1" x14ac:dyDescent="0.2">
      <c r="A105" s="632"/>
      <c r="B105" s="632"/>
      <c r="C105" s="636"/>
      <c r="D105" s="657"/>
      <c r="E105" s="670" t="str">
        <v>spare</v>
      </c>
      <c r="G105" s="674" t="str">
        <f t="shared" si="9"/>
        <v>1700/2100 (AWS)</v>
      </c>
      <c r="K105" s="675" t="str">
        <v>1700/2100 (AWS)</v>
      </c>
      <c r="L105" s="675" t="str">
        <v>Spare</v>
      </c>
      <c r="M105" s="675" t="str">
        <v>Spare</v>
      </c>
      <c r="N105"/>
      <c r="O105"/>
      <c r="P105"/>
      <c r="Q105"/>
      <c r="R105"/>
      <c r="S105"/>
      <c r="T105"/>
      <c r="U105"/>
      <c r="V105"/>
      <c r="W105"/>
      <c r="X105"/>
      <c r="Y105"/>
      <c r="Z105"/>
      <c r="AA105"/>
      <c r="AB105"/>
      <c r="AC105"/>
      <c r="AD105"/>
      <c r="AE105"/>
    </row>
    <row r="106" spans="1:31" s="631" customFormat="1" hidden="1" outlineLevel="1" x14ac:dyDescent="0.2">
      <c r="A106" s="632"/>
      <c r="B106" s="632"/>
      <c r="C106" s="636"/>
      <c r="D106" s="657"/>
      <c r="E106" s="670" t="str">
        <v>spare</v>
      </c>
      <c r="G106" s="674" t="str">
        <f t="shared" si="9"/>
        <v>1700/2100 (AWS)</v>
      </c>
      <c r="K106" s="675" t="str">
        <v>1700/2100 (AWS)</v>
      </c>
      <c r="L106" s="675" t="str">
        <v>Spare</v>
      </c>
      <c r="M106" s="675" t="str">
        <v>Spare</v>
      </c>
      <c r="N106"/>
      <c r="O106"/>
      <c r="P106"/>
      <c r="Q106"/>
      <c r="R106"/>
      <c r="S106"/>
      <c r="T106"/>
      <c r="U106"/>
      <c r="V106"/>
      <c r="W106"/>
      <c r="X106"/>
      <c r="Y106"/>
      <c r="Z106"/>
      <c r="AA106"/>
      <c r="AB106"/>
      <c r="AC106"/>
      <c r="AD106"/>
      <c r="AE106"/>
    </row>
    <row r="107" spans="1:31" s="631" customFormat="1" collapsed="1" x14ac:dyDescent="0.2">
      <c r="E107" s="670" t="str">
        <v>spare</v>
      </c>
      <c r="G107" s="674" t="str">
        <f t="shared" si="9"/>
        <v>1700/2100 (AWS)</v>
      </c>
      <c r="K107" s="675" t="str">
        <v>1700/2100 (AWS)</v>
      </c>
      <c r="L107" s="675" t="str">
        <v>Spare</v>
      </c>
      <c r="M107" s="675" t="str">
        <v>Spare</v>
      </c>
      <c r="N107"/>
      <c r="O107"/>
      <c r="P107"/>
      <c r="Q107"/>
      <c r="R107"/>
      <c r="S107"/>
      <c r="T107"/>
      <c r="U107"/>
      <c r="V107"/>
      <c r="W107"/>
      <c r="X107"/>
      <c r="Y107"/>
      <c r="Z107"/>
      <c r="AA107"/>
      <c r="AB107"/>
      <c r="AC107"/>
      <c r="AD107"/>
      <c r="AE107"/>
    </row>
    <row r="108" spans="1:31" x14ac:dyDescent="0.2">
      <c r="A108" s="631"/>
      <c r="B108" s="631"/>
      <c r="C108" s="636" t="s">
        <v>1612</v>
      </c>
      <c r="F108" s="631"/>
      <c r="G108" s="634" t="s">
        <v>1637</v>
      </c>
      <c r="H108" s="631"/>
      <c r="I108" s="631"/>
      <c r="J108" s="631"/>
      <c r="K108" s="631"/>
      <c r="L108" s="631"/>
      <c r="M108" s="631"/>
      <c r="N108"/>
      <c r="O108"/>
      <c r="P108"/>
      <c r="Q108"/>
      <c r="R108"/>
    </row>
    <row r="109" spans="1:31" x14ac:dyDescent="0.2">
      <c r="A109" s="631"/>
      <c r="C109" s="636"/>
      <c r="F109" s="631"/>
      <c r="H109" s="631"/>
      <c r="I109" s="631"/>
      <c r="J109" s="631"/>
      <c r="K109" s="631"/>
      <c r="L109" s="631"/>
      <c r="M109" s="631"/>
      <c r="N109"/>
      <c r="O109"/>
      <c r="P109"/>
      <c r="Q109"/>
      <c r="R109"/>
    </row>
    <row r="110" spans="1:31" x14ac:dyDescent="0.2">
      <c r="A110" s="631"/>
      <c r="C110" s="636"/>
      <c r="D110" s="657" t="s">
        <v>118</v>
      </c>
      <c r="F110" s="631"/>
      <c r="H110" s="631"/>
      <c r="I110" s="631"/>
      <c r="J110" s="631"/>
      <c r="K110" s="631"/>
      <c r="L110" s="631"/>
      <c r="M110" s="631"/>
      <c r="N110"/>
      <c r="O110"/>
      <c r="P110"/>
      <c r="Q110"/>
      <c r="R110"/>
    </row>
    <row r="111" spans="1:31" x14ac:dyDescent="0.2">
      <c r="A111" s="631"/>
      <c r="C111" s="636"/>
      <c r="D111" s="657"/>
      <c r="E111" s="670" t="str">
        <f t="array" ref="E111:E120">Geotypes</f>
        <v>Muy denso</v>
      </c>
      <c r="F111" s="631"/>
      <c r="G111" s="674">
        <f t="shared" ref="G111:G120" si="10">INDEX(K111:M111,,MATCH(CTRL.scenario.selected,Scenario.list,0))</f>
        <v>1900</v>
      </c>
      <c r="H111" s="631"/>
      <c r="I111" s="631"/>
      <c r="J111" s="631"/>
      <c r="K111" s="675">
        <f t="array" ref="K111:K120">INDEX($K817:$M826,,MATCH(K$20,Operators.list,0))</f>
        <v>1900</v>
      </c>
      <c r="L111" s="675" t="str">
        <f t="array" ref="L111:L120">INDEX($K817:$M826,,MATCH(L$20,Operators.list,0))</f>
        <v>Spare</v>
      </c>
      <c r="M111" s="675" t="str">
        <f t="array" ref="M111:M120">INDEX($K817:$M826,,MATCH(M$20,Operators.list,0))</f>
        <v>Spare</v>
      </c>
      <c r="N111"/>
      <c r="O111"/>
      <c r="P111"/>
      <c r="Q111"/>
      <c r="R111"/>
    </row>
    <row r="112" spans="1:31" hidden="1" outlineLevel="1" x14ac:dyDescent="0.2">
      <c r="A112" s="631"/>
      <c r="C112" s="636"/>
      <c r="D112" s="657"/>
      <c r="E112" s="670" t="str">
        <v>Denso</v>
      </c>
      <c r="F112" s="631"/>
      <c r="G112" s="674">
        <f t="shared" si="10"/>
        <v>1900</v>
      </c>
      <c r="H112" s="631"/>
      <c r="I112" s="631"/>
      <c r="J112" s="631"/>
      <c r="K112" s="675">
        <v>1900</v>
      </c>
      <c r="L112" s="675" t="str">
        <v>Spare</v>
      </c>
      <c r="M112" s="675" t="str">
        <v>Spare</v>
      </c>
      <c r="N112"/>
      <c r="O112"/>
      <c r="P112"/>
      <c r="Q112"/>
      <c r="R112"/>
    </row>
    <row r="113" spans="1:18" hidden="1" outlineLevel="1" x14ac:dyDescent="0.2">
      <c r="A113" s="631"/>
      <c r="C113" s="636"/>
      <c r="D113" s="657"/>
      <c r="E113" s="670" t="str">
        <v>Poco denso</v>
      </c>
      <c r="F113" s="631"/>
      <c r="G113" s="674">
        <f t="shared" si="10"/>
        <v>1900</v>
      </c>
      <c r="H113" s="631"/>
      <c r="I113" s="631"/>
      <c r="J113" s="631"/>
      <c r="K113" s="675">
        <v>1900</v>
      </c>
      <c r="L113" s="675" t="str">
        <v>Spare</v>
      </c>
      <c r="M113" s="675" t="str">
        <v>Spare</v>
      </c>
      <c r="N113"/>
      <c r="O113"/>
      <c r="P113"/>
      <c r="Q113"/>
      <c r="R113"/>
    </row>
    <row r="114" spans="1:18" hidden="1" outlineLevel="1" x14ac:dyDescent="0.2">
      <c r="A114" s="631"/>
      <c r="C114" s="636"/>
      <c r="D114" s="657"/>
      <c r="E114" s="670" t="str">
        <v>Otro</v>
      </c>
      <c r="F114" s="631"/>
      <c r="G114" s="674">
        <f t="shared" si="10"/>
        <v>1900</v>
      </c>
      <c r="H114" s="631"/>
      <c r="I114" s="631"/>
      <c r="J114" s="631"/>
      <c r="K114" s="675">
        <v>1900</v>
      </c>
      <c r="L114" s="675" t="str">
        <v>Spare</v>
      </c>
      <c r="M114" s="675" t="str">
        <v>Spare</v>
      </c>
      <c r="N114"/>
      <c r="O114"/>
      <c r="P114"/>
      <c r="Q114"/>
      <c r="R114"/>
    </row>
    <row r="115" spans="1:18" hidden="1" outlineLevel="1" x14ac:dyDescent="0.2">
      <c r="A115" s="631"/>
      <c r="C115" s="636"/>
      <c r="D115" s="657"/>
      <c r="E115" s="670" t="str">
        <v>Microceldas</v>
      </c>
      <c r="F115" s="631"/>
      <c r="G115" s="674">
        <f t="shared" si="10"/>
        <v>1900</v>
      </c>
      <c r="H115" s="631"/>
      <c r="I115" s="631"/>
      <c r="J115" s="631"/>
      <c r="K115" s="675">
        <v>1900</v>
      </c>
      <c r="L115" s="675" t="str">
        <v>Spare</v>
      </c>
      <c r="M115" s="675" t="str">
        <v>Spare</v>
      </c>
      <c r="N115"/>
      <c r="O115"/>
      <c r="P115"/>
      <c r="Q115"/>
      <c r="R115"/>
    </row>
    <row r="116" spans="1:18" hidden="1" outlineLevel="1" x14ac:dyDescent="0.2">
      <c r="A116" s="631"/>
      <c r="C116" s="636"/>
      <c r="D116" s="657"/>
      <c r="E116" s="670" t="str">
        <v>spare</v>
      </c>
      <c r="F116" s="631"/>
      <c r="G116" s="674" t="str">
        <f t="shared" si="10"/>
        <v>Spare</v>
      </c>
      <c r="H116" s="631"/>
      <c r="I116" s="631"/>
      <c r="J116" s="631"/>
      <c r="K116" s="675" t="str">
        <v>Spare</v>
      </c>
      <c r="L116" s="675" t="str">
        <v>Spare</v>
      </c>
      <c r="M116" s="675" t="str">
        <v>Spare</v>
      </c>
      <c r="N116"/>
      <c r="O116"/>
      <c r="P116"/>
      <c r="Q116"/>
      <c r="R116"/>
    </row>
    <row r="117" spans="1:18" hidden="1" outlineLevel="1" x14ac:dyDescent="0.2">
      <c r="A117" s="631"/>
      <c r="C117" s="636"/>
      <c r="D117" s="657"/>
      <c r="E117" s="670" t="str">
        <v>spare</v>
      </c>
      <c r="F117" s="631"/>
      <c r="G117" s="674" t="str">
        <f t="shared" si="10"/>
        <v>Spare</v>
      </c>
      <c r="H117" s="631"/>
      <c r="I117" s="631"/>
      <c r="J117" s="631"/>
      <c r="K117" s="675" t="str">
        <v>Spare</v>
      </c>
      <c r="L117" s="675" t="str">
        <v>Spare</v>
      </c>
      <c r="M117" s="675" t="str">
        <v>Spare</v>
      </c>
      <c r="N117"/>
      <c r="O117"/>
      <c r="P117"/>
      <c r="Q117"/>
      <c r="R117"/>
    </row>
    <row r="118" spans="1:18" hidden="1" outlineLevel="1" x14ac:dyDescent="0.2">
      <c r="A118" s="631"/>
      <c r="C118" s="636"/>
      <c r="D118" s="657"/>
      <c r="E118" s="670" t="str">
        <v>spare</v>
      </c>
      <c r="F118" s="631"/>
      <c r="G118" s="674" t="str">
        <f t="shared" si="10"/>
        <v>Spare</v>
      </c>
      <c r="H118" s="631"/>
      <c r="I118" s="631"/>
      <c r="J118" s="631"/>
      <c r="K118" s="675" t="str">
        <v>Spare</v>
      </c>
      <c r="L118" s="675" t="str">
        <v>Spare</v>
      </c>
      <c r="M118" s="675" t="str">
        <v>Spare</v>
      </c>
      <c r="N118"/>
      <c r="O118"/>
      <c r="P118"/>
      <c r="Q118"/>
      <c r="R118"/>
    </row>
    <row r="119" spans="1:18" hidden="1" outlineLevel="1" x14ac:dyDescent="0.2">
      <c r="A119" s="631"/>
      <c r="C119" s="636"/>
      <c r="D119" s="657"/>
      <c r="E119" s="670" t="str">
        <v>spare</v>
      </c>
      <c r="F119" s="631"/>
      <c r="G119" s="674" t="str">
        <f t="shared" si="10"/>
        <v>Spare</v>
      </c>
      <c r="H119" s="631"/>
      <c r="I119" s="631"/>
      <c r="J119" s="631"/>
      <c r="K119" s="675" t="str">
        <v>Spare</v>
      </c>
      <c r="L119" s="675" t="str">
        <v>Spare</v>
      </c>
      <c r="M119" s="675" t="str">
        <v>Spare</v>
      </c>
      <c r="N119"/>
      <c r="O119"/>
      <c r="P119"/>
      <c r="Q119"/>
      <c r="R119"/>
    </row>
    <row r="120" spans="1:18" collapsed="1" x14ac:dyDescent="0.2">
      <c r="A120" s="631"/>
      <c r="E120" s="670" t="str">
        <v>spare</v>
      </c>
      <c r="F120" s="631"/>
      <c r="G120" s="674" t="str">
        <f t="shared" si="10"/>
        <v>Spare</v>
      </c>
      <c r="H120" s="631"/>
      <c r="I120" s="631"/>
      <c r="J120" s="631"/>
      <c r="K120" s="675" t="str">
        <v>Spare</v>
      </c>
      <c r="L120" s="675" t="str">
        <v>Spare</v>
      </c>
      <c r="M120" s="675" t="str">
        <v>Spare</v>
      </c>
      <c r="N120"/>
      <c r="O120"/>
      <c r="P120"/>
      <c r="Q120"/>
      <c r="R120"/>
    </row>
    <row r="121" spans="1:18" x14ac:dyDescent="0.2">
      <c r="A121" s="631"/>
      <c r="C121" s="636"/>
      <c r="D121" s="657" t="s">
        <v>117</v>
      </c>
      <c r="F121" s="631"/>
      <c r="G121" s="634" t="s">
        <v>1638</v>
      </c>
      <c r="H121" s="631"/>
      <c r="I121" s="631"/>
      <c r="J121" s="631"/>
      <c r="K121" s="631"/>
      <c r="L121" s="631"/>
      <c r="M121" s="631"/>
      <c r="N121"/>
      <c r="O121"/>
      <c r="P121"/>
      <c r="Q121"/>
      <c r="R121"/>
    </row>
    <row r="122" spans="1:18" x14ac:dyDescent="0.2">
      <c r="A122" s="631"/>
      <c r="C122" s="636"/>
      <c r="D122" s="657"/>
      <c r="E122" s="670" t="str">
        <f t="array" ref="E122:E131">Geotypes</f>
        <v>Muy denso</v>
      </c>
      <c r="F122" s="631"/>
      <c r="G122" s="674">
        <f t="shared" ref="G122:G131" si="11">INDEX(K122:M122,,MATCH(CTRL.scenario.selected,Scenario.list,0))</f>
        <v>1900</v>
      </c>
      <c r="H122" s="631"/>
      <c r="I122" s="631"/>
      <c r="J122" s="631"/>
      <c r="K122" s="675">
        <f t="array" ref="K122:K131">INDEX($K828:$M837,,MATCH(K$20,Operators.list,0))</f>
        <v>1900</v>
      </c>
      <c r="L122" s="675" t="str">
        <f t="array" ref="L122:L131">INDEX($K828:$M837,,MATCH(L$20,Operators.list,0))</f>
        <v>Spare</v>
      </c>
      <c r="M122" s="675" t="str">
        <f t="array" ref="M122:M131">INDEX($K828:$M837,,MATCH(M$20,Operators.list,0))</f>
        <v>Spare</v>
      </c>
      <c r="N122"/>
      <c r="O122"/>
      <c r="P122"/>
      <c r="Q122"/>
      <c r="R122"/>
    </row>
    <row r="123" spans="1:18" hidden="1" outlineLevel="1" x14ac:dyDescent="0.2">
      <c r="A123" s="631"/>
      <c r="C123" s="636"/>
      <c r="D123" s="657"/>
      <c r="E123" s="670" t="str">
        <v>Denso</v>
      </c>
      <c r="F123" s="631"/>
      <c r="G123" s="674">
        <f t="shared" si="11"/>
        <v>1900</v>
      </c>
      <c r="H123" s="631"/>
      <c r="I123" s="631"/>
      <c r="J123" s="631"/>
      <c r="K123" s="675">
        <v>1900</v>
      </c>
      <c r="L123" s="675" t="str">
        <v>Spare</v>
      </c>
      <c r="M123" s="675" t="str">
        <v>Spare</v>
      </c>
      <c r="N123"/>
      <c r="O123"/>
      <c r="P123"/>
      <c r="Q123"/>
      <c r="R123"/>
    </row>
    <row r="124" spans="1:18" hidden="1" outlineLevel="1" x14ac:dyDescent="0.2">
      <c r="A124" s="631"/>
      <c r="C124" s="636"/>
      <c r="D124" s="657"/>
      <c r="E124" s="670" t="str">
        <v>Poco denso</v>
      </c>
      <c r="F124" s="631"/>
      <c r="G124" s="674">
        <f t="shared" si="11"/>
        <v>1900</v>
      </c>
      <c r="H124" s="631"/>
      <c r="I124" s="631"/>
      <c r="J124" s="631"/>
      <c r="K124" s="675">
        <v>1900</v>
      </c>
      <c r="L124" s="675" t="str">
        <v>Spare</v>
      </c>
      <c r="M124" s="675" t="str">
        <v>Spare</v>
      </c>
      <c r="N124"/>
      <c r="O124"/>
      <c r="P124"/>
      <c r="Q124"/>
      <c r="R124"/>
    </row>
    <row r="125" spans="1:18" hidden="1" outlineLevel="1" x14ac:dyDescent="0.2">
      <c r="A125" s="631"/>
      <c r="C125" s="636"/>
      <c r="D125" s="657"/>
      <c r="E125" s="670" t="str">
        <v>Otro</v>
      </c>
      <c r="F125" s="631"/>
      <c r="G125" s="674">
        <f t="shared" si="11"/>
        <v>1900</v>
      </c>
      <c r="H125" s="631"/>
      <c r="I125" s="631"/>
      <c r="J125" s="631"/>
      <c r="K125" s="675">
        <v>1900</v>
      </c>
      <c r="L125" s="675" t="str">
        <v>Spare</v>
      </c>
      <c r="M125" s="675" t="str">
        <v>Spare</v>
      </c>
      <c r="N125"/>
      <c r="O125"/>
      <c r="P125"/>
      <c r="Q125"/>
      <c r="R125"/>
    </row>
    <row r="126" spans="1:18" hidden="1" outlineLevel="1" x14ac:dyDescent="0.2">
      <c r="A126" s="631"/>
      <c r="C126" s="636"/>
      <c r="D126" s="657"/>
      <c r="E126" s="670" t="str">
        <v>Microceldas</v>
      </c>
      <c r="F126" s="631"/>
      <c r="G126" s="674">
        <f t="shared" si="11"/>
        <v>1900</v>
      </c>
      <c r="H126" s="631"/>
      <c r="I126" s="631"/>
      <c r="J126" s="631"/>
      <c r="K126" s="675">
        <v>1900</v>
      </c>
      <c r="L126" s="675" t="str">
        <v>Spare</v>
      </c>
      <c r="M126" s="675" t="str">
        <v>Spare</v>
      </c>
      <c r="N126"/>
      <c r="O126"/>
      <c r="P126"/>
      <c r="Q126"/>
      <c r="R126"/>
    </row>
    <row r="127" spans="1:18" hidden="1" outlineLevel="1" x14ac:dyDescent="0.2">
      <c r="A127" s="631"/>
      <c r="C127" s="636"/>
      <c r="D127" s="657"/>
      <c r="E127" s="670" t="str">
        <v>spare</v>
      </c>
      <c r="F127" s="631"/>
      <c r="G127" s="674" t="str">
        <f t="shared" si="11"/>
        <v>Spare</v>
      </c>
      <c r="H127" s="631"/>
      <c r="I127" s="631"/>
      <c r="J127" s="631"/>
      <c r="K127" s="675" t="str">
        <v>Spare</v>
      </c>
      <c r="L127" s="675" t="str">
        <v>Spare</v>
      </c>
      <c r="M127" s="675" t="str">
        <v>Spare</v>
      </c>
      <c r="N127"/>
      <c r="O127"/>
      <c r="P127"/>
      <c r="Q127"/>
      <c r="R127"/>
    </row>
    <row r="128" spans="1:18" hidden="1" outlineLevel="1" x14ac:dyDescent="0.2">
      <c r="A128" s="631"/>
      <c r="C128" s="636"/>
      <c r="D128" s="657"/>
      <c r="E128" s="670" t="str">
        <v>spare</v>
      </c>
      <c r="F128" s="631"/>
      <c r="G128" s="674" t="str">
        <f t="shared" si="11"/>
        <v>Spare</v>
      </c>
      <c r="H128" s="631"/>
      <c r="I128" s="631"/>
      <c r="J128" s="631"/>
      <c r="K128" s="675" t="str">
        <v>Spare</v>
      </c>
      <c r="L128" s="675" t="str">
        <v>Spare</v>
      </c>
      <c r="M128" s="675" t="str">
        <v>Spare</v>
      </c>
      <c r="N128"/>
      <c r="O128"/>
      <c r="P128"/>
      <c r="Q128"/>
      <c r="R128"/>
    </row>
    <row r="129" spans="1:18" hidden="1" outlineLevel="1" x14ac:dyDescent="0.2">
      <c r="A129" s="631"/>
      <c r="C129" s="636"/>
      <c r="D129" s="657"/>
      <c r="E129" s="670" t="str">
        <v>spare</v>
      </c>
      <c r="F129" s="631"/>
      <c r="G129" s="674" t="str">
        <f t="shared" si="11"/>
        <v>Spare</v>
      </c>
      <c r="H129" s="631"/>
      <c r="I129" s="631"/>
      <c r="J129" s="631"/>
      <c r="K129" s="675" t="str">
        <v>Spare</v>
      </c>
      <c r="L129" s="675" t="str">
        <v>Spare</v>
      </c>
      <c r="M129" s="675" t="str">
        <v>Spare</v>
      </c>
      <c r="N129"/>
      <c r="O129"/>
      <c r="P129"/>
      <c r="Q129"/>
      <c r="R129"/>
    </row>
    <row r="130" spans="1:18" hidden="1" outlineLevel="1" x14ac:dyDescent="0.2">
      <c r="A130" s="631"/>
      <c r="C130" s="636"/>
      <c r="D130" s="657"/>
      <c r="E130" s="670" t="str">
        <v>spare</v>
      </c>
      <c r="F130" s="631"/>
      <c r="G130" s="674" t="str">
        <f t="shared" si="11"/>
        <v>Spare</v>
      </c>
      <c r="H130" s="631"/>
      <c r="I130" s="631"/>
      <c r="J130" s="631"/>
      <c r="K130" s="675" t="str">
        <v>Spare</v>
      </c>
      <c r="L130" s="675" t="str">
        <v>Spare</v>
      </c>
      <c r="M130" s="675" t="str">
        <v>Spare</v>
      </c>
      <c r="N130"/>
      <c r="O130"/>
      <c r="P130"/>
      <c r="Q130"/>
      <c r="R130"/>
    </row>
    <row r="131" spans="1:18" collapsed="1" x14ac:dyDescent="0.2">
      <c r="A131" s="631"/>
      <c r="E131" s="670" t="str">
        <v>spare</v>
      </c>
      <c r="F131" s="631"/>
      <c r="G131" s="674" t="str">
        <f t="shared" si="11"/>
        <v>Spare</v>
      </c>
      <c r="H131" s="631"/>
      <c r="I131" s="631"/>
      <c r="J131" s="631"/>
      <c r="K131" s="675" t="str">
        <v>Spare</v>
      </c>
      <c r="L131" s="675" t="str">
        <v>Spare</v>
      </c>
      <c r="M131" s="675" t="str">
        <v>Spare</v>
      </c>
      <c r="N131"/>
      <c r="O131"/>
      <c r="P131"/>
      <c r="Q131"/>
      <c r="R131"/>
    </row>
    <row r="132" spans="1:18" x14ac:dyDescent="0.2">
      <c r="A132" s="631"/>
      <c r="C132" s="636"/>
      <c r="D132" s="657" t="s">
        <v>421</v>
      </c>
      <c r="F132" s="631"/>
      <c r="G132" s="634" t="s">
        <v>1639</v>
      </c>
      <c r="H132" s="631"/>
      <c r="I132" s="631"/>
      <c r="J132" s="631"/>
      <c r="K132" s="631"/>
      <c r="L132" s="631"/>
      <c r="M132" s="631"/>
      <c r="N132"/>
      <c r="O132"/>
      <c r="P132"/>
      <c r="Q132"/>
      <c r="R132"/>
    </row>
    <row r="133" spans="1:18" x14ac:dyDescent="0.2">
      <c r="A133" s="631"/>
      <c r="C133" s="636"/>
      <c r="D133" s="676" t="s">
        <v>998</v>
      </c>
      <c r="F133" s="631"/>
      <c r="H133" s="631"/>
      <c r="I133" s="631"/>
      <c r="J133" s="631"/>
      <c r="K133" s="631"/>
      <c r="L133" s="631"/>
      <c r="M133" s="631"/>
      <c r="N133"/>
      <c r="O133"/>
      <c r="P133"/>
      <c r="Q133"/>
      <c r="R133"/>
    </row>
    <row r="134" spans="1:18" x14ac:dyDescent="0.2">
      <c r="A134" s="631"/>
      <c r="C134" s="636"/>
      <c r="D134" s="657"/>
      <c r="E134" s="670" t="str">
        <f t="array" ref="E134:E143">Geotypes</f>
        <v>Muy denso</v>
      </c>
      <c r="F134" s="631"/>
      <c r="G134" s="674" t="str">
        <f t="shared" ref="G134:G143" si="12">INDEX(K134:M134,,MATCH(CTRL.scenario.selected,Scenario.list,0))</f>
        <v>Spare</v>
      </c>
      <c r="H134" s="631"/>
      <c r="I134" s="631"/>
      <c r="J134" s="631"/>
      <c r="K134" s="675" t="str">
        <f t="array" ref="K134:K143">INDEX($K840:$M849,,MATCH(K$20,Operators.list,0))</f>
        <v>Spare</v>
      </c>
      <c r="L134" s="675" t="str">
        <f t="array" ref="L134:L143">INDEX($K840:$M849,,MATCH(L$20,Operators.list,0))</f>
        <v>Spare</v>
      </c>
      <c r="M134" s="675" t="str">
        <f t="array" ref="M134:M143">INDEX($K840:$M849,,MATCH(M$20,Operators.list,0))</f>
        <v>Spare</v>
      </c>
      <c r="N134"/>
      <c r="O134"/>
      <c r="P134"/>
      <c r="Q134"/>
      <c r="R134"/>
    </row>
    <row r="135" spans="1:18" hidden="1" outlineLevel="1" x14ac:dyDescent="0.2">
      <c r="A135" s="631"/>
      <c r="C135" s="636"/>
      <c r="D135" s="657"/>
      <c r="E135" s="670" t="str">
        <v>Denso</v>
      </c>
      <c r="F135" s="631"/>
      <c r="G135" s="674" t="str">
        <f t="shared" si="12"/>
        <v>Spare</v>
      </c>
      <c r="H135" s="631"/>
      <c r="I135" s="631"/>
      <c r="J135" s="631"/>
      <c r="K135" s="675" t="str">
        <v>Spare</v>
      </c>
      <c r="L135" s="675" t="str">
        <v>Spare</v>
      </c>
      <c r="M135" s="675" t="str">
        <v>Spare</v>
      </c>
      <c r="N135"/>
      <c r="O135"/>
      <c r="P135"/>
      <c r="Q135"/>
      <c r="R135"/>
    </row>
    <row r="136" spans="1:18" hidden="1" outlineLevel="1" x14ac:dyDescent="0.2">
      <c r="A136" s="631"/>
      <c r="C136" s="636"/>
      <c r="D136" s="657"/>
      <c r="E136" s="670" t="str">
        <v>Poco denso</v>
      </c>
      <c r="F136" s="631"/>
      <c r="G136" s="674" t="str">
        <f t="shared" si="12"/>
        <v>Spare</v>
      </c>
      <c r="H136" s="631"/>
      <c r="I136" s="631"/>
      <c r="J136" s="631"/>
      <c r="K136" s="675" t="str">
        <v>Spare</v>
      </c>
      <c r="L136" s="675" t="str">
        <v>Spare</v>
      </c>
      <c r="M136" s="675" t="str">
        <v>Spare</v>
      </c>
      <c r="N136"/>
      <c r="O136"/>
      <c r="P136"/>
      <c r="Q136"/>
      <c r="R136"/>
    </row>
    <row r="137" spans="1:18" hidden="1" outlineLevel="1" x14ac:dyDescent="0.2">
      <c r="A137" s="631"/>
      <c r="C137" s="636"/>
      <c r="D137" s="657"/>
      <c r="E137" s="670" t="str">
        <v>Otro</v>
      </c>
      <c r="F137" s="631"/>
      <c r="G137" s="674" t="str">
        <f t="shared" si="12"/>
        <v>Spare</v>
      </c>
      <c r="H137" s="631"/>
      <c r="I137" s="631"/>
      <c r="J137" s="631"/>
      <c r="K137" s="675" t="str">
        <v>Spare</v>
      </c>
      <c r="L137" s="675" t="str">
        <v>Spare</v>
      </c>
      <c r="M137" s="675" t="str">
        <v>Spare</v>
      </c>
      <c r="N137"/>
      <c r="O137"/>
      <c r="P137"/>
      <c r="Q137"/>
      <c r="R137"/>
    </row>
    <row r="138" spans="1:18" hidden="1" outlineLevel="1" x14ac:dyDescent="0.2">
      <c r="A138" s="631"/>
      <c r="C138" s="636"/>
      <c r="D138" s="657"/>
      <c r="E138" s="670" t="str">
        <v>Microceldas</v>
      </c>
      <c r="F138" s="631"/>
      <c r="G138" s="674" t="str">
        <f t="shared" si="12"/>
        <v>Spare</v>
      </c>
      <c r="H138" s="631"/>
      <c r="I138" s="631"/>
      <c r="J138" s="631"/>
      <c r="K138" s="675" t="str">
        <v>Spare</v>
      </c>
      <c r="L138" s="675" t="str">
        <v>Spare</v>
      </c>
      <c r="M138" s="675" t="str">
        <v>Spare</v>
      </c>
      <c r="N138"/>
      <c r="O138"/>
      <c r="P138"/>
      <c r="Q138"/>
      <c r="R138"/>
    </row>
    <row r="139" spans="1:18" hidden="1" outlineLevel="1" x14ac:dyDescent="0.2">
      <c r="A139" s="631"/>
      <c r="C139" s="636"/>
      <c r="D139" s="657"/>
      <c r="E139" s="670" t="str">
        <v>spare</v>
      </c>
      <c r="F139" s="631"/>
      <c r="G139" s="674" t="str">
        <f t="shared" si="12"/>
        <v>Spare</v>
      </c>
      <c r="H139" s="631"/>
      <c r="I139" s="631"/>
      <c r="J139" s="631"/>
      <c r="K139" s="675" t="str">
        <v>Spare</v>
      </c>
      <c r="L139" s="675" t="str">
        <v>Spare</v>
      </c>
      <c r="M139" s="675" t="str">
        <v>Spare</v>
      </c>
      <c r="N139"/>
      <c r="O139"/>
      <c r="P139"/>
      <c r="Q139"/>
      <c r="R139"/>
    </row>
    <row r="140" spans="1:18" hidden="1" outlineLevel="1" x14ac:dyDescent="0.2">
      <c r="A140" s="631"/>
      <c r="C140" s="636"/>
      <c r="D140" s="657"/>
      <c r="E140" s="670" t="str">
        <v>spare</v>
      </c>
      <c r="F140" s="631"/>
      <c r="G140" s="674" t="str">
        <f t="shared" si="12"/>
        <v>Spare</v>
      </c>
      <c r="H140" s="631"/>
      <c r="I140" s="631"/>
      <c r="J140" s="631"/>
      <c r="K140" s="675" t="str">
        <v>Spare</v>
      </c>
      <c r="L140" s="675" t="str">
        <v>Spare</v>
      </c>
      <c r="M140" s="675" t="str">
        <v>Spare</v>
      </c>
      <c r="N140"/>
      <c r="O140"/>
      <c r="P140"/>
      <c r="Q140"/>
      <c r="R140"/>
    </row>
    <row r="141" spans="1:18" hidden="1" outlineLevel="1" x14ac:dyDescent="0.2">
      <c r="A141" s="631"/>
      <c r="C141" s="636"/>
      <c r="D141" s="657"/>
      <c r="E141" s="670" t="str">
        <v>spare</v>
      </c>
      <c r="F141" s="631"/>
      <c r="G141" s="674" t="str">
        <f t="shared" si="12"/>
        <v>Spare</v>
      </c>
      <c r="H141" s="631"/>
      <c r="I141" s="631"/>
      <c r="J141" s="631"/>
      <c r="K141" s="675" t="str">
        <v>Spare</v>
      </c>
      <c r="L141" s="675" t="str">
        <v>Spare</v>
      </c>
      <c r="M141" s="675" t="str">
        <v>Spare</v>
      </c>
      <c r="N141"/>
      <c r="O141"/>
      <c r="P141"/>
      <c r="Q141"/>
      <c r="R141"/>
    </row>
    <row r="142" spans="1:18" hidden="1" outlineLevel="1" x14ac:dyDescent="0.2">
      <c r="A142" s="631"/>
      <c r="C142" s="636"/>
      <c r="D142" s="657"/>
      <c r="E142" s="670" t="str">
        <v>spare</v>
      </c>
      <c r="F142" s="631"/>
      <c r="G142" s="674" t="str">
        <f t="shared" si="12"/>
        <v>Spare</v>
      </c>
      <c r="H142" s="631"/>
      <c r="I142" s="631"/>
      <c r="J142" s="631"/>
      <c r="K142" s="675" t="str">
        <v>Spare</v>
      </c>
      <c r="L142" s="675" t="str">
        <v>Spare</v>
      </c>
      <c r="M142" s="675" t="str">
        <v>Spare</v>
      </c>
      <c r="N142"/>
      <c r="O142"/>
      <c r="P142"/>
      <c r="Q142"/>
      <c r="R142"/>
    </row>
    <row r="143" spans="1:18" collapsed="1" x14ac:dyDescent="0.2">
      <c r="A143" s="631"/>
      <c r="C143" s="636"/>
      <c r="D143" s="657"/>
      <c r="E143" s="670" t="str">
        <v>spare</v>
      </c>
      <c r="F143" s="631"/>
      <c r="G143" s="674" t="str">
        <f t="shared" si="12"/>
        <v>Spare</v>
      </c>
      <c r="H143" s="631"/>
      <c r="I143" s="631"/>
      <c r="J143" s="631"/>
      <c r="K143" s="675" t="str">
        <v>Spare</v>
      </c>
      <c r="L143" s="675" t="str">
        <v>Spare</v>
      </c>
      <c r="M143" s="675" t="str">
        <v>Spare</v>
      </c>
      <c r="N143"/>
      <c r="O143"/>
      <c r="P143"/>
      <c r="Q143"/>
      <c r="R143"/>
    </row>
    <row r="144" spans="1:18" x14ac:dyDescent="0.2">
      <c r="A144" s="631"/>
      <c r="D144" s="676" t="s">
        <v>999</v>
      </c>
      <c r="F144" s="631"/>
      <c r="G144" s="634" t="s">
        <v>1640</v>
      </c>
      <c r="H144" s="631"/>
      <c r="I144" s="631"/>
      <c r="J144" s="631"/>
      <c r="K144" s="631"/>
      <c r="L144" s="631"/>
      <c r="M144" s="631"/>
      <c r="N144"/>
      <c r="O144"/>
      <c r="P144"/>
      <c r="Q144"/>
      <c r="R144"/>
    </row>
    <row r="145" spans="1:18" x14ac:dyDescent="0.2">
      <c r="A145" s="631"/>
      <c r="E145" s="670" t="str">
        <f t="array" ref="E145:E154">Geotypes</f>
        <v>Muy denso</v>
      </c>
      <c r="F145" s="631"/>
      <c r="G145" s="674" t="str">
        <f t="shared" ref="G145:G154" si="13">INDEX(K145:M145,,MATCH(CTRL.scenario.selected,Scenario.list,0))</f>
        <v>Spare</v>
      </c>
      <c r="H145" s="631"/>
      <c r="I145" s="631"/>
      <c r="J145" s="631"/>
      <c r="K145" s="675" t="str">
        <f t="array" ref="K145:K154">INDEX($K851:$M860,,MATCH(K$20,Operators.list,0))</f>
        <v>Spare</v>
      </c>
      <c r="L145" s="675" t="str">
        <f t="array" ref="L145:L154">INDEX($K851:$M860,,MATCH(L$20,Operators.list,0))</f>
        <v>Spare</v>
      </c>
      <c r="M145" s="675" t="str">
        <f t="array" ref="M145:M154">INDEX($K851:$M860,,MATCH(M$20,Operators.list,0))</f>
        <v>Spare</v>
      </c>
      <c r="N145"/>
      <c r="O145"/>
      <c r="P145"/>
      <c r="Q145"/>
      <c r="R145"/>
    </row>
    <row r="146" spans="1:18" hidden="1" outlineLevel="1" x14ac:dyDescent="0.2">
      <c r="A146" s="631"/>
      <c r="E146" s="670" t="str">
        <v>Denso</v>
      </c>
      <c r="F146" s="631"/>
      <c r="G146" s="674" t="str">
        <f t="shared" si="13"/>
        <v>Spare</v>
      </c>
      <c r="H146" s="631"/>
      <c r="I146" s="631"/>
      <c r="J146" s="631"/>
      <c r="K146" s="675" t="str">
        <v>Spare</v>
      </c>
      <c r="L146" s="675" t="str">
        <v>Spare</v>
      </c>
      <c r="M146" s="675" t="str">
        <v>Spare</v>
      </c>
      <c r="N146"/>
      <c r="O146"/>
      <c r="P146"/>
      <c r="Q146"/>
      <c r="R146"/>
    </row>
    <row r="147" spans="1:18" hidden="1" outlineLevel="1" x14ac:dyDescent="0.2">
      <c r="A147" s="631"/>
      <c r="E147" s="670" t="str">
        <v>Poco denso</v>
      </c>
      <c r="F147" s="631"/>
      <c r="G147" s="674" t="str">
        <f t="shared" si="13"/>
        <v>Spare</v>
      </c>
      <c r="H147" s="631"/>
      <c r="I147" s="631"/>
      <c r="J147" s="631"/>
      <c r="K147" s="675" t="str">
        <v>Spare</v>
      </c>
      <c r="L147" s="675" t="str">
        <v>Spare</v>
      </c>
      <c r="M147" s="675" t="str">
        <v>Spare</v>
      </c>
      <c r="N147"/>
      <c r="O147"/>
      <c r="P147"/>
      <c r="Q147"/>
      <c r="R147"/>
    </row>
    <row r="148" spans="1:18" hidden="1" outlineLevel="1" x14ac:dyDescent="0.2">
      <c r="A148" s="631"/>
      <c r="E148" s="670" t="str">
        <v>Otro</v>
      </c>
      <c r="F148" s="631"/>
      <c r="G148" s="674" t="str">
        <f t="shared" si="13"/>
        <v>Spare</v>
      </c>
      <c r="H148" s="631"/>
      <c r="I148" s="631"/>
      <c r="J148" s="631"/>
      <c r="K148" s="675" t="str">
        <v>Spare</v>
      </c>
      <c r="L148" s="675" t="str">
        <v>Spare</v>
      </c>
      <c r="M148" s="675" t="str">
        <v>Spare</v>
      </c>
      <c r="N148"/>
      <c r="O148"/>
      <c r="P148"/>
      <c r="Q148"/>
      <c r="R148"/>
    </row>
    <row r="149" spans="1:18" hidden="1" outlineLevel="1" x14ac:dyDescent="0.2">
      <c r="A149" s="631"/>
      <c r="E149" s="670" t="str">
        <v>Microceldas</v>
      </c>
      <c r="F149" s="631"/>
      <c r="G149" s="674" t="str">
        <f t="shared" si="13"/>
        <v>Spare</v>
      </c>
      <c r="H149" s="631"/>
      <c r="I149" s="631"/>
      <c r="J149" s="631"/>
      <c r="K149" s="675" t="str">
        <v>Spare</v>
      </c>
      <c r="L149" s="675" t="str">
        <v>Spare</v>
      </c>
      <c r="M149" s="675" t="str">
        <v>Spare</v>
      </c>
      <c r="N149"/>
      <c r="O149"/>
      <c r="P149"/>
      <c r="Q149"/>
      <c r="R149"/>
    </row>
    <row r="150" spans="1:18" hidden="1" outlineLevel="1" x14ac:dyDescent="0.2">
      <c r="A150" s="631"/>
      <c r="E150" s="670" t="str">
        <v>spare</v>
      </c>
      <c r="F150" s="631"/>
      <c r="G150" s="674" t="str">
        <f t="shared" si="13"/>
        <v>Spare</v>
      </c>
      <c r="H150" s="631"/>
      <c r="I150" s="631"/>
      <c r="J150" s="631"/>
      <c r="K150" s="675" t="str">
        <v>Spare</v>
      </c>
      <c r="L150" s="675" t="str">
        <v>Spare</v>
      </c>
      <c r="M150" s="675" t="str">
        <v>Spare</v>
      </c>
      <c r="N150"/>
      <c r="O150"/>
      <c r="P150"/>
      <c r="Q150"/>
      <c r="R150"/>
    </row>
    <row r="151" spans="1:18" hidden="1" outlineLevel="1" x14ac:dyDescent="0.2">
      <c r="A151" s="631"/>
      <c r="E151" s="670" t="str">
        <v>spare</v>
      </c>
      <c r="F151" s="631"/>
      <c r="G151" s="674" t="str">
        <f t="shared" si="13"/>
        <v>Spare</v>
      </c>
      <c r="H151" s="631"/>
      <c r="I151" s="631"/>
      <c r="J151" s="631"/>
      <c r="K151" s="675" t="str">
        <v>Spare</v>
      </c>
      <c r="L151" s="675" t="str">
        <v>Spare</v>
      </c>
      <c r="M151" s="675" t="str">
        <v>Spare</v>
      </c>
      <c r="N151"/>
      <c r="O151"/>
      <c r="P151"/>
      <c r="Q151"/>
      <c r="R151"/>
    </row>
    <row r="152" spans="1:18" hidden="1" outlineLevel="1" x14ac:dyDescent="0.2">
      <c r="A152" s="631"/>
      <c r="E152" s="670" t="str">
        <v>spare</v>
      </c>
      <c r="F152" s="631"/>
      <c r="G152" s="674" t="str">
        <f t="shared" si="13"/>
        <v>Spare</v>
      </c>
      <c r="H152" s="631"/>
      <c r="I152" s="631"/>
      <c r="J152" s="631"/>
      <c r="K152" s="675" t="str">
        <v>Spare</v>
      </c>
      <c r="L152" s="675" t="str">
        <v>Spare</v>
      </c>
      <c r="M152" s="675" t="str">
        <v>Spare</v>
      </c>
      <c r="N152"/>
      <c r="O152"/>
      <c r="P152"/>
      <c r="Q152"/>
      <c r="R152"/>
    </row>
    <row r="153" spans="1:18" hidden="1" outlineLevel="1" x14ac:dyDescent="0.2">
      <c r="A153" s="631"/>
      <c r="E153" s="670" t="str">
        <v>spare</v>
      </c>
      <c r="F153" s="631"/>
      <c r="G153" s="674" t="str">
        <f t="shared" si="13"/>
        <v>Spare</v>
      </c>
      <c r="H153" s="631"/>
      <c r="I153" s="631"/>
      <c r="J153" s="631"/>
      <c r="K153" s="675" t="str">
        <v>Spare</v>
      </c>
      <c r="L153" s="675" t="str">
        <v>Spare</v>
      </c>
      <c r="M153" s="675" t="str">
        <v>Spare</v>
      </c>
      <c r="N153"/>
      <c r="O153"/>
      <c r="P153"/>
      <c r="Q153"/>
      <c r="R153"/>
    </row>
    <row r="154" spans="1:18" collapsed="1" x14ac:dyDescent="0.2">
      <c r="A154" s="631"/>
      <c r="E154" s="670" t="str">
        <v>spare</v>
      </c>
      <c r="F154" s="631"/>
      <c r="G154" s="674" t="str">
        <f t="shared" si="13"/>
        <v>Spare</v>
      </c>
      <c r="H154" s="631"/>
      <c r="I154" s="631"/>
      <c r="J154" s="631"/>
      <c r="K154" s="675" t="str">
        <v>Spare</v>
      </c>
      <c r="L154" s="675" t="str">
        <v>Spare</v>
      </c>
      <c r="M154" s="675" t="str">
        <v>Spare</v>
      </c>
      <c r="N154"/>
      <c r="O154"/>
      <c r="P154"/>
      <c r="Q154"/>
      <c r="R154"/>
    </row>
    <row r="155" spans="1:18" x14ac:dyDescent="0.2">
      <c r="A155" s="631"/>
      <c r="D155" s="676" t="s">
        <v>1000</v>
      </c>
      <c r="F155" s="631"/>
      <c r="G155" s="634" t="s">
        <v>1641</v>
      </c>
      <c r="H155" s="631"/>
      <c r="I155" s="631"/>
      <c r="J155" s="631"/>
      <c r="K155" s="631"/>
      <c r="L155" s="631"/>
      <c r="M155" s="631"/>
      <c r="N155"/>
      <c r="O155"/>
      <c r="P155"/>
      <c r="Q155"/>
      <c r="R155"/>
    </row>
    <row r="156" spans="1:18" x14ac:dyDescent="0.2">
      <c r="A156" s="631"/>
      <c r="E156" s="670" t="str">
        <f t="array" ref="E156:E165">Geotypes</f>
        <v>Muy denso</v>
      </c>
      <c r="F156" s="631"/>
      <c r="G156" s="674" t="str">
        <f t="shared" ref="G156:G165" si="14">INDEX(K156:M156,,MATCH(CTRL.scenario.selected,Scenario.list,0))</f>
        <v>Spare</v>
      </c>
      <c r="H156" s="631"/>
      <c r="I156" s="631"/>
      <c r="J156" s="631"/>
      <c r="K156" s="675" t="str">
        <f t="array" ref="K156:K165">INDEX($K862:$M871,,MATCH(K$20,Operators.list,0))</f>
        <v>Spare</v>
      </c>
      <c r="L156" s="675" t="str">
        <f t="array" ref="L156:L165">INDEX($K862:$M871,,MATCH(L$20,Operators.list,0))</f>
        <v>Spare</v>
      </c>
      <c r="M156" s="675" t="str">
        <f t="array" ref="M156:M165">INDEX($K862:$M871,,MATCH(M$20,Operators.list,0))</f>
        <v>Spare</v>
      </c>
      <c r="N156"/>
      <c r="O156"/>
      <c r="P156"/>
      <c r="Q156"/>
      <c r="R156"/>
    </row>
    <row r="157" spans="1:18" hidden="1" outlineLevel="1" x14ac:dyDescent="0.2">
      <c r="A157" s="631"/>
      <c r="E157" s="670" t="str">
        <v>Denso</v>
      </c>
      <c r="F157" s="631"/>
      <c r="G157" s="674" t="str">
        <f t="shared" si="14"/>
        <v>Spare</v>
      </c>
      <c r="H157" s="631"/>
      <c r="I157" s="631"/>
      <c r="J157" s="631"/>
      <c r="K157" s="675" t="str">
        <v>Spare</v>
      </c>
      <c r="L157" s="675" t="str">
        <v>Spare</v>
      </c>
      <c r="M157" s="675" t="str">
        <v>Spare</v>
      </c>
      <c r="N157"/>
      <c r="O157"/>
      <c r="P157"/>
      <c r="Q157"/>
      <c r="R157"/>
    </row>
    <row r="158" spans="1:18" hidden="1" outlineLevel="1" x14ac:dyDescent="0.2">
      <c r="A158" s="631"/>
      <c r="E158" s="670" t="str">
        <v>Poco denso</v>
      </c>
      <c r="F158" s="631"/>
      <c r="G158" s="674" t="str">
        <f t="shared" si="14"/>
        <v>Spare</v>
      </c>
      <c r="H158" s="631"/>
      <c r="I158" s="631"/>
      <c r="J158" s="631"/>
      <c r="K158" s="675" t="str">
        <v>Spare</v>
      </c>
      <c r="L158" s="675" t="str">
        <v>Spare</v>
      </c>
      <c r="M158" s="675" t="str">
        <v>Spare</v>
      </c>
      <c r="N158"/>
      <c r="O158"/>
      <c r="P158"/>
      <c r="Q158"/>
      <c r="R158"/>
    </row>
    <row r="159" spans="1:18" hidden="1" outlineLevel="1" x14ac:dyDescent="0.2">
      <c r="A159" s="631"/>
      <c r="E159" s="670" t="str">
        <v>Otro</v>
      </c>
      <c r="F159" s="631"/>
      <c r="G159" s="674" t="str">
        <f t="shared" si="14"/>
        <v>Spare</v>
      </c>
      <c r="H159" s="631"/>
      <c r="I159" s="631"/>
      <c r="J159" s="631"/>
      <c r="K159" s="675" t="str">
        <v>Spare</v>
      </c>
      <c r="L159" s="675" t="str">
        <v>Spare</v>
      </c>
      <c r="M159" s="675" t="str">
        <v>Spare</v>
      </c>
      <c r="N159"/>
      <c r="O159"/>
      <c r="P159"/>
      <c r="Q159"/>
      <c r="R159"/>
    </row>
    <row r="160" spans="1:18" hidden="1" outlineLevel="1" x14ac:dyDescent="0.2">
      <c r="A160" s="631"/>
      <c r="E160" s="670" t="str">
        <v>Microceldas</v>
      </c>
      <c r="F160" s="631"/>
      <c r="G160" s="674" t="str">
        <f t="shared" si="14"/>
        <v>Spare</v>
      </c>
      <c r="H160" s="631"/>
      <c r="I160" s="631"/>
      <c r="J160" s="631"/>
      <c r="K160" s="675" t="str">
        <v>Spare</v>
      </c>
      <c r="L160" s="675" t="str">
        <v>Spare</v>
      </c>
      <c r="M160" s="675" t="str">
        <v>Spare</v>
      </c>
      <c r="N160"/>
      <c r="O160"/>
      <c r="P160"/>
      <c r="Q160"/>
      <c r="R160"/>
    </row>
    <row r="161" spans="1:18" hidden="1" outlineLevel="1" x14ac:dyDescent="0.2">
      <c r="A161" s="631"/>
      <c r="E161" s="670" t="str">
        <v>spare</v>
      </c>
      <c r="F161" s="631"/>
      <c r="G161" s="674" t="str">
        <f t="shared" si="14"/>
        <v>Spare</v>
      </c>
      <c r="H161" s="631"/>
      <c r="I161" s="631"/>
      <c r="J161" s="631"/>
      <c r="K161" s="675" t="str">
        <v>Spare</v>
      </c>
      <c r="L161" s="675" t="str">
        <v>Spare</v>
      </c>
      <c r="M161" s="675" t="str">
        <v>Spare</v>
      </c>
      <c r="N161"/>
      <c r="O161"/>
      <c r="P161"/>
      <c r="Q161"/>
      <c r="R161"/>
    </row>
    <row r="162" spans="1:18" hidden="1" outlineLevel="1" x14ac:dyDescent="0.2">
      <c r="A162" s="631"/>
      <c r="E162" s="670" t="str">
        <v>spare</v>
      </c>
      <c r="F162" s="631"/>
      <c r="G162" s="674" t="str">
        <f t="shared" si="14"/>
        <v>Spare</v>
      </c>
      <c r="H162" s="631"/>
      <c r="I162" s="631"/>
      <c r="J162" s="631"/>
      <c r="K162" s="675" t="str">
        <v>Spare</v>
      </c>
      <c r="L162" s="675" t="str">
        <v>Spare</v>
      </c>
      <c r="M162" s="675" t="str">
        <v>Spare</v>
      </c>
      <c r="N162"/>
      <c r="O162"/>
      <c r="P162"/>
      <c r="Q162"/>
      <c r="R162"/>
    </row>
    <row r="163" spans="1:18" hidden="1" outlineLevel="1" x14ac:dyDescent="0.2">
      <c r="A163" s="631"/>
      <c r="E163" s="670" t="str">
        <v>spare</v>
      </c>
      <c r="F163" s="631"/>
      <c r="G163" s="674" t="str">
        <f t="shared" si="14"/>
        <v>Spare</v>
      </c>
      <c r="H163" s="631"/>
      <c r="I163" s="631"/>
      <c r="J163" s="631"/>
      <c r="K163" s="675" t="str">
        <v>Spare</v>
      </c>
      <c r="L163" s="675" t="str">
        <v>Spare</v>
      </c>
      <c r="M163" s="675" t="str">
        <v>Spare</v>
      </c>
      <c r="N163"/>
      <c r="O163"/>
      <c r="P163"/>
      <c r="Q163"/>
      <c r="R163"/>
    </row>
    <row r="164" spans="1:18" hidden="1" outlineLevel="1" x14ac:dyDescent="0.2">
      <c r="A164" s="631"/>
      <c r="E164" s="670" t="str">
        <v>spare</v>
      </c>
      <c r="F164" s="631"/>
      <c r="G164" s="674" t="str">
        <f t="shared" si="14"/>
        <v>Spare</v>
      </c>
      <c r="H164" s="631"/>
      <c r="I164" s="631"/>
      <c r="J164" s="631"/>
      <c r="K164" s="675" t="str">
        <v>Spare</v>
      </c>
      <c r="L164" s="675" t="str">
        <v>Spare</v>
      </c>
      <c r="M164" s="675" t="str">
        <v>Spare</v>
      </c>
      <c r="N164"/>
      <c r="O164"/>
      <c r="P164"/>
      <c r="Q164"/>
      <c r="R164"/>
    </row>
    <row r="165" spans="1:18" collapsed="1" x14ac:dyDescent="0.2">
      <c r="A165" s="631"/>
      <c r="E165" s="670" t="str">
        <v>spare</v>
      </c>
      <c r="F165" s="631"/>
      <c r="G165" s="674" t="str">
        <f t="shared" si="14"/>
        <v>Spare</v>
      </c>
      <c r="H165" s="631"/>
      <c r="I165" s="631"/>
      <c r="J165" s="631"/>
      <c r="K165" s="675" t="str">
        <v>Spare</v>
      </c>
      <c r="L165" s="675" t="str">
        <v>Spare</v>
      </c>
      <c r="M165" s="675" t="str">
        <v>Spare</v>
      </c>
      <c r="N165"/>
      <c r="O165"/>
      <c r="P165"/>
      <c r="Q165"/>
      <c r="R165"/>
    </row>
    <row r="166" spans="1:18" x14ac:dyDescent="0.2">
      <c r="D166" s="676" t="s">
        <v>1001</v>
      </c>
      <c r="F166" s="631"/>
      <c r="G166" s="634" t="s">
        <v>1642</v>
      </c>
      <c r="H166" s="631"/>
      <c r="I166" s="631"/>
      <c r="J166" s="631"/>
      <c r="K166" s="631"/>
      <c r="L166" s="631"/>
      <c r="M166" s="631"/>
      <c r="N166"/>
      <c r="O166"/>
      <c r="P166"/>
      <c r="Q166"/>
      <c r="R166"/>
    </row>
    <row r="167" spans="1:18" x14ac:dyDescent="0.2">
      <c r="E167" s="670" t="str">
        <f t="array" ref="E167:E176">Geotypes</f>
        <v>Muy denso</v>
      </c>
      <c r="F167" s="631"/>
      <c r="G167" s="674" t="str">
        <f t="shared" ref="G167:G176" si="15">INDEX(K167:M167,,MATCH(CTRL.scenario.selected,Scenario.list,0))</f>
        <v>Spare</v>
      </c>
      <c r="H167" s="631"/>
      <c r="I167" s="631"/>
      <c r="J167" s="631"/>
      <c r="K167" s="675" t="str">
        <f t="array" ref="K167:K176">INDEX($K873:$M882,,MATCH(K$20,Operators.list,0))</f>
        <v>Spare</v>
      </c>
      <c r="L167" s="675" t="str">
        <f t="array" ref="L167:L176">INDEX($K873:$M882,,MATCH(L$20,Operators.list,0))</f>
        <v>Spare</v>
      </c>
      <c r="M167" s="675" t="str">
        <f t="array" ref="M167:M176">INDEX($K873:$M882,,MATCH(M$20,Operators.list,0))</f>
        <v>Spare</v>
      </c>
      <c r="N167"/>
      <c r="O167"/>
      <c r="P167"/>
      <c r="Q167"/>
      <c r="R167"/>
    </row>
    <row r="168" spans="1:18" hidden="1" outlineLevel="1" x14ac:dyDescent="0.2">
      <c r="E168" s="670" t="str">
        <v>Denso</v>
      </c>
      <c r="F168" s="631"/>
      <c r="G168" s="674" t="str">
        <f t="shared" si="15"/>
        <v>Spare</v>
      </c>
      <c r="H168" s="631"/>
      <c r="I168" s="631"/>
      <c r="J168" s="631"/>
      <c r="K168" s="675" t="str">
        <v>Spare</v>
      </c>
      <c r="L168" s="675" t="str">
        <v>Spare</v>
      </c>
      <c r="M168" s="675" t="str">
        <v>Spare</v>
      </c>
      <c r="N168"/>
      <c r="O168"/>
      <c r="P168"/>
      <c r="Q168"/>
      <c r="R168"/>
    </row>
    <row r="169" spans="1:18" hidden="1" outlineLevel="1" x14ac:dyDescent="0.2">
      <c r="E169" s="670" t="str">
        <v>Poco denso</v>
      </c>
      <c r="F169" s="631"/>
      <c r="G169" s="674" t="str">
        <f t="shared" si="15"/>
        <v>Spare</v>
      </c>
      <c r="H169" s="631"/>
      <c r="I169" s="631"/>
      <c r="J169" s="631"/>
      <c r="K169" s="675" t="str">
        <v>Spare</v>
      </c>
      <c r="L169" s="675" t="str">
        <v>Spare</v>
      </c>
      <c r="M169" s="675" t="str">
        <v>Spare</v>
      </c>
      <c r="N169"/>
      <c r="O169"/>
      <c r="P169"/>
      <c r="Q169"/>
      <c r="R169"/>
    </row>
    <row r="170" spans="1:18" hidden="1" outlineLevel="1" x14ac:dyDescent="0.2">
      <c r="E170" s="670" t="str">
        <v>Otro</v>
      </c>
      <c r="F170" s="631"/>
      <c r="G170" s="674" t="str">
        <f t="shared" si="15"/>
        <v>Spare</v>
      </c>
      <c r="H170" s="631"/>
      <c r="I170" s="631"/>
      <c r="J170" s="631"/>
      <c r="K170" s="675" t="str">
        <v>Spare</v>
      </c>
      <c r="L170" s="675" t="str">
        <v>Spare</v>
      </c>
      <c r="M170" s="675" t="str">
        <v>Spare</v>
      </c>
      <c r="N170"/>
      <c r="O170"/>
      <c r="P170"/>
      <c r="Q170"/>
      <c r="R170"/>
    </row>
    <row r="171" spans="1:18" hidden="1" outlineLevel="1" x14ac:dyDescent="0.2">
      <c r="E171" s="670" t="str">
        <v>Microceldas</v>
      </c>
      <c r="F171" s="631"/>
      <c r="G171" s="674" t="str">
        <f t="shared" si="15"/>
        <v>Spare</v>
      </c>
      <c r="H171" s="631"/>
      <c r="I171" s="631"/>
      <c r="J171" s="631"/>
      <c r="K171" s="675" t="str">
        <v>Spare</v>
      </c>
      <c r="L171" s="675" t="str">
        <v>Spare</v>
      </c>
      <c r="M171" s="675" t="str">
        <v>Spare</v>
      </c>
      <c r="N171"/>
      <c r="O171"/>
      <c r="P171"/>
      <c r="Q171"/>
      <c r="R171"/>
    </row>
    <row r="172" spans="1:18" hidden="1" outlineLevel="1" x14ac:dyDescent="0.2">
      <c r="E172" s="670" t="str">
        <v>spare</v>
      </c>
      <c r="F172" s="631"/>
      <c r="G172" s="674" t="str">
        <f t="shared" si="15"/>
        <v>Spare</v>
      </c>
      <c r="H172" s="631"/>
      <c r="I172" s="631"/>
      <c r="J172" s="631"/>
      <c r="K172" s="675" t="str">
        <v>Spare</v>
      </c>
      <c r="L172" s="675" t="str">
        <v>Spare</v>
      </c>
      <c r="M172" s="675" t="str">
        <v>Spare</v>
      </c>
      <c r="N172"/>
      <c r="O172"/>
      <c r="P172"/>
      <c r="Q172"/>
      <c r="R172"/>
    </row>
    <row r="173" spans="1:18" hidden="1" outlineLevel="1" x14ac:dyDescent="0.2">
      <c r="E173" s="670" t="str">
        <v>spare</v>
      </c>
      <c r="F173" s="631"/>
      <c r="G173" s="674" t="str">
        <f t="shared" si="15"/>
        <v>Spare</v>
      </c>
      <c r="H173" s="631"/>
      <c r="I173" s="631"/>
      <c r="J173" s="631"/>
      <c r="K173" s="675" t="str">
        <v>Spare</v>
      </c>
      <c r="L173" s="675" t="str">
        <v>Spare</v>
      </c>
      <c r="M173" s="675" t="str">
        <v>Spare</v>
      </c>
      <c r="N173"/>
      <c r="O173"/>
      <c r="P173"/>
      <c r="Q173"/>
      <c r="R173"/>
    </row>
    <row r="174" spans="1:18" hidden="1" outlineLevel="1" x14ac:dyDescent="0.2">
      <c r="E174" s="670" t="str">
        <v>spare</v>
      </c>
      <c r="F174" s="631"/>
      <c r="G174" s="674" t="str">
        <f t="shared" si="15"/>
        <v>Spare</v>
      </c>
      <c r="H174" s="631"/>
      <c r="I174" s="631"/>
      <c r="J174" s="631"/>
      <c r="K174" s="675" t="str">
        <v>Spare</v>
      </c>
      <c r="L174" s="675" t="str">
        <v>Spare</v>
      </c>
      <c r="M174" s="675" t="str">
        <v>Spare</v>
      </c>
      <c r="N174"/>
      <c r="O174"/>
      <c r="P174"/>
      <c r="Q174"/>
      <c r="R174"/>
    </row>
    <row r="175" spans="1:18" hidden="1" outlineLevel="1" x14ac:dyDescent="0.2">
      <c r="E175" s="670" t="str">
        <v>spare</v>
      </c>
      <c r="F175" s="631"/>
      <c r="G175" s="674" t="str">
        <f t="shared" si="15"/>
        <v>Spare</v>
      </c>
      <c r="H175" s="631"/>
      <c r="I175" s="631"/>
      <c r="J175" s="631"/>
      <c r="K175" s="675" t="str">
        <v>Spare</v>
      </c>
      <c r="L175" s="675" t="str">
        <v>Spare</v>
      </c>
      <c r="M175" s="675" t="str">
        <v>Spare</v>
      </c>
      <c r="N175"/>
      <c r="O175"/>
      <c r="P175"/>
      <c r="Q175"/>
      <c r="R175"/>
    </row>
    <row r="176" spans="1:18" collapsed="1" x14ac:dyDescent="0.2">
      <c r="E176" s="670" t="str">
        <v>spare</v>
      </c>
      <c r="F176" s="631"/>
      <c r="G176" s="674" t="str">
        <f t="shared" si="15"/>
        <v>Spare</v>
      </c>
      <c r="H176" s="631"/>
      <c r="I176" s="631"/>
      <c r="J176" s="631"/>
      <c r="K176" s="675" t="str">
        <v>Spare</v>
      </c>
      <c r="L176" s="675" t="str">
        <v>Spare</v>
      </c>
      <c r="M176" s="675" t="str">
        <v>Spare</v>
      </c>
      <c r="N176"/>
      <c r="O176"/>
      <c r="P176"/>
      <c r="Q176"/>
      <c r="R176"/>
    </row>
    <row r="177" spans="3:31" s="631" customFormat="1" x14ac:dyDescent="0.2">
      <c r="G177" s="634" t="s">
        <v>1643</v>
      </c>
      <c r="S177"/>
      <c r="T177"/>
      <c r="U177"/>
      <c r="V177"/>
      <c r="W177"/>
      <c r="X177"/>
      <c r="Y177"/>
      <c r="Z177"/>
      <c r="AA177"/>
      <c r="AB177"/>
      <c r="AC177"/>
      <c r="AD177"/>
      <c r="AE177"/>
    </row>
    <row r="178" spans="3:31" x14ac:dyDescent="0.2">
      <c r="C178" s="636" t="s">
        <v>581</v>
      </c>
      <c r="G178" s="631"/>
    </row>
    <row r="179" spans="3:31" x14ac:dyDescent="0.2">
      <c r="G179" s="634"/>
    </row>
    <row r="180" spans="3:31" customFormat="1" hidden="1" x14ac:dyDescent="0.2"/>
    <row r="181" spans="3:31" customFormat="1" hidden="1" x14ac:dyDescent="0.2"/>
    <row r="182" spans="3:31" customFormat="1" hidden="1" x14ac:dyDescent="0.2"/>
    <row r="183" spans="3:31" customFormat="1" hidden="1" x14ac:dyDescent="0.2"/>
    <row r="184" spans="3:31" customFormat="1" hidden="1" x14ac:dyDescent="0.2"/>
    <row r="185" spans="3:31" customFormat="1" hidden="1" x14ac:dyDescent="0.2"/>
    <row r="186" spans="3:31" customFormat="1" hidden="1" x14ac:dyDescent="0.2"/>
    <row r="187" spans="3:31" customFormat="1" hidden="1" x14ac:dyDescent="0.2"/>
    <row r="188" spans="3:31" customFormat="1" hidden="1" x14ac:dyDescent="0.2"/>
    <row r="189" spans="3:31" customFormat="1" hidden="1" x14ac:dyDescent="0.2"/>
    <row r="190" spans="3:31" customFormat="1" hidden="1" x14ac:dyDescent="0.2"/>
    <row r="191" spans="3:31" customFormat="1" hidden="1" x14ac:dyDescent="0.2"/>
    <row r="192" spans="3:31" x14ac:dyDescent="0.2">
      <c r="C192" s="677">
        <v>1</v>
      </c>
      <c r="D192" s="657" t="str">
        <f>INDEX(Frequencies2,C192,)&amp;" MHz banda (2 veces X MHz)"</f>
        <v>850 MHz banda (2 veces X MHz)</v>
      </c>
      <c r="G192" s="634"/>
    </row>
    <row r="193" spans="3:18" x14ac:dyDescent="0.2">
      <c r="E193" s="670" t="str">
        <f t="array" ref="E193:E202">Geotypes</f>
        <v>Muy denso</v>
      </c>
      <c r="G193" s="666">
        <f t="shared" ref="G193:G202" si="16">INDEX(K193:M193,,MATCH(CTRL.scenario.selected,Scenario.list,0))</f>
        <v>12.5</v>
      </c>
      <c r="K193" s="675">
        <f t="array" ref="K193:K202">INDEX($K899:$M908,,MATCH(K$20,Operators.list,0))</f>
        <v>12.5</v>
      </c>
      <c r="L193" s="675">
        <f t="array" ref="L193:L202">INDEX($K899:$M908,,MATCH(L$20,Operators.list,0))</f>
        <v>0</v>
      </c>
      <c r="M193" s="675">
        <f t="array" ref="M193:M202">INDEX($K899:$M908,,MATCH(M$20,Operators.list,0))</f>
        <v>0</v>
      </c>
      <c r="N193"/>
      <c r="O193"/>
      <c r="P193"/>
      <c r="Q193"/>
      <c r="R193"/>
    </row>
    <row r="194" spans="3:18" hidden="1" outlineLevel="1" x14ac:dyDescent="0.2">
      <c r="E194" s="670" t="str">
        <v>Denso</v>
      </c>
      <c r="G194" s="666">
        <f t="shared" si="16"/>
        <v>12.5</v>
      </c>
      <c r="K194" s="675">
        <v>12.5</v>
      </c>
      <c r="L194" s="675">
        <v>0</v>
      </c>
      <c r="M194" s="675">
        <v>0</v>
      </c>
      <c r="N194"/>
      <c r="O194"/>
      <c r="P194"/>
      <c r="Q194"/>
      <c r="R194"/>
    </row>
    <row r="195" spans="3:18" hidden="1" outlineLevel="1" x14ac:dyDescent="0.2">
      <c r="E195" s="670" t="str">
        <v>Poco denso</v>
      </c>
      <c r="G195" s="666">
        <f t="shared" si="16"/>
        <v>12.5</v>
      </c>
      <c r="K195" s="675">
        <v>12.5</v>
      </c>
      <c r="L195" s="675">
        <v>0</v>
      </c>
      <c r="M195" s="675">
        <v>0</v>
      </c>
      <c r="N195"/>
      <c r="O195"/>
      <c r="P195"/>
      <c r="Q195"/>
      <c r="R195"/>
    </row>
    <row r="196" spans="3:18" hidden="1" outlineLevel="1" x14ac:dyDescent="0.2">
      <c r="E196" s="670" t="str">
        <v>Otro</v>
      </c>
      <c r="G196" s="666">
        <f t="shared" si="16"/>
        <v>12.5</v>
      </c>
      <c r="K196" s="675">
        <v>12.5</v>
      </c>
      <c r="L196" s="675">
        <v>0</v>
      </c>
      <c r="M196" s="675">
        <v>0</v>
      </c>
      <c r="N196"/>
      <c r="O196"/>
      <c r="P196"/>
      <c r="Q196"/>
      <c r="R196"/>
    </row>
    <row r="197" spans="3:18" hidden="1" outlineLevel="1" x14ac:dyDescent="0.2">
      <c r="E197" s="670" t="str">
        <v>Microceldas</v>
      </c>
      <c r="G197" s="666">
        <f t="shared" si="16"/>
        <v>12.5</v>
      </c>
      <c r="K197" s="675">
        <v>12.5</v>
      </c>
      <c r="L197" s="675">
        <v>0</v>
      </c>
      <c r="M197" s="675">
        <v>0</v>
      </c>
      <c r="N197"/>
      <c r="O197"/>
      <c r="P197"/>
      <c r="Q197"/>
      <c r="R197"/>
    </row>
    <row r="198" spans="3:18" hidden="1" outlineLevel="1" x14ac:dyDescent="0.2">
      <c r="E198" s="670" t="str">
        <v>spare</v>
      </c>
      <c r="G198" s="666">
        <f t="shared" si="16"/>
        <v>0</v>
      </c>
      <c r="K198" s="675">
        <v>0</v>
      </c>
      <c r="L198" s="675">
        <v>0</v>
      </c>
      <c r="M198" s="675">
        <v>0</v>
      </c>
      <c r="N198"/>
      <c r="O198"/>
      <c r="P198"/>
      <c r="Q198"/>
      <c r="R198"/>
    </row>
    <row r="199" spans="3:18" hidden="1" outlineLevel="1" x14ac:dyDescent="0.2">
      <c r="E199" s="670" t="str">
        <v>spare</v>
      </c>
      <c r="G199" s="666">
        <f t="shared" si="16"/>
        <v>0</v>
      </c>
      <c r="K199" s="675">
        <v>0</v>
      </c>
      <c r="L199" s="675">
        <v>0</v>
      </c>
      <c r="M199" s="675">
        <v>0</v>
      </c>
      <c r="N199"/>
      <c r="O199"/>
      <c r="P199"/>
      <c r="Q199"/>
      <c r="R199"/>
    </row>
    <row r="200" spans="3:18" hidden="1" outlineLevel="1" x14ac:dyDescent="0.2">
      <c r="E200" s="670" t="str">
        <v>spare</v>
      </c>
      <c r="G200" s="666">
        <f t="shared" si="16"/>
        <v>0</v>
      </c>
      <c r="K200" s="675">
        <v>0</v>
      </c>
      <c r="L200" s="675">
        <v>0</v>
      </c>
      <c r="M200" s="675">
        <v>0</v>
      </c>
      <c r="N200"/>
      <c r="O200"/>
      <c r="P200"/>
      <c r="Q200"/>
      <c r="R200"/>
    </row>
    <row r="201" spans="3:18" hidden="1" outlineLevel="1" x14ac:dyDescent="0.2">
      <c r="E201" s="670" t="str">
        <v>spare</v>
      </c>
      <c r="G201" s="666">
        <f t="shared" si="16"/>
        <v>0</v>
      </c>
      <c r="K201" s="675">
        <v>0</v>
      </c>
      <c r="L201" s="675">
        <v>0</v>
      </c>
      <c r="M201" s="675">
        <v>0</v>
      </c>
      <c r="N201"/>
      <c r="O201"/>
      <c r="P201"/>
      <c r="Q201"/>
      <c r="R201"/>
    </row>
    <row r="202" spans="3:18" collapsed="1" x14ac:dyDescent="0.2">
      <c r="E202" s="670" t="str">
        <v>spare</v>
      </c>
      <c r="G202" s="666">
        <f t="shared" si="16"/>
        <v>0</v>
      </c>
      <c r="K202" s="675">
        <v>0</v>
      </c>
      <c r="L202" s="675">
        <v>0</v>
      </c>
      <c r="M202" s="675">
        <v>0</v>
      </c>
      <c r="N202"/>
      <c r="O202"/>
      <c r="P202"/>
      <c r="Q202"/>
      <c r="R202"/>
    </row>
    <row r="203" spans="3:18" x14ac:dyDescent="0.2">
      <c r="G203" s="634" t="s">
        <v>477</v>
      </c>
      <c r="N203"/>
      <c r="O203"/>
      <c r="P203"/>
      <c r="Q203"/>
      <c r="R203"/>
    </row>
    <row r="204" spans="3:18" x14ac:dyDescent="0.2">
      <c r="D204" s="657" t="s">
        <v>1348</v>
      </c>
      <c r="G204" s="634"/>
      <c r="N204"/>
      <c r="O204"/>
      <c r="P204"/>
      <c r="Q204"/>
      <c r="R204"/>
    </row>
    <row r="205" spans="3:18" x14ac:dyDescent="0.2">
      <c r="C205" s="631"/>
      <c r="E205" s="670" t="str">
        <f t="array" ref="E205:E214">Geotypes</f>
        <v>Muy denso</v>
      </c>
      <c r="G205" s="666">
        <f t="shared" ref="G205:G214" si="17">INDEX(K205:M205,,MATCH(CTRL.scenario.selected,Scenario.list,0))</f>
        <v>5</v>
      </c>
      <c r="K205" s="675">
        <f t="array" ref="K205:K214">INDEX($K911:$M920,,MATCH(K$20,Operators.list,0))</f>
        <v>5</v>
      </c>
      <c r="L205" s="675">
        <f t="array" ref="L205:L214">INDEX($K911:$M920,,MATCH(L$20,Operators.list,0))</f>
        <v>0</v>
      </c>
      <c r="M205" s="675">
        <f t="array" ref="M205:M214">INDEX($K911:$M920,,MATCH(M$20,Operators.list,0))</f>
        <v>0</v>
      </c>
      <c r="N205"/>
      <c r="O205"/>
      <c r="P205"/>
      <c r="Q205"/>
      <c r="R205"/>
    </row>
    <row r="206" spans="3:18" hidden="1" outlineLevel="1" x14ac:dyDescent="0.2">
      <c r="C206" s="631"/>
      <c r="E206" s="670" t="str">
        <v>Denso</v>
      </c>
      <c r="G206" s="666">
        <f t="shared" si="17"/>
        <v>5</v>
      </c>
      <c r="K206" s="675">
        <v>5</v>
      </c>
      <c r="L206" s="675">
        <v>0</v>
      </c>
      <c r="M206" s="675">
        <v>0</v>
      </c>
      <c r="N206"/>
      <c r="O206"/>
      <c r="P206"/>
      <c r="Q206"/>
      <c r="R206"/>
    </row>
    <row r="207" spans="3:18" hidden="1" outlineLevel="1" x14ac:dyDescent="0.2">
      <c r="C207" s="631"/>
      <c r="E207" s="670" t="str">
        <v>Poco denso</v>
      </c>
      <c r="G207" s="666">
        <f t="shared" si="17"/>
        <v>5</v>
      </c>
      <c r="K207" s="675">
        <v>5</v>
      </c>
      <c r="L207" s="675">
        <v>0</v>
      </c>
      <c r="M207" s="675">
        <v>0</v>
      </c>
      <c r="N207"/>
      <c r="O207"/>
      <c r="P207"/>
      <c r="Q207"/>
      <c r="R207"/>
    </row>
    <row r="208" spans="3:18" hidden="1" outlineLevel="1" x14ac:dyDescent="0.2">
      <c r="C208" s="631"/>
      <c r="E208" s="670" t="str">
        <v>Otro</v>
      </c>
      <c r="G208" s="666">
        <f t="shared" si="17"/>
        <v>5</v>
      </c>
      <c r="K208" s="675">
        <v>5</v>
      </c>
      <c r="L208" s="675">
        <v>0</v>
      </c>
      <c r="M208" s="675">
        <v>0</v>
      </c>
      <c r="N208"/>
      <c r="O208"/>
      <c r="P208"/>
      <c r="Q208"/>
      <c r="R208"/>
    </row>
    <row r="209" spans="3:18" hidden="1" outlineLevel="1" x14ac:dyDescent="0.2">
      <c r="C209" s="631"/>
      <c r="E209" s="670" t="str">
        <v>Microceldas</v>
      </c>
      <c r="G209" s="666">
        <f t="shared" si="17"/>
        <v>5</v>
      </c>
      <c r="K209" s="675">
        <v>5</v>
      </c>
      <c r="L209" s="675">
        <v>0</v>
      </c>
      <c r="M209" s="675">
        <v>0</v>
      </c>
      <c r="N209"/>
      <c r="O209"/>
      <c r="P209"/>
      <c r="Q209"/>
      <c r="R209"/>
    </row>
    <row r="210" spans="3:18" hidden="1" outlineLevel="1" x14ac:dyDescent="0.2">
      <c r="C210" s="631"/>
      <c r="E210" s="670" t="str">
        <v>spare</v>
      </c>
      <c r="G210" s="666">
        <f t="shared" si="17"/>
        <v>0</v>
      </c>
      <c r="K210" s="675">
        <v>0</v>
      </c>
      <c r="L210" s="675">
        <v>0</v>
      </c>
      <c r="M210" s="675">
        <v>0</v>
      </c>
      <c r="N210"/>
      <c r="O210"/>
      <c r="P210"/>
      <c r="Q210"/>
      <c r="R210"/>
    </row>
    <row r="211" spans="3:18" hidden="1" outlineLevel="1" x14ac:dyDescent="0.2">
      <c r="C211" s="631"/>
      <c r="E211" s="670" t="str">
        <v>spare</v>
      </c>
      <c r="G211" s="666">
        <f t="shared" si="17"/>
        <v>0</v>
      </c>
      <c r="K211" s="675">
        <v>0</v>
      </c>
      <c r="L211" s="675">
        <v>0</v>
      </c>
      <c r="M211" s="675">
        <v>0</v>
      </c>
      <c r="N211"/>
      <c r="O211"/>
      <c r="P211"/>
      <c r="Q211"/>
      <c r="R211"/>
    </row>
    <row r="212" spans="3:18" hidden="1" outlineLevel="1" x14ac:dyDescent="0.2">
      <c r="C212" s="631"/>
      <c r="E212" s="670" t="str">
        <v>spare</v>
      </c>
      <c r="G212" s="666">
        <f t="shared" si="17"/>
        <v>0</v>
      </c>
      <c r="K212" s="675">
        <v>0</v>
      </c>
      <c r="L212" s="675">
        <v>0</v>
      </c>
      <c r="M212" s="675">
        <v>0</v>
      </c>
      <c r="N212"/>
      <c r="O212"/>
      <c r="P212"/>
      <c r="Q212"/>
      <c r="R212"/>
    </row>
    <row r="213" spans="3:18" hidden="1" outlineLevel="1" x14ac:dyDescent="0.2">
      <c r="C213" s="631"/>
      <c r="E213" s="670" t="str">
        <v>spare</v>
      </c>
      <c r="G213" s="666">
        <f t="shared" si="17"/>
        <v>0</v>
      </c>
      <c r="K213" s="675">
        <v>0</v>
      </c>
      <c r="L213" s="675">
        <v>0</v>
      </c>
      <c r="M213" s="675">
        <v>0</v>
      </c>
      <c r="N213"/>
      <c r="O213"/>
      <c r="P213"/>
      <c r="Q213"/>
      <c r="R213"/>
    </row>
    <row r="214" spans="3:18" collapsed="1" x14ac:dyDescent="0.2">
      <c r="C214" s="631"/>
      <c r="E214" s="670" t="str">
        <v>spare</v>
      </c>
      <c r="G214" s="666">
        <f t="shared" si="17"/>
        <v>0</v>
      </c>
      <c r="K214" s="675">
        <v>0</v>
      </c>
      <c r="L214" s="675">
        <v>0</v>
      </c>
      <c r="M214" s="675">
        <v>0</v>
      </c>
      <c r="N214"/>
      <c r="O214"/>
      <c r="P214"/>
      <c r="Q214"/>
      <c r="R214"/>
    </row>
    <row r="215" spans="3:18" x14ac:dyDescent="0.2">
      <c r="G215" s="634" t="s">
        <v>978</v>
      </c>
      <c r="N215"/>
      <c r="O215"/>
      <c r="P215"/>
      <c r="Q215"/>
      <c r="R215"/>
    </row>
    <row r="216" spans="3:18" x14ac:dyDescent="0.2">
      <c r="D216" s="657" t="s">
        <v>1349</v>
      </c>
      <c r="G216" s="634"/>
      <c r="N216"/>
      <c r="O216"/>
      <c r="P216"/>
      <c r="Q216"/>
      <c r="R216"/>
    </row>
    <row r="217" spans="3:18" x14ac:dyDescent="0.2">
      <c r="E217" s="670" t="str">
        <f t="array" ref="E217:E226">Geotypes</f>
        <v>Muy denso</v>
      </c>
      <c r="G217" s="666">
        <f t="shared" ref="G217:G226" si="18">INDEX(K217:M217,,MATCH(CTRL.scenario.selected,Scenario.list,0))</f>
        <v>7.5</v>
      </c>
      <c r="K217" s="675">
        <f t="array" ref="K217:K226">INDEX($K923:$M932,,MATCH(K$20,Operators.list,0))</f>
        <v>7.5</v>
      </c>
      <c r="L217" s="675">
        <f t="array" ref="L217:L226">INDEX($K923:$M932,,MATCH(L$20,Operators.list,0))</f>
        <v>0</v>
      </c>
      <c r="M217" s="675">
        <f t="array" ref="M217:M226">INDEX($K923:$M932,,MATCH(M$20,Operators.list,0))</f>
        <v>0</v>
      </c>
      <c r="N217"/>
      <c r="O217"/>
      <c r="P217"/>
      <c r="Q217"/>
      <c r="R217"/>
    </row>
    <row r="218" spans="3:18" hidden="1" outlineLevel="1" x14ac:dyDescent="0.2">
      <c r="E218" s="670" t="str">
        <v>Denso</v>
      </c>
      <c r="G218" s="666">
        <f t="shared" si="18"/>
        <v>7.5</v>
      </c>
      <c r="K218" s="675">
        <v>7.5</v>
      </c>
      <c r="L218" s="675">
        <v>0</v>
      </c>
      <c r="M218" s="675">
        <v>0</v>
      </c>
      <c r="N218"/>
      <c r="O218"/>
      <c r="P218"/>
      <c r="Q218"/>
      <c r="R218"/>
    </row>
    <row r="219" spans="3:18" hidden="1" outlineLevel="1" x14ac:dyDescent="0.2">
      <c r="E219" s="670" t="str">
        <v>Poco denso</v>
      </c>
      <c r="G219" s="666">
        <f t="shared" si="18"/>
        <v>7.5</v>
      </c>
      <c r="K219" s="675">
        <v>7.5</v>
      </c>
      <c r="L219" s="675">
        <v>0</v>
      </c>
      <c r="M219" s="675">
        <v>0</v>
      </c>
      <c r="N219"/>
      <c r="O219"/>
      <c r="P219"/>
      <c r="Q219"/>
      <c r="R219"/>
    </row>
    <row r="220" spans="3:18" hidden="1" outlineLevel="1" x14ac:dyDescent="0.2">
      <c r="E220" s="670" t="str">
        <v>Otro</v>
      </c>
      <c r="G220" s="666">
        <f t="shared" si="18"/>
        <v>7.5</v>
      </c>
      <c r="K220" s="675">
        <v>7.5</v>
      </c>
      <c r="L220" s="675">
        <v>0</v>
      </c>
      <c r="M220" s="675">
        <v>0</v>
      </c>
      <c r="N220"/>
      <c r="O220"/>
      <c r="P220"/>
      <c r="Q220"/>
      <c r="R220"/>
    </row>
    <row r="221" spans="3:18" hidden="1" outlineLevel="1" x14ac:dyDescent="0.2">
      <c r="E221" s="670" t="str">
        <v>Microceldas</v>
      </c>
      <c r="G221" s="666">
        <f t="shared" si="18"/>
        <v>7.5</v>
      </c>
      <c r="K221" s="675">
        <v>7.5</v>
      </c>
      <c r="L221" s="675">
        <v>0</v>
      </c>
      <c r="M221" s="675">
        <v>0</v>
      </c>
      <c r="N221"/>
      <c r="O221"/>
      <c r="P221"/>
      <c r="Q221"/>
      <c r="R221"/>
    </row>
    <row r="222" spans="3:18" hidden="1" outlineLevel="1" x14ac:dyDescent="0.2">
      <c r="E222" s="670" t="str">
        <v>spare</v>
      </c>
      <c r="G222" s="666">
        <f t="shared" si="18"/>
        <v>0</v>
      </c>
      <c r="K222" s="675">
        <v>0</v>
      </c>
      <c r="L222" s="675">
        <v>0</v>
      </c>
      <c r="M222" s="675">
        <v>0</v>
      </c>
      <c r="N222"/>
      <c r="O222"/>
      <c r="P222"/>
      <c r="Q222"/>
      <c r="R222"/>
    </row>
    <row r="223" spans="3:18" hidden="1" outlineLevel="1" x14ac:dyDescent="0.2">
      <c r="E223" s="670" t="str">
        <v>spare</v>
      </c>
      <c r="G223" s="666">
        <f t="shared" si="18"/>
        <v>0</v>
      </c>
      <c r="K223" s="675">
        <v>0</v>
      </c>
      <c r="L223" s="675">
        <v>0</v>
      </c>
      <c r="M223" s="675">
        <v>0</v>
      </c>
      <c r="N223"/>
      <c r="O223"/>
      <c r="P223"/>
      <c r="Q223"/>
      <c r="R223"/>
    </row>
    <row r="224" spans="3:18" hidden="1" outlineLevel="1" x14ac:dyDescent="0.2">
      <c r="E224" s="670" t="str">
        <v>spare</v>
      </c>
      <c r="G224" s="666">
        <f t="shared" si="18"/>
        <v>0</v>
      </c>
      <c r="K224" s="675">
        <v>0</v>
      </c>
      <c r="L224" s="675">
        <v>0</v>
      </c>
      <c r="M224" s="675">
        <v>0</v>
      </c>
      <c r="N224"/>
      <c r="O224"/>
      <c r="P224"/>
      <c r="Q224"/>
      <c r="R224"/>
    </row>
    <row r="225" spans="3:18" hidden="1" outlineLevel="1" x14ac:dyDescent="0.2">
      <c r="E225" s="670" t="str">
        <v>spare</v>
      </c>
      <c r="G225" s="666">
        <f t="shared" si="18"/>
        <v>0</v>
      </c>
      <c r="K225" s="675">
        <v>0</v>
      </c>
      <c r="L225" s="675">
        <v>0</v>
      </c>
      <c r="M225" s="675">
        <v>0</v>
      </c>
      <c r="N225"/>
      <c r="O225"/>
      <c r="P225"/>
      <c r="Q225"/>
      <c r="R225"/>
    </row>
    <row r="226" spans="3:18" collapsed="1" x14ac:dyDescent="0.2">
      <c r="E226" s="670" t="str">
        <v>spare</v>
      </c>
      <c r="G226" s="666">
        <f t="shared" si="18"/>
        <v>0</v>
      </c>
      <c r="K226" s="675">
        <v>0</v>
      </c>
      <c r="L226" s="675">
        <v>0</v>
      </c>
      <c r="M226" s="675">
        <v>0</v>
      </c>
      <c r="N226"/>
      <c r="O226"/>
      <c r="P226"/>
      <c r="Q226"/>
      <c r="R226"/>
    </row>
    <row r="227" spans="3:18" x14ac:dyDescent="0.2">
      <c r="G227" s="634" t="s">
        <v>979</v>
      </c>
      <c r="N227"/>
      <c r="O227"/>
      <c r="P227"/>
      <c r="Q227"/>
      <c r="R227"/>
    </row>
    <row r="228" spans="3:18" x14ac:dyDescent="0.2">
      <c r="C228" s="677">
        <v>2</v>
      </c>
      <c r="D228" s="657" t="str">
        <f>INDEX(Frequencies2,C228,)&amp;" MHz banda (2 veces X MHz)"</f>
        <v>900 MHz banda (2 veces X MHz)</v>
      </c>
      <c r="G228" s="634"/>
      <c r="N228"/>
      <c r="O228"/>
      <c r="P228"/>
      <c r="Q228"/>
      <c r="R228"/>
    </row>
    <row r="229" spans="3:18" x14ac:dyDescent="0.2">
      <c r="E229" s="670" t="str">
        <f t="array" ref="E229:E238">Geotypes</f>
        <v>Muy denso</v>
      </c>
      <c r="G229" s="666">
        <f t="shared" ref="G229:G238" si="19">INDEX(K229:M229,,MATCH(CTRL.scenario.selected,Scenario.list,0))</f>
        <v>0</v>
      </c>
      <c r="K229" s="675">
        <f t="array" ref="K229:K238">INDEX($K938:$M947,,MATCH(K$20,Operators.list,0))</f>
        <v>0</v>
      </c>
      <c r="L229" s="675">
        <f t="array" ref="L229:L238">INDEX($K938:$M947,,MATCH(L$20,Operators.list,0))</f>
        <v>0</v>
      </c>
      <c r="M229" s="675">
        <f t="array" ref="M229:M238">INDEX($K938:$M947,,MATCH(M$20,Operators.list,0))</f>
        <v>0</v>
      </c>
      <c r="N229"/>
      <c r="O229"/>
      <c r="P229"/>
      <c r="Q229"/>
      <c r="R229"/>
    </row>
    <row r="230" spans="3:18" hidden="1" outlineLevel="1" x14ac:dyDescent="0.2">
      <c r="E230" s="670" t="str">
        <v>Denso</v>
      </c>
      <c r="G230" s="666">
        <f t="shared" si="19"/>
        <v>0</v>
      </c>
      <c r="K230" s="675">
        <v>0</v>
      </c>
      <c r="L230" s="675">
        <v>0</v>
      </c>
      <c r="M230" s="675">
        <v>0</v>
      </c>
      <c r="N230"/>
      <c r="O230"/>
      <c r="P230"/>
      <c r="Q230"/>
      <c r="R230"/>
    </row>
    <row r="231" spans="3:18" hidden="1" outlineLevel="1" x14ac:dyDescent="0.2">
      <c r="E231" s="670" t="str">
        <v>Poco denso</v>
      </c>
      <c r="G231" s="666">
        <f t="shared" si="19"/>
        <v>0</v>
      </c>
      <c r="K231" s="675">
        <v>0</v>
      </c>
      <c r="L231" s="675">
        <v>0</v>
      </c>
      <c r="M231" s="675">
        <v>0</v>
      </c>
      <c r="N231"/>
      <c r="O231"/>
      <c r="P231"/>
      <c r="Q231"/>
      <c r="R231"/>
    </row>
    <row r="232" spans="3:18" hidden="1" outlineLevel="1" x14ac:dyDescent="0.2">
      <c r="E232" s="670" t="str">
        <v>Otro</v>
      </c>
      <c r="G232" s="666">
        <f t="shared" si="19"/>
        <v>0</v>
      </c>
      <c r="K232" s="675">
        <v>0</v>
      </c>
      <c r="L232" s="675">
        <v>0</v>
      </c>
      <c r="M232" s="675">
        <v>0</v>
      </c>
      <c r="N232"/>
      <c r="O232"/>
      <c r="P232"/>
      <c r="Q232"/>
      <c r="R232"/>
    </row>
    <row r="233" spans="3:18" hidden="1" outlineLevel="1" x14ac:dyDescent="0.2">
      <c r="E233" s="670" t="str">
        <v>Microceldas</v>
      </c>
      <c r="G233" s="666">
        <f t="shared" si="19"/>
        <v>0</v>
      </c>
      <c r="K233" s="675">
        <v>0</v>
      </c>
      <c r="L233" s="675">
        <v>0</v>
      </c>
      <c r="M233" s="675">
        <v>0</v>
      </c>
      <c r="N233"/>
      <c r="O233"/>
      <c r="P233"/>
      <c r="Q233"/>
      <c r="R233"/>
    </row>
    <row r="234" spans="3:18" hidden="1" outlineLevel="1" x14ac:dyDescent="0.2">
      <c r="E234" s="670" t="str">
        <v>spare</v>
      </c>
      <c r="G234" s="666">
        <f t="shared" si="19"/>
        <v>0</v>
      </c>
      <c r="K234" s="675">
        <v>0</v>
      </c>
      <c r="L234" s="675">
        <v>0</v>
      </c>
      <c r="M234" s="675">
        <v>0</v>
      </c>
      <c r="N234"/>
      <c r="O234"/>
      <c r="P234"/>
      <c r="Q234"/>
      <c r="R234"/>
    </row>
    <row r="235" spans="3:18" hidden="1" outlineLevel="1" x14ac:dyDescent="0.2">
      <c r="E235" s="670" t="str">
        <v>spare</v>
      </c>
      <c r="G235" s="666">
        <f t="shared" si="19"/>
        <v>0</v>
      </c>
      <c r="K235" s="675">
        <v>0</v>
      </c>
      <c r="L235" s="675">
        <v>0</v>
      </c>
      <c r="M235" s="675">
        <v>0</v>
      </c>
      <c r="N235"/>
      <c r="O235"/>
      <c r="P235"/>
      <c r="Q235"/>
      <c r="R235"/>
    </row>
    <row r="236" spans="3:18" hidden="1" outlineLevel="1" x14ac:dyDescent="0.2">
      <c r="E236" s="670" t="str">
        <v>spare</v>
      </c>
      <c r="G236" s="666">
        <f t="shared" si="19"/>
        <v>0</v>
      </c>
      <c r="K236" s="675">
        <v>0</v>
      </c>
      <c r="L236" s="675">
        <v>0</v>
      </c>
      <c r="M236" s="675">
        <v>0</v>
      </c>
      <c r="N236"/>
      <c r="O236"/>
      <c r="P236"/>
      <c r="Q236"/>
      <c r="R236"/>
    </row>
    <row r="237" spans="3:18" hidden="1" outlineLevel="1" x14ac:dyDescent="0.2">
      <c r="E237" s="670" t="str">
        <v>spare</v>
      </c>
      <c r="G237" s="666">
        <f t="shared" si="19"/>
        <v>0</v>
      </c>
      <c r="K237" s="675">
        <v>0</v>
      </c>
      <c r="L237" s="675">
        <v>0</v>
      </c>
      <c r="M237" s="675">
        <v>0</v>
      </c>
      <c r="N237"/>
      <c r="O237"/>
      <c r="P237"/>
      <c r="Q237"/>
      <c r="R237"/>
    </row>
    <row r="238" spans="3:18" collapsed="1" x14ac:dyDescent="0.2">
      <c r="E238" s="670" t="str">
        <v>spare</v>
      </c>
      <c r="G238" s="666">
        <f t="shared" si="19"/>
        <v>0</v>
      </c>
      <c r="K238" s="675">
        <v>0</v>
      </c>
      <c r="L238" s="675">
        <v>0</v>
      </c>
      <c r="M238" s="675">
        <v>0</v>
      </c>
      <c r="N238"/>
      <c r="O238"/>
      <c r="P238"/>
      <c r="Q238"/>
      <c r="R238"/>
    </row>
    <row r="239" spans="3:18" x14ac:dyDescent="0.2">
      <c r="G239" s="634" t="s">
        <v>476</v>
      </c>
      <c r="N239"/>
      <c r="O239"/>
      <c r="P239"/>
      <c r="Q239"/>
      <c r="R239"/>
    </row>
    <row r="240" spans="3:18" x14ac:dyDescent="0.2">
      <c r="D240" s="657" t="s">
        <v>1348</v>
      </c>
      <c r="G240" s="634"/>
      <c r="N240"/>
      <c r="O240"/>
      <c r="P240"/>
      <c r="Q240"/>
      <c r="R240"/>
    </row>
    <row r="241" spans="3:18" x14ac:dyDescent="0.2">
      <c r="C241" s="631"/>
      <c r="E241" s="670" t="str">
        <f t="array" ref="E241:E250">Geotypes</f>
        <v>Muy denso</v>
      </c>
      <c r="G241" s="666">
        <f t="shared" ref="G241:G250" si="20">INDEX(K241:M241,,MATCH(CTRL.scenario.selected,Scenario.list,0))</f>
        <v>0</v>
      </c>
      <c r="K241" s="675">
        <f t="array" ref="K241:K250">INDEX($K950:$M959,,MATCH(K$20,Operators.list,0))</f>
        <v>0</v>
      </c>
      <c r="L241" s="675">
        <f t="array" ref="L241:L250">INDEX($K950:$M959,,MATCH(L$20,Operators.list,0))</f>
        <v>0</v>
      </c>
      <c r="M241" s="675">
        <f t="array" ref="M241:M250">INDEX($K950:$M959,,MATCH(M$20,Operators.list,0))</f>
        <v>0</v>
      </c>
      <c r="N241"/>
      <c r="O241"/>
      <c r="P241"/>
      <c r="Q241"/>
      <c r="R241"/>
    </row>
    <row r="242" spans="3:18" hidden="1" outlineLevel="1" x14ac:dyDescent="0.2">
      <c r="C242" s="631"/>
      <c r="E242" s="670" t="str">
        <v>Denso</v>
      </c>
      <c r="G242" s="666">
        <f t="shared" si="20"/>
        <v>0</v>
      </c>
      <c r="K242" s="675">
        <v>0</v>
      </c>
      <c r="L242" s="675">
        <v>0</v>
      </c>
      <c r="M242" s="675">
        <v>0</v>
      </c>
      <c r="N242"/>
      <c r="O242"/>
      <c r="P242"/>
      <c r="Q242"/>
      <c r="R242"/>
    </row>
    <row r="243" spans="3:18" hidden="1" outlineLevel="1" x14ac:dyDescent="0.2">
      <c r="C243" s="631"/>
      <c r="E243" s="670" t="str">
        <v>Poco denso</v>
      </c>
      <c r="G243" s="666">
        <f t="shared" si="20"/>
        <v>0</v>
      </c>
      <c r="K243" s="675">
        <v>0</v>
      </c>
      <c r="L243" s="675">
        <v>0</v>
      </c>
      <c r="M243" s="675">
        <v>0</v>
      </c>
      <c r="N243"/>
      <c r="O243"/>
      <c r="P243"/>
      <c r="Q243"/>
      <c r="R243"/>
    </row>
    <row r="244" spans="3:18" hidden="1" outlineLevel="1" x14ac:dyDescent="0.2">
      <c r="C244" s="631"/>
      <c r="E244" s="670" t="str">
        <v>Otro</v>
      </c>
      <c r="G244" s="666">
        <f t="shared" si="20"/>
        <v>0</v>
      </c>
      <c r="K244" s="675">
        <v>0</v>
      </c>
      <c r="L244" s="675">
        <v>0</v>
      </c>
      <c r="M244" s="675">
        <v>0</v>
      </c>
      <c r="N244"/>
      <c r="O244"/>
      <c r="P244"/>
      <c r="Q244"/>
      <c r="R244"/>
    </row>
    <row r="245" spans="3:18" hidden="1" outlineLevel="1" x14ac:dyDescent="0.2">
      <c r="C245" s="631"/>
      <c r="E245" s="670" t="str">
        <v>Microceldas</v>
      </c>
      <c r="G245" s="666">
        <f t="shared" si="20"/>
        <v>0</v>
      </c>
      <c r="K245" s="675">
        <v>0</v>
      </c>
      <c r="L245" s="675">
        <v>0</v>
      </c>
      <c r="M245" s="675">
        <v>0</v>
      </c>
      <c r="N245"/>
      <c r="O245"/>
      <c r="P245"/>
      <c r="Q245"/>
      <c r="R245"/>
    </row>
    <row r="246" spans="3:18" hidden="1" outlineLevel="1" x14ac:dyDescent="0.2">
      <c r="C246" s="631"/>
      <c r="E246" s="670" t="str">
        <v>spare</v>
      </c>
      <c r="G246" s="666">
        <f t="shared" si="20"/>
        <v>0</v>
      </c>
      <c r="K246" s="675">
        <v>0</v>
      </c>
      <c r="L246" s="675">
        <v>0</v>
      </c>
      <c r="M246" s="675">
        <v>0</v>
      </c>
      <c r="N246"/>
      <c r="O246"/>
      <c r="P246"/>
      <c r="Q246"/>
      <c r="R246"/>
    </row>
    <row r="247" spans="3:18" hidden="1" outlineLevel="1" x14ac:dyDescent="0.2">
      <c r="C247" s="631"/>
      <c r="E247" s="670" t="str">
        <v>spare</v>
      </c>
      <c r="G247" s="666">
        <f t="shared" si="20"/>
        <v>0</v>
      </c>
      <c r="K247" s="675">
        <v>0</v>
      </c>
      <c r="L247" s="675">
        <v>0</v>
      </c>
      <c r="M247" s="675">
        <v>0</v>
      </c>
      <c r="N247"/>
      <c r="O247"/>
      <c r="P247"/>
      <c r="Q247"/>
      <c r="R247"/>
    </row>
    <row r="248" spans="3:18" hidden="1" outlineLevel="1" x14ac:dyDescent="0.2">
      <c r="C248" s="631"/>
      <c r="E248" s="670" t="str">
        <v>spare</v>
      </c>
      <c r="G248" s="666">
        <f t="shared" si="20"/>
        <v>0</v>
      </c>
      <c r="K248" s="675">
        <v>0</v>
      </c>
      <c r="L248" s="675">
        <v>0</v>
      </c>
      <c r="M248" s="675">
        <v>0</v>
      </c>
      <c r="N248"/>
      <c r="O248"/>
      <c r="P248"/>
      <c r="Q248"/>
      <c r="R248"/>
    </row>
    <row r="249" spans="3:18" hidden="1" outlineLevel="1" x14ac:dyDescent="0.2">
      <c r="C249" s="631"/>
      <c r="E249" s="670" t="str">
        <v>spare</v>
      </c>
      <c r="G249" s="666">
        <f t="shared" si="20"/>
        <v>0</v>
      </c>
      <c r="K249" s="675">
        <v>0</v>
      </c>
      <c r="L249" s="675">
        <v>0</v>
      </c>
      <c r="M249" s="675">
        <v>0</v>
      </c>
      <c r="N249"/>
      <c r="O249"/>
      <c r="P249"/>
      <c r="Q249"/>
      <c r="R249"/>
    </row>
    <row r="250" spans="3:18" collapsed="1" x14ac:dyDescent="0.2">
      <c r="C250" s="631"/>
      <c r="E250" s="670" t="str">
        <v>spare</v>
      </c>
      <c r="G250" s="666">
        <f t="shared" si="20"/>
        <v>0</v>
      </c>
      <c r="K250" s="675">
        <v>0</v>
      </c>
      <c r="L250" s="675">
        <v>0</v>
      </c>
      <c r="M250" s="675">
        <v>0</v>
      </c>
      <c r="N250"/>
      <c r="O250"/>
      <c r="P250"/>
      <c r="Q250"/>
      <c r="R250"/>
    </row>
    <row r="251" spans="3:18" x14ac:dyDescent="0.2">
      <c r="G251" s="634" t="s">
        <v>980</v>
      </c>
      <c r="N251"/>
      <c r="O251"/>
      <c r="P251"/>
      <c r="Q251"/>
      <c r="R251"/>
    </row>
    <row r="252" spans="3:18" x14ac:dyDescent="0.2">
      <c r="D252" s="657" t="s">
        <v>1349</v>
      </c>
      <c r="G252" s="634"/>
      <c r="N252"/>
      <c r="O252"/>
      <c r="P252"/>
      <c r="Q252"/>
      <c r="R252"/>
    </row>
    <row r="253" spans="3:18" x14ac:dyDescent="0.2">
      <c r="E253" s="670" t="str">
        <f t="array" ref="E253:E262">Geotypes</f>
        <v>Muy denso</v>
      </c>
      <c r="G253" s="666">
        <f t="shared" ref="G253:G262" si="21">INDEX(K253:M253,,MATCH(CTRL.scenario.selected,Scenario.list,0))</f>
        <v>0</v>
      </c>
      <c r="K253" s="675">
        <f t="array" ref="K253:K262">INDEX($K962:$M971,,MATCH(K$20,Operators.list,0))</f>
        <v>0</v>
      </c>
      <c r="L253" s="675">
        <f t="array" ref="L253:L262">INDEX($K962:$M971,,MATCH(L$20,Operators.list,0))</f>
        <v>0</v>
      </c>
      <c r="M253" s="675">
        <f t="array" ref="M253:M262">INDEX($K962:$M971,,MATCH(M$20,Operators.list,0))</f>
        <v>0</v>
      </c>
      <c r="N253"/>
      <c r="O253"/>
      <c r="P253"/>
      <c r="Q253"/>
      <c r="R253"/>
    </row>
    <row r="254" spans="3:18" hidden="1" outlineLevel="1" x14ac:dyDescent="0.2">
      <c r="E254" s="670" t="str">
        <v>Denso</v>
      </c>
      <c r="G254" s="666">
        <f t="shared" si="21"/>
        <v>0</v>
      </c>
      <c r="K254" s="675">
        <v>0</v>
      </c>
      <c r="L254" s="675">
        <v>0</v>
      </c>
      <c r="M254" s="675">
        <v>0</v>
      </c>
      <c r="N254"/>
      <c r="O254"/>
      <c r="P254"/>
      <c r="Q254"/>
      <c r="R254"/>
    </row>
    <row r="255" spans="3:18" hidden="1" outlineLevel="1" x14ac:dyDescent="0.2">
      <c r="E255" s="670" t="str">
        <v>Poco denso</v>
      </c>
      <c r="G255" s="666">
        <f t="shared" si="21"/>
        <v>0</v>
      </c>
      <c r="K255" s="675">
        <v>0</v>
      </c>
      <c r="L255" s="675">
        <v>0</v>
      </c>
      <c r="M255" s="675">
        <v>0</v>
      </c>
      <c r="N255"/>
      <c r="O255"/>
      <c r="P255"/>
      <c r="Q255"/>
      <c r="R255"/>
    </row>
    <row r="256" spans="3:18" hidden="1" outlineLevel="1" x14ac:dyDescent="0.2">
      <c r="E256" s="670" t="str">
        <v>Otro</v>
      </c>
      <c r="G256" s="666">
        <f t="shared" si="21"/>
        <v>0</v>
      </c>
      <c r="K256" s="675">
        <v>0</v>
      </c>
      <c r="L256" s="675">
        <v>0</v>
      </c>
      <c r="M256" s="675">
        <v>0</v>
      </c>
      <c r="N256"/>
      <c r="O256"/>
      <c r="P256"/>
      <c r="Q256"/>
      <c r="R256"/>
    </row>
    <row r="257" spans="3:18" hidden="1" outlineLevel="1" x14ac:dyDescent="0.2">
      <c r="E257" s="670" t="str">
        <v>Microceldas</v>
      </c>
      <c r="G257" s="666">
        <f t="shared" si="21"/>
        <v>0</v>
      </c>
      <c r="K257" s="675">
        <v>0</v>
      </c>
      <c r="L257" s="675">
        <v>0</v>
      </c>
      <c r="M257" s="675">
        <v>0</v>
      </c>
      <c r="N257"/>
      <c r="O257"/>
      <c r="P257"/>
      <c r="Q257"/>
      <c r="R257"/>
    </row>
    <row r="258" spans="3:18" hidden="1" outlineLevel="1" x14ac:dyDescent="0.2">
      <c r="E258" s="670" t="str">
        <v>spare</v>
      </c>
      <c r="G258" s="666">
        <f t="shared" si="21"/>
        <v>0</v>
      </c>
      <c r="K258" s="675">
        <v>0</v>
      </c>
      <c r="L258" s="675">
        <v>0</v>
      </c>
      <c r="M258" s="675">
        <v>0</v>
      </c>
      <c r="N258"/>
      <c r="O258"/>
      <c r="P258"/>
      <c r="Q258"/>
      <c r="R258"/>
    </row>
    <row r="259" spans="3:18" hidden="1" outlineLevel="1" x14ac:dyDescent="0.2">
      <c r="E259" s="670" t="str">
        <v>spare</v>
      </c>
      <c r="G259" s="666">
        <f t="shared" si="21"/>
        <v>0</v>
      </c>
      <c r="K259" s="675">
        <v>0</v>
      </c>
      <c r="L259" s="675">
        <v>0</v>
      </c>
      <c r="M259" s="675">
        <v>0</v>
      </c>
      <c r="N259"/>
      <c r="O259"/>
      <c r="P259"/>
      <c r="Q259"/>
      <c r="R259"/>
    </row>
    <row r="260" spans="3:18" hidden="1" outlineLevel="1" x14ac:dyDescent="0.2">
      <c r="E260" s="670" t="str">
        <v>spare</v>
      </c>
      <c r="G260" s="666">
        <f t="shared" si="21"/>
        <v>0</v>
      </c>
      <c r="K260" s="675">
        <v>0</v>
      </c>
      <c r="L260" s="675">
        <v>0</v>
      </c>
      <c r="M260" s="675">
        <v>0</v>
      </c>
      <c r="N260"/>
      <c r="O260"/>
      <c r="P260"/>
      <c r="Q260"/>
      <c r="R260"/>
    </row>
    <row r="261" spans="3:18" hidden="1" outlineLevel="1" x14ac:dyDescent="0.2">
      <c r="E261" s="670" t="str">
        <v>spare</v>
      </c>
      <c r="G261" s="666">
        <f t="shared" si="21"/>
        <v>0</v>
      </c>
      <c r="K261" s="675">
        <v>0</v>
      </c>
      <c r="L261" s="675">
        <v>0</v>
      </c>
      <c r="M261" s="675">
        <v>0</v>
      </c>
      <c r="N261"/>
      <c r="O261"/>
      <c r="P261"/>
      <c r="Q261"/>
      <c r="R261"/>
    </row>
    <row r="262" spans="3:18" collapsed="1" x14ac:dyDescent="0.2">
      <c r="E262" s="670" t="str">
        <v>spare</v>
      </c>
      <c r="G262" s="666">
        <f t="shared" si="21"/>
        <v>0</v>
      </c>
      <c r="K262" s="675">
        <v>0</v>
      </c>
      <c r="L262" s="675">
        <v>0</v>
      </c>
      <c r="M262" s="675">
        <v>0</v>
      </c>
      <c r="N262"/>
      <c r="O262"/>
      <c r="P262"/>
      <c r="Q262"/>
      <c r="R262"/>
    </row>
    <row r="263" spans="3:18" x14ac:dyDescent="0.2">
      <c r="G263" s="634" t="s">
        <v>981</v>
      </c>
      <c r="N263"/>
      <c r="O263"/>
      <c r="P263"/>
      <c r="Q263"/>
      <c r="R263"/>
    </row>
    <row r="264" spans="3:18" x14ac:dyDescent="0.2">
      <c r="C264" s="677">
        <v>3</v>
      </c>
      <c r="D264" s="657" t="str">
        <f>INDEX(Frequencies2,C264,)&amp;" MHz banda (2 veces X MHz)"</f>
        <v>1900 MHz banda (2 veces X MHz)</v>
      </c>
      <c r="G264" s="678"/>
      <c r="N264"/>
      <c r="O264"/>
      <c r="P264"/>
      <c r="Q264"/>
      <c r="R264"/>
    </row>
    <row r="265" spans="3:18" x14ac:dyDescent="0.2">
      <c r="E265" s="670" t="str">
        <f t="array" ref="E265:E274">Geotypes</f>
        <v>Muy denso</v>
      </c>
      <c r="G265" s="666">
        <f t="shared" ref="G265:G274" si="22">INDEX(K265:M265,,MATCH(CTRL.scenario.selected,Scenario.list,0))</f>
        <v>20</v>
      </c>
      <c r="K265" s="675">
        <f t="array" ref="K265:K274">INDEX($K977:$M986,,MATCH(K$20,Operators.list,0))</f>
        <v>20</v>
      </c>
      <c r="L265" s="675">
        <f t="array" ref="L265:L274">INDEX($K977:$M986,,MATCH(L$20,Operators.list,0))</f>
        <v>0</v>
      </c>
      <c r="M265" s="675">
        <f t="array" ref="M265:M274">INDEX($K977:$M986,,MATCH(M$20,Operators.list,0))</f>
        <v>0</v>
      </c>
      <c r="N265"/>
      <c r="O265"/>
      <c r="P265"/>
      <c r="Q265"/>
      <c r="R265"/>
    </row>
    <row r="266" spans="3:18" hidden="1" outlineLevel="1" x14ac:dyDescent="0.2">
      <c r="E266" s="670" t="str">
        <v>Denso</v>
      </c>
      <c r="G266" s="666">
        <f t="shared" si="22"/>
        <v>20</v>
      </c>
      <c r="K266" s="675">
        <v>20</v>
      </c>
      <c r="L266" s="675">
        <v>0</v>
      </c>
      <c r="M266" s="675">
        <v>0</v>
      </c>
      <c r="N266"/>
      <c r="O266"/>
      <c r="P266"/>
      <c r="Q266"/>
      <c r="R266"/>
    </row>
    <row r="267" spans="3:18" hidden="1" outlineLevel="1" x14ac:dyDescent="0.2">
      <c r="E267" s="670" t="str">
        <v>Poco denso</v>
      </c>
      <c r="G267" s="666">
        <f t="shared" si="22"/>
        <v>20</v>
      </c>
      <c r="K267" s="675">
        <v>20</v>
      </c>
      <c r="L267" s="675">
        <v>0</v>
      </c>
      <c r="M267" s="675">
        <v>0</v>
      </c>
      <c r="N267"/>
      <c r="O267"/>
      <c r="P267"/>
      <c r="Q267"/>
      <c r="R267"/>
    </row>
    <row r="268" spans="3:18" hidden="1" outlineLevel="1" x14ac:dyDescent="0.2">
      <c r="E268" s="670" t="str">
        <v>Otro</v>
      </c>
      <c r="G268" s="666">
        <f t="shared" si="22"/>
        <v>20</v>
      </c>
      <c r="K268" s="675">
        <v>20</v>
      </c>
      <c r="L268" s="675">
        <v>0</v>
      </c>
      <c r="M268" s="675">
        <v>0</v>
      </c>
      <c r="N268"/>
      <c r="O268"/>
      <c r="P268"/>
      <c r="Q268"/>
      <c r="R268"/>
    </row>
    <row r="269" spans="3:18" hidden="1" outlineLevel="1" x14ac:dyDescent="0.2">
      <c r="E269" s="670" t="str">
        <v>Microceldas</v>
      </c>
      <c r="G269" s="666">
        <f t="shared" si="22"/>
        <v>20</v>
      </c>
      <c r="K269" s="675">
        <v>20</v>
      </c>
      <c r="L269" s="675">
        <v>0</v>
      </c>
      <c r="M269" s="675">
        <v>0</v>
      </c>
      <c r="N269"/>
      <c r="O269"/>
      <c r="P269"/>
      <c r="Q269"/>
      <c r="R269"/>
    </row>
    <row r="270" spans="3:18" hidden="1" outlineLevel="1" x14ac:dyDescent="0.2">
      <c r="E270" s="670" t="str">
        <v>spare</v>
      </c>
      <c r="G270" s="666">
        <f t="shared" si="22"/>
        <v>0</v>
      </c>
      <c r="K270" s="675">
        <v>0</v>
      </c>
      <c r="L270" s="675">
        <v>0</v>
      </c>
      <c r="M270" s="675">
        <v>0</v>
      </c>
      <c r="N270"/>
      <c r="O270"/>
      <c r="P270"/>
      <c r="Q270"/>
      <c r="R270"/>
    </row>
    <row r="271" spans="3:18" hidden="1" outlineLevel="1" x14ac:dyDescent="0.2">
      <c r="E271" s="670" t="str">
        <v>spare</v>
      </c>
      <c r="G271" s="666">
        <f t="shared" si="22"/>
        <v>0</v>
      </c>
      <c r="K271" s="675">
        <v>0</v>
      </c>
      <c r="L271" s="675">
        <v>0</v>
      </c>
      <c r="M271" s="675">
        <v>0</v>
      </c>
      <c r="N271"/>
      <c r="O271"/>
      <c r="P271"/>
      <c r="Q271"/>
      <c r="R271"/>
    </row>
    <row r="272" spans="3:18" hidden="1" outlineLevel="1" x14ac:dyDescent="0.2">
      <c r="E272" s="670" t="str">
        <v>spare</v>
      </c>
      <c r="G272" s="666">
        <f t="shared" si="22"/>
        <v>0</v>
      </c>
      <c r="K272" s="675">
        <v>0</v>
      </c>
      <c r="L272" s="675">
        <v>0</v>
      </c>
      <c r="M272" s="675">
        <v>0</v>
      </c>
      <c r="N272"/>
      <c r="O272"/>
      <c r="P272"/>
      <c r="Q272"/>
      <c r="R272"/>
    </row>
    <row r="273" spans="3:18" hidden="1" outlineLevel="1" x14ac:dyDescent="0.2">
      <c r="E273" s="670" t="str">
        <v>spare</v>
      </c>
      <c r="G273" s="666">
        <f t="shared" si="22"/>
        <v>0</v>
      </c>
      <c r="K273" s="675">
        <v>0</v>
      </c>
      <c r="L273" s="675">
        <v>0</v>
      </c>
      <c r="M273" s="675">
        <v>0</v>
      </c>
      <c r="N273"/>
      <c r="O273"/>
      <c r="P273"/>
      <c r="Q273"/>
      <c r="R273"/>
    </row>
    <row r="274" spans="3:18" collapsed="1" x14ac:dyDescent="0.2">
      <c r="E274" s="670" t="str">
        <v>spare</v>
      </c>
      <c r="G274" s="666">
        <f t="shared" si="22"/>
        <v>0</v>
      </c>
      <c r="K274" s="675">
        <v>0</v>
      </c>
      <c r="L274" s="675">
        <v>0</v>
      </c>
      <c r="M274" s="675">
        <v>0</v>
      </c>
      <c r="N274"/>
      <c r="O274"/>
      <c r="P274"/>
      <c r="Q274"/>
      <c r="R274"/>
    </row>
    <row r="275" spans="3:18" x14ac:dyDescent="0.2">
      <c r="G275" s="634" t="s">
        <v>475</v>
      </c>
      <c r="N275"/>
      <c r="O275"/>
      <c r="P275"/>
      <c r="Q275"/>
      <c r="R275"/>
    </row>
    <row r="276" spans="3:18" x14ac:dyDescent="0.2">
      <c r="D276" s="657" t="s">
        <v>1348</v>
      </c>
      <c r="G276" s="634"/>
      <c r="N276"/>
      <c r="O276"/>
      <c r="P276"/>
      <c r="Q276"/>
      <c r="R276"/>
    </row>
    <row r="277" spans="3:18" x14ac:dyDescent="0.2">
      <c r="C277" s="631"/>
      <c r="E277" s="670" t="str">
        <f t="array" ref="E277:E286">Geotypes</f>
        <v>Muy denso</v>
      </c>
      <c r="G277" s="666">
        <f t="shared" ref="G277:G286" si="23">INDEX(K277:M277,,MATCH(CTRL.scenario.selected,Scenario.list,0))</f>
        <v>10</v>
      </c>
      <c r="K277" s="675">
        <f t="array" ref="K277:K286">INDEX($K989:$M998,,MATCH(K$20,Operators.list,0))</f>
        <v>10</v>
      </c>
      <c r="L277" s="675">
        <f t="array" ref="L277:L286">INDEX($K989:$M998,,MATCH(L$20,Operators.list,0))</f>
        <v>0</v>
      </c>
      <c r="M277" s="675">
        <f t="array" ref="M277:M286">INDEX($K989:$M998,,MATCH(M$20,Operators.list,0))</f>
        <v>0</v>
      </c>
      <c r="N277"/>
      <c r="O277"/>
      <c r="P277"/>
      <c r="Q277"/>
      <c r="R277"/>
    </row>
    <row r="278" spans="3:18" hidden="1" outlineLevel="1" x14ac:dyDescent="0.2">
      <c r="C278" s="631"/>
      <c r="E278" s="670" t="str">
        <v>Denso</v>
      </c>
      <c r="G278" s="666">
        <f t="shared" si="23"/>
        <v>10</v>
      </c>
      <c r="K278" s="675">
        <v>10</v>
      </c>
      <c r="L278" s="675">
        <v>0</v>
      </c>
      <c r="M278" s="675">
        <v>0</v>
      </c>
      <c r="N278"/>
      <c r="O278"/>
      <c r="P278"/>
      <c r="Q278"/>
      <c r="R278"/>
    </row>
    <row r="279" spans="3:18" hidden="1" outlineLevel="1" x14ac:dyDescent="0.2">
      <c r="C279" s="631"/>
      <c r="E279" s="670" t="str">
        <v>Poco denso</v>
      </c>
      <c r="G279" s="666">
        <f t="shared" si="23"/>
        <v>10</v>
      </c>
      <c r="K279" s="675">
        <v>10</v>
      </c>
      <c r="L279" s="675">
        <v>0</v>
      </c>
      <c r="M279" s="675">
        <v>0</v>
      </c>
      <c r="N279"/>
      <c r="O279"/>
      <c r="P279"/>
      <c r="Q279"/>
      <c r="R279"/>
    </row>
    <row r="280" spans="3:18" hidden="1" outlineLevel="1" x14ac:dyDescent="0.2">
      <c r="C280" s="631"/>
      <c r="E280" s="670" t="str">
        <v>Otro</v>
      </c>
      <c r="G280" s="666">
        <f t="shared" si="23"/>
        <v>10</v>
      </c>
      <c r="K280" s="675">
        <v>10</v>
      </c>
      <c r="L280" s="675">
        <v>0</v>
      </c>
      <c r="M280" s="675">
        <v>0</v>
      </c>
      <c r="N280"/>
      <c r="O280"/>
      <c r="P280"/>
      <c r="Q280"/>
      <c r="R280"/>
    </row>
    <row r="281" spans="3:18" hidden="1" outlineLevel="1" x14ac:dyDescent="0.2">
      <c r="C281" s="631"/>
      <c r="E281" s="670" t="str">
        <v>Microceldas</v>
      </c>
      <c r="G281" s="666">
        <f t="shared" si="23"/>
        <v>10</v>
      </c>
      <c r="K281" s="675">
        <v>10</v>
      </c>
      <c r="L281" s="675">
        <v>0</v>
      </c>
      <c r="M281" s="675">
        <v>0</v>
      </c>
      <c r="N281"/>
      <c r="O281"/>
      <c r="P281"/>
      <c r="Q281"/>
      <c r="R281"/>
    </row>
    <row r="282" spans="3:18" hidden="1" outlineLevel="1" x14ac:dyDescent="0.2">
      <c r="C282" s="631"/>
      <c r="E282" s="670" t="str">
        <v>spare</v>
      </c>
      <c r="G282" s="666">
        <f t="shared" si="23"/>
        <v>0</v>
      </c>
      <c r="K282" s="675">
        <v>0</v>
      </c>
      <c r="L282" s="675">
        <v>0</v>
      </c>
      <c r="M282" s="675">
        <v>0</v>
      </c>
      <c r="N282"/>
      <c r="O282"/>
      <c r="P282"/>
      <c r="Q282"/>
      <c r="R282"/>
    </row>
    <row r="283" spans="3:18" hidden="1" outlineLevel="1" x14ac:dyDescent="0.2">
      <c r="C283" s="631"/>
      <c r="E283" s="670" t="str">
        <v>spare</v>
      </c>
      <c r="G283" s="666">
        <f t="shared" si="23"/>
        <v>0</v>
      </c>
      <c r="K283" s="675">
        <v>0</v>
      </c>
      <c r="L283" s="675">
        <v>0</v>
      </c>
      <c r="M283" s="675">
        <v>0</v>
      </c>
      <c r="N283"/>
      <c r="O283"/>
      <c r="P283"/>
      <c r="Q283"/>
      <c r="R283"/>
    </row>
    <row r="284" spans="3:18" hidden="1" outlineLevel="1" x14ac:dyDescent="0.2">
      <c r="C284" s="631"/>
      <c r="E284" s="670" t="str">
        <v>spare</v>
      </c>
      <c r="G284" s="666">
        <f t="shared" si="23"/>
        <v>0</v>
      </c>
      <c r="K284" s="675">
        <v>0</v>
      </c>
      <c r="L284" s="675">
        <v>0</v>
      </c>
      <c r="M284" s="675">
        <v>0</v>
      </c>
      <c r="N284"/>
      <c r="O284"/>
      <c r="P284"/>
      <c r="Q284"/>
      <c r="R284"/>
    </row>
    <row r="285" spans="3:18" hidden="1" outlineLevel="1" x14ac:dyDescent="0.2">
      <c r="C285" s="631"/>
      <c r="E285" s="670" t="str">
        <v>spare</v>
      </c>
      <c r="G285" s="666">
        <f t="shared" si="23"/>
        <v>0</v>
      </c>
      <c r="K285" s="675">
        <v>0</v>
      </c>
      <c r="L285" s="675">
        <v>0</v>
      </c>
      <c r="M285" s="675">
        <v>0</v>
      </c>
      <c r="N285"/>
      <c r="O285"/>
      <c r="P285"/>
      <c r="Q285"/>
      <c r="R285"/>
    </row>
    <row r="286" spans="3:18" collapsed="1" x14ac:dyDescent="0.2">
      <c r="C286" s="631"/>
      <c r="E286" s="670" t="str">
        <v>spare</v>
      </c>
      <c r="G286" s="666">
        <f t="shared" si="23"/>
        <v>0</v>
      </c>
      <c r="K286" s="675">
        <v>0</v>
      </c>
      <c r="L286" s="675">
        <v>0</v>
      </c>
      <c r="M286" s="675">
        <v>0</v>
      </c>
      <c r="N286"/>
      <c r="O286"/>
      <c r="P286"/>
      <c r="Q286"/>
      <c r="R286"/>
    </row>
    <row r="287" spans="3:18" x14ac:dyDescent="0.2">
      <c r="G287" s="634" t="s">
        <v>982</v>
      </c>
      <c r="N287"/>
      <c r="O287"/>
      <c r="P287"/>
      <c r="Q287"/>
      <c r="R287"/>
    </row>
    <row r="288" spans="3:18" x14ac:dyDescent="0.2">
      <c r="D288" s="657" t="s">
        <v>1349</v>
      </c>
      <c r="G288" s="634"/>
      <c r="N288"/>
      <c r="O288"/>
      <c r="P288"/>
      <c r="Q288"/>
      <c r="R288"/>
    </row>
    <row r="289" spans="3:18" x14ac:dyDescent="0.2">
      <c r="E289" s="670" t="str">
        <f t="array" ref="E289:E298">Geotypes</f>
        <v>Muy denso</v>
      </c>
      <c r="G289" s="666">
        <f t="shared" ref="G289:G298" si="24">INDEX(K289:M289,,MATCH(CTRL.scenario.selected,Scenario.list,0))</f>
        <v>10</v>
      </c>
      <c r="K289" s="675">
        <f t="array" ref="K289:K298">INDEX($K1001:$M1010,,MATCH(K$20,Operators.list,0))</f>
        <v>10</v>
      </c>
      <c r="L289" s="675">
        <f t="array" ref="L289:L298">INDEX($K1001:$M1010,,MATCH(L$20,Operators.list,0))</f>
        <v>0</v>
      </c>
      <c r="M289" s="675">
        <f t="array" ref="M289:M298">INDEX($K1001:$M1010,,MATCH(M$20,Operators.list,0))</f>
        <v>0</v>
      </c>
      <c r="N289"/>
      <c r="O289"/>
      <c r="P289"/>
      <c r="Q289"/>
      <c r="R289"/>
    </row>
    <row r="290" spans="3:18" hidden="1" outlineLevel="1" x14ac:dyDescent="0.2">
      <c r="E290" s="670" t="str">
        <v>Denso</v>
      </c>
      <c r="G290" s="666">
        <f t="shared" si="24"/>
        <v>10</v>
      </c>
      <c r="K290" s="675">
        <v>10</v>
      </c>
      <c r="L290" s="675">
        <v>0</v>
      </c>
      <c r="M290" s="675">
        <v>0</v>
      </c>
      <c r="N290"/>
      <c r="O290"/>
      <c r="P290"/>
      <c r="Q290"/>
      <c r="R290"/>
    </row>
    <row r="291" spans="3:18" hidden="1" outlineLevel="1" x14ac:dyDescent="0.2">
      <c r="E291" s="670" t="str">
        <v>Poco denso</v>
      </c>
      <c r="G291" s="666">
        <f t="shared" si="24"/>
        <v>10</v>
      </c>
      <c r="K291" s="675">
        <v>10</v>
      </c>
      <c r="L291" s="675">
        <v>0</v>
      </c>
      <c r="M291" s="675">
        <v>0</v>
      </c>
      <c r="N291"/>
      <c r="O291"/>
      <c r="P291"/>
      <c r="Q291"/>
      <c r="R291"/>
    </row>
    <row r="292" spans="3:18" hidden="1" outlineLevel="1" x14ac:dyDescent="0.2">
      <c r="E292" s="670" t="str">
        <v>Otro</v>
      </c>
      <c r="G292" s="666">
        <f t="shared" si="24"/>
        <v>10</v>
      </c>
      <c r="K292" s="675">
        <v>10</v>
      </c>
      <c r="L292" s="675">
        <v>0</v>
      </c>
      <c r="M292" s="675">
        <v>0</v>
      </c>
      <c r="N292"/>
      <c r="O292"/>
      <c r="P292"/>
      <c r="Q292"/>
      <c r="R292"/>
    </row>
    <row r="293" spans="3:18" hidden="1" outlineLevel="1" x14ac:dyDescent="0.2">
      <c r="E293" s="670" t="str">
        <v>Microceldas</v>
      </c>
      <c r="G293" s="666">
        <f t="shared" si="24"/>
        <v>10</v>
      </c>
      <c r="K293" s="675">
        <v>10</v>
      </c>
      <c r="L293" s="675">
        <v>0</v>
      </c>
      <c r="M293" s="675">
        <v>0</v>
      </c>
      <c r="N293"/>
      <c r="O293"/>
      <c r="P293"/>
      <c r="Q293"/>
      <c r="R293"/>
    </row>
    <row r="294" spans="3:18" hidden="1" outlineLevel="1" x14ac:dyDescent="0.2">
      <c r="E294" s="670" t="str">
        <v>spare</v>
      </c>
      <c r="G294" s="666">
        <f t="shared" si="24"/>
        <v>0</v>
      </c>
      <c r="K294" s="675">
        <v>0</v>
      </c>
      <c r="L294" s="675">
        <v>0</v>
      </c>
      <c r="M294" s="675">
        <v>0</v>
      </c>
      <c r="N294"/>
      <c r="O294"/>
      <c r="P294"/>
      <c r="Q294"/>
      <c r="R294"/>
    </row>
    <row r="295" spans="3:18" hidden="1" outlineLevel="1" x14ac:dyDescent="0.2">
      <c r="E295" s="670" t="str">
        <v>spare</v>
      </c>
      <c r="G295" s="666">
        <f t="shared" si="24"/>
        <v>0</v>
      </c>
      <c r="K295" s="675">
        <v>0</v>
      </c>
      <c r="L295" s="675">
        <v>0</v>
      </c>
      <c r="M295" s="675">
        <v>0</v>
      </c>
      <c r="N295"/>
      <c r="O295"/>
      <c r="P295"/>
      <c r="Q295"/>
      <c r="R295"/>
    </row>
    <row r="296" spans="3:18" hidden="1" outlineLevel="1" x14ac:dyDescent="0.2">
      <c r="E296" s="670" t="str">
        <v>spare</v>
      </c>
      <c r="G296" s="666">
        <f t="shared" si="24"/>
        <v>0</v>
      </c>
      <c r="K296" s="675">
        <v>0</v>
      </c>
      <c r="L296" s="675">
        <v>0</v>
      </c>
      <c r="M296" s="675">
        <v>0</v>
      </c>
      <c r="N296"/>
      <c r="O296"/>
      <c r="P296"/>
      <c r="Q296"/>
      <c r="R296"/>
    </row>
    <row r="297" spans="3:18" hidden="1" outlineLevel="1" x14ac:dyDescent="0.2">
      <c r="E297" s="670" t="str">
        <v>spare</v>
      </c>
      <c r="G297" s="666">
        <f t="shared" si="24"/>
        <v>0</v>
      </c>
      <c r="K297" s="675">
        <v>0</v>
      </c>
      <c r="L297" s="675">
        <v>0</v>
      </c>
      <c r="M297" s="675">
        <v>0</v>
      </c>
      <c r="N297"/>
      <c r="O297"/>
      <c r="P297"/>
      <c r="Q297"/>
      <c r="R297"/>
    </row>
    <row r="298" spans="3:18" collapsed="1" x14ac:dyDescent="0.2">
      <c r="E298" s="670" t="str">
        <v>spare</v>
      </c>
      <c r="G298" s="666">
        <f t="shared" si="24"/>
        <v>0</v>
      </c>
      <c r="K298" s="675">
        <v>0</v>
      </c>
      <c r="L298" s="675">
        <v>0</v>
      </c>
      <c r="M298" s="675">
        <v>0</v>
      </c>
      <c r="N298"/>
      <c r="O298"/>
      <c r="P298"/>
      <c r="Q298"/>
      <c r="R298"/>
    </row>
    <row r="299" spans="3:18" x14ac:dyDescent="0.2">
      <c r="G299" s="634" t="s">
        <v>983</v>
      </c>
      <c r="N299"/>
      <c r="O299"/>
      <c r="P299"/>
      <c r="Q299"/>
      <c r="R299"/>
    </row>
    <row r="300" spans="3:18" x14ac:dyDescent="0.2">
      <c r="C300" s="677">
        <v>4</v>
      </c>
      <c r="D300" s="657" t="str">
        <f>INDEX(Frequencies2,C300,)&amp;" MHz banda (2 veces X MHz)"</f>
        <v>1700/2100 (AWS) MHz banda (2 veces X MHz)</v>
      </c>
      <c r="G300" s="678"/>
      <c r="N300"/>
      <c r="O300"/>
      <c r="P300"/>
      <c r="Q300"/>
      <c r="R300"/>
    </row>
    <row r="301" spans="3:18" x14ac:dyDescent="0.2">
      <c r="E301" s="670" t="str">
        <f t="array" ref="E301:E310">Geotypes</f>
        <v>Muy denso</v>
      </c>
      <c r="G301" s="666">
        <f t="shared" ref="G301:G310" si="25">INDEX(K301:M301,,MATCH(CTRL.scenario.selected,Scenario.list,0))</f>
        <v>12.5</v>
      </c>
      <c r="K301" s="675">
        <f t="array" ref="K301:K310">INDEX($K1016:$M1025,,MATCH(K$20,Operators.list,0))</f>
        <v>12.5</v>
      </c>
      <c r="L301" s="675">
        <f t="array" ref="L301:L310">INDEX($K1016:$M1025,,MATCH(L$20,Operators.list,0))</f>
        <v>0</v>
      </c>
      <c r="M301" s="675">
        <f t="array" ref="M301:M310">INDEX($K1016:$M1025,,MATCH(M$20,Operators.list,0))</f>
        <v>0</v>
      </c>
      <c r="N301"/>
      <c r="O301"/>
      <c r="P301"/>
      <c r="Q301"/>
      <c r="R301"/>
    </row>
    <row r="302" spans="3:18" hidden="1" outlineLevel="1" x14ac:dyDescent="0.2">
      <c r="E302" s="670" t="str">
        <v>Denso</v>
      </c>
      <c r="G302" s="666">
        <f t="shared" si="25"/>
        <v>12.5</v>
      </c>
      <c r="K302" s="675">
        <v>12.5</v>
      </c>
      <c r="L302" s="675">
        <v>0</v>
      </c>
      <c r="M302" s="675">
        <v>0</v>
      </c>
      <c r="N302"/>
      <c r="O302"/>
      <c r="P302"/>
      <c r="Q302"/>
      <c r="R302"/>
    </row>
    <row r="303" spans="3:18" hidden="1" outlineLevel="1" x14ac:dyDescent="0.2">
      <c r="E303" s="670" t="str">
        <v>Poco denso</v>
      </c>
      <c r="G303" s="666">
        <f t="shared" si="25"/>
        <v>12.5</v>
      </c>
      <c r="K303" s="675">
        <v>12.5</v>
      </c>
      <c r="L303" s="675">
        <v>0</v>
      </c>
      <c r="M303" s="675">
        <v>0</v>
      </c>
      <c r="N303"/>
      <c r="O303"/>
      <c r="P303"/>
      <c r="Q303"/>
      <c r="R303"/>
    </row>
    <row r="304" spans="3:18" hidden="1" outlineLevel="1" x14ac:dyDescent="0.2">
      <c r="E304" s="670" t="str">
        <v>Otro</v>
      </c>
      <c r="G304" s="666">
        <f t="shared" si="25"/>
        <v>12.5</v>
      </c>
      <c r="K304" s="675">
        <v>12.5</v>
      </c>
      <c r="L304" s="675">
        <v>0</v>
      </c>
      <c r="M304" s="675">
        <v>0</v>
      </c>
      <c r="N304"/>
      <c r="O304"/>
      <c r="P304"/>
      <c r="Q304"/>
      <c r="R304"/>
    </row>
    <row r="305" spans="3:18" hidden="1" outlineLevel="1" x14ac:dyDescent="0.2">
      <c r="E305" s="670" t="str">
        <v>Microceldas</v>
      </c>
      <c r="G305" s="666">
        <f t="shared" si="25"/>
        <v>12.5</v>
      </c>
      <c r="K305" s="675">
        <v>12.5</v>
      </c>
      <c r="L305" s="675">
        <v>0</v>
      </c>
      <c r="M305" s="675">
        <v>0</v>
      </c>
      <c r="N305"/>
      <c r="O305"/>
      <c r="P305"/>
      <c r="Q305"/>
      <c r="R305"/>
    </row>
    <row r="306" spans="3:18" hidden="1" outlineLevel="1" x14ac:dyDescent="0.2">
      <c r="E306" s="670" t="str">
        <v>spare</v>
      </c>
      <c r="G306" s="666">
        <f t="shared" si="25"/>
        <v>0</v>
      </c>
      <c r="K306" s="675">
        <v>0</v>
      </c>
      <c r="L306" s="675">
        <v>0</v>
      </c>
      <c r="M306" s="675">
        <v>0</v>
      </c>
      <c r="N306"/>
      <c r="O306"/>
      <c r="P306"/>
      <c r="Q306"/>
      <c r="R306"/>
    </row>
    <row r="307" spans="3:18" hidden="1" outlineLevel="1" x14ac:dyDescent="0.2">
      <c r="E307" s="670" t="str">
        <v>spare</v>
      </c>
      <c r="G307" s="666">
        <f t="shared" si="25"/>
        <v>0</v>
      </c>
      <c r="K307" s="675">
        <v>0</v>
      </c>
      <c r="L307" s="675">
        <v>0</v>
      </c>
      <c r="M307" s="675">
        <v>0</v>
      </c>
      <c r="N307"/>
      <c r="O307"/>
      <c r="P307"/>
      <c r="Q307"/>
      <c r="R307"/>
    </row>
    <row r="308" spans="3:18" hidden="1" outlineLevel="1" x14ac:dyDescent="0.2">
      <c r="E308" s="670" t="str">
        <v>spare</v>
      </c>
      <c r="G308" s="666">
        <f t="shared" si="25"/>
        <v>0</v>
      </c>
      <c r="K308" s="675">
        <v>0</v>
      </c>
      <c r="L308" s="675">
        <v>0</v>
      </c>
      <c r="M308" s="675">
        <v>0</v>
      </c>
      <c r="N308"/>
      <c r="O308"/>
      <c r="P308"/>
      <c r="Q308"/>
      <c r="R308"/>
    </row>
    <row r="309" spans="3:18" hidden="1" outlineLevel="1" x14ac:dyDescent="0.2">
      <c r="E309" s="670" t="str">
        <v>spare</v>
      </c>
      <c r="G309" s="666">
        <f t="shared" si="25"/>
        <v>0</v>
      </c>
      <c r="K309" s="675">
        <v>0</v>
      </c>
      <c r="L309" s="675">
        <v>0</v>
      </c>
      <c r="M309" s="675">
        <v>0</v>
      </c>
      <c r="N309"/>
      <c r="O309"/>
      <c r="P309"/>
      <c r="Q309"/>
      <c r="R309"/>
    </row>
    <row r="310" spans="3:18" collapsed="1" x14ac:dyDescent="0.2">
      <c r="E310" s="670" t="str">
        <v>spare</v>
      </c>
      <c r="G310" s="666">
        <f t="shared" si="25"/>
        <v>0</v>
      </c>
      <c r="K310" s="675">
        <v>0</v>
      </c>
      <c r="L310" s="675">
        <v>0</v>
      </c>
      <c r="M310" s="675">
        <v>0</v>
      </c>
      <c r="N310"/>
      <c r="O310"/>
      <c r="P310"/>
      <c r="Q310"/>
      <c r="R310"/>
    </row>
    <row r="311" spans="3:18" x14ac:dyDescent="0.2">
      <c r="G311" s="634" t="s">
        <v>474</v>
      </c>
      <c r="N311"/>
      <c r="O311"/>
      <c r="P311"/>
      <c r="Q311"/>
      <c r="R311"/>
    </row>
    <row r="312" spans="3:18" x14ac:dyDescent="0.2">
      <c r="C312" s="677">
        <v>5</v>
      </c>
      <c r="D312" s="657" t="str">
        <f>INDEX(Frequencies2,C312,)&amp;" MHz banda (2 veces X MHz)"</f>
        <v>Spare MHz banda (2 veces X MHz)</v>
      </c>
      <c r="G312" s="678"/>
      <c r="N312"/>
      <c r="O312"/>
      <c r="P312"/>
      <c r="Q312"/>
      <c r="R312"/>
    </row>
    <row r="313" spans="3:18" x14ac:dyDescent="0.2">
      <c r="E313" s="670" t="str">
        <f t="array" ref="E313:E322">Geotypes</f>
        <v>Muy denso</v>
      </c>
      <c r="G313" s="666">
        <f t="shared" ref="G313:G322" si="26">INDEX(K313:M313,,MATCH(CTRL.scenario.selected,Scenario.list,0))</f>
        <v>0</v>
      </c>
      <c r="K313" s="675">
        <f t="array" ref="K313:K322">INDEX($K1028:$M1037,,MATCH(K$20,Operators.list,0))</f>
        <v>0</v>
      </c>
      <c r="L313" s="675">
        <f t="array" ref="L313:L322">INDEX($K1028:$M1037,,MATCH(L$20,Operators.list,0))</f>
        <v>0</v>
      </c>
      <c r="M313" s="675">
        <f t="array" ref="M313:M322">INDEX($K1028:$M1037,,MATCH(M$20,Operators.list,0))</f>
        <v>0</v>
      </c>
      <c r="N313"/>
      <c r="O313"/>
      <c r="P313"/>
      <c r="Q313"/>
      <c r="R313"/>
    </row>
    <row r="314" spans="3:18" hidden="1" outlineLevel="1" x14ac:dyDescent="0.2">
      <c r="E314" s="670" t="str">
        <v>Denso</v>
      </c>
      <c r="G314" s="666">
        <f t="shared" si="26"/>
        <v>0</v>
      </c>
      <c r="K314" s="675">
        <v>0</v>
      </c>
      <c r="L314" s="675">
        <v>0</v>
      </c>
      <c r="M314" s="675">
        <v>0</v>
      </c>
      <c r="N314"/>
      <c r="O314"/>
      <c r="P314"/>
      <c r="Q314"/>
      <c r="R314"/>
    </row>
    <row r="315" spans="3:18" hidden="1" outlineLevel="1" x14ac:dyDescent="0.2">
      <c r="E315" s="670" t="str">
        <v>Poco denso</v>
      </c>
      <c r="G315" s="666">
        <f t="shared" si="26"/>
        <v>0</v>
      </c>
      <c r="K315" s="675">
        <v>0</v>
      </c>
      <c r="L315" s="675">
        <v>0</v>
      </c>
      <c r="M315" s="675">
        <v>0</v>
      </c>
      <c r="N315"/>
      <c r="O315"/>
      <c r="P315"/>
      <c r="Q315"/>
      <c r="R315"/>
    </row>
    <row r="316" spans="3:18" hidden="1" outlineLevel="1" x14ac:dyDescent="0.2">
      <c r="E316" s="670" t="str">
        <v>Otro</v>
      </c>
      <c r="G316" s="666">
        <f t="shared" si="26"/>
        <v>0</v>
      </c>
      <c r="K316" s="675">
        <v>0</v>
      </c>
      <c r="L316" s="675">
        <v>0</v>
      </c>
      <c r="M316" s="675">
        <v>0</v>
      </c>
      <c r="N316"/>
      <c r="O316"/>
      <c r="P316"/>
      <c r="Q316"/>
      <c r="R316"/>
    </row>
    <row r="317" spans="3:18" hidden="1" outlineLevel="1" x14ac:dyDescent="0.2">
      <c r="E317" s="670" t="str">
        <v>Microceldas</v>
      </c>
      <c r="G317" s="666">
        <f t="shared" si="26"/>
        <v>0</v>
      </c>
      <c r="K317" s="675">
        <v>0</v>
      </c>
      <c r="L317" s="675">
        <v>0</v>
      </c>
      <c r="M317" s="675">
        <v>0</v>
      </c>
      <c r="N317"/>
      <c r="O317"/>
      <c r="P317"/>
      <c r="Q317"/>
      <c r="R317"/>
    </row>
    <row r="318" spans="3:18" hidden="1" outlineLevel="1" x14ac:dyDescent="0.2">
      <c r="E318" s="670" t="str">
        <v>spare</v>
      </c>
      <c r="G318" s="666">
        <f t="shared" si="26"/>
        <v>0</v>
      </c>
      <c r="K318" s="675">
        <v>0</v>
      </c>
      <c r="L318" s="675">
        <v>0</v>
      </c>
      <c r="M318" s="675">
        <v>0</v>
      </c>
      <c r="N318"/>
      <c r="O318"/>
      <c r="P318"/>
      <c r="Q318"/>
      <c r="R318"/>
    </row>
    <row r="319" spans="3:18" hidden="1" outlineLevel="1" x14ac:dyDescent="0.2">
      <c r="E319" s="670" t="str">
        <v>spare</v>
      </c>
      <c r="G319" s="666">
        <f t="shared" si="26"/>
        <v>0</v>
      </c>
      <c r="K319" s="675">
        <v>0</v>
      </c>
      <c r="L319" s="675">
        <v>0</v>
      </c>
      <c r="M319" s="675">
        <v>0</v>
      </c>
      <c r="N319"/>
      <c r="O319"/>
      <c r="P319"/>
      <c r="Q319"/>
      <c r="R319"/>
    </row>
    <row r="320" spans="3:18" hidden="1" outlineLevel="1" x14ac:dyDescent="0.2">
      <c r="E320" s="670" t="str">
        <v>spare</v>
      </c>
      <c r="G320" s="666">
        <f t="shared" si="26"/>
        <v>0</v>
      </c>
      <c r="K320" s="675">
        <v>0</v>
      </c>
      <c r="L320" s="675">
        <v>0</v>
      </c>
      <c r="M320" s="675">
        <v>0</v>
      </c>
      <c r="N320"/>
      <c r="O320"/>
      <c r="P320"/>
      <c r="Q320"/>
      <c r="R320"/>
    </row>
    <row r="321" spans="3:18" hidden="1" outlineLevel="1" x14ac:dyDescent="0.2">
      <c r="E321" s="670" t="str">
        <v>spare</v>
      </c>
      <c r="G321" s="666">
        <f t="shared" si="26"/>
        <v>0</v>
      </c>
      <c r="K321" s="675">
        <v>0</v>
      </c>
      <c r="L321" s="675">
        <v>0</v>
      </c>
      <c r="M321" s="675">
        <v>0</v>
      </c>
      <c r="N321"/>
      <c r="O321"/>
      <c r="P321"/>
      <c r="Q321"/>
      <c r="R321"/>
    </row>
    <row r="322" spans="3:18" collapsed="1" x14ac:dyDescent="0.2">
      <c r="E322" s="670" t="str">
        <v>spare</v>
      </c>
      <c r="G322" s="666">
        <f t="shared" si="26"/>
        <v>0</v>
      </c>
      <c r="K322" s="675">
        <v>0</v>
      </c>
      <c r="L322" s="675">
        <v>0</v>
      </c>
      <c r="M322" s="675">
        <v>0</v>
      </c>
      <c r="N322"/>
      <c r="O322"/>
      <c r="P322"/>
      <c r="Q322"/>
      <c r="R322"/>
    </row>
    <row r="323" spans="3:18" x14ac:dyDescent="0.2">
      <c r="G323" s="634" t="s">
        <v>473</v>
      </c>
    </row>
    <row r="324" spans="3:18" x14ac:dyDescent="0.2">
      <c r="G324" s="634"/>
      <c r="I324" s="631"/>
      <c r="J324" s="631"/>
      <c r="K324" s="631"/>
      <c r="L324" s="631"/>
      <c r="M324" s="631"/>
      <c r="N324" s="631"/>
      <c r="O324" s="631"/>
      <c r="P324" s="631"/>
      <c r="Q324" s="631"/>
      <c r="R324" s="631"/>
    </row>
    <row r="325" spans="3:18" x14ac:dyDescent="0.2">
      <c r="C325" s="657" t="s">
        <v>583</v>
      </c>
      <c r="G325" s="634"/>
      <c r="I325" s="631"/>
      <c r="J325" s="631"/>
      <c r="K325" s="631"/>
      <c r="L325" s="631"/>
      <c r="M325" s="631"/>
      <c r="N325" s="631"/>
      <c r="O325" s="631"/>
      <c r="P325" s="631"/>
      <c r="Q325" s="631"/>
      <c r="R325" s="631"/>
    </row>
    <row r="326" spans="3:18" x14ac:dyDescent="0.2">
      <c r="G326" s="634"/>
      <c r="I326" s="631"/>
      <c r="J326" s="631"/>
      <c r="K326" s="631"/>
      <c r="L326" s="631"/>
      <c r="M326" s="631"/>
      <c r="N326" s="631"/>
      <c r="O326" s="631"/>
      <c r="P326" s="631"/>
      <c r="Q326" s="631"/>
      <c r="R326" s="631"/>
    </row>
    <row r="327" spans="3:18" x14ac:dyDescent="0.2">
      <c r="D327" s="657" t="s">
        <v>584</v>
      </c>
      <c r="I327" s="631"/>
      <c r="J327" s="631"/>
      <c r="K327" s="631"/>
      <c r="L327" s="631"/>
      <c r="M327" s="631"/>
      <c r="N327" s="631"/>
      <c r="O327" s="631"/>
      <c r="P327" s="631"/>
      <c r="Q327" s="631"/>
      <c r="R327" s="631"/>
    </row>
    <row r="328" spans="3:18" x14ac:dyDescent="0.2">
      <c r="E328" s="670" t="str">
        <f t="array" ref="E328:E337">Geotypes</f>
        <v>Muy denso</v>
      </c>
      <c r="G328" s="679">
        <f t="shared" ref="G328:G337" si="27">INDEX(K328:M328,,MATCH(CTRL.scenario.selected,Scenario.list,0))</f>
        <v>0.97599999999999998</v>
      </c>
      <c r="I328" s="631"/>
      <c r="J328" s="631"/>
      <c r="K328" s="680">
        <f t="array" ref="K328:K337">INDEX($K1044:$M1053,,MATCH(K$20,Operators.list,0))</f>
        <v>0.97599999999999998</v>
      </c>
      <c r="L328" s="680">
        <f t="array" ref="L328:L337">INDEX($K1044:$M1053,,MATCH(L$20,Operators.list,0))</f>
        <v>0</v>
      </c>
      <c r="M328" s="680">
        <f t="array" ref="M328:M337">INDEX($K1044:$M1053,,MATCH(M$20,Operators.list,0))</f>
        <v>0</v>
      </c>
      <c r="N328"/>
      <c r="O328"/>
      <c r="P328"/>
      <c r="Q328"/>
      <c r="R328"/>
    </row>
    <row r="329" spans="3:18" hidden="1" outlineLevel="1" x14ac:dyDescent="0.2">
      <c r="E329" s="670" t="str">
        <v>Denso</v>
      </c>
      <c r="G329" s="679">
        <f t="shared" si="27"/>
        <v>0.69699999999999995</v>
      </c>
      <c r="I329" s="631"/>
      <c r="J329" s="631"/>
      <c r="K329" s="680">
        <v>0.69699999999999995</v>
      </c>
      <c r="L329" s="680">
        <v>0</v>
      </c>
      <c r="M329" s="680">
        <v>0</v>
      </c>
      <c r="N329"/>
      <c r="O329"/>
      <c r="P329"/>
      <c r="Q329"/>
      <c r="R329"/>
    </row>
    <row r="330" spans="3:18" hidden="1" outlineLevel="1" x14ac:dyDescent="0.2">
      <c r="E330" s="670" t="str">
        <v>Poco denso</v>
      </c>
      <c r="G330" s="679">
        <f t="shared" si="27"/>
        <v>0.44500000000000001</v>
      </c>
      <c r="I330" s="631"/>
      <c r="J330" s="631"/>
      <c r="K330" s="680">
        <v>0.44500000000000001</v>
      </c>
      <c r="L330" s="680">
        <v>0</v>
      </c>
      <c r="M330" s="680">
        <v>0</v>
      </c>
      <c r="N330"/>
      <c r="O330"/>
      <c r="P330"/>
      <c r="Q330"/>
      <c r="R330"/>
    </row>
    <row r="331" spans="3:18" hidden="1" outlineLevel="1" x14ac:dyDescent="0.2">
      <c r="E331" s="670" t="str">
        <v>Otro</v>
      </c>
      <c r="G331" s="679">
        <f t="shared" si="27"/>
        <v>3.9E-2</v>
      </c>
      <c r="I331" s="631"/>
      <c r="J331" s="631"/>
      <c r="K331" s="680">
        <v>3.9E-2</v>
      </c>
      <c r="L331" s="680">
        <v>0</v>
      </c>
      <c r="M331" s="680">
        <v>0</v>
      </c>
      <c r="N331"/>
      <c r="O331"/>
      <c r="P331"/>
      <c r="Q331"/>
      <c r="R331"/>
    </row>
    <row r="332" spans="3:18" hidden="1" outlineLevel="1" x14ac:dyDescent="0.2">
      <c r="E332" s="670" t="str">
        <v>Microceldas</v>
      </c>
      <c r="G332" s="679">
        <f t="shared" si="27"/>
        <v>0</v>
      </c>
      <c r="I332" s="631"/>
      <c r="J332" s="631"/>
      <c r="K332" s="680">
        <v>0</v>
      </c>
      <c r="L332" s="680">
        <v>0</v>
      </c>
      <c r="M332" s="680">
        <v>0</v>
      </c>
      <c r="N332"/>
      <c r="O332"/>
      <c r="P332"/>
      <c r="Q332"/>
      <c r="R332"/>
    </row>
    <row r="333" spans="3:18" hidden="1" outlineLevel="1" x14ac:dyDescent="0.2">
      <c r="E333" s="670" t="str">
        <v>spare</v>
      </c>
      <c r="G333" s="679">
        <f t="shared" si="27"/>
        <v>0</v>
      </c>
      <c r="I333" s="631"/>
      <c r="J333" s="631"/>
      <c r="K333" s="680">
        <v>0</v>
      </c>
      <c r="L333" s="680">
        <v>0</v>
      </c>
      <c r="M333" s="680">
        <v>0</v>
      </c>
      <c r="N333"/>
      <c r="O333"/>
      <c r="P333"/>
      <c r="Q333"/>
      <c r="R333"/>
    </row>
    <row r="334" spans="3:18" hidden="1" outlineLevel="1" x14ac:dyDescent="0.2">
      <c r="E334" s="670" t="str">
        <v>spare</v>
      </c>
      <c r="G334" s="679">
        <f t="shared" si="27"/>
        <v>0</v>
      </c>
      <c r="I334" s="631"/>
      <c r="J334" s="631"/>
      <c r="K334" s="680">
        <v>0</v>
      </c>
      <c r="L334" s="680">
        <v>0</v>
      </c>
      <c r="M334" s="680">
        <v>0</v>
      </c>
      <c r="N334"/>
      <c r="O334"/>
      <c r="P334"/>
      <c r="Q334"/>
      <c r="R334"/>
    </row>
    <row r="335" spans="3:18" hidden="1" outlineLevel="1" x14ac:dyDescent="0.2">
      <c r="E335" s="670" t="str">
        <v>spare</v>
      </c>
      <c r="G335" s="679">
        <f t="shared" si="27"/>
        <v>0</v>
      </c>
      <c r="I335" s="631"/>
      <c r="J335" s="631"/>
      <c r="K335" s="680">
        <v>0</v>
      </c>
      <c r="L335" s="680">
        <v>0</v>
      </c>
      <c r="M335" s="680">
        <v>0</v>
      </c>
      <c r="N335"/>
      <c r="O335"/>
      <c r="P335"/>
      <c r="Q335"/>
      <c r="R335"/>
    </row>
    <row r="336" spans="3:18" hidden="1" outlineLevel="1" x14ac:dyDescent="0.2">
      <c r="E336" s="670" t="str">
        <v>spare</v>
      </c>
      <c r="G336" s="679">
        <f t="shared" si="27"/>
        <v>0</v>
      </c>
      <c r="I336" s="631"/>
      <c r="J336" s="631"/>
      <c r="K336" s="680">
        <v>0</v>
      </c>
      <c r="L336" s="680">
        <v>0</v>
      </c>
      <c r="M336" s="680">
        <v>0</v>
      </c>
      <c r="N336"/>
      <c r="O336"/>
      <c r="P336"/>
      <c r="Q336"/>
      <c r="R336"/>
    </row>
    <row r="337" spans="4:18" collapsed="1" x14ac:dyDescent="0.2">
      <c r="E337" s="670" t="str">
        <v>spare</v>
      </c>
      <c r="G337" s="679">
        <f t="shared" si="27"/>
        <v>0</v>
      </c>
      <c r="I337" s="631"/>
      <c r="J337" s="631"/>
      <c r="K337" s="680">
        <v>0</v>
      </c>
      <c r="L337" s="680">
        <v>0</v>
      </c>
      <c r="M337" s="680">
        <v>0</v>
      </c>
      <c r="N337"/>
      <c r="O337"/>
      <c r="P337"/>
      <c r="Q337"/>
      <c r="R337"/>
    </row>
    <row r="338" spans="4:18" x14ac:dyDescent="0.2">
      <c r="E338" s="631"/>
      <c r="G338" s="634" t="s">
        <v>83</v>
      </c>
      <c r="I338" s="631"/>
      <c r="J338" s="631"/>
      <c r="K338" s="631"/>
      <c r="L338" s="631"/>
      <c r="M338" s="631"/>
      <c r="N338"/>
      <c r="O338"/>
      <c r="P338"/>
      <c r="Q338"/>
      <c r="R338"/>
    </row>
    <row r="339" spans="4:18" x14ac:dyDescent="0.2">
      <c r="D339" s="657" t="s">
        <v>585</v>
      </c>
      <c r="G339" s="631"/>
      <c r="I339" s="631"/>
      <c r="J339" s="631"/>
      <c r="K339" s="631"/>
      <c r="L339" s="631"/>
      <c r="M339" s="631"/>
      <c r="N339"/>
      <c r="O339"/>
      <c r="P339"/>
      <c r="Q339"/>
      <c r="R339"/>
    </row>
    <row r="340" spans="4:18" x14ac:dyDescent="0.2">
      <c r="E340" s="670" t="str">
        <f t="array" ref="E340:E349">Geotypes</f>
        <v>Muy denso</v>
      </c>
      <c r="G340" s="643">
        <f t="array" ref="G340">INDEX(K340:M340,,MATCH(CTRL.scenario.selected,Scenario.list,0))</f>
        <v>0.83799999999999997</v>
      </c>
      <c r="I340" s="631"/>
      <c r="J340" s="631"/>
      <c r="K340" s="680">
        <f t="array" ref="K340:K349">INDEX($K1056:$M1065,,MATCH(K$20,Operators.list,0))</f>
        <v>0.83799999999999997</v>
      </c>
      <c r="L340" s="680">
        <f t="array" ref="L340:L349">INDEX($K1056:$M1065,,MATCH(L$20,Operators.list,0))</f>
        <v>0</v>
      </c>
      <c r="M340" s="680">
        <f t="array" ref="M340:M349">INDEX($K1056:$M1065,,MATCH(M$20,Operators.list,0))</f>
        <v>0</v>
      </c>
      <c r="N340"/>
      <c r="O340"/>
      <c r="P340"/>
      <c r="Q340"/>
      <c r="R340"/>
    </row>
    <row r="341" spans="4:18" hidden="1" outlineLevel="1" x14ac:dyDescent="0.2">
      <c r="E341" s="670" t="str">
        <v>Denso</v>
      </c>
      <c r="G341" s="643">
        <f t="shared" ref="G341:G349" si="28">INDEX(K341:M341,,MATCH(CTRL.scenario.selected,Scenario.list,0))</f>
        <v>0.501</v>
      </c>
      <c r="I341" s="631"/>
      <c r="J341" s="631"/>
      <c r="K341" s="680">
        <v>0.501</v>
      </c>
      <c r="L341" s="680">
        <v>0</v>
      </c>
      <c r="M341" s="680">
        <v>0</v>
      </c>
      <c r="N341"/>
      <c r="O341"/>
      <c r="P341"/>
      <c r="Q341"/>
      <c r="R341"/>
    </row>
    <row r="342" spans="4:18" hidden="1" outlineLevel="1" x14ac:dyDescent="0.2">
      <c r="E342" s="670" t="str">
        <v>Poco denso</v>
      </c>
      <c r="G342" s="643">
        <f t="shared" si="28"/>
        <v>0.16700000000000001</v>
      </c>
      <c r="I342" s="631"/>
      <c r="J342" s="631"/>
      <c r="K342" s="680">
        <v>0.16700000000000001</v>
      </c>
      <c r="L342" s="680">
        <v>0</v>
      </c>
      <c r="M342" s="680">
        <v>0</v>
      </c>
      <c r="N342"/>
      <c r="O342"/>
      <c r="P342"/>
      <c r="Q342"/>
      <c r="R342"/>
    </row>
    <row r="343" spans="4:18" hidden="1" outlineLevel="1" x14ac:dyDescent="0.2">
      <c r="E343" s="670" t="str">
        <v>Otro</v>
      </c>
      <c r="G343" s="643">
        <f t="shared" si="28"/>
        <v>8.0000000000000002E-3</v>
      </c>
      <c r="I343" s="631"/>
      <c r="J343" s="631"/>
      <c r="K343" s="680">
        <v>8.0000000000000002E-3</v>
      </c>
      <c r="L343" s="680">
        <v>0</v>
      </c>
      <c r="M343" s="680">
        <v>0</v>
      </c>
      <c r="N343"/>
      <c r="O343"/>
      <c r="P343"/>
      <c r="Q343"/>
      <c r="R343"/>
    </row>
    <row r="344" spans="4:18" hidden="1" outlineLevel="1" x14ac:dyDescent="0.2">
      <c r="E344" s="670" t="str">
        <v>Microceldas</v>
      </c>
      <c r="G344" s="679">
        <f t="shared" si="28"/>
        <v>0</v>
      </c>
      <c r="I344" s="631"/>
      <c r="J344" s="631"/>
      <c r="K344" s="680">
        <v>0</v>
      </c>
      <c r="L344" s="680">
        <v>0</v>
      </c>
      <c r="M344" s="680">
        <v>0</v>
      </c>
      <c r="N344"/>
      <c r="O344"/>
      <c r="P344"/>
      <c r="Q344"/>
      <c r="R344"/>
    </row>
    <row r="345" spans="4:18" hidden="1" outlineLevel="1" x14ac:dyDescent="0.2">
      <c r="E345" s="670" t="str">
        <v>spare</v>
      </c>
      <c r="G345" s="679">
        <f t="shared" si="28"/>
        <v>0</v>
      </c>
      <c r="I345" s="631"/>
      <c r="J345" s="631"/>
      <c r="K345" s="680">
        <v>0</v>
      </c>
      <c r="L345" s="680">
        <v>0</v>
      </c>
      <c r="M345" s="680">
        <v>0</v>
      </c>
      <c r="N345"/>
      <c r="O345"/>
      <c r="P345"/>
      <c r="Q345"/>
      <c r="R345"/>
    </row>
    <row r="346" spans="4:18" hidden="1" outlineLevel="1" x14ac:dyDescent="0.2">
      <c r="E346" s="670" t="str">
        <v>spare</v>
      </c>
      <c r="G346" s="679">
        <f t="shared" si="28"/>
        <v>0</v>
      </c>
      <c r="I346" s="631"/>
      <c r="J346" s="631"/>
      <c r="K346" s="680">
        <v>0</v>
      </c>
      <c r="L346" s="680">
        <v>0</v>
      </c>
      <c r="M346" s="680">
        <v>0</v>
      </c>
      <c r="N346"/>
      <c r="O346"/>
      <c r="P346"/>
      <c r="Q346"/>
      <c r="R346"/>
    </row>
    <row r="347" spans="4:18" hidden="1" outlineLevel="1" x14ac:dyDescent="0.2">
      <c r="E347" s="670" t="str">
        <v>spare</v>
      </c>
      <c r="G347" s="679">
        <f t="shared" si="28"/>
        <v>0</v>
      </c>
      <c r="I347" s="631"/>
      <c r="J347" s="631"/>
      <c r="K347" s="680">
        <v>0</v>
      </c>
      <c r="L347" s="680">
        <v>0</v>
      </c>
      <c r="M347" s="680">
        <v>0</v>
      </c>
      <c r="N347"/>
      <c r="O347"/>
      <c r="P347"/>
      <c r="Q347"/>
      <c r="R347"/>
    </row>
    <row r="348" spans="4:18" hidden="1" outlineLevel="1" x14ac:dyDescent="0.2">
      <c r="E348" s="670" t="str">
        <v>spare</v>
      </c>
      <c r="G348" s="679">
        <f t="shared" si="28"/>
        <v>0</v>
      </c>
      <c r="I348" s="631"/>
      <c r="J348" s="631"/>
      <c r="K348" s="680">
        <v>0</v>
      </c>
      <c r="L348" s="680">
        <v>0</v>
      </c>
      <c r="M348" s="680">
        <v>0</v>
      </c>
      <c r="N348"/>
      <c r="O348"/>
      <c r="P348"/>
      <c r="Q348"/>
      <c r="R348"/>
    </row>
    <row r="349" spans="4:18" collapsed="1" x14ac:dyDescent="0.2">
      <c r="E349" s="670" t="str">
        <v>spare</v>
      </c>
      <c r="G349" s="679">
        <f t="shared" si="28"/>
        <v>0</v>
      </c>
      <c r="I349" s="631"/>
      <c r="J349" s="631"/>
      <c r="K349" s="680">
        <v>0</v>
      </c>
      <c r="L349" s="680">
        <v>0</v>
      </c>
      <c r="M349" s="680">
        <v>0</v>
      </c>
      <c r="N349"/>
      <c r="O349"/>
      <c r="P349"/>
      <c r="Q349"/>
      <c r="R349"/>
    </row>
    <row r="350" spans="4:18" x14ac:dyDescent="0.2">
      <c r="G350" s="634" t="s">
        <v>84</v>
      </c>
      <c r="I350" s="631"/>
      <c r="J350" s="631"/>
      <c r="K350" s="631"/>
      <c r="L350" s="631"/>
      <c r="M350" s="631"/>
      <c r="N350"/>
      <c r="O350"/>
      <c r="P350"/>
      <c r="Q350"/>
      <c r="R350"/>
    </row>
    <row r="351" spans="4:18" x14ac:dyDescent="0.2">
      <c r="D351" s="657" t="s">
        <v>586</v>
      </c>
      <c r="G351" s="631"/>
      <c r="I351" s="631"/>
      <c r="J351" s="631"/>
      <c r="K351" s="631"/>
      <c r="L351" s="631"/>
      <c r="M351" s="631"/>
      <c r="N351"/>
      <c r="O351"/>
      <c r="P351"/>
      <c r="Q351"/>
      <c r="R351"/>
    </row>
    <row r="352" spans="4:18" x14ac:dyDescent="0.2">
      <c r="E352" s="670" t="str">
        <f t="array" ref="E352:E361">Geotypes</f>
        <v>Muy denso</v>
      </c>
      <c r="G352" s="643">
        <f t="shared" ref="G352:G361" si="29">INDEX(K352:M352,,MATCH(CTRL.scenario.selected,Scenario.list,0))</f>
        <v>0.73599999999999999</v>
      </c>
      <c r="I352" s="631"/>
      <c r="J352" s="631"/>
      <c r="K352" s="680">
        <f t="array" ref="K352:K361">INDEX($K1068:$M1077,,MATCH(K$20,Operators.list,0))</f>
        <v>0.73599999999999999</v>
      </c>
      <c r="L352" s="680">
        <f t="array" ref="L352:L361">INDEX($K1068:$M1077,,MATCH(L$20,Operators.list,0))</f>
        <v>0</v>
      </c>
      <c r="M352" s="680">
        <f t="array" ref="M352:M361">INDEX($K1068:$M1077,,MATCH(M$20,Operators.list,0))</f>
        <v>0</v>
      </c>
      <c r="N352"/>
      <c r="O352"/>
      <c r="P352"/>
      <c r="Q352"/>
      <c r="R352"/>
    </row>
    <row r="353" spans="3:18" hidden="1" outlineLevel="1" x14ac:dyDescent="0.2">
      <c r="E353" s="670" t="str">
        <v>Denso</v>
      </c>
      <c r="G353" s="643">
        <f t="shared" si="29"/>
        <v>0.33100000000000002</v>
      </c>
      <c r="I353" s="631"/>
      <c r="J353" s="631"/>
      <c r="K353" s="680">
        <v>0.33100000000000002</v>
      </c>
      <c r="L353" s="680">
        <v>0</v>
      </c>
      <c r="M353" s="680">
        <v>0</v>
      </c>
      <c r="N353"/>
      <c r="O353"/>
      <c r="P353"/>
      <c r="Q353"/>
      <c r="R353"/>
    </row>
    <row r="354" spans="3:18" hidden="1" outlineLevel="1" x14ac:dyDescent="0.2">
      <c r="E354" s="670" t="str">
        <v>Poco denso</v>
      </c>
      <c r="G354" s="643">
        <f t="shared" si="29"/>
        <v>8.7999999999999995E-2</v>
      </c>
      <c r="I354" s="631"/>
      <c r="J354" s="631"/>
      <c r="K354" s="680">
        <v>8.7999999999999995E-2</v>
      </c>
      <c r="L354" s="680">
        <v>0</v>
      </c>
      <c r="M354" s="680">
        <v>0</v>
      </c>
      <c r="N354"/>
      <c r="O354"/>
      <c r="P354"/>
      <c r="Q354"/>
      <c r="R354"/>
    </row>
    <row r="355" spans="3:18" hidden="1" outlineLevel="1" x14ac:dyDescent="0.2">
      <c r="E355" s="670" t="str">
        <v>Otro</v>
      </c>
      <c r="G355" s="643">
        <f t="shared" si="29"/>
        <v>2E-3</v>
      </c>
      <c r="I355" s="631"/>
      <c r="J355" s="631"/>
      <c r="K355" s="680">
        <v>2E-3</v>
      </c>
      <c r="L355" s="680">
        <v>0</v>
      </c>
      <c r="M355" s="680">
        <v>0</v>
      </c>
      <c r="N355"/>
      <c r="O355"/>
      <c r="P355"/>
      <c r="Q355"/>
      <c r="R355"/>
    </row>
    <row r="356" spans="3:18" hidden="1" outlineLevel="1" x14ac:dyDescent="0.2">
      <c r="E356" s="670" t="str">
        <v>Microceldas</v>
      </c>
      <c r="G356" s="679">
        <f t="shared" si="29"/>
        <v>0</v>
      </c>
      <c r="I356" s="631"/>
      <c r="J356" s="631"/>
      <c r="K356" s="680">
        <v>0</v>
      </c>
      <c r="L356" s="680">
        <v>0</v>
      </c>
      <c r="M356" s="680">
        <v>0</v>
      </c>
      <c r="N356"/>
      <c r="O356"/>
      <c r="P356"/>
      <c r="Q356"/>
      <c r="R356"/>
    </row>
    <row r="357" spans="3:18" hidden="1" outlineLevel="1" x14ac:dyDescent="0.2">
      <c r="E357" s="670" t="str">
        <v>spare</v>
      </c>
      <c r="G357" s="679">
        <f t="shared" si="29"/>
        <v>0</v>
      </c>
      <c r="I357" s="631"/>
      <c r="J357" s="631"/>
      <c r="K357" s="680">
        <v>0</v>
      </c>
      <c r="L357" s="680">
        <v>0</v>
      </c>
      <c r="M357" s="680">
        <v>0</v>
      </c>
      <c r="N357"/>
      <c r="O357"/>
      <c r="P357"/>
      <c r="Q357"/>
      <c r="R357"/>
    </row>
    <row r="358" spans="3:18" hidden="1" outlineLevel="1" x14ac:dyDescent="0.2">
      <c r="E358" s="670" t="str">
        <v>spare</v>
      </c>
      <c r="G358" s="679">
        <f t="shared" si="29"/>
        <v>0</v>
      </c>
      <c r="I358" s="631"/>
      <c r="J358" s="631"/>
      <c r="K358" s="680">
        <v>0</v>
      </c>
      <c r="L358" s="680">
        <v>0</v>
      </c>
      <c r="M358" s="680">
        <v>0</v>
      </c>
      <c r="N358"/>
      <c r="O358"/>
      <c r="P358"/>
      <c r="Q358"/>
      <c r="R358"/>
    </row>
    <row r="359" spans="3:18" hidden="1" outlineLevel="1" x14ac:dyDescent="0.2">
      <c r="E359" s="670" t="str">
        <v>spare</v>
      </c>
      <c r="G359" s="679">
        <f t="shared" si="29"/>
        <v>0</v>
      </c>
      <c r="I359" s="631"/>
      <c r="J359" s="631"/>
      <c r="K359" s="680">
        <v>0</v>
      </c>
      <c r="L359" s="680">
        <v>0</v>
      </c>
      <c r="M359" s="680">
        <v>0</v>
      </c>
      <c r="N359"/>
      <c r="O359"/>
      <c r="P359"/>
      <c r="Q359"/>
      <c r="R359"/>
    </row>
    <row r="360" spans="3:18" hidden="1" outlineLevel="1" x14ac:dyDescent="0.2">
      <c r="E360" s="670" t="str">
        <v>spare</v>
      </c>
      <c r="G360" s="679">
        <f t="shared" si="29"/>
        <v>0</v>
      </c>
      <c r="I360" s="631"/>
      <c r="J360" s="631"/>
      <c r="K360" s="680">
        <v>0</v>
      </c>
      <c r="L360" s="680">
        <v>0</v>
      </c>
      <c r="M360" s="680">
        <v>0</v>
      </c>
      <c r="N360"/>
      <c r="O360"/>
      <c r="P360"/>
      <c r="Q360"/>
      <c r="R360"/>
    </row>
    <row r="361" spans="3:18" collapsed="1" x14ac:dyDescent="0.2">
      <c r="E361" s="670" t="str">
        <v>spare</v>
      </c>
      <c r="G361" s="679">
        <f t="shared" si="29"/>
        <v>0</v>
      </c>
      <c r="I361" s="631"/>
      <c r="J361" s="631"/>
      <c r="K361" s="680">
        <v>0</v>
      </c>
      <c r="L361" s="680">
        <v>0</v>
      </c>
      <c r="M361" s="680">
        <v>0</v>
      </c>
      <c r="N361"/>
      <c r="O361"/>
      <c r="P361"/>
      <c r="Q361"/>
      <c r="R361"/>
    </row>
    <row r="362" spans="3:18" x14ac:dyDescent="0.2">
      <c r="G362" s="634" t="s">
        <v>457</v>
      </c>
      <c r="I362" s="631"/>
      <c r="J362" s="631"/>
      <c r="K362" s="631"/>
      <c r="L362" s="631"/>
      <c r="M362" s="631"/>
      <c r="N362" s="631"/>
      <c r="O362" s="631"/>
      <c r="P362" s="631"/>
      <c r="Q362" s="631"/>
      <c r="R362" s="631"/>
    </row>
    <row r="363" spans="3:18" x14ac:dyDescent="0.2">
      <c r="G363" s="634"/>
      <c r="I363" s="631"/>
      <c r="J363" s="631"/>
      <c r="K363" s="631"/>
      <c r="L363" s="631"/>
      <c r="M363" s="631"/>
      <c r="N363" s="631"/>
      <c r="O363" s="631"/>
      <c r="P363" s="631"/>
      <c r="Q363" s="631"/>
      <c r="R363" s="631"/>
    </row>
    <row r="364" spans="3:18" x14ac:dyDescent="0.2">
      <c r="C364" s="657" t="s">
        <v>1350</v>
      </c>
      <c r="G364" s="634"/>
      <c r="I364" s="631"/>
      <c r="J364" s="631"/>
      <c r="K364" s="631"/>
      <c r="L364" s="631"/>
      <c r="M364" s="631"/>
      <c r="N364" s="631"/>
      <c r="O364" s="631"/>
      <c r="P364" s="631"/>
      <c r="Q364" s="631"/>
      <c r="R364" s="631"/>
    </row>
    <row r="365" spans="3:18" x14ac:dyDescent="0.2">
      <c r="G365" s="634"/>
      <c r="I365" s="631"/>
      <c r="J365" s="631"/>
      <c r="K365" s="631"/>
      <c r="L365" s="631"/>
      <c r="M365" s="631"/>
      <c r="N365" s="631"/>
      <c r="O365" s="631"/>
      <c r="P365" s="631"/>
      <c r="Q365" s="631"/>
      <c r="R365" s="631"/>
    </row>
    <row r="366" spans="3:18" x14ac:dyDescent="0.2">
      <c r="D366" s="657" t="s">
        <v>1156</v>
      </c>
      <c r="G366" s="634"/>
      <c r="I366" s="631"/>
      <c r="J366" s="631"/>
      <c r="K366" s="631"/>
      <c r="L366" s="631"/>
      <c r="M366" s="631"/>
      <c r="N366" s="631"/>
      <c r="O366" s="631"/>
      <c r="P366" s="631"/>
      <c r="Q366" s="631"/>
      <c r="R366" s="631"/>
    </row>
    <row r="367" spans="3:18" x14ac:dyDescent="0.2">
      <c r="E367" s="632" t="s">
        <v>96</v>
      </c>
      <c r="G367" s="660">
        <f>INDEX(K367:M367,,MATCH(CTRL.scenario.selected,Scenario.list,0))</f>
        <v>0.25</v>
      </c>
      <c r="I367" s="631"/>
      <c r="J367" s="631"/>
      <c r="K367" s="681">
        <f t="array" ref="K367:K369">INDEX($K1089:$M1091,,MATCH(K$20,Operators.list,0))</f>
        <v>0.25</v>
      </c>
      <c r="L367" s="681">
        <f t="array" ref="L367:L369">INDEX($K1089:$M1091,,MATCH(L$20,Operators.list,0))</f>
        <v>0</v>
      </c>
      <c r="M367" s="681">
        <f t="array" ref="M367:M369">INDEX($K1089:$M1091,,MATCH(M$20,Operators.list,0))</f>
        <v>0</v>
      </c>
      <c r="N367"/>
      <c r="O367"/>
      <c r="P367"/>
      <c r="Q367"/>
      <c r="R367"/>
    </row>
    <row r="368" spans="3:18" x14ac:dyDescent="0.2">
      <c r="E368" s="632" t="s">
        <v>97</v>
      </c>
      <c r="G368" s="660">
        <f>INDEX(K368:M368,,MATCH(CTRL.scenario.selected,Scenario.list,0))</f>
        <v>0.75</v>
      </c>
      <c r="I368" s="631"/>
      <c r="J368" s="631"/>
      <c r="K368" s="645">
        <v>0.75</v>
      </c>
      <c r="L368" s="645">
        <v>0</v>
      </c>
      <c r="M368" s="645">
        <v>0</v>
      </c>
      <c r="N368"/>
      <c r="O368"/>
      <c r="P368"/>
      <c r="Q368"/>
      <c r="R368"/>
    </row>
    <row r="369" spans="3:18" x14ac:dyDescent="0.2">
      <c r="E369" s="632" t="s">
        <v>985</v>
      </c>
      <c r="G369" s="660">
        <f>INDEX(K369:M369,,MATCH(CTRL.scenario.selected,Scenario.list,0))</f>
        <v>0</v>
      </c>
      <c r="I369" s="631"/>
      <c r="J369" s="631"/>
      <c r="K369" s="645">
        <v>0</v>
      </c>
      <c r="L369" s="645">
        <v>0</v>
      </c>
      <c r="M369" s="645">
        <v>0</v>
      </c>
      <c r="N369"/>
      <c r="O369"/>
      <c r="P369"/>
      <c r="Q369"/>
      <c r="R369"/>
    </row>
    <row r="370" spans="3:18" x14ac:dyDescent="0.2">
      <c r="G370" s="634" t="s">
        <v>1342</v>
      </c>
      <c r="I370" s="631"/>
      <c r="J370" s="631"/>
      <c r="K370" s="631"/>
      <c r="L370" s="631"/>
      <c r="M370" s="631"/>
      <c r="N370"/>
      <c r="O370"/>
      <c r="P370"/>
      <c r="Q370"/>
      <c r="R370"/>
    </row>
    <row r="371" spans="3:18" x14ac:dyDescent="0.2">
      <c r="D371" s="657" t="s">
        <v>1157</v>
      </c>
      <c r="G371" s="634"/>
      <c r="I371" s="631"/>
      <c r="J371" s="631"/>
      <c r="K371" s="631"/>
      <c r="L371" s="631"/>
      <c r="M371" s="631"/>
      <c r="N371"/>
      <c r="O371"/>
      <c r="P371"/>
      <c r="Q371"/>
      <c r="R371"/>
    </row>
    <row r="372" spans="3:18" x14ac:dyDescent="0.2">
      <c r="E372" s="632" t="s">
        <v>96</v>
      </c>
      <c r="G372" s="660">
        <f>INDEX(K372:M372,,MATCH(CTRL.scenario.selected,Scenario.list,0))</f>
        <v>0.2</v>
      </c>
      <c r="I372" s="631"/>
      <c r="J372" s="631"/>
      <c r="K372" s="681">
        <f t="array" ref="K372:K374">INDEX($K1094:$M1096,,MATCH(K$20,Operators.list,0))</f>
        <v>0.2</v>
      </c>
      <c r="L372" s="681">
        <f t="array" ref="L372:L374">INDEX($K1094:$M1096,,MATCH(L$20,Operators.list,0))</f>
        <v>0</v>
      </c>
      <c r="M372" s="681">
        <f t="array" ref="M372:M374">INDEX($K1094:$M1096,,MATCH(M$20,Operators.list,0))</f>
        <v>0</v>
      </c>
      <c r="N372"/>
      <c r="O372"/>
      <c r="P372"/>
      <c r="Q372"/>
      <c r="R372"/>
    </row>
    <row r="373" spans="3:18" x14ac:dyDescent="0.2">
      <c r="E373" s="632" t="s">
        <v>97</v>
      </c>
      <c r="G373" s="660">
        <f>INDEX(K373:M373,,MATCH(CTRL.scenario.selected,Scenario.list,0))</f>
        <v>0.5</v>
      </c>
      <c r="I373" s="631"/>
      <c r="J373" s="631"/>
      <c r="K373" s="645">
        <v>0.5</v>
      </c>
      <c r="L373" s="645">
        <v>0</v>
      </c>
      <c r="M373" s="645">
        <v>0</v>
      </c>
      <c r="N373"/>
      <c r="O373"/>
      <c r="P373"/>
      <c r="Q373"/>
      <c r="R373"/>
    </row>
    <row r="374" spans="3:18" x14ac:dyDescent="0.2">
      <c r="E374" s="632" t="s">
        <v>985</v>
      </c>
      <c r="G374" s="660">
        <f>INDEX(K374:M374,,MATCH(CTRL.scenario.selected,Scenario.list,0))</f>
        <v>0.3</v>
      </c>
      <c r="I374" s="631"/>
      <c r="J374" s="631"/>
      <c r="K374" s="645">
        <v>0.3</v>
      </c>
      <c r="L374" s="645">
        <v>0</v>
      </c>
      <c r="M374" s="645">
        <v>0</v>
      </c>
      <c r="N374"/>
      <c r="O374"/>
      <c r="P374"/>
      <c r="Q374"/>
      <c r="R374"/>
    </row>
    <row r="375" spans="3:18" x14ac:dyDescent="0.2">
      <c r="G375" s="634" t="s">
        <v>1343</v>
      </c>
      <c r="I375" s="631"/>
      <c r="J375" s="631"/>
      <c r="K375" s="631"/>
      <c r="L375" s="631"/>
      <c r="M375" s="631"/>
      <c r="N375" s="631"/>
      <c r="O375" s="631"/>
      <c r="P375" s="631"/>
      <c r="Q375" s="631"/>
      <c r="R375" s="631"/>
    </row>
    <row r="376" spans="3:18" x14ac:dyDescent="0.2">
      <c r="C376" s="657" t="s">
        <v>1351</v>
      </c>
      <c r="G376" s="634"/>
      <c r="I376" s="631"/>
      <c r="J376" s="631"/>
      <c r="K376" s="631"/>
      <c r="L376" s="631"/>
      <c r="M376" s="631"/>
      <c r="N376" s="631"/>
      <c r="O376" s="631"/>
      <c r="P376" s="631"/>
      <c r="Q376" s="631"/>
      <c r="R376" s="631"/>
    </row>
    <row r="377" spans="3:18" x14ac:dyDescent="0.2">
      <c r="G377" s="634"/>
      <c r="I377" s="631"/>
      <c r="J377" s="631"/>
      <c r="K377" s="631"/>
      <c r="L377" s="631"/>
      <c r="M377" s="631"/>
      <c r="N377" s="631"/>
      <c r="O377" s="631"/>
      <c r="P377" s="631"/>
      <c r="Q377" s="631"/>
      <c r="R377" s="631"/>
    </row>
    <row r="378" spans="3:18" x14ac:dyDescent="0.2">
      <c r="D378" s="657" t="s">
        <v>1156</v>
      </c>
      <c r="I378" s="631"/>
      <c r="J378" s="631"/>
      <c r="K378" s="631"/>
      <c r="L378" s="631"/>
      <c r="M378" s="631"/>
      <c r="N378" s="631"/>
      <c r="O378" s="631"/>
      <c r="P378" s="631"/>
      <c r="Q378" s="631"/>
      <c r="R378" s="631"/>
    </row>
    <row r="379" spans="3:18" x14ac:dyDescent="0.2">
      <c r="E379" s="657" t="s">
        <v>96</v>
      </c>
      <c r="I379" s="631"/>
      <c r="J379" s="631"/>
      <c r="K379" s="631"/>
      <c r="L379" s="631"/>
      <c r="M379" s="631"/>
      <c r="N379" s="631"/>
      <c r="O379" s="631"/>
      <c r="P379" s="631"/>
      <c r="Q379" s="631"/>
      <c r="R379" s="631"/>
    </row>
    <row r="380" spans="3:18" x14ac:dyDescent="0.2">
      <c r="E380" s="670" t="str">
        <f t="array" ref="E380:E389">Geotypes</f>
        <v>Muy denso</v>
      </c>
      <c r="G380" s="679">
        <f t="shared" ref="G380:G389" si="30">INDEX(K380:M380,,MATCH(CTRL.scenario.selected,Scenario.list,0))</f>
        <v>0.7</v>
      </c>
      <c r="I380" s="631"/>
      <c r="J380" s="631"/>
      <c r="K380" s="680">
        <f t="array" ref="K380:K389">INDEX($K1100:$M1109,,MATCH(K$20,Operators.list,0))</f>
        <v>0.7</v>
      </c>
      <c r="L380" s="680">
        <f t="array" ref="L380:L389">INDEX($K1100:$M1109,,MATCH(L$20,Operators.list,0))</f>
        <v>0</v>
      </c>
      <c r="M380" s="680">
        <f t="array" ref="M380:M389">INDEX($K1100:$M1109,,MATCH(M$20,Operators.list,0))</f>
        <v>0</v>
      </c>
      <c r="N380"/>
      <c r="O380"/>
      <c r="P380"/>
      <c r="Q380"/>
      <c r="R380"/>
    </row>
    <row r="381" spans="3:18" hidden="1" outlineLevel="1" x14ac:dyDescent="0.2">
      <c r="E381" s="670" t="str">
        <v>Denso</v>
      </c>
      <c r="G381" s="679">
        <f t="shared" si="30"/>
        <v>0.18</v>
      </c>
      <c r="I381" s="631"/>
      <c r="J381" s="631"/>
      <c r="K381" s="680">
        <v>0.18</v>
      </c>
      <c r="L381" s="680">
        <v>0</v>
      </c>
      <c r="M381" s="680">
        <v>0</v>
      </c>
      <c r="N381"/>
      <c r="O381"/>
      <c r="P381"/>
      <c r="Q381"/>
      <c r="R381"/>
    </row>
    <row r="382" spans="3:18" hidden="1" outlineLevel="1" x14ac:dyDescent="0.2">
      <c r="E382" s="670" t="str">
        <v>Poco denso</v>
      </c>
      <c r="G382" s="679">
        <f t="shared" si="30"/>
        <v>7.0000000000000007E-2</v>
      </c>
      <c r="I382" s="631"/>
      <c r="J382" s="631"/>
      <c r="K382" s="680">
        <v>7.0000000000000007E-2</v>
      </c>
      <c r="L382" s="680">
        <v>0</v>
      </c>
      <c r="M382" s="680">
        <v>0</v>
      </c>
      <c r="N382"/>
      <c r="O382"/>
      <c r="P382"/>
      <c r="Q382"/>
      <c r="R382"/>
    </row>
    <row r="383" spans="3:18" hidden="1" outlineLevel="1" x14ac:dyDescent="0.2">
      <c r="D383" s="657"/>
      <c r="E383" s="670" t="str">
        <v>Otro</v>
      </c>
      <c r="G383" s="679">
        <f t="shared" si="30"/>
        <v>0</v>
      </c>
      <c r="I383" s="631"/>
      <c r="J383" s="631"/>
      <c r="K383" s="680">
        <v>0</v>
      </c>
      <c r="L383" s="680">
        <v>0</v>
      </c>
      <c r="M383" s="680">
        <v>0</v>
      </c>
      <c r="N383"/>
      <c r="O383"/>
      <c r="P383"/>
      <c r="Q383"/>
      <c r="R383"/>
    </row>
    <row r="384" spans="3:18" hidden="1" outlineLevel="1" x14ac:dyDescent="0.2">
      <c r="E384" s="670" t="str">
        <v>Microceldas</v>
      </c>
      <c r="G384" s="679">
        <f t="shared" si="30"/>
        <v>5.0000000000000044E-2</v>
      </c>
      <c r="I384" s="631"/>
      <c r="J384" s="631"/>
      <c r="K384" s="680">
        <v>5.0000000000000044E-2</v>
      </c>
      <c r="L384" s="680">
        <v>0</v>
      </c>
      <c r="M384" s="680">
        <v>0</v>
      </c>
      <c r="N384"/>
      <c r="O384"/>
      <c r="P384"/>
      <c r="Q384"/>
      <c r="R384"/>
    </row>
    <row r="385" spans="4:18" hidden="1" outlineLevel="1" x14ac:dyDescent="0.2">
      <c r="E385" s="670" t="str">
        <v>spare</v>
      </c>
      <c r="G385" s="679">
        <f t="shared" si="30"/>
        <v>0</v>
      </c>
      <c r="I385" s="631"/>
      <c r="J385" s="631"/>
      <c r="K385" s="680">
        <v>0</v>
      </c>
      <c r="L385" s="680">
        <v>0</v>
      </c>
      <c r="M385" s="680">
        <v>0</v>
      </c>
      <c r="N385"/>
      <c r="O385"/>
      <c r="P385"/>
      <c r="Q385"/>
      <c r="R385"/>
    </row>
    <row r="386" spans="4:18" hidden="1" outlineLevel="1" x14ac:dyDescent="0.2">
      <c r="E386" s="670" t="str">
        <v>spare</v>
      </c>
      <c r="G386" s="679">
        <f t="shared" si="30"/>
        <v>0</v>
      </c>
      <c r="I386" s="631"/>
      <c r="J386" s="631"/>
      <c r="K386" s="680">
        <v>0</v>
      </c>
      <c r="L386" s="680">
        <v>0</v>
      </c>
      <c r="M386" s="680">
        <v>0</v>
      </c>
      <c r="N386"/>
      <c r="O386"/>
      <c r="P386"/>
      <c r="Q386"/>
      <c r="R386"/>
    </row>
    <row r="387" spans="4:18" hidden="1" outlineLevel="1" x14ac:dyDescent="0.2">
      <c r="E387" s="670" t="str">
        <v>spare</v>
      </c>
      <c r="G387" s="679">
        <f t="shared" si="30"/>
        <v>0</v>
      </c>
      <c r="I387" s="631"/>
      <c r="J387" s="631"/>
      <c r="K387" s="680">
        <v>0</v>
      </c>
      <c r="L387" s="680">
        <v>0</v>
      </c>
      <c r="M387" s="680">
        <v>0</v>
      </c>
      <c r="N387"/>
      <c r="O387"/>
      <c r="P387"/>
      <c r="Q387"/>
      <c r="R387"/>
    </row>
    <row r="388" spans="4:18" hidden="1" outlineLevel="1" x14ac:dyDescent="0.2">
      <c r="E388" s="670" t="str">
        <v>spare</v>
      </c>
      <c r="G388" s="679">
        <f t="shared" si="30"/>
        <v>0</v>
      </c>
      <c r="I388" s="631"/>
      <c r="J388" s="631"/>
      <c r="K388" s="680">
        <v>0</v>
      </c>
      <c r="L388" s="680">
        <v>0</v>
      </c>
      <c r="M388" s="680">
        <v>0</v>
      </c>
      <c r="N388"/>
      <c r="O388"/>
      <c r="P388"/>
      <c r="Q388"/>
      <c r="R388"/>
    </row>
    <row r="389" spans="4:18" collapsed="1" x14ac:dyDescent="0.2">
      <c r="E389" s="670" t="str">
        <v>spare</v>
      </c>
      <c r="G389" s="679">
        <f t="shared" si="30"/>
        <v>0</v>
      </c>
      <c r="I389" s="631"/>
      <c r="J389" s="631"/>
      <c r="K389" s="680">
        <v>0</v>
      </c>
      <c r="L389" s="680">
        <v>0</v>
      </c>
      <c r="M389" s="680">
        <v>0</v>
      </c>
      <c r="N389"/>
      <c r="O389"/>
      <c r="P389"/>
      <c r="Q389"/>
      <c r="R389"/>
    </row>
    <row r="390" spans="4:18" x14ac:dyDescent="0.2">
      <c r="E390" s="631"/>
      <c r="G390" s="634" t="s">
        <v>1336</v>
      </c>
      <c r="I390" s="631"/>
      <c r="J390" s="631"/>
      <c r="K390" s="631"/>
      <c r="L390" s="631"/>
      <c r="M390" s="631"/>
      <c r="N390"/>
      <c r="O390"/>
      <c r="P390"/>
      <c r="Q390"/>
      <c r="R390"/>
    </row>
    <row r="391" spans="4:18" x14ac:dyDescent="0.2">
      <c r="D391" s="657"/>
      <c r="E391" s="657" t="s">
        <v>97</v>
      </c>
      <c r="I391" s="631"/>
      <c r="J391" s="631"/>
      <c r="K391" s="631"/>
      <c r="L391" s="631"/>
      <c r="M391" s="631"/>
      <c r="N391"/>
      <c r="O391"/>
      <c r="P391"/>
      <c r="Q391"/>
      <c r="R391"/>
    </row>
    <row r="392" spans="4:18" x14ac:dyDescent="0.2">
      <c r="E392" s="670" t="str">
        <f t="array" ref="E392:E401">Geotypes</f>
        <v>Muy denso</v>
      </c>
      <c r="G392" s="679">
        <f t="shared" ref="G392:G401" si="31">INDEX(K392:M392,,MATCH(CTRL.scenario.selected,Scenario.list,0))</f>
        <v>0.7</v>
      </c>
      <c r="I392" s="631"/>
      <c r="J392" s="631"/>
      <c r="K392" s="680">
        <f t="array" ref="K392:K401">INDEX($K1112:$M1121,,MATCH(K$20,Operators.list,0))</f>
        <v>0.7</v>
      </c>
      <c r="L392" s="680">
        <f t="array" ref="L392:L401">INDEX($K1112:$M1121,,MATCH(L$20,Operators.list,0))</f>
        <v>0</v>
      </c>
      <c r="M392" s="680">
        <f t="array" ref="M392:M401">INDEX($K1112:$M1121,,MATCH(M$20,Operators.list,0))</f>
        <v>0</v>
      </c>
      <c r="N392"/>
      <c r="O392"/>
      <c r="P392"/>
      <c r="Q392"/>
      <c r="R392"/>
    </row>
    <row r="393" spans="4:18" hidden="1" outlineLevel="1" x14ac:dyDescent="0.2">
      <c r="E393" s="670" t="str">
        <v>Denso</v>
      </c>
      <c r="G393" s="679">
        <f t="shared" si="31"/>
        <v>0.2</v>
      </c>
      <c r="I393" s="631"/>
      <c r="J393" s="631"/>
      <c r="K393" s="680">
        <v>0.2</v>
      </c>
      <c r="L393" s="680">
        <v>0</v>
      </c>
      <c r="M393" s="680">
        <v>0</v>
      </c>
      <c r="N393"/>
      <c r="O393"/>
      <c r="P393"/>
      <c r="Q393"/>
      <c r="R393"/>
    </row>
    <row r="394" spans="4:18" hidden="1" outlineLevel="1" x14ac:dyDescent="0.2">
      <c r="E394" s="670" t="str">
        <v>Poco denso</v>
      </c>
      <c r="G394" s="679">
        <f t="shared" si="31"/>
        <v>0.05</v>
      </c>
      <c r="I394" s="631"/>
      <c r="J394" s="631"/>
      <c r="K394" s="680">
        <v>0.05</v>
      </c>
      <c r="L394" s="680">
        <v>0</v>
      </c>
      <c r="M394" s="680">
        <v>0</v>
      </c>
      <c r="N394"/>
      <c r="O394"/>
      <c r="P394"/>
      <c r="Q394"/>
      <c r="R394"/>
    </row>
    <row r="395" spans="4:18" hidden="1" outlineLevel="1" x14ac:dyDescent="0.2">
      <c r="E395" s="670" t="str">
        <v>Otro</v>
      </c>
      <c r="G395" s="679">
        <f t="shared" si="31"/>
        <v>0</v>
      </c>
      <c r="I395" s="631"/>
      <c r="J395" s="631"/>
      <c r="K395" s="680">
        <v>0</v>
      </c>
      <c r="L395" s="680">
        <v>0</v>
      </c>
      <c r="M395" s="680">
        <v>0</v>
      </c>
      <c r="N395"/>
      <c r="O395"/>
      <c r="P395"/>
      <c r="Q395"/>
      <c r="R395"/>
    </row>
    <row r="396" spans="4:18" hidden="1" outlineLevel="1" x14ac:dyDescent="0.2">
      <c r="E396" s="670" t="str">
        <v>Microceldas</v>
      </c>
      <c r="G396" s="679">
        <f t="shared" si="31"/>
        <v>5.0000000000000044E-2</v>
      </c>
      <c r="I396" s="631"/>
      <c r="J396" s="631"/>
      <c r="K396" s="680">
        <v>5.0000000000000044E-2</v>
      </c>
      <c r="L396" s="680">
        <v>0</v>
      </c>
      <c r="M396" s="680">
        <v>0</v>
      </c>
      <c r="N396"/>
      <c r="O396"/>
      <c r="P396"/>
      <c r="Q396"/>
      <c r="R396"/>
    </row>
    <row r="397" spans="4:18" hidden="1" outlineLevel="1" x14ac:dyDescent="0.2">
      <c r="E397" s="670" t="str">
        <v>spare</v>
      </c>
      <c r="G397" s="679">
        <f t="shared" si="31"/>
        <v>0</v>
      </c>
      <c r="I397" s="631"/>
      <c r="J397" s="631"/>
      <c r="K397" s="680">
        <v>0</v>
      </c>
      <c r="L397" s="680">
        <v>0</v>
      </c>
      <c r="M397" s="680">
        <v>0</v>
      </c>
      <c r="N397"/>
      <c r="O397"/>
      <c r="P397"/>
      <c r="Q397"/>
      <c r="R397"/>
    </row>
    <row r="398" spans="4:18" hidden="1" outlineLevel="1" x14ac:dyDescent="0.2">
      <c r="E398" s="670" t="str">
        <v>spare</v>
      </c>
      <c r="G398" s="679">
        <f t="shared" si="31"/>
        <v>0</v>
      </c>
      <c r="I398" s="631"/>
      <c r="J398" s="631"/>
      <c r="K398" s="680">
        <v>0</v>
      </c>
      <c r="L398" s="680">
        <v>0</v>
      </c>
      <c r="M398" s="680">
        <v>0</v>
      </c>
      <c r="N398"/>
      <c r="O398"/>
      <c r="P398"/>
      <c r="Q398"/>
      <c r="R398"/>
    </row>
    <row r="399" spans="4:18" hidden="1" outlineLevel="1" x14ac:dyDescent="0.2">
      <c r="E399" s="670" t="str">
        <v>spare</v>
      </c>
      <c r="G399" s="679">
        <f t="shared" si="31"/>
        <v>0</v>
      </c>
      <c r="I399" s="631"/>
      <c r="J399" s="631"/>
      <c r="K399" s="680">
        <v>0</v>
      </c>
      <c r="L399" s="680">
        <v>0</v>
      </c>
      <c r="M399" s="680">
        <v>0</v>
      </c>
      <c r="N399"/>
      <c r="O399"/>
      <c r="P399"/>
      <c r="Q399"/>
      <c r="R399"/>
    </row>
    <row r="400" spans="4:18" hidden="1" outlineLevel="1" x14ac:dyDescent="0.2">
      <c r="E400" s="670" t="str">
        <v>spare</v>
      </c>
      <c r="G400" s="679">
        <f t="shared" si="31"/>
        <v>0</v>
      </c>
      <c r="I400" s="631"/>
      <c r="J400" s="631"/>
      <c r="K400" s="680">
        <v>0</v>
      </c>
      <c r="L400" s="680">
        <v>0</v>
      </c>
      <c r="M400" s="680">
        <v>0</v>
      </c>
      <c r="N400"/>
      <c r="O400"/>
      <c r="P400"/>
      <c r="Q400"/>
      <c r="R400"/>
    </row>
    <row r="401" spans="4:18" collapsed="1" x14ac:dyDescent="0.2">
      <c r="E401" s="670" t="str">
        <v>spare</v>
      </c>
      <c r="G401" s="679">
        <f t="shared" si="31"/>
        <v>0</v>
      </c>
      <c r="I401" s="631"/>
      <c r="J401" s="631"/>
      <c r="K401" s="680">
        <v>0</v>
      </c>
      <c r="L401" s="680">
        <v>0</v>
      </c>
      <c r="M401" s="680">
        <v>0</v>
      </c>
      <c r="N401"/>
      <c r="O401"/>
      <c r="P401"/>
      <c r="Q401"/>
      <c r="R401"/>
    </row>
    <row r="402" spans="4:18" x14ac:dyDescent="0.2">
      <c r="E402" s="631"/>
      <c r="G402" s="634" t="s">
        <v>1338</v>
      </c>
      <c r="I402" s="631"/>
      <c r="J402" s="631"/>
      <c r="K402" s="631"/>
      <c r="L402" s="631"/>
      <c r="M402" s="631"/>
      <c r="N402"/>
      <c r="O402"/>
      <c r="P402"/>
      <c r="Q402"/>
      <c r="R402"/>
    </row>
    <row r="403" spans="4:18" x14ac:dyDescent="0.2">
      <c r="D403" s="657"/>
      <c r="E403" s="657" t="s">
        <v>985</v>
      </c>
      <c r="I403" s="631"/>
      <c r="J403" s="631"/>
      <c r="K403" s="631"/>
      <c r="L403" s="631"/>
      <c r="M403" s="631"/>
      <c r="N403"/>
      <c r="O403"/>
      <c r="P403"/>
      <c r="Q403"/>
      <c r="R403"/>
    </row>
    <row r="404" spans="4:18" x14ac:dyDescent="0.2">
      <c r="E404" s="670" t="str">
        <f t="array" ref="E404:E413">Geotypes</f>
        <v>Muy denso</v>
      </c>
      <c r="G404" s="679">
        <f t="shared" ref="G404:G413" si="32">INDEX(K404:M404,,MATCH(CTRL.scenario.selected,Scenario.list,0))</f>
        <v>0</v>
      </c>
      <c r="I404" s="631"/>
      <c r="J404" s="631"/>
      <c r="K404" s="680">
        <f t="array" ref="K404:K413">INDEX($K1124:$M1133,,MATCH(M$20,Operators.list,0))</f>
        <v>0</v>
      </c>
      <c r="L404" s="680">
        <f t="array" ref="L404:L413">INDEX($K1124:$M1133,,MATCH(L$20,Operators.list,0))</f>
        <v>0</v>
      </c>
      <c r="M404" s="680">
        <f t="array" ref="M404:M413">INDEX($K1124:$M1133,,MATCH(M$20,Operators.list,0))</f>
        <v>0</v>
      </c>
      <c r="N404"/>
      <c r="O404"/>
      <c r="P404"/>
      <c r="Q404"/>
      <c r="R404"/>
    </row>
    <row r="405" spans="4:18" hidden="1" outlineLevel="1" x14ac:dyDescent="0.2">
      <c r="E405" s="670" t="str">
        <v>Denso</v>
      </c>
      <c r="G405" s="679">
        <f t="shared" si="32"/>
        <v>0</v>
      </c>
      <c r="I405" s="631"/>
      <c r="J405" s="631"/>
      <c r="K405" s="680">
        <v>0</v>
      </c>
      <c r="L405" s="680">
        <v>0</v>
      </c>
      <c r="M405" s="680">
        <v>0</v>
      </c>
      <c r="N405"/>
      <c r="O405"/>
      <c r="P405"/>
      <c r="Q405"/>
      <c r="R405"/>
    </row>
    <row r="406" spans="4:18" hidden="1" outlineLevel="1" x14ac:dyDescent="0.2">
      <c r="E406" s="670" t="str">
        <v>Poco denso</v>
      </c>
      <c r="G406" s="679">
        <f t="shared" si="32"/>
        <v>0</v>
      </c>
      <c r="I406" s="631"/>
      <c r="J406" s="631"/>
      <c r="K406" s="680">
        <v>0</v>
      </c>
      <c r="L406" s="680">
        <v>0</v>
      </c>
      <c r="M406" s="680">
        <v>0</v>
      </c>
      <c r="N406"/>
      <c r="O406"/>
      <c r="P406"/>
      <c r="Q406"/>
      <c r="R406"/>
    </row>
    <row r="407" spans="4:18" hidden="1" outlineLevel="1" x14ac:dyDescent="0.2">
      <c r="E407" s="670" t="str">
        <v>Otro</v>
      </c>
      <c r="G407" s="679">
        <f t="shared" si="32"/>
        <v>0</v>
      </c>
      <c r="I407" s="631"/>
      <c r="J407" s="631"/>
      <c r="K407" s="680">
        <v>0</v>
      </c>
      <c r="L407" s="680">
        <v>0</v>
      </c>
      <c r="M407" s="680">
        <v>0</v>
      </c>
      <c r="N407"/>
      <c r="O407"/>
      <c r="P407"/>
      <c r="Q407"/>
      <c r="R407"/>
    </row>
    <row r="408" spans="4:18" hidden="1" outlineLevel="1" x14ac:dyDescent="0.2">
      <c r="E408" s="670" t="str">
        <v>Microceldas</v>
      </c>
      <c r="G408" s="679">
        <f t="shared" si="32"/>
        <v>0</v>
      </c>
      <c r="I408" s="631"/>
      <c r="J408" s="631"/>
      <c r="K408" s="680">
        <v>0</v>
      </c>
      <c r="L408" s="680">
        <v>0</v>
      </c>
      <c r="M408" s="680">
        <v>0</v>
      </c>
      <c r="N408"/>
      <c r="O408"/>
      <c r="P408"/>
      <c r="Q408"/>
      <c r="R408"/>
    </row>
    <row r="409" spans="4:18" hidden="1" outlineLevel="1" x14ac:dyDescent="0.2">
      <c r="E409" s="670" t="str">
        <v>spare</v>
      </c>
      <c r="G409" s="679">
        <f t="shared" si="32"/>
        <v>0</v>
      </c>
      <c r="I409" s="631"/>
      <c r="J409" s="631"/>
      <c r="K409" s="680">
        <v>0</v>
      </c>
      <c r="L409" s="680">
        <v>0</v>
      </c>
      <c r="M409" s="680">
        <v>0</v>
      </c>
      <c r="N409"/>
      <c r="O409"/>
      <c r="P409"/>
      <c r="Q409"/>
      <c r="R409"/>
    </row>
    <row r="410" spans="4:18" hidden="1" outlineLevel="1" x14ac:dyDescent="0.2">
      <c r="E410" s="670" t="str">
        <v>spare</v>
      </c>
      <c r="G410" s="679">
        <f t="shared" si="32"/>
        <v>0</v>
      </c>
      <c r="I410" s="631"/>
      <c r="J410" s="631"/>
      <c r="K410" s="680">
        <v>0</v>
      </c>
      <c r="L410" s="680">
        <v>0</v>
      </c>
      <c r="M410" s="680">
        <v>0</v>
      </c>
      <c r="N410"/>
      <c r="O410"/>
      <c r="P410"/>
      <c r="Q410"/>
      <c r="R410"/>
    </row>
    <row r="411" spans="4:18" hidden="1" outlineLevel="1" x14ac:dyDescent="0.2">
      <c r="E411" s="670" t="str">
        <v>spare</v>
      </c>
      <c r="G411" s="679">
        <f t="shared" si="32"/>
        <v>0</v>
      </c>
      <c r="I411" s="631"/>
      <c r="J411" s="631"/>
      <c r="K411" s="680">
        <v>0</v>
      </c>
      <c r="L411" s="680">
        <v>0</v>
      </c>
      <c r="M411" s="680">
        <v>0</v>
      </c>
      <c r="N411"/>
      <c r="O411"/>
      <c r="P411"/>
      <c r="Q411"/>
      <c r="R411"/>
    </row>
    <row r="412" spans="4:18" hidden="1" outlineLevel="1" x14ac:dyDescent="0.2">
      <c r="E412" s="670" t="str">
        <v>spare</v>
      </c>
      <c r="G412" s="679">
        <f t="shared" si="32"/>
        <v>0</v>
      </c>
      <c r="I412" s="631"/>
      <c r="J412" s="631"/>
      <c r="K412" s="680">
        <v>0</v>
      </c>
      <c r="L412" s="680">
        <v>0</v>
      </c>
      <c r="M412" s="680">
        <v>0</v>
      </c>
      <c r="N412"/>
      <c r="O412"/>
      <c r="P412"/>
      <c r="Q412"/>
      <c r="R412"/>
    </row>
    <row r="413" spans="4:18" collapsed="1" x14ac:dyDescent="0.2">
      <c r="E413" s="670" t="str">
        <v>spare</v>
      </c>
      <c r="G413" s="679">
        <f t="shared" si="32"/>
        <v>0</v>
      </c>
      <c r="I413" s="631"/>
      <c r="J413" s="631"/>
      <c r="K413" s="680">
        <v>0</v>
      </c>
      <c r="L413" s="680">
        <v>0</v>
      </c>
      <c r="M413" s="680">
        <v>0</v>
      </c>
      <c r="N413"/>
      <c r="O413"/>
      <c r="P413"/>
      <c r="Q413"/>
      <c r="R413"/>
    </row>
    <row r="414" spans="4:18" x14ac:dyDescent="0.2">
      <c r="E414" s="631"/>
      <c r="G414" s="634" t="s">
        <v>1339</v>
      </c>
      <c r="I414" s="631"/>
      <c r="J414" s="631"/>
      <c r="K414" s="631"/>
      <c r="L414" s="631"/>
      <c r="M414" s="631"/>
      <c r="N414"/>
      <c r="O414"/>
      <c r="P414"/>
      <c r="Q414"/>
      <c r="R414"/>
    </row>
    <row r="415" spans="4:18" x14ac:dyDescent="0.2">
      <c r="D415" s="657" t="s">
        <v>1157</v>
      </c>
      <c r="G415" s="631"/>
      <c r="I415" s="631"/>
      <c r="J415" s="631"/>
      <c r="K415" s="631"/>
      <c r="L415" s="631"/>
      <c r="M415" s="631"/>
      <c r="N415"/>
      <c r="O415"/>
      <c r="P415"/>
      <c r="Q415"/>
      <c r="R415"/>
    </row>
    <row r="416" spans="4:18" x14ac:dyDescent="0.2">
      <c r="D416" s="657"/>
      <c r="E416" s="657" t="s">
        <v>96</v>
      </c>
      <c r="G416" s="631"/>
      <c r="I416" s="631"/>
      <c r="J416" s="631"/>
      <c r="K416" s="631"/>
      <c r="L416" s="631"/>
      <c r="M416" s="631"/>
      <c r="N416"/>
      <c r="O416"/>
      <c r="P416"/>
      <c r="Q416"/>
      <c r="R416"/>
    </row>
    <row r="417" spans="4:18" x14ac:dyDescent="0.2">
      <c r="E417" s="670" t="str">
        <f t="array" ref="E417:E426">Geotypes</f>
        <v>Muy denso</v>
      </c>
      <c r="G417" s="679">
        <f t="shared" ref="G417:G426" si="33">INDEX(K417:M417,,MATCH(CTRL.scenario.selected,Scenario.list,0))</f>
        <v>0.67</v>
      </c>
      <c r="I417" s="631"/>
      <c r="J417" s="631"/>
      <c r="K417" s="680">
        <f t="array" ref="K417:K426">INDEX($K1137:$M1146,,MATCH(K$20,Operators.list,0))</f>
        <v>0.67</v>
      </c>
      <c r="L417" s="680">
        <f t="array" ref="L417:L426">INDEX($K1137:$M1146,,MATCH(L$20,Operators.list,0))</f>
        <v>0</v>
      </c>
      <c r="M417" s="680">
        <f t="array" ref="M417:M426">INDEX($K1137:$M1146,,MATCH(M$20,Operators.list,0))</f>
        <v>0</v>
      </c>
      <c r="N417"/>
      <c r="O417"/>
      <c r="P417"/>
      <c r="Q417"/>
      <c r="R417"/>
    </row>
    <row r="418" spans="4:18" hidden="1" outlineLevel="1" x14ac:dyDescent="0.2">
      <c r="E418" s="670" t="str">
        <v>Denso</v>
      </c>
      <c r="G418" s="679">
        <f t="shared" si="33"/>
        <v>0.2</v>
      </c>
      <c r="I418" s="631"/>
      <c r="J418" s="631"/>
      <c r="K418" s="680">
        <v>0.2</v>
      </c>
      <c r="L418" s="680">
        <v>0</v>
      </c>
      <c r="M418" s="680">
        <v>0</v>
      </c>
      <c r="N418"/>
      <c r="O418"/>
      <c r="P418"/>
      <c r="Q418"/>
      <c r="R418"/>
    </row>
    <row r="419" spans="4:18" hidden="1" outlineLevel="1" x14ac:dyDescent="0.2">
      <c r="E419" s="670" t="str">
        <v>Poco denso</v>
      </c>
      <c r="G419" s="679">
        <f t="shared" si="33"/>
        <v>0.1</v>
      </c>
      <c r="I419" s="631"/>
      <c r="J419" s="631"/>
      <c r="K419" s="680">
        <v>0.1</v>
      </c>
      <c r="L419" s="680">
        <v>0</v>
      </c>
      <c r="M419" s="680">
        <v>0</v>
      </c>
      <c r="N419"/>
      <c r="O419"/>
      <c r="P419"/>
      <c r="Q419"/>
      <c r="R419"/>
    </row>
    <row r="420" spans="4:18" hidden="1" outlineLevel="1" x14ac:dyDescent="0.2">
      <c r="E420" s="670" t="str">
        <v>Otro</v>
      </c>
      <c r="G420" s="679">
        <f t="shared" si="33"/>
        <v>0</v>
      </c>
      <c r="I420" s="631"/>
      <c r="J420" s="631"/>
      <c r="K420" s="680">
        <v>0</v>
      </c>
      <c r="L420" s="680">
        <v>0</v>
      </c>
      <c r="M420" s="680">
        <v>0</v>
      </c>
      <c r="N420"/>
      <c r="O420"/>
      <c r="P420"/>
      <c r="Q420"/>
      <c r="R420"/>
    </row>
    <row r="421" spans="4:18" hidden="1" outlineLevel="1" x14ac:dyDescent="0.2">
      <c r="E421" s="670" t="str">
        <v>Microceldas</v>
      </c>
      <c r="G421" s="679">
        <f t="shared" si="33"/>
        <v>2.9999999999999916E-2</v>
      </c>
      <c r="I421" s="631"/>
      <c r="J421" s="631"/>
      <c r="K421" s="680">
        <v>2.9999999999999916E-2</v>
      </c>
      <c r="L421" s="680">
        <v>0</v>
      </c>
      <c r="M421" s="680">
        <v>0</v>
      </c>
      <c r="N421"/>
      <c r="O421"/>
      <c r="P421"/>
      <c r="Q421"/>
      <c r="R421"/>
    </row>
    <row r="422" spans="4:18" hidden="1" outlineLevel="1" x14ac:dyDescent="0.2">
      <c r="E422" s="670" t="str">
        <v>spare</v>
      </c>
      <c r="G422" s="679">
        <f t="shared" si="33"/>
        <v>0</v>
      </c>
      <c r="I422" s="631"/>
      <c r="J422" s="631"/>
      <c r="K422" s="680">
        <v>0</v>
      </c>
      <c r="L422" s="680">
        <v>0</v>
      </c>
      <c r="M422" s="680">
        <v>0</v>
      </c>
      <c r="N422"/>
      <c r="O422"/>
      <c r="P422"/>
      <c r="Q422"/>
      <c r="R422"/>
    </row>
    <row r="423" spans="4:18" hidden="1" outlineLevel="1" x14ac:dyDescent="0.2">
      <c r="E423" s="670" t="str">
        <v>spare</v>
      </c>
      <c r="G423" s="679">
        <f t="shared" si="33"/>
        <v>0</v>
      </c>
      <c r="I423" s="631"/>
      <c r="J423" s="631"/>
      <c r="K423" s="680">
        <v>0</v>
      </c>
      <c r="L423" s="680">
        <v>0</v>
      </c>
      <c r="M423" s="680">
        <v>0</v>
      </c>
      <c r="N423"/>
      <c r="O423"/>
      <c r="P423"/>
      <c r="Q423"/>
      <c r="R423"/>
    </row>
    <row r="424" spans="4:18" hidden="1" outlineLevel="1" x14ac:dyDescent="0.2">
      <c r="E424" s="670" t="str">
        <v>spare</v>
      </c>
      <c r="G424" s="679">
        <f t="shared" si="33"/>
        <v>0</v>
      </c>
      <c r="I424" s="631"/>
      <c r="J424" s="631"/>
      <c r="K424" s="680">
        <v>0</v>
      </c>
      <c r="L424" s="680">
        <v>0</v>
      </c>
      <c r="M424" s="680">
        <v>0</v>
      </c>
      <c r="N424"/>
      <c r="O424"/>
      <c r="P424"/>
      <c r="Q424"/>
      <c r="R424"/>
    </row>
    <row r="425" spans="4:18" hidden="1" outlineLevel="1" x14ac:dyDescent="0.2">
      <c r="E425" s="670" t="str">
        <v>spare</v>
      </c>
      <c r="G425" s="679">
        <f t="shared" si="33"/>
        <v>0</v>
      </c>
      <c r="I425" s="631"/>
      <c r="J425" s="631"/>
      <c r="K425" s="680">
        <v>0</v>
      </c>
      <c r="L425" s="680">
        <v>0</v>
      </c>
      <c r="M425" s="680">
        <v>0</v>
      </c>
      <c r="N425"/>
      <c r="O425"/>
      <c r="P425"/>
      <c r="Q425"/>
      <c r="R425"/>
    </row>
    <row r="426" spans="4:18" collapsed="1" x14ac:dyDescent="0.2">
      <c r="E426" s="670" t="str">
        <v>spare</v>
      </c>
      <c r="G426" s="679">
        <f t="shared" si="33"/>
        <v>0</v>
      </c>
      <c r="I426" s="631"/>
      <c r="J426" s="631"/>
      <c r="K426" s="680">
        <v>0</v>
      </c>
      <c r="L426" s="680">
        <v>0</v>
      </c>
      <c r="M426" s="680">
        <v>0</v>
      </c>
      <c r="N426"/>
      <c r="O426"/>
      <c r="P426"/>
      <c r="Q426"/>
      <c r="R426"/>
    </row>
    <row r="427" spans="4:18" x14ac:dyDescent="0.2">
      <c r="G427" s="634" t="s">
        <v>1337</v>
      </c>
      <c r="I427" s="631"/>
      <c r="J427" s="631"/>
      <c r="K427" s="631"/>
      <c r="L427" s="631"/>
      <c r="M427" s="631"/>
      <c r="N427"/>
      <c r="O427"/>
      <c r="P427"/>
      <c r="Q427"/>
      <c r="R427"/>
    </row>
    <row r="428" spans="4:18" x14ac:dyDescent="0.2">
      <c r="D428" s="657"/>
      <c r="E428" s="657" t="s">
        <v>97</v>
      </c>
      <c r="I428" s="631"/>
      <c r="J428" s="631"/>
      <c r="K428" s="631"/>
      <c r="L428" s="631"/>
      <c r="M428" s="631"/>
      <c r="N428"/>
      <c r="O428"/>
      <c r="P428"/>
      <c r="Q428"/>
      <c r="R428"/>
    </row>
    <row r="429" spans="4:18" x14ac:dyDescent="0.2">
      <c r="E429" s="670" t="str">
        <f t="array" ref="E429:E438">Geotypes</f>
        <v>Muy denso</v>
      </c>
      <c r="G429" s="679">
        <f t="shared" ref="G429:G438" si="34">INDEX(K429:M429,,MATCH(CTRL.scenario.selected,Scenario.list,0))</f>
        <v>0.67</v>
      </c>
      <c r="I429" s="631"/>
      <c r="J429" s="631"/>
      <c r="K429" s="680">
        <f t="array" ref="K429:K438">INDEX($K1149:$M1158,,MATCH(K$20,Operators.list,0))</f>
        <v>0.67</v>
      </c>
      <c r="L429" s="680">
        <f t="array" ref="L429:L438">INDEX($K1149:$M1158,,MATCH(L$20,Operators.list,0))</f>
        <v>0</v>
      </c>
      <c r="M429" s="680">
        <f t="array" ref="M429:M438">INDEX($K1149:$M1158,,MATCH(M$20,Operators.list,0))</f>
        <v>0</v>
      </c>
      <c r="N429"/>
      <c r="O429"/>
      <c r="P429"/>
      <c r="Q429"/>
      <c r="R429"/>
    </row>
    <row r="430" spans="4:18" hidden="1" outlineLevel="1" x14ac:dyDescent="0.2">
      <c r="E430" s="670" t="str">
        <v>Denso</v>
      </c>
      <c r="G430" s="679">
        <f t="shared" si="34"/>
        <v>0.2</v>
      </c>
      <c r="I430" s="631"/>
      <c r="J430" s="631"/>
      <c r="K430" s="680">
        <v>0.2</v>
      </c>
      <c r="L430" s="680">
        <v>0</v>
      </c>
      <c r="M430" s="680">
        <v>0</v>
      </c>
      <c r="N430"/>
      <c r="O430"/>
      <c r="P430"/>
      <c r="Q430"/>
      <c r="R430"/>
    </row>
    <row r="431" spans="4:18" hidden="1" outlineLevel="1" x14ac:dyDescent="0.2">
      <c r="E431" s="670" t="str">
        <v>Poco denso</v>
      </c>
      <c r="G431" s="679">
        <f t="shared" si="34"/>
        <v>0.1</v>
      </c>
      <c r="I431" s="631"/>
      <c r="J431" s="631"/>
      <c r="K431" s="680">
        <v>0.1</v>
      </c>
      <c r="L431" s="680">
        <v>0</v>
      </c>
      <c r="M431" s="680">
        <v>0</v>
      </c>
      <c r="N431"/>
      <c r="O431"/>
      <c r="P431"/>
      <c r="Q431"/>
      <c r="R431"/>
    </row>
    <row r="432" spans="4:18" hidden="1" outlineLevel="1" x14ac:dyDescent="0.2">
      <c r="E432" s="670" t="str">
        <v>Otro</v>
      </c>
      <c r="G432" s="679">
        <f t="shared" si="34"/>
        <v>0</v>
      </c>
      <c r="I432" s="631"/>
      <c r="J432" s="631"/>
      <c r="K432" s="680">
        <v>0</v>
      </c>
      <c r="L432" s="680">
        <v>0</v>
      </c>
      <c r="M432" s="680">
        <v>0</v>
      </c>
      <c r="N432"/>
      <c r="O432"/>
      <c r="P432"/>
      <c r="Q432"/>
      <c r="R432"/>
    </row>
    <row r="433" spans="4:18" hidden="1" outlineLevel="1" x14ac:dyDescent="0.2">
      <c r="E433" s="670" t="str">
        <v>Microceldas</v>
      </c>
      <c r="G433" s="679">
        <f t="shared" si="34"/>
        <v>2.9999999999999916E-2</v>
      </c>
      <c r="I433" s="631"/>
      <c r="J433" s="631"/>
      <c r="K433" s="680">
        <v>2.9999999999999916E-2</v>
      </c>
      <c r="L433" s="680">
        <v>0</v>
      </c>
      <c r="M433" s="680">
        <v>0</v>
      </c>
      <c r="N433"/>
      <c r="O433"/>
      <c r="P433"/>
      <c r="Q433"/>
      <c r="R433"/>
    </row>
    <row r="434" spans="4:18" hidden="1" outlineLevel="1" x14ac:dyDescent="0.2">
      <c r="E434" s="670" t="str">
        <v>spare</v>
      </c>
      <c r="G434" s="679">
        <f t="shared" si="34"/>
        <v>0</v>
      </c>
      <c r="I434" s="631"/>
      <c r="J434" s="631"/>
      <c r="K434" s="680">
        <v>0</v>
      </c>
      <c r="L434" s="680">
        <v>0</v>
      </c>
      <c r="M434" s="680">
        <v>0</v>
      </c>
      <c r="N434"/>
      <c r="O434"/>
      <c r="P434"/>
      <c r="Q434"/>
      <c r="R434"/>
    </row>
    <row r="435" spans="4:18" hidden="1" outlineLevel="1" x14ac:dyDescent="0.2">
      <c r="E435" s="670" t="str">
        <v>spare</v>
      </c>
      <c r="G435" s="679">
        <f t="shared" si="34"/>
        <v>0</v>
      </c>
      <c r="I435" s="631"/>
      <c r="J435" s="631"/>
      <c r="K435" s="680">
        <v>0</v>
      </c>
      <c r="L435" s="680">
        <v>0</v>
      </c>
      <c r="M435" s="680">
        <v>0</v>
      </c>
      <c r="N435"/>
      <c r="O435"/>
      <c r="P435"/>
      <c r="Q435"/>
      <c r="R435"/>
    </row>
    <row r="436" spans="4:18" hidden="1" outlineLevel="1" x14ac:dyDescent="0.2">
      <c r="E436" s="670" t="str">
        <v>spare</v>
      </c>
      <c r="G436" s="679">
        <f t="shared" si="34"/>
        <v>0</v>
      </c>
      <c r="I436" s="631"/>
      <c r="J436" s="631"/>
      <c r="K436" s="680">
        <v>0</v>
      </c>
      <c r="L436" s="680">
        <v>0</v>
      </c>
      <c r="M436" s="680">
        <v>0</v>
      </c>
      <c r="N436"/>
      <c r="O436"/>
      <c r="P436"/>
      <c r="Q436"/>
      <c r="R436"/>
    </row>
    <row r="437" spans="4:18" hidden="1" outlineLevel="1" x14ac:dyDescent="0.2">
      <c r="E437" s="670" t="str">
        <v>spare</v>
      </c>
      <c r="G437" s="679">
        <f t="shared" si="34"/>
        <v>0</v>
      </c>
      <c r="I437" s="631"/>
      <c r="J437" s="631"/>
      <c r="K437" s="680">
        <v>0</v>
      </c>
      <c r="L437" s="680">
        <v>0</v>
      </c>
      <c r="M437" s="680">
        <v>0</v>
      </c>
      <c r="N437"/>
      <c r="O437"/>
      <c r="P437"/>
      <c r="Q437"/>
      <c r="R437"/>
    </row>
    <row r="438" spans="4:18" collapsed="1" x14ac:dyDescent="0.2">
      <c r="E438" s="670" t="str">
        <v>spare</v>
      </c>
      <c r="G438" s="679">
        <f t="shared" si="34"/>
        <v>0</v>
      </c>
      <c r="I438" s="631"/>
      <c r="J438" s="631"/>
      <c r="K438" s="680">
        <v>0</v>
      </c>
      <c r="L438" s="680">
        <v>0</v>
      </c>
      <c r="M438" s="680">
        <v>0</v>
      </c>
      <c r="N438"/>
      <c r="O438"/>
      <c r="P438"/>
      <c r="Q438"/>
      <c r="R438"/>
    </row>
    <row r="439" spans="4:18" x14ac:dyDescent="0.2">
      <c r="E439" s="631"/>
      <c r="G439" s="634" t="s">
        <v>1341</v>
      </c>
      <c r="I439" s="631"/>
      <c r="J439" s="631"/>
      <c r="K439" s="631"/>
      <c r="L439" s="631"/>
      <c r="M439" s="631"/>
      <c r="N439"/>
      <c r="O439"/>
      <c r="P439"/>
      <c r="Q439"/>
      <c r="R439"/>
    </row>
    <row r="440" spans="4:18" x14ac:dyDescent="0.2">
      <c r="D440" s="657"/>
      <c r="E440" s="657" t="s">
        <v>985</v>
      </c>
      <c r="I440" s="631"/>
      <c r="J440" s="631"/>
      <c r="K440" s="631"/>
      <c r="L440" s="631"/>
      <c r="M440" s="631"/>
      <c r="N440"/>
      <c r="O440"/>
      <c r="P440"/>
      <c r="Q440"/>
      <c r="R440"/>
    </row>
    <row r="441" spans="4:18" x14ac:dyDescent="0.2">
      <c r="E441" s="670" t="str">
        <f t="array" ref="E441:E450">Geotypes</f>
        <v>Muy denso</v>
      </c>
      <c r="G441" s="679">
        <f t="shared" ref="G441:G450" si="35">INDEX(K441:M441,,MATCH(CTRL.scenario.selected,Scenario.list,0))</f>
        <v>0.8</v>
      </c>
      <c r="I441" s="631"/>
      <c r="J441"/>
      <c r="K441" s="680">
        <f t="array" ref="K441:K450">INDEX($K1161:$M1170,,MATCH(K$20,Operators.list,0))</f>
        <v>0.8</v>
      </c>
      <c r="L441" s="680">
        <f t="array" ref="L441:L450">INDEX($K1161:$M1170,,MATCH(L$20,Operators.list,0))</f>
        <v>0</v>
      </c>
      <c r="M441" s="680">
        <f t="array" ref="M441:M450">INDEX($K1161:$M1170,,MATCH(M$20,Operators.list,0))</f>
        <v>0</v>
      </c>
      <c r="N441"/>
      <c r="O441"/>
      <c r="P441"/>
      <c r="Q441"/>
      <c r="R441"/>
    </row>
    <row r="442" spans="4:18" hidden="1" outlineLevel="1" x14ac:dyDescent="0.2">
      <c r="E442" s="670" t="str">
        <v>Denso</v>
      </c>
      <c r="G442" s="679">
        <f t="shared" si="35"/>
        <v>0.13</v>
      </c>
      <c r="I442" s="631"/>
      <c r="J442"/>
      <c r="K442" s="680">
        <v>0.13</v>
      </c>
      <c r="L442" s="680">
        <v>0</v>
      </c>
      <c r="M442" s="680">
        <v>0</v>
      </c>
      <c r="N442"/>
      <c r="O442"/>
      <c r="P442"/>
      <c r="Q442"/>
      <c r="R442"/>
    </row>
    <row r="443" spans="4:18" hidden="1" outlineLevel="1" x14ac:dyDescent="0.2">
      <c r="E443" s="670" t="str">
        <v>Poco denso</v>
      </c>
      <c r="G443" s="679">
        <f t="shared" si="35"/>
        <v>0.05</v>
      </c>
      <c r="I443" s="631"/>
      <c r="J443"/>
      <c r="K443" s="680">
        <v>0.05</v>
      </c>
      <c r="L443" s="680">
        <v>0</v>
      </c>
      <c r="M443" s="680">
        <v>0</v>
      </c>
      <c r="N443"/>
      <c r="O443"/>
      <c r="P443"/>
      <c r="Q443"/>
      <c r="R443"/>
    </row>
    <row r="444" spans="4:18" hidden="1" outlineLevel="1" x14ac:dyDescent="0.2">
      <c r="E444" s="670" t="str">
        <v>Otro</v>
      </c>
      <c r="G444" s="679">
        <f t="shared" si="35"/>
        <v>0</v>
      </c>
      <c r="I444" s="631"/>
      <c r="J444"/>
      <c r="K444" s="680">
        <v>0</v>
      </c>
      <c r="L444" s="680">
        <v>0</v>
      </c>
      <c r="M444" s="680">
        <v>0</v>
      </c>
      <c r="N444"/>
      <c r="O444"/>
      <c r="P444"/>
      <c r="Q444"/>
      <c r="R444"/>
    </row>
    <row r="445" spans="4:18" hidden="1" outlineLevel="1" x14ac:dyDescent="0.2">
      <c r="E445" s="670" t="str">
        <v>Microceldas</v>
      </c>
      <c r="G445" s="679">
        <f t="shared" si="35"/>
        <v>1.9999999999999907E-2</v>
      </c>
      <c r="I445" s="631"/>
      <c r="J445"/>
      <c r="K445" s="680">
        <v>1.9999999999999907E-2</v>
      </c>
      <c r="L445" s="680">
        <v>0</v>
      </c>
      <c r="M445" s="680">
        <v>0</v>
      </c>
      <c r="N445"/>
      <c r="O445"/>
      <c r="P445"/>
      <c r="Q445"/>
      <c r="R445"/>
    </row>
    <row r="446" spans="4:18" hidden="1" outlineLevel="1" x14ac:dyDescent="0.2">
      <c r="E446" s="670" t="str">
        <v>spare</v>
      </c>
      <c r="G446" s="679">
        <f t="shared" si="35"/>
        <v>0</v>
      </c>
      <c r="I446" s="631"/>
      <c r="J446"/>
      <c r="K446" s="680">
        <v>0</v>
      </c>
      <c r="L446" s="680">
        <v>0</v>
      </c>
      <c r="M446" s="680">
        <v>0</v>
      </c>
      <c r="N446"/>
      <c r="O446"/>
      <c r="P446"/>
      <c r="Q446"/>
      <c r="R446"/>
    </row>
    <row r="447" spans="4:18" hidden="1" outlineLevel="1" x14ac:dyDescent="0.2">
      <c r="E447" s="670" t="str">
        <v>spare</v>
      </c>
      <c r="G447" s="679">
        <f t="shared" si="35"/>
        <v>0</v>
      </c>
      <c r="I447" s="631"/>
      <c r="J447"/>
      <c r="K447" s="680">
        <v>0</v>
      </c>
      <c r="L447" s="680">
        <v>0</v>
      </c>
      <c r="M447" s="680">
        <v>0</v>
      </c>
      <c r="N447"/>
      <c r="O447"/>
      <c r="P447"/>
      <c r="Q447"/>
      <c r="R447"/>
    </row>
    <row r="448" spans="4:18" hidden="1" outlineLevel="1" x14ac:dyDescent="0.2">
      <c r="E448" s="670" t="str">
        <v>spare</v>
      </c>
      <c r="G448" s="679">
        <f t="shared" si="35"/>
        <v>0</v>
      </c>
      <c r="I448" s="631"/>
      <c r="J448"/>
      <c r="K448" s="680">
        <v>0</v>
      </c>
      <c r="L448" s="680">
        <v>0</v>
      </c>
      <c r="M448" s="680">
        <v>0</v>
      </c>
      <c r="N448"/>
      <c r="O448"/>
      <c r="P448"/>
      <c r="Q448"/>
      <c r="R448"/>
    </row>
    <row r="449" spans="1:18" hidden="1" outlineLevel="1" x14ac:dyDescent="0.2">
      <c r="E449" s="670" t="str">
        <v>spare</v>
      </c>
      <c r="G449" s="679">
        <f t="shared" si="35"/>
        <v>0</v>
      </c>
      <c r="I449" s="631"/>
      <c r="J449"/>
      <c r="K449" s="680">
        <v>0</v>
      </c>
      <c r="L449" s="680">
        <v>0</v>
      </c>
      <c r="M449" s="680">
        <v>0</v>
      </c>
      <c r="N449"/>
      <c r="O449"/>
      <c r="P449"/>
      <c r="Q449"/>
      <c r="R449"/>
    </row>
    <row r="450" spans="1:18" collapsed="1" x14ac:dyDescent="0.2">
      <c r="E450" s="670" t="str">
        <v>spare</v>
      </c>
      <c r="G450" s="679">
        <f t="shared" si="35"/>
        <v>0</v>
      </c>
      <c r="I450" s="631"/>
      <c r="J450"/>
      <c r="K450" s="680">
        <v>0</v>
      </c>
      <c r="L450" s="680">
        <v>0</v>
      </c>
      <c r="M450" s="680">
        <v>0</v>
      </c>
      <c r="N450"/>
      <c r="O450"/>
      <c r="P450"/>
      <c r="Q450"/>
      <c r="R450"/>
    </row>
    <row r="451" spans="1:18" x14ac:dyDescent="0.2">
      <c r="E451" s="631"/>
      <c r="G451" s="634" t="s">
        <v>1340</v>
      </c>
      <c r="I451" s="631"/>
      <c r="J451" s="631"/>
      <c r="K451" s="631"/>
      <c r="L451" s="631"/>
      <c r="M451" s="631"/>
      <c r="N451" s="631"/>
      <c r="O451" s="631"/>
      <c r="P451" s="631"/>
      <c r="Q451" s="631"/>
      <c r="R451" s="631"/>
    </row>
    <row r="452" spans="1:18" x14ac:dyDescent="0.2">
      <c r="G452" s="634"/>
      <c r="I452" s="631"/>
      <c r="J452" s="631"/>
      <c r="K452" s="631"/>
      <c r="L452" s="631"/>
      <c r="M452" s="631"/>
      <c r="N452" s="631"/>
      <c r="O452" s="631"/>
      <c r="P452" s="631"/>
      <c r="Q452" s="631"/>
      <c r="R452" s="631"/>
    </row>
    <row r="453" spans="1:18" x14ac:dyDescent="0.2">
      <c r="C453" s="657" t="s">
        <v>719</v>
      </c>
      <c r="G453" s="634"/>
      <c r="I453" s="631"/>
      <c r="J453" s="631"/>
      <c r="K453" s="631"/>
      <c r="L453" s="631"/>
      <c r="M453" s="631"/>
      <c r="N453" s="631"/>
      <c r="O453" s="631"/>
      <c r="P453" s="631"/>
      <c r="Q453" s="631"/>
      <c r="R453" s="631"/>
    </row>
    <row r="454" spans="1:18" x14ac:dyDescent="0.2">
      <c r="C454" s="657"/>
      <c r="E454" s="656" t="str">
        <f>E1173</f>
        <v>Tráfico de voz on-net</v>
      </c>
      <c r="F454" s="656"/>
      <c r="G454" s="682">
        <f t="shared" ref="G454:G460" si="36">INDEX(K454:M454,,MATCH(CTRL.scenario.selected,Scenario.list,0))</f>
        <v>1.7</v>
      </c>
      <c r="I454" s="631"/>
      <c r="J454" s="631"/>
      <c r="K454" s="707">
        <f t="array" ref="K454:M460">INDEX($K1173:$M1179,,MATCH(K$20,Operators.list,0))</f>
        <v>1.7</v>
      </c>
      <c r="L454" s="656">
        <v>1.7</v>
      </c>
      <c r="M454" s="656">
        <v>1.7</v>
      </c>
      <c r="N454"/>
      <c r="O454"/>
      <c r="P454"/>
      <c r="Q454"/>
      <c r="R454"/>
    </row>
    <row r="455" spans="1:18" x14ac:dyDescent="0.2">
      <c r="C455" s="657"/>
      <c r="E455" s="656" t="str">
        <f t="shared" ref="E455:E460" si="37">E1174</f>
        <v>Tráfico de voz saliente a fijo</v>
      </c>
      <c r="F455" s="656"/>
      <c r="G455" s="682">
        <f t="shared" si="36"/>
        <v>1.6</v>
      </c>
      <c r="I455" s="631"/>
      <c r="J455" s="631"/>
      <c r="K455" s="707">
        <v>1.6</v>
      </c>
      <c r="L455" s="656">
        <v>1.6</v>
      </c>
      <c r="M455" s="656">
        <v>1.6</v>
      </c>
      <c r="N455"/>
      <c r="O455"/>
      <c r="P455"/>
      <c r="Q455"/>
      <c r="R455"/>
    </row>
    <row r="456" spans="1:18" x14ac:dyDescent="0.2">
      <c r="E456" s="656" t="str">
        <f t="shared" si="37"/>
        <v>Tráfico de voz saliente a móvil</v>
      </c>
      <c r="F456" s="656"/>
      <c r="G456" s="682">
        <f t="shared" si="36"/>
        <v>1.3</v>
      </c>
      <c r="I456" s="631"/>
      <c r="J456" s="631"/>
      <c r="K456" s="707">
        <v>1.3</v>
      </c>
      <c r="L456" s="656">
        <v>1.3</v>
      </c>
      <c r="M456" s="656">
        <v>1.3</v>
      </c>
      <c r="N456"/>
      <c r="O456"/>
      <c r="P456"/>
      <c r="Q456"/>
      <c r="R456"/>
    </row>
    <row r="457" spans="1:18" x14ac:dyDescent="0.2">
      <c r="E457" s="656" t="str">
        <f t="shared" si="37"/>
        <v>Tráfico de voz saliente a internacional</v>
      </c>
      <c r="F457" s="656"/>
      <c r="G457" s="682">
        <f t="shared" si="36"/>
        <v>2.1</v>
      </c>
      <c r="I457" s="631"/>
      <c r="J457" s="631"/>
      <c r="K457" s="707">
        <v>2.1</v>
      </c>
      <c r="L457" s="656">
        <v>2.1</v>
      </c>
      <c r="M457" s="656">
        <v>2.1</v>
      </c>
      <c r="N457"/>
      <c r="O457"/>
      <c r="P457"/>
      <c r="Q457"/>
      <c r="R457"/>
    </row>
    <row r="458" spans="1:18" x14ac:dyDescent="0.2">
      <c r="E458" s="656" t="str">
        <f t="shared" si="37"/>
        <v>Tráfico de voz entrante desde fijo</v>
      </c>
      <c r="F458" s="656"/>
      <c r="G458" s="682">
        <f t="shared" si="36"/>
        <v>1.6</v>
      </c>
      <c r="I458" s="631"/>
      <c r="J458" s="631"/>
      <c r="K458" s="707">
        <v>1.6</v>
      </c>
      <c r="L458" s="656">
        <v>1.6</v>
      </c>
      <c r="M458" s="656">
        <v>1.6</v>
      </c>
      <c r="N458"/>
      <c r="O458"/>
      <c r="P458"/>
      <c r="Q458"/>
      <c r="R458"/>
    </row>
    <row r="459" spans="1:18" x14ac:dyDescent="0.2">
      <c r="E459" s="656" t="str">
        <f t="shared" si="37"/>
        <v>Tráfico de voz entrante desde móvil</v>
      </c>
      <c r="F459" s="656"/>
      <c r="G459" s="682">
        <f t="shared" si="36"/>
        <v>1.3</v>
      </c>
      <c r="I459" s="631"/>
      <c r="J459" s="631"/>
      <c r="K459" s="707">
        <v>1.3</v>
      </c>
      <c r="L459" s="656">
        <v>1.3</v>
      </c>
      <c r="M459" s="656">
        <v>1.3</v>
      </c>
      <c r="N459"/>
      <c r="O459"/>
      <c r="P459"/>
      <c r="Q459"/>
      <c r="R459"/>
    </row>
    <row r="460" spans="1:18" x14ac:dyDescent="0.2">
      <c r="E460" s="656" t="str">
        <f t="shared" si="37"/>
        <v>Tráfico de voz entrante desde internacional</v>
      </c>
      <c r="F460" s="656"/>
      <c r="G460" s="682">
        <f t="shared" si="36"/>
        <v>2.1</v>
      </c>
      <c r="I460" s="631"/>
      <c r="J460" s="631"/>
      <c r="K460" s="707">
        <v>2.1</v>
      </c>
      <c r="L460" s="656">
        <v>2.1</v>
      </c>
      <c r="M460" s="656">
        <v>2.1</v>
      </c>
      <c r="N460"/>
      <c r="O460"/>
      <c r="P460"/>
      <c r="Q460"/>
      <c r="R460"/>
    </row>
    <row r="461" spans="1:18" x14ac:dyDescent="0.2">
      <c r="G461" s="634" t="s">
        <v>1695</v>
      </c>
      <c r="I461" s="631"/>
      <c r="J461" s="631"/>
      <c r="K461" s="631"/>
      <c r="L461" s="631"/>
      <c r="M461" s="631"/>
      <c r="N461" s="631"/>
      <c r="O461" s="631"/>
      <c r="P461" s="631"/>
      <c r="Q461" s="631"/>
      <c r="R461" s="631"/>
    </row>
    <row r="462" spans="1:18" x14ac:dyDescent="0.2">
      <c r="G462" s="634"/>
      <c r="I462" s="631"/>
      <c r="J462" s="631"/>
      <c r="K462" s="631"/>
      <c r="L462" s="631"/>
      <c r="M462" s="631"/>
      <c r="N462" s="631"/>
      <c r="O462" s="631"/>
      <c r="P462" s="631"/>
      <c r="Q462" s="631"/>
      <c r="R462" s="631"/>
    </row>
    <row r="463" spans="1:18" x14ac:dyDescent="0.2">
      <c r="A463" s="631"/>
      <c r="B463" s="631"/>
      <c r="C463" s="657" t="s">
        <v>1696</v>
      </c>
      <c r="G463" s="631"/>
    </row>
    <row r="464" spans="1:18" x14ac:dyDescent="0.2">
      <c r="A464" s="631"/>
      <c r="B464" s="631"/>
      <c r="E464" s="657" t="s">
        <v>1697</v>
      </c>
      <c r="G464" s="631"/>
      <c r="K464" s="635" t="str">
        <f t="array" ref="K464:M464">TRANSPOSE(Operators.list)</f>
        <v>Hipotético</v>
      </c>
      <c r="L464" s="635" t="str">
        <v>Spare</v>
      </c>
      <c r="M464" s="635" t="str">
        <v>Spare</v>
      </c>
      <c r="N464"/>
      <c r="O464"/>
      <c r="P464"/>
      <c r="Q464"/>
    </row>
    <row r="465" spans="1:18" x14ac:dyDescent="0.2">
      <c r="A465" s="631"/>
      <c r="B465" s="631"/>
      <c r="E465" s="676" t="s">
        <v>727</v>
      </c>
      <c r="G465" s="683">
        <f>INDEX(K465:M465,,MATCH(CTRL.operator.selected,Operators.list,0))</f>
        <v>365</v>
      </c>
      <c r="H465" s="634" t="s">
        <v>1702</v>
      </c>
      <c r="K465" s="675">
        <f t="array" ref="K465:M465">INDEX($K1183:$M1183,,MATCH(K$20,Operators.list,0))</f>
        <v>365</v>
      </c>
      <c r="L465" s="675">
        <v>365</v>
      </c>
      <c r="M465" s="675">
        <v>365</v>
      </c>
      <c r="N465"/>
      <c r="O465"/>
      <c r="P465"/>
      <c r="Q465"/>
      <c r="R465"/>
    </row>
    <row r="466" spans="1:18" x14ac:dyDescent="0.2">
      <c r="A466" s="631"/>
      <c r="B466" s="631"/>
      <c r="E466" s="676" t="s">
        <v>728</v>
      </c>
      <c r="G466" s="684">
        <f>INDEX(K466:M466,,MATCH(CTRL.operator.selected,Operators.list,0))</f>
        <v>1</v>
      </c>
      <c r="H466" s="634" t="s">
        <v>1703</v>
      </c>
      <c r="K466" s="687">
        <f t="array" ref="K466:M466">INDEX($K1184:$M1184,,MATCH(K$20,Operators.list,0))</f>
        <v>1</v>
      </c>
      <c r="L466" s="685">
        <v>1</v>
      </c>
      <c r="M466" s="685">
        <v>1</v>
      </c>
      <c r="N466"/>
      <c r="O466"/>
      <c r="P466"/>
      <c r="Q466"/>
      <c r="R466"/>
    </row>
    <row r="467" spans="1:18" x14ac:dyDescent="0.2">
      <c r="A467" s="631"/>
      <c r="B467" s="631"/>
      <c r="E467" s="657" t="s">
        <v>729</v>
      </c>
      <c r="G467" s="631"/>
      <c r="N467"/>
      <c r="O467"/>
      <c r="P467"/>
      <c r="Q467"/>
      <c r="R467"/>
    </row>
    <row r="468" spans="1:18" x14ac:dyDescent="0.2">
      <c r="A468" s="631"/>
      <c r="B468" s="631"/>
      <c r="E468" s="676" t="s">
        <v>411</v>
      </c>
      <c r="G468" s="686">
        <f>INDEX(K468:M468,,MATCH(CTRL.operator.selected,Operators.list,0))</f>
        <v>0.08</v>
      </c>
      <c r="H468" s="634" t="s">
        <v>1698</v>
      </c>
      <c r="K468" s="687">
        <f t="array" ref="K468:M468">INDEX($K1186:$M1186,,MATCH(K$20,Operators.list,0))</f>
        <v>0.08</v>
      </c>
      <c r="L468" s="687">
        <v>0.08</v>
      </c>
      <c r="M468" s="687">
        <v>0.08</v>
      </c>
      <c r="N468"/>
      <c r="O468"/>
      <c r="P468"/>
      <c r="Q468"/>
      <c r="R468"/>
    </row>
    <row r="469" spans="1:18" x14ac:dyDescent="0.2">
      <c r="A469" s="631"/>
      <c r="B469" s="631"/>
      <c r="E469" s="676" t="s">
        <v>417</v>
      </c>
      <c r="G469" s="686">
        <f>INDEX(K469:M469,,MATCH(CTRL.operator.selected,Operators.list,0))</f>
        <v>0.06</v>
      </c>
      <c r="H469" s="634" t="s">
        <v>1699</v>
      </c>
      <c r="K469" s="687">
        <f t="array" ref="K469:M469">INDEX($K1187:$M1187,,MATCH(K$20,Operators.list,0))</f>
        <v>0.06</v>
      </c>
      <c r="L469" s="687">
        <v>0.06</v>
      </c>
      <c r="M469" s="687">
        <v>0.06</v>
      </c>
      <c r="N469"/>
      <c r="O469"/>
      <c r="P469"/>
      <c r="Q469"/>
      <c r="R469"/>
    </row>
    <row r="470" spans="1:18" x14ac:dyDescent="0.2">
      <c r="A470" s="631"/>
      <c r="B470" s="631"/>
      <c r="E470" s="657" t="s">
        <v>730</v>
      </c>
      <c r="G470" s="631"/>
      <c r="L470" s="688"/>
      <c r="M470" s="688"/>
      <c r="N470"/>
      <c r="O470"/>
      <c r="P470"/>
      <c r="Q470"/>
      <c r="R470"/>
    </row>
    <row r="471" spans="1:18" x14ac:dyDescent="0.2">
      <c r="A471" s="631"/>
      <c r="B471" s="631"/>
      <c r="E471" s="676" t="s">
        <v>411</v>
      </c>
      <c r="G471" s="686">
        <f>INDEX(K471:M471,,MATCH(CTRL.operator.selected,Operators.list,0))</f>
        <v>0.05</v>
      </c>
      <c r="H471" s="634" t="s">
        <v>1700</v>
      </c>
      <c r="K471" s="687">
        <f t="array" ref="K471:M471">INDEX($K1189:$M1189,,MATCH(K$20,Operators.list,0))</f>
        <v>0.05</v>
      </c>
      <c r="L471" s="687">
        <v>0.05</v>
      </c>
      <c r="M471" s="687">
        <v>0.05</v>
      </c>
      <c r="N471"/>
      <c r="O471"/>
      <c r="P471"/>
      <c r="Q471"/>
      <c r="R471"/>
    </row>
    <row r="472" spans="1:18" x14ac:dyDescent="0.2">
      <c r="A472" s="631"/>
      <c r="B472" s="631"/>
      <c r="E472" s="676" t="s">
        <v>417</v>
      </c>
      <c r="G472" s="686">
        <f>INDEX(K472:M472,,MATCH(CTRL.operator.selected,Operators.list,0))</f>
        <v>7.4999999999999997E-2</v>
      </c>
      <c r="H472" s="634" t="s">
        <v>1701</v>
      </c>
      <c r="K472" s="687">
        <f t="array" ref="K472:M472">INDEX($K1190:$M1190,,MATCH(K$20,Operators.list,0))</f>
        <v>7.4999999999999997E-2</v>
      </c>
      <c r="L472" s="687">
        <v>7.4999999999999997E-2</v>
      </c>
      <c r="M472" s="687">
        <v>7.4999999999999997E-2</v>
      </c>
      <c r="N472"/>
      <c r="O472"/>
      <c r="P472"/>
      <c r="Q472"/>
      <c r="R472"/>
    </row>
    <row r="473" spans="1:18" x14ac:dyDescent="0.2">
      <c r="G473" s="634"/>
      <c r="I473" s="631"/>
      <c r="J473" s="631"/>
      <c r="K473" s="631"/>
      <c r="L473" s="631"/>
      <c r="M473" s="631"/>
      <c r="N473"/>
      <c r="O473"/>
      <c r="P473"/>
      <c r="Q473"/>
      <c r="R473"/>
    </row>
    <row r="474" spans="1:18" x14ac:dyDescent="0.2">
      <c r="C474" s="657" t="s">
        <v>1352</v>
      </c>
      <c r="G474" s="634"/>
      <c r="I474" s="631"/>
      <c r="J474" s="631"/>
      <c r="K474" s="631"/>
      <c r="L474" s="631"/>
      <c r="M474" s="631"/>
      <c r="N474"/>
      <c r="O474"/>
      <c r="P474"/>
      <c r="Q474"/>
      <c r="R474"/>
    </row>
    <row r="475" spans="1:18" x14ac:dyDescent="0.2">
      <c r="E475" s="632" t="s">
        <v>96</v>
      </c>
      <c r="G475" s="689">
        <f>INDEX(K475:M475,,MATCH(CTRL.scenario.selected,Scenario.list,0))</f>
        <v>200</v>
      </c>
      <c r="I475" s="631"/>
      <c r="J475" s="631"/>
      <c r="K475" s="690">
        <f t="array" ref="K475:K477">INDEX($K1080:$M1082,,MATCH(K$20,K1079,0))</f>
        <v>200</v>
      </c>
      <c r="L475" s="690">
        <f t="array" ref="L475:L477">INDEX($K1080:$M1082,,MATCH(L$20,Operators.list,0))</f>
        <v>0</v>
      </c>
      <c r="M475" s="690">
        <f t="array" ref="M475:M477">INDEX($K1080:$M1082,,MATCH(M$20,Operators.list,0))</f>
        <v>0</v>
      </c>
      <c r="N475"/>
      <c r="O475"/>
      <c r="P475"/>
      <c r="Q475"/>
      <c r="R475"/>
    </row>
    <row r="476" spans="1:18" x14ac:dyDescent="0.2">
      <c r="E476" s="632" t="s">
        <v>97</v>
      </c>
      <c r="G476" s="689">
        <f>INDEX(K476:M476,,MATCH(CTRL.scenario.selected,Scenario.list,0))</f>
        <v>200</v>
      </c>
      <c r="I476" s="631"/>
      <c r="J476" s="631"/>
      <c r="K476" s="691">
        <v>200</v>
      </c>
      <c r="L476" s="691">
        <v>0</v>
      </c>
      <c r="M476" s="691">
        <v>0</v>
      </c>
      <c r="N476"/>
      <c r="O476"/>
      <c r="P476"/>
      <c r="Q476"/>
      <c r="R476"/>
    </row>
    <row r="477" spans="1:18" x14ac:dyDescent="0.2">
      <c r="E477" s="632" t="s">
        <v>985</v>
      </c>
      <c r="G477" s="689">
        <f>INDEX(K477:M477,,MATCH(CTRL.scenario.selected,Scenario.list,0))</f>
        <v>100</v>
      </c>
      <c r="I477" s="631"/>
      <c r="J477" s="631"/>
      <c r="K477" s="691">
        <v>100</v>
      </c>
      <c r="L477" s="691">
        <v>0</v>
      </c>
      <c r="M477" s="691">
        <v>0</v>
      </c>
      <c r="N477"/>
      <c r="O477"/>
      <c r="P477"/>
      <c r="Q477"/>
      <c r="R477"/>
    </row>
    <row r="478" spans="1:18" x14ac:dyDescent="0.2">
      <c r="G478" s="634" t="s">
        <v>986</v>
      </c>
      <c r="I478" s="631"/>
      <c r="J478" s="631"/>
      <c r="K478" s="631"/>
      <c r="L478" s="631"/>
      <c r="M478" s="631"/>
      <c r="N478"/>
      <c r="O478"/>
      <c r="P478"/>
      <c r="Q478"/>
      <c r="R478"/>
    </row>
    <row r="479" spans="1:18" x14ac:dyDescent="0.2">
      <c r="G479" s="634"/>
      <c r="I479" s="631"/>
      <c r="J479" s="631"/>
      <c r="K479" s="631"/>
      <c r="L479" s="631"/>
      <c r="M479" s="631"/>
      <c r="N479"/>
      <c r="O479"/>
      <c r="P479"/>
      <c r="Q479"/>
      <c r="R479"/>
    </row>
    <row r="480" spans="1:18" x14ac:dyDescent="0.2">
      <c r="C480" s="657" t="s">
        <v>590</v>
      </c>
      <c r="I480" s="631"/>
      <c r="J480" s="631"/>
      <c r="K480" s="631"/>
      <c r="L480" s="631"/>
      <c r="M480" s="631"/>
      <c r="N480"/>
      <c r="O480"/>
      <c r="P480"/>
      <c r="Q480"/>
      <c r="R480"/>
    </row>
    <row r="481" spans="5:18" x14ac:dyDescent="0.2">
      <c r="E481" s="670" t="str">
        <f t="array" ref="E481:E520">Core.nodes</f>
        <v>Abancay</v>
      </c>
      <c r="G481" s="674">
        <f t="shared" ref="G481:G520" si="38">INDEX(K481:M481,,MATCH(CTRL.scenario.selected,Scenario.list,0))</f>
        <v>1</v>
      </c>
      <c r="I481" s="631"/>
      <c r="J481" s="631"/>
      <c r="K481" s="692">
        <f t="array" ref="K481:K520">INDEX($K1385:$M1424,,MATCH(K$20,$K$1384:$M$1384,0))</f>
        <v>1</v>
      </c>
      <c r="L481" s="692">
        <f t="array" ref="L481:L520">INDEX($K1385:$M1424,,MATCH(L$20,$K$1384:$M$1384,0))</f>
        <v>0</v>
      </c>
      <c r="M481" s="692">
        <f t="array" ref="M481:M520">INDEX($K1385:$M1424,,MATCH(M$20,$K$1384:$M$1384,0))</f>
        <v>0</v>
      </c>
      <c r="N481"/>
      <c r="O481"/>
      <c r="P481"/>
      <c r="Q481"/>
      <c r="R481"/>
    </row>
    <row r="482" spans="5:18" hidden="1" outlineLevel="1" x14ac:dyDescent="0.2">
      <c r="E482" s="670" t="str">
        <v>Arequipa</v>
      </c>
      <c r="G482" s="674">
        <f t="shared" si="38"/>
        <v>1</v>
      </c>
      <c r="I482" s="631"/>
      <c r="J482" s="631"/>
      <c r="K482" s="692">
        <v>1</v>
      </c>
      <c r="L482" s="692">
        <v>0</v>
      </c>
      <c r="M482" s="692">
        <v>0</v>
      </c>
      <c r="N482"/>
      <c r="O482"/>
      <c r="P482"/>
      <c r="Q482"/>
      <c r="R482"/>
    </row>
    <row r="483" spans="5:18" hidden="1" outlineLevel="1" x14ac:dyDescent="0.2">
      <c r="E483" s="670" t="str">
        <v>Ayacucho</v>
      </c>
      <c r="G483" s="674">
        <f t="shared" si="38"/>
        <v>1</v>
      </c>
      <c r="I483" s="631"/>
      <c r="J483" s="631"/>
      <c r="K483" s="692">
        <v>1</v>
      </c>
      <c r="L483" s="692">
        <v>0</v>
      </c>
      <c r="M483" s="692">
        <v>0</v>
      </c>
      <c r="N483"/>
      <c r="O483"/>
      <c r="P483"/>
      <c r="Q483"/>
      <c r="R483"/>
    </row>
    <row r="484" spans="5:18" hidden="1" outlineLevel="1" x14ac:dyDescent="0.2">
      <c r="E484" s="670" t="str">
        <v>Cajamarca</v>
      </c>
      <c r="G484" s="674">
        <f t="shared" si="38"/>
        <v>1</v>
      </c>
      <c r="I484" s="631"/>
      <c r="J484" s="631"/>
      <c r="K484" s="692">
        <v>1</v>
      </c>
      <c r="L484" s="692">
        <v>0</v>
      </c>
      <c r="M484" s="692">
        <v>0</v>
      </c>
      <c r="N484"/>
      <c r="O484"/>
      <c r="P484"/>
      <c r="Q484"/>
      <c r="R484"/>
    </row>
    <row r="485" spans="5:18" hidden="1" outlineLevel="1" x14ac:dyDescent="0.2">
      <c r="E485" s="670" t="str">
        <v>Callao</v>
      </c>
      <c r="G485" s="674">
        <f t="shared" si="38"/>
        <v>1</v>
      </c>
      <c r="I485" s="631"/>
      <c r="J485" s="631"/>
      <c r="K485" s="692">
        <v>1</v>
      </c>
      <c r="L485" s="692">
        <v>0</v>
      </c>
      <c r="M485" s="692">
        <v>0</v>
      </c>
      <c r="N485"/>
      <c r="O485"/>
      <c r="P485"/>
      <c r="Q485"/>
      <c r="R485"/>
    </row>
    <row r="486" spans="5:18" hidden="1" outlineLevel="1" x14ac:dyDescent="0.2">
      <c r="E486" s="670" t="str">
        <v>Cerro de Pasco</v>
      </c>
      <c r="G486" s="674">
        <f t="shared" si="38"/>
        <v>1</v>
      </c>
      <c r="I486" s="631"/>
      <c r="J486" s="631"/>
      <c r="K486" s="692">
        <v>1</v>
      </c>
      <c r="L486" s="692">
        <v>0</v>
      </c>
      <c r="M486" s="692">
        <v>0</v>
      </c>
      <c r="N486"/>
      <c r="O486"/>
      <c r="P486"/>
      <c r="Q486"/>
      <c r="R486"/>
    </row>
    <row r="487" spans="5:18" hidden="1" outlineLevel="1" x14ac:dyDescent="0.2">
      <c r="E487" s="670" t="str">
        <v>Chachapoyas</v>
      </c>
      <c r="G487" s="674">
        <f t="shared" si="38"/>
        <v>1</v>
      </c>
      <c r="I487" s="631"/>
      <c r="J487" s="631"/>
      <c r="K487" s="692">
        <v>1</v>
      </c>
      <c r="L487" s="692">
        <v>0</v>
      </c>
      <c r="M487" s="692">
        <v>0</v>
      </c>
      <c r="N487"/>
      <c r="O487"/>
      <c r="P487"/>
      <c r="Q487"/>
      <c r="R487"/>
    </row>
    <row r="488" spans="5:18" hidden="1" outlineLevel="1" x14ac:dyDescent="0.2">
      <c r="E488" s="670" t="str">
        <v>Chiclayo</v>
      </c>
      <c r="G488" s="674">
        <f t="shared" si="38"/>
        <v>1</v>
      </c>
      <c r="I488" s="631"/>
      <c r="J488" s="631"/>
      <c r="K488" s="692">
        <v>1</v>
      </c>
      <c r="L488" s="692">
        <v>0</v>
      </c>
      <c r="M488" s="692">
        <v>0</v>
      </c>
      <c r="N488"/>
      <c r="O488"/>
      <c r="P488"/>
      <c r="Q488"/>
      <c r="R488"/>
    </row>
    <row r="489" spans="5:18" hidden="1" outlineLevel="1" x14ac:dyDescent="0.2">
      <c r="E489" s="670" t="str">
        <v>Cusco</v>
      </c>
      <c r="G489" s="674">
        <f t="shared" si="38"/>
        <v>1</v>
      </c>
      <c r="I489" s="631"/>
      <c r="J489" s="631"/>
      <c r="K489" s="692">
        <v>1</v>
      </c>
      <c r="L489" s="692">
        <v>0</v>
      </c>
      <c r="M489" s="692">
        <v>0</v>
      </c>
      <c r="N489"/>
      <c r="O489"/>
      <c r="P489"/>
      <c r="Q489"/>
      <c r="R489"/>
    </row>
    <row r="490" spans="5:18" hidden="1" outlineLevel="1" x14ac:dyDescent="0.2">
      <c r="E490" s="670" t="str">
        <v>Huancavelica</v>
      </c>
      <c r="G490" s="674">
        <f t="shared" si="38"/>
        <v>1</v>
      </c>
      <c r="I490" s="631"/>
      <c r="J490" s="631"/>
      <c r="K490" s="692">
        <v>1</v>
      </c>
      <c r="L490" s="692">
        <v>0</v>
      </c>
      <c r="M490" s="692">
        <v>0</v>
      </c>
      <c r="N490"/>
      <c r="O490"/>
      <c r="P490"/>
      <c r="Q490"/>
      <c r="R490"/>
    </row>
    <row r="491" spans="5:18" hidden="1" outlineLevel="1" x14ac:dyDescent="0.2">
      <c r="E491" s="670" t="str">
        <v>Huancayo</v>
      </c>
      <c r="G491" s="674">
        <f t="shared" si="38"/>
        <v>1</v>
      </c>
      <c r="I491" s="631"/>
      <c r="J491" s="631"/>
      <c r="K491" s="692">
        <v>1</v>
      </c>
      <c r="L491" s="692">
        <v>0</v>
      </c>
      <c r="M491" s="692">
        <v>0</v>
      </c>
      <c r="N491"/>
      <c r="O491"/>
      <c r="P491"/>
      <c r="Q491"/>
      <c r="R491"/>
    </row>
    <row r="492" spans="5:18" hidden="1" outlineLevel="1" x14ac:dyDescent="0.2">
      <c r="E492" s="670" t="str">
        <v>Huaraz</v>
      </c>
      <c r="G492" s="674">
        <f t="shared" si="38"/>
        <v>1</v>
      </c>
      <c r="I492" s="631"/>
      <c r="J492" s="631"/>
      <c r="K492" s="692">
        <v>1</v>
      </c>
      <c r="L492" s="692">
        <v>0</v>
      </c>
      <c r="M492" s="692">
        <v>0</v>
      </c>
      <c r="N492"/>
      <c r="O492"/>
      <c r="P492"/>
      <c r="Q492"/>
      <c r="R492"/>
    </row>
    <row r="493" spans="5:18" hidden="1" outlineLevel="1" x14ac:dyDescent="0.2">
      <c r="E493" s="670" t="str">
        <v>Ica</v>
      </c>
      <c r="G493" s="674">
        <f t="shared" si="38"/>
        <v>1</v>
      </c>
      <c r="I493" s="631"/>
      <c r="J493" s="631"/>
      <c r="K493" s="692">
        <v>1</v>
      </c>
      <c r="L493" s="692">
        <v>0</v>
      </c>
      <c r="M493" s="692">
        <v>0</v>
      </c>
      <c r="N493"/>
      <c r="O493"/>
      <c r="P493"/>
      <c r="Q493"/>
      <c r="R493"/>
    </row>
    <row r="494" spans="5:18" hidden="1" outlineLevel="1" x14ac:dyDescent="0.2">
      <c r="E494" s="670" t="str">
        <v>Iquitos</v>
      </c>
      <c r="G494" s="674">
        <f t="shared" si="38"/>
        <v>0</v>
      </c>
      <c r="I494" s="631"/>
      <c r="J494" s="631"/>
      <c r="K494" s="692">
        <v>0</v>
      </c>
      <c r="L494" s="692">
        <v>0</v>
      </c>
      <c r="M494" s="692">
        <v>0</v>
      </c>
      <c r="N494"/>
      <c r="O494"/>
      <c r="P494"/>
      <c r="Q494"/>
      <c r="R494"/>
    </row>
    <row r="495" spans="5:18" hidden="1" outlineLevel="1" x14ac:dyDescent="0.2">
      <c r="E495" s="670" t="str">
        <v>Lima</v>
      </c>
      <c r="G495" s="674">
        <f t="shared" si="38"/>
        <v>1</v>
      </c>
      <c r="I495" s="631"/>
      <c r="J495" s="631"/>
      <c r="K495" s="692">
        <v>1</v>
      </c>
      <c r="L495" s="692">
        <v>0</v>
      </c>
      <c r="M495" s="692">
        <v>0</v>
      </c>
      <c r="N495"/>
      <c r="O495"/>
      <c r="P495"/>
      <c r="Q495"/>
      <c r="R495"/>
    </row>
    <row r="496" spans="5:18" hidden="1" outlineLevel="1" x14ac:dyDescent="0.2">
      <c r="E496" s="670" t="str">
        <v>Moquegua</v>
      </c>
      <c r="G496" s="674">
        <f t="shared" si="38"/>
        <v>1</v>
      </c>
      <c r="I496" s="631"/>
      <c r="J496" s="631"/>
      <c r="K496" s="692">
        <v>1</v>
      </c>
      <c r="L496" s="692">
        <v>0</v>
      </c>
      <c r="M496" s="692">
        <v>0</v>
      </c>
      <c r="N496"/>
      <c r="O496"/>
      <c r="P496"/>
      <c r="Q496"/>
      <c r="R496"/>
    </row>
    <row r="497" spans="5:18" hidden="1" outlineLevel="1" x14ac:dyDescent="0.2">
      <c r="E497" s="670" t="str">
        <v>Piura</v>
      </c>
      <c r="G497" s="674">
        <f t="shared" si="38"/>
        <v>1</v>
      </c>
      <c r="I497" s="631"/>
      <c r="J497" s="631"/>
      <c r="K497" s="692">
        <v>1</v>
      </c>
      <c r="L497" s="692">
        <v>0</v>
      </c>
      <c r="M497" s="692">
        <v>0</v>
      </c>
      <c r="N497"/>
      <c r="O497"/>
      <c r="P497"/>
      <c r="Q497"/>
      <c r="R497"/>
    </row>
    <row r="498" spans="5:18" hidden="1" outlineLevel="1" x14ac:dyDescent="0.2">
      <c r="E498" s="670" t="str">
        <v>Pucallpa</v>
      </c>
      <c r="G498" s="674">
        <f t="shared" si="38"/>
        <v>1</v>
      </c>
      <c r="I498" s="631"/>
      <c r="J498" s="631"/>
      <c r="K498" s="692">
        <v>1</v>
      </c>
      <c r="L498" s="692">
        <v>0</v>
      </c>
      <c r="M498" s="692">
        <v>0</v>
      </c>
      <c r="N498"/>
      <c r="O498"/>
      <c r="P498"/>
      <c r="Q498"/>
      <c r="R498"/>
    </row>
    <row r="499" spans="5:18" hidden="1" outlineLevel="1" x14ac:dyDescent="0.2">
      <c r="E499" s="670" t="str">
        <v>Puerto Maldonado</v>
      </c>
      <c r="G499" s="674">
        <f t="shared" si="38"/>
        <v>1</v>
      </c>
      <c r="I499" s="631"/>
      <c r="J499" s="631"/>
      <c r="K499" s="692">
        <v>1</v>
      </c>
      <c r="L499" s="692">
        <v>0</v>
      </c>
      <c r="M499" s="692">
        <v>0</v>
      </c>
      <c r="N499"/>
      <c r="O499"/>
      <c r="P499"/>
      <c r="Q499"/>
      <c r="R499"/>
    </row>
    <row r="500" spans="5:18" hidden="1" outlineLevel="1" x14ac:dyDescent="0.2">
      <c r="E500" s="670" t="str">
        <v>Puno</v>
      </c>
      <c r="G500" s="674">
        <f t="shared" si="38"/>
        <v>1</v>
      </c>
      <c r="I500" s="631"/>
      <c r="J500" s="631"/>
      <c r="K500" s="692">
        <v>1</v>
      </c>
      <c r="L500" s="692">
        <v>0</v>
      </c>
      <c r="M500" s="692">
        <v>0</v>
      </c>
      <c r="N500"/>
      <c r="O500"/>
      <c r="P500"/>
      <c r="Q500"/>
      <c r="R500"/>
    </row>
    <row r="501" spans="5:18" hidden="1" outlineLevel="1" x14ac:dyDescent="0.2">
      <c r="E501" s="670" t="str">
        <v>Tacna</v>
      </c>
      <c r="G501" s="674">
        <f t="shared" si="38"/>
        <v>1</v>
      </c>
      <c r="I501" s="631"/>
      <c r="J501" s="631"/>
      <c r="K501" s="692">
        <v>1</v>
      </c>
      <c r="L501" s="692">
        <v>0</v>
      </c>
      <c r="M501" s="692">
        <v>0</v>
      </c>
      <c r="N501"/>
      <c r="O501"/>
      <c r="P501"/>
      <c r="Q501"/>
      <c r="R501"/>
    </row>
    <row r="502" spans="5:18" hidden="1" outlineLevel="1" x14ac:dyDescent="0.2">
      <c r="E502" s="670" t="str">
        <v>Tarapoto</v>
      </c>
      <c r="G502" s="674">
        <f t="shared" si="38"/>
        <v>1</v>
      </c>
      <c r="I502" s="631"/>
      <c r="J502" s="631"/>
      <c r="K502" s="692">
        <v>1</v>
      </c>
      <c r="L502" s="692">
        <v>0</v>
      </c>
      <c r="M502" s="692">
        <v>0</v>
      </c>
      <c r="N502"/>
      <c r="O502"/>
      <c r="P502"/>
      <c r="Q502"/>
      <c r="R502"/>
    </row>
    <row r="503" spans="5:18" hidden="1" outlineLevel="1" x14ac:dyDescent="0.2">
      <c r="E503" s="670" t="str">
        <v>Tingo Maria</v>
      </c>
      <c r="G503" s="674">
        <f t="shared" si="38"/>
        <v>1</v>
      </c>
      <c r="I503" s="631"/>
      <c r="J503" s="631"/>
      <c r="K503" s="692">
        <v>1</v>
      </c>
      <c r="L503" s="692">
        <v>0</v>
      </c>
      <c r="M503" s="692">
        <v>0</v>
      </c>
      <c r="N503"/>
      <c r="O503"/>
      <c r="P503"/>
      <c r="Q503"/>
      <c r="R503"/>
    </row>
    <row r="504" spans="5:18" hidden="1" outlineLevel="1" x14ac:dyDescent="0.2">
      <c r="E504" s="670" t="str">
        <v>Trujillo</v>
      </c>
      <c r="G504" s="674">
        <f t="shared" si="38"/>
        <v>1</v>
      </c>
      <c r="I504" s="631"/>
      <c r="J504" s="631"/>
      <c r="K504" s="692">
        <v>1</v>
      </c>
      <c r="L504" s="692">
        <v>0</v>
      </c>
      <c r="M504" s="692">
        <v>0</v>
      </c>
      <c r="N504"/>
      <c r="O504"/>
      <c r="P504"/>
      <c r="Q504"/>
      <c r="R504"/>
    </row>
    <row r="505" spans="5:18" hidden="1" outlineLevel="1" x14ac:dyDescent="0.2">
      <c r="E505" s="670" t="str">
        <v>Tumbes</v>
      </c>
      <c r="G505" s="674">
        <f t="shared" si="38"/>
        <v>1</v>
      </c>
      <c r="I505" s="631"/>
      <c r="J505" s="631"/>
      <c r="K505" s="692">
        <v>1</v>
      </c>
      <c r="L505" s="692">
        <v>0</v>
      </c>
      <c r="M505" s="692">
        <v>0</v>
      </c>
      <c r="N505"/>
      <c r="O505"/>
      <c r="P505"/>
      <c r="Q505"/>
      <c r="R505"/>
    </row>
    <row r="506" spans="5:18" hidden="1" outlineLevel="1" x14ac:dyDescent="0.2">
      <c r="E506" s="670" t="str">
        <v>spare</v>
      </c>
      <c r="G506" s="674">
        <f t="shared" si="38"/>
        <v>0</v>
      </c>
      <c r="I506" s="631"/>
      <c r="J506" s="631"/>
      <c r="K506" s="692">
        <v>0</v>
      </c>
      <c r="L506" s="692">
        <v>0</v>
      </c>
      <c r="M506" s="692">
        <v>0</v>
      </c>
      <c r="N506"/>
      <c r="O506"/>
      <c r="P506"/>
      <c r="Q506"/>
      <c r="R506"/>
    </row>
    <row r="507" spans="5:18" hidden="1" outlineLevel="1" x14ac:dyDescent="0.2">
      <c r="E507" s="670" t="str">
        <v>spare</v>
      </c>
      <c r="G507" s="674">
        <f t="shared" si="38"/>
        <v>0</v>
      </c>
      <c r="I507" s="631"/>
      <c r="J507" s="631"/>
      <c r="K507" s="692">
        <v>0</v>
      </c>
      <c r="L507" s="692">
        <v>0</v>
      </c>
      <c r="M507" s="692">
        <v>0</v>
      </c>
      <c r="N507"/>
      <c r="O507"/>
      <c r="P507"/>
      <c r="Q507"/>
      <c r="R507"/>
    </row>
    <row r="508" spans="5:18" hidden="1" outlineLevel="1" x14ac:dyDescent="0.2">
      <c r="E508" s="670" t="str">
        <v>spare</v>
      </c>
      <c r="G508" s="674">
        <f t="shared" si="38"/>
        <v>0</v>
      </c>
      <c r="I508" s="631"/>
      <c r="J508" s="631"/>
      <c r="K508" s="692">
        <v>0</v>
      </c>
      <c r="L508" s="692">
        <v>0</v>
      </c>
      <c r="M508" s="692">
        <v>0</v>
      </c>
      <c r="N508"/>
      <c r="O508"/>
      <c r="P508"/>
      <c r="Q508"/>
      <c r="R508"/>
    </row>
    <row r="509" spans="5:18" hidden="1" outlineLevel="1" x14ac:dyDescent="0.2">
      <c r="E509" s="670" t="str">
        <v>spare</v>
      </c>
      <c r="G509" s="674">
        <f t="shared" si="38"/>
        <v>0</v>
      </c>
      <c r="I509" s="631"/>
      <c r="J509" s="631"/>
      <c r="K509" s="692">
        <v>0</v>
      </c>
      <c r="L509" s="692">
        <v>0</v>
      </c>
      <c r="M509" s="692">
        <v>0</v>
      </c>
      <c r="N509"/>
      <c r="O509"/>
      <c r="P509"/>
      <c r="Q509"/>
      <c r="R509"/>
    </row>
    <row r="510" spans="5:18" hidden="1" outlineLevel="1" x14ac:dyDescent="0.2">
      <c r="E510" s="670" t="str">
        <v>spare</v>
      </c>
      <c r="G510" s="674">
        <f t="shared" si="38"/>
        <v>0</v>
      </c>
      <c r="I510" s="631"/>
      <c r="J510" s="631"/>
      <c r="K510" s="692">
        <v>0</v>
      </c>
      <c r="L510" s="692">
        <v>0</v>
      </c>
      <c r="M510" s="692">
        <v>0</v>
      </c>
      <c r="N510"/>
      <c r="O510"/>
      <c r="P510"/>
      <c r="Q510"/>
      <c r="R510"/>
    </row>
    <row r="511" spans="5:18" hidden="1" outlineLevel="1" x14ac:dyDescent="0.2">
      <c r="E511" s="670" t="str">
        <v>spare</v>
      </c>
      <c r="G511" s="674">
        <f t="shared" si="38"/>
        <v>0</v>
      </c>
      <c r="I511" s="631"/>
      <c r="J511" s="631"/>
      <c r="K511" s="692">
        <v>0</v>
      </c>
      <c r="L511" s="692">
        <v>0</v>
      </c>
      <c r="M511" s="692">
        <v>0</v>
      </c>
      <c r="N511"/>
      <c r="O511"/>
      <c r="P511"/>
      <c r="Q511"/>
      <c r="R511"/>
    </row>
    <row r="512" spans="5:18" hidden="1" outlineLevel="1" x14ac:dyDescent="0.2">
      <c r="E512" s="670" t="str">
        <v>spare</v>
      </c>
      <c r="G512" s="674">
        <f t="shared" si="38"/>
        <v>0</v>
      </c>
      <c r="I512" s="631"/>
      <c r="J512" s="631"/>
      <c r="K512" s="692">
        <v>0</v>
      </c>
      <c r="L512" s="692">
        <v>0</v>
      </c>
      <c r="M512" s="692">
        <v>0</v>
      </c>
      <c r="N512"/>
      <c r="O512"/>
      <c r="P512"/>
      <c r="Q512"/>
      <c r="R512"/>
    </row>
    <row r="513" spans="3:18" hidden="1" outlineLevel="1" x14ac:dyDescent="0.2">
      <c r="E513" s="670" t="str">
        <v>spare</v>
      </c>
      <c r="G513" s="674">
        <f t="shared" si="38"/>
        <v>0</v>
      </c>
      <c r="I513" s="631"/>
      <c r="J513" s="631"/>
      <c r="K513" s="692">
        <v>0</v>
      </c>
      <c r="L513" s="692">
        <v>0</v>
      </c>
      <c r="M513" s="692">
        <v>0</v>
      </c>
      <c r="N513"/>
      <c r="O513"/>
      <c r="P513"/>
      <c r="Q513"/>
      <c r="R513"/>
    </row>
    <row r="514" spans="3:18" hidden="1" outlineLevel="1" x14ac:dyDescent="0.2">
      <c r="E514" s="670" t="str">
        <v>spare</v>
      </c>
      <c r="G514" s="674">
        <f t="shared" si="38"/>
        <v>0</v>
      </c>
      <c r="I514" s="631"/>
      <c r="J514" s="631"/>
      <c r="K514" s="692">
        <v>0</v>
      </c>
      <c r="L514" s="692">
        <v>0</v>
      </c>
      <c r="M514" s="692">
        <v>0</v>
      </c>
      <c r="N514"/>
      <c r="O514"/>
      <c r="P514"/>
      <c r="Q514"/>
      <c r="R514"/>
    </row>
    <row r="515" spans="3:18" hidden="1" outlineLevel="1" x14ac:dyDescent="0.2">
      <c r="E515" s="670" t="str">
        <v>spare</v>
      </c>
      <c r="G515" s="674">
        <f t="shared" si="38"/>
        <v>0</v>
      </c>
      <c r="I515" s="631"/>
      <c r="J515" s="631"/>
      <c r="K515" s="692">
        <v>0</v>
      </c>
      <c r="L515" s="692">
        <v>0</v>
      </c>
      <c r="M515" s="692">
        <v>0</v>
      </c>
      <c r="N515"/>
      <c r="O515"/>
      <c r="P515"/>
      <c r="Q515"/>
      <c r="R515"/>
    </row>
    <row r="516" spans="3:18" hidden="1" outlineLevel="1" x14ac:dyDescent="0.2">
      <c r="E516" s="670" t="str">
        <v>spare</v>
      </c>
      <c r="G516" s="674">
        <f t="shared" si="38"/>
        <v>0</v>
      </c>
      <c r="I516" s="631"/>
      <c r="J516" s="631"/>
      <c r="K516" s="692">
        <v>0</v>
      </c>
      <c r="L516" s="692">
        <v>0</v>
      </c>
      <c r="M516" s="692">
        <v>0</v>
      </c>
      <c r="N516"/>
      <c r="O516"/>
      <c r="P516"/>
      <c r="Q516"/>
      <c r="R516"/>
    </row>
    <row r="517" spans="3:18" hidden="1" outlineLevel="1" x14ac:dyDescent="0.2">
      <c r="E517" s="670" t="str">
        <v>spare</v>
      </c>
      <c r="G517" s="674">
        <f t="shared" si="38"/>
        <v>0</v>
      </c>
      <c r="I517" s="631"/>
      <c r="J517" s="631"/>
      <c r="K517" s="692">
        <v>0</v>
      </c>
      <c r="L517" s="692">
        <v>0</v>
      </c>
      <c r="M517" s="692">
        <v>0</v>
      </c>
      <c r="N517"/>
      <c r="O517"/>
      <c r="P517"/>
      <c r="Q517"/>
      <c r="R517"/>
    </row>
    <row r="518" spans="3:18" hidden="1" outlineLevel="1" x14ac:dyDescent="0.2">
      <c r="E518" s="670" t="str">
        <v>spare</v>
      </c>
      <c r="G518" s="674">
        <f t="shared" si="38"/>
        <v>0</v>
      </c>
      <c r="I518" s="631"/>
      <c r="J518" s="631"/>
      <c r="K518" s="692">
        <v>0</v>
      </c>
      <c r="L518" s="692">
        <v>0</v>
      </c>
      <c r="M518" s="692">
        <v>0</v>
      </c>
      <c r="N518"/>
      <c r="O518"/>
      <c r="P518"/>
      <c r="Q518"/>
      <c r="R518"/>
    </row>
    <row r="519" spans="3:18" hidden="1" outlineLevel="1" x14ac:dyDescent="0.2">
      <c r="E519" s="670" t="str">
        <v>spare</v>
      </c>
      <c r="G519" s="674">
        <f t="shared" si="38"/>
        <v>0</v>
      </c>
      <c r="I519" s="631"/>
      <c r="J519" s="631"/>
      <c r="K519" s="692">
        <v>0</v>
      </c>
      <c r="L519" s="692">
        <v>0</v>
      </c>
      <c r="M519" s="692">
        <v>0</v>
      </c>
      <c r="N519"/>
      <c r="O519"/>
      <c r="P519"/>
      <c r="Q519"/>
      <c r="R519"/>
    </row>
    <row r="520" spans="3:18" collapsed="1" x14ac:dyDescent="0.2">
      <c r="E520" s="670" t="str">
        <v>spare</v>
      </c>
      <c r="G520" s="674">
        <f t="shared" si="38"/>
        <v>0</v>
      </c>
      <c r="I520" s="631"/>
      <c r="J520" s="631"/>
      <c r="K520" s="692">
        <v>0</v>
      </c>
      <c r="L520" s="692">
        <v>0</v>
      </c>
      <c r="M520" s="692">
        <v>0</v>
      </c>
      <c r="N520"/>
      <c r="O520"/>
      <c r="P520"/>
      <c r="Q520"/>
      <c r="R520"/>
    </row>
    <row r="521" spans="3:18" x14ac:dyDescent="0.2">
      <c r="E521" s="631"/>
      <c r="G521" s="634" t="s">
        <v>567</v>
      </c>
      <c r="I521" s="631"/>
      <c r="J521" s="631"/>
      <c r="K521" s="631"/>
      <c r="L521" s="631"/>
      <c r="M521" s="631"/>
      <c r="N521"/>
      <c r="O521"/>
      <c r="P521"/>
      <c r="Q521"/>
      <c r="R521"/>
    </row>
    <row r="522" spans="3:18" x14ac:dyDescent="0.2">
      <c r="N522"/>
      <c r="O522"/>
      <c r="P522"/>
      <c r="Q522"/>
      <c r="R522"/>
    </row>
    <row r="523" spans="3:18" x14ac:dyDescent="0.2">
      <c r="C523" s="657" t="s">
        <v>595</v>
      </c>
      <c r="G523" s="634"/>
      <c r="N523"/>
      <c r="O523"/>
      <c r="P523"/>
      <c r="Q523"/>
      <c r="R523"/>
    </row>
    <row r="524" spans="3:18" x14ac:dyDescent="0.2">
      <c r="G524" s="634"/>
      <c r="N524"/>
      <c r="O524"/>
      <c r="P524"/>
      <c r="Q524"/>
      <c r="R524"/>
    </row>
    <row r="525" spans="3:18" x14ac:dyDescent="0.2">
      <c r="D525" s="657" t="s">
        <v>593</v>
      </c>
      <c r="I525" s="631"/>
      <c r="J525" s="631"/>
      <c r="K525" s="631"/>
      <c r="L525" s="631"/>
      <c r="M525" s="631"/>
      <c r="N525"/>
      <c r="O525"/>
      <c r="P525"/>
      <c r="Q525"/>
      <c r="R525"/>
    </row>
    <row r="526" spans="3:18" x14ac:dyDescent="0.2">
      <c r="E526" s="670" t="str">
        <f t="array" ref="E526:E565">Core.nodes</f>
        <v>Abancay</v>
      </c>
      <c r="G526" s="674" t="str">
        <f t="shared" ref="G526:G565" si="39">INDEX(K526:M526,,MATCH(CTRL.scenario.selected,Scenario.list,0))</f>
        <v>Arequipa</v>
      </c>
      <c r="I526" s="631"/>
      <c r="J526" s="631"/>
      <c r="K526" s="692" t="str">
        <f t="array" ref="K526:K565">INDEX($K1254:$M1293,,MATCH(K$20,$K$1253:$M$1253,0))</f>
        <v>Arequipa</v>
      </c>
      <c r="L526" s="692">
        <f t="array" ref="L526:L565">INDEX($K1254:$M1293,,MATCH(L$20,$K$1253:$M$1253,0))</f>
        <v>0</v>
      </c>
      <c r="M526" s="692">
        <f t="array" ref="M526:M565">INDEX($K1254:$M1293,,MATCH(M$20,$K$1253:$M$1253,0))</f>
        <v>0</v>
      </c>
      <c r="N526"/>
      <c r="O526"/>
      <c r="P526"/>
      <c r="Q526"/>
      <c r="R526"/>
    </row>
    <row r="527" spans="3:18" hidden="1" outlineLevel="1" x14ac:dyDescent="0.2">
      <c r="E527" s="670" t="str">
        <v>Arequipa</v>
      </c>
      <c r="G527" s="674" t="str">
        <f t="shared" si="39"/>
        <v>Arequipa</v>
      </c>
      <c r="I527" s="631"/>
      <c r="J527" s="631"/>
      <c r="K527" s="692" t="str">
        <v>Arequipa</v>
      </c>
      <c r="L527" s="692">
        <v>0</v>
      </c>
      <c r="M527" s="692">
        <v>0</v>
      </c>
      <c r="N527"/>
      <c r="O527"/>
      <c r="P527"/>
      <c r="Q527"/>
      <c r="R527"/>
    </row>
    <row r="528" spans="3:18" hidden="1" outlineLevel="1" x14ac:dyDescent="0.2">
      <c r="E528" s="670" t="str">
        <v>Ayacucho</v>
      </c>
      <c r="G528" s="674" t="str">
        <f t="shared" si="39"/>
        <v>Arequipa</v>
      </c>
      <c r="I528" s="631"/>
      <c r="J528" s="631"/>
      <c r="K528" s="692" t="str">
        <v>Arequipa</v>
      </c>
      <c r="L528" s="692">
        <v>0</v>
      </c>
      <c r="M528" s="692">
        <v>0</v>
      </c>
      <c r="N528"/>
      <c r="O528"/>
      <c r="P528"/>
      <c r="Q528"/>
      <c r="R528"/>
    </row>
    <row r="529" spans="5:18" hidden="1" outlineLevel="1" x14ac:dyDescent="0.2">
      <c r="E529" s="670" t="str">
        <v>Cajamarca</v>
      </c>
      <c r="G529" s="674" t="str">
        <f t="shared" si="39"/>
        <v>Trujillo</v>
      </c>
      <c r="I529" s="631"/>
      <c r="J529" s="631"/>
      <c r="K529" s="692" t="str">
        <v>Trujillo</v>
      </c>
      <c r="L529" s="692">
        <v>0</v>
      </c>
      <c r="M529" s="692">
        <v>0</v>
      </c>
      <c r="N529"/>
      <c r="O529"/>
      <c r="P529"/>
      <c r="Q529"/>
      <c r="R529"/>
    </row>
    <row r="530" spans="5:18" hidden="1" outlineLevel="1" x14ac:dyDescent="0.2">
      <c r="E530" s="670" t="str">
        <v>Callao</v>
      </c>
      <c r="G530" s="674" t="str">
        <f t="shared" si="39"/>
        <v>Lima</v>
      </c>
      <c r="I530" s="631"/>
      <c r="J530" s="631"/>
      <c r="K530" s="692" t="str">
        <v>Lima</v>
      </c>
      <c r="L530" s="692">
        <v>0</v>
      </c>
      <c r="M530" s="692">
        <v>0</v>
      </c>
      <c r="N530"/>
      <c r="O530"/>
      <c r="P530"/>
      <c r="Q530"/>
      <c r="R530"/>
    </row>
    <row r="531" spans="5:18" hidden="1" outlineLevel="1" x14ac:dyDescent="0.2">
      <c r="E531" s="670" t="str">
        <v>Cerro de Pasco</v>
      </c>
      <c r="G531" s="674" t="str">
        <f t="shared" si="39"/>
        <v>Trujillo</v>
      </c>
      <c r="I531" s="631"/>
      <c r="J531" s="631"/>
      <c r="K531" s="692" t="str">
        <v>Trujillo</v>
      </c>
      <c r="L531" s="692">
        <v>0</v>
      </c>
      <c r="M531" s="692">
        <v>0</v>
      </c>
      <c r="N531"/>
      <c r="O531"/>
      <c r="P531"/>
      <c r="Q531"/>
      <c r="R531"/>
    </row>
    <row r="532" spans="5:18" hidden="1" outlineLevel="1" x14ac:dyDescent="0.2">
      <c r="E532" s="670" t="str">
        <v>Chachapoyas</v>
      </c>
      <c r="G532" s="674" t="str">
        <f t="shared" si="39"/>
        <v>Trujillo</v>
      </c>
      <c r="I532" s="631"/>
      <c r="J532" s="631"/>
      <c r="K532" s="692" t="str">
        <v>Trujillo</v>
      </c>
      <c r="L532" s="692">
        <v>0</v>
      </c>
      <c r="M532" s="692">
        <v>0</v>
      </c>
      <c r="N532"/>
      <c r="O532"/>
      <c r="P532"/>
      <c r="Q532"/>
      <c r="R532"/>
    </row>
    <row r="533" spans="5:18" hidden="1" outlineLevel="1" x14ac:dyDescent="0.2">
      <c r="E533" s="670" t="str">
        <v>Chiclayo</v>
      </c>
      <c r="G533" s="674" t="str">
        <f t="shared" si="39"/>
        <v>Trujillo</v>
      </c>
      <c r="I533" s="631"/>
      <c r="J533" s="631"/>
      <c r="K533" s="692" t="str">
        <v>Trujillo</v>
      </c>
      <c r="L533" s="692">
        <v>0</v>
      </c>
      <c r="M533" s="692">
        <v>0</v>
      </c>
      <c r="N533"/>
      <c r="O533"/>
      <c r="P533"/>
      <c r="Q533"/>
      <c r="R533"/>
    </row>
    <row r="534" spans="5:18" hidden="1" outlineLevel="1" x14ac:dyDescent="0.2">
      <c r="E534" s="670" t="str">
        <v>Cusco</v>
      </c>
      <c r="G534" s="674" t="str">
        <f t="shared" si="39"/>
        <v>Arequipa</v>
      </c>
      <c r="I534" s="631"/>
      <c r="J534" s="631"/>
      <c r="K534" s="692" t="str">
        <v>Arequipa</v>
      </c>
      <c r="L534" s="692">
        <v>0</v>
      </c>
      <c r="M534" s="692">
        <v>0</v>
      </c>
      <c r="N534"/>
      <c r="O534"/>
      <c r="P534"/>
      <c r="Q534"/>
      <c r="R534"/>
    </row>
    <row r="535" spans="5:18" hidden="1" outlineLevel="1" x14ac:dyDescent="0.2">
      <c r="E535" s="670" t="str">
        <v>Huancavelica</v>
      </c>
      <c r="G535" s="674" t="str">
        <f t="shared" si="39"/>
        <v>Arequipa</v>
      </c>
      <c r="I535" s="631"/>
      <c r="J535" s="631"/>
      <c r="K535" s="692" t="str">
        <v>Arequipa</v>
      </c>
      <c r="L535" s="692">
        <v>0</v>
      </c>
      <c r="M535" s="692">
        <v>0</v>
      </c>
      <c r="N535"/>
      <c r="O535"/>
      <c r="P535"/>
      <c r="Q535"/>
      <c r="R535"/>
    </row>
    <row r="536" spans="5:18" hidden="1" outlineLevel="1" x14ac:dyDescent="0.2">
      <c r="E536" s="670" t="str">
        <v>Huancayo</v>
      </c>
      <c r="G536" s="674" t="str">
        <f t="shared" si="39"/>
        <v>Lima</v>
      </c>
      <c r="I536" s="631"/>
      <c r="J536" s="631"/>
      <c r="K536" s="692" t="str">
        <v>Lima</v>
      </c>
      <c r="L536" s="692">
        <v>0</v>
      </c>
      <c r="M536" s="692">
        <v>0</v>
      </c>
      <c r="N536"/>
      <c r="O536"/>
      <c r="P536"/>
      <c r="Q536"/>
      <c r="R536"/>
    </row>
    <row r="537" spans="5:18" hidden="1" outlineLevel="1" x14ac:dyDescent="0.2">
      <c r="E537" s="670" t="str">
        <v>Huaraz</v>
      </c>
      <c r="G537" s="674" t="str">
        <f t="shared" si="39"/>
        <v>Trujillo</v>
      </c>
      <c r="I537" s="631"/>
      <c r="J537" s="631"/>
      <c r="K537" s="692" t="str">
        <v>Trujillo</v>
      </c>
      <c r="L537" s="692">
        <v>0</v>
      </c>
      <c r="M537" s="692">
        <v>0</v>
      </c>
      <c r="N537"/>
      <c r="O537"/>
      <c r="P537"/>
      <c r="Q537"/>
      <c r="R537"/>
    </row>
    <row r="538" spans="5:18" hidden="1" outlineLevel="1" x14ac:dyDescent="0.2">
      <c r="E538" s="670" t="str">
        <v>Ica</v>
      </c>
      <c r="G538" s="674" t="str">
        <f t="shared" si="39"/>
        <v>Arequipa</v>
      </c>
      <c r="I538" s="631"/>
      <c r="J538" s="631"/>
      <c r="K538" s="692" t="str">
        <v>Arequipa</v>
      </c>
      <c r="L538" s="692">
        <v>0</v>
      </c>
      <c r="M538" s="692">
        <v>0</v>
      </c>
      <c r="N538"/>
      <c r="O538"/>
      <c r="P538"/>
      <c r="Q538"/>
      <c r="R538"/>
    </row>
    <row r="539" spans="5:18" hidden="1" outlineLevel="1" x14ac:dyDescent="0.2">
      <c r="E539" s="670" t="str">
        <v>Iquitos</v>
      </c>
      <c r="G539" s="674" t="str">
        <f t="shared" si="39"/>
        <v>Iquitos</v>
      </c>
      <c r="I539" s="631"/>
      <c r="J539" s="631"/>
      <c r="K539" s="692" t="str">
        <v>Iquitos</v>
      </c>
      <c r="L539" s="692">
        <v>0</v>
      </c>
      <c r="M539" s="692">
        <v>0</v>
      </c>
      <c r="N539"/>
      <c r="O539"/>
      <c r="P539"/>
      <c r="Q539"/>
      <c r="R539"/>
    </row>
    <row r="540" spans="5:18" hidden="1" outlineLevel="1" x14ac:dyDescent="0.2">
      <c r="E540" s="670" t="str">
        <v>Lima</v>
      </c>
      <c r="G540" s="674" t="str">
        <f t="shared" si="39"/>
        <v>Lima</v>
      </c>
      <c r="I540" s="631"/>
      <c r="J540" s="631"/>
      <c r="K540" s="692" t="str">
        <v>Lima</v>
      </c>
      <c r="L540" s="692">
        <v>0</v>
      </c>
      <c r="M540" s="692">
        <v>0</v>
      </c>
      <c r="N540"/>
      <c r="O540"/>
      <c r="P540"/>
      <c r="Q540"/>
      <c r="R540"/>
    </row>
    <row r="541" spans="5:18" hidden="1" outlineLevel="1" x14ac:dyDescent="0.2">
      <c r="E541" s="670" t="str">
        <v>Moquegua</v>
      </c>
      <c r="G541" s="674" t="str">
        <f t="shared" si="39"/>
        <v>Arequipa</v>
      </c>
      <c r="I541" s="631"/>
      <c r="J541" s="631"/>
      <c r="K541" s="692" t="str">
        <v>Arequipa</v>
      </c>
      <c r="L541" s="692">
        <v>0</v>
      </c>
      <c r="M541" s="692">
        <v>0</v>
      </c>
      <c r="N541"/>
      <c r="O541"/>
      <c r="P541"/>
      <c r="Q541"/>
      <c r="R541"/>
    </row>
    <row r="542" spans="5:18" hidden="1" outlineLevel="1" x14ac:dyDescent="0.2">
      <c r="E542" s="670" t="str">
        <v>Piura</v>
      </c>
      <c r="G542" s="674" t="str">
        <f t="shared" si="39"/>
        <v>Trujillo</v>
      </c>
      <c r="I542" s="631"/>
      <c r="J542" s="631"/>
      <c r="K542" s="692" t="str">
        <v>Trujillo</v>
      </c>
      <c r="L542" s="692">
        <v>0</v>
      </c>
      <c r="M542" s="692">
        <v>0</v>
      </c>
      <c r="N542"/>
      <c r="O542"/>
      <c r="P542"/>
      <c r="Q542"/>
      <c r="R542"/>
    </row>
    <row r="543" spans="5:18" hidden="1" outlineLevel="1" x14ac:dyDescent="0.2">
      <c r="E543" s="670" t="str">
        <v>Pucallpa</v>
      </c>
      <c r="G543" s="674" t="str">
        <f t="shared" si="39"/>
        <v>Trujillo</v>
      </c>
      <c r="I543" s="631"/>
      <c r="J543" s="631"/>
      <c r="K543" s="692" t="str">
        <v>Trujillo</v>
      </c>
      <c r="L543" s="692">
        <v>0</v>
      </c>
      <c r="M543" s="692">
        <v>0</v>
      </c>
      <c r="N543"/>
      <c r="O543"/>
      <c r="P543"/>
      <c r="Q543"/>
      <c r="R543"/>
    </row>
    <row r="544" spans="5:18" hidden="1" outlineLevel="1" x14ac:dyDescent="0.2">
      <c r="E544" s="670" t="str">
        <v>Puerto Maldonado</v>
      </c>
      <c r="G544" s="674" t="str">
        <f t="shared" si="39"/>
        <v>Arequipa</v>
      </c>
      <c r="I544" s="631"/>
      <c r="J544" s="631"/>
      <c r="K544" s="692" t="str">
        <v>Arequipa</v>
      </c>
      <c r="L544" s="692">
        <v>0</v>
      </c>
      <c r="M544" s="692">
        <v>0</v>
      </c>
      <c r="N544"/>
      <c r="O544"/>
      <c r="P544"/>
      <c r="Q544"/>
      <c r="R544"/>
    </row>
    <row r="545" spans="5:18" hidden="1" outlineLevel="1" x14ac:dyDescent="0.2">
      <c r="E545" s="670" t="str">
        <v>Puno</v>
      </c>
      <c r="G545" s="674" t="str">
        <f t="shared" si="39"/>
        <v>Arequipa</v>
      </c>
      <c r="I545" s="631"/>
      <c r="J545" s="631"/>
      <c r="K545" s="692" t="str">
        <v>Arequipa</v>
      </c>
      <c r="L545" s="692">
        <v>0</v>
      </c>
      <c r="M545" s="692">
        <v>0</v>
      </c>
      <c r="N545"/>
      <c r="O545"/>
      <c r="P545"/>
      <c r="Q545"/>
      <c r="R545"/>
    </row>
    <row r="546" spans="5:18" hidden="1" outlineLevel="1" x14ac:dyDescent="0.2">
      <c r="E546" s="670" t="str">
        <v>Tacna</v>
      </c>
      <c r="G546" s="674" t="str">
        <f t="shared" si="39"/>
        <v>Arequipa</v>
      </c>
      <c r="I546" s="631"/>
      <c r="J546" s="631"/>
      <c r="K546" s="692" t="str">
        <v>Arequipa</v>
      </c>
      <c r="L546" s="692">
        <v>0</v>
      </c>
      <c r="M546" s="692">
        <v>0</v>
      </c>
      <c r="N546"/>
      <c r="O546"/>
      <c r="P546"/>
      <c r="Q546"/>
      <c r="R546"/>
    </row>
    <row r="547" spans="5:18" hidden="1" outlineLevel="1" x14ac:dyDescent="0.2">
      <c r="E547" s="670" t="str">
        <v>Tarapoto</v>
      </c>
      <c r="G547" s="674" t="str">
        <f t="shared" si="39"/>
        <v>Trujillo</v>
      </c>
      <c r="I547" s="631"/>
      <c r="J547" s="631"/>
      <c r="K547" s="692" t="str">
        <v>Trujillo</v>
      </c>
      <c r="L547" s="692">
        <v>0</v>
      </c>
      <c r="M547" s="692">
        <v>0</v>
      </c>
      <c r="N547"/>
      <c r="O547"/>
      <c r="P547"/>
      <c r="Q547"/>
      <c r="R547"/>
    </row>
    <row r="548" spans="5:18" hidden="1" outlineLevel="1" x14ac:dyDescent="0.2">
      <c r="E548" s="670" t="str">
        <v>Tingo Maria</v>
      </c>
      <c r="G548" s="674" t="str">
        <f t="shared" si="39"/>
        <v>Trujillo</v>
      </c>
      <c r="I548" s="631"/>
      <c r="J548" s="631"/>
      <c r="K548" s="692" t="str">
        <v>Trujillo</v>
      </c>
      <c r="L548" s="692">
        <v>0</v>
      </c>
      <c r="M548" s="692">
        <v>0</v>
      </c>
      <c r="N548"/>
      <c r="O548"/>
      <c r="P548"/>
      <c r="Q548"/>
      <c r="R548"/>
    </row>
    <row r="549" spans="5:18" hidden="1" outlineLevel="1" x14ac:dyDescent="0.2">
      <c r="E549" s="670" t="str">
        <v>Trujillo</v>
      </c>
      <c r="G549" s="674" t="str">
        <f t="shared" si="39"/>
        <v>Trujillo</v>
      </c>
      <c r="I549" s="631"/>
      <c r="J549" s="631"/>
      <c r="K549" s="692" t="str">
        <v>Trujillo</v>
      </c>
      <c r="L549" s="692">
        <v>0</v>
      </c>
      <c r="M549" s="692">
        <v>0</v>
      </c>
      <c r="N549"/>
      <c r="O549"/>
      <c r="P549"/>
      <c r="Q549"/>
      <c r="R549"/>
    </row>
    <row r="550" spans="5:18" hidden="1" outlineLevel="1" x14ac:dyDescent="0.2">
      <c r="E550" s="670" t="str">
        <v>Tumbes</v>
      </c>
      <c r="G550" s="674" t="str">
        <f t="shared" si="39"/>
        <v>Trujillo</v>
      </c>
      <c r="I550" s="631"/>
      <c r="J550" s="631"/>
      <c r="K550" s="692" t="str">
        <v>Trujillo</v>
      </c>
      <c r="L550" s="692">
        <v>0</v>
      </c>
      <c r="M550" s="692">
        <v>0</v>
      </c>
      <c r="N550"/>
      <c r="O550"/>
      <c r="P550"/>
      <c r="Q550"/>
      <c r="R550"/>
    </row>
    <row r="551" spans="5:18" hidden="1" outlineLevel="1" x14ac:dyDescent="0.2">
      <c r="E551" s="670" t="str">
        <v>spare</v>
      </c>
      <c r="G551" s="674">
        <f t="shared" si="39"/>
        <v>0</v>
      </c>
      <c r="I551" s="631"/>
      <c r="J551" s="631"/>
      <c r="K551" s="692">
        <v>0</v>
      </c>
      <c r="L551" s="692">
        <v>0</v>
      </c>
      <c r="M551" s="692">
        <v>0</v>
      </c>
      <c r="N551"/>
      <c r="O551"/>
      <c r="P551"/>
      <c r="Q551"/>
      <c r="R551"/>
    </row>
    <row r="552" spans="5:18" hidden="1" outlineLevel="1" x14ac:dyDescent="0.2">
      <c r="E552" s="670" t="str">
        <v>spare</v>
      </c>
      <c r="G552" s="674">
        <f t="shared" si="39"/>
        <v>0</v>
      </c>
      <c r="I552" s="631"/>
      <c r="J552" s="631"/>
      <c r="K552" s="692">
        <v>0</v>
      </c>
      <c r="L552" s="692">
        <v>0</v>
      </c>
      <c r="M552" s="692">
        <v>0</v>
      </c>
      <c r="N552"/>
      <c r="O552"/>
      <c r="P552"/>
      <c r="Q552"/>
      <c r="R552"/>
    </row>
    <row r="553" spans="5:18" hidden="1" outlineLevel="1" x14ac:dyDescent="0.2">
      <c r="E553" s="670" t="str">
        <v>spare</v>
      </c>
      <c r="G553" s="674">
        <f t="shared" si="39"/>
        <v>0</v>
      </c>
      <c r="I553" s="631"/>
      <c r="J553" s="631"/>
      <c r="K553" s="692">
        <v>0</v>
      </c>
      <c r="L553" s="692">
        <v>0</v>
      </c>
      <c r="M553" s="692">
        <v>0</v>
      </c>
      <c r="N553"/>
      <c r="O553"/>
      <c r="P553"/>
      <c r="Q553"/>
      <c r="R553"/>
    </row>
    <row r="554" spans="5:18" hidden="1" outlineLevel="1" x14ac:dyDescent="0.2">
      <c r="E554" s="670" t="str">
        <v>spare</v>
      </c>
      <c r="G554" s="674">
        <f t="shared" si="39"/>
        <v>0</v>
      </c>
      <c r="I554" s="631"/>
      <c r="J554" s="631"/>
      <c r="K554" s="692">
        <v>0</v>
      </c>
      <c r="L554" s="692">
        <v>0</v>
      </c>
      <c r="M554" s="692">
        <v>0</v>
      </c>
      <c r="N554"/>
      <c r="O554"/>
      <c r="P554"/>
      <c r="Q554"/>
      <c r="R554"/>
    </row>
    <row r="555" spans="5:18" hidden="1" outlineLevel="1" x14ac:dyDescent="0.2">
      <c r="E555" s="670" t="str">
        <v>spare</v>
      </c>
      <c r="G555" s="674">
        <f t="shared" si="39"/>
        <v>0</v>
      </c>
      <c r="I555" s="631"/>
      <c r="J555" s="631"/>
      <c r="K555" s="692">
        <v>0</v>
      </c>
      <c r="L555" s="692">
        <v>0</v>
      </c>
      <c r="M555" s="692">
        <v>0</v>
      </c>
      <c r="N555"/>
      <c r="O555"/>
      <c r="P555"/>
      <c r="Q555"/>
      <c r="R555"/>
    </row>
    <row r="556" spans="5:18" hidden="1" outlineLevel="1" x14ac:dyDescent="0.2">
      <c r="E556" s="670" t="str">
        <v>spare</v>
      </c>
      <c r="G556" s="674">
        <f t="shared" si="39"/>
        <v>0</v>
      </c>
      <c r="I556" s="631"/>
      <c r="J556" s="631"/>
      <c r="K556" s="692">
        <v>0</v>
      </c>
      <c r="L556" s="692">
        <v>0</v>
      </c>
      <c r="M556" s="692">
        <v>0</v>
      </c>
      <c r="N556"/>
      <c r="O556"/>
      <c r="P556"/>
      <c r="Q556"/>
      <c r="R556"/>
    </row>
    <row r="557" spans="5:18" hidden="1" outlineLevel="1" x14ac:dyDescent="0.2">
      <c r="E557" s="670" t="str">
        <v>spare</v>
      </c>
      <c r="G557" s="674">
        <f t="shared" si="39"/>
        <v>0</v>
      </c>
      <c r="I557" s="631"/>
      <c r="J557" s="631"/>
      <c r="K557" s="692">
        <v>0</v>
      </c>
      <c r="L557" s="692">
        <v>0</v>
      </c>
      <c r="M557" s="692">
        <v>0</v>
      </c>
      <c r="N557"/>
      <c r="O557"/>
      <c r="P557"/>
      <c r="Q557"/>
      <c r="R557"/>
    </row>
    <row r="558" spans="5:18" hidden="1" outlineLevel="1" x14ac:dyDescent="0.2">
      <c r="E558" s="670" t="str">
        <v>spare</v>
      </c>
      <c r="G558" s="674">
        <f t="shared" si="39"/>
        <v>0</v>
      </c>
      <c r="I558" s="631"/>
      <c r="J558" s="631"/>
      <c r="K558" s="692">
        <v>0</v>
      </c>
      <c r="L558" s="692">
        <v>0</v>
      </c>
      <c r="M558" s="692">
        <v>0</v>
      </c>
      <c r="N558"/>
      <c r="O558"/>
      <c r="P558"/>
      <c r="Q558"/>
      <c r="R558"/>
    </row>
    <row r="559" spans="5:18" hidden="1" outlineLevel="1" x14ac:dyDescent="0.2">
      <c r="E559" s="670" t="str">
        <v>spare</v>
      </c>
      <c r="G559" s="674">
        <f t="shared" si="39"/>
        <v>0</v>
      </c>
      <c r="I559" s="631"/>
      <c r="J559" s="631"/>
      <c r="K559" s="692">
        <v>0</v>
      </c>
      <c r="L559" s="692">
        <v>0</v>
      </c>
      <c r="M559" s="692">
        <v>0</v>
      </c>
      <c r="N559"/>
      <c r="O559"/>
      <c r="P559"/>
      <c r="Q559"/>
      <c r="R559"/>
    </row>
    <row r="560" spans="5:18" hidden="1" outlineLevel="1" x14ac:dyDescent="0.2">
      <c r="E560" s="670" t="str">
        <v>spare</v>
      </c>
      <c r="G560" s="674">
        <f t="shared" si="39"/>
        <v>0</v>
      </c>
      <c r="I560" s="631"/>
      <c r="J560" s="631"/>
      <c r="K560" s="692">
        <v>0</v>
      </c>
      <c r="L560" s="692">
        <v>0</v>
      </c>
      <c r="M560" s="692">
        <v>0</v>
      </c>
      <c r="N560"/>
      <c r="O560"/>
      <c r="P560"/>
      <c r="Q560"/>
      <c r="R560"/>
    </row>
    <row r="561" spans="4:18" hidden="1" outlineLevel="1" x14ac:dyDescent="0.2">
      <c r="E561" s="670" t="str">
        <v>spare</v>
      </c>
      <c r="G561" s="674">
        <f t="shared" si="39"/>
        <v>0</v>
      </c>
      <c r="I561" s="631"/>
      <c r="J561" s="631"/>
      <c r="K561" s="692">
        <v>0</v>
      </c>
      <c r="L561" s="692">
        <v>0</v>
      </c>
      <c r="M561" s="692">
        <v>0</v>
      </c>
      <c r="N561"/>
      <c r="O561"/>
      <c r="P561"/>
      <c r="Q561"/>
      <c r="R561"/>
    </row>
    <row r="562" spans="4:18" hidden="1" outlineLevel="1" x14ac:dyDescent="0.2">
      <c r="E562" s="670" t="str">
        <v>spare</v>
      </c>
      <c r="G562" s="674">
        <f t="shared" si="39"/>
        <v>0</v>
      </c>
      <c r="I562" s="631"/>
      <c r="J562" s="631"/>
      <c r="K562" s="692">
        <v>0</v>
      </c>
      <c r="L562" s="692">
        <v>0</v>
      </c>
      <c r="M562" s="692">
        <v>0</v>
      </c>
      <c r="N562"/>
      <c r="O562"/>
      <c r="P562"/>
      <c r="Q562"/>
      <c r="R562"/>
    </row>
    <row r="563" spans="4:18" hidden="1" outlineLevel="1" x14ac:dyDescent="0.2">
      <c r="E563" s="670" t="str">
        <v>spare</v>
      </c>
      <c r="G563" s="674">
        <f t="shared" si="39"/>
        <v>0</v>
      </c>
      <c r="I563" s="631"/>
      <c r="J563" s="631"/>
      <c r="K563" s="692">
        <v>0</v>
      </c>
      <c r="L563" s="692">
        <v>0</v>
      </c>
      <c r="M563" s="692">
        <v>0</v>
      </c>
      <c r="N563"/>
      <c r="O563"/>
      <c r="P563"/>
      <c r="Q563"/>
      <c r="R563"/>
    </row>
    <row r="564" spans="4:18" hidden="1" outlineLevel="1" x14ac:dyDescent="0.2">
      <c r="E564" s="670" t="str">
        <v>spare</v>
      </c>
      <c r="G564" s="674">
        <f t="shared" si="39"/>
        <v>0</v>
      </c>
      <c r="I564" s="631"/>
      <c r="J564" s="631"/>
      <c r="K564" s="692">
        <v>0</v>
      </c>
      <c r="L564" s="692">
        <v>0</v>
      </c>
      <c r="M564" s="692">
        <v>0</v>
      </c>
      <c r="N564"/>
      <c r="O564"/>
      <c r="P564"/>
      <c r="Q564"/>
      <c r="R564"/>
    </row>
    <row r="565" spans="4:18" collapsed="1" x14ac:dyDescent="0.2">
      <c r="E565" s="670" t="str">
        <v>spare</v>
      </c>
      <c r="G565" s="674">
        <f t="shared" si="39"/>
        <v>0</v>
      </c>
      <c r="I565" s="631"/>
      <c r="J565" s="631"/>
      <c r="K565" s="692">
        <v>0</v>
      </c>
      <c r="L565" s="692">
        <v>0</v>
      </c>
      <c r="M565" s="692">
        <v>0</v>
      </c>
      <c r="N565"/>
      <c r="O565"/>
      <c r="P565"/>
      <c r="Q565"/>
      <c r="R565"/>
    </row>
    <row r="566" spans="4:18" x14ac:dyDescent="0.2">
      <c r="E566" s="631"/>
      <c r="G566" s="634" t="s">
        <v>547</v>
      </c>
      <c r="I566" s="631"/>
      <c r="J566" s="631"/>
      <c r="K566" s="631"/>
      <c r="L566" s="631"/>
      <c r="M566" s="631"/>
      <c r="N566"/>
      <c r="O566"/>
      <c r="P566"/>
      <c r="Q566"/>
      <c r="R566"/>
    </row>
    <row r="567" spans="4:18" x14ac:dyDescent="0.2">
      <c r="D567" s="657" t="s">
        <v>594</v>
      </c>
      <c r="I567" s="631"/>
      <c r="J567" s="631"/>
      <c r="K567" s="631"/>
      <c r="L567" s="631"/>
      <c r="M567" s="631"/>
      <c r="N567"/>
      <c r="O567"/>
      <c r="P567"/>
      <c r="Q567"/>
      <c r="R567"/>
    </row>
    <row r="568" spans="4:18" x14ac:dyDescent="0.2">
      <c r="E568" s="670" t="str">
        <f t="array" ref="E568:E607">Core.nodes</f>
        <v>Abancay</v>
      </c>
      <c r="G568" s="674" t="str">
        <f t="shared" ref="G568:G607" si="40">INDEX(K568:M568,,MATCH(CTRL.scenario.selected,Scenario.list,0))</f>
        <v>Arequipa</v>
      </c>
      <c r="I568" s="631"/>
      <c r="J568" s="631"/>
      <c r="K568" s="692" t="str">
        <f t="array" ref="K568:K607">INDEX($K1297:$M1336,,MATCH(K$20,$K$1296:$M$1296,0))</f>
        <v>Arequipa</v>
      </c>
      <c r="L568" s="692">
        <f t="array" ref="L568:L607">INDEX($K1297:$M1336,,MATCH(L$20,$K$1296:$M$1296,0))</f>
        <v>0</v>
      </c>
      <c r="M568" s="692">
        <f t="array" ref="M568:M607">INDEX($K1297:$M1336,,MATCH(M$20,$K$1296:$M$1296,0))</f>
        <v>0</v>
      </c>
      <c r="N568"/>
      <c r="O568"/>
      <c r="P568"/>
      <c r="Q568"/>
      <c r="R568"/>
    </row>
    <row r="569" spans="4:18" hidden="1" outlineLevel="1" x14ac:dyDescent="0.2">
      <c r="E569" s="670" t="str">
        <v>Arequipa</v>
      </c>
      <c r="G569" s="674" t="str">
        <f t="shared" si="40"/>
        <v>Arequipa</v>
      </c>
      <c r="I569" s="631"/>
      <c r="J569" s="631"/>
      <c r="K569" s="692" t="str">
        <v>Arequipa</v>
      </c>
      <c r="L569" s="692">
        <v>0</v>
      </c>
      <c r="M569" s="692">
        <v>0</v>
      </c>
      <c r="N569"/>
      <c r="O569"/>
      <c r="P569"/>
      <c r="Q569"/>
      <c r="R569"/>
    </row>
    <row r="570" spans="4:18" hidden="1" outlineLevel="1" x14ac:dyDescent="0.2">
      <c r="E570" s="670" t="str">
        <v>Ayacucho</v>
      </c>
      <c r="G570" s="674" t="str">
        <f t="shared" si="40"/>
        <v>Arequipa</v>
      </c>
      <c r="I570" s="631"/>
      <c r="J570" s="631"/>
      <c r="K570" s="692" t="str">
        <v>Arequipa</v>
      </c>
      <c r="L570" s="692">
        <v>0</v>
      </c>
      <c r="M570" s="692">
        <v>0</v>
      </c>
      <c r="N570"/>
      <c r="O570"/>
      <c r="P570"/>
      <c r="Q570"/>
      <c r="R570"/>
    </row>
    <row r="571" spans="4:18" hidden="1" outlineLevel="1" x14ac:dyDescent="0.2">
      <c r="E571" s="670" t="str">
        <v>Cajamarca</v>
      </c>
      <c r="G571" s="674" t="str">
        <f t="shared" si="40"/>
        <v>Trujillo</v>
      </c>
      <c r="I571" s="631"/>
      <c r="J571" s="631"/>
      <c r="K571" s="692" t="str">
        <v>Trujillo</v>
      </c>
      <c r="L571" s="692">
        <v>0</v>
      </c>
      <c r="M571" s="692">
        <v>0</v>
      </c>
      <c r="N571"/>
      <c r="O571"/>
      <c r="P571"/>
      <c r="Q571"/>
      <c r="R571"/>
    </row>
    <row r="572" spans="4:18" hidden="1" outlineLevel="1" x14ac:dyDescent="0.2">
      <c r="E572" s="670" t="str">
        <v>Callao</v>
      </c>
      <c r="G572" s="674" t="str">
        <f t="shared" si="40"/>
        <v>Lima</v>
      </c>
      <c r="I572" s="631"/>
      <c r="J572" s="631"/>
      <c r="K572" s="692" t="str">
        <v>Lima</v>
      </c>
      <c r="L572" s="692">
        <v>0</v>
      </c>
      <c r="M572" s="692">
        <v>0</v>
      </c>
      <c r="N572"/>
      <c r="O572"/>
      <c r="P572"/>
      <c r="Q572"/>
      <c r="R572"/>
    </row>
    <row r="573" spans="4:18" hidden="1" outlineLevel="1" x14ac:dyDescent="0.2">
      <c r="E573" s="670" t="str">
        <v>Cerro de Pasco</v>
      </c>
      <c r="G573" s="674" t="str">
        <f t="shared" si="40"/>
        <v>Trujillo</v>
      </c>
      <c r="I573" s="631"/>
      <c r="J573" s="631"/>
      <c r="K573" s="692" t="str">
        <v>Trujillo</v>
      </c>
      <c r="L573" s="692">
        <v>0</v>
      </c>
      <c r="M573" s="692">
        <v>0</v>
      </c>
      <c r="N573"/>
      <c r="O573"/>
      <c r="P573"/>
      <c r="Q573"/>
      <c r="R573"/>
    </row>
    <row r="574" spans="4:18" hidden="1" outlineLevel="1" x14ac:dyDescent="0.2">
      <c r="E574" s="670" t="str">
        <v>Chachapoyas</v>
      </c>
      <c r="G574" s="674" t="str">
        <f t="shared" si="40"/>
        <v>Trujillo</v>
      </c>
      <c r="I574" s="631"/>
      <c r="J574" s="631"/>
      <c r="K574" s="692" t="str">
        <v>Trujillo</v>
      </c>
      <c r="L574" s="692">
        <v>0</v>
      </c>
      <c r="M574" s="692">
        <v>0</v>
      </c>
      <c r="N574"/>
      <c r="O574"/>
      <c r="P574"/>
      <c r="Q574"/>
      <c r="R574"/>
    </row>
    <row r="575" spans="4:18" hidden="1" outlineLevel="1" x14ac:dyDescent="0.2">
      <c r="E575" s="670" t="str">
        <v>Chiclayo</v>
      </c>
      <c r="G575" s="674" t="str">
        <f t="shared" si="40"/>
        <v>Trujillo</v>
      </c>
      <c r="I575" s="631"/>
      <c r="J575" s="631"/>
      <c r="K575" s="692" t="str">
        <v>Trujillo</v>
      </c>
      <c r="L575" s="692">
        <v>0</v>
      </c>
      <c r="M575" s="692">
        <v>0</v>
      </c>
      <c r="N575"/>
      <c r="O575"/>
      <c r="P575"/>
      <c r="Q575"/>
      <c r="R575"/>
    </row>
    <row r="576" spans="4:18" hidden="1" outlineLevel="1" x14ac:dyDescent="0.2">
      <c r="E576" s="670" t="str">
        <v>Cusco</v>
      </c>
      <c r="G576" s="674" t="str">
        <f t="shared" si="40"/>
        <v>Arequipa</v>
      </c>
      <c r="I576" s="631"/>
      <c r="J576" s="631"/>
      <c r="K576" s="692" t="str">
        <v>Arequipa</v>
      </c>
      <c r="L576" s="692">
        <v>0</v>
      </c>
      <c r="M576" s="692">
        <v>0</v>
      </c>
      <c r="N576"/>
      <c r="O576"/>
      <c r="P576"/>
      <c r="Q576"/>
      <c r="R576"/>
    </row>
    <row r="577" spans="5:18" hidden="1" outlineLevel="1" x14ac:dyDescent="0.2">
      <c r="E577" s="670" t="str">
        <v>Huancavelica</v>
      </c>
      <c r="G577" s="674" t="str">
        <f t="shared" si="40"/>
        <v>Arequipa</v>
      </c>
      <c r="I577" s="631"/>
      <c r="J577" s="631"/>
      <c r="K577" s="692" t="str">
        <v>Arequipa</v>
      </c>
      <c r="L577" s="692">
        <v>0</v>
      </c>
      <c r="M577" s="692">
        <v>0</v>
      </c>
      <c r="N577"/>
      <c r="O577"/>
      <c r="P577"/>
      <c r="Q577"/>
      <c r="R577"/>
    </row>
    <row r="578" spans="5:18" hidden="1" outlineLevel="1" x14ac:dyDescent="0.2">
      <c r="E578" s="670" t="str">
        <v>Huancayo</v>
      </c>
      <c r="G578" s="674" t="str">
        <f t="shared" si="40"/>
        <v>Lima</v>
      </c>
      <c r="I578" s="631"/>
      <c r="J578" s="631"/>
      <c r="K578" s="692" t="str">
        <v>Lima</v>
      </c>
      <c r="L578" s="692">
        <v>0</v>
      </c>
      <c r="M578" s="692">
        <v>0</v>
      </c>
      <c r="N578"/>
      <c r="O578"/>
      <c r="P578"/>
      <c r="Q578"/>
      <c r="R578"/>
    </row>
    <row r="579" spans="5:18" hidden="1" outlineLevel="1" x14ac:dyDescent="0.2">
      <c r="E579" s="670" t="str">
        <v>Huaraz</v>
      </c>
      <c r="G579" s="674" t="str">
        <f t="shared" si="40"/>
        <v>Trujillo</v>
      </c>
      <c r="I579" s="631"/>
      <c r="J579" s="631"/>
      <c r="K579" s="692" t="str">
        <v>Trujillo</v>
      </c>
      <c r="L579" s="692">
        <v>0</v>
      </c>
      <c r="M579" s="692">
        <v>0</v>
      </c>
      <c r="N579"/>
      <c r="O579"/>
      <c r="P579"/>
      <c r="Q579"/>
      <c r="R579"/>
    </row>
    <row r="580" spans="5:18" hidden="1" outlineLevel="1" x14ac:dyDescent="0.2">
      <c r="E580" s="670" t="str">
        <v>Ica</v>
      </c>
      <c r="G580" s="674" t="str">
        <f t="shared" si="40"/>
        <v>Arequipa</v>
      </c>
      <c r="I580" s="631"/>
      <c r="J580" s="631"/>
      <c r="K580" s="692" t="str">
        <v>Arequipa</v>
      </c>
      <c r="L580" s="692">
        <v>0</v>
      </c>
      <c r="M580" s="692">
        <v>0</v>
      </c>
      <c r="N580"/>
      <c r="O580"/>
      <c r="P580"/>
      <c r="Q580"/>
      <c r="R580"/>
    </row>
    <row r="581" spans="5:18" hidden="1" outlineLevel="1" x14ac:dyDescent="0.2">
      <c r="E581" s="670" t="str">
        <v>Iquitos</v>
      </c>
      <c r="G581" s="674" t="str">
        <f t="shared" si="40"/>
        <v>Iquitos</v>
      </c>
      <c r="I581" s="631"/>
      <c r="J581" s="631"/>
      <c r="K581" s="692" t="str">
        <v>Iquitos</v>
      </c>
      <c r="L581" s="692">
        <v>0</v>
      </c>
      <c r="M581" s="692">
        <v>0</v>
      </c>
      <c r="N581"/>
      <c r="O581"/>
      <c r="P581"/>
      <c r="Q581"/>
      <c r="R581"/>
    </row>
    <row r="582" spans="5:18" hidden="1" outlineLevel="1" x14ac:dyDescent="0.2">
      <c r="E582" s="670" t="str">
        <v>Lima</v>
      </c>
      <c r="G582" s="674" t="str">
        <f t="shared" si="40"/>
        <v>Lima</v>
      </c>
      <c r="I582" s="631"/>
      <c r="J582" s="631"/>
      <c r="K582" s="692" t="str">
        <v>Lima</v>
      </c>
      <c r="L582" s="692">
        <v>0</v>
      </c>
      <c r="M582" s="692">
        <v>0</v>
      </c>
      <c r="N582"/>
      <c r="O582"/>
      <c r="P582"/>
      <c r="Q582"/>
      <c r="R582"/>
    </row>
    <row r="583" spans="5:18" hidden="1" outlineLevel="1" x14ac:dyDescent="0.2">
      <c r="E583" s="670" t="str">
        <v>Moquegua</v>
      </c>
      <c r="G583" s="674" t="str">
        <f t="shared" si="40"/>
        <v>Arequipa</v>
      </c>
      <c r="I583" s="631"/>
      <c r="J583" s="631"/>
      <c r="K583" s="692" t="str">
        <v>Arequipa</v>
      </c>
      <c r="L583" s="692">
        <v>0</v>
      </c>
      <c r="M583" s="692">
        <v>0</v>
      </c>
      <c r="N583"/>
      <c r="O583"/>
      <c r="P583"/>
      <c r="Q583"/>
      <c r="R583"/>
    </row>
    <row r="584" spans="5:18" hidden="1" outlineLevel="1" x14ac:dyDescent="0.2">
      <c r="E584" s="670" t="str">
        <v>Piura</v>
      </c>
      <c r="G584" s="674" t="str">
        <f t="shared" si="40"/>
        <v>Trujillo</v>
      </c>
      <c r="I584" s="631"/>
      <c r="J584" s="631"/>
      <c r="K584" s="692" t="str">
        <v>Trujillo</v>
      </c>
      <c r="L584" s="692">
        <v>0</v>
      </c>
      <c r="M584" s="692">
        <v>0</v>
      </c>
      <c r="N584"/>
      <c r="O584"/>
      <c r="P584"/>
      <c r="Q584"/>
      <c r="R584"/>
    </row>
    <row r="585" spans="5:18" hidden="1" outlineLevel="1" x14ac:dyDescent="0.2">
      <c r="E585" s="670" t="str">
        <v>Pucallpa</v>
      </c>
      <c r="G585" s="674" t="str">
        <f t="shared" si="40"/>
        <v>Trujillo</v>
      </c>
      <c r="I585" s="631"/>
      <c r="J585" s="631"/>
      <c r="K585" s="692" t="str">
        <v>Trujillo</v>
      </c>
      <c r="L585" s="692">
        <v>0</v>
      </c>
      <c r="M585" s="692">
        <v>0</v>
      </c>
      <c r="N585"/>
      <c r="O585"/>
      <c r="P585"/>
      <c r="Q585"/>
      <c r="R585"/>
    </row>
    <row r="586" spans="5:18" hidden="1" outlineLevel="1" x14ac:dyDescent="0.2">
      <c r="E586" s="670" t="str">
        <v>Puerto Maldonado</v>
      </c>
      <c r="G586" s="674" t="str">
        <f t="shared" si="40"/>
        <v>Arequipa</v>
      </c>
      <c r="I586" s="631"/>
      <c r="J586" s="631"/>
      <c r="K586" s="692" t="str">
        <v>Arequipa</v>
      </c>
      <c r="L586" s="692">
        <v>0</v>
      </c>
      <c r="M586" s="692">
        <v>0</v>
      </c>
      <c r="N586"/>
      <c r="O586"/>
      <c r="P586"/>
      <c r="Q586"/>
      <c r="R586"/>
    </row>
    <row r="587" spans="5:18" hidden="1" outlineLevel="1" x14ac:dyDescent="0.2">
      <c r="E587" s="670" t="str">
        <v>Puno</v>
      </c>
      <c r="G587" s="674" t="str">
        <f t="shared" si="40"/>
        <v>Arequipa</v>
      </c>
      <c r="I587" s="631"/>
      <c r="J587" s="631"/>
      <c r="K587" s="692" t="str">
        <v>Arequipa</v>
      </c>
      <c r="L587" s="692">
        <v>0</v>
      </c>
      <c r="M587" s="692">
        <v>0</v>
      </c>
      <c r="N587"/>
      <c r="O587"/>
      <c r="P587"/>
      <c r="Q587"/>
      <c r="R587"/>
    </row>
    <row r="588" spans="5:18" hidden="1" outlineLevel="1" x14ac:dyDescent="0.2">
      <c r="E588" s="670" t="str">
        <v>Tacna</v>
      </c>
      <c r="G588" s="674" t="str">
        <f t="shared" si="40"/>
        <v>Arequipa</v>
      </c>
      <c r="I588" s="631"/>
      <c r="J588" s="631"/>
      <c r="K588" s="692" t="str">
        <v>Arequipa</v>
      </c>
      <c r="L588" s="692">
        <v>0</v>
      </c>
      <c r="M588" s="692">
        <v>0</v>
      </c>
      <c r="N588"/>
      <c r="O588"/>
      <c r="P588"/>
      <c r="Q588"/>
      <c r="R588"/>
    </row>
    <row r="589" spans="5:18" hidden="1" outlineLevel="1" x14ac:dyDescent="0.2">
      <c r="E589" s="670" t="str">
        <v>Tarapoto</v>
      </c>
      <c r="G589" s="674" t="str">
        <f t="shared" si="40"/>
        <v>Trujillo</v>
      </c>
      <c r="I589" s="631"/>
      <c r="J589" s="631"/>
      <c r="K589" s="692" t="str">
        <v>Trujillo</v>
      </c>
      <c r="L589" s="692">
        <v>0</v>
      </c>
      <c r="M589" s="692">
        <v>0</v>
      </c>
      <c r="N589"/>
      <c r="O589"/>
      <c r="P589"/>
      <c r="Q589"/>
      <c r="R589"/>
    </row>
    <row r="590" spans="5:18" hidden="1" outlineLevel="1" x14ac:dyDescent="0.2">
      <c r="E590" s="670" t="str">
        <v>Tingo Maria</v>
      </c>
      <c r="G590" s="674" t="str">
        <f t="shared" si="40"/>
        <v>Trujillo</v>
      </c>
      <c r="I590" s="631"/>
      <c r="J590" s="631"/>
      <c r="K590" s="692" t="str">
        <v>Trujillo</v>
      </c>
      <c r="L590" s="692">
        <v>0</v>
      </c>
      <c r="M590" s="692">
        <v>0</v>
      </c>
      <c r="N590"/>
      <c r="O590"/>
      <c r="P590"/>
      <c r="Q590"/>
      <c r="R590"/>
    </row>
    <row r="591" spans="5:18" hidden="1" outlineLevel="1" x14ac:dyDescent="0.2">
      <c r="E591" s="670" t="str">
        <v>Trujillo</v>
      </c>
      <c r="G591" s="674" t="str">
        <f t="shared" si="40"/>
        <v>Trujillo</v>
      </c>
      <c r="I591" s="631"/>
      <c r="J591" s="631"/>
      <c r="K591" s="692" t="str">
        <v>Trujillo</v>
      </c>
      <c r="L591" s="692">
        <v>0</v>
      </c>
      <c r="M591" s="692">
        <v>0</v>
      </c>
      <c r="N591"/>
      <c r="O591"/>
      <c r="P591"/>
      <c r="Q591"/>
      <c r="R591"/>
    </row>
    <row r="592" spans="5:18" hidden="1" outlineLevel="1" x14ac:dyDescent="0.2">
      <c r="E592" s="670" t="str">
        <v>Tumbes</v>
      </c>
      <c r="G592" s="674" t="str">
        <f t="shared" si="40"/>
        <v>Trujillo</v>
      </c>
      <c r="I592" s="631"/>
      <c r="J592" s="631"/>
      <c r="K592" s="692" t="str">
        <v>Trujillo</v>
      </c>
      <c r="L592" s="692">
        <v>0</v>
      </c>
      <c r="M592" s="692">
        <v>0</v>
      </c>
      <c r="N592"/>
      <c r="O592"/>
      <c r="P592"/>
      <c r="Q592"/>
      <c r="R592"/>
    </row>
    <row r="593" spans="5:18" hidden="1" outlineLevel="1" x14ac:dyDescent="0.2">
      <c r="E593" s="670" t="str">
        <v>spare</v>
      </c>
      <c r="G593" s="674">
        <f t="shared" si="40"/>
        <v>0</v>
      </c>
      <c r="I593" s="631"/>
      <c r="J593" s="631"/>
      <c r="K593" s="692">
        <v>0</v>
      </c>
      <c r="L593" s="692">
        <v>0</v>
      </c>
      <c r="M593" s="692">
        <v>0</v>
      </c>
      <c r="N593"/>
      <c r="O593"/>
      <c r="P593"/>
      <c r="Q593"/>
      <c r="R593"/>
    </row>
    <row r="594" spans="5:18" hidden="1" outlineLevel="1" x14ac:dyDescent="0.2">
      <c r="E594" s="670" t="str">
        <v>spare</v>
      </c>
      <c r="G594" s="674">
        <f t="shared" si="40"/>
        <v>0</v>
      </c>
      <c r="I594" s="631"/>
      <c r="J594" s="631"/>
      <c r="K594" s="692">
        <v>0</v>
      </c>
      <c r="L594" s="692">
        <v>0</v>
      </c>
      <c r="M594" s="692">
        <v>0</v>
      </c>
      <c r="N594"/>
      <c r="O594"/>
      <c r="P594"/>
      <c r="Q594"/>
      <c r="R594"/>
    </row>
    <row r="595" spans="5:18" hidden="1" outlineLevel="1" x14ac:dyDescent="0.2">
      <c r="E595" s="670" t="str">
        <v>spare</v>
      </c>
      <c r="G595" s="674">
        <f t="shared" si="40"/>
        <v>0</v>
      </c>
      <c r="I595" s="631"/>
      <c r="J595" s="631"/>
      <c r="K595" s="692">
        <v>0</v>
      </c>
      <c r="L595" s="692">
        <v>0</v>
      </c>
      <c r="M595" s="692">
        <v>0</v>
      </c>
      <c r="N595"/>
      <c r="O595"/>
      <c r="P595"/>
      <c r="Q595"/>
      <c r="R595"/>
    </row>
    <row r="596" spans="5:18" hidden="1" outlineLevel="1" x14ac:dyDescent="0.2">
      <c r="E596" s="670" t="str">
        <v>spare</v>
      </c>
      <c r="G596" s="674">
        <f t="shared" si="40"/>
        <v>0</v>
      </c>
      <c r="I596" s="631"/>
      <c r="J596" s="631"/>
      <c r="K596" s="692">
        <v>0</v>
      </c>
      <c r="L596" s="692">
        <v>0</v>
      </c>
      <c r="M596" s="692">
        <v>0</v>
      </c>
      <c r="N596"/>
      <c r="O596"/>
      <c r="P596"/>
      <c r="Q596"/>
      <c r="R596"/>
    </row>
    <row r="597" spans="5:18" hidden="1" outlineLevel="1" x14ac:dyDescent="0.2">
      <c r="E597" s="670" t="str">
        <v>spare</v>
      </c>
      <c r="G597" s="674">
        <f t="shared" si="40"/>
        <v>0</v>
      </c>
      <c r="I597" s="631"/>
      <c r="J597" s="631"/>
      <c r="K597" s="692">
        <v>0</v>
      </c>
      <c r="L597" s="692">
        <v>0</v>
      </c>
      <c r="M597" s="692">
        <v>0</v>
      </c>
      <c r="N597"/>
      <c r="O597"/>
      <c r="P597"/>
      <c r="Q597"/>
      <c r="R597"/>
    </row>
    <row r="598" spans="5:18" hidden="1" outlineLevel="1" x14ac:dyDescent="0.2">
      <c r="E598" s="670" t="str">
        <v>spare</v>
      </c>
      <c r="G598" s="674">
        <f t="shared" si="40"/>
        <v>0</v>
      </c>
      <c r="I598" s="631"/>
      <c r="J598" s="631"/>
      <c r="K598" s="692">
        <v>0</v>
      </c>
      <c r="L598" s="692">
        <v>0</v>
      </c>
      <c r="M598" s="692">
        <v>0</v>
      </c>
      <c r="N598"/>
      <c r="O598"/>
      <c r="P598"/>
      <c r="Q598"/>
      <c r="R598"/>
    </row>
    <row r="599" spans="5:18" hidden="1" outlineLevel="1" x14ac:dyDescent="0.2">
      <c r="E599" s="670" t="str">
        <v>spare</v>
      </c>
      <c r="G599" s="674">
        <f t="shared" si="40"/>
        <v>0</v>
      </c>
      <c r="I599" s="631"/>
      <c r="J599" s="631"/>
      <c r="K599" s="692">
        <v>0</v>
      </c>
      <c r="L599" s="692">
        <v>0</v>
      </c>
      <c r="M599" s="692">
        <v>0</v>
      </c>
      <c r="N599"/>
      <c r="O599"/>
      <c r="P599"/>
      <c r="Q599"/>
      <c r="R599"/>
    </row>
    <row r="600" spans="5:18" hidden="1" outlineLevel="1" x14ac:dyDescent="0.2">
      <c r="E600" s="670" t="str">
        <v>spare</v>
      </c>
      <c r="G600" s="674">
        <f t="shared" si="40"/>
        <v>0</v>
      </c>
      <c r="I600" s="631"/>
      <c r="J600" s="631"/>
      <c r="K600" s="692">
        <v>0</v>
      </c>
      <c r="L600" s="692">
        <v>0</v>
      </c>
      <c r="M600" s="692">
        <v>0</v>
      </c>
      <c r="N600"/>
      <c r="O600"/>
      <c r="P600"/>
      <c r="Q600"/>
      <c r="R600"/>
    </row>
    <row r="601" spans="5:18" hidden="1" outlineLevel="1" x14ac:dyDescent="0.2">
      <c r="E601" s="670" t="str">
        <v>spare</v>
      </c>
      <c r="G601" s="674">
        <f t="shared" si="40"/>
        <v>0</v>
      </c>
      <c r="I601" s="631"/>
      <c r="J601" s="631"/>
      <c r="K601" s="692">
        <v>0</v>
      </c>
      <c r="L601" s="692">
        <v>0</v>
      </c>
      <c r="M601" s="692">
        <v>0</v>
      </c>
      <c r="N601"/>
      <c r="O601"/>
      <c r="P601"/>
      <c r="Q601"/>
      <c r="R601"/>
    </row>
    <row r="602" spans="5:18" hidden="1" outlineLevel="1" x14ac:dyDescent="0.2">
      <c r="E602" s="670" t="str">
        <v>spare</v>
      </c>
      <c r="G602" s="674">
        <f t="shared" si="40"/>
        <v>0</v>
      </c>
      <c r="I602" s="631"/>
      <c r="J602" s="631"/>
      <c r="K602" s="692">
        <v>0</v>
      </c>
      <c r="L602" s="692">
        <v>0</v>
      </c>
      <c r="M602" s="692">
        <v>0</v>
      </c>
      <c r="N602"/>
      <c r="O602"/>
      <c r="P602"/>
      <c r="Q602"/>
      <c r="R602"/>
    </row>
    <row r="603" spans="5:18" hidden="1" outlineLevel="1" x14ac:dyDescent="0.2">
      <c r="E603" s="670" t="str">
        <v>spare</v>
      </c>
      <c r="G603" s="674">
        <f t="shared" si="40"/>
        <v>0</v>
      </c>
      <c r="I603" s="631"/>
      <c r="J603" s="631"/>
      <c r="K603" s="692">
        <v>0</v>
      </c>
      <c r="L603" s="692">
        <v>0</v>
      </c>
      <c r="M603" s="692">
        <v>0</v>
      </c>
      <c r="N603"/>
      <c r="O603"/>
      <c r="P603"/>
      <c r="Q603"/>
      <c r="R603"/>
    </row>
    <row r="604" spans="5:18" hidden="1" outlineLevel="1" x14ac:dyDescent="0.2">
      <c r="E604" s="670" t="str">
        <v>spare</v>
      </c>
      <c r="G604" s="674">
        <f t="shared" si="40"/>
        <v>0</v>
      </c>
      <c r="I604" s="631"/>
      <c r="J604" s="631"/>
      <c r="K604" s="692">
        <v>0</v>
      </c>
      <c r="L604" s="692">
        <v>0</v>
      </c>
      <c r="M604" s="692">
        <v>0</v>
      </c>
      <c r="N604"/>
      <c r="O604"/>
      <c r="P604"/>
      <c r="Q604"/>
      <c r="R604"/>
    </row>
    <row r="605" spans="5:18" hidden="1" outlineLevel="1" x14ac:dyDescent="0.2">
      <c r="E605" s="670" t="str">
        <v>spare</v>
      </c>
      <c r="G605" s="674">
        <f t="shared" si="40"/>
        <v>0</v>
      </c>
      <c r="I605" s="631"/>
      <c r="J605" s="631"/>
      <c r="K605" s="692">
        <v>0</v>
      </c>
      <c r="L605" s="692">
        <v>0</v>
      </c>
      <c r="M605" s="692">
        <v>0</v>
      </c>
      <c r="N605"/>
      <c r="O605"/>
      <c r="P605"/>
      <c r="Q605"/>
      <c r="R605"/>
    </row>
    <row r="606" spans="5:18" hidden="1" outlineLevel="1" x14ac:dyDescent="0.2">
      <c r="E606" s="670" t="str">
        <v>spare</v>
      </c>
      <c r="G606" s="674">
        <f t="shared" si="40"/>
        <v>0</v>
      </c>
      <c r="I606" s="631"/>
      <c r="J606" s="631"/>
      <c r="K606" s="692">
        <v>0</v>
      </c>
      <c r="L606" s="692">
        <v>0</v>
      </c>
      <c r="M606" s="692">
        <v>0</v>
      </c>
      <c r="N606"/>
      <c r="O606"/>
      <c r="P606"/>
      <c r="Q606"/>
      <c r="R606"/>
    </row>
    <row r="607" spans="5:18" collapsed="1" x14ac:dyDescent="0.2">
      <c r="E607" s="670" t="str">
        <v>spare</v>
      </c>
      <c r="G607" s="674">
        <f t="shared" si="40"/>
        <v>0</v>
      </c>
      <c r="I607" s="631"/>
      <c r="J607" s="631"/>
      <c r="K607" s="692">
        <v>0</v>
      </c>
      <c r="L607" s="692">
        <v>0</v>
      </c>
      <c r="M607" s="692">
        <v>0</v>
      </c>
      <c r="N607"/>
      <c r="O607"/>
      <c r="P607"/>
      <c r="Q607"/>
      <c r="R607"/>
    </row>
    <row r="608" spans="5:18" x14ac:dyDescent="0.2">
      <c r="E608" s="631"/>
      <c r="G608" s="634" t="s">
        <v>546</v>
      </c>
      <c r="I608" s="631"/>
      <c r="J608" s="631"/>
      <c r="K608" s="631"/>
      <c r="L608" s="631"/>
      <c r="M608" s="631"/>
      <c r="N608"/>
      <c r="O608"/>
      <c r="P608"/>
      <c r="Q608"/>
      <c r="R608"/>
    </row>
    <row r="609" spans="4:18" x14ac:dyDescent="0.2">
      <c r="D609" s="657" t="s">
        <v>596</v>
      </c>
      <c r="I609" s="631"/>
      <c r="J609" s="631"/>
      <c r="K609" s="631"/>
      <c r="L609" s="631"/>
      <c r="M609" s="631"/>
      <c r="N609"/>
      <c r="O609"/>
      <c r="P609"/>
      <c r="Q609"/>
      <c r="R609"/>
    </row>
    <row r="610" spans="4:18" x14ac:dyDescent="0.2">
      <c r="E610" s="670" t="str">
        <f t="array" ref="E610:E649">Core.nodes</f>
        <v>Abancay</v>
      </c>
      <c r="G610" s="674" t="str">
        <f t="shared" ref="G610:G649" si="41">INDEX(K610:M610,,MATCH(CTRL.scenario.selected,Scenario.list,0))</f>
        <v>Arequipa</v>
      </c>
      <c r="I610" s="631"/>
      <c r="J610" s="631"/>
      <c r="K610" s="692" t="str">
        <f t="array" ref="K610:K649">INDEX($K1339:$M1378,,MATCH(K$20,$K$1338:$M$1338,0))</f>
        <v>Arequipa</v>
      </c>
      <c r="L610" s="692">
        <f t="array" ref="L610:L649">INDEX($K1339:$M1378,,MATCH(L$20,$K$1338:$M$1338,0))</f>
        <v>0</v>
      </c>
      <c r="M610" s="692">
        <f t="array" ref="M610:M649">INDEX($K1339:$M1378,,MATCH(M$20,$K$1338:$M$1338,0))</f>
        <v>0</v>
      </c>
      <c r="N610"/>
      <c r="O610"/>
      <c r="P610"/>
      <c r="Q610"/>
      <c r="R610"/>
    </row>
    <row r="611" spans="4:18" hidden="1" outlineLevel="1" x14ac:dyDescent="0.2">
      <c r="E611" s="670" t="str">
        <v>Arequipa</v>
      </c>
      <c r="G611" s="674" t="str">
        <f t="shared" si="41"/>
        <v>Arequipa</v>
      </c>
      <c r="I611" s="631"/>
      <c r="J611" s="631"/>
      <c r="K611" s="692" t="str">
        <v>Arequipa</v>
      </c>
      <c r="L611" s="692">
        <v>0</v>
      </c>
      <c r="M611" s="692">
        <v>0</v>
      </c>
      <c r="N611"/>
      <c r="O611"/>
      <c r="P611"/>
      <c r="Q611"/>
      <c r="R611"/>
    </row>
    <row r="612" spans="4:18" hidden="1" outlineLevel="1" x14ac:dyDescent="0.2">
      <c r="E612" s="670" t="str">
        <v>Ayacucho</v>
      </c>
      <c r="G612" s="674" t="str">
        <f t="shared" si="41"/>
        <v>Arequipa</v>
      </c>
      <c r="I612" s="631"/>
      <c r="J612" s="631"/>
      <c r="K612" s="692" t="str">
        <v>Arequipa</v>
      </c>
      <c r="L612" s="692">
        <v>0</v>
      </c>
      <c r="M612" s="692">
        <v>0</v>
      </c>
      <c r="N612"/>
      <c r="O612"/>
      <c r="P612"/>
      <c r="Q612"/>
      <c r="R612"/>
    </row>
    <row r="613" spans="4:18" hidden="1" outlineLevel="1" x14ac:dyDescent="0.2">
      <c r="E613" s="670" t="str">
        <v>Cajamarca</v>
      </c>
      <c r="G613" s="674" t="str">
        <f t="shared" si="41"/>
        <v>Trujillo</v>
      </c>
      <c r="I613" s="631"/>
      <c r="J613" s="631"/>
      <c r="K613" s="692" t="str">
        <v>Trujillo</v>
      </c>
      <c r="L613" s="692">
        <v>0</v>
      </c>
      <c r="M613" s="692">
        <v>0</v>
      </c>
      <c r="N613"/>
      <c r="O613"/>
      <c r="P613"/>
      <c r="Q613"/>
      <c r="R613"/>
    </row>
    <row r="614" spans="4:18" hidden="1" outlineLevel="1" x14ac:dyDescent="0.2">
      <c r="E614" s="670" t="str">
        <v>Callao</v>
      </c>
      <c r="G614" s="674" t="str">
        <f t="shared" si="41"/>
        <v>Lima</v>
      </c>
      <c r="I614" s="631"/>
      <c r="J614" s="631"/>
      <c r="K614" s="692" t="str">
        <v>Lima</v>
      </c>
      <c r="L614" s="692">
        <v>0</v>
      </c>
      <c r="M614" s="692">
        <v>0</v>
      </c>
      <c r="N614"/>
      <c r="O614"/>
      <c r="P614"/>
      <c r="Q614"/>
      <c r="R614"/>
    </row>
    <row r="615" spans="4:18" hidden="1" outlineLevel="1" x14ac:dyDescent="0.2">
      <c r="E615" s="670" t="str">
        <v>Cerro de Pasco</v>
      </c>
      <c r="G615" s="674" t="str">
        <f t="shared" si="41"/>
        <v>Trujillo</v>
      </c>
      <c r="I615" s="631"/>
      <c r="J615" s="631"/>
      <c r="K615" s="692" t="str">
        <v>Trujillo</v>
      </c>
      <c r="L615" s="692">
        <v>0</v>
      </c>
      <c r="M615" s="692">
        <v>0</v>
      </c>
      <c r="N615"/>
      <c r="O615"/>
      <c r="P615"/>
      <c r="Q615"/>
      <c r="R615"/>
    </row>
    <row r="616" spans="4:18" hidden="1" outlineLevel="1" x14ac:dyDescent="0.2">
      <c r="E616" s="670" t="str">
        <v>Chachapoyas</v>
      </c>
      <c r="G616" s="674" t="str">
        <f t="shared" si="41"/>
        <v>Trujillo</v>
      </c>
      <c r="I616" s="631"/>
      <c r="J616" s="631"/>
      <c r="K616" s="692" t="str">
        <v>Trujillo</v>
      </c>
      <c r="L616" s="692">
        <v>0</v>
      </c>
      <c r="M616" s="692">
        <v>0</v>
      </c>
      <c r="N616"/>
      <c r="O616"/>
      <c r="P616"/>
      <c r="Q616"/>
      <c r="R616"/>
    </row>
    <row r="617" spans="4:18" hidden="1" outlineLevel="1" x14ac:dyDescent="0.2">
      <c r="E617" s="670" t="str">
        <v>Chiclayo</v>
      </c>
      <c r="G617" s="674" t="str">
        <f t="shared" si="41"/>
        <v>Trujillo</v>
      </c>
      <c r="I617" s="631"/>
      <c r="J617" s="631"/>
      <c r="K617" s="692" t="str">
        <v>Trujillo</v>
      </c>
      <c r="L617" s="692">
        <v>0</v>
      </c>
      <c r="M617" s="692">
        <v>0</v>
      </c>
      <c r="N617"/>
      <c r="O617"/>
      <c r="P617"/>
      <c r="Q617"/>
      <c r="R617"/>
    </row>
    <row r="618" spans="4:18" hidden="1" outlineLevel="1" x14ac:dyDescent="0.2">
      <c r="E618" s="670" t="str">
        <v>Cusco</v>
      </c>
      <c r="G618" s="674" t="str">
        <f t="shared" si="41"/>
        <v>Arequipa</v>
      </c>
      <c r="I618" s="631"/>
      <c r="J618" s="631"/>
      <c r="K618" s="692" t="str">
        <v>Arequipa</v>
      </c>
      <c r="L618" s="692">
        <v>0</v>
      </c>
      <c r="M618" s="692">
        <v>0</v>
      </c>
      <c r="N618"/>
      <c r="O618"/>
      <c r="P618"/>
      <c r="Q618"/>
      <c r="R618"/>
    </row>
    <row r="619" spans="4:18" hidden="1" outlineLevel="1" x14ac:dyDescent="0.2">
      <c r="E619" s="670" t="str">
        <v>Huancavelica</v>
      </c>
      <c r="G619" s="674" t="str">
        <f t="shared" si="41"/>
        <v>Arequipa</v>
      </c>
      <c r="I619" s="631"/>
      <c r="J619" s="631"/>
      <c r="K619" s="692" t="str">
        <v>Arequipa</v>
      </c>
      <c r="L619" s="692">
        <v>0</v>
      </c>
      <c r="M619" s="692">
        <v>0</v>
      </c>
      <c r="N619"/>
      <c r="O619"/>
      <c r="P619"/>
      <c r="Q619"/>
      <c r="R619"/>
    </row>
    <row r="620" spans="4:18" hidden="1" outlineLevel="1" x14ac:dyDescent="0.2">
      <c r="E620" s="670" t="str">
        <v>Huancayo</v>
      </c>
      <c r="G620" s="674" t="str">
        <f t="shared" si="41"/>
        <v>Lima</v>
      </c>
      <c r="I620" s="631"/>
      <c r="J620" s="631"/>
      <c r="K620" s="692" t="str">
        <v>Lima</v>
      </c>
      <c r="L620" s="692">
        <v>0</v>
      </c>
      <c r="M620" s="692">
        <v>0</v>
      </c>
      <c r="N620"/>
      <c r="O620"/>
      <c r="P620"/>
      <c r="Q620"/>
      <c r="R620"/>
    </row>
    <row r="621" spans="4:18" hidden="1" outlineLevel="1" x14ac:dyDescent="0.2">
      <c r="E621" s="670" t="str">
        <v>Huaraz</v>
      </c>
      <c r="G621" s="674" t="str">
        <f t="shared" si="41"/>
        <v>Trujillo</v>
      </c>
      <c r="I621" s="631"/>
      <c r="J621" s="631"/>
      <c r="K621" s="692" t="str">
        <v>Trujillo</v>
      </c>
      <c r="L621" s="692">
        <v>0</v>
      </c>
      <c r="M621" s="692">
        <v>0</v>
      </c>
      <c r="N621"/>
      <c r="O621"/>
      <c r="P621"/>
      <c r="Q621"/>
      <c r="R621"/>
    </row>
    <row r="622" spans="4:18" hidden="1" outlineLevel="1" x14ac:dyDescent="0.2">
      <c r="E622" s="670" t="str">
        <v>Ica</v>
      </c>
      <c r="G622" s="674" t="str">
        <f t="shared" si="41"/>
        <v>Arequipa</v>
      </c>
      <c r="I622" s="631"/>
      <c r="J622" s="631"/>
      <c r="K622" s="692" t="str">
        <v>Arequipa</v>
      </c>
      <c r="L622" s="692">
        <v>0</v>
      </c>
      <c r="M622" s="692">
        <v>0</v>
      </c>
      <c r="N622"/>
      <c r="O622"/>
      <c r="P622"/>
      <c r="Q622"/>
      <c r="R622"/>
    </row>
    <row r="623" spans="4:18" hidden="1" outlineLevel="1" x14ac:dyDescent="0.2">
      <c r="E623" s="670" t="str">
        <v>Iquitos</v>
      </c>
      <c r="G623" s="674" t="str">
        <f t="shared" si="41"/>
        <v>Iquitos</v>
      </c>
      <c r="I623" s="631"/>
      <c r="J623" s="631"/>
      <c r="K623" s="692" t="str">
        <v>Iquitos</v>
      </c>
      <c r="L623" s="692">
        <v>0</v>
      </c>
      <c r="M623" s="692">
        <v>0</v>
      </c>
      <c r="N623"/>
      <c r="O623"/>
      <c r="P623"/>
      <c r="Q623"/>
      <c r="R623"/>
    </row>
    <row r="624" spans="4:18" hidden="1" outlineLevel="1" x14ac:dyDescent="0.2">
      <c r="E624" s="670" t="str">
        <v>Lima</v>
      </c>
      <c r="G624" s="674" t="str">
        <f t="shared" si="41"/>
        <v>Lima</v>
      </c>
      <c r="I624" s="631"/>
      <c r="J624" s="631"/>
      <c r="K624" s="692" t="str">
        <v>Lima</v>
      </c>
      <c r="L624" s="692">
        <v>0</v>
      </c>
      <c r="M624" s="692">
        <v>0</v>
      </c>
      <c r="N624"/>
      <c r="O624"/>
      <c r="P624"/>
      <c r="Q624"/>
      <c r="R624"/>
    </row>
    <row r="625" spans="5:18" hidden="1" outlineLevel="1" x14ac:dyDescent="0.2">
      <c r="E625" s="670" t="str">
        <v>Moquegua</v>
      </c>
      <c r="G625" s="674" t="str">
        <f t="shared" si="41"/>
        <v>Arequipa</v>
      </c>
      <c r="I625" s="631"/>
      <c r="J625" s="631"/>
      <c r="K625" s="692" t="str">
        <v>Arequipa</v>
      </c>
      <c r="L625" s="692">
        <v>0</v>
      </c>
      <c r="M625" s="692">
        <v>0</v>
      </c>
      <c r="N625"/>
      <c r="O625"/>
      <c r="P625"/>
      <c r="Q625"/>
      <c r="R625"/>
    </row>
    <row r="626" spans="5:18" hidden="1" outlineLevel="1" x14ac:dyDescent="0.2">
      <c r="E626" s="670" t="str">
        <v>Piura</v>
      </c>
      <c r="G626" s="674" t="str">
        <f t="shared" si="41"/>
        <v>Trujillo</v>
      </c>
      <c r="I626" s="631"/>
      <c r="J626" s="631"/>
      <c r="K626" s="692" t="str">
        <v>Trujillo</v>
      </c>
      <c r="L626" s="692">
        <v>0</v>
      </c>
      <c r="M626" s="692">
        <v>0</v>
      </c>
      <c r="N626"/>
      <c r="O626"/>
      <c r="P626"/>
      <c r="Q626"/>
      <c r="R626"/>
    </row>
    <row r="627" spans="5:18" hidden="1" outlineLevel="1" x14ac:dyDescent="0.2">
      <c r="E627" s="670" t="str">
        <v>Pucallpa</v>
      </c>
      <c r="G627" s="674" t="str">
        <f t="shared" si="41"/>
        <v>Trujillo</v>
      </c>
      <c r="I627" s="631"/>
      <c r="J627" s="631"/>
      <c r="K627" s="692" t="str">
        <v>Trujillo</v>
      </c>
      <c r="L627" s="692">
        <v>0</v>
      </c>
      <c r="M627" s="692">
        <v>0</v>
      </c>
      <c r="N627"/>
      <c r="O627"/>
      <c r="P627"/>
      <c r="Q627"/>
      <c r="R627"/>
    </row>
    <row r="628" spans="5:18" hidden="1" outlineLevel="1" x14ac:dyDescent="0.2">
      <c r="E628" s="670" t="str">
        <v>Puerto Maldonado</v>
      </c>
      <c r="G628" s="674" t="str">
        <f t="shared" si="41"/>
        <v>Arequipa</v>
      </c>
      <c r="I628" s="631"/>
      <c r="J628" s="631"/>
      <c r="K628" s="692" t="str">
        <v>Arequipa</v>
      </c>
      <c r="L628" s="692">
        <v>0</v>
      </c>
      <c r="M628" s="692">
        <v>0</v>
      </c>
      <c r="N628"/>
      <c r="O628"/>
      <c r="P628"/>
      <c r="Q628"/>
      <c r="R628"/>
    </row>
    <row r="629" spans="5:18" hidden="1" outlineLevel="1" x14ac:dyDescent="0.2">
      <c r="E629" s="670" t="str">
        <v>Puno</v>
      </c>
      <c r="G629" s="674" t="str">
        <f t="shared" si="41"/>
        <v>Arequipa</v>
      </c>
      <c r="I629" s="631"/>
      <c r="J629" s="631"/>
      <c r="K629" s="692" t="str">
        <v>Arequipa</v>
      </c>
      <c r="L629" s="692">
        <v>0</v>
      </c>
      <c r="M629" s="692">
        <v>0</v>
      </c>
      <c r="N629"/>
      <c r="O629"/>
      <c r="P629"/>
      <c r="Q629"/>
      <c r="R629"/>
    </row>
    <row r="630" spans="5:18" hidden="1" outlineLevel="1" x14ac:dyDescent="0.2">
      <c r="E630" s="670" t="str">
        <v>Tacna</v>
      </c>
      <c r="G630" s="674" t="str">
        <f t="shared" si="41"/>
        <v>Arequipa</v>
      </c>
      <c r="I630" s="631"/>
      <c r="J630" s="631"/>
      <c r="K630" s="692" t="str">
        <v>Arequipa</v>
      </c>
      <c r="L630" s="692">
        <v>0</v>
      </c>
      <c r="M630" s="692">
        <v>0</v>
      </c>
      <c r="N630"/>
      <c r="O630"/>
      <c r="P630"/>
      <c r="Q630"/>
      <c r="R630"/>
    </row>
    <row r="631" spans="5:18" hidden="1" outlineLevel="1" x14ac:dyDescent="0.2">
      <c r="E631" s="670" t="str">
        <v>Tarapoto</v>
      </c>
      <c r="G631" s="674" t="str">
        <f t="shared" si="41"/>
        <v>Trujillo</v>
      </c>
      <c r="I631" s="631"/>
      <c r="J631" s="631"/>
      <c r="K631" s="692" t="str">
        <v>Trujillo</v>
      </c>
      <c r="L631" s="692">
        <v>0</v>
      </c>
      <c r="M631" s="692">
        <v>0</v>
      </c>
      <c r="N631"/>
      <c r="O631"/>
      <c r="P631"/>
      <c r="Q631"/>
      <c r="R631"/>
    </row>
    <row r="632" spans="5:18" hidden="1" outlineLevel="1" x14ac:dyDescent="0.2">
      <c r="E632" s="670" t="str">
        <v>Tingo Maria</v>
      </c>
      <c r="G632" s="674" t="str">
        <f t="shared" si="41"/>
        <v>Trujillo</v>
      </c>
      <c r="I632" s="631"/>
      <c r="J632" s="631"/>
      <c r="K632" s="692" t="str">
        <v>Trujillo</v>
      </c>
      <c r="L632" s="692">
        <v>0</v>
      </c>
      <c r="M632" s="692">
        <v>0</v>
      </c>
      <c r="N632"/>
      <c r="O632"/>
      <c r="P632"/>
      <c r="Q632"/>
      <c r="R632"/>
    </row>
    <row r="633" spans="5:18" hidden="1" outlineLevel="1" x14ac:dyDescent="0.2">
      <c r="E633" s="670" t="str">
        <v>Trujillo</v>
      </c>
      <c r="G633" s="674" t="str">
        <f t="shared" si="41"/>
        <v>Trujillo</v>
      </c>
      <c r="I633" s="631"/>
      <c r="J633" s="631"/>
      <c r="K633" s="692" t="str">
        <v>Trujillo</v>
      </c>
      <c r="L633" s="692">
        <v>0</v>
      </c>
      <c r="M633" s="692">
        <v>0</v>
      </c>
      <c r="N633"/>
      <c r="O633"/>
      <c r="P633"/>
      <c r="Q633"/>
      <c r="R633"/>
    </row>
    <row r="634" spans="5:18" hidden="1" outlineLevel="1" x14ac:dyDescent="0.2">
      <c r="E634" s="670" t="str">
        <v>Tumbes</v>
      </c>
      <c r="G634" s="674" t="str">
        <f t="shared" si="41"/>
        <v>Trujillo</v>
      </c>
      <c r="I634" s="631"/>
      <c r="J634" s="631"/>
      <c r="K634" s="692" t="str">
        <v>Trujillo</v>
      </c>
      <c r="L634" s="692">
        <v>0</v>
      </c>
      <c r="M634" s="692">
        <v>0</v>
      </c>
      <c r="N634"/>
      <c r="O634"/>
      <c r="P634"/>
      <c r="Q634"/>
      <c r="R634"/>
    </row>
    <row r="635" spans="5:18" hidden="1" outlineLevel="1" x14ac:dyDescent="0.2">
      <c r="E635" s="670" t="str">
        <v>spare</v>
      </c>
      <c r="G635" s="674">
        <f t="shared" si="41"/>
        <v>0</v>
      </c>
      <c r="I635" s="631"/>
      <c r="J635" s="631"/>
      <c r="K635" s="692">
        <v>0</v>
      </c>
      <c r="L635" s="692">
        <v>0</v>
      </c>
      <c r="M635" s="692">
        <v>0</v>
      </c>
      <c r="N635"/>
      <c r="O635"/>
      <c r="P635"/>
      <c r="Q635"/>
      <c r="R635"/>
    </row>
    <row r="636" spans="5:18" hidden="1" outlineLevel="1" x14ac:dyDescent="0.2">
      <c r="E636" s="670" t="str">
        <v>spare</v>
      </c>
      <c r="G636" s="674">
        <f t="shared" si="41"/>
        <v>0</v>
      </c>
      <c r="I636" s="631"/>
      <c r="J636" s="631"/>
      <c r="K636" s="692">
        <v>0</v>
      </c>
      <c r="L636" s="692">
        <v>0</v>
      </c>
      <c r="M636" s="692">
        <v>0</v>
      </c>
      <c r="N636"/>
      <c r="O636"/>
      <c r="P636"/>
      <c r="Q636"/>
      <c r="R636"/>
    </row>
    <row r="637" spans="5:18" hidden="1" outlineLevel="1" x14ac:dyDescent="0.2">
      <c r="E637" s="670" t="str">
        <v>spare</v>
      </c>
      <c r="G637" s="674">
        <f t="shared" si="41"/>
        <v>0</v>
      </c>
      <c r="I637" s="631"/>
      <c r="J637" s="631"/>
      <c r="K637" s="692">
        <v>0</v>
      </c>
      <c r="L637" s="692">
        <v>0</v>
      </c>
      <c r="M637" s="692">
        <v>0</v>
      </c>
      <c r="N637"/>
      <c r="O637"/>
      <c r="P637"/>
      <c r="Q637"/>
      <c r="R637"/>
    </row>
    <row r="638" spans="5:18" hidden="1" outlineLevel="1" x14ac:dyDescent="0.2">
      <c r="E638" s="670" t="str">
        <v>spare</v>
      </c>
      <c r="G638" s="674">
        <f t="shared" si="41"/>
        <v>0</v>
      </c>
      <c r="I638" s="631"/>
      <c r="J638" s="631"/>
      <c r="K638" s="692">
        <v>0</v>
      </c>
      <c r="L638" s="692">
        <v>0</v>
      </c>
      <c r="M638" s="692">
        <v>0</v>
      </c>
      <c r="N638"/>
      <c r="O638"/>
      <c r="P638"/>
      <c r="Q638"/>
      <c r="R638"/>
    </row>
    <row r="639" spans="5:18" hidden="1" outlineLevel="1" x14ac:dyDescent="0.2">
      <c r="E639" s="670" t="str">
        <v>spare</v>
      </c>
      <c r="G639" s="674">
        <f t="shared" si="41"/>
        <v>0</v>
      </c>
      <c r="I639" s="631"/>
      <c r="J639" s="631"/>
      <c r="K639" s="692">
        <v>0</v>
      </c>
      <c r="L639" s="692">
        <v>0</v>
      </c>
      <c r="M639" s="692">
        <v>0</v>
      </c>
      <c r="N639"/>
      <c r="O639"/>
      <c r="P639"/>
      <c r="Q639"/>
      <c r="R639"/>
    </row>
    <row r="640" spans="5:18" hidden="1" outlineLevel="1" x14ac:dyDescent="0.2">
      <c r="E640" s="670" t="str">
        <v>spare</v>
      </c>
      <c r="G640" s="674">
        <f t="shared" si="41"/>
        <v>0</v>
      </c>
      <c r="I640" s="631"/>
      <c r="J640" s="631"/>
      <c r="K640" s="692">
        <v>0</v>
      </c>
      <c r="L640" s="692">
        <v>0</v>
      </c>
      <c r="M640" s="692">
        <v>0</v>
      </c>
      <c r="N640"/>
      <c r="O640"/>
      <c r="P640"/>
      <c r="Q640"/>
      <c r="R640"/>
    </row>
    <row r="641" spans="3:18" hidden="1" outlineLevel="1" x14ac:dyDescent="0.2">
      <c r="E641" s="670" t="str">
        <v>spare</v>
      </c>
      <c r="G641" s="674">
        <f t="shared" si="41"/>
        <v>0</v>
      </c>
      <c r="I641" s="631"/>
      <c r="J641" s="631"/>
      <c r="K641" s="692">
        <v>0</v>
      </c>
      <c r="L641" s="692">
        <v>0</v>
      </c>
      <c r="M641" s="692">
        <v>0</v>
      </c>
      <c r="N641"/>
      <c r="O641"/>
      <c r="P641"/>
      <c r="Q641"/>
      <c r="R641"/>
    </row>
    <row r="642" spans="3:18" hidden="1" outlineLevel="1" x14ac:dyDescent="0.2">
      <c r="E642" s="670" t="str">
        <v>spare</v>
      </c>
      <c r="G642" s="674">
        <f t="shared" si="41"/>
        <v>0</v>
      </c>
      <c r="I642" s="631"/>
      <c r="J642" s="631"/>
      <c r="K642" s="692">
        <v>0</v>
      </c>
      <c r="L642" s="692">
        <v>0</v>
      </c>
      <c r="M642" s="692">
        <v>0</v>
      </c>
      <c r="N642"/>
      <c r="O642"/>
      <c r="P642"/>
      <c r="Q642"/>
      <c r="R642"/>
    </row>
    <row r="643" spans="3:18" hidden="1" outlineLevel="1" x14ac:dyDescent="0.2">
      <c r="E643" s="670" t="str">
        <v>spare</v>
      </c>
      <c r="G643" s="674">
        <f t="shared" si="41"/>
        <v>0</v>
      </c>
      <c r="I643" s="631"/>
      <c r="J643" s="631"/>
      <c r="K643" s="692">
        <v>0</v>
      </c>
      <c r="L643" s="692">
        <v>0</v>
      </c>
      <c r="M643" s="692">
        <v>0</v>
      </c>
      <c r="N643"/>
      <c r="O643"/>
      <c r="P643"/>
      <c r="Q643"/>
      <c r="R643"/>
    </row>
    <row r="644" spans="3:18" hidden="1" outlineLevel="1" x14ac:dyDescent="0.2">
      <c r="E644" s="670" t="str">
        <v>spare</v>
      </c>
      <c r="G644" s="674">
        <f t="shared" si="41"/>
        <v>0</v>
      </c>
      <c r="I644" s="631"/>
      <c r="J644" s="631"/>
      <c r="K644" s="692">
        <v>0</v>
      </c>
      <c r="L644" s="692">
        <v>0</v>
      </c>
      <c r="M644" s="692">
        <v>0</v>
      </c>
      <c r="N644"/>
      <c r="O644"/>
      <c r="P644"/>
      <c r="Q644"/>
      <c r="R644"/>
    </row>
    <row r="645" spans="3:18" hidden="1" outlineLevel="1" x14ac:dyDescent="0.2">
      <c r="E645" s="670" t="str">
        <v>spare</v>
      </c>
      <c r="G645" s="674">
        <f t="shared" si="41"/>
        <v>0</v>
      </c>
      <c r="I645" s="631"/>
      <c r="J645" s="631"/>
      <c r="K645" s="692">
        <v>0</v>
      </c>
      <c r="L645" s="692">
        <v>0</v>
      </c>
      <c r="M645" s="692">
        <v>0</v>
      </c>
      <c r="N645"/>
      <c r="O645"/>
      <c r="P645"/>
      <c r="Q645"/>
      <c r="R645"/>
    </row>
    <row r="646" spans="3:18" hidden="1" outlineLevel="1" x14ac:dyDescent="0.2">
      <c r="E646" s="670" t="str">
        <v>spare</v>
      </c>
      <c r="G646" s="674">
        <f t="shared" si="41"/>
        <v>0</v>
      </c>
      <c r="I646" s="631"/>
      <c r="J646" s="631"/>
      <c r="K646" s="692">
        <v>0</v>
      </c>
      <c r="L646" s="692">
        <v>0</v>
      </c>
      <c r="M646" s="692">
        <v>0</v>
      </c>
      <c r="N646"/>
      <c r="O646"/>
      <c r="P646"/>
      <c r="Q646"/>
      <c r="R646"/>
    </row>
    <row r="647" spans="3:18" hidden="1" outlineLevel="1" x14ac:dyDescent="0.2">
      <c r="E647" s="670" t="str">
        <v>spare</v>
      </c>
      <c r="G647" s="674">
        <f t="shared" si="41"/>
        <v>0</v>
      </c>
      <c r="I647" s="631"/>
      <c r="J647" s="631"/>
      <c r="K647" s="692">
        <v>0</v>
      </c>
      <c r="L647" s="692">
        <v>0</v>
      </c>
      <c r="M647" s="692">
        <v>0</v>
      </c>
      <c r="N647"/>
      <c r="O647"/>
      <c r="P647"/>
      <c r="Q647"/>
      <c r="R647"/>
    </row>
    <row r="648" spans="3:18" hidden="1" outlineLevel="1" x14ac:dyDescent="0.2">
      <c r="E648" s="670" t="str">
        <v>spare</v>
      </c>
      <c r="G648" s="674">
        <f t="shared" si="41"/>
        <v>0</v>
      </c>
      <c r="I648" s="631"/>
      <c r="J648" s="631"/>
      <c r="K648" s="692">
        <v>0</v>
      </c>
      <c r="L648" s="692">
        <v>0</v>
      </c>
      <c r="M648" s="692">
        <v>0</v>
      </c>
      <c r="N648"/>
      <c r="O648"/>
      <c r="P648"/>
      <c r="Q648"/>
      <c r="R648"/>
    </row>
    <row r="649" spans="3:18" collapsed="1" x14ac:dyDescent="0.2">
      <c r="E649" s="670" t="str">
        <v>spare</v>
      </c>
      <c r="G649" s="674">
        <f t="shared" si="41"/>
        <v>0</v>
      </c>
      <c r="I649" s="631"/>
      <c r="J649" s="631"/>
      <c r="K649" s="692">
        <v>0</v>
      </c>
      <c r="L649" s="692">
        <v>0</v>
      </c>
      <c r="M649" s="692">
        <v>0</v>
      </c>
      <c r="N649"/>
      <c r="O649"/>
      <c r="P649"/>
      <c r="Q649"/>
      <c r="R649"/>
    </row>
    <row r="650" spans="3:18" x14ac:dyDescent="0.2">
      <c r="E650" s="631"/>
      <c r="G650" s="634" t="s">
        <v>564</v>
      </c>
      <c r="I650" s="631"/>
      <c r="J650" s="631"/>
      <c r="K650" s="631"/>
      <c r="L650" s="631"/>
      <c r="M650" s="631"/>
      <c r="N650"/>
      <c r="O650"/>
      <c r="P650"/>
      <c r="Q650"/>
      <c r="R650"/>
    </row>
    <row r="651" spans="3:18" x14ac:dyDescent="0.2">
      <c r="G651" s="634"/>
      <c r="N651"/>
      <c r="O651"/>
      <c r="P651"/>
      <c r="Q651"/>
      <c r="R651"/>
    </row>
    <row r="652" spans="3:18" x14ac:dyDescent="0.2">
      <c r="C652" s="636" t="s">
        <v>616</v>
      </c>
      <c r="N652"/>
      <c r="O652"/>
      <c r="P652"/>
      <c r="Q652"/>
      <c r="R652"/>
    </row>
    <row r="653" spans="3:18" x14ac:dyDescent="0.2">
      <c r="E653" s="670" t="str">
        <f t="array" ref="E653:E655">LMA.technologies</f>
        <v>Líneas alquiladas</v>
      </c>
      <c r="G653" s="660">
        <f>INDEX(K653:M653,,MATCH(CTRL.scenario.selected,Scenario.list,0))</f>
        <v>9.4999999999999998E-3</v>
      </c>
      <c r="H653" s="634" t="s">
        <v>123</v>
      </c>
      <c r="K653" s="693">
        <f t="array" ref="K653:K655">INDEX($K1196:$M1198,,MATCH(K$20,K1195,0))</f>
        <v>9.4999999999999998E-3</v>
      </c>
      <c r="L653" s="693">
        <f t="array" ref="L653:L655">INDEX($K1196:$M1198,,MATCH(L$20,Operators.list,0))</f>
        <v>0</v>
      </c>
      <c r="M653" s="693">
        <f t="array" ref="M653:M655">INDEX($K1196:$M1198,,MATCH(M$20,Operators.list,0))</f>
        <v>0</v>
      </c>
      <c r="N653"/>
      <c r="O653"/>
      <c r="P653"/>
      <c r="Q653"/>
      <c r="R653"/>
    </row>
    <row r="654" spans="3:18" x14ac:dyDescent="0.2">
      <c r="E654" s="670" t="str">
        <v>Microondas</v>
      </c>
      <c r="G654" s="660">
        <f>INDEX(K654:M654,,MATCH(CTRL.scenario.selected,Scenario.list,0))</f>
        <v>0.60299999999999998</v>
      </c>
      <c r="K654" s="693">
        <v>0.60299999999999998</v>
      </c>
      <c r="L654" s="693">
        <v>0</v>
      </c>
      <c r="M654" s="693">
        <v>0</v>
      </c>
      <c r="N654"/>
      <c r="O654"/>
      <c r="P654"/>
      <c r="Q654"/>
      <c r="R654"/>
    </row>
    <row r="655" spans="3:18" x14ac:dyDescent="0.2">
      <c r="E655" s="670" t="str">
        <v>Fibra</v>
      </c>
      <c r="G655" s="660">
        <f>INDEX(K655:M655,,MATCH(CTRL.scenario.selected,Scenario.list,0))</f>
        <v>0.38750000000000007</v>
      </c>
      <c r="K655" s="693">
        <v>0.38750000000000007</v>
      </c>
      <c r="L655" s="693">
        <v>1</v>
      </c>
      <c r="M655" s="693">
        <v>1</v>
      </c>
      <c r="N655"/>
      <c r="O655"/>
      <c r="P655"/>
      <c r="Q655"/>
      <c r="R655"/>
    </row>
    <row r="656" spans="3:18" x14ac:dyDescent="0.2">
      <c r="G656" s="634" t="s">
        <v>77</v>
      </c>
      <c r="N656"/>
      <c r="O656"/>
      <c r="P656"/>
      <c r="Q656"/>
      <c r="R656"/>
    </row>
    <row r="657" spans="3:18" x14ac:dyDescent="0.2">
      <c r="C657" s="657" t="s">
        <v>597</v>
      </c>
      <c r="K657" s="694"/>
      <c r="L657" s="694"/>
      <c r="M657" s="694"/>
      <c r="N657"/>
      <c r="O657"/>
      <c r="P657"/>
      <c r="Q657"/>
      <c r="R657"/>
    </row>
    <row r="658" spans="3:18" x14ac:dyDescent="0.2">
      <c r="C658" s="631"/>
      <c r="D658" s="631"/>
      <c r="E658" s="670" t="str">
        <f t="array" ref="E658:E667">Geotypes</f>
        <v>Muy denso</v>
      </c>
      <c r="G658" s="695">
        <f t="shared" ref="G658:G667" si="42">INDEX(K658:M658,,MATCH(CTRL.scenario.selected,Scenario.list,0))</f>
        <v>0.8</v>
      </c>
      <c r="K658" s="680">
        <f t="array" ref="K658:K667">INDEX($K1201:$M1210,,MATCH(K$20,$K$1200:$M$1200,0))</f>
        <v>0.8</v>
      </c>
      <c r="L658" s="680">
        <f t="array" ref="L658:L667">INDEX($K1201:$M1210,,MATCH(L$20,$K$1200:$M$1200,0))</f>
        <v>0</v>
      </c>
      <c r="M658" s="680">
        <f t="array" ref="M658:M667">INDEX($K1201:$M1210,,MATCH(M$20,$K$1200:$M$1200,0))</f>
        <v>0</v>
      </c>
      <c r="N658"/>
      <c r="O658"/>
      <c r="P658"/>
      <c r="Q658"/>
      <c r="R658"/>
    </row>
    <row r="659" spans="3:18" hidden="1" outlineLevel="1" x14ac:dyDescent="0.2">
      <c r="C659" s="631"/>
      <c r="D659" s="631"/>
      <c r="E659" s="670" t="str">
        <v>Denso</v>
      </c>
      <c r="G659" s="695">
        <f t="shared" si="42"/>
        <v>0.8</v>
      </c>
      <c r="K659" s="680">
        <v>0.8</v>
      </c>
      <c r="L659" s="680">
        <v>0</v>
      </c>
      <c r="M659" s="680">
        <v>0</v>
      </c>
      <c r="N659"/>
      <c r="O659"/>
      <c r="P659"/>
      <c r="Q659"/>
      <c r="R659"/>
    </row>
    <row r="660" spans="3:18" hidden="1" outlineLevel="1" x14ac:dyDescent="0.2">
      <c r="C660" s="631"/>
      <c r="D660" s="631"/>
      <c r="E660" s="670" t="str">
        <v>Poco denso</v>
      </c>
      <c r="G660" s="695">
        <f t="shared" si="42"/>
        <v>0.8</v>
      </c>
      <c r="K660" s="680">
        <v>0.8</v>
      </c>
      <c r="L660" s="680">
        <v>0</v>
      </c>
      <c r="M660" s="680">
        <v>0</v>
      </c>
      <c r="N660"/>
      <c r="O660"/>
      <c r="P660"/>
      <c r="Q660"/>
      <c r="R660"/>
    </row>
    <row r="661" spans="3:18" hidden="1" outlineLevel="1" x14ac:dyDescent="0.2">
      <c r="C661" s="631"/>
      <c r="D661" s="631"/>
      <c r="E661" s="670" t="str">
        <v>Otro</v>
      </c>
      <c r="G661" s="695">
        <f t="shared" si="42"/>
        <v>0.8</v>
      </c>
      <c r="K661" s="680">
        <v>0.8</v>
      </c>
      <c r="L661" s="680">
        <v>0</v>
      </c>
      <c r="M661" s="680">
        <v>0</v>
      </c>
      <c r="N661"/>
      <c r="O661"/>
      <c r="P661"/>
      <c r="Q661"/>
      <c r="R661"/>
    </row>
    <row r="662" spans="3:18" hidden="1" outlineLevel="1" x14ac:dyDescent="0.2">
      <c r="C662" s="631"/>
      <c r="D662" s="631"/>
      <c r="E662" s="670" t="str">
        <v>Microceldas</v>
      </c>
      <c r="G662" s="695">
        <f t="shared" si="42"/>
        <v>0</v>
      </c>
      <c r="K662" s="680">
        <v>0</v>
      </c>
      <c r="L662" s="680">
        <v>0</v>
      </c>
      <c r="M662" s="680">
        <v>0</v>
      </c>
      <c r="N662"/>
      <c r="O662"/>
      <c r="P662"/>
      <c r="Q662"/>
      <c r="R662"/>
    </row>
    <row r="663" spans="3:18" hidden="1" outlineLevel="1" x14ac:dyDescent="0.2">
      <c r="C663" s="631"/>
      <c r="D663" s="631"/>
      <c r="E663" s="670" t="str">
        <v>spare</v>
      </c>
      <c r="G663" s="695">
        <f t="shared" si="42"/>
        <v>0</v>
      </c>
      <c r="K663" s="680">
        <v>0</v>
      </c>
      <c r="L663" s="680">
        <v>0</v>
      </c>
      <c r="M663" s="680">
        <v>0</v>
      </c>
      <c r="N663"/>
      <c r="O663"/>
      <c r="P663"/>
      <c r="Q663"/>
      <c r="R663"/>
    </row>
    <row r="664" spans="3:18" hidden="1" outlineLevel="1" x14ac:dyDescent="0.2">
      <c r="C664" s="631"/>
      <c r="D664" s="631"/>
      <c r="E664" s="670" t="str">
        <v>spare</v>
      </c>
      <c r="G664" s="695">
        <f t="shared" si="42"/>
        <v>0</v>
      </c>
      <c r="K664" s="680">
        <v>0</v>
      </c>
      <c r="L664" s="680">
        <v>0</v>
      </c>
      <c r="M664" s="680">
        <v>0</v>
      </c>
      <c r="N664"/>
      <c r="O664"/>
      <c r="P664"/>
      <c r="Q664"/>
      <c r="R664"/>
    </row>
    <row r="665" spans="3:18" hidden="1" outlineLevel="1" x14ac:dyDescent="0.2">
      <c r="C665" s="631"/>
      <c r="D665" s="631"/>
      <c r="E665" s="670" t="str">
        <v>spare</v>
      </c>
      <c r="G665" s="695">
        <f t="shared" si="42"/>
        <v>0</v>
      </c>
      <c r="K665" s="680">
        <v>0</v>
      </c>
      <c r="L665" s="680">
        <v>0</v>
      </c>
      <c r="M665" s="680">
        <v>0</v>
      </c>
      <c r="N665"/>
      <c r="O665"/>
      <c r="P665"/>
      <c r="Q665"/>
      <c r="R665"/>
    </row>
    <row r="666" spans="3:18" hidden="1" outlineLevel="1" x14ac:dyDescent="0.2">
      <c r="C666" s="631"/>
      <c r="D666" s="631"/>
      <c r="E666" s="670" t="str">
        <v>spare</v>
      </c>
      <c r="G666" s="695">
        <f t="shared" si="42"/>
        <v>0</v>
      </c>
      <c r="K666" s="680">
        <v>0</v>
      </c>
      <c r="L666" s="680">
        <v>0</v>
      </c>
      <c r="M666" s="680">
        <v>0</v>
      </c>
      <c r="N666"/>
      <c r="O666"/>
      <c r="P666"/>
      <c r="Q666"/>
      <c r="R666"/>
    </row>
    <row r="667" spans="3:18" collapsed="1" x14ac:dyDescent="0.2">
      <c r="C667" s="631"/>
      <c r="D667" s="631"/>
      <c r="E667" s="670" t="str">
        <v>spare</v>
      </c>
      <c r="G667" s="695">
        <f t="shared" si="42"/>
        <v>0</v>
      </c>
      <c r="K667" s="680">
        <v>0</v>
      </c>
      <c r="L667" s="680">
        <v>0</v>
      </c>
      <c r="M667" s="680">
        <v>0</v>
      </c>
      <c r="N667"/>
      <c r="O667"/>
      <c r="P667"/>
      <c r="Q667"/>
      <c r="R667"/>
    </row>
    <row r="668" spans="3:18" x14ac:dyDescent="0.2">
      <c r="G668" s="634" t="s">
        <v>87</v>
      </c>
      <c r="N668"/>
      <c r="O668"/>
      <c r="P668"/>
      <c r="Q668"/>
      <c r="R668"/>
    </row>
    <row r="669" spans="3:18" x14ac:dyDescent="0.2">
      <c r="C669" s="657" t="s">
        <v>598</v>
      </c>
      <c r="K669" s="694"/>
      <c r="L669" s="694"/>
      <c r="M669" s="694"/>
      <c r="N669"/>
      <c r="O669"/>
      <c r="P669"/>
      <c r="Q669"/>
      <c r="R669"/>
    </row>
    <row r="670" spans="3:18" x14ac:dyDescent="0.2">
      <c r="C670" s="631"/>
      <c r="D670" s="631"/>
      <c r="E670" s="670" t="str">
        <f t="array" ref="E670:E679">Geotypes</f>
        <v>Muy denso</v>
      </c>
      <c r="G670" s="696">
        <f t="shared" ref="G670:G679" si="43">INDEX(K670:M670,,MATCH(CTRL.scenario.selected,Scenario.list,0))</f>
        <v>5</v>
      </c>
      <c r="K670" s="690">
        <f t="array" ref="K670:K679">INDEX($K1213:$M1222,,MATCH(K$20,$K$1212:$M$1212,0))</f>
        <v>5</v>
      </c>
      <c r="L670" s="690">
        <f t="array" ref="L670:L679">INDEX($K1213:$M1222,,MATCH(L$20,$K$1200:$M$1200,0))</f>
        <v>0</v>
      </c>
      <c r="M670" s="690">
        <f t="array" ref="M670:M679">INDEX($K1213:$M1222,,MATCH(M$20,$K$1200:$M$1200,0))</f>
        <v>0</v>
      </c>
      <c r="N670"/>
      <c r="O670"/>
      <c r="P670"/>
      <c r="Q670"/>
      <c r="R670"/>
    </row>
    <row r="671" spans="3:18" hidden="1" outlineLevel="1" x14ac:dyDescent="0.2">
      <c r="C671" s="631"/>
      <c r="D671" s="631"/>
      <c r="E671" s="670" t="str">
        <v>Denso</v>
      </c>
      <c r="G671" s="696">
        <f t="shared" si="43"/>
        <v>5</v>
      </c>
      <c r="K671" s="690">
        <v>5</v>
      </c>
      <c r="L671" s="690">
        <v>0</v>
      </c>
      <c r="M671" s="690">
        <v>0</v>
      </c>
      <c r="N671"/>
      <c r="O671"/>
      <c r="P671"/>
      <c r="Q671"/>
      <c r="R671"/>
    </row>
    <row r="672" spans="3:18" hidden="1" outlineLevel="1" x14ac:dyDescent="0.2">
      <c r="C672" s="631"/>
      <c r="D672" s="631"/>
      <c r="E672" s="670" t="str">
        <v>Poco denso</v>
      </c>
      <c r="G672" s="696">
        <f t="shared" si="43"/>
        <v>5</v>
      </c>
      <c r="K672" s="690">
        <v>5</v>
      </c>
      <c r="L672" s="690">
        <v>0</v>
      </c>
      <c r="M672" s="690">
        <v>0</v>
      </c>
      <c r="N672"/>
      <c r="O672"/>
      <c r="P672"/>
      <c r="Q672"/>
      <c r="R672"/>
    </row>
    <row r="673" spans="3:18" hidden="1" outlineLevel="1" x14ac:dyDescent="0.2">
      <c r="C673" s="631"/>
      <c r="D673" s="631"/>
      <c r="E673" s="670" t="str">
        <v>Otro</v>
      </c>
      <c r="G673" s="696">
        <f t="shared" si="43"/>
        <v>5</v>
      </c>
      <c r="K673" s="690">
        <v>5</v>
      </c>
      <c r="L673" s="690">
        <v>0</v>
      </c>
      <c r="M673" s="690">
        <v>0</v>
      </c>
      <c r="N673"/>
      <c r="O673"/>
      <c r="P673"/>
      <c r="Q673"/>
      <c r="R673"/>
    </row>
    <row r="674" spans="3:18" hidden="1" outlineLevel="1" x14ac:dyDescent="0.2">
      <c r="C674" s="631"/>
      <c r="D674" s="631"/>
      <c r="E674" s="670" t="str">
        <v>Microceldas</v>
      </c>
      <c r="G674" s="696">
        <f t="shared" si="43"/>
        <v>0</v>
      </c>
      <c r="K674" s="690">
        <v>0</v>
      </c>
      <c r="L674" s="690">
        <v>0</v>
      </c>
      <c r="M674" s="690">
        <v>0</v>
      </c>
      <c r="N674"/>
      <c r="O674"/>
      <c r="P674"/>
      <c r="Q674"/>
      <c r="R674"/>
    </row>
    <row r="675" spans="3:18" hidden="1" outlineLevel="1" x14ac:dyDescent="0.2">
      <c r="C675" s="631"/>
      <c r="D675" s="631"/>
      <c r="E675" s="670" t="str">
        <v>spare</v>
      </c>
      <c r="G675" s="696">
        <f t="shared" si="43"/>
        <v>0</v>
      </c>
      <c r="K675" s="690">
        <v>0</v>
      </c>
      <c r="L675" s="690">
        <v>0</v>
      </c>
      <c r="M675" s="690">
        <v>0</v>
      </c>
      <c r="N675"/>
      <c r="O675"/>
      <c r="P675"/>
      <c r="Q675"/>
      <c r="R675"/>
    </row>
    <row r="676" spans="3:18" hidden="1" outlineLevel="1" x14ac:dyDescent="0.2">
      <c r="C676" s="631"/>
      <c r="D676" s="631"/>
      <c r="E676" s="670" t="str">
        <v>spare</v>
      </c>
      <c r="G676" s="696">
        <f t="shared" si="43"/>
        <v>0</v>
      </c>
      <c r="K676" s="690">
        <v>0</v>
      </c>
      <c r="L676" s="690">
        <v>0</v>
      </c>
      <c r="M676" s="690">
        <v>0</v>
      </c>
      <c r="N676"/>
      <c r="O676"/>
      <c r="P676"/>
      <c r="Q676"/>
      <c r="R676"/>
    </row>
    <row r="677" spans="3:18" hidden="1" outlineLevel="1" x14ac:dyDescent="0.2">
      <c r="C677" s="631"/>
      <c r="D677" s="631"/>
      <c r="E677" s="670" t="str">
        <v>spare</v>
      </c>
      <c r="G677" s="696">
        <f t="shared" si="43"/>
        <v>0</v>
      </c>
      <c r="K677" s="690">
        <v>0</v>
      </c>
      <c r="L677" s="690">
        <v>0</v>
      </c>
      <c r="M677" s="690">
        <v>0</v>
      </c>
      <c r="N677"/>
      <c r="O677"/>
      <c r="P677"/>
      <c r="Q677"/>
      <c r="R677"/>
    </row>
    <row r="678" spans="3:18" hidden="1" outlineLevel="1" x14ac:dyDescent="0.2">
      <c r="C678" s="631"/>
      <c r="D678" s="631"/>
      <c r="E678" s="670" t="str">
        <v>spare</v>
      </c>
      <c r="G678" s="696">
        <f t="shared" si="43"/>
        <v>0</v>
      </c>
      <c r="K678" s="690">
        <v>0</v>
      </c>
      <c r="L678" s="690">
        <v>0</v>
      </c>
      <c r="M678" s="690">
        <v>0</v>
      </c>
      <c r="N678"/>
      <c r="O678"/>
      <c r="P678"/>
      <c r="Q678"/>
      <c r="R678"/>
    </row>
    <row r="679" spans="3:18" collapsed="1" x14ac:dyDescent="0.2">
      <c r="C679" s="631"/>
      <c r="D679" s="631"/>
      <c r="E679" s="670" t="str">
        <v>spare</v>
      </c>
      <c r="G679" s="696">
        <f t="shared" si="43"/>
        <v>0</v>
      </c>
      <c r="K679" s="690">
        <v>0</v>
      </c>
      <c r="L679" s="690">
        <v>0</v>
      </c>
      <c r="M679" s="690">
        <v>0</v>
      </c>
      <c r="N679"/>
      <c r="O679"/>
      <c r="P679"/>
      <c r="Q679"/>
      <c r="R679"/>
    </row>
    <row r="680" spans="3:18" x14ac:dyDescent="0.2">
      <c r="G680" s="697" t="s">
        <v>122</v>
      </c>
      <c r="N680"/>
      <c r="O680"/>
      <c r="P680"/>
      <c r="Q680"/>
      <c r="R680"/>
    </row>
    <row r="681" spans="3:18" x14ac:dyDescent="0.2">
      <c r="C681" s="657" t="s">
        <v>599</v>
      </c>
      <c r="K681" s="694"/>
      <c r="L681" s="694"/>
      <c r="M681" s="694"/>
      <c r="N681"/>
      <c r="O681"/>
      <c r="P681"/>
      <c r="Q681"/>
      <c r="R681"/>
    </row>
    <row r="682" spans="3:18" x14ac:dyDescent="0.2">
      <c r="C682" s="631"/>
      <c r="D682" s="631"/>
      <c r="E682" s="670" t="str">
        <f t="array" ref="E682:E691">Geotypes</f>
        <v>Muy denso</v>
      </c>
      <c r="G682" s="695">
        <f t="shared" ref="G682:G691" si="44">INDEX(K682:M682,,MATCH(CTRL.scenario.selected,Scenario.list,0))</f>
        <v>0.1</v>
      </c>
      <c r="K682" s="680">
        <f t="array" ref="K682:K691">INDEX($K1225:$M1234,,MATCH(K$20,$K$1224:$M$1224,0))</f>
        <v>0.1</v>
      </c>
      <c r="L682" s="680">
        <f t="array" ref="L682:L691">INDEX($K1225:$M1234,,MATCH(L$20,$K$1200:$M$1200,0))</f>
        <v>0</v>
      </c>
      <c r="M682" s="680">
        <f t="array" ref="M682:M691">INDEX($K1225:$M1234,,MATCH(M$20,$K$1200:$M$1200,0))</f>
        <v>0</v>
      </c>
      <c r="N682"/>
      <c r="O682"/>
      <c r="P682"/>
      <c r="Q682"/>
      <c r="R682"/>
    </row>
    <row r="683" spans="3:18" hidden="1" outlineLevel="1" x14ac:dyDescent="0.2">
      <c r="C683" s="631"/>
      <c r="D683" s="631"/>
      <c r="E683" s="670" t="str">
        <v>Denso</v>
      </c>
      <c r="G683" s="695">
        <f t="shared" si="44"/>
        <v>0.1</v>
      </c>
      <c r="K683" s="680">
        <v>0.1</v>
      </c>
      <c r="L683" s="680">
        <v>0</v>
      </c>
      <c r="M683" s="680">
        <v>0</v>
      </c>
      <c r="N683"/>
      <c r="O683"/>
      <c r="P683"/>
      <c r="Q683"/>
      <c r="R683"/>
    </row>
    <row r="684" spans="3:18" hidden="1" outlineLevel="1" x14ac:dyDescent="0.2">
      <c r="C684" s="631"/>
      <c r="D684" s="631"/>
      <c r="E684" s="670" t="str">
        <v>Poco denso</v>
      </c>
      <c r="G684" s="695">
        <f t="shared" si="44"/>
        <v>0.1</v>
      </c>
      <c r="K684" s="680">
        <v>0.1</v>
      </c>
      <c r="L684" s="680">
        <v>0</v>
      </c>
      <c r="M684" s="680">
        <v>0</v>
      </c>
      <c r="N684"/>
      <c r="O684"/>
      <c r="P684"/>
      <c r="Q684"/>
      <c r="R684"/>
    </row>
    <row r="685" spans="3:18" hidden="1" outlineLevel="1" x14ac:dyDescent="0.2">
      <c r="C685" s="631"/>
      <c r="D685" s="631"/>
      <c r="E685" s="670" t="str">
        <v>Otro</v>
      </c>
      <c r="G685" s="695">
        <f t="shared" si="44"/>
        <v>0.1</v>
      </c>
      <c r="K685" s="680">
        <v>0.1</v>
      </c>
      <c r="L685" s="680">
        <v>0</v>
      </c>
      <c r="M685" s="680">
        <v>0</v>
      </c>
      <c r="N685"/>
      <c r="O685"/>
      <c r="P685"/>
      <c r="Q685"/>
      <c r="R685"/>
    </row>
    <row r="686" spans="3:18" hidden="1" outlineLevel="1" x14ac:dyDescent="0.2">
      <c r="C686" s="631"/>
      <c r="D686" s="631"/>
      <c r="E686" s="670" t="str">
        <v>Microceldas</v>
      </c>
      <c r="G686" s="695">
        <f t="shared" si="44"/>
        <v>0</v>
      </c>
      <c r="K686" s="680">
        <v>0</v>
      </c>
      <c r="L686" s="680">
        <v>0</v>
      </c>
      <c r="M686" s="680">
        <v>0</v>
      </c>
      <c r="N686"/>
      <c r="O686"/>
      <c r="P686"/>
      <c r="Q686"/>
      <c r="R686"/>
    </row>
    <row r="687" spans="3:18" hidden="1" outlineLevel="1" x14ac:dyDescent="0.2">
      <c r="C687" s="631"/>
      <c r="D687" s="631"/>
      <c r="E687" s="670" t="str">
        <v>spare</v>
      </c>
      <c r="G687" s="695">
        <f t="shared" si="44"/>
        <v>0</v>
      </c>
      <c r="K687" s="680">
        <v>0</v>
      </c>
      <c r="L687" s="680">
        <v>0</v>
      </c>
      <c r="M687" s="680">
        <v>0</v>
      </c>
      <c r="N687"/>
      <c r="O687"/>
      <c r="P687"/>
      <c r="Q687"/>
      <c r="R687"/>
    </row>
    <row r="688" spans="3:18" hidden="1" outlineLevel="1" x14ac:dyDescent="0.2">
      <c r="C688" s="631"/>
      <c r="D688" s="631"/>
      <c r="E688" s="670" t="str">
        <v>spare</v>
      </c>
      <c r="G688" s="695">
        <f t="shared" si="44"/>
        <v>0</v>
      </c>
      <c r="K688" s="680">
        <v>0</v>
      </c>
      <c r="L688" s="680">
        <v>0</v>
      </c>
      <c r="M688" s="680">
        <v>0</v>
      </c>
      <c r="N688"/>
      <c r="O688"/>
      <c r="P688"/>
      <c r="Q688"/>
      <c r="R688"/>
    </row>
    <row r="689" spans="3:18" hidden="1" outlineLevel="1" x14ac:dyDescent="0.2">
      <c r="C689" s="631"/>
      <c r="D689" s="631"/>
      <c r="E689" s="670" t="str">
        <v>spare</v>
      </c>
      <c r="G689" s="695">
        <f t="shared" si="44"/>
        <v>0</v>
      </c>
      <c r="K689" s="680">
        <v>0</v>
      </c>
      <c r="L689" s="680">
        <v>0</v>
      </c>
      <c r="M689" s="680">
        <v>0</v>
      </c>
      <c r="N689"/>
      <c r="O689"/>
      <c r="P689"/>
      <c r="Q689"/>
      <c r="R689"/>
    </row>
    <row r="690" spans="3:18" hidden="1" outlineLevel="1" x14ac:dyDescent="0.2">
      <c r="C690" s="631"/>
      <c r="D690" s="631"/>
      <c r="E690" s="670" t="str">
        <v>spare</v>
      </c>
      <c r="G690" s="695">
        <f t="shared" si="44"/>
        <v>0</v>
      </c>
      <c r="K690" s="680">
        <v>0</v>
      </c>
      <c r="L690" s="680">
        <v>0</v>
      </c>
      <c r="M690" s="680">
        <v>0</v>
      </c>
      <c r="N690"/>
      <c r="O690"/>
      <c r="P690"/>
      <c r="Q690"/>
      <c r="R690"/>
    </row>
    <row r="691" spans="3:18" collapsed="1" x14ac:dyDescent="0.2">
      <c r="C691" s="631"/>
      <c r="D691" s="631"/>
      <c r="E691" s="670" t="str">
        <v>spare</v>
      </c>
      <c r="G691" s="695">
        <f t="shared" si="44"/>
        <v>0</v>
      </c>
      <c r="K691" s="680">
        <v>0</v>
      </c>
      <c r="L691" s="680">
        <v>0</v>
      </c>
      <c r="M691" s="680">
        <v>0</v>
      </c>
      <c r="N691"/>
      <c r="O691"/>
      <c r="P691"/>
      <c r="Q691"/>
      <c r="R691"/>
    </row>
    <row r="692" spans="3:18" x14ac:dyDescent="0.2">
      <c r="G692" s="634" t="s">
        <v>121</v>
      </c>
      <c r="N692"/>
      <c r="O692"/>
      <c r="P692"/>
      <c r="Q692"/>
      <c r="R692"/>
    </row>
    <row r="693" spans="3:18" x14ac:dyDescent="0.2">
      <c r="C693" s="657" t="s">
        <v>600</v>
      </c>
      <c r="K693" s="694"/>
      <c r="L693" s="694"/>
      <c r="M693" s="694"/>
      <c r="N693"/>
      <c r="O693"/>
      <c r="P693"/>
      <c r="Q693"/>
      <c r="R693"/>
    </row>
    <row r="694" spans="3:18" x14ac:dyDescent="0.2">
      <c r="C694" s="631"/>
      <c r="D694" s="631"/>
      <c r="E694" s="670" t="str">
        <f t="array" ref="E694:E703">Geotypes</f>
        <v>Muy denso</v>
      </c>
      <c r="G694" s="696">
        <f t="shared" ref="G694:G703" si="45">INDEX(K694:M694,,MATCH(CTRL.scenario.selected,Scenario.list,0))</f>
        <v>1</v>
      </c>
      <c r="K694" s="690">
        <f t="array" ref="K694:K703">INDEX($K1237:$M1246,,MATCH(K$20,$K$1236:$M$1236,0))</f>
        <v>1</v>
      </c>
      <c r="L694" s="690">
        <f t="array" ref="L694:L703">INDEX($K1237:$M1246,,MATCH(L$20,$K$1200:$M$1200,0))</f>
        <v>0</v>
      </c>
      <c r="M694" s="690">
        <f t="array" ref="M694:M703">INDEX($K1237:$M1246,,MATCH(M$20,$K$1200:$M$1200,0))</f>
        <v>0</v>
      </c>
      <c r="N694"/>
      <c r="O694"/>
      <c r="P694"/>
      <c r="Q694"/>
      <c r="R694"/>
    </row>
    <row r="695" spans="3:18" hidden="1" outlineLevel="1" x14ac:dyDescent="0.2">
      <c r="C695" s="631"/>
      <c r="D695" s="631"/>
      <c r="E695" s="670" t="str">
        <v>Denso</v>
      </c>
      <c r="G695" s="696">
        <f t="shared" si="45"/>
        <v>1</v>
      </c>
      <c r="K695" s="690">
        <v>1</v>
      </c>
      <c r="L695" s="690">
        <v>0</v>
      </c>
      <c r="M695" s="690">
        <v>0</v>
      </c>
      <c r="N695"/>
      <c r="O695"/>
      <c r="P695"/>
      <c r="Q695"/>
      <c r="R695"/>
    </row>
    <row r="696" spans="3:18" hidden="1" outlineLevel="1" x14ac:dyDescent="0.2">
      <c r="C696" s="631"/>
      <c r="D696" s="631"/>
      <c r="E696" s="670" t="str">
        <v>Poco denso</v>
      </c>
      <c r="G696" s="696">
        <f t="shared" si="45"/>
        <v>1</v>
      </c>
      <c r="K696" s="690">
        <v>1</v>
      </c>
      <c r="L696" s="690">
        <v>0</v>
      </c>
      <c r="M696" s="690">
        <v>0</v>
      </c>
      <c r="N696"/>
      <c r="O696"/>
      <c r="P696"/>
      <c r="Q696"/>
      <c r="R696"/>
    </row>
    <row r="697" spans="3:18" hidden="1" outlineLevel="1" x14ac:dyDescent="0.2">
      <c r="C697" s="631"/>
      <c r="D697" s="631"/>
      <c r="E697" s="670" t="str">
        <v>Otro</v>
      </c>
      <c r="G697" s="696">
        <f t="shared" si="45"/>
        <v>1</v>
      </c>
      <c r="K697" s="690">
        <v>1</v>
      </c>
      <c r="L697" s="690">
        <v>0</v>
      </c>
      <c r="M697" s="690">
        <v>0</v>
      </c>
      <c r="N697"/>
      <c r="O697"/>
      <c r="P697"/>
      <c r="Q697"/>
      <c r="R697"/>
    </row>
    <row r="698" spans="3:18" hidden="1" outlineLevel="1" x14ac:dyDescent="0.2">
      <c r="C698" s="631"/>
      <c r="D698" s="631"/>
      <c r="E698" s="670" t="str">
        <v>Microceldas</v>
      </c>
      <c r="G698" s="696">
        <f t="shared" si="45"/>
        <v>0</v>
      </c>
      <c r="K698" s="690">
        <v>0</v>
      </c>
      <c r="L698" s="690">
        <v>0</v>
      </c>
      <c r="M698" s="690">
        <v>0</v>
      </c>
      <c r="N698"/>
      <c r="O698"/>
      <c r="P698"/>
      <c r="Q698"/>
      <c r="R698"/>
    </row>
    <row r="699" spans="3:18" hidden="1" outlineLevel="1" x14ac:dyDescent="0.2">
      <c r="C699" s="631"/>
      <c r="D699" s="631"/>
      <c r="E699" s="670" t="str">
        <v>spare</v>
      </c>
      <c r="G699" s="696">
        <f t="shared" si="45"/>
        <v>0</v>
      </c>
      <c r="K699" s="690">
        <v>0</v>
      </c>
      <c r="L699" s="690">
        <v>0</v>
      </c>
      <c r="M699" s="690">
        <v>0</v>
      </c>
      <c r="N699"/>
      <c r="O699"/>
      <c r="P699"/>
      <c r="Q699"/>
      <c r="R699"/>
    </row>
    <row r="700" spans="3:18" hidden="1" outlineLevel="1" x14ac:dyDescent="0.2">
      <c r="C700" s="631"/>
      <c r="D700" s="631"/>
      <c r="E700" s="670" t="str">
        <v>spare</v>
      </c>
      <c r="G700" s="696">
        <f t="shared" si="45"/>
        <v>0</v>
      </c>
      <c r="K700" s="690">
        <v>0</v>
      </c>
      <c r="L700" s="690">
        <v>0</v>
      </c>
      <c r="M700" s="690">
        <v>0</v>
      </c>
      <c r="N700"/>
      <c r="O700"/>
      <c r="P700"/>
      <c r="Q700"/>
      <c r="R700"/>
    </row>
    <row r="701" spans="3:18" hidden="1" outlineLevel="1" x14ac:dyDescent="0.2">
      <c r="C701" s="631"/>
      <c r="D701" s="631"/>
      <c r="E701" s="670" t="str">
        <v>spare</v>
      </c>
      <c r="G701" s="696">
        <f t="shared" si="45"/>
        <v>0</v>
      </c>
      <c r="K701" s="690">
        <v>0</v>
      </c>
      <c r="L701" s="690">
        <v>0</v>
      </c>
      <c r="M701" s="690">
        <v>0</v>
      </c>
      <c r="N701"/>
      <c r="O701"/>
      <c r="P701"/>
      <c r="Q701"/>
      <c r="R701"/>
    </row>
    <row r="702" spans="3:18" hidden="1" outlineLevel="1" x14ac:dyDescent="0.2">
      <c r="C702" s="631"/>
      <c r="D702" s="631"/>
      <c r="E702" s="670" t="str">
        <v>spare</v>
      </c>
      <c r="G702" s="696">
        <f t="shared" si="45"/>
        <v>0</v>
      </c>
      <c r="K702" s="690">
        <v>0</v>
      </c>
      <c r="L702" s="690">
        <v>0</v>
      </c>
      <c r="M702" s="690">
        <v>0</v>
      </c>
      <c r="N702"/>
      <c r="O702"/>
      <c r="P702"/>
      <c r="Q702"/>
      <c r="R702"/>
    </row>
    <row r="703" spans="3:18" collapsed="1" x14ac:dyDescent="0.2">
      <c r="C703" s="631"/>
      <c r="D703" s="631"/>
      <c r="E703" s="670" t="str">
        <v>spare</v>
      </c>
      <c r="G703" s="696">
        <f t="shared" si="45"/>
        <v>0</v>
      </c>
      <c r="K703" s="690">
        <v>0</v>
      </c>
      <c r="L703" s="690">
        <v>0</v>
      </c>
      <c r="M703" s="690">
        <v>0</v>
      </c>
      <c r="N703"/>
      <c r="O703"/>
      <c r="P703"/>
      <c r="Q703"/>
      <c r="R703"/>
    </row>
    <row r="704" spans="3:18" x14ac:dyDescent="0.2">
      <c r="G704" s="634" t="s">
        <v>120</v>
      </c>
    </row>
    <row r="705" spans="3:18" x14ac:dyDescent="0.2">
      <c r="G705" s="634"/>
    </row>
    <row r="706" spans="3:18" x14ac:dyDescent="0.2">
      <c r="C706" s="657" t="s">
        <v>608</v>
      </c>
    </row>
    <row r="707" spans="3:18" x14ac:dyDescent="0.2">
      <c r="C707" s="657"/>
      <c r="E707" s="670" t="str">
        <f t="array" ref="E707:E726">Mobile.market.services.list</f>
        <v>Tráfico de voz on-net</v>
      </c>
      <c r="G707" s="698">
        <f t="shared" ref="G707:G726" si="46">INDEX(K707:M707,,MATCH(CTRL.scenario.selected,Scenario.list,0))</f>
        <v>0.33333333333333331</v>
      </c>
      <c r="K707" s="699">
        <f t="array" ref="K707:K726">INDEX($K750:$M769,,MATCH(K$20,$K$749:$M$749,0))</f>
        <v>0.33333333333333331</v>
      </c>
      <c r="L707" s="699">
        <f t="array" ref="L707:L726">INDEX($K750:$M769,,MATCH(L$20,$K$749:$M$749,0))</f>
        <v>0</v>
      </c>
      <c r="M707" s="699">
        <f t="array" ref="M707:M726">INDEX($K750:$M769,,MATCH(M$20,$K$749:$M$749,0))</f>
        <v>0</v>
      </c>
      <c r="N707"/>
      <c r="O707"/>
      <c r="P707"/>
      <c r="Q707"/>
      <c r="R707"/>
    </row>
    <row r="708" spans="3:18" hidden="1" outlineLevel="1" x14ac:dyDescent="0.2">
      <c r="C708" s="657"/>
      <c r="E708" s="670" t="str">
        <v>Tráfico de voz saliente a fijo</v>
      </c>
      <c r="G708" s="698">
        <f t="shared" si="46"/>
        <v>0.33333333333333331</v>
      </c>
      <c r="K708" s="699">
        <v>0.33333333333333331</v>
      </c>
      <c r="L708" s="699">
        <v>0</v>
      </c>
      <c r="M708" s="699">
        <v>0</v>
      </c>
      <c r="N708"/>
      <c r="O708"/>
      <c r="P708"/>
      <c r="Q708"/>
      <c r="R708"/>
    </row>
    <row r="709" spans="3:18" hidden="1" outlineLevel="1" x14ac:dyDescent="0.2">
      <c r="C709" s="657"/>
      <c r="E709" s="670" t="str">
        <v>Tráfico de voz saliente a móvil</v>
      </c>
      <c r="G709" s="698">
        <f t="shared" si="46"/>
        <v>0.33333333333333331</v>
      </c>
      <c r="K709" s="699">
        <v>0.33333333333333331</v>
      </c>
      <c r="L709" s="699">
        <v>0</v>
      </c>
      <c r="M709" s="699">
        <v>0</v>
      </c>
      <c r="N709"/>
      <c r="O709"/>
      <c r="P709"/>
      <c r="Q709"/>
      <c r="R709"/>
    </row>
    <row r="710" spans="3:18" hidden="1" outlineLevel="1" x14ac:dyDescent="0.2">
      <c r="C710" s="657"/>
      <c r="E710" s="670" t="str">
        <v>Tráfico de voz saliente a internacional</v>
      </c>
      <c r="G710" s="698">
        <f t="shared" si="46"/>
        <v>0.33333333333333331</v>
      </c>
      <c r="K710" s="699">
        <v>0.33333333333333331</v>
      </c>
      <c r="L710" s="699">
        <v>0</v>
      </c>
      <c r="M710" s="699">
        <v>0</v>
      </c>
      <c r="N710"/>
      <c r="O710"/>
      <c r="P710"/>
      <c r="Q710"/>
      <c r="R710"/>
    </row>
    <row r="711" spans="3:18" hidden="1" outlineLevel="1" x14ac:dyDescent="0.2">
      <c r="C711" s="657"/>
      <c r="E711" s="670" t="str">
        <v>Tráfico de voz entrante desde fijo</v>
      </c>
      <c r="G711" s="698">
        <f t="shared" si="46"/>
        <v>0.33333333333333331</v>
      </c>
      <c r="K711" s="699">
        <v>0.33333333333333331</v>
      </c>
      <c r="L711" s="699">
        <v>0</v>
      </c>
      <c r="M711" s="699">
        <v>0</v>
      </c>
      <c r="N711"/>
      <c r="O711"/>
      <c r="P711"/>
      <c r="Q711"/>
      <c r="R711"/>
    </row>
    <row r="712" spans="3:18" hidden="1" outlineLevel="1" x14ac:dyDescent="0.2">
      <c r="C712" s="657"/>
      <c r="E712" s="670" t="str">
        <v>Tráfico de voz entrante desde móvil</v>
      </c>
      <c r="G712" s="698">
        <f t="shared" si="46"/>
        <v>0.33333333333333331</v>
      </c>
      <c r="K712" s="699">
        <v>0.33333333333333331</v>
      </c>
      <c r="L712" s="699">
        <v>0</v>
      </c>
      <c r="M712" s="699">
        <v>0</v>
      </c>
      <c r="N712"/>
      <c r="O712"/>
      <c r="P712"/>
      <c r="Q712"/>
      <c r="R712"/>
    </row>
    <row r="713" spans="3:18" hidden="1" outlineLevel="1" x14ac:dyDescent="0.2">
      <c r="C713" s="657"/>
      <c r="E713" s="670" t="str">
        <v>Tráfico de voz entrante desde internacional</v>
      </c>
      <c r="G713" s="698">
        <f t="shared" si="46"/>
        <v>0.33333333333333331</v>
      </c>
      <c r="K713" s="699">
        <v>0.33333333333333331</v>
      </c>
      <c r="L713" s="699">
        <v>0</v>
      </c>
      <c r="M713" s="699">
        <v>0</v>
      </c>
      <c r="N713"/>
      <c r="O713"/>
      <c r="P713"/>
      <c r="Q713"/>
      <c r="R713"/>
    </row>
    <row r="714" spans="3:18" hidden="1" outlineLevel="1" x14ac:dyDescent="0.2">
      <c r="C714" s="657"/>
      <c r="E714" s="670" t="str">
        <v>spare</v>
      </c>
      <c r="G714" s="698">
        <f t="shared" si="46"/>
        <v>0</v>
      </c>
      <c r="K714" s="699">
        <v>0</v>
      </c>
      <c r="L714" s="699">
        <v>0</v>
      </c>
      <c r="M714" s="699">
        <v>0</v>
      </c>
      <c r="N714"/>
      <c r="O714"/>
      <c r="P714"/>
      <c r="Q714"/>
      <c r="R714"/>
    </row>
    <row r="715" spans="3:18" hidden="1" outlineLevel="1" x14ac:dyDescent="0.2">
      <c r="C715" s="657"/>
      <c r="E715" s="670" t="str">
        <v>spare</v>
      </c>
      <c r="G715" s="698">
        <f t="shared" si="46"/>
        <v>0</v>
      </c>
      <c r="K715" s="699">
        <v>0</v>
      </c>
      <c r="L715" s="699">
        <v>0</v>
      </c>
      <c r="M715" s="699">
        <v>0</v>
      </c>
      <c r="N715"/>
      <c r="O715"/>
      <c r="P715"/>
      <c r="Q715"/>
      <c r="R715"/>
    </row>
    <row r="716" spans="3:18" hidden="1" outlineLevel="1" x14ac:dyDescent="0.2">
      <c r="C716" s="657"/>
      <c r="E716" s="670" t="str">
        <v>SMSs on-net</v>
      </c>
      <c r="G716" s="698">
        <f t="shared" si="46"/>
        <v>0.33333333333333331</v>
      </c>
      <c r="K716" s="699">
        <v>0.33333333333333331</v>
      </c>
      <c r="L716" s="699">
        <v>0</v>
      </c>
      <c r="M716" s="699">
        <v>0</v>
      </c>
      <c r="N716"/>
      <c r="O716"/>
      <c r="P716"/>
      <c r="Q716"/>
      <c r="R716"/>
    </row>
    <row r="717" spans="3:18" hidden="1" outlineLevel="1" x14ac:dyDescent="0.2">
      <c r="C717" s="657"/>
      <c r="E717" s="670" t="str">
        <v>SMS salientes</v>
      </c>
      <c r="G717" s="698">
        <f t="shared" si="46"/>
        <v>0.33333333333333331</v>
      </c>
      <c r="K717" s="699">
        <v>0.33333333333333331</v>
      </c>
      <c r="L717" s="699">
        <v>0</v>
      </c>
      <c r="M717" s="699">
        <v>0</v>
      </c>
      <c r="N717"/>
      <c r="O717"/>
      <c r="P717"/>
      <c r="Q717"/>
      <c r="R717"/>
    </row>
    <row r="718" spans="3:18" hidden="1" outlineLevel="1" x14ac:dyDescent="0.2">
      <c r="C718" s="657"/>
      <c r="E718" s="670" t="str">
        <v>SMS entrantes</v>
      </c>
      <c r="G718" s="698">
        <f t="shared" si="46"/>
        <v>0.33333333333333331</v>
      </c>
      <c r="K718" s="699">
        <v>0.33333333333333331</v>
      </c>
      <c r="L718" s="699">
        <v>0</v>
      </c>
      <c r="M718" s="699">
        <v>0</v>
      </c>
      <c r="N718"/>
      <c r="O718"/>
      <c r="P718"/>
      <c r="Q718"/>
      <c r="R718"/>
    </row>
    <row r="719" spans="3:18" hidden="1" outlineLevel="1" x14ac:dyDescent="0.2">
      <c r="C719" s="657"/>
      <c r="E719" s="670" t="str">
        <v>spare</v>
      </c>
      <c r="G719" s="698">
        <f t="shared" si="46"/>
        <v>0</v>
      </c>
      <c r="K719" s="699">
        <v>0</v>
      </c>
      <c r="L719" s="699">
        <v>0</v>
      </c>
      <c r="M719" s="699">
        <v>0</v>
      </c>
      <c r="N719"/>
      <c r="O719"/>
      <c r="P719"/>
      <c r="Q719"/>
      <c r="R719"/>
    </row>
    <row r="720" spans="3:18" hidden="1" outlineLevel="1" x14ac:dyDescent="0.2">
      <c r="C720" s="657"/>
      <c r="E720" s="670" t="str">
        <v>spare</v>
      </c>
      <c r="G720" s="698">
        <f t="shared" si="46"/>
        <v>0</v>
      </c>
      <c r="K720" s="699">
        <v>0</v>
      </c>
      <c r="L720" s="699">
        <v>0</v>
      </c>
      <c r="M720" s="699">
        <v>0</v>
      </c>
      <c r="N720"/>
      <c r="O720"/>
      <c r="P720"/>
      <c r="Q720"/>
      <c r="R720"/>
    </row>
    <row r="721" spans="1:18" hidden="1" outlineLevel="1" x14ac:dyDescent="0.2">
      <c r="C721" s="657"/>
      <c r="E721" s="670" t="str">
        <v>Tráfico de datos</v>
      </c>
      <c r="G721" s="698">
        <f t="shared" si="46"/>
        <v>0.33333333333333331</v>
      </c>
      <c r="K721" s="699">
        <v>0.33333333333333331</v>
      </c>
      <c r="L721" s="699">
        <v>0</v>
      </c>
      <c r="M721" s="699">
        <v>0</v>
      </c>
      <c r="N721"/>
      <c r="O721"/>
      <c r="P721"/>
      <c r="Q721"/>
      <c r="R721"/>
    </row>
    <row r="722" spans="1:18" hidden="1" outlineLevel="1" x14ac:dyDescent="0.2">
      <c r="C722" s="657"/>
      <c r="E722" s="670" t="str">
        <v>spare</v>
      </c>
      <c r="G722" s="698">
        <f t="shared" si="46"/>
        <v>0</v>
      </c>
      <c r="K722" s="699">
        <v>0</v>
      </c>
      <c r="L722" s="699">
        <v>0</v>
      </c>
      <c r="M722" s="699">
        <v>0</v>
      </c>
      <c r="N722"/>
      <c r="O722"/>
      <c r="P722"/>
      <c r="Q722"/>
      <c r="R722"/>
    </row>
    <row r="723" spans="1:18" hidden="1" outlineLevel="1" x14ac:dyDescent="0.2">
      <c r="C723" s="657"/>
      <c r="E723" s="670" t="str">
        <v>Suscriptores de solo voz (media del año)</v>
      </c>
      <c r="G723" s="698">
        <f t="shared" si="46"/>
        <v>0.33333333333333331</v>
      </c>
      <c r="K723" s="699">
        <v>0.33333333333333331</v>
      </c>
      <c r="L723" s="699">
        <v>0</v>
      </c>
      <c r="M723" s="699">
        <v>0</v>
      </c>
      <c r="N723"/>
      <c r="O723"/>
      <c r="P723"/>
      <c r="Q723"/>
      <c r="R723"/>
    </row>
    <row r="724" spans="1:18" hidden="1" outlineLevel="1" x14ac:dyDescent="0.2">
      <c r="C724" s="657"/>
      <c r="E724" s="670" t="str">
        <v>Suscriptores de voz y datos (media del año)</v>
      </c>
      <c r="G724" s="698">
        <f t="shared" si="46"/>
        <v>0.33333333333333331</v>
      </c>
      <c r="K724" s="699">
        <v>0.33333333333333331</v>
      </c>
      <c r="L724" s="699">
        <v>0</v>
      </c>
      <c r="M724" s="699">
        <v>0</v>
      </c>
      <c r="N724"/>
      <c r="O724"/>
      <c r="P724"/>
      <c r="Q724"/>
      <c r="R724"/>
    </row>
    <row r="725" spans="1:18" hidden="1" outlineLevel="1" x14ac:dyDescent="0.2">
      <c r="C725" s="657"/>
      <c r="E725" s="670" t="str">
        <v>spare</v>
      </c>
      <c r="G725" s="698">
        <f t="shared" si="46"/>
        <v>0</v>
      </c>
      <c r="K725" s="699">
        <v>0</v>
      </c>
      <c r="L725" s="699">
        <v>0</v>
      </c>
      <c r="M725" s="699">
        <v>0</v>
      </c>
      <c r="N725"/>
      <c r="O725"/>
      <c r="P725"/>
      <c r="Q725"/>
      <c r="R725"/>
    </row>
    <row r="726" spans="1:18" collapsed="1" x14ac:dyDescent="0.2">
      <c r="C726" s="657"/>
      <c r="E726" s="670" t="str">
        <v>spare</v>
      </c>
      <c r="G726" s="698">
        <f t="shared" si="46"/>
        <v>0</v>
      </c>
      <c r="K726" s="699">
        <v>0</v>
      </c>
      <c r="L726" s="699">
        <v>0</v>
      </c>
      <c r="M726" s="699">
        <v>0</v>
      </c>
      <c r="N726"/>
      <c r="O726"/>
      <c r="P726"/>
      <c r="Q726"/>
      <c r="R726"/>
    </row>
    <row r="727" spans="1:18" x14ac:dyDescent="0.2">
      <c r="G727" s="634" t="s">
        <v>76</v>
      </c>
    </row>
    <row r="728" spans="1:18" x14ac:dyDescent="0.2">
      <c r="G728" s="631"/>
    </row>
    <row r="729" spans="1:18" x14ac:dyDescent="0.2">
      <c r="A729" s="631"/>
      <c r="B729" s="631"/>
    </row>
    <row r="731" spans="1:18" ht="18.75" thickBot="1" x14ac:dyDescent="0.25">
      <c r="A731" s="638" t="s">
        <v>55</v>
      </c>
      <c r="B731" s="638"/>
      <c r="C731" s="639"/>
      <c r="D731" s="639"/>
      <c r="E731" s="639"/>
      <c r="F731" s="639"/>
      <c r="G731" s="639"/>
      <c r="H731" s="639"/>
      <c r="I731" s="639"/>
      <c r="J731" s="639"/>
      <c r="K731" s="639"/>
      <c r="L731" s="639"/>
      <c r="M731" s="639"/>
      <c r="N731" s="639"/>
      <c r="O731" s="639"/>
      <c r="P731" s="639"/>
      <c r="Q731" s="639"/>
      <c r="R731" s="639"/>
    </row>
    <row r="733" spans="1:18" x14ac:dyDescent="0.2">
      <c r="C733" s="657" t="s">
        <v>612</v>
      </c>
      <c r="G733" s="670" t="str">
        <f>Check.GPRS.capacity</f>
        <v>CHECK GPRS CAPACITY</v>
      </c>
      <c r="I733" s="637" t="s">
        <v>609</v>
      </c>
    </row>
    <row r="734" spans="1:18" x14ac:dyDescent="0.2">
      <c r="C734" s="657"/>
      <c r="I734" s="631"/>
    </row>
    <row r="735" spans="1:18" x14ac:dyDescent="0.2">
      <c r="C735" s="657" t="s">
        <v>1274</v>
      </c>
      <c r="G735" s="700">
        <f>Check.UMTS.HSPA.capacity.sites</f>
        <v>0</v>
      </c>
      <c r="I735" s="637" t="s">
        <v>1275</v>
      </c>
    </row>
    <row r="736" spans="1:18" x14ac:dyDescent="0.2">
      <c r="C736" s="657"/>
      <c r="I736" s="631"/>
    </row>
    <row r="737" spans="1:18" x14ac:dyDescent="0.2">
      <c r="C737" s="657" t="s">
        <v>611</v>
      </c>
      <c r="G737" s="700">
        <f>Check.LTE.capacity.sites</f>
        <v>0</v>
      </c>
      <c r="I737" s="637" t="s">
        <v>610</v>
      </c>
    </row>
    <row r="738" spans="1:18" x14ac:dyDescent="0.2">
      <c r="G738" s="631"/>
    </row>
    <row r="739" spans="1:18" x14ac:dyDescent="0.2">
      <c r="C739" s="657" t="s">
        <v>1353</v>
      </c>
      <c r="G739" s="701">
        <f>Check.GSM.microcells</f>
        <v>0</v>
      </c>
      <c r="I739" s="672" t="s">
        <v>1589</v>
      </c>
    </row>
    <row r="740" spans="1:18" x14ac:dyDescent="0.2">
      <c r="G740" s="631"/>
    </row>
    <row r="741" spans="1:18" x14ac:dyDescent="0.2">
      <c r="C741" s="657" t="s">
        <v>1354</v>
      </c>
      <c r="G741" s="701">
        <f>Check.UMTS.HSPA.microcells</f>
        <v>0</v>
      </c>
      <c r="I741" s="672" t="s">
        <v>1590</v>
      </c>
    </row>
    <row r="742" spans="1:18" x14ac:dyDescent="0.2">
      <c r="G742" s="631"/>
    </row>
    <row r="743" spans="1:18" x14ac:dyDescent="0.2">
      <c r="C743" s="657" t="s">
        <v>1355</v>
      </c>
      <c r="G743" s="701">
        <f>Check.LTE.microcells</f>
        <v>0</v>
      </c>
      <c r="I743" s="672" t="s">
        <v>1591</v>
      </c>
    </row>
    <row r="744" spans="1:18" x14ac:dyDescent="0.2">
      <c r="G744" s="631"/>
    </row>
    <row r="747" spans="1:18" ht="18.75" thickBot="1" x14ac:dyDescent="0.25">
      <c r="A747" s="638" t="s">
        <v>613</v>
      </c>
      <c r="B747" s="638"/>
      <c r="C747" s="639"/>
      <c r="D747" s="639"/>
      <c r="E747" s="639"/>
      <c r="F747" s="639"/>
      <c r="G747" s="639"/>
      <c r="H747" s="639"/>
      <c r="I747" s="639"/>
      <c r="J747" s="639"/>
      <c r="K747" s="639"/>
      <c r="L747" s="639"/>
      <c r="M747" s="639"/>
      <c r="N747" s="639"/>
      <c r="O747" s="639"/>
      <c r="P747" s="639"/>
      <c r="Q747" s="639"/>
      <c r="R747" s="639"/>
    </row>
    <row r="748" spans="1:18" x14ac:dyDescent="0.2">
      <c r="E748" s="631"/>
    </row>
    <row r="749" spans="1:18" x14ac:dyDescent="0.2">
      <c r="C749" s="657" t="s">
        <v>608</v>
      </c>
      <c r="K749" s="635" t="str">
        <f t="array" ref="K749:M749">TRANSPOSE(Operators.list)</f>
        <v>Hipotético</v>
      </c>
      <c r="L749" s="635" t="str">
        <v>Spare</v>
      </c>
      <c r="M749" s="635" t="str">
        <v>Spare</v>
      </c>
      <c r="N749"/>
      <c r="O749"/>
      <c r="P749"/>
      <c r="Q749"/>
    </row>
    <row r="750" spans="1:18" x14ac:dyDescent="0.2">
      <c r="E750" s="670" t="str">
        <f t="array" ref="E750:E769">Mobile.market.services.list</f>
        <v>Tráfico de voz on-net</v>
      </c>
      <c r="K750" s="702">
        <f>1/3</f>
        <v>0.33333333333333331</v>
      </c>
      <c r="L750" s="703">
        <v>0</v>
      </c>
      <c r="M750" s="703">
        <v>0</v>
      </c>
      <c r="N750"/>
      <c r="O750"/>
      <c r="P750"/>
      <c r="Q750"/>
    </row>
    <row r="751" spans="1:18" x14ac:dyDescent="0.2">
      <c r="E751" s="670" t="str">
        <v>Tráfico de voz saliente a fijo</v>
      </c>
      <c r="K751" s="702">
        <f t="shared" ref="K751:K756" si="47">1/3</f>
        <v>0.33333333333333331</v>
      </c>
      <c r="L751" s="703">
        <v>0</v>
      </c>
      <c r="M751" s="703">
        <v>0</v>
      </c>
      <c r="N751"/>
      <c r="O751"/>
      <c r="P751"/>
      <c r="Q751"/>
    </row>
    <row r="752" spans="1:18" x14ac:dyDescent="0.2">
      <c r="E752" s="670" t="str">
        <v>Tráfico de voz saliente a móvil</v>
      </c>
      <c r="K752" s="702">
        <f t="shared" si="47"/>
        <v>0.33333333333333331</v>
      </c>
      <c r="L752" s="703">
        <v>0</v>
      </c>
      <c r="M752" s="703">
        <v>0</v>
      </c>
      <c r="N752"/>
      <c r="O752"/>
      <c r="P752"/>
      <c r="Q752"/>
    </row>
    <row r="753" spans="5:17" x14ac:dyDescent="0.2">
      <c r="E753" s="670" t="str">
        <v>Tráfico de voz saliente a internacional</v>
      </c>
      <c r="K753" s="702">
        <f t="shared" si="47"/>
        <v>0.33333333333333331</v>
      </c>
      <c r="L753" s="703">
        <v>0</v>
      </c>
      <c r="M753" s="703">
        <v>0</v>
      </c>
      <c r="N753"/>
      <c r="O753"/>
      <c r="P753"/>
      <c r="Q753"/>
    </row>
    <row r="754" spans="5:17" x14ac:dyDescent="0.2">
      <c r="E754" s="670" t="str">
        <v>Tráfico de voz entrante desde fijo</v>
      </c>
      <c r="K754" s="702">
        <f t="shared" si="47"/>
        <v>0.33333333333333331</v>
      </c>
      <c r="L754" s="703">
        <v>0</v>
      </c>
      <c r="M754" s="703">
        <v>0</v>
      </c>
      <c r="N754"/>
      <c r="O754"/>
      <c r="P754"/>
      <c r="Q754"/>
    </row>
    <row r="755" spans="5:17" x14ac:dyDescent="0.2">
      <c r="E755" s="670" t="str">
        <v>Tráfico de voz entrante desde móvil</v>
      </c>
      <c r="K755" s="702">
        <f t="shared" si="47"/>
        <v>0.33333333333333331</v>
      </c>
      <c r="L755" s="703">
        <v>0</v>
      </c>
      <c r="M755" s="703">
        <v>0</v>
      </c>
      <c r="N755"/>
      <c r="O755"/>
      <c r="P755"/>
      <c r="Q755"/>
    </row>
    <row r="756" spans="5:17" x14ac:dyDescent="0.2">
      <c r="E756" s="670" t="str">
        <v>Tráfico de voz entrante desde internacional</v>
      </c>
      <c r="K756" s="702">
        <f t="shared" si="47"/>
        <v>0.33333333333333331</v>
      </c>
      <c r="L756" s="703">
        <v>0</v>
      </c>
      <c r="M756" s="703">
        <v>0</v>
      </c>
      <c r="N756"/>
      <c r="O756"/>
      <c r="P756"/>
      <c r="Q756"/>
    </row>
    <row r="757" spans="5:17" x14ac:dyDescent="0.2">
      <c r="E757" s="670" t="str">
        <v>spare</v>
      </c>
      <c r="K757" s="704">
        <v>0</v>
      </c>
      <c r="L757" s="704">
        <v>0</v>
      </c>
      <c r="M757" s="704">
        <v>0</v>
      </c>
      <c r="N757"/>
      <c r="O757"/>
      <c r="P757"/>
      <c r="Q757"/>
    </row>
    <row r="758" spans="5:17" x14ac:dyDescent="0.2">
      <c r="E758" s="670" t="str">
        <v>spare</v>
      </c>
      <c r="K758" s="704">
        <v>0</v>
      </c>
      <c r="L758" s="704">
        <v>0</v>
      </c>
      <c r="M758" s="704">
        <v>0</v>
      </c>
      <c r="N758"/>
      <c r="O758"/>
      <c r="P758"/>
      <c r="Q758"/>
    </row>
    <row r="759" spans="5:17" x14ac:dyDescent="0.2">
      <c r="E759" s="670" t="str">
        <v>SMSs on-net</v>
      </c>
      <c r="K759" s="702">
        <f t="shared" ref="K759:K761" si="48">1/3</f>
        <v>0.33333333333333331</v>
      </c>
      <c r="L759" s="703">
        <v>0</v>
      </c>
      <c r="M759" s="703">
        <v>0</v>
      </c>
      <c r="N759"/>
      <c r="O759"/>
      <c r="P759"/>
      <c r="Q759"/>
    </row>
    <row r="760" spans="5:17" x14ac:dyDescent="0.2">
      <c r="E760" s="670" t="str">
        <v>SMS salientes</v>
      </c>
      <c r="K760" s="702">
        <f t="shared" si="48"/>
        <v>0.33333333333333331</v>
      </c>
      <c r="L760" s="703">
        <v>0</v>
      </c>
      <c r="M760" s="703">
        <v>0</v>
      </c>
      <c r="N760"/>
      <c r="O760"/>
      <c r="P760"/>
      <c r="Q760"/>
    </row>
    <row r="761" spans="5:17" x14ac:dyDescent="0.2">
      <c r="E761" s="670" t="str">
        <v>SMS entrantes</v>
      </c>
      <c r="K761" s="702">
        <f t="shared" si="48"/>
        <v>0.33333333333333331</v>
      </c>
      <c r="L761" s="703">
        <v>0</v>
      </c>
      <c r="M761" s="703">
        <v>0</v>
      </c>
      <c r="N761"/>
      <c r="O761"/>
      <c r="P761"/>
      <c r="Q761"/>
    </row>
    <row r="762" spans="5:17" x14ac:dyDescent="0.2">
      <c r="E762" s="670" t="str">
        <v>spare</v>
      </c>
      <c r="K762" s="704">
        <v>0</v>
      </c>
      <c r="L762" s="704">
        <v>0</v>
      </c>
      <c r="M762" s="704">
        <v>0</v>
      </c>
      <c r="N762"/>
      <c r="O762"/>
      <c r="P762"/>
      <c r="Q762"/>
    </row>
    <row r="763" spans="5:17" x14ac:dyDescent="0.2">
      <c r="E763" s="670" t="str">
        <v>spare</v>
      </c>
      <c r="K763" s="704">
        <v>0</v>
      </c>
      <c r="L763" s="704">
        <v>0</v>
      </c>
      <c r="M763" s="704">
        <v>0</v>
      </c>
      <c r="N763"/>
      <c r="O763"/>
      <c r="P763"/>
      <c r="Q763"/>
    </row>
    <row r="764" spans="5:17" x14ac:dyDescent="0.2">
      <c r="E764" s="670" t="str">
        <v>Tráfico de datos</v>
      </c>
      <c r="K764" s="702">
        <f>1/3</f>
        <v>0.33333333333333331</v>
      </c>
      <c r="L764" s="703">
        <v>0</v>
      </c>
      <c r="M764" s="703">
        <v>0</v>
      </c>
      <c r="N764"/>
      <c r="O764"/>
      <c r="P764"/>
      <c r="Q764"/>
    </row>
    <row r="765" spans="5:17" x14ac:dyDescent="0.2">
      <c r="E765" s="670" t="str">
        <v>spare</v>
      </c>
      <c r="K765" s="704">
        <v>0</v>
      </c>
      <c r="L765" s="704">
        <v>0</v>
      </c>
      <c r="M765" s="704">
        <v>0</v>
      </c>
      <c r="N765"/>
      <c r="O765"/>
      <c r="P765"/>
      <c r="Q765"/>
    </row>
    <row r="766" spans="5:17" x14ac:dyDescent="0.2">
      <c r="E766" s="670" t="str">
        <v>Suscriptores de solo voz (media del año)</v>
      </c>
      <c r="K766" s="702">
        <f t="shared" ref="K766:K767" si="49">1/3</f>
        <v>0.33333333333333331</v>
      </c>
      <c r="L766" s="705">
        <v>0</v>
      </c>
      <c r="M766" s="705">
        <v>0</v>
      </c>
      <c r="N766"/>
      <c r="O766"/>
      <c r="P766"/>
      <c r="Q766"/>
    </row>
    <row r="767" spans="5:17" x14ac:dyDescent="0.2">
      <c r="E767" s="670" t="str">
        <v>Suscriptores de voz y datos (media del año)</v>
      </c>
      <c r="K767" s="702">
        <f t="shared" si="49"/>
        <v>0.33333333333333331</v>
      </c>
      <c r="L767" s="702">
        <v>0</v>
      </c>
      <c r="M767" s="702">
        <v>0</v>
      </c>
      <c r="N767"/>
      <c r="O767"/>
      <c r="P767"/>
      <c r="Q767"/>
    </row>
    <row r="768" spans="5:17" x14ac:dyDescent="0.2">
      <c r="E768" s="670" t="str">
        <v>spare</v>
      </c>
      <c r="K768" s="704">
        <v>0</v>
      </c>
      <c r="L768" s="704">
        <v>0</v>
      </c>
      <c r="M768" s="704">
        <v>0</v>
      </c>
      <c r="N768"/>
      <c r="O768"/>
      <c r="P768"/>
      <c r="Q768"/>
    </row>
    <row r="769" spans="1:31" x14ac:dyDescent="0.2">
      <c r="E769" s="670" t="str">
        <v>spare</v>
      </c>
      <c r="K769" s="704">
        <v>0</v>
      </c>
      <c r="L769" s="704">
        <v>0</v>
      </c>
      <c r="M769" s="704">
        <v>0</v>
      </c>
      <c r="N769"/>
      <c r="O769"/>
      <c r="P769"/>
      <c r="Q769"/>
    </row>
    <row r="772" spans="1:31" ht="18.75" thickBot="1" x14ac:dyDescent="0.25">
      <c r="A772" s="638" t="s">
        <v>1634</v>
      </c>
      <c r="B772" s="638"/>
      <c r="C772" s="639"/>
      <c r="D772" s="639"/>
      <c r="E772" s="639"/>
      <c r="F772" s="639"/>
      <c r="G772" s="639"/>
      <c r="H772" s="639"/>
      <c r="I772" s="639"/>
      <c r="J772" s="639"/>
      <c r="K772" s="639"/>
      <c r="L772" s="639"/>
      <c r="M772" s="639"/>
      <c r="N772" s="639"/>
      <c r="O772" s="639"/>
      <c r="P772" s="639"/>
      <c r="Q772" s="639"/>
      <c r="R772" s="639"/>
    </row>
    <row r="774" spans="1:31" ht="15.75" x14ac:dyDescent="0.2">
      <c r="B774" s="662" t="s">
        <v>994</v>
      </c>
      <c r="F774" s="631"/>
      <c r="G774" s="631"/>
    </row>
    <row r="775" spans="1:31" s="631" customFormat="1" x14ac:dyDescent="0.2">
      <c r="S775"/>
      <c r="T775"/>
      <c r="U775"/>
      <c r="V775"/>
      <c r="W775"/>
      <c r="X775"/>
      <c r="Y775"/>
      <c r="Z775"/>
      <c r="AA775"/>
      <c r="AB775"/>
      <c r="AC775"/>
      <c r="AD775"/>
      <c r="AE775"/>
    </row>
    <row r="776" spans="1:31" x14ac:dyDescent="0.2">
      <c r="C776" s="636" t="s">
        <v>995</v>
      </c>
      <c r="F776" s="631"/>
      <c r="K776" s="635" t="str">
        <f t="array" ref="K776:M776">TRANSPOSE(Operators.list)</f>
        <v>Hipotético</v>
      </c>
      <c r="L776" s="635" t="str">
        <v>Spare</v>
      </c>
      <c r="M776" s="635" t="str">
        <v>Spare</v>
      </c>
      <c r="N776"/>
      <c r="O776"/>
      <c r="P776"/>
      <c r="Q776"/>
      <c r="R776" s="631"/>
    </row>
    <row r="777" spans="1:31" x14ac:dyDescent="0.2">
      <c r="C777" s="636"/>
      <c r="F777" s="631"/>
      <c r="R777" s="631"/>
    </row>
    <row r="778" spans="1:31" x14ac:dyDescent="0.2">
      <c r="C778" s="636"/>
      <c r="D778" s="657" t="s">
        <v>118</v>
      </c>
      <c r="F778" s="631"/>
      <c r="R778" s="631"/>
    </row>
    <row r="779" spans="1:31" x14ac:dyDescent="0.2">
      <c r="C779" s="636"/>
      <c r="E779" s="670" t="str">
        <f t="array" ref="E779:E788">Geotypes</f>
        <v>Muy denso</v>
      </c>
      <c r="F779" s="631"/>
      <c r="K779" s="655">
        <v>850</v>
      </c>
      <c r="L779" s="655" t="s">
        <v>92</v>
      </c>
      <c r="M779" s="655" t="s">
        <v>92</v>
      </c>
      <c r="N779"/>
      <c r="O779"/>
      <c r="P779"/>
      <c r="Q779"/>
      <c r="R779" s="631"/>
    </row>
    <row r="780" spans="1:31" x14ac:dyDescent="0.2">
      <c r="C780" s="636"/>
      <c r="D780" s="657"/>
      <c r="E780" s="670" t="str">
        <v>Denso</v>
      </c>
      <c r="F780" s="631"/>
      <c r="K780" s="655">
        <v>850</v>
      </c>
      <c r="L780" s="655" t="s">
        <v>92</v>
      </c>
      <c r="M780" s="655" t="s">
        <v>92</v>
      </c>
      <c r="N780"/>
      <c r="O780"/>
      <c r="P780"/>
      <c r="Q780"/>
      <c r="R780" s="631"/>
    </row>
    <row r="781" spans="1:31" x14ac:dyDescent="0.2">
      <c r="C781" s="636"/>
      <c r="D781" s="657"/>
      <c r="E781" s="670" t="str">
        <v>Poco denso</v>
      </c>
      <c r="F781" s="631"/>
      <c r="K781" s="655">
        <v>850</v>
      </c>
      <c r="L781" s="655" t="s">
        <v>92</v>
      </c>
      <c r="M781" s="655" t="s">
        <v>92</v>
      </c>
      <c r="N781"/>
      <c r="O781"/>
      <c r="P781"/>
      <c r="Q781"/>
      <c r="R781" s="631"/>
    </row>
    <row r="782" spans="1:31" x14ac:dyDescent="0.2">
      <c r="C782" s="636"/>
      <c r="D782" s="657"/>
      <c r="E782" s="670" t="str">
        <v>Otro</v>
      </c>
      <c r="F782" s="631"/>
      <c r="K782" s="655">
        <v>850</v>
      </c>
      <c r="L782" s="655" t="s">
        <v>92</v>
      </c>
      <c r="M782" s="655" t="s">
        <v>92</v>
      </c>
      <c r="N782"/>
      <c r="O782"/>
      <c r="P782"/>
      <c r="Q782"/>
      <c r="R782" s="631"/>
    </row>
    <row r="783" spans="1:31" x14ac:dyDescent="0.2">
      <c r="C783" s="636"/>
      <c r="D783" s="657"/>
      <c r="E783" s="670" t="str">
        <v>Microceldas</v>
      </c>
      <c r="F783" s="631"/>
      <c r="K783" s="655">
        <v>850</v>
      </c>
      <c r="L783" s="655" t="s">
        <v>92</v>
      </c>
      <c r="M783" s="655" t="s">
        <v>92</v>
      </c>
      <c r="N783"/>
      <c r="O783"/>
      <c r="P783"/>
      <c r="Q783"/>
      <c r="R783" s="631"/>
    </row>
    <row r="784" spans="1:31" x14ac:dyDescent="0.2">
      <c r="C784" s="636"/>
      <c r="D784" s="657"/>
      <c r="E784" s="670" t="str">
        <v>spare</v>
      </c>
      <c r="F784" s="631"/>
      <c r="K784" s="655" t="s">
        <v>92</v>
      </c>
      <c r="L784" s="655" t="s">
        <v>92</v>
      </c>
      <c r="M784" s="655" t="s">
        <v>92</v>
      </c>
      <c r="N784"/>
      <c r="O784"/>
      <c r="P784"/>
      <c r="Q784"/>
      <c r="R784" s="631"/>
    </row>
    <row r="785" spans="3:18" x14ac:dyDescent="0.2">
      <c r="C785" s="636"/>
      <c r="D785" s="657"/>
      <c r="E785" s="670" t="str">
        <v>spare</v>
      </c>
      <c r="F785" s="631"/>
      <c r="K785" s="655" t="s">
        <v>92</v>
      </c>
      <c r="L785" s="655" t="s">
        <v>92</v>
      </c>
      <c r="M785" s="655" t="s">
        <v>92</v>
      </c>
      <c r="N785"/>
      <c r="O785"/>
      <c r="P785"/>
      <c r="Q785"/>
      <c r="R785" s="631"/>
    </row>
    <row r="786" spans="3:18" x14ac:dyDescent="0.2">
      <c r="C786" s="636"/>
      <c r="D786" s="657"/>
      <c r="E786" s="670" t="str">
        <v>spare</v>
      </c>
      <c r="F786" s="631"/>
      <c r="K786" s="655" t="s">
        <v>92</v>
      </c>
      <c r="L786" s="655" t="s">
        <v>92</v>
      </c>
      <c r="M786" s="655" t="s">
        <v>92</v>
      </c>
      <c r="N786"/>
      <c r="O786"/>
      <c r="P786"/>
      <c r="Q786"/>
      <c r="R786" s="631"/>
    </row>
    <row r="787" spans="3:18" x14ac:dyDescent="0.2">
      <c r="C787" s="636"/>
      <c r="D787" s="657"/>
      <c r="E787" s="670" t="str">
        <v>spare</v>
      </c>
      <c r="F787" s="631"/>
      <c r="K787" s="655" t="s">
        <v>92</v>
      </c>
      <c r="L787" s="655" t="s">
        <v>92</v>
      </c>
      <c r="M787" s="655" t="s">
        <v>92</v>
      </c>
      <c r="N787"/>
      <c r="O787"/>
      <c r="P787"/>
      <c r="Q787"/>
      <c r="R787" s="631"/>
    </row>
    <row r="788" spans="3:18" x14ac:dyDescent="0.2">
      <c r="C788" s="636"/>
      <c r="D788" s="657"/>
      <c r="E788" s="670" t="str">
        <v>spare</v>
      </c>
      <c r="F788" s="631"/>
      <c r="K788" s="655" t="s">
        <v>92</v>
      </c>
      <c r="L788" s="655" t="s">
        <v>92</v>
      </c>
      <c r="M788" s="655" t="s">
        <v>92</v>
      </c>
      <c r="N788"/>
      <c r="O788"/>
      <c r="P788"/>
      <c r="Q788"/>
      <c r="R788" s="631"/>
    </row>
    <row r="789" spans="3:18" x14ac:dyDescent="0.2">
      <c r="D789" s="657" t="s">
        <v>117</v>
      </c>
      <c r="F789" s="631"/>
      <c r="R789" s="631"/>
    </row>
    <row r="790" spans="3:18" x14ac:dyDescent="0.2">
      <c r="C790" s="636"/>
      <c r="E790" s="670" t="str">
        <f t="array" ref="E790:E799">Geotypes</f>
        <v>Muy denso</v>
      </c>
      <c r="F790" s="631"/>
      <c r="K790" s="655">
        <v>850</v>
      </c>
      <c r="L790" s="655" t="s">
        <v>92</v>
      </c>
      <c r="M790" s="655" t="s">
        <v>92</v>
      </c>
      <c r="N790"/>
      <c r="O790"/>
      <c r="P790"/>
      <c r="Q790"/>
      <c r="R790" s="631"/>
    </row>
    <row r="791" spans="3:18" x14ac:dyDescent="0.2">
      <c r="E791" s="670" t="str">
        <v>Denso</v>
      </c>
      <c r="F791" s="631"/>
      <c r="K791" s="655">
        <v>850</v>
      </c>
      <c r="L791" s="655" t="s">
        <v>92</v>
      </c>
      <c r="M791" s="655" t="s">
        <v>92</v>
      </c>
      <c r="N791"/>
      <c r="O791"/>
      <c r="P791"/>
      <c r="Q791"/>
      <c r="R791" s="631"/>
    </row>
    <row r="792" spans="3:18" x14ac:dyDescent="0.2">
      <c r="E792" s="670" t="str">
        <v>Poco denso</v>
      </c>
      <c r="F792" s="631"/>
      <c r="K792" s="655">
        <v>850</v>
      </c>
      <c r="L792" s="655" t="s">
        <v>92</v>
      </c>
      <c r="M792" s="655" t="s">
        <v>92</v>
      </c>
      <c r="N792"/>
      <c r="O792"/>
      <c r="P792"/>
      <c r="Q792"/>
      <c r="R792" s="631"/>
    </row>
    <row r="793" spans="3:18" x14ac:dyDescent="0.2">
      <c r="E793" s="670" t="str">
        <v>Otro</v>
      </c>
      <c r="F793" s="631"/>
      <c r="K793" s="655">
        <v>850</v>
      </c>
      <c r="L793" s="655" t="s">
        <v>92</v>
      </c>
      <c r="M793" s="655" t="s">
        <v>92</v>
      </c>
      <c r="N793"/>
      <c r="O793"/>
      <c r="P793"/>
      <c r="Q793"/>
      <c r="R793" s="631"/>
    </row>
    <row r="794" spans="3:18" x14ac:dyDescent="0.2">
      <c r="E794" s="670" t="str">
        <v>Microceldas</v>
      </c>
      <c r="F794" s="631"/>
      <c r="K794" s="655">
        <v>850</v>
      </c>
      <c r="L794" s="655" t="s">
        <v>92</v>
      </c>
      <c r="M794" s="655" t="s">
        <v>92</v>
      </c>
      <c r="N794"/>
      <c r="O794"/>
      <c r="P794"/>
      <c r="Q794"/>
      <c r="R794" s="631"/>
    </row>
    <row r="795" spans="3:18" x14ac:dyDescent="0.2">
      <c r="E795" s="670" t="str">
        <v>spare</v>
      </c>
      <c r="F795" s="631"/>
      <c r="K795" s="655" t="s">
        <v>92</v>
      </c>
      <c r="L795" s="655" t="s">
        <v>92</v>
      </c>
      <c r="M795" s="655" t="s">
        <v>92</v>
      </c>
      <c r="N795"/>
      <c r="O795"/>
      <c r="P795"/>
      <c r="Q795"/>
      <c r="R795" s="631"/>
    </row>
    <row r="796" spans="3:18" x14ac:dyDescent="0.2">
      <c r="E796" s="670" t="str">
        <v>spare</v>
      </c>
      <c r="F796" s="631"/>
      <c r="K796" s="655" t="s">
        <v>92</v>
      </c>
      <c r="L796" s="655" t="s">
        <v>92</v>
      </c>
      <c r="M796" s="655" t="s">
        <v>92</v>
      </c>
      <c r="N796"/>
      <c r="O796"/>
      <c r="P796"/>
      <c r="Q796"/>
      <c r="R796" s="631"/>
    </row>
    <row r="797" spans="3:18" x14ac:dyDescent="0.2">
      <c r="E797" s="670" t="str">
        <v>spare</v>
      </c>
      <c r="F797" s="631"/>
      <c r="K797" s="655" t="s">
        <v>92</v>
      </c>
      <c r="L797" s="655" t="s">
        <v>92</v>
      </c>
      <c r="M797" s="655" t="s">
        <v>92</v>
      </c>
      <c r="N797"/>
      <c r="O797"/>
      <c r="P797"/>
      <c r="Q797"/>
      <c r="R797" s="631"/>
    </row>
    <row r="798" spans="3:18" x14ac:dyDescent="0.2">
      <c r="E798" s="670" t="str">
        <v>spare</v>
      </c>
      <c r="F798" s="631"/>
      <c r="K798" s="655" t="s">
        <v>92</v>
      </c>
      <c r="L798" s="655" t="s">
        <v>92</v>
      </c>
      <c r="M798" s="655" t="s">
        <v>92</v>
      </c>
      <c r="N798"/>
      <c r="O798"/>
      <c r="P798"/>
      <c r="Q798"/>
      <c r="R798" s="631"/>
    </row>
    <row r="799" spans="3:18" x14ac:dyDescent="0.2">
      <c r="E799" s="670" t="str">
        <v>spare</v>
      </c>
      <c r="F799" s="631"/>
      <c r="K799" s="655" t="s">
        <v>92</v>
      </c>
      <c r="L799" s="655" t="s">
        <v>92</v>
      </c>
      <c r="M799" s="655" t="s">
        <v>92</v>
      </c>
      <c r="N799"/>
      <c r="O799"/>
      <c r="P799"/>
      <c r="Q799"/>
      <c r="R799" s="631"/>
    </row>
    <row r="800" spans="3:18" x14ac:dyDescent="0.2">
      <c r="D800" s="657" t="s">
        <v>421</v>
      </c>
      <c r="F800" s="631"/>
      <c r="K800" s="631"/>
      <c r="L800" s="631"/>
      <c r="M800" s="631"/>
      <c r="N800" s="631"/>
      <c r="O800" s="631"/>
      <c r="P800" s="631"/>
      <c r="Q800" s="631"/>
      <c r="R800" s="631"/>
    </row>
    <row r="801" spans="1:31" x14ac:dyDescent="0.2">
      <c r="C801" s="636"/>
      <c r="E801" s="670" t="str">
        <f t="array" ref="E801:E810">Geotypes</f>
        <v>Muy denso</v>
      </c>
      <c r="F801" s="631"/>
      <c r="K801" s="655" t="s">
        <v>984</v>
      </c>
      <c r="L801" s="655" t="s">
        <v>92</v>
      </c>
      <c r="M801" s="655" t="s">
        <v>92</v>
      </c>
      <c r="N801"/>
      <c r="O801"/>
      <c r="P801"/>
      <c r="Q801"/>
      <c r="R801" s="631"/>
    </row>
    <row r="802" spans="1:31" x14ac:dyDescent="0.2">
      <c r="C802" s="636"/>
      <c r="D802" s="657"/>
      <c r="E802" s="670" t="str">
        <v>Denso</v>
      </c>
      <c r="F802" s="631"/>
      <c r="K802" s="655" t="s">
        <v>984</v>
      </c>
      <c r="L802" s="655" t="s">
        <v>92</v>
      </c>
      <c r="M802" s="655" t="s">
        <v>92</v>
      </c>
      <c r="N802"/>
      <c r="O802"/>
      <c r="P802"/>
      <c r="Q802"/>
      <c r="R802" s="631"/>
    </row>
    <row r="803" spans="1:31" x14ac:dyDescent="0.2">
      <c r="C803" s="636"/>
      <c r="D803" s="657"/>
      <c r="E803" s="670" t="str">
        <v>Poco denso</v>
      </c>
      <c r="F803" s="631"/>
      <c r="K803" s="655" t="s">
        <v>984</v>
      </c>
      <c r="L803" s="655" t="s">
        <v>92</v>
      </c>
      <c r="M803" s="655" t="s">
        <v>92</v>
      </c>
      <c r="N803"/>
      <c r="O803"/>
      <c r="P803"/>
      <c r="Q803"/>
      <c r="R803" s="631"/>
    </row>
    <row r="804" spans="1:31" x14ac:dyDescent="0.2">
      <c r="C804" s="636"/>
      <c r="D804" s="657"/>
      <c r="E804" s="670" t="str">
        <v>Otro</v>
      </c>
      <c r="F804" s="631"/>
      <c r="K804" s="655" t="s">
        <v>984</v>
      </c>
      <c r="L804" s="655" t="s">
        <v>92</v>
      </c>
      <c r="M804" s="655" t="s">
        <v>92</v>
      </c>
      <c r="N804"/>
      <c r="O804"/>
      <c r="P804"/>
      <c r="Q804"/>
      <c r="R804" s="631"/>
    </row>
    <row r="805" spans="1:31" x14ac:dyDescent="0.2">
      <c r="C805" s="636"/>
      <c r="D805" s="657"/>
      <c r="E805" s="670" t="str">
        <v>Microceldas</v>
      </c>
      <c r="F805" s="631"/>
      <c r="K805" s="655" t="s">
        <v>984</v>
      </c>
      <c r="L805" s="655" t="s">
        <v>92</v>
      </c>
      <c r="M805" s="655" t="s">
        <v>92</v>
      </c>
      <c r="N805"/>
      <c r="O805"/>
      <c r="P805"/>
      <c r="Q805"/>
      <c r="R805" s="631"/>
    </row>
    <row r="806" spans="1:31" x14ac:dyDescent="0.2">
      <c r="C806" s="636"/>
      <c r="D806" s="657"/>
      <c r="E806" s="670" t="str">
        <v>spare</v>
      </c>
      <c r="F806" s="631"/>
      <c r="K806" s="655" t="s">
        <v>984</v>
      </c>
      <c r="L806" s="655" t="s">
        <v>92</v>
      </c>
      <c r="M806" s="655" t="s">
        <v>92</v>
      </c>
      <c r="N806"/>
      <c r="O806"/>
      <c r="P806"/>
      <c r="Q806"/>
      <c r="R806" s="631"/>
    </row>
    <row r="807" spans="1:31" x14ac:dyDescent="0.2">
      <c r="C807" s="636"/>
      <c r="D807" s="657"/>
      <c r="E807" s="670" t="str">
        <v>spare</v>
      </c>
      <c r="F807" s="631"/>
      <c r="K807" s="655" t="s">
        <v>984</v>
      </c>
      <c r="L807" s="655" t="s">
        <v>92</v>
      </c>
      <c r="M807" s="655" t="s">
        <v>92</v>
      </c>
      <c r="N807"/>
      <c r="O807"/>
      <c r="P807"/>
      <c r="Q807"/>
      <c r="R807" s="631"/>
    </row>
    <row r="808" spans="1:31" x14ac:dyDescent="0.2">
      <c r="C808" s="636"/>
      <c r="D808" s="657"/>
      <c r="E808" s="670" t="str">
        <v>spare</v>
      </c>
      <c r="F808" s="631"/>
      <c r="K808" s="655" t="s">
        <v>984</v>
      </c>
      <c r="L808" s="655" t="s">
        <v>92</v>
      </c>
      <c r="M808" s="655" t="s">
        <v>92</v>
      </c>
      <c r="N808"/>
      <c r="O808"/>
      <c r="P808"/>
      <c r="Q808"/>
      <c r="R808" s="631"/>
    </row>
    <row r="809" spans="1:31" x14ac:dyDescent="0.2">
      <c r="C809" s="636"/>
      <c r="D809" s="657"/>
      <c r="E809" s="670" t="str">
        <v>spare</v>
      </c>
      <c r="F809" s="631"/>
      <c r="K809" s="655" t="s">
        <v>984</v>
      </c>
      <c r="L809" s="51" t="s">
        <v>92</v>
      </c>
      <c r="M809" s="655" t="s">
        <v>92</v>
      </c>
      <c r="N809"/>
      <c r="O809"/>
      <c r="P809"/>
      <c r="Q809"/>
      <c r="R809" s="631"/>
    </row>
    <row r="810" spans="1:31" x14ac:dyDescent="0.2">
      <c r="C810" s="636"/>
      <c r="D810" s="657"/>
      <c r="E810" s="670" t="str">
        <v>spare</v>
      </c>
      <c r="F810" s="631"/>
      <c r="K810" s="655" t="s">
        <v>984</v>
      </c>
      <c r="L810" s="51" t="s">
        <v>92</v>
      </c>
      <c r="M810" s="655" t="s">
        <v>92</v>
      </c>
      <c r="N810"/>
      <c r="O810"/>
      <c r="P810"/>
      <c r="Q810"/>
      <c r="R810" s="631"/>
    </row>
    <row r="811" spans="1:31" x14ac:dyDescent="0.2">
      <c r="R811" s="631"/>
    </row>
    <row r="812" spans="1:31" ht="15.75" x14ac:dyDescent="0.2">
      <c r="B812" s="662" t="s">
        <v>997</v>
      </c>
      <c r="F812" s="631"/>
      <c r="K812" s="631"/>
      <c r="R812" s="631"/>
    </row>
    <row r="813" spans="1:31" s="631" customFormat="1" x14ac:dyDescent="0.2">
      <c r="S813"/>
      <c r="T813"/>
      <c r="U813"/>
      <c r="V813"/>
      <c r="W813"/>
      <c r="X813"/>
      <c r="Y813"/>
      <c r="Z813"/>
      <c r="AA813"/>
      <c r="AB813"/>
      <c r="AC813"/>
      <c r="AD813"/>
      <c r="AE813"/>
    </row>
    <row r="814" spans="1:31" x14ac:dyDescent="0.2">
      <c r="A814" s="631"/>
      <c r="B814" s="631"/>
      <c r="C814" s="636" t="s">
        <v>1612</v>
      </c>
      <c r="F814" s="631"/>
      <c r="K814" s="635" t="str">
        <f t="array" ref="K814:M814">TRANSPOSE(Operators.list)</f>
        <v>Hipotético</v>
      </c>
      <c r="L814" s="635" t="str">
        <v>Spare</v>
      </c>
      <c r="M814" s="635" t="str">
        <v>Spare</v>
      </c>
      <c r="N814"/>
      <c r="O814"/>
      <c r="P814"/>
      <c r="Q814"/>
      <c r="R814" s="631"/>
    </row>
    <row r="815" spans="1:31" x14ac:dyDescent="0.2">
      <c r="A815" s="631"/>
      <c r="C815" s="636"/>
      <c r="F815" s="631"/>
      <c r="R815" s="631"/>
    </row>
    <row r="816" spans="1:31" x14ac:dyDescent="0.2">
      <c r="A816" s="631"/>
      <c r="C816" s="636"/>
      <c r="D816" s="657" t="s">
        <v>118</v>
      </c>
      <c r="F816" s="631"/>
      <c r="R816" s="631"/>
    </row>
    <row r="817" spans="1:18" x14ac:dyDescent="0.2">
      <c r="A817" s="631"/>
      <c r="C817" s="636"/>
      <c r="E817" s="670" t="str">
        <f t="array" ref="E817:E826">Geotypes</f>
        <v>Muy denso</v>
      </c>
      <c r="F817" s="631"/>
      <c r="K817" s="655">
        <v>1900</v>
      </c>
      <c r="L817" s="655" t="s">
        <v>92</v>
      </c>
      <c r="M817" s="655" t="s">
        <v>92</v>
      </c>
      <c r="N817"/>
      <c r="O817"/>
      <c r="P817"/>
      <c r="Q817"/>
      <c r="R817" s="631"/>
    </row>
    <row r="818" spans="1:18" x14ac:dyDescent="0.2">
      <c r="A818" s="631"/>
      <c r="E818" s="670" t="str">
        <v>Denso</v>
      </c>
      <c r="F818" s="631"/>
      <c r="K818" s="655">
        <v>1900</v>
      </c>
      <c r="L818" s="655" t="s">
        <v>92</v>
      </c>
      <c r="M818" s="655" t="s">
        <v>92</v>
      </c>
      <c r="N818"/>
      <c r="O818"/>
      <c r="P818"/>
      <c r="Q818"/>
      <c r="R818" s="631"/>
    </row>
    <row r="819" spans="1:18" x14ac:dyDescent="0.2">
      <c r="A819" s="631"/>
      <c r="E819" s="670" t="str">
        <v>Poco denso</v>
      </c>
      <c r="F819" s="631"/>
      <c r="K819" s="655">
        <v>1900</v>
      </c>
      <c r="L819" s="655" t="s">
        <v>92</v>
      </c>
      <c r="M819" s="655" t="s">
        <v>92</v>
      </c>
      <c r="N819"/>
      <c r="O819"/>
      <c r="P819"/>
      <c r="Q819"/>
      <c r="R819" s="631"/>
    </row>
    <row r="820" spans="1:18" x14ac:dyDescent="0.2">
      <c r="A820" s="631"/>
      <c r="E820" s="670" t="str">
        <v>Otro</v>
      </c>
      <c r="F820" s="631"/>
      <c r="K820" s="655">
        <v>1900</v>
      </c>
      <c r="L820" s="655" t="s">
        <v>92</v>
      </c>
      <c r="M820" s="655" t="s">
        <v>92</v>
      </c>
      <c r="N820"/>
      <c r="O820"/>
      <c r="P820"/>
      <c r="Q820"/>
      <c r="R820" s="631"/>
    </row>
    <row r="821" spans="1:18" x14ac:dyDescent="0.2">
      <c r="A821" s="631"/>
      <c r="E821" s="670" t="str">
        <v>Microceldas</v>
      </c>
      <c r="F821" s="631"/>
      <c r="K821" s="655">
        <v>1900</v>
      </c>
      <c r="L821" s="655" t="s">
        <v>92</v>
      </c>
      <c r="M821" s="655" t="s">
        <v>92</v>
      </c>
      <c r="N821"/>
      <c r="O821"/>
      <c r="P821"/>
      <c r="Q821"/>
      <c r="R821" s="631"/>
    </row>
    <row r="822" spans="1:18" x14ac:dyDescent="0.2">
      <c r="A822" s="631"/>
      <c r="E822" s="670" t="str">
        <v>spare</v>
      </c>
      <c r="F822" s="631"/>
      <c r="K822" s="655" t="s">
        <v>92</v>
      </c>
      <c r="L822" s="655" t="s">
        <v>92</v>
      </c>
      <c r="M822" s="655" t="s">
        <v>92</v>
      </c>
      <c r="N822"/>
      <c r="O822"/>
      <c r="P822"/>
      <c r="Q822"/>
      <c r="R822" s="631"/>
    </row>
    <row r="823" spans="1:18" x14ac:dyDescent="0.2">
      <c r="A823" s="631"/>
      <c r="E823" s="670" t="str">
        <v>spare</v>
      </c>
      <c r="F823" s="631"/>
      <c r="K823" s="655" t="s">
        <v>92</v>
      </c>
      <c r="L823" s="655" t="s">
        <v>92</v>
      </c>
      <c r="M823" s="655" t="s">
        <v>92</v>
      </c>
      <c r="N823"/>
      <c r="O823"/>
      <c r="P823"/>
      <c r="Q823"/>
      <c r="R823" s="631"/>
    </row>
    <row r="824" spans="1:18" x14ac:dyDescent="0.2">
      <c r="A824" s="631"/>
      <c r="E824" s="670" t="str">
        <v>spare</v>
      </c>
      <c r="F824" s="631"/>
      <c r="K824" s="655" t="s">
        <v>92</v>
      </c>
      <c r="L824" s="655" t="s">
        <v>92</v>
      </c>
      <c r="M824" s="655" t="s">
        <v>92</v>
      </c>
      <c r="N824"/>
      <c r="O824"/>
      <c r="P824"/>
      <c r="Q824"/>
      <c r="R824" s="631"/>
    </row>
    <row r="825" spans="1:18" x14ac:dyDescent="0.2">
      <c r="A825" s="631"/>
      <c r="E825" s="670" t="str">
        <v>spare</v>
      </c>
      <c r="F825" s="631"/>
      <c r="K825" s="655" t="s">
        <v>92</v>
      </c>
      <c r="L825" s="655" t="s">
        <v>92</v>
      </c>
      <c r="M825" s="655" t="s">
        <v>92</v>
      </c>
      <c r="N825"/>
      <c r="O825"/>
      <c r="P825"/>
      <c r="Q825"/>
      <c r="R825" s="631"/>
    </row>
    <row r="826" spans="1:18" x14ac:dyDescent="0.2">
      <c r="A826" s="631"/>
      <c r="E826" s="670" t="str">
        <v>spare</v>
      </c>
      <c r="F826" s="631"/>
      <c r="K826" s="655" t="s">
        <v>92</v>
      </c>
      <c r="L826" s="655" t="s">
        <v>92</v>
      </c>
      <c r="M826" s="655" t="s">
        <v>92</v>
      </c>
      <c r="N826"/>
      <c r="O826"/>
      <c r="P826"/>
      <c r="Q826"/>
      <c r="R826" s="631"/>
    </row>
    <row r="827" spans="1:18" x14ac:dyDescent="0.2">
      <c r="A827" s="631"/>
      <c r="D827" s="657" t="s">
        <v>117</v>
      </c>
      <c r="F827" s="631"/>
      <c r="R827" s="631"/>
    </row>
    <row r="828" spans="1:18" x14ac:dyDescent="0.2">
      <c r="A828" s="631"/>
      <c r="C828" s="636"/>
      <c r="E828" s="670" t="str">
        <f t="array" ref="E828:E837">Geotypes</f>
        <v>Muy denso</v>
      </c>
      <c r="F828" s="631"/>
      <c r="K828" s="655">
        <v>1900</v>
      </c>
      <c r="L828" s="655" t="s">
        <v>92</v>
      </c>
      <c r="M828" s="655" t="s">
        <v>92</v>
      </c>
      <c r="N828"/>
      <c r="O828"/>
      <c r="P828"/>
      <c r="Q828"/>
      <c r="R828" s="631"/>
    </row>
    <row r="829" spans="1:18" x14ac:dyDescent="0.2">
      <c r="A829" s="631"/>
      <c r="E829" s="670" t="str">
        <v>Denso</v>
      </c>
      <c r="F829" s="631"/>
      <c r="K829" s="655">
        <v>1900</v>
      </c>
      <c r="L829" s="655" t="s">
        <v>92</v>
      </c>
      <c r="M829" s="655" t="s">
        <v>92</v>
      </c>
      <c r="N829"/>
      <c r="O829"/>
      <c r="P829"/>
      <c r="Q829"/>
      <c r="R829" s="631"/>
    </row>
    <row r="830" spans="1:18" x14ac:dyDescent="0.2">
      <c r="A830" s="631"/>
      <c r="E830" s="670" t="str">
        <v>Poco denso</v>
      </c>
      <c r="F830" s="631"/>
      <c r="K830" s="655">
        <v>1900</v>
      </c>
      <c r="L830" s="655" t="s">
        <v>92</v>
      </c>
      <c r="M830" s="655" t="s">
        <v>92</v>
      </c>
      <c r="N830"/>
      <c r="O830"/>
      <c r="P830"/>
      <c r="Q830"/>
      <c r="R830" s="631"/>
    </row>
    <row r="831" spans="1:18" x14ac:dyDescent="0.2">
      <c r="A831" s="631"/>
      <c r="E831" s="670" t="str">
        <v>Otro</v>
      </c>
      <c r="F831" s="631"/>
      <c r="K831" s="655">
        <v>1900</v>
      </c>
      <c r="L831" s="655" t="s">
        <v>92</v>
      </c>
      <c r="M831" s="655" t="s">
        <v>92</v>
      </c>
      <c r="N831"/>
      <c r="O831"/>
      <c r="P831"/>
      <c r="Q831"/>
      <c r="R831" s="631"/>
    </row>
    <row r="832" spans="1:18" x14ac:dyDescent="0.2">
      <c r="A832" s="631"/>
      <c r="E832" s="670" t="str">
        <v>Microceldas</v>
      </c>
      <c r="F832" s="631"/>
      <c r="K832" s="655">
        <v>1900</v>
      </c>
      <c r="L832" s="655" t="s">
        <v>92</v>
      </c>
      <c r="M832" s="655" t="s">
        <v>92</v>
      </c>
      <c r="N832"/>
      <c r="O832"/>
      <c r="P832"/>
      <c r="Q832"/>
      <c r="R832" s="631"/>
    </row>
    <row r="833" spans="1:18" x14ac:dyDescent="0.2">
      <c r="A833" s="631"/>
      <c r="E833" s="670" t="str">
        <v>spare</v>
      </c>
      <c r="F833" s="631"/>
      <c r="K833" s="655" t="s">
        <v>92</v>
      </c>
      <c r="L833" s="655" t="s">
        <v>92</v>
      </c>
      <c r="M833" s="655" t="s">
        <v>92</v>
      </c>
      <c r="N833"/>
      <c r="O833"/>
      <c r="P833"/>
      <c r="Q833"/>
      <c r="R833" s="631"/>
    </row>
    <row r="834" spans="1:18" x14ac:dyDescent="0.2">
      <c r="A834" s="631"/>
      <c r="E834" s="670" t="str">
        <v>spare</v>
      </c>
      <c r="F834" s="631"/>
      <c r="K834" s="655" t="s">
        <v>92</v>
      </c>
      <c r="L834" s="655" t="s">
        <v>92</v>
      </c>
      <c r="M834" s="655" t="s">
        <v>92</v>
      </c>
      <c r="N834"/>
      <c r="O834"/>
      <c r="P834"/>
      <c r="Q834"/>
      <c r="R834" s="631"/>
    </row>
    <row r="835" spans="1:18" x14ac:dyDescent="0.2">
      <c r="A835" s="631"/>
      <c r="E835" s="670" t="str">
        <v>spare</v>
      </c>
      <c r="F835" s="631"/>
      <c r="K835" s="655" t="s">
        <v>92</v>
      </c>
      <c r="L835" s="655" t="s">
        <v>92</v>
      </c>
      <c r="M835" s="655" t="s">
        <v>92</v>
      </c>
      <c r="N835"/>
      <c r="O835"/>
      <c r="P835"/>
      <c r="Q835"/>
      <c r="R835" s="631"/>
    </row>
    <row r="836" spans="1:18" x14ac:dyDescent="0.2">
      <c r="A836" s="631"/>
      <c r="E836" s="670" t="str">
        <v>spare</v>
      </c>
      <c r="F836" s="631"/>
      <c r="K836" s="655" t="s">
        <v>92</v>
      </c>
      <c r="L836" s="655" t="s">
        <v>92</v>
      </c>
      <c r="M836" s="655" t="s">
        <v>92</v>
      </c>
      <c r="N836"/>
      <c r="O836"/>
      <c r="P836"/>
      <c r="Q836"/>
      <c r="R836" s="631"/>
    </row>
    <row r="837" spans="1:18" x14ac:dyDescent="0.2">
      <c r="A837" s="631"/>
      <c r="E837" s="670" t="str">
        <v>spare</v>
      </c>
      <c r="F837" s="631"/>
      <c r="K837" s="655" t="s">
        <v>92</v>
      </c>
      <c r="L837" s="655" t="s">
        <v>92</v>
      </c>
      <c r="M837" s="655" t="s">
        <v>92</v>
      </c>
      <c r="N837"/>
      <c r="O837"/>
      <c r="P837"/>
      <c r="Q837"/>
      <c r="R837" s="631"/>
    </row>
    <row r="838" spans="1:18" x14ac:dyDescent="0.2">
      <c r="A838" s="631"/>
      <c r="D838" s="657" t="s">
        <v>421</v>
      </c>
      <c r="F838" s="631"/>
      <c r="K838" s="631"/>
      <c r="L838" s="631"/>
      <c r="M838" s="631"/>
      <c r="N838" s="631"/>
      <c r="O838" s="631"/>
      <c r="P838" s="631"/>
      <c r="Q838" s="631"/>
      <c r="R838" s="631"/>
    </row>
    <row r="839" spans="1:18" x14ac:dyDescent="0.2">
      <c r="A839" s="631"/>
      <c r="D839" s="676" t="s">
        <v>998</v>
      </c>
      <c r="F839" s="631"/>
      <c r="K839" s="631"/>
      <c r="L839" s="631"/>
      <c r="M839" s="631"/>
      <c r="N839" s="631"/>
      <c r="O839" s="631"/>
      <c r="P839" s="631"/>
      <c r="Q839" s="631"/>
      <c r="R839" s="631"/>
    </row>
    <row r="840" spans="1:18" x14ac:dyDescent="0.2">
      <c r="A840" s="631"/>
      <c r="C840" s="636"/>
      <c r="E840" s="670" t="str">
        <f t="array" ref="E840:E849">Geotypes</f>
        <v>Muy denso</v>
      </c>
      <c r="F840" s="631"/>
      <c r="K840" s="655" t="s">
        <v>92</v>
      </c>
      <c r="L840" s="655" t="s">
        <v>92</v>
      </c>
      <c r="M840" s="655" t="s">
        <v>92</v>
      </c>
      <c r="N840"/>
      <c r="O840"/>
      <c r="P840"/>
      <c r="Q840"/>
      <c r="R840" s="631"/>
    </row>
    <row r="841" spans="1:18" x14ac:dyDescent="0.2">
      <c r="A841" s="631"/>
      <c r="C841" s="636"/>
      <c r="D841" s="657"/>
      <c r="E841" s="670" t="str">
        <v>Denso</v>
      </c>
      <c r="F841" s="631"/>
      <c r="K841" s="655" t="s">
        <v>92</v>
      </c>
      <c r="L841" s="655" t="s">
        <v>92</v>
      </c>
      <c r="M841" s="655" t="s">
        <v>92</v>
      </c>
      <c r="N841"/>
      <c r="O841"/>
      <c r="P841"/>
      <c r="Q841"/>
      <c r="R841" s="631"/>
    </row>
    <row r="842" spans="1:18" x14ac:dyDescent="0.2">
      <c r="A842" s="631"/>
      <c r="C842" s="636"/>
      <c r="D842" s="657"/>
      <c r="E842" s="670" t="str">
        <v>Poco denso</v>
      </c>
      <c r="F842" s="631"/>
      <c r="K842" s="655" t="s">
        <v>92</v>
      </c>
      <c r="L842" s="655" t="s">
        <v>92</v>
      </c>
      <c r="M842" s="655" t="s">
        <v>92</v>
      </c>
      <c r="N842"/>
      <c r="O842"/>
      <c r="P842"/>
      <c r="Q842"/>
      <c r="R842" s="631"/>
    </row>
    <row r="843" spans="1:18" x14ac:dyDescent="0.2">
      <c r="A843" s="631"/>
      <c r="C843" s="636"/>
      <c r="D843" s="657"/>
      <c r="E843" s="670" t="str">
        <v>Otro</v>
      </c>
      <c r="F843" s="631"/>
      <c r="K843" s="655" t="s">
        <v>92</v>
      </c>
      <c r="L843" s="655" t="s">
        <v>92</v>
      </c>
      <c r="M843" s="655" t="s">
        <v>92</v>
      </c>
      <c r="N843"/>
      <c r="O843"/>
      <c r="P843"/>
      <c r="Q843"/>
      <c r="R843" s="631"/>
    </row>
    <row r="844" spans="1:18" x14ac:dyDescent="0.2">
      <c r="A844" s="631"/>
      <c r="C844" s="636"/>
      <c r="D844" s="657"/>
      <c r="E844" s="670" t="str">
        <v>Microceldas</v>
      </c>
      <c r="F844" s="631"/>
      <c r="K844" s="655" t="s">
        <v>92</v>
      </c>
      <c r="L844" s="655" t="s">
        <v>92</v>
      </c>
      <c r="M844" s="655" t="s">
        <v>92</v>
      </c>
      <c r="N844"/>
      <c r="O844"/>
      <c r="P844"/>
      <c r="Q844"/>
      <c r="R844" s="631"/>
    </row>
    <row r="845" spans="1:18" x14ac:dyDescent="0.2">
      <c r="A845" s="631"/>
      <c r="C845" s="636"/>
      <c r="D845" s="657"/>
      <c r="E845" s="670" t="str">
        <v>spare</v>
      </c>
      <c r="F845" s="631"/>
      <c r="K845" s="655" t="s">
        <v>92</v>
      </c>
      <c r="L845" s="655" t="s">
        <v>92</v>
      </c>
      <c r="M845" s="655" t="s">
        <v>92</v>
      </c>
      <c r="N845"/>
      <c r="O845"/>
      <c r="P845"/>
      <c r="Q845"/>
      <c r="R845" s="631"/>
    </row>
    <row r="846" spans="1:18" x14ac:dyDescent="0.2">
      <c r="A846" s="631"/>
      <c r="C846" s="636"/>
      <c r="D846" s="657"/>
      <c r="E846" s="670" t="str">
        <v>spare</v>
      </c>
      <c r="F846" s="631"/>
      <c r="K846" s="655" t="s">
        <v>92</v>
      </c>
      <c r="L846" s="655" t="s">
        <v>92</v>
      </c>
      <c r="M846" s="655" t="s">
        <v>92</v>
      </c>
      <c r="N846"/>
      <c r="O846"/>
      <c r="P846"/>
      <c r="Q846"/>
      <c r="R846" s="631"/>
    </row>
    <row r="847" spans="1:18" x14ac:dyDescent="0.2">
      <c r="A847" s="631"/>
      <c r="C847" s="636"/>
      <c r="D847" s="657"/>
      <c r="E847" s="670" t="str">
        <v>spare</v>
      </c>
      <c r="F847" s="631"/>
      <c r="K847" s="655" t="s">
        <v>92</v>
      </c>
      <c r="L847" s="655" t="s">
        <v>92</v>
      </c>
      <c r="M847" s="655" t="s">
        <v>92</v>
      </c>
      <c r="N847"/>
      <c r="O847"/>
      <c r="P847"/>
      <c r="Q847"/>
      <c r="R847" s="631"/>
    </row>
    <row r="848" spans="1:18" x14ac:dyDescent="0.2">
      <c r="A848" s="631"/>
      <c r="C848" s="636"/>
      <c r="D848" s="657"/>
      <c r="E848" s="670" t="str">
        <v>spare</v>
      </c>
      <c r="F848" s="631"/>
      <c r="K848" s="655" t="s">
        <v>92</v>
      </c>
      <c r="L848" s="655" t="s">
        <v>92</v>
      </c>
      <c r="M848" s="655" t="s">
        <v>92</v>
      </c>
      <c r="N848"/>
      <c r="O848"/>
      <c r="P848"/>
      <c r="Q848"/>
      <c r="R848" s="631"/>
    </row>
    <row r="849" spans="1:18" x14ac:dyDescent="0.2">
      <c r="A849" s="631"/>
      <c r="C849" s="636"/>
      <c r="D849" s="657"/>
      <c r="E849" s="670" t="str">
        <v>spare</v>
      </c>
      <c r="F849" s="631"/>
      <c r="K849" s="655" t="s">
        <v>92</v>
      </c>
      <c r="L849" s="655" t="s">
        <v>92</v>
      </c>
      <c r="M849" s="655" t="s">
        <v>92</v>
      </c>
      <c r="N849"/>
      <c r="O849"/>
      <c r="P849"/>
      <c r="Q849"/>
      <c r="R849" s="631"/>
    </row>
    <row r="850" spans="1:18" x14ac:dyDescent="0.2">
      <c r="A850" s="631"/>
      <c r="D850" s="676" t="s">
        <v>999</v>
      </c>
      <c r="F850" s="631"/>
      <c r="R850" s="631"/>
    </row>
    <row r="851" spans="1:18" x14ac:dyDescent="0.2">
      <c r="A851" s="631"/>
      <c r="E851" s="670" t="str">
        <f t="array" ref="E851:E860">Geotypes</f>
        <v>Muy denso</v>
      </c>
      <c r="F851" s="631"/>
      <c r="K851" s="655" t="s">
        <v>92</v>
      </c>
      <c r="L851" s="655" t="s">
        <v>92</v>
      </c>
      <c r="M851" s="655" t="s">
        <v>92</v>
      </c>
      <c r="N851"/>
      <c r="O851"/>
      <c r="P851"/>
      <c r="Q851"/>
      <c r="R851" s="631"/>
    </row>
    <row r="852" spans="1:18" x14ac:dyDescent="0.2">
      <c r="A852" s="631"/>
      <c r="E852" s="670" t="str">
        <v>Denso</v>
      </c>
      <c r="F852" s="631"/>
      <c r="K852" s="655" t="s">
        <v>92</v>
      </c>
      <c r="L852" s="655" t="s">
        <v>92</v>
      </c>
      <c r="M852" s="655" t="s">
        <v>92</v>
      </c>
      <c r="N852"/>
      <c r="O852"/>
      <c r="P852"/>
      <c r="Q852"/>
      <c r="R852" s="631"/>
    </row>
    <row r="853" spans="1:18" x14ac:dyDescent="0.2">
      <c r="A853" s="631"/>
      <c r="E853" s="670" t="str">
        <v>Poco denso</v>
      </c>
      <c r="K853" s="655" t="s">
        <v>92</v>
      </c>
      <c r="L853" s="655" t="s">
        <v>92</v>
      </c>
      <c r="M853" s="655" t="s">
        <v>92</v>
      </c>
      <c r="N853"/>
      <c r="O853"/>
      <c r="P853"/>
      <c r="Q853"/>
      <c r="R853" s="631"/>
    </row>
    <row r="854" spans="1:18" x14ac:dyDescent="0.2">
      <c r="A854" s="631"/>
      <c r="E854" s="670" t="str">
        <v>Otro</v>
      </c>
      <c r="K854" s="655" t="s">
        <v>92</v>
      </c>
      <c r="L854" s="655" t="s">
        <v>92</v>
      </c>
      <c r="M854" s="655" t="s">
        <v>92</v>
      </c>
      <c r="N854"/>
      <c r="O854"/>
      <c r="P854"/>
      <c r="Q854"/>
      <c r="R854" s="631"/>
    </row>
    <row r="855" spans="1:18" x14ac:dyDescent="0.2">
      <c r="A855" s="631"/>
      <c r="E855" s="670" t="str">
        <v>Microceldas</v>
      </c>
      <c r="K855" s="655" t="s">
        <v>92</v>
      </c>
      <c r="L855" s="655" t="s">
        <v>92</v>
      </c>
      <c r="M855" s="655" t="s">
        <v>92</v>
      </c>
      <c r="N855"/>
      <c r="O855"/>
      <c r="P855"/>
      <c r="Q855"/>
      <c r="R855" s="631"/>
    </row>
    <row r="856" spans="1:18" x14ac:dyDescent="0.2">
      <c r="A856" s="631"/>
      <c r="E856" s="670" t="str">
        <v>spare</v>
      </c>
      <c r="K856" s="655" t="s">
        <v>92</v>
      </c>
      <c r="L856" s="655" t="s">
        <v>92</v>
      </c>
      <c r="M856" s="655" t="s">
        <v>92</v>
      </c>
      <c r="N856"/>
      <c r="O856"/>
      <c r="P856"/>
      <c r="Q856"/>
      <c r="R856" s="631"/>
    </row>
    <row r="857" spans="1:18" x14ac:dyDescent="0.2">
      <c r="A857" s="631"/>
      <c r="E857" s="670" t="str">
        <v>spare</v>
      </c>
      <c r="K857" s="655" t="s">
        <v>92</v>
      </c>
      <c r="L857" s="655" t="s">
        <v>92</v>
      </c>
      <c r="M857" s="655" t="s">
        <v>92</v>
      </c>
      <c r="N857"/>
      <c r="O857"/>
      <c r="P857"/>
      <c r="Q857"/>
      <c r="R857" s="631"/>
    </row>
    <row r="858" spans="1:18" x14ac:dyDescent="0.2">
      <c r="A858" s="631"/>
      <c r="E858" s="670" t="str">
        <v>spare</v>
      </c>
      <c r="K858" s="655" t="s">
        <v>92</v>
      </c>
      <c r="L858" s="655" t="s">
        <v>92</v>
      </c>
      <c r="M858" s="655" t="s">
        <v>92</v>
      </c>
      <c r="N858"/>
      <c r="O858"/>
      <c r="P858"/>
      <c r="Q858"/>
      <c r="R858" s="631"/>
    </row>
    <row r="859" spans="1:18" x14ac:dyDescent="0.2">
      <c r="A859" s="631"/>
      <c r="E859" s="670" t="str">
        <v>spare</v>
      </c>
      <c r="K859" s="655" t="s">
        <v>92</v>
      </c>
      <c r="L859" s="655" t="s">
        <v>92</v>
      </c>
      <c r="M859" s="655" t="s">
        <v>92</v>
      </c>
      <c r="N859"/>
      <c r="O859"/>
      <c r="P859"/>
      <c r="Q859"/>
      <c r="R859" s="631"/>
    </row>
    <row r="860" spans="1:18" x14ac:dyDescent="0.2">
      <c r="A860" s="631"/>
      <c r="E860" s="670" t="str">
        <v>spare</v>
      </c>
      <c r="K860" s="655" t="s">
        <v>92</v>
      </c>
      <c r="L860" s="655" t="s">
        <v>92</v>
      </c>
      <c r="M860" s="655" t="s">
        <v>92</v>
      </c>
      <c r="N860"/>
      <c r="O860"/>
      <c r="P860"/>
      <c r="Q860"/>
      <c r="R860" s="631"/>
    </row>
    <row r="861" spans="1:18" x14ac:dyDescent="0.2">
      <c r="A861" s="631"/>
      <c r="D861" s="676" t="s">
        <v>1000</v>
      </c>
      <c r="R861" s="631"/>
    </row>
    <row r="862" spans="1:18" x14ac:dyDescent="0.2">
      <c r="A862" s="631"/>
      <c r="E862" s="670" t="str">
        <f t="array" ref="E862:E871">Geotypes</f>
        <v>Muy denso</v>
      </c>
      <c r="K862" s="655" t="s">
        <v>92</v>
      </c>
      <c r="L862" s="655" t="s">
        <v>92</v>
      </c>
      <c r="M862" s="655" t="s">
        <v>92</v>
      </c>
      <c r="N862"/>
      <c r="O862"/>
      <c r="P862"/>
      <c r="Q862"/>
      <c r="R862" s="631"/>
    </row>
    <row r="863" spans="1:18" x14ac:dyDescent="0.2">
      <c r="A863" s="631"/>
      <c r="E863" s="670" t="str">
        <v>Denso</v>
      </c>
      <c r="K863" s="655" t="s">
        <v>92</v>
      </c>
      <c r="L863" s="655" t="s">
        <v>92</v>
      </c>
      <c r="M863" s="655" t="s">
        <v>92</v>
      </c>
      <c r="N863"/>
      <c r="O863"/>
      <c r="P863"/>
      <c r="Q863"/>
      <c r="R863" s="631"/>
    </row>
    <row r="864" spans="1:18" x14ac:dyDescent="0.2">
      <c r="A864" s="631"/>
      <c r="E864" s="670" t="str">
        <v>Poco denso</v>
      </c>
      <c r="K864" s="655" t="s">
        <v>92</v>
      </c>
      <c r="L864" s="655" t="s">
        <v>92</v>
      </c>
      <c r="M864" s="655" t="s">
        <v>92</v>
      </c>
      <c r="N864"/>
      <c r="O864"/>
      <c r="P864"/>
      <c r="Q864"/>
      <c r="R864" s="631"/>
    </row>
    <row r="865" spans="1:18" x14ac:dyDescent="0.2">
      <c r="A865" s="631"/>
      <c r="E865" s="670" t="str">
        <v>Otro</v>
      </c>
      <c r="K865" s="655" t="s">
        <v>92</v>
      </c>
      <c r="L865" s="655" t="s">
        <v>92</v>
      </c>
      <c r="M865" s="655" t="s">
        <v>92</v>
      </c>
      <c r="N865"/>
      <c r="O865"/>
      <c r="P865"/>
      <c r="Q865"/>
      <c r="R865" s="631"/>
    </row>
    <row r="866" spans="1:18" x14ac:dyDescent="0.2">
      <c r="A866" s="631"/>
      <c r="E866" s="670" t="str">
        <v>Microceldas</v>
      </c>
      <c r="K866" s="655" t="s">
        <v>92</v>
      </c>
      <c r="L866" s="655" t="s">
        <v>92</v>
      </c>
      <c r="M866" s="655" t="s">
        <v>92</v>
      </c>
      <c r="N866"/>
      <c r="O866"/>
      <c r="P866"/>
      <c r="Q866"/>
      <c r="R866" s="631"/>
    </row>
    <row r="867" spans="1:18" x14ac:dyDescent="0.2">
      <c r="A867" s="631"/>
      <c r="E867" s="670" t="str">
        <v>spare</v>
      </c>
      <c r="K867" s="655" t="s">
        <v>92</v>
      </c>
      <c r="L867" s="655" t="s">
        <v>92</v>
      </c>
      <c r="M867" s="655" t="s">
        <v>92</v>
      </c>
      <c r="N867"/>
      <c r="O867"/>
      <c r="P867"/>
      <c r="Q867"/>
      <c r="R867" s="631"/>
    </row>
    <row r="868" spans="1:18" x14ac:dyDescent="0.2">
      <c r="A868" s="631"/>
      <c r="E868" s="670" t="str">
        <v>spare</v>
      </c>
      <c r="K868" s="655" t="s">
        <v>92</v>
      </c>
      <c r="L868" s="655" t="s">
        <v>92</v>
      </c>
      <c r="M868" s="655" t="s">
        <v>92</v>
      </c>
      <c r="N868"/>
      <c r="O868"/>
      <c r="P868"/>
      <c r="Q868"/>
      <c r="R868" s="631"/>
    </row>
    <row r="869" spans="1:18" x14ac:dyDescent="0.2">
      <c r="A869" s="631"/>
      <c r="E869" s="670" t="str">
        <v>spare</v>
      </c>
      <c r="K869" s="655" t="s">
        <v>92</v>
      </c>
      <c r="L869" s="655" t="s">
        <v>92</v>
      </c>
      <c r="M869" s="655" t="s">
        <v>92</v>
      </c>
      <c r="N869"/>
      <c r="O869"/>
      <c r="P869"/>
      <c r="Q869"/>
      <c r="R869" s="631"/>
    </row>
    <row r="870" spans="1:18" x14ac:dyDescent="0.2">
      <c r="A870" s="631"/>
      <c r="E870" s="670" t="str">
        <v>spare</v>
      </c>
      <c r="K870" s="655" t="s">
        <v>92</v>
      </c>
      <c r="L870" s="655" t="s">
        <v>92</v>
      </c>
      <c r="M870" s="655" t="s">
        <v>92</v>
      </c>
      <c r="N870"/>
      <c r="O870"/>
      <c r="P870"/>
      <c r="Q870"/>
      <c r="R870" s="631"/>
    </row>
    <row r="871" spans="1:18" x14ac:dyDescent="0.2">
      <c r="A871" s="631"/>
      <c r="E871" s="670" t="str">
        <v>spare</v>
      </c>
      <c r="K871" s="655" t="s">
        <v>92</v>
      </c>
      <c r="L871" s="655" t="s">
        <v>92</v>
      </c>
      <c r="M871" s="655" t="s">
        <v>92</v>
      </c>
      <c r="N871"/>
      <c r="O871"/>
      <c r="P871"/>
      <c r="Q871"/>
      <c r="R871" s="631"/>
    </row>
    <row r="872" spans="1:18" x14ac:dyDescent="0.2">
      <c r="A872" s="631"/>
      <c r="D872" s="676" t="s">
        <v>1001</v>
      </c>
      <c r="R872" s="631"/>
    </row>
    <row r="873" spans="1:18" x14ac:dyDescent="0.2">
      <c r="A873" s="631"/>
      <c r="E873" s="670" t="str">
        <f t="array" ref="E873:E882">Geotypes</f>
        <v>Muy denso</v>
      </c>
      <c r="K873" s="655" t="s">
        <v>92</v>
      </c>
      <c r="L873" s="655" t="s">
        <v>92</v>
      </c>
      <c r="M873" s="655" t="s">
        <v>92</v>
      </c>
      <c r="N873"/>
      <c r="O873"/>
      <c r="P873"/>
      <c r="Q873"/>
      <c r="R873" s="631"/>
    </row>
    <row r="874" spans="1:18" x14ac:dyDescent="0.2">
      <c r="A874" s="631"/>
      <c r="E874" s="670" t="str">
        <v>Denso</v>
      </c>
      <c r="K874" s="655" t="s">
        <v>92</v>
      </c>
      <c r="L874" s="655" t="s">
        <v>92</v>
      </c>
      <c r="M874" s="655" t="s">
        <v>92</v>
      </c>
      <c r="N874"/>
      <c r="O874"/>
      <c r="P874"/>
      <c r="Q874"/>
      <c r="R874" s="631"/>
    </row>
    <row r="875" spans="1:18" x14ac:dyDescent="0.2">
      <c r="A875" s="631"/>
      <c r="E875" s="670" t="str">
        <v>Poco denso</v>
      </c>
      <c r="K875" s="655" t="s">
        <v>92</v>
      </c>
      <c r="L875" s="655" t="s">
        <v>92</v>
      </c>
      <c r="M875" s="655" t="s">
        <v>92</v>
      </c>
      <c r="N875"/>
      <c r="O875"/>
      <c r="P875"/>
      <c r="Q875"/>
      <c r="R875" s="631"/>
    </row>
    <row r="876" spans="1:18" x14ac:dyDescent="0.2">
      <c r="A876" s="631"/>
      <c r="E876" s="670" t="str">
        <v>Otro</v>
      </c>
      <c r="K876" s="655" t="s">
        <v>92</v>
      </c>
      <c r="L876" s="655" t="s">
        <v>92</v>
      </c>
      <c r="M876" s="655" t="s">
        <v>92</v>
      </c>
      <c r="N876"/>
      <c r="O876"/>
      <c r="P876"/>
      <c r="Q876"/>
      <c r="R876" s="631"/>
    </row>
    <row r="877" spans="1:18" x14ac:dyDescent="0.2">
      <c r="A877" s="631"/>
      <c r="E877" s="670" t="str">
        <v>Microceldas</v>
      </c>
      <c r="K877" s="655" t="s">
        <v>92</v>
      </c>
      <c r="L877" s="655" t="s">
        <v>92</v>
      </c>
      <c r="M877" s="655" t="s">
        <v>92</v>
      </c>
      <c r="N877"/>
      <c r="O877"/>
      <c r="P877"/>
      <c r="Q877"/>
      <c r="R877" s="631"/>
    </row>
    <row r="878" spans="1:18" x14ac:dyDescent="0.2">
      <c r="A878" s="631"/>
      <c r="E878" s="670" t="str">
        <v>spare</v>
      </c>
      <c r="K878" s="655" t="s">
        <v>92</v>
      </c>
      <c r="L878" s="655" t="s">
        <v>92</v>
      </c>
      <c r="M878" s="655" t="s">
        <v>92</v>
      </c>
      <c r="N878"/>
      <c r="O878"/>
      <c r="P878"/>
      <c r="Q878"/>
      <c r="R878" s="631"/>
    </row>
    <row r="879" spans="1:18" x14ac:dyDescent="0.2">
      <c r="A879" s="631"/>
      <c r="E879" s="670" t="str">
        <v>spare</v>
      </c>
      <c r="K879" s="655" t="s">
        <v>92</v>
      </c>
      <c r="L879" s="655" t="s">
        <v>92</v>
      </c>
      <c r="M879" s="655" t="s">
        <v>92</v>
      </c>
      <c r="N879"/>
      <c r="O879"/>
      <c r="P879"/>
      <c r="Q879"/>
      <c r="R879" s="631"/>
    </row>
    <row r="880" spans="1:18" x14ac:dyDescent="0.2">
      <c r="A880" s="631"/>
      <c r="E880" s="670" t="str">
        <v>spare</v>
      </c>
      <c r="K880" s="655" t="s">
        <v>92</v>
      </c>
      <c r="L880" s="655" t="s">
        <v>92</v>
      </c>
      <c r="M880" s="655" t="s">
        <v>92</v>
      </c>
      <c r="N880"/>
      <c r="O880"/>
      <c r="P880"/>
      <c r="Q880"/>
      <c r="R880" s="631"/>
    </row>
    <row r="881" spans="1:18" x14ac:dyDescent="0.2">
      <c r="A881" s="631"/>
      <c r="E881" s="670" t="str">
        <v>spare</v>
      </c>
      <c r="K881" s="655" t="s">
        <v>92</v>
      </c>
      <c r="L881" s="655" t="s">
        <v>92</v>
      </c>
      <c r="M881" s="655" t="s">
        <v>92</v>
      </c>
      <c r="N881"/>
      <c r="O881"/>
      <c r="P881"/>
      <c r="Q881"/>
      <c r="R881" s="631"/>
    </row>
    <row r="882" spans="1:18" x14ac:dyDescent="0.2">
      <c r="A882" s="631"/>
      <c r="E882" s="670" t="str">
        <v>spare</v>
      </c>
      <c r="K882" s="655" t="s">
        <v>92</v>
      </c>
      <c r="L882" s="655" t="s">
        <v>92</v>
      </c>
      <c r="M882" s="655" t="s">
        <v>92</v>
      </c>
      <c r="N882"/>
      <c r="O882"/>
      <c r="P882"/>
      <c r="Q882"/>
      <c r="R882" s="631"/>
    </row>
    <row r="884" spans="1:18" ht="18.75" thickBot="1" x14ac:dyDescent="0.25">
      <c r="A884" s="638" t="s">
        <v>614</v>
      </c>
      <c r="B884" s="638"/>
      <c r="C884" s="639"/>
      <c r="D884" s="639"/>
      <c r="E884" s="639"/>
      <c r="F884" s="639"/>
      <c r="G884" s="639"/>
      <c r="H884" s="639"/>
      <c r="I884" s="639"/>
      <c r="J884" s="639"/>
      <c r="K884" s="639"/>
      <c r="L884" s="639"/>
      <c r="M884" s="639"/>
      <c r="N884" s="639"/>
      <c r="O884" s="639"/>
      <c r="P884" s="639"/>
      <c r="Q884" s="639"/>
      <c r="R884" s="639"/>
    </row>
    <row r="885" spans="1:18" hidden="1" x14ac:dyDescent="0.2">
      <c r="K885" s="631"/>
    </row>
    <row r="886" spans="1:18" hidden="1" x14ac:dyDescent="0.2">
      <c r="C886"/>
      <c r="D886"/>
      <c r="E886"/>
      <c r="F886"/>
      <c r="G886"/>
      <c r="H886"/>
      <c r="I886"/>
      <c r="J886"/>
      <c r="K886"/>
      <c r="L886"/>
      <c r="M886"/>
      <c r="N886"/>
      <c r="O886"/>
      <c r="P886"/>
      <c r="Q886"/>
    </row>
    <row r="887" spans="1:18" hidden="1" x14ac:dyDescent="0.2">
      <c r="D887"/>
      <c r="E887"/>
      <c r="F887"/>
      <c r="G887"/>
      <c r="H887"/>
      <c r="I887"/>
      <c r="J887"/>
      <c r="K887"/>
      <c r="L887"/>
      <c r="M887"/>
      <c r="N887"/>
      <c r="O887"/>
      <c r="P887"/>
      <c r="Q887"/>
    </row>
    <row r="888" spans="1:18" hidden="1" x14ac:dyDescent="0.2">
      <c r="D888"/>
      <c r="E888"/>
      <c r="F888"/>
      <c r="G888"/>
      <c r="H888"/>
      <c r="I888"/>
      <c r="J888"/>
      <c r="K888"/>
      <c r="L888"/>
      <c r="M888"/>
      <c r="N888"/>
      <c r="O888"/>
      <c r="P888"/>
      <c r="Q888"/>
    </row>
    <row r="889" spans="1:18" hidden="1" x14ac:dyDescent="0.2">
      <c r="D889"/>
      <c r="E889"/>
      <c r="F889"/>
      <c r="G889"/>
      <c r="H889"/>
      <c r="I889"/>
      <c r="J889"/>
      <c r="K889"/>
      <c r="L889"/>
      <c r="M889"/>
      <c r="N889"/>
      <c r="O889"/>
      <c r="P889"/>
      <c r="Q889"/>
    </row>
    <row r="890" spans="1:18" hidden="1" x14ac:dyDescent="0.2">
      <c r="D890"/>
      <c r="E890"/>
      <c r="F890"/>
      <c r="G890"/>
      <c r="H890"/>
      <c r="I890"/>
      <c r="J890"/>
      <c r="K890"/>
      <c r="L890"/>
      <c r="M890"/>
      <c r="N890"/>
      <c r="O890"/>
      <c r="P890"/>
      <c r="Q890"/>
    </row>
    <row r="891" spans="1:18" hidden="1" x14ac:dyDescent="0.2">
      <c r="D891"/>
      <c r="E891"/>
      <c r="F891"/>
      <c r="G891"/>
      <c r="H891"/>
      <c r="I891"/>
      <c r="J891"/>
      <c r="K891"/>
      <c r="L891"/>
      <c r="M891"/>
      <c r="N891"/>
      <c r="O891"/>
      <c r="P891"/>
      <c r="Q891"/>
    </row>
    <row r="892" spans="1:18" hidden="1" x14ac:dyDescent="0.2">
      <c r="D892"/>
      <c r="E892"/>
      <c r="F892"/>
      <c r="G892"/>
      <c r="H892"/>
      <c r="I892"/>
      <c r="J892"/>
      <c r="K892"/>
      <c r="L892"/>
      <c r="M892"/>
      <c r="N892"/>
      <c r="O892"/>
      <c r="P892"/>
      <c r="Q892"/>
    </row>
    <row r="893" spans="1:18" hidden="1" x14ac:dyDescent="0.2">
      <c r="D893"/>
      <c r="E893"/>
      <c r="F893"/>
      <c r="G893"/>
      <c r="H893"/>
      <c r="I893"/>
      <c r="J893"/>
      <c r="K893"/>
      <c r="L893"/>
      <c r="M893"/>
      <c r="N893"/>
      <c r="O893"/>
      <c r="P893"/>
      <c r="Q893"/>
    </row>
    <row r="894" spans="1:18" hidden="1" x14ac:dyDescent="0.2">
      <c r="D894"/>
      <c r="E894"/>
      <c r="F894"/>
      <c r="G894"/>
      <c r="H894"/>
      <c r="I894"/>
      <c r="J894"/>
      <c r="K894"/>
      <c r="L894"/>
      <c r="M894"/>
      <c r="N894"/>
      <c r="O894"/>
      <c r="P894"/>
      <c r="Q894"/>
    </row>
    <row r="895" spans="1:18" hidden="1" x14ac:dyDescent="0.2">
      <c r="D895"/>
      <c r="E895"/>
      <c r="F895"/>
      <c r="G895"/>
      <c r="H895"/>
      <c r="I895"/>
      <c r="J895"/>
      <c r="K895"/>
      <c r="L895"/>
      <c r="M895"/>
      <c r="N895"/>
      <c r="O895"/>
      <c r="P895"/>
      <c r="Q895"/>
    </row>
    <row r="896" spans="1:18" hidden="1" x14ac:dyDescent="0.2">
      <c r="D896"/>
      <c r="E896"/>
      <c r="F896"/>
      <c r="G896"/>
      <c r="H896"/>
      <c r="I896"/>
      <c r="J896"/>
      <c r="K896"/>
      <c r="L896"/>
      <c r="M896"/>
      <c r="N896"/>
      <c r="O896"/>
      <c r="P896"/>
      <c r="Q896"/>
    </row>
    <row r="897" spans="3:18" x14ac:dyDescent="0.2">
      <c r="K897" s="631"/>
    </row>
    <row r="898" spans="3:18" x14ac:dyDescent="0.2">
      <c r="C898" s="677">
        <v>1</v>
      </c>
      <c r="D898" s="657" t="str">
        <f>INDEX(Frequencies2,C898,)&amp;" MHz banda (2 veces X MHz)"</f>
        <v>850 MHz banda (2 veces X MHz)</v>
      </c>
      <c r="K898" s="635" t="str">
        <f t="array" ref="K898:M898">TRANSPOSE(Operators.list)</f>
        <v>Hipotético</v>
      </c>
      <c r="L898" s="635" t="str">
        <v>Spare</v>
      </c>
      <c r="M898" s="635" t="str">
        <v>Spare</v>
      </c>
      <c r="N898"/>
      <c r="O898"/>
      <c r="P898"/>
      <c r="Q898"/>
      <c r="R898"/>
    </row>
    <row r="899" spans="3:18" x14ac:dyDescent="0.2">
      <c r="E899" s="670" t="str">
        <f t="array" ref="E899:E908">Geotypes</f>
        <v>Muy denso</v>
      </c>
      <c r="K899" s="706">
        <v>12.5</v>
      </c>
      <c r="L899" s="706">
        <v>0</v>
      </c>
      <c r="M899" s="706">
        <v>0</v>
      </c>
      <c r="N899"/>
      <c r="O899"/>
      <c r="P899"/>
      <c r="Q899"/>
      <c r="R899"/>
    </row>
    <row r="900" spans="3:18" x14ac:dyDescent="0.2">
      <c r="E900" s="670" t="str">
        <v>Denso</v>
      </c>
      <c r="K900" s="707">
        <f>K899</f>
        <v>12.5</v>
      </c>
      <c r="L900" s="706">
        <v>0</v>
      </c>
      <c r="M900" s="706">
        <v>0</v>
      </c>
      <c r="N900"/>
      <c r="O900"/>
      <c r="P900"/>
      <c r="Q900"/>
      <c r="R900"/>
    </row>
    <row r="901" spans="3:18" x14ac:dyDescent="0.2">
      <c r="E901" s="670" t="str">
        <v>Poco denso</v>
      </c>
      <c r="K901" s="707">
        <f t="shared" ref="K901" si="50">K900</f>
        <v>12.5</v>
      </c>
      <c r="L901" s="706">
        <v>0</v>
      </c>
      <c r="M901" s="706">
        <v>0</v>
      </c>
      <c r="N901"/>
      <c r="O901"/>
      <c r="P901"/>
      <c r="Q901"/>
      <c r="R901"/>
    </row>
    <row r="902" spans="3:18" x14ac:dyDescent="0.2">
      <c r="E902" s="670" t="str">
        <v>Otro</v>
      </c>
      <c r="K902" s="707">
        <f t="shared" ref="K902" si="51">K901</f>
        <v>12.5</v>
      </c>
      <c r="L902" s="706">
        <v>0</v>
      </c>
      <c r="M902" s="706">
        <v>0</v>
      </c>
      <c r="N902"/>
      <c r="O902"/>
      <c r="P902"/>
      <c r="Q902"/>
      <c r="R902"/>
    </row>
    <row r="903" spans="3:18" x14ac:dyDescent="0.2">
      <c r="E903" s="670" t="str">
        <v>Microceldas</v>
      </c>
      <c r="K903" s="707">
        <f t="shared" ref="K903" si="52">K902</f>
        <v>12.5</v>
      </c>
      <c r="L903" s="706">
        <v>0</v>
      </c>
      <c r="M903" s="706">
        <v>0</v>
      </c>
      <c r="N903"/>
      <c r="O903"/>
      <c r="P903"/>
      <c r="Q903"/>
      <c r="R903"/>
    </row>
    <row r="904" spans="3:18" x14ac:dyDescent="0.2">
      <c r="E904" s="670" t="str">
        <v>spare</v>
      </c>
      <c r="K904" s="706">
        <v>0</v>
      </c>
      <c r="L904" s="706">
        <v>0</v>
      </c>
      <c r="M904" s="706">
        <v>0</v>
      </c>
      <c r="N904"/>
      <c r="O904"/>
      <c r="P904"/>
      <c r="Q904"/>
      <c r="R904"/>
    </row>
    <row r="905" spans="3:18" x14ac:dyDescent="0.2">
      <c r="E905" s="670" t="str">
        <v>spare</v>
      </c>
      <c r="K905" s="706">
        <v>0</v>
      </c>
      <c r="L905" s="706">
        <v>0</v>
      </c>
      <c r="M905" s="706">
        <v>0</v>
      </c>
      <c r="N905"/>
      <c r="O905"/>
      <c r="P905"/>
      <c r="Q905"/>
      <c r="R905"/>
    </row>
    <row r="906" spans="3:18" x14ac:dyDescent="0.2">
      <c r="E906" s="670" t="str">
        <v>spare</v>
      </c>
      <c r="K906" s="706">
        <v>0</v>
      </c>
      <c r="L906" s="706">
        <v>0</v>
      </c>
      <c r="M906" s="706">
        <v>0</v>
      </c>
      <c r="N906"/>
      <c r="O906"/>
      <c r="P906"/>
      <c r="Q906"/>
      <c r="R906"/>
    </row>
    <row r="907" spans="3:18" x14ac:dyDescent="0.2">
      <c r="E907" s="670" t="str">
        <v>spare</v>
      </c>
      <c r="K907" s="706">
        <v>0</v>
      </c>
      <c r="L907" s="706">
        <v>0</v>
      </c>
      <c r="M907" s="706">
        <v>0</v>
      </c>
      <c r="N907"/>
      <c r="O907"/>
      <c r="P907"/>
      <c r="Q907"/>
      <c r="R907"/>
    </row>
    <row r="908" spans="3:18" x14ac:dyDescent="0.2">
      <c r="E908" s="670" t="str">
        <v>spare</v>
      </c>
      <c r="K908" s="706">
        <v>0</v>
      </c>
      <c r="L908" s="706">
        <v>0</v>
      </c>
      <c r="M908" s="706">
        <v>0</v>
      </c>
      <c r="N908"/>
      <c r="O908"/>
      <c r="P908"/>
      <c r="Q908"/>
      <c r="R908"/>
    </row>
    <row r="909" spans="3:18" x14ac:dyDescent="0.2">
      <c r="K909" s="631"/>
      <c r="N909"/>
      <c r="O909"/>
      <c r="P909"/>
      <c r="Q909"/>
      <c r="R909"/>
    </row>
    <row r="910" spans="3:18" x14ac:dyDescent="0.2">
      <c r="D910" s="708" t="s">
        <v>1348</v>
      </c>
      <c r="K910" s="635" t="str">
        <f t="array" ref="K910:M910">TRANSPOSE(Operators.list)</f>
        <v>Hipotético</v>
      </c>
      <c r="L910" s="635" t="str">
        <v>Spare</v>
      </c>
      <c r="M910" s="635" t="str">
        <v>Spare</v>
      </c>
      <c r="N910"/>
      <c r="O910"/>
      <c r="P910"/>
      <c r="Q910"/>
      <c r="R910"/>
    </row>
    <row r="911" spans="3:18" x14ac:dyDescent="0.2">
      <c r="E911" s="670" t="str">
        <f t="array" ref="E911:E920">Geotypes</f>
        <v>Muy denso</v>
      </c>
      <c r="K911" s="706">
        <v>5</v>
      </c>
      <c r="L911" s="706">
        <v>0</v>
      </c>
      <c r="M911" s="706">
        <v>0</v>
      </c>
      <c r="N911"/>
      <c r="O911"/>
      <c r="P911"/>
      <c r="Q911"/>
      <c r="R911"/>
    </row>
    <row r="912" spans="3:18" x14ac:dyDescent="0.2">
      <c r="E912" s="670" t="str">
        <v>Denso</v>
      </c>
      <c r="K912" s="707">
        <f>K911</f>
        <v>5</v>
      </c>
      <c r="L912" s="706">
        <v>0</v>
      </c>
      <c r="M912" s="706">
        <v>0</v>
      </c>
      <c r="N912"/>
      <c r="O912"/>
      <c r="P912"/>
      <c r="Q912"/>
      <c r="R912"/>
    </row>
    <row r="913" spans="4:18" x14ac:dyDescent="0.2">
      <c r="E913" s="670" t="str">
        <v>Poco denso</v>
      </c>
      <c r="K913" s="707">
        <f t="shared" ref="K913" si="53">K912</f>
        <v>5</v>
      </c>
      <c r="L913" s="706">
        <v>0</v>
      </c>
      <c r="M913" s="706">
        <v>0</v>
      </c>
      <c r="N913"/>
      <c r="O913"/>
      <c r="P913"/>
      <c r="Q913"/>
      <c r="R913"/>
    </row>
    <row r="914" spans="4:18" x14ac:dyDescent="0.2">
      <c r="E914" s="670" t="str">
        <v>Otro</v>
      </c>
      <c r="K914" s="707">
        <f t="shared" ref="K914" si="54">K913</f>
        <v>5</v>
      </c>
      <c r="L914" s="706">
        <v>0</v>
      </c>
      <c r="M914" s="706">
        <v>0</v>
      </c>
      <c r="N914"/>
      <c r="O914"/>
      <c r="P914"/>
      <c r="Q914"/>
    </row>
    <row r="915" spans="4:18" x14ac:dyDescent="0.2">
      <c r="E915" s="670" t="str">
        <v>Microceldas</v>
      </c>
      <c r="K915" s="707">
        <f t="shared" ref="K915" si="55">K914</f>
        <v>5</v>
      </c>
      <c r="L915" s="706">
        <v>0</v>
      </c>
      <c r="M915" s="706">
        <v>0</v>
      </c>
      <c r="N915"/>
      <c r="O915"/>
      <c r="P915"/>
      <c r="Q915"/>
    </row>
    <row r="916" spans="4:18" x14ac:dyDescent="0.2">
      <c r="E916" s="670" t="str">
        <v>spare</v>
      </c>
      <c r="K916" s="706">
        <v>0</v>
      </c>
      <c r="L916" s="706">
        <v>0</v>
      </c>
      <c r="M916" s="706">
        <v>0</v>
      </c>
      <c r="N916"/>
      <c r="O916"/>
      <c r="P916"/>
      <c r="Q916"/>
    </row>
    <row r="917" spans="4:18" x14ac:dyDescent="0.2">
      <c r="E917" s="670" t="str">
        <v>spare</v>
      </c>
      <c r="K917" s="706">
        <v>0</v>
      </c>
      <c r="L917" s="706">
        <v>0</v>
      </c>
      <c r="M917" s="706">
        <v>0</v>
      </c>
      <c r="N917"/>
      <c r="O917"/>
      <c r="P917"/>
      <c r="Q917"/>
    </row>
    <row r="918" spans="4:18" x14ac:dyDescent="0.2">
      <c r="E918" s="670" t="str">
        <v>spare</v>
      </c>
      <c r="K918" s="706">
        <v>0</v>
      </c>
      <c r="L918" s="706">
        <v>0</v>
      </c>
      <c r="M918" s="706">
        <v>0</v>
      </c>
      <c r="N918"/>
      <c r="O918"/>
      <c r="P918"/>
      <c r="Q918"/>
    </row>
    <row r="919" spans="4:18" x14ac:dyDescent="0.2">
      <c r="E919" s="670" t="str">
        <v>spare</v>
      </c>
      <c r="K919" s="706">
        <v>0</v>
      </c>
      <c r="L919" s="706">
        <v>0</v>
      </c>
      <c r="M919" s="706">
        <v>0</v>
      </c>
      <c r="N919"/>
      <c r="O919"/>
      <c r="P919"/>
      <c r="Q919"/>
    </row>
    <row r="920" spans="4:18" x14ac:dyDescent="0.2">
      <c r="E920" s="670" t="str">
        <v>spare</v>
      </c>
      <c r="K920" s="706">
        <v>0</v>
      </c>
      <c r="L920" s="706">
        <v>0</v>
      </c>
      <c r="M920" s="706">
        <v>0</v>
      </c>
      <c r="N920"/>
      <c r="O920"/>
      <c r="P920"/>
      <c r="Q920"/>
    </row>
    <row r="921" spans="4:18" x14ac:dyDescent="0.2">
      <c r="K921" s="631"/>
      <c r="N921"/>
      <c r="O921"/>
      <c r="P921"/>
      <c r="Q921"/>
    </row>
    <row r="922" spans="4:18" x14ac:dyDescent="0.2">
      <c r="D922" s="708" t="s">
        <v>1349</v>
      </c>
      <c r="K922" s="635" t="str">
        <f t="array" ref="K922:M922">TRANSPOSE(Operators.list)</f>
        <v>Hipotético</v>
      </c>
      <c r="L922" s="635" t="str">
        <v>Spare</v>
      </c>
      <c r="M922" s="635" t="str">
        <v>Spare</v>
      </c>
      <c r="N922"/>
      <c r="O922"/>
      <c r="P922"/>
      <c r="Q922"/>
    </row>
    <row r="923" spans="4:18" x14ac:dyDescent="0.2">
      <c r="E923" s="670" t="str">
        <f t="array" ref="E923:E932">Geotypes</f>
        <v>Muy denso</v>
      </c>
      <c r="K923" s="706">
        <v>7.5</v>
      </c>
      <c r="L923" s="706">
        <v>0</v>
      </c>
      <c r="M923" s="706">
        <v>0</v>
      </c>
      <c r="N923"/>
      <c r="O923"/>
      <c r="P923"/>
      <c r="Q923"/>
    </row>
    <row r="924" spans="4:18" x14ac:dyDescent="0.2">
      <c r="E924" s="670" t="str">
        <v>Denso</v>
      </c>
      <c r="K924" s="707">
        <f>K923</f>
        <v>7.5</v>
      </c>
      <c r="L924" s="706">
        <v>0</v>
      </c>
      <c r="M924" s="706">
        <v>0</v>
      </c>
      <c r="N924"/>
      <c r="O924"/>
      <c r="P924"/>
      <c r="Q924"/>
    </row>
    <row r="925" spans="4:18" x14ac:dyDescent="0.2">
      <c r="E925" s="670" t="str">
        <v>Poco denso</v>
      </c>
      <c r="K925" s="707">
        <f t="shared" ref="K925" si="56">K924</f>
        <v>7.5</v>
      </c>
      <c r="L925" s="706">
        <v>0</v>
      </c>
      <c r="M925" s="706">
        <v>0</v>
      </c>
      <c r="N925"/>
      <c r="O925"/>
      <c r="P925"/>
      <c r="Q925"/>
    </row>
    <row r="926" spans="4:18" x14ac:dyDescent="0.2">
      <c r="E926" s="670" t="str">
        <v>Otro</v>
      </c>
      <c r="K926" s="707">
        <f t="shared" ref="K926" si="57">K925</f>
        <v>7.5</v>
      </c>
      <c r="L926" s="706">
        <v>0</v>
      </c>
      <c r="M926" s="706">
        <v>0</v>
      </c>
      <c r="N926"/>
      <c r="O926"/>
      <c r="P926"/>
      <c r="Q926"/>
    </row>
    <row r="927" spans="4:18" x14ac:dyDescent="0.2">
      <c r="E927" s="670" t="str">
        <v>Microceldas</v>
      </c>
      <c r="K927" s="707">
        <f t="shared" ref="K927" si="58">K926</f>
        <v>7.5</v>
      </c>
      <c r="L927" s="706">
        <v>0</v>
      </c>
      <c r="M927" s="706">
        <v>0</v>
      </c>
      <c r="N927"/>
      <c r="O927"/>
      <c r="P927"/>
      <c r="Q927"/>
    </row>
    <row r="928" spans="4:18" x14ac:dyDescent="0.2">
      <c r="E928" s="670" t="str">
        <v>spare</v>
      </c>
      <c r="K928" s="706">
        <v>0</v>
      </c>
      <c r="L928" s="706">
        <v>0</v>
      </c>
      <c r="M928" s="706">
        <v>0</v>
      </c>
      <c r="N928"/>
      <c r="O928"/>
      <c r="P928"/>
      <c r="Q928"/>
    </row>
    <row r="929" spans="3:31" x14ac:dyDescent="0.2">
      <c r="E929" s="670" t="str">
        <v>spare</v>
      </c>
      <c r="K929" s="706">
        <v>0</v>
      </c>
      <c r="L929" s="706">
        <v>0</v>
      </c>
      <c r="M929" s="706">
        <v>0</v>
      </c>
      <c r="N929"/>
      <c r="O929"/>
      <c r="P929"/>
      <c r="Q929"/>
    </row>
    <row r="930" spans="3:31" x14ac:dyDescent="0.2">
      <c r="E930" s="670" t="str">
        <v>spare</v>
      </c>
      <c r="K930" s="706">
        <v>0</v>
      </c>
      <c r="L930" s="706">
        <v>0</v>
      </c>
      <c r="M930" s="706">
        <v>0</v>
      </c>
      <c r="N930"/>
      <c r="O930"/>
      <c r="P930"/>
      <c r="Q930"/>
    </row>
    <row r="931" spans="3:31" x14ac:dyDescent="0.2">
      <c r="E931" s="670" t="str">
        <v>spare</v>
      </c>
      <c r="K931" s="706">
        <v>0</v>
      </c>
      <c r="L931" s="706">
        <v>0</v>
      </c>
      <c r="M931" s="706">
        <v>0</v>
      </c>
      <c r="N931"/>
      <c r="O931"/>
      <c r="P931"/>
      <c r="Q931"/>
    </row>
    <row r="932" spans="3:31" x14ac:dyDescent="0.2">
      <c r="E932" s="670" t="str">
        <v>spare</v>
      </c>
      <c r="K932" s="706">
        <v>0</v>
      </c>
      <c r="L932" s="706">
        <v>0</v>
      </c>
      <c r="M932" s="706">
        <v>0</v>
      </c>
      <c r="N932"/>
      <c r="O932"/>
      <c r="P932"/>
      <c r="Q932"/>
    </row>
    <row r="933" spans="3:31" s="631" customFormat="1" x14ac:dyDescent="0.2">
      <c r="N933"/>
      <c r="O933"/>
      <c r="P933"/>
      <c r="Q933"/>
      <c r="S933"/>
      <c r="T933"/>
      <c r="U933"/>
      <c r="V933"/>
      <c r="W933"/>
      <c r="X933"/>
      <c r="Y933"/>
      <c r="Z933"/>
      <c r="AA933"/>
      <c r="AB933"/>
      <c r="AC933"/>
      <c r="AD933"/>
      <c r="AE933"/>
    </row>
    <row r="934" spans="3:31" s="631" customFormat="1" x14ac:dyDescent="0.2">
      <c r="D934" s="708" t="s">
        <v>1356</v>
      </c>
      <c r="N934"/>
      <c r="O934"/>
      <c r="P934"/>
      <c r="Q934"/>
      <c r="S934"/>
      <c r="T934"/>
      <c r="U934"/>
      <c r="V934"/>
      <c r="W934"/>
      <c r="X934"/>
      <c r="Y934"/>
      <c r="Z934"/>
      <c r="AA934"/>
      <c r="AB934"/>
      <c r="AC934"/>
      <c r="AD934"/>
      <c r="AE934"/>
    </row>
    <row r="935" spans="3:31" s="631" customFormat="1" x14ac:dyDescent="0.2">
      <c r="N935"/>
      <c r="O935"/>
      <c r="P935"/>
      <c r="Q935"/>
      <c r="S935"/>
      <c r="T935"/>
      <c r="U935"/>
      <c r="V935"/>
      <c r="W935"/>
      <c r="X935"/>
      <c r="Y935"/>
      <c r="Z935"/>
      <c r="AA935"/>
      <c r="AB935"/>
      <c r="AC935"/>
      <c r="AD935"/>
      <c r="AE935"/>
    </row>
    <row r="936" spans="3:31" s="631" customFormat="1" x14ac:dyDescent="0.2">
      <c r="N936"/>
      <c r="O936"/>
      <c r="P936"/>
      <c r="Q936"/>
      <c r="S936"/>
      <c r="T936"/>
      <c r="U936"/>
      <c r="V936"/>
      <c r="W936"/>
      <c r="X936"/>
      <c r="Y936"/>
      <c r="Z936"/>
      <c r="AA936"/>
      <c r="AB936"/>
      <c r="AC936"/>
      <c r="AD936"/>
      <c r="AE936"/>
    </row>
    <row r="937" spans="3:31" x14ac:dyDescent="0.2">
      <c r="C937" s="677">
        <v>2</v>
      </c>
      <c r="D937" s="657" t="str">
        <f>INDEX(Frequencies2,C937,)&amp;" MHz banda (2 veces X MHz)"</f>
        <v>900 MHz banda (2 veces X MHz)</v>
      </c>
      <c r="K937" s="635" t="str">
        <f t="array" ref="K937:M937">TRANSPOSE(Operators.list)</f>
        <v>Hipotético</v>
      </c>
      <c r="L937" s="635" t="str">
        <v>Spare</v>
      </c>
      <c r="M937" s="635" t="str">
        <v>Spare</v>
      </c>
      <c r="N937"/>
      <c r="O937"/>
      <c r="P937"/>
      <c r="Q937"/>
    </row>
    <row r="938" spans="3:31" x14ac:dyDescent="0.2">
      <c r="E938" s="670" t="str">
        <f t="array" ref="E938:E947">Geotypes</f>
        <v>Muy denso</v>
      </c>
      <c r="K938" s="706">
        <v>0</v>
      </c>
      <c r="L938" s="706">
        <v>0</v>
      </c>
      <c r="M938" s="706">
        <v>0</v>
      </c>
      <c r="N938"/>
      <c r="O938"/>
      <c r="P938"/>
      <c r="Q938"/>
    </row>
    <row r="939" spans="3:31" x14ac:dyDescent="0.2">
      <c r="E939" s="670" t="str">
        <v>Denso</v>
      </c>
      <c r="K939" s="707">
        <f>K938</f>
        <v>0</v>
      </c>
      <c r="L939" s="707">
        <f t="shared" ref="L939:M942" si="59">L938</f>
        <v>0</v>
      </c>
      <c r="M939" s="707">
        <f t="shared" si="59"/>
        <v>0</v>
      </c>
      <c r="N939"/>
      <c r="O939"/>
      <c r="P939"/>
      <c r="Q939"/>
    </row>
    <row r="940" spans="3:31" x14ac:dyDescent="0.2">
      <c r="E940" s="670" t="str">
        <v>Poco denso</v>
      </c>
      <c r="K940" s="707">
        <f t="shared" ref="K940" si="60">K939</f>
        <v>0</v>
      </c>
      <c r="L940" s="707">
        <f t="shared" ref="L940:L942" si="61">L939</f>
        <v>0</v>
      </c>
      <c r="M940" s="707">
        <f t="shared" si="59"/>
        <v>0</v>
      </c>
      <c r="N940"/>
      <c r="O940"/>
      <c r="P940"/>
      <c r="Q940"/>
    </row>
    <row r="941" spans="3:31" x14ac:dyDescent="0.2">
      <c r="E941" s="670" t="str">
        <v>Otro</v>
      </c>
      <c r="K941" s="707">
        <f t="shared" ref="K941" si="62">K940</f>
        <v>0</v>
      </c>
      <c r="L941" s="707">
        <f t="shared" si="61"/>
        <v>0</v>
      </c>
      <c r="M941" s="707">
        <f t="shared" si="59"/>
        <v>0</v>
      </c>
      <c r="N941"/>
      <c r="O941"/>
      <c r="P941"/>
      <c r="Q941"/>
    </row>
    <row r="942" spans="3:31" x14ac:dyDescent="0.2">
      <c r="E942" s="670" t="str">
        <v>Microceldas</v>
      </c>
      <c r="K942" s="707">
        <f t="shared" ref="K942" si="63">K941</f>
        <v>0</v>
      </c>
      <c r="L942" s="707">
        <f t="shared" si="61"/>
        <v>0</v>
      </c>
      <c r="M942" s="707">
        <f t="shared" si="59"/>
        <v>0</v>
      </c>
      <c r="N942"/>
      <c r="O942"/>
      <c r="P942"/>
      <c r="Q942"/>
    </row>
    <row r="943" spans="3:31" x14ac:dyDescent="0.2">
      <c r="E943" s="670" t="str">
        <v>spare</v>
      </c>
      <c r="K943" s="706">
        <v>0</v>
      </c>
      <c r="L943" s="706">
        <v>0</v>
      </c>
      <c r="M943" s="706">
        <v>0</v>
      </c>
      <c r="N943"/>
      <c r="O943"/>
      <c r="P943"/>
      <c r="Q943"/>
    </row>
    <row r="944" spans="3:31" x14ac:dyDescent="0.2">
      <c r="E944" s="670" t="str">
        <v>spare</v>
      </c>
      <c r="K944" s="706">
        <v>0</v>
      </c>
      <c r="L944" s="706">
        <v>0</v>
      </c>
      <c r="M944" s="706">
        <v>0</v>
      </c>
      <c r="N944"/>
      <c r="O944"/>
      <c r="P944"/>
      <c r="Q944"/>
    </row>
    <row r="945" spans="4:18" x14ac:dyDescent="0.2">
      <c r="E945" s="670" t="str">
        <v>spare</v>
      </c>
      <c r="K945" s="706">
        <v>0</v>
      </c>
      <c r="L945" s="706">
        <v>0</v>
      </c>
      <c r="M945" s="706">
        <v>0</v>
      </c>
      <c r="N945"/>
      <c r="O945"/>
      <c r="P945"/>
      <c r="Q945"/>
    </row>
    <row r="946" spans="4:18" x14ac:dyDescent="0.2">
      <c r="E946" s="670" t="str">
        <v>spare</v>
      </c>
      <c r="K946" s="706">
        <v>0</v>
      </c>
      <c r="L946" s="706">
        <v>0</v>
      </c>
      <c r="M946" s="706">
        <v>0</v>
      </c>
      <c r="N946"/>
      <c r="O946"/>
      <c r="P946"/>
      <c r="Q946"/>
    </row>
    <row r="947" spans="4:18" x14ac:dyDescent="0.2">
      <c r="E947" s="670" t="str">
        <v>spare</v>
      </c>
      <c r="K947" s="706">
        <v>0</v>
      </c>
      <c r="L947" s="706">
        <v>0</v>
      </c>
      <c r="M947" s="706">
        <v>0</v>
      </c>
      <c r="N947"/>
      <c r="O947"/>
      <c r="P947"/>
      <c r="Q947"/>
    </row>
    <row r="948" spans="4:18" x14ac:dyDescent="0.2">
      <c r="K948" s="631"/>
      <c r="N948"/>
      <c r="O948"/>
      <c r="P948"/>
      <c r="Q948"/>
    </row>
    <row r="949" spans="4:18" x14ac:dyDescent="0.2">
      <c r="D949" s="708" t="s">
        <v>1348</v>
      </c>
      <c r="K949" s="635" t="str">
        <f t="array" ref="K949:M949">TRANSPOSE(Operators.list)</f>
        <v>Hipotético</v>
      </c>
      <c r="L949" s="635" t="str">
        <v>Spare</v>
      </c>
      <c r="M949" s="635" t="str">
        <v>Spare</v>
      </c>
      <c r="N949"/>
      <c r="O949"/>
      <c r="P949"/>
      <c r="Q949"/>
    </row>
    <row r="950" spans="4:18" x14ac:dyDescent="0.2">
      <c r="E950" s="670" t="str">
        <f t="array" ref="E950:E959">Geotypes</f>
        <v>Muy denso</v>
      </c>
      <c r="K950" s="706">
        <v>0</v>
      </c>
      <c r="L950" s="706">
        <v>0</v>
      </c>
      <c r="M950" s="706">
        <v>0</v>
      </c>
      <c r="N950"/>
      <c r="O950"/>
      <c r="P950"/>
      <c r="Q950"/>
    </row>
    <row r="951" spans="4:18" x14ac:dyDescent="0.2">
      <c r="E951" s="670" t="str">
        <v>Denso</v>
      </c>
      <c r="K951" s="707">
        <f>K950</f>
        <v>0</v>
      </c>
      <c r="L951" s="706">
        <v>0</v>
      </c>
      <c r="M951" s="706">
        <v>0</v>
      </c>
      <c r="N951"/>
      <c r="O951"/>
      <c r="P951"/>
      <c r="Q951"/>
    </row>
    <row r="952" spans="4:18" x14ac:dyDescent="0.2">
      <c r="E952" s="670" t="str">
        <v>Poco denso</v>
      </c>
      <c r="K952" s="707">
        <f t="shared" ref="K952" si="64">K951</f>
        <v>0</v>
      </c>
      <c r="L952" s="706">
        <v>0</v>
      </c>
      <c r="M952" s="706">
        <v>0</v>
      </c>
      <c r="N952"/>
      <c r="O952"/>
      <c r="P952"/>
      <c r="Q952"/>
    </row>
    <row r="953" spans="4:18" x14ac:dyDescent="0.2">
      <c r="E953" s="670" t="str">
        <v>Otro</v>
      </c>
      <c r="K953" s="707">
        <f t="shared" ref="K953" si="65">K952</f>
        <v>0</v>
      </c>
      <c r="L953" s="706">
        <v>0</v>
      </c>
      <c r="M953" s="706">
        <v>0</v>
      </c>
      <c r="N953"/>
      <c r="O953"/>
      <c r="P953"/>
      <c r="Q953"/>
    </row>
    <row r="954" spans="4:18" x14ac:dyDescent="0.2">
      <c r="E954" s="670" t="str">
        <v>Microceldas</v>
      </c>
      <c r="K954" s="707">
        <f t="shared" ref="K954" si="66">K953</f>
        <v>0</v>
      </c>
      <c r="L954" s="706">
        <v>0</v>
      </c>
      <c r="M954" s="706">
        <v>0</v>
      </c>
      <c r="N954"/>
      <c r="O954"/>
      <c r="P954"/>
      <c r="Q954"/>
    </row>
    <row r="955" spans="4:18" x14ac:dyDescent="0.2">
      <c r="E955" s="670" t="str">
        <v>spare</v>
      </c>
      <c r="K955" s="706">
        <v>0</v>
      </c>
      <c r="L955" s="706">
        <v>0</v>
      </c>
      <c r="M955" s="706">
        <v>0</v>
      </c>
      <c r="N955"/>
      <c r="O955"/>
      <c r="P955"/>
      <c r="Q955"/>
    </row>
    <row r="956" spans="4:18" x14ac:dyDescent="0.2">
      <c r="E956" s="670" t="str">
        <v>spare</v>
      </c>
      <c r="K956" s="706">
        <v>0</v>
      </c>
      <c r="L956" s="706">
        <v>0</v>
      </c>
      <c r="M956" s="706">
        <v>0</v>
      </c>
      <c r="N956"/>
      <c r="O956"/>
      <c r="P956"/>
      <c r="Q956"/>
    </row>
    <row r="957" spans="4:18" x14ac:dyDescent="0.2">
      <c r="E957" s="670" t="str">
        <v>spare</v>
      </c>
      <c r="K957" s="706">
        <v>0</v>
      </c>
      <c r="L957" s="706">
        <v>0</v>
      </c>
      <c r="M957" s="706">
        <v>0</v>
      </c>
      <c r="N957"/>
      <c r="O957"/>
      <c r="P957"/>
      <c r="Q957"/>
    </row>
    <row r="958" spans="4:18" x14ac:dyDescent="0.2">
      <c r="E958" s="670" t="str">
        <v>spare</v>
      </c>
      <c r="K958" s="706">
        <v>0</v>
      </c>
      <c r="L958" s="706">
        <v>0</v>
      </c>
      <c r="M958" s="706">
        <v>0</v>
      </c>
      <c r="N958"/>
      <c r="O958"/>
      <c r="P958"/>
      <c r="Q958"/>
    </row>
    <row r="959" spans="4:18" x14ac:dyDescent="0.2">
      <c r="E959" s="670" t="str">
        <v>spare</v>
      </c>
      <c r="K959" s="706">
        <v>0</v>
      </c>
      <c r="L959" s="706">
        <v>0</v>
      </c>
      <c r="M959" s="706">
        <v>0</v>
      </c>
      <c r="N959"/>
      <c r="O959"/>
      <c r="P959"/>
      <c r="Q959"/>
      <c r="R959"/>
    </row>
    <row r="960" spans="4:18" x14ac:dyDescent="0.2">
      <c r="K960" s="631"/>
      <c r="N960"/>
      <c r="O960"/>
      <c r="P960"/>
      <c r="Q960"/>
      <c r="R960"/>
    </row>
    <row r="961" spans="3:31" x14ac:dyDescent="0.2">
      <c r="D961" s="708" t="s">
        <v>1349</v>
      </c>
      <c r="K961" s="635" t="str">
        <f t="array" ref="K961:M961">TRANSPOSE(Operators.list)</f>
        <v>Hipotético</v>
      </c>
      <c r="L961" s="635" t="str">
        <v>Spare</v>
      </c>
      <c r="M961" s="635" t="str">
        <v>Spare</v>
      </c>
      <c r="N961"/>
      <c r="O961"/>
      <c r="P961"/>
      <c r="Q961"/>
      <c r="R961"/>
    </row>
    <row r="962" spans="3:31" x14ac:dyDescent="0.2">
      <c r="E962" s="670" t="str">
        <f t="array" ref="E962:E971">Geotypes</f>
        <v>Muy denso</v>
      </c>
      <c r="K962" s="706">
        <v>0</v>
      </c>
      <c r="L962" s="706">
        <v>0</v>
      </c>
      <c r="M962" s="706">
        <v>0</v>
      </c>
      <c r="N962"/>
      <c r="O962"/>
      <c r="P962"/>
      <c r="Q962"/>
      <c r="R962"/>
    </row>
    <row r="963" spans="3:31" x14ac:dyDescent="0.2">
      <c r="E963" s="670" t="str">
        <v>Denso</v>
      </c>
      <c r="K963" s="707">
        <f>K962</f>
        <v>0</v>
      </c>
      <c r="L963" s="706">
        <v>0</v>
      </c>
      <c r="M963" s="706">
        <v>0</v>
      </c>
      <c r="N963"/>
      <c r="O963"/>
      <c r="P963"/>
      <c r="Q963"/>
      <c r="R963"/>
    </row>
    <row r="964" spans="3:31" x14ac:dyDescent="0.2">
      <c r="E964" s="670" t="str">
        <v>Poco denso</v>
      </c>
      <c r="K964" s="707">
        <f t="shared" ref="K964" si="67">K963</f>
        <v>0</v>
      </c>
      <c r="L964" s="706">
        <v>0</v>
      </c>
      <c r="M964" s="706">
        <v>0</v>
      </c>
      <c r="N964"/>
      <c r="O964"/>
      <c r="P964"/>
      <c r="Q964"/>
      <c r="R964"/>
    </row>
    <row r="965" spans="3:31" x14ac:dyDescent="0.2">
      <c r="E965" s="670" t="str">
        <v>Otro</v>
      </c>
      <c r="K965" s="707">
        <f t="shared" ref="K965" si="68">K964</f>
        <v>0</v>
      </c>
      <c r="L965" s="706">
        <v>0</v>
      </c>
      <c r="M965" s="706">
        <v>0</v>
      </c>
      <c r="N965"/>
      <c r="O965"/>
      <c r="P965"/>
      <c r="Q965"/>
      <c r="R965"/>
    </row>
    <row r="966" spans="3:31" x14ac:dyDescent="0.2">
      <c r="E966" s="670" t="str">
        <v>Microceldas</v>
      </c>
      <c r="K966" s="707">
        <f t="shared" ref="K966" si="69">K965</f>
        <v>0</v>
      </c>
      <c r="L966" s="706">
        <v>0</v>
      </c>
      <c r="M966" s="706">
        <v>0</v>
      </c>
      <c r="N966"/>
      <c r="O966"/>
      <c r="P966"/>
      <c r="Q966"/>
      <c r="R966"/>
    </row>
    <row r="967" spans="3:31" x14ac:dyDescent="0.2">
      <c r="E967" s="670" t="str">
        <v>spare</v>
      </c>
      <c r="K967" s="706">
        <v>0</v>
      </c>
      <c r="L967" s="706">
        <v>0</v>
      </c>
      <c r="M967" s="706">
        <v>0</v>
      </c>
      <c r="N967"/>
      <c r="O967"/>
      <c r="P967"/>
      <c r="Q967"/>
      <c r="R967"/>
    </row>
    <row r="968" spans="3:31" x14ac:dyDescent="0.2">
      <c r="E968" s="670" t="str">
        <v>spare</v>
      </c>
      <c r="K968" s="706">
        <v>0</v>
      </c>
      <c r="L968" s="706">
        <v>0</v>
      </c>
      <c r="M968" s="706">
        <v>0</v>
      </c>
      <c r="N968"/>
      <c r="O968"/>
      <c r="P968"/>
      <c r="Q968"/>
      <c r="R968"/>
    </row>
    <row r="969" spans="3:31" x14ac:dyDescent="0.2">
      <c r="E969" s="670" t="str">
        <v>spare</v>
      </c>
      <c r="K969" s="706">
        <v>0</v>
      </c>
      <c r="L969" s="706">
        <v>0</v>
      </c>
      <c r="M969" s="706">
        <v>0</v>
      </c>
      <c r="N969"/>
      <c r="O969"/>
      <c r="P969"/>
      <c r="Q969"/>
      <c r="R969"/>
    </row>
    <row r="970" spans="3:31" x14ac:dyDescent="0.2">
      <c r="E970" s="670" t="str">
        <v>spare</v>
      </c>
      <c r="K970" s="706">
        <v>0</v>
      </c>
      <c r="L970" s="706">
        <v>0</v>
      </c>
      <c r="M970" s="706">
        <v>0</v>
      </c>
      <c r="N970"/>
      <c r="O970"/>
      <c r="P970"/>
      <c r="Q970"/>
      <c r="R970"/>
    </row>
    <row r="971" spans="3:31" x14ac:dyDescent="0.2">
      <c r="E971" s="670" t="str">
        <v>spare</v>
      </c>
      <c r="K971" s="706">
        <v>0</v>
      </c>
      <c r="L971" s="706">
        <v>0</v>
      </c>
      <c r="M971" s="706">
        <v>0</v>
      </c>
      <c r="N971"/>
      <c r="O971"/>
      <c r="P971"/>
      <c r="Q971"/>
      <c r="R971"/>
    </row>
    <row r="972" spans="3:31" s="631" customFormat="1" x14ac:dyDescent="0.2">
      <c r="N972"/>
      <c r="O972"/>
      <c r="P972"/>
      <c r="Q972"/>
      <c r="R972"/>
      <c r="S972"/>
      <c r="T972"/>
      <c r="U972"/>
      <c r="V972"/>
      <c r="W972"/>
      <c r="X972"/>
      <c r="Y972"/>
      <c r="Z972"/>
      <c r="AA972"/>
      <c r="AB972"/>
      <c r="AC972"/>
      <c r="AD972"/>
      <c r="AE972"/>
    </row>
    <row r="973" spans="3:31" s="631" customFormat="1" x14ac:dyDescent="0.2">
      <c r="D973" s="708" t="s">
        <v>1356</v>
      </c>
      <c r="N973"/>
      <c r="O973"/>
      <c r="P973"/>
      <c r="Q973"/>
      <c r="R973"/>
      <c r="S973"/>
      <c r="T973"/>
      <c r="U973"/>
      <c r="V973"/>
      <c r="W973"/>
      <c r="X973"/>
      <c r="Y973"/>
      <c r="Z973"/>
      <c r="AA973"/>
      <c r="AB973"/>
      <c r="AC973"/>
      <c r="AD973"/>
      <c r="AE973"/>
    </row>
    <row r="974" spans="3:31" s="631" customFormat="1" x14ac:dyDescent="0.2">
      <c r="N974"/>
      <c r="O974"/>
      <c r="P974"/>
      <c r="Q974"/>
      <c r="R974"/>
      <c r="S974"/>
      <c r="T974"/>
      <c r="U974"/>
      <c r="V974"/>
      <c r="W974"/>
      <c r="X974"/>
      <c r="Y974"/>
      <c r="Z974"/>
      <c r="AA974"/>
      <c r="AB974"/>
      <c r="AC974"/>
      <c r="AD974"/>
      <c r="AE974"/>
    </row>
    <row r="975" spans="3:31" s="631" customFormat="1" x14ac:dyDescent="0.2">
      <c r="N975"/>
      <c r="O975"/>
      <c r="P975"/>
      <c r="Q975"/>
      <c r="R975"/>
      <c r="S975"/>
      <c r="T975"/>
      <c r="U975"/>
      <c r="V975"/>
      <c r="W975"/>
      <c r="X975"/>
      <c r="Y975"/>
      <c r="Z975"/>
      <c r="AA975"/>
      <c r="AB975"/>
      <c r="AC975"/>
      <c r="AD975"/>
      <c r="AE975"/>
    </row>
    <row r="976" spans="3:31" x14ac:dyDescent="0.2">
      <c r="C976" s="677">
        <v>3</v>
      </c>
      <c r="D976" s="657" t="str">
        <f>INDEX(Frequencies2,C976,)&amp;" MHz banda (2 veces X MHz)"</f>
        <v>1900 MHz banda (2 veces X MHz)</v>
      </c>
      <c r="K976" s="635" t="str">
        <f t="array" ref="K976:M976">TRANSPOSE(Operators.list)</f>
        <v>Hipotético</v>
      </c>
      <c r="L976" s="635" t="str">
        <v>Spare</v>
      </c>
      <c r="M976" s="635" t="str">
        <v>Spare</v>
      </c>
      <c r="N976"/>
      <c r="O976"/>
      <c r="P976"/>
      <c r="Q976"/>
      <c r="R976"/>
    </row>
    <row r="977" spans="4:18" x14ac:dyDescent="0.2">
      <c r="E977" s="670" t="str">
        <f t="array" ref="E977:E986">Geotypes</f>
        <v>Muy denso</v>
      </c>
      <c r="K977" s="706">
        <v>20</v>
      </c>
      <c r="L977" s="706">
        <v>0</v>
      </c>
      <c r="M977" s="706">
        <v>0</v>
      </c>
      <c r="N977"/>
      <c r="O977"/>
      <c r="P977"/>
      <c r="Q977"/>
      <c r="R977"/>
    </row>
    <row r="978" spans="4:18" x14ac:dyDescent="0.2">
      <c r="E978" s="670" t="str">
        <v>Denso</v>
      </c>
      <c r="K978" s="707">
        <f>K977</f>
        <v>20</v>
      </c>
      <c r="L978" s="706">
        <v>0</v>
      </c>
      <c r="M978" s="706">
        <v>0</v>
      </c>
      <c r="N978"/>
      <c r="O978"/>
      <c r="P978"/>
      <c r="Q978"/>
      <c r="R978"/>
    </row>
    <row r="979" spans="4:18" x14ac:dyDescent="0.2">
      <c r="E979" s="670" t="str">
        <v>Poco denso</v>
      </c>
      <c r="K979" s="707">
        <f t="shared" ref="K979" si="70">K978</f>
        <v>20</v>
      </c>
      <c r="L979" s="706">
        <v>0</v>
      </c>
      <c r="M979" s="706">
        <v>0</v>
      </c>
      <c r="N979"/>
      <c r="O979"/>
      <c r="P979"/>
      <c r="Q979"/>
      <c r="R979"/>
    </row>
    <row r="980" spans="4:18" x14ac:dyDescent="0.2">
      <c r="E980" s="670" t="str">
        <v>Otro</v>
      </c>
      <c r="K980" s="707">
        <f t="shared" ref="K980" si="71">K979</f>
        <v>20</v>
      </c>
      <c r="L980" s="706">
        <v>0</v>
      </c>
      <c r="M980" s="706">
        <v>0</v>
      </c>
      <c r="N980"/>
      <c r="O980"/>
      <c r="P980"/>
      <c r="Q980"/>
      <c r="R980"/>
    </row>
    <row r="981" spans="4:18" x14ac:dyDescent="0.2">
      <c r="E981" s="670" t="str">
        <v>Microceldas</v>
      </c>
      <c r="K981" s="707">
        <f t="shared" ref="K981" si="72">K980</f>
        <v>20</v>
      </c>
      <c r="L981" s="706">
        <v>0</v>
      </c>
      <c r="M981" s="706">
        <v>0</v>
      </c>
      <c r="N981"/>
      <c r="O981"/>
      <c r="P981"/>
      <c r="Q981"/>
      <c r="R981"/>
    </row>
    <row r="982" spans="4:18" x14ac:dyDescent="0.2">
      <c r="E982" s="670" t="str">
        <v>spare</v>
      </c>
      <c r="K982" s="706">
        <v>0</v>
      </c>
      <c r="L982" s="706">
        <v>0</v>
      </c>
      <c r="M982" s="706">
        <v>0</v>
      </c>
      <c r="N982"/>
      <c r="O982"/>
      <c r="P982"/>
      <c r="Q982"/>
      <c r="R982"/>
    </row>
    <row r="983" spans="4:18" x14ac:dyDescent="0.2">
      <c r="E983" s="670" t="str">
        <v>spare</v>
      </c>
      <c r="K983" s="706">
        <v>0</v>
      </c>
      <c r="L983" s="706">
        <v>0</v>
      </c>
      <c r="M983" s="706">
        <v>0</v>
      </c>
      <c r="N983"/>
      <c r="O983"/>
      <c r="P983"/>
      <c r="Q983"/>
      <c r="R983"/>
    </row>
    <row r="984" spans="4:18" x14ac:dyDescent="0.2">
      <c r="E984" s="670" t="str">
        <v>spare</v>
      </c>
      <c r="K984" s="706">
        <v>0</v>
      </c>
      <c r="L984" s="706">
        <v>0</v>
      </c>
      <c r="M984" s="706">
        <v>0</v>
      </c>
      <c r="N984"/>
      <c r="O984"/>
      <c r="P984"/>
      <c r="Q984"/>
      <c r="R984"/>
    </row>
    <row r="985" spans="4:18" x14ac:dyDescent="0.2">
      <c r="E985" s="670" t="str">
        <v>spare</v>
      </c>
      <c r="K985" s="706">
        <v>0</v>
      </c>
      <c r="L985" s="706">
        <v>0</v>
      </c>
      <c r="M985" s="706">
        <v>0</v>
      </c>
      <c r="N985"/>
      <c r="O985"/>
      <c r="P985"/>
      <c r="Q985"/>
      <c r="R985"/>
    </row>
    <row r="986" spans="4:18" x14ac:dyDescent="0.2">
      <c r="E986" s="670" t="str">
        <v>spare</v>
      </c>
      <c r="K986" s="706">
        <v>0</v>
      </c>
      <c r="L986" s="706">
        <v>0</v>
      </c>
      <c r="M986" s="706">
        <v>0</v>
      </c>
      <c r="N986"/>
      <c r="O986"/>
      <c r="P986"/>
      <c r="Q986"/>
      <c r="R986"/>
    </row>
    <row r="987" spans="4:18" x14ac:dyDescent="0.2">
      <c r="K987" s="631"/>
      <c r="N987"/>
      <c r="O987"/>
      <c r="P987"/>
      <c r="Q987"/>
      <c r="R987"/>
    </row>
    <row r="988" spans="4:18" x14ac:dyDescent="0.2">
      <c r="D988" s="708" t="s">
        <v>1348</v>
      </c>
      <c r="K988" s="635" t="str">
        <f t="array" ref="K988:M988">TRANSPOSE(Operators.list)</f>
        <v>Hipotético</v>
      </c>
      <c r="L988" s="635" t="str">
        <v>Spare</v>
      </c>
      <c r="M988" s="635" t="str">
        <v>Spare</v>
      </c>
      <c r="N988"/>
      <c r="O988"/>
      <c r="P988"/>
      <c r="Q988"/>
      <c r="R988"/>
    </row>
    <row r="989" spans="4:18" x14ac:dyDescent="0.2">
      <c r="E989" s="670" t="str">
        <f t="array" ref="E989:E998">Geotypes</f>
        <v>Muy denso</v>
      </c>
      <c r="K989" s="706">
        <v>10</v>
      </c>
      <c r="L989" s="706">
        <v>0</v>
      </c>
      <c r="M989" s="706">
        <v>0</v>
      </c>
      <c r="N989"/>
      <c r="O989"/>
      <c r="P989"/>
      <c r="Q989"/>
      <c r="R989"/>
    </row>
    <row r="990" spans="4:18" x14ac:dyDescent="0.2">
      <c r="E990" s="670" t="str">
        <v>Denso</v>
      </c>
      <c r="K990" s="707">
        <f>K989</f>
        <v>10</v>
      </c>
      <c r="L990" s="706">
        <v>0</v>
      </c>
      <c r="M990" s="706">
        <v>0</v>
      </c>
      <c r="N990"/>
      <c r="O990"/>
      <c r="P990"/>
      <c r="Q990"/>
      <c r="R990"/>
    </row>
    <row r="991" spans="4:18" x14ac:dyDescent="0.2">
      <c r="E991" s="670" t="str">
        <v>Poco denso</v>
      </c>
      <c r="K991" s="707">
        <f t="shared" ref="K991" si="73">K990</f>
        <v>10</v>
      </c>
      <c r="L991" s="706">
        <v>0</v>
      </c>
      <c r="M991" s="706">
        <v>0</v>
      </c>
      <c r="N991"/>
      <c r="O991"/>
      <c r="P991"/>
      <c r="Q991"/>
      <c r="R991"/>
    </row>
    <row r="992" spans="4:18" x14ac:dyDescent="0.2">
      <c r="E992" s="670" t="str">
        <v>Otro</v>
      </c>
      <c r="K992" s="707">
        <f t="shared" ref="K992" si="74">K991</f>
        <v>10</v>
      </c>
      <c r="L992" s="706">
        <v>0</v>
      </c>
      <c r="M992" s="706">
        <v>0</v>
      </c>
      <c r="N992"/>
      <c r="O992"/>
      <c r="P992"/>
      <c r="Q992"/>
    </row>
    <row r="993" spans="4:18" x14ac:dyDescent="0.2">
      <c r="E993" s="670" t="str">
        <v>Microceldas</v>
      </c>
      <c r="K993" s="707">
        <f t="shared" ref="K993" si="75">K992</f>
        <v>10</v>
      </c>
      <c r="L993" s="706">
        <v>0</v>
      </c>
      <c r="M993" s="706">
        <v>0</v>
      </c>
      <c r="N993"/>
      <c r="O993"/>
      <c r="P993"/>
      <c r="Q993"/>
    </row>
    <row r="994" spans="4:18" x14ac:dyDescent="0.2">
      <c r="E994" s="670" t="str">
        <v>spare</v>
      </c>
      <c r="K994" s="706">
        <v>0</v>
      </c>
      <c r="L994" s="706">
        <v>0</v>
      </c>
      <c r="M994" s="706">
        <v>0</v>
      </c>
      <c r="N994"/>
      <c r="O994"/>
      <c r="P994"/>
      <c r="Q994"/>
    </row>
    <row r="995" spans="4:18" x14ac:dyDescent="0.2">
      <c r="E995" s="670" t="str">
        <v>spare</v>
      </c>
      <c r="K995" s="706">
        <v>0</v>
      </c>
      <c r="L995" s="706">
        <v>0</v>
      </c>
      <c r="M995" s="706">
        <v>0</v>
      </c>
      <c r="N995"/>
      <c r="O995"/>
      <c r="P995"/>
      <c r="Q995"/>
    </row>
    <row r="996" spans="4:18" x14ac:dyDescent="0.2">
      <c r="E996" s="670" t="str">
        <v>spare</v>
      </c>
      <c r="K996" s="706">
        <v>0</v>
      </c>
      <c r="L996" s="706">
        <v>0</v>
      </c>
      <c r="M996" s="706">
        <v>0</v>
      </c>
      <c r="N996"/>
      <c r="O996"/>
      <c r="P996"/>
      <c r="Q996"/>
    </row>
    <row r="997" spans="4:18" x14ac:dyDescent="0.2">
      <c r="E997" s="670" t="str">
        <v>spare</v>
      </c>
      <c r="K997" s="706">
        <v>0</v>
      </c>
      <c r="L997" s="706">
        <v>0</v>
      </c>
      <c r="M997" s="706">
        <v>0</v>
      </c>
      <c r="N997"/>
      <c r="O997"/>
      <c r="P997"/>
      <c r="Q997"/>
    </row>
    <row r="998" spans="4:18" x14ac:dyDescent="0.2">
      <c r="E998" s="670" t="str">
        <v>spare</v>
      </c>
      <c r="K998" s="706">
        <v>0</v>
      </c>
      <c r="L998" s="706">
        <v>0</v>
      </c>
      <c r="M998" s="706">
        <v>0</v>
      </c>
      <c r="N998"/>
      <c r="O998"/>
      <c r="P998"/>
      <c r="Q998"/>
      <c r="R998"/>
    </row>
    <row r="999" spans="4:18" x14ac:dyDescent="0.2">
      <c r="K999" s="631"/>
      <c r="N999"/>
      <c r="O999"/>
      <c r="P999"/>
      <c r="Q999"/>
      <c r="R999"/>
    </row>
    <row r="1000" spans="4:18" x14ac:dyDescent="0.2">
      <c r="D1000" s="708" t="s">
        <v>1349</v>
      </c>
      <c r="K1000" s="635" t="str">
        <f t="array" ref="K1000:M1000">TRANSPOSE(Operators.list)</f>
        <v>Hipotético</v>
      </c>
      <c r="L1000" s="635" t="str">
        <v>Spare</v>
      </c>
      <c r="M1000" s="635" t="str">
        <v>Spare</v>
      </c>
      <c r="N1000"/>
      <c r="O1000"/>
      <c r="P1000"/>
      <c r="Q1000"/>
      <c r="R1000"/>
    </row>
    <row r="1001" spans="4:18" x14ac:dyDescent="0.2">
      <c r="E1001" s="670" t="str">
        <f t="array" ref="E1001:E1010">Geotypes</f>
        <v>Muy denso</v>
      </c>
      <c r="K1001" s="706">
        <v>10</v>
      </c>
      <c r="L1001" s="706">
        <v>0</v>
      </c>
      <c r="M1001" s="706">
        <v>0</v>
      </c>
      <c r="N1001"/>
      <c r="O1001"/>
      <c r="P1001"/>
      <c r="Q1001"/>
      <c r="R1001"/>
    </row>
    <row r="1002" spans="4:18" x14ac:dyDescent="0.2">
      <c r="E1002" s="670" t="str">
        <v>Denso</v>
      </c>
      <c r="K1002" s="707">
        <f>K1001</f>
        <v>10</v>
      </c>
      <c r="L1002" s="706">
        <v>0</v>
      </c>
      <c r="M1002" s="706">
        <v>0</v>
      </c>
      <c r="N1002"/>
      <c r="O1002"/>
      <c r="P1002"/>
      <c r="Q1002"/>
      <c r="R1002"/>
    </row>
    <row r="1003" spans="4:18" x14ac:dyDescent="0.2">
      <c r="E1003" s="670" t="str">
        <v>Poco denso</v>
      </c>
      <c r="K1003" s="707">
        <f t="shared" ref="K1003" si="76">K1002</f>
        <v>10</v>
      </c>
      <c r="L1003" s="706">
        <v>0</v>
      </c>
      <c r="M1003" s="706">
        <v>0</v>
      </c>
      <c r="N1003"/>
      <c r="O1003"/>
      <c r="P1003"/>
      <c r="Q1003"/>
      <c r="R1003"/>
    </row>
    <row r="1004" spans="4:18" x14ac:dyDescent="0.2">
      <c r="E1004" s="670" t="str">
        <v>Otro</v>
      </c>
      <c r="K1004" s="707">
        <f t="shared" ref="K1004" si="77">K1003</f>
        <v>10</v>
      </c>
      <c r="L1004" s="706">
        <v>0</v>
      </c>
      <c r="M1004" s="706">
        <v>0</v>
      </c>
      <c r="N1004"/>
      <c r="O1004"/>
      <c r="P1004"/>
      <c r="Q1004"/>
      <c r="R1004"/>
    </row>
    <row r="1005" spans="4:18" x14ac:dyDescent="0.2">
      <c r="E1005" s="670" t="str">
        <v>Microceldas</v>
      </c>
      <c r="K1005" s="707">
        <f t="shared" ref="K1005" si="78">K1004</f>
        <v>10</v>
      </c>
      <c r="L1005" s="706">
        <v>0</v>
      </c>
      <c r="M1005" s="706">
        <v>0</v>
      </c>
      <c r="N1005"/>
      <c r="O1005"/>
      <c r="P1005"/>
      <c r="Q1005"/>
      <c r="R1005"/>
    </row>
    <row r="1006" spans="4:18" x14ac:dyDescent="0.2">
      <c r="E1006" s="670" t="str">
        <v>spare</v>
      </c>
      <c r="K1006" s="706">
        <v>0</v>
      </c>
      <c r="L1006" s="706">
        <v>0</v>
      </c>
      <c r="M1006" s="706">
        <v>0</v>
      </c>
      <c r="N1006"/>
      <c r="O1006"/>
      <c r="P1006"/>
      <c r="Q1006"/>
      <c r="R1006"/>
    </row>
    <row r="1007" spans="4:18" x14ac:dyDescent="0.2">
      <c r="E1007" s="670" t="str">
        <v>spare</v>
      </c>
      <c r="K1007" s="706">
        <v>0</v>
      </c>
      <c r="L1007" s="706">
        <v>0</v>
      </c>
      <c r="M1007" s="706">
        <v>0</v>
      </c>
      <c r="N1007"/>
      <c r="O1007"/>
      <c r="P1007"/>
      <c r="Q1007"/>
      <c r="R1007"/>
    </row>
    <row r="1008" spans="4:18" x14ac:dyDescent="0.2">
      <c r="E1008" s="670" t="str">
        <v>spare</v>
      </c>
      <c r="K1008" s="706">
        <v>0</v>
      </c>
      <c r="L1008" s="706">
        <v>0</v>
      </c>
      <c r="M1008" s="706">
        <v>0</v>
      </c>
      <c r="N1008"/>
      <c r="O1008"/>
      <c r="P1008"/>
      <c r="Q1008"/>
      <c r="R1008"/>
    </row>
    <row r="1009" spans="3:31" x14ac:dyDescent="0.2">
      <c r="E1009" s="670" t="str">
        <v>spare</v>
      </c>
      <c r="K1009" s="706">
        <v>0</v>
      </c>
      <c r="L1009" s="706">
        <v>0</v>
      </c>
      <c r="M1009" s="706">
        <v>0</v>
      </c>
      <c r="N1009"/>
      <c r="O1009"/>
      <c r="P1009"/>
      <c r="Q1009"/>
      <c r="R1009"/>
    </row>
    <row r="1010" spans="3:31" x14ac:dyDescent="0.2">
      <c r="E1010" s="670" t="str">
        <v>spare</v>
      </c>
      <c r="K1010" s="706">
        <v>0</v>
      </c>
      <c r="L1010" s="706">
        <v>0</v>
      </c>
      <c r="M1010" s="706">
        <v>0</v>
      </c>
      <c r="N1010"/>
      <c r="O1010"/>
      <c r="P1010"/>
      <c r="Q1010"/>
      <c r="R1010"/>
    </row>
    <row r="1011" spans="3:31" s="631" customFormat="1" x14ac:dyDescent="0.2">
      <c r="C1011" s="632"/>
      <c r="N1011"/>
      <c r="O1011"/>
      <c r="P1011"/>
      <c r="Q1011"/>
      <c r="R1011"/>
      <c r="S1011"/>
      <c r="T1011"/>
      <c r="U1011"/>
      <c r="V1011"/>
      <c r="W1011"/>
      <c r="X1011"/>
      <c r="Y1011"/>
      <c r="Z1011"/>
      <c r="AA1011"/>
      <c r="AB1011"/>
      <c r="AC1011"/>
      <c r="AD1011"/>
      <c r="AE1011"/>
    </row>
    <row r="1012" spans="3:31" x14ac:dyDescent="0.2">
      <c r="D1012" s="708" t="s">
        <v>1356</v>
      </c>
      <c r="K1012" s="631"/>
      <c r="N1012"/>
      <c r="O1012"/>
      <c r="P1012"/>
      <c r="Q1012"/>
      <c r="R1012"/>
    </row>
    <row r="1013" spans="3:31" x14ac:dyDescent="0.2">
      <c r="K1013" s="631"/>
      <c r="N1013"/>
      <c r="O1013"/>
      <c r="P1013"/>
      <c r="Q1013"/>
      <c r="R1013"/>
    </row>
    <row r="1014" spans="3:31" x14ac:dyDescent="0.2">
      <c r="K1014" s="631"/>
      <c r="N1014"/>
      <c r="O1014"/>
      <c r="P1014"/>
      <c r="Q1014"/>
      <c r="R1014"/>
    </row>
    <row r="1015" spans="3:31" x14ac:dyDescent="0.2">
      <c r="C1015" s="677">
        <v>4</v>
      </c>
      <c r="D1015" s="657" t="str">
        <f>INDEX(Frequencies2,C1015,)&amp;" MHz banda (2 veces X MHz)"</f>
        <v>1700/2100 (AWS) MHz banda (2 veces X MHz)</v>
      </c>
      <c r="K1015" s="635" t="str">
        <f t="array" ref="K1015:M1015">TRANSPOSE(Operators.list)</f>
        <v>Hipotético</v>
      </c>
      <c r="L1015" s="635" t="str">
        <v>Spare</v>
      </c>
      <c r="M1015" s="635" t="str">
        <v>Spare</v>
      </c>
      <c r="N1015"/>
      <c r="O1015"/>
      <c r="P1015"/>
      <c r="Q1015"/>
      <c r="R1015"/>
    </row>
    <row r="1016" spans="3:31" x14ac:dyDescent="0.2">
      <c r="E1016" s="670" t="str">
        <f t="array" ref="E1016:E1025">Geotypes</f>
        <v>Muy denso</v>
      </c>
      <c r="K1016" s="706">
        <v>12.5</v>
      </c>
      <c r="L1016" s="706">
        <v>0</v>
      </c>
      <c r="M1016" s="706">
        <v>0</v>
      </c>
      <c r="N1016"/>
      <c r="O1016"/>
      <c r="P1016"/>
      <c r="Q1016"/>
      <c r="R1016"/>
    </row>
    <row r="1017" spans="3:31" x14ac:dyDescent="0.2">
      <c r="E1017" s="670" t="str">
        <v>Denso</v>
      </c>
      <c r="K1017" s="707">
        <f>K1016</f>
        <v>12.5</v>
      </c>
      <c r="L1017" s="706">
        <v>0</v>
      </c>
      <c r="M1017" s="706">
        <v>0</v>
      </c>
      <c r="N1017"/>
      <c r="O1017"/>
      <c r="P1017"/>
      <c r="Q1017"/>
      <c r="R1017"/>
    </row>
    <row r="1018" spans="3:31" x14ac:dyDescent="0.2">
      <c r="E1018" s="670" t="str">
        <v>Poco denso</v>
      </c>
      <c r="K1018" s="707">
        <f t="shared" ref="K1018" si="79">K1017</f>
        <v>12.5</v>
      </c>
      <c r="L1018" s="706">
        <v>0</v>
      </c>
      <c r="M1018" s="706">
        <v>0</v>
      </c>
      <c r="N1018"/>
      <c r="O1018"/>
      <c r="P1018"/>
      <c r="Q1018"/>
      <c r="R1018"/>
    </row>
    <row r="1019" spans="3:31" x14ac:dyDescent="0.2">
      <c r="E1019" s="670" t="str">
        <v>Otro</v>
      </c>
      <c r="K1019" s="707">
        <f t="shared" ref="K1019" si="80">K1018</f>
        <v>12.5</v>
      </c>
      <c r="L1019" s="706">
        <v>0</v>
      </c>
      <c r="M1019" s="706">
        <v>0</v>
      </c>
      <c r="N1019"/>
      <c r="O1019"/>
      <c r="P1019"/>
      <c r="Q1019"/>
      <c r="R1019"/>
    </row>
    <row r="1020" spans="3:31" x14ac:dyDescent="0.2">
      <c r="E1020" s="670" t="str">
        <v>Microceldas</v>
      </c>
      <c r="K1020" s="707">
        <f t="shared" ref="K1020" si="81">K1019</f>
        <v>12.5</v>
      </c>
      <c r="L1020" s="706">
        <v>0</v>
      </c>
      <c r="M1020" s="706">
        <v>0</v>
      </c>
      <c r="N1020"/>
      <c r="O1020"/>
      <c r="P1020"/>
      <c r="Q1020"/>
      <c r="R1020"/>
    </row>
    <row r="1021" spans="3:31" x14ac:dyDescent="0.2">
      <c r="E1021" s="670" t="str">
        <v>spare</v>
      </c>
      <c r="K1021" s="706">
        <v>0</v>
      </c>
      <c r="L1021" s="706">
        <v>0</v>
      </c>
      <c r="M1021" s="706">
        <v>0</v>
      </c>
      <c r="N1021"/>
      <c r="O1021"/>
      <c r="P1021"/>
      <c r="Q1021"/>
      <c r="R1021"/>
    </row>
    <row r="1022" spans="3:31" x14ac:dyDescent="0.2">
      <c r="E1022" s="670" t="str">
        <v>spare</v>
      </c>
      <c r="K1022" s="706">
        <v>0</v>
      </c>
      <c r="L1022" s="706">
        <v>0</v>
      </c>
      <c r="M1022" s="706">
        <v>0</v>
      </c>
      <c r="N1022"/>
      <c r="O1022"/>
      <c r="P1022"/>
      <c r="Q1022"/>
      <c r="R1022"/>
    </row>
    <row r="1023" spans="3:31" x14ac:dyDescent="0.2">
      <c r="E1023" s="670" t="str">
        <v>spare</v>
      </c>
      <c r="K1023" s="706">
        <v>0</v>
      </c>
      <c r="L1023" s="706">
        <v>0</v>
      </c>
      <c r="M1023" s="706">
        <v>0</v>
      </c>
      <c r="N1023"/>
      <c r="O1023"/>
      <c r="P1023"/>
      <c r="Q1023"/>
      <c r="R1023"/>
    </row>
    <row r="1024" spans="3:31" x14ac:dyDescent="0.2">
      <c r="E1024" s="670" t="str">
        <v>spare</v>
      </c>
      <c r="K1024" s="706">
        <v>0</v>
      </c>
      <c r="L1024" s="706">
        <v>0</v>
      </c>
      <c r="M1024" s="706">
        <v>0</v>
      </c>
      <c r="N1024"/>
      <c r="O1024"/>
      <c r="P1024"/>
      <c r="Q1024"/>
      <c r="R1024"/>
    </row>
    <row r="1025" spans="3:18" x14ac:dyDescent="0.2">
      <c r="E1025" s="670" t="str">
        <v>spare</v>
      </c>
      <c r="K1025" s="706">
        <v>0</v>
      </c>
      <c r="L1025" s="706">
        <v>0</v>
      </c>
      <c r="M1025" s="706">
        <v>0</v>
      </c>
      <c r="N1025"/>
      <c r="O1025"/>
      <c r="P1025"/>
      <c r="Q1025"/>
      <c r="R1025"/>
    </row>
    <row r="1026" spans="3:18" x14ac:dyDescent="0.2">
      <c r="K1026" s="631"/>
      <c r="N1026"/>
      <c r="O1026"/>
      <c r="P1026"/>
      <c r="Q1026"/>
      <c r="R1026"/>
    </row>
    <row r="1027" spans="3:18" x14ac:dyDescent="0.2">
      <c r="C1027" s="677">
        <v>5</v>
      </c>
      <c r="D1027" s="657" t="str">
        <f>INDEX(Frequencies2,C1027,)&amp;" MHz banda (2 veces X MHz)"</f>
        <v>Spare MHz banda (2 veces X MHz)</v>
      </c>
      <c r="K1027" s="635" t="str">
        <f t="array" ref="K1027:M1027">TRANSPOSE(Operators.list)</f>
        <v>Hipotético</v>
      </c>
      <c r="L1027" s="635" t="str">
        <v>Spare</v>
      </c>
      <c r="M1027" s="635" t="str">
        <v>Spare</v>
      </c>
      <c r="N1027"/>
      <c r="O1027"/>
      <c r="P1027"/>
      <c r="Q1027"/>
      <c r="R1027"/>
    </row>
    <row r="1028" spans="3:18" x14ac:dyDescent="0.2">
      <c r="E1028" s="670" t="str">
        <f t="array" ref="E1028:E1037">Geotypes</f>
        <v>Muy denso</v>
      </c>
      <c r="K1028" s="706">
        <v>0</v>
      </c>
      <c r="L1028" s="706">
        <v>0</v>
      </c>
      <c r="M1028" s="706">
        <v>0</v>
      </c>
      <c r="N1028"/>
      <c r="O1028"/>
      <c r="P1028"/>
      <c r="Q1028"/>
      <c r="R1028"/>
    </row>
    <row r="1029" spans="3:18" x14ac:dyDescent="0.2">
      <c r="E1029" s="670" t="str">
        <v>Denso</v>
      </c>
      <c r="K1029" s="707">
        <v>0</v>
      </c>
      <c r="L1029" s="706">
        <v>0</v>
      </c>
      <c r="M1029" s="706">
        <v>0</v>
      </c>
      <c r="N1029"/>
      <c r="O1029"/>
      <c r="P1029"/>
      <c r="Q1029"/>
    </row>
    <row r="1030" spans="3:18" x14ac:dyDescent="0.2">
      <c r="E1030" s="670" t="str">
        <v>Poco denso</v>
      </c>
      <c r="K1030" s="707">
        <v>0</v>
      </c>
      <c r="L1030" s="706">
        <v>0</v>
      </c>
      <c r="M1030" s="706">
        <v>0</v>
      </c>
      <c r="N1030"/>
      <c r="O1030"/>
      <c r="P1030"/>
      <c r="Q1030"/>
    </row>
    <row r="1031" spans="3:18" x14ac:dyDescent="0.2">
      <c r="E1031" s="670" t="str">
        <v>Otro</v>
      </c>
      <c r="K1031" s="707">
        <v>0</v>
      </c>
      <c r="L1031" s="706">
        <v>0</v>
      </c>
      <c r="M1031" s="706">
        <v>0</v>
      </c>
      <c r="N1031"/>
      <c r="O1031"/>
      <c r="P1031"/>
      <c r="Q1031"/>
    </row>
    <row r="1032" spans="3:18" x14ac:dyDescent="0.2">
      <c r="E1032" s="670" t="str">
        <v>Microceldas</v>
      </c>
      <c r="K1032" s="707">
        <v>0</v>
      </c>
      <c r="L1032" s="706">
        <v>0</v>
      </c>
      <c r="M1032" s="706">
        <v>0</v>
      </c>
      <c r="N1032"/>
      <c r="O1032"/>
      <c r="P1032"/>
      <c r="Q1032"/>
    </row>
    <row r="1033" spans="3:18" x14ac:dyDescent="0.2">
      <c r="E1033" s="670" t="str">
        <v>spare</v>
      </c>
      <c r="K1033" s="706">
        <v>0</v>
      </c>
      <c r="L1033" s="706">
        <v>0</v>
      </c>
      <c r="M1033" s="706">
        <v>0</v>
      </c>
      <c r="N1033"/>
      <c r="O1033"/>
      <c r="P1033"/>
      <c r="Q1033"/>
    </row>
    <row r="1034" spans="3:18" x14ac:dyDescent="0.2">
      <c r="E1034" s="670" t="str">
        <v>spare</v>
      </c>
      <c r="K1034" s="706">
        <v>0</v>
      </c>
      <c r="L1034" s="706">
        <v>0</v>
      </c>
      <c r="M1034" s="706">
        <v>0</v>
      </c>
      <c r="N1034"/>
      <c r="O1034"/>
      <c r="P1034"/>
      <c r="Q1034"/>
    </row>
    <row r="1035" spans="3:18" x14ac:dyDescent="0.2">
      <c r="E1035" s="670" t="str">
        <v>spare</v>
      </c>
      <c r="K1035" s="706">
        <v>0</v>
      </c>
      <c r="L1035" s="706">
        <v>0</v>
      </c>
      <c r="M1035" s="706">
        <v>0</v>
      </c>
      <c r="N1035"/>
      <c r="O1035"/>
      <c r="P1035"/>
      <c r="Q1035"/>
    </row>
    <row r="1036" spans="3:18" x14ac:dyDescent="0.2">
      <c r="E1036" s="670" t="str">
        <v>spare</v>
      </c>
      <c r="K1036" s="706">
        <v>0</v>
      </c>
      <c r="L1036" s="706">
        <v>0</v>
      </c>
      <c r="M1036" s="706">
        <v>0</v>
      </c>
      <c r="N1036"/>
      <c r="O1036"/>
      <c r="P1036"/>
      <c r="Q1036"/>
    </row>
    <row r="1037" spans="3:18" x14ac:dyDescent="0.2">
      <c r="E1037" s="670" t="str">
        <v>spare</v>
      </c>
      <c r="K1037" s="706">
        <v>0</v>
      </c>
      <c r="L1037" s="706">
        <v>0</v>
      </c>
      <c r="M1037" s="706">
        <v>0</v>
      </c>
      <c r="N1037"/>
      <c r="O1037"/>
      <c r="P1037"/>
      <c r="Q1037"/>
    </row>
    <row r="1038" spans="3:18" x14ac:dyDescent="0.2">
      <c r="K1038" s="631"/>
    </row>
    <row r="1039" spans="3:18" x14ac:dyDescent="0.2">
      <c r="K1039" s="631"/>
    </row>
    <row r="1041" spans="1:18" ht="18.75" thickBot="1" x14ac:dyDescent="0.25">
      <c r="A1041" s="638" t="s">
        <v>615</v>
      </c>
      <c r="B1041" s="638"/>
      <c r="C1041" s="639"/>
      <c r="D1041" s="639"/>
      <c r="E1041" s="639"/>
      <c r="F1041" s="639"/>
      <c r="G1041" s="639"/>
      <c r="H1041" s="639"/>
      <c r="I1041" s="639"/>
      <c r="J1041" s="639"/>
      <c r="K1041" s="639"/>
      <c r="L1041" s="639"/>
      <c r="M1041" s="639"/>
      <c r="N1041" s="639"/>
      <c r="O1041" s="639"/>
      <c r="P1041" s="639"/>
      <c r="Q1041" s="639"/>
      <c r="R1041" s="639"/>
    </row>
    <row r="1042" spans="1:18" x14ac:dyDescent="0.2">
      <c r="D1042" s="631"/>
    </row>
    <row r="1043" spans="1:18" x14ac:dyDescent="0.2">
      <c r="C1043" s="657" t="s">
        <v>584</v>
      </c>
      <c r="K1043" s="635" t="str">
        <f t="array" ref="K1043:M1043">TRANSPOSE(Operators.list)</f>
        <v>Hipotético</v>
      </c>
      <c r="L1043" s="635" t="str">
        <v>Spare</v>
      </c>
      <c r="M1043" s="635" t="str">
        <v>Spare</v>
      </c>
      <c r="N1043"/>
      <c r="O1043"/>
      <c r="P1043"/>
      <c r="Q1043"/>
    </row>
    <row r="1044" spans="1:18" x14ac:dyDescent="0.2">
      <c r="E1044" s="670" t="str">
        <f t="array" ref="E1044:E1053">Geotypes</f>
        <v>Muy denso</v>
      </c>
      <c r="K1044" s="709">
        <v>0.97599999999999998</v>
      </c>
      <c r="L1044" s="710">
        <v>0</v>
      </c>
      <c r="M1044" s="710">
        <v>0</v>
      </c>
      <c r="N1044"/>
      <c r="O1044"/>
      <c r="P1044"/>
      <c r="Q1044"/>
    </row>
    <row r="1045" spans="1:18" x14ac:dyDescent="0.2">
      <c r="E1045" s="670" t="str">
        <v>Denso</v>
      </c>
      <c r="K1045" s="709">
        <v>0.69699999999999995</v>
      </c>
      <c r="L1045" s="710">
        <v>0</v>
      </c>
      <c r="M1045" s="710">
        <v>0</v>
      </c>
      <c r="N1045"/>
      <c r="O1045"/>
      <c r="P1045"/>
      <c r="Q1045"/>
    </row>
    <row r="1046" spans="1:18" x14ac:dyDescent="0.2">
      <c r="E1046" s="670" t="str">
        <v>Poco denso</v>
      </c>
      <c r="K1046" s="709">
        <v>0.44500000000000001</v>
      </c>
      <c r="L1046" s="710">
        <v>0</v>
      </c>
      <c r="M1046" s="710">
        <v>0</v>
      </c>
      <c r="N1046"/>
      <c r="O1046"/>
      <c r="P1046"/>
      <c r="Q1046"/>
    </row>
    <row r="1047" spans="1:18" x14ac:dyDescent="0.2">
      <c r="E1047" s="670" t="str">
        <v>Otro</v>
      </c>
      <c r="K1047" s="709">
        <v>3.9E-2</v>
      </c>
      <c r="L1047" s="710">
        <v>0</v>
      </c>
      <c r="M1047" s="710">
        <v>0</v>
      </c>
      <c r="N1047"/>
      <c r="O1047"/>
      <c r="P1047"/>
      <c r="Q1047"/>
    </row>
    <row r="1048" spans="1:18" x14ac:dyDescent="0.2">
      <c r="E1048" s="670" t="str">
        <v>Microceldas</v>
      </c>
      <c r="K1048" s="709">
        <v>0</v>
      </c>
      <c r="L1048" s="710">
        <v>0</v>
      </c>
      <c r="M1048" s="710">
        <v>0</v>
      </c>
      <c r="N1048"/>
      <c r="O1048"/>
      <c r="P1048"/>
      <c r="Q1048"/>
    </row>
    <row r="1049" spans="1:18" x14ac:dyDescent="0.2">
      <c r="E1049" s="670" t="str">
        <v>spare</v>
      </c>
      <c r="K1049" s="709">
        <v>0</v>
      </c>
      <c r="L1049" s="710">
        <v>0</v>
      </c>
      <c r="M1049" s="710">
        <v>0</v>
      </c>
      <c r="N1049"/>
      <c r="O1049"/>
      <c r="P1049"/>
      <c r="Q1049"/>
    </row>
    <row r="1050" spans="1:18" x14ac:dyDescent="0.2">
      <c r="E1050" s="670" t="str">
        <v>spare</v>
      </c>
      <c r="K1050" s="709">
        <v>0</v>
      </c>
      <c r="L1050" s="710">
        <v>0</v>
      </c>
      <c r="M1050" s="710">
        <v>0</v>
      </c>
      <c r="N1050"/>
      <c r="O1050"/>
      <c r="P1050"/>
      <c r="Q1050"/>
    </row>
    <row r="1051" spans="1:18" x14ac:dyDescent="0.2">
      <c r="E1051" s="670" t="str">
        <v>spare</v>
      </c>
      <c r="K1051" s="709">
        <v>0</v>
      </c>
      <c r="L1051" s="710">
        <v>0</v>
      </c>
      <c r="M1051" s="710">
        <v>0</v>
      </c>
      <c r="N1051"/>
      <c r="O1051"/>
      <c r="P1051"/>
      <c r="Q1051"/>
    </row>
    <row r="1052" spans="1:18" x14ac:dyDescent="0.2">
      <c r="E1052" s="670" t="str">
        <v>spare</v>
      </c>
      <c r="K1052" s="709">
        <v>0</v>
      </c>
      <c r="L1052" s="710">
        <v>0</v>
      </c>
      <c r="M1052" s="710">
        <v>0</v>
      </c>
      <c r="N1052"/>
      <c r="O1052"/>
      <c r="P1052"/>
      <c r="Q1052"/>
    </row>
    <row r="1053" spans="1:18" x14ac:dyDescent="0.2">
      <c r="E1053" s="670" t="str">
        <v>spare</v>
      </c>
      <c r="K1053" s="709">
        <v>0</v>
      </c>
      <c r="L1053" s="710">
        <v>0</v>
      </c>
      <c r="M1053" s="710">
        <v>0</v>
      </c>
      <c r="N1053"/>
      <c r="O1053"/>
      <c r="P1053"/>
      <c r="Q1053"/>
    </row>
    <row r="1054" spans="1:18" x14ac:dyDescent="0.2">
      <c r="N1054"/>
      <c r="O1054"/>
      <c r="P1054"/>
      <c r="Q1054"/>
    </row>
    <row r="1055" spans="1:18" x14ac:dyDescent="0.2">
      <c r="C1055" s="657" t="s">
        <v>585</v>
      </c>
      <c r="K1055" s="635" t="str">
        <f t="array" ref="K1055:M1055">TRANSPOSE(Operators.list)</f>
        <v>Hipotético</v>
      </c>
      <c r="L1055" s="635" t="str">
        <v>Spare</v>
      </c>
      <c r="M1055" s="635" t="str">
        <v>Spare</v>
      </c>
      <c r="N1055"/>
      <c r="O1055"/>
      <c r="P1055"/>
      <c r="Q1055"/>
    </row>
    <row r="1056" spans="1:18" x14ac:dyDescent="0.2">
      <c r="E1056" s="670" t="str">
        <f t="array" ref="E1056:E1065">Geotypes</f>
        <v>Muy denso</v>
      </c>
      <c r="K1056" s="709">
        <v>0.83799999999999997</v>
      </c>
      <c r="L1056" s="711">
        <v>0</v>
      </c>
      <c r="M1056" s="711">
        <v>0</v>
      </c>
      <c r="N1056"/>
      <c r="O1056"/>
      <c r="P1056"/>
      <c r="Q1056"/>
    </row>
    <row r="1057" spans="3:17" x14ac:dyDescent="0.2">
      <c r="E1057" s="670" t="str">
        <v>Denso</v>
      </c>
      <c r="K1057" s="709">
        <v>0.501</v>
      </c>
      <c r="L1057" s="711">
        <v>0</v>
      </c>
      <c r="M1057" s="711">
        <v>0</v>
      </c>
      <c r="N1057"/>
      <c r="O1057"/>
      <c r="P1057"/>
      <c r="Q1057"/>
    </row>
    <row r="1058" spans="3:17" x14ac:dyDescent="0.2">
      <c r="E1058" s="670" t="str">
        <v>Poco denso</v>
      </c>
      <c r="K1058" s="709">
        <v>0.16700000000000001</v>
      </c>
      <c r="L1058" s="711">
        <v>0</v>
      </c>
      <c r="M1058" s="711">
        <v>0</v>
      </c>
      <c r="N1058"/>
      <c r="O1058"/>
      <c r="P1058"/>
      <c r="Q1058"/>
    </row>
    <row r="1059" spans="3:17" x14ac:dyDescent="0.2">
      <c r="E1059" s="670" t="str">
        <v>Otro</v>
      </c>
      <c r="K1059" s="709">
        <v>8.0000000000000002E-3</v>
      </c>
      <c r="L1059" s="711">
        <v>0</v>
      </c>
      <c r="M1059" s="711">
        <v>0</v>
      </c>
      <c r="N1059"/>
      <c r="O1059"/>
      <c r="P1059"/>
      <c r="Q1059"/>
    </row>
    <row r="1060" spans="3:17" x14ac:dyDescent="0.2">
      <c r="E1060" s="670" t="str">
        <v>Microceldas</v>
      </c>
      <c r="K1060" s="709">
        <v>0</v>
      </c>
      <c r="L1060" s="711">
        <v>0</v>
      </c>
      <c r="M1060" s="711">
        <v>0</v>
      </c>
      <c r="N1060"/>
      <c r="O1060"/>
      <c r="P1060"/>
      <c r="Q1060"/>
    </row>
    <row r="1061" spans="3:17" x14ac:dyDescent="0.2">
      <c r="E1061" s="670" t="str">
        <v>spare</v>
      </c>
      <c r="K1061" s="709">
        <v>0</v>
      </c>
      <c r="L1061" s="711">
        <v>0</v>
      </c>
      <c r="M1061" s="711">
        <v>0</v>
      </c>
      <c r="N1061"/>
      <c r="O1061"/>
      <c r="P1061"/>
      <c r="Q1061"/>
    </row>
    <row r="1062" spans="3:17" x14ac:dyDescent="0.2">
      <c r="E1062" s="670" t="str">
        <v>spare</v>
      </c>
      <c r="K1062" s="709">
        <v>0</v>
      </c>
      <c r="L1062" s="711">
        <v>0</v>
      </c>
      <c r="M1062" s="711">
        <v>0</v>
      </c>
      <c r="N1062"/>
      <c r="O1062"/>
      <c r="P1062"/>
      <c r="Q1062"/>
    </row>
    <row r="1063" spans="3:17" x14ac:dyDescent="0.2">
      <c r="E1063" s="670" t="str">
        <v>spare</v>
      </c>
      <c r="K1063" s="709">
        <v>0</v>
      </c>
      <c r="L1063" s="711">
        <v>0</v>
      </c>
      <c r="M1063" s="711">
        <v>0</v>
      </c>
      <c r="N1063"/>
      <c r="O1063"/>
      <c r="P1063"/>
      <c r="Q1063"/>
    </row>
    <row r="1064" spans="3:17" x14ac:dyDescent="0.2">
      <c r="E1064" s="670" t="str">
        <v>spare</v>
      </c>
      <c r="K1064" s="709">
        <v>0</v>
      </c>
      <c r="L1064" s="711">
        <v>0</v>
      </c>
      <c r="M1064" s="711">
        <v>0</v>
      </c>
      <c r="N1064"/>
      <c r="O1064"/>
      <c r="P1064"/>
      <c r="Q1064"/>
    </row>
    <row r="1065" spans="3:17" x14ac:dyDescent="0.2">
      <c r="E1065" s="670" t="str">
        <v>spare</v>
      </c>
      <c r="K1065" s="709">
        <v>0</v>
      </c>
      <c r="L1065" s="711">
        <v>0</v>
      </c>
      <c r="M1065" s="711">
        <v>0</v>
      </c>
      <c r="N1065"/>
      <c r="O1065"/>
      <c r="P1065"/>
      <c r="Q1065"/>
    </row>
    <row r="1066" spans="3:17" x14ac:dyDescent="0.2">
      <c r="N1066"/>
      <c r="O1066"/>
      <c r="P1066"/>
      <c r="Q1066"/>
    </row>
    <row r="1067" spans="3:17" x14ac:dyDescent="0.2">
      <c r="C1067" s="657" t="s">
        <v>586</v>
      </c>
      <c r="K1067" s="635" t="str">
        <f t="array" ref="K1067:M1067">TRANSPOSE(Operators.list)</f>
        <v>Hipotético</v>
      </c>
      <c r="L1067" s="635" t="str">
        <v>Spare</v>
      </c>
      <c r="M1067" s="635" t="str">
        <v>Spare</v>
      </c>
      <c r="N1067"/>
      <c r="O1067"/>
      <c r="P1067"/>
      <c r="Q1067"/>
    </row>
    <row r="1068" spans="3:17" x14ac:dyDescent="0.2">
      <c r="E1068" s="670" t="str">
        <f t="array" ref="E1068:E1077">Geotypes</f>
        <v>Muy denso</v>
      </c>
      <c r="K1068" s="709">
        <v>0.73599999999999999</v>
      </c>
      <c r="L1068" s="711">
        <v>0</v>
      </c>
      <c r="M1068" s="711">
        <v>0</v>
      </c>
      <c r="N1068"/>
      <c r="O1068"/>
      <c r="P1068"/>
      <c r="Q1068"/>
    </row>
    <row r="1069" spans="3:17" x14ac:dyDescent="0.2">
      <c r="E1069" s="670" t="str">
        <v>Denso</v>
      </c>
      <c r="K1069" s="709">
        <v>0.33100000000000002</v>
      </c>
      <c r="L1069" s="711">
        <v>0</v>
      </c>
      <c r="M1069" s="711">
        <v>0</v>
      </c>
      <c r="N1069"/>
      <c r="O1069"/>
      <c r="P1069"/>
      <c r="Q1069"/>
    </row>
    <row r="1070" spans="3:17" x14ac:dyDescent="0.2">
      <c r="E1070" s="670" t="str">
        <v>Poco denso</v>
      </c>
      <c r="K1070" s="709">
        <v>8.7999999999999995E-2</v>
      </c>
      <c r="L1070" s="711">
        <v>0</v>
      </c>
      <c r="M1070" s="711">
        <v>0</v>
      </c>
      <c r="N1070"/>
      <c r="O1070"/>
      <c r="P1070"/>
      <c r="Q1070"/>
    </row>
    <row r="1071" spans="3:17" x14ac:dyDescent="0.2">
      <c r="E1071" s="670" t="str">
        <v>Otro</v>
      </c>
      <c r="K1071" s="709">
        <v>2E-3</v>
      </c>
      <c r="L1071" s="711">
        <v>0</v>
      </c>
      <c r="M1071" s="711">
        <v>0</v>
      </c>
      <c r="N1071"/>
      <c r="O1071"/>
      <c r="P1071"/>
      <c r="Q1071"/>
    </row>
    <row r="1072" spans="3:17" x14ac:dyDescent="0.2">
      <c r="E1072" s="670" t="str">
        <v>Microceldas</v>
      </c>
      <c r="K1072" s="709">
        <v>0</v>
      </c>
      <c r="L1072" s="711">
        <v>0</v>
      </c>
      <c r="M1072" s="711">
        <v>0</v>
      </c>
      <c r="N1072"/>
      <c r="O1072"/>
      <c r="P1072"/>
      <c r="Q1072"/>
    </row>
    <row r="1073" spans="1:31" x14ac:dyDescent="0.2">
      <c r="E1073" s="670" t="str">
        <v>spare</v>
      </c>
      <c r="K1073" s="709">
        <v>0</v>
      </c>
      <c r="L1073" s="711">
        <v>0</v>
      </c>
      <c r="M1073" s="711">
        <v>0</v>
      </c>
      <c r="N1073"/>
      <c r="O1073"/>
      <c r="P1073"/>
      <c r="Q1073"/>
    </row>
    <row r="1074" spans="1:31" x14ac:dyDescent="0.2">
      <c r="E1074" s="670" t="str">
        <v>spare</v>
      </c>
      <c r="K1074" s="709">
        <v>0</v>
      </c>
      <c r="L1074" s="711">
        <v>0</v>
      </c>
      <c r="M1074" s="711">
        <v>0</v>
      </c>
      <c r="N1074"/>
      <c r="O1074"/>
      <c r="P1074"/>
      <c r="Q1074"/>
    </row>
    <row r="1075" spans="1:31" x14ac:dyDescent="0.2">
      <c r="E1075" s="670" t="str">
        <v>spare</v>
      </c>
      <c r="K1075" s="709">
        <v>0</v>
      </c>
      <c r="L1075" s="711">
        <v>0</v>
      </c>
      <c r="M1075" s="711">
        <v>0</v>
      </c>
      <c r="N1075"/>
      <c r="O1075"/>
      <c r="P1075"/>
      <c r="Q1075"/>
    </row>
    <row r="1076" spans="1:31" x14ac:dyDescent="0.2">
      <c r="E1076" s="670" t="str">
        <v>spare</v>
      </c>
      <c r="K1076" s="709">
        <v>0</v>
      </c>
      <c r="L1076" s="711">
        <v>0</v>
      </c>
      <c r="M1076" s="711">
        <v>0</v>
      </c>
      <c r="N1076"/>
      <c r="O1076"/>
      <c r="P1076"/>
      <c r="Q1076"/>
    </row>
    <row r="1077" spans="1:31" x14ac:dyDescent="0.2">
      <c r="E1077" s="670" t="str">
        <v>spare</v>
      </c>
      <c r="K1077" s="709">
        <v>0</v>
      </c>
      <c r="L1077" s="711">
        <v>0</v>
      </c>
      <c r="M1077" s="711">
        <v>0</v>
      </c>
      <c r="N1077"/>
      <c r="O1077"/>
      <c r="P1077"/>
      <c r="Q1077"/>
    </row>
    <row r="1078" spans="1:31" s="631" customFormat="1" x14ac:dyDescent="0.2">
      <c r="N1078"/>
      <c r="O1078"/>
      <c r="P1078"/>
      <c r="Q1078"/>
      <c r="S1078"/>
      <c r="T1078"/>
      <c r="U1078"/>
      <c r="V1078"/>
      <c r="W1078"/>
      <c r="X1078"/>
      <c r="Y1078"/>
      <c r="Z1078"/>
      <c r="AA1078"/>
      <c r="AB1078"/>
      <c r="AC1078"/>
      <c r="AD1078"/>
      <c r="AE1078"/>
    </row>
    <row r="1079" spans="1:31" x14ac:dyDescent="0.2">
      <c r="A1079" s="631"/>
      <c r="B1079" s="631"/>
      <c r="C1079" s="657" t="s">
        <v>1357</v>
      </c>
      <c r="G1079" s="631"/>
      <c r="K1079" s="635" t="str">
        <f t="array" ref="K1079:M1079">TRANSPOSE(Operators.list)</f>
        <v>Hipotético</v>
      </c>
      <c r="L1079" s="635" t="str">
        <v>Spare</v>
      </c>
      <c r="M1079" s="635" t="str">
        <v>Spare</v>
      </c>
      <c r="N1079"/>
      <c r="O1079"/>
      <c r="P1079"/>
      <c r="Q1079"/>
    </row>
    <row r="1080" spans="1:31" x14ac:dyDescent="0.2">
      <c r="A1080" s="631"/>
      <c r="B1080" s="631"/>
      <c r="E1080" s="632" t="s">
        <v>96</v>
      </c>
      <c r="G1080" s="631"/>
      <c r="K1080" s="712">
        <v>200</v>
      </c>
      <c r="L1080" s="713">
        <v>0</v>
      </c>
      <c r="M1080" s="713">
        <v>0</v>
      </c>
      <c r="N1080"/>
      <c r="O1080"/>
      <c r="P1080"/>
      <c r="Q1080"/>
    </row>
    <row r="1081" spans="1:31" x14ac:dyDescent="0.2">
      <c r="A1081" s="631"/>
      <c r="B1081" s="631"/>
      <c r="E1081" s="632" t="s">
        <v>97</v>
      </c>
      <c r="G1081" s="631"/>
      <c r="K1081" s="712">
        <v>200</v>
      </c>
      <c r="L1081" s="713">
        <v>0</v>
      </c>
      <c r="M1081" s="713">
        <v>0</v>
      </c>
      <c r="N1081"/>
      <c r="O1081"/>
      <c r="P1081"/>
      <c r="Q1081"/>
    </row>
    <row r="1082" spans="1:31" x14ac:dyDescent="0.2">
      <c r="A1082" s="631"/>
      <c r="B1082" s="631"/>
      <c r="E1082" s="632" t="s">
        <v>985</v>
      </c>
      <c r="G1082" s="631"/>
      <c r="K1082" s="712">
        <v>100</v>
      </c>
      <c r="L1082" s="713">
        <v>0</v>
      </c>
      <c r="M1082" s="713">
        <v>0</v>
      </c>
      <c r="N1082"/>
      <c r="O1082"/>
      <c r="P1082"/>
      <c r="Q1082"/>
    </row>
    <row r="1083" spans="1:31" x14ac:dyDescent="0.2">
      <c r="G1083" s="631"/>
    </row>
    <row r="1084" spans="1:31" x14ac:dyDescent="0.2">
      <c r="G1084" s="631"/>
    </row>
    <row r="1085" spans="1:31" x14ac:dyDescent="0.2">
      <c r="G1085" s="631"/>
    </row>
    <row r="1086" spans="1:31" ht="18.75" thickBot="1" x14ac:dyDescent="0.25">
      <c r="A1086" s="638" t="s">
        <v>1694</v>
      </c>
      <c r="B1086" s="638"/>
      <c r="C1086" s="639"/>
      <c r="D1086" s="639"/>
      <c r="E1086" s="639"/>
      <c r="F1086" s="639"/>
      <c r="G1086" s="639"/>
      <c r="H1086" s="639"/>
      <c r="I1086" s="639"/>
      <c r="J1086" s="639"/>
      <c r="K1086" s="639"/>
      <c r="L1086" s="639"/>
      <c r="M1086" s="639"/>
      <c r="N1086" s="639"/>
      <c r="O1086" s="639"/>
      <c r="P1086" s="639"/>
      <c r="Q1086" s="639"/>
      <c r="R1086" s="639"/>
    </row>
    <row r="1087" spans="1:31" s="631" customFormat="1" x14ac:dyDescent="0.2">
      <c r="S1087"/>
      <c r="T1087"/>
      <c r="U1087"/>
      <c r="V1087"/>
      <c r="W1087"/>
      <c r="X1087"/>
      <c r="Y1087"/>
      <c r="Z1087"/>
      <c r="AA1087"/>
      <c r="AB1087"/>
      <c r="AC1087"/>
      <c r="AD1087"/>
      <c r="AE1087"/>
    </row>
    <row r="1088" spans="1:31" s="631" customFormat="1" x14ac:dyDescent="0.2">
      <c r="C1088" s="657" t="s">
        <v>1358</v>
      </c>
      <c r="D1088" s="632"/>
      <c r="K1088" s="635" t="str">
        <f t="array" ref="K1088:M1088">TRANSPOSE(Operators.list)</f>
        <v>Hipotético</v>
      </c>
      <c r="L1088" s="635" t="str">
        <v>Spare</v>
      </c>
      <c r="M1088" s="635" t="str">
        <v>Spare</v>
      </c>
      <c r="N1088"/>
      <c r="O1088"/>
      <c r="P1088"/>
      <c r="Q1088"/>
      <c r="S1088"/>
      <c r="T1088"/>
      <c r="U1088"/>
      <c r="V1088"/>
      <c r="W1088"/>
      <c r="X1088"/>
      <c r="Y1088"/>
      <c r="Z1088"/>
      <c r="AA1088"/>
      <c r="AB1088"/>
      <c r="AC1088"/>
      <c r="AD1088"/>
      <c r="AE1088"/>
    </row>
    <row r="1089" spans="1:31" s="631" customFormat="1" x14ac:dyDescent="0.2">
      <c r="C1089" s="632"/>
      <c r="D1089" s="632"/>
      <c r="E1089" s="632" t="s">
        <v>1359</v>
      </c>
      <c r="K1089" s="714">
        <v>0.25</v>
      </c>
      <c r="L1089" s="715">
        <v>0</v>
      </c>
      <c r="M1089" s="715">
        <v>0</v>
      </c>
      <c r="N1089"/>
      <c r="O1089"/>
      <c r="P1089"/>
      <c r="Q1089"/>
      <c r="S1089"/>
      <c r="T1089"/>
      <c r="U1089"/>
      <c r="V1089"/>
      <c r="W1089"/>
      <c r="X1089"/>
      <c r="Y1089"/>
      <c r="Z1089"/>
      <c r="AA1089"/>
      <c r="AB1089"/>
      <c r="AC1089"/>
      <c r="AD1089"/>
      <c r="AE1089"/>
    </row>
    <row r="1090" spans="1:31" s="631" customFormat="1" x14ac:dyDescent="0.2">
      <c r="C1090" s="632"/>
      <c r="D1090" s="632"/>
      <c r="E1090" s="632" t="s">
        <v>1360</v>
      </c>
      <c r="K1090" s="714">
        <v>0.75</v>
      </c>
      <c r="L1090" s="715">
        <v>0</v>
      </c>
      <c r="M1090" s="715">
        <v>0</v>
      </c>
      <c r="N1090"/>
      <c r="O1090"/>
      <c r="P1090"/>
      <c r="Q1090"/>
      <c r="S1090"/>
      <c r="T1090"/>
      <c r="U1090"/>
      <c r="V1090"/>
      <c r="W1090"/>
      <c r="X1090"/>
      <c r="Y1090"/>
      <c r="Z1090"/>
      <c r="AA1090"/>
      <c r="AB1090"/>
      <c r="AC1090"/>
      <c r="AD1090"/>
      <c r="AE1090"/>
    </row>
    <row r="1091" spans="1:31" s="631" customFormat="1" x14ac:dyDescent="0.2">
      <c r="C1091" s="632"/>
      <c r="D1091" s="632"/>
      <c r="E1091" s="632" t="s">
        <v>1361</v>
      </c>
      <c r="K1091" s="714">
        <v>0</v>
      </c>
      <c r="L1091" s="715">
        <v>0</v>
      </c>
      <c r="M1091" s="715">
        <v>0</v>
      </c>
      <c r="N1091"/>
      <c r="O1091"/>
      <c r="P1091"/>
      <c r="Q1091"/>
      <c r="S1091"/>
      <c r="T1091"/>
      <c r="U1091"/>
      <c r="V1091"/>
      <c r="W1091"/>
      <c r="X1091"/>
      <c r="Y1091"/>
      <c r="Z1091"/>
      <c r="AA1091"/>
      <c r="AB1091"/>
      <c r="AC1091"/>
      <c r="AD1091"/>
      <c r="AE1091"/>
    </row>
    <row r="1092" spans="1:31" s="631" customFormat="1" x14ac:dyDescent="0.2">
      <c r="N1092"/>
      <c r="O1092"/>
      <c r="P1092"/>
      <c r="Q1092"/>
      <c r="S1092"/>
      <c r="T1092"/>
      <c r="U1092"/>
      <c r="V1092"/>
      <c r="W1092"/>
      <c r="X1092"/>
      <c r="Y1092"/>
      <c r="Z1092"/>
      <c r="AA1092"/>
      <c r="AB1092"/>
      <c r="AC1092"/>
      <c r="AD1092"/>
      <c r="AE1092"/>
    </row>
    <row r="1093" spans="1:31" s="631" customFormat="1" x14ac:dyDescent="0.2">
      <c r="C1093" s="657" t="s">
        <v>1362</v>
      </c>
      <c r="D1093" s="632"/>
      <c r="K1093" s="635" t="str">
        <f t="array" ref="K1093:M1093">TRANSPOSE(Operators.list)</f>
        <v>Hipotético</v>
      </c>
      <c r="L1093" s="635" t="str">
        <v>Spare</v>
      </c>
      <c r="M1093" s="635" t="str">
        <v>Spare</v>
      </c>
      <c r="N1093"/>
      <c r="O1093"/>
      <c r="P1093"/>
      <c r="Q1093"/>
      <c r="S1093"/>
      <c r="T1093"/>
      <c r="U1093"/>
      <c r="V1093"/>
      <c r="W1093"/>
      <c r="X1093"/>
      <c r="Y1093"/>
      <c r="Z1093"/>
      <c r="AA1093"/>
      <c r="AB1093"/>
      <c r="AC1093"/>
      <c r="AD1093"/>
      <c r="AE1093"/>
    </row>
    <row r="1094" spans="1:31" s="631" customFormat="1" x14ac:dyDescent="0.2">
      <c r="C1094" s="632"/>
      <c r="D1094" s="632"/>
      <c r="E1094" s="632" t="s">
        <v>1359</v>
      </c>
      <c r="K1094" s="714">
        <v>0.2</v>
      </c>
      <c r="L1094" s="715">
        <v>0</v>
      </c>
      <c r="M1094" s="715">
        <v>0</v>
      </c>
      <c r="N1094"/>
      <c r="O1094"/>
      <c r="P1094"/>
      <c r="Q1094"/>
      <c r="S1094"/>
      <c r="T1094"/>
      <c r="U1094"/>
      <c r="V1094"/>
      <c r="W1094"/>
      <c r="X1094"/>
      <c r="Y1094"/>
      <c r="Z1094"/>
      <c r="AA1094"/>
      <c r="AB1094"/>
      <c r="AC1094"/>
      <c r="AD1094"/>
      <c r="AE1094"/>
    </row>
    <row r="1095" spans="1:31" s="631" customFormat="1" x14ac:dyDescent="0.2">
      <c r="C1095" s="632"/>
      <c r="D1095" s="632"/>
      <c r="E1095" s="632" t="s">
        <v>1360</v>
      </c>
      <c r="K1095" s="714">
        <v>0.5</v>
      </c>
      <c r="L1095" s="715">
        <v>0</v>
      </c>
      <c r="M1095" s="715">
        <v>0</v>
      </c>
      <c r="N1095"/>
      <c r="O1095"/>
      <c r="P1095"/>
      <c r="Q1095"/>
      <c r="S1095"/>
      <c r="T1095"/>
      <c r="U1095"/>
      <c r="V1095"/>
      <c r="W1095"/>
      <c r="X1095"/>
      <c r="Y1095"/>
      <c r="Z1095"/>
      <c r="AA1095"/>
      <c r="AB1095"/>
      <c r="AC1095"/>
      <c r="AD1095"/>
      <c r="AE1095"/>
    </row>
    <row r="1096" spans="1:31" s="631" customFormat="1" x14ac:dyDescent="0.2">
      <c r="C1096" s="632"/>
      <c r="D1096" s="632"/>
      <c r="E1096" s="632" t="s">
        <v>1361</v>
      </c>
      <c r="K1096" s="714">
        <v>0.3</v>
      </c>
      <c r="L1096" s="715">
        <v>0</v>
      </c>
      <c r="M1096" s="715">
        <v>0</v>
      </c>
      <c r="N1096"/>
      <c r="O1096"/>
      <c r="P1096"/>
      <c r="Q1096"/>
      <c r="S1096"/>
      <c r="T1096"/>
      <c r="U1096"/>
      <c r="V1096"/>
      <c r="W1096"/>
      <c r="X1096"/>
      <c r="Y1096"/>
      <c r="Z1096"/>
      <c r="AA1096"/>
      <c r="AB1096"/>
      <c r="AC1096"/>
      <c r="AD1096"/>
      <c r="AE1096"/>
    </row>
    <row r="1097" spans="1:31" s="631" customFormat="1" x14ac:dyDescent="0.2">
      <c r="N1097"/>
      <c r="O1097"/>
      <c r="P1097"/>
      <c r="Q1097"/>
      <c r="S1097"/>
      <c r="T1097"/>
      <c r="U1097"/>
      <c r="V1097"/>
      <c r="W1097"/>
      <c r="X1097"/>
      <c r="Y1097"/>
      <c r="Z1097"/>
      <c r="AA1097"/>
      <c r="AB1097"/>
      <c r="AC1097"/>
      <c r="AD1097"/>
      <c r="AE1097"/>
    </row>
    <row r="1098" spans="1:31" x14ac:dyDescent="0.2">
      <c r="A1098" s="631"/>
      <c r="B1098" s="631"/>
      <c r="C1098" s="657" t="s">
        <v>629</v>
      </c>
      <c r="N1098"/>
      <c r="O1098"/>
      <c r="P1098"/>
      <c r="Q1098"/>
    </row>
    <row r="1099" spans="1:31" x14ac:dyDescent="0.2">
      <c r="A1099" s="631"/>
      <c r="B1099" s="631"/>
      <c r="C1099" s="657"/>
      <c r="E1099" s="657" t="s">
        <v>96</v>
      </c>
      <c r="G1099" s="631"/>
      <c r="K1099" s="635" t="str">
        <f t="array" ref="K1099:M1099">TRANSPOSE(Operators.list)</f>
        <v>Hipotético</v>
      </c>
      <c r="L1099" s="635" t="str">
        <v>Spare</v>
      </c>
      <c r="M1099" s="635" t="str">
        <v>Spare</v>
      </c>
      <c r="N1099"/>
      <c r="O1099"/>
      <c r="P1099"/>
      <c r="Q1099"/>
    </row>
    <row r="1100" spans="1:31" x14ac:dyDescent="0.2">
      <c r="A1100" s="631"/>
      <c r="B1100" s="631"/>
      <c r="E1100" s="670" t="str">
        <f t="array" ref="E1100:E1109">Geotypes</f>
        <v>Muy denso</v>
      </c>
      <c r="K1100" s="714">
        <v>0.7</v>
      </c>
      <c r="L1100" s="715">
        <v>0</v>
      </c>
      <c r="M1100" s="715">
        <v>0</v>
      </c>
      <c r="N1100"/>
      <c r="O1100"/>
      <c r="P1100"/>
      <c r="Q1100"/>
    </row>
    <row r="1101" spans="1:31" x14ac:dyDescent="0.2">
      <c r="A1101" s="631"/>
      <c r="B1101" s="631"/>
      <c r="E1101" s="670" t="str">
        <v>Denso</v>
      </c>
      <c r="K1101" s="714">
        <v>0.18</v>
      </c>
      <c r="L1101" s="715">
        <v>0</v>
      </c>
      <c r="M1101" s="715">
        <v>0</v>
      </c>
      <c r="N1101"/>
      <c r="O1101"/>
      <c r="P1101"/>
      <c r="Q1101"/>
    </row>
    <row r="1102" spans="1:31" x14ac:dyDescent="0.2">
      <c r="A1102" s="631"/>
      <c r="B1102" s="631"/>
      <c r="E1102" s="670" t="str">
        <v>Poco denso</v>
      </c>
      <c r="K1102" s="714">
        <v>7.0000000000000007E-2</v>
      </c>
      <c r="L1102" s="715">
        <v>0</v>
      </c>
      <c r="M1102" s="715">
        <v>0</v>
      </c>
      <c r="N1102"/>
      <c r="O1102"/>
      <c r="P1102"/>
      <c r="Q1102"/>
    </row>
    <row r="1103" spans="1:31" x14ac:dyDescent="0.2">
      <c r="A1103" s="631"/>
      <c r="B1103" s="631"/>
      <c r="E1103" s="670" t="str">
        <v>Otro</v>
      </c>
      <c r="K1103" s="714">
        <v>0</v>
      </c>
      <c r="L1103" s="715">
        <v>0</v>
      </c>
      <c r="M1103" s="715">
        <v>0</v>
      </c>
      <c r="N1103"/>
      <c r="O1103"/>
      <c r="P1103"/>
      <c r="Q1103"/>
    </row>
    <row r="1104" spans="1:31" x14ac:dyDescent="0.2">
      <c r="A1104" s="631"/>
      <c r="B1104" s="631"/>
      <c r="E1104" s="670" t="str">
        <v>Microceldas</v>
      </c>
      <c r="K1104" s="716">
        <f>1-SUM(K1100:K1103)</f>
        <v>5.0000000000000044E-2</v>
      </c>
      <c r="L1104" s="715">
        <v>0</v>
      </c>
      <c r="M1104" s="715">
        <v>0</v>
      </c>
      <c r="N1104"/>
      <c r="O1104"/>
      <c r="P1104"/>
      <c r="Q1104"/>
    </row>
    <row r="1105" spans="1:17" x14ac:dyDescent="0.2">
      <c r="A1105" s="631"/>
      <c r="B1105" s="631"/>
      <c r="E1105" s="670" t="str">
        <v>spare</v>
      </c>
      <c r="K1105" s="714"/>
      <c r="L1105" s="715">
        <v>0</v>
      </c>
      <c r="M1105" s="715">
        <v>0</v>
      </c>
      <c r="N1105"/>
      <c r="O1105"/>
      <c r="P1105"/>
      <c r="Q1105"/>
    </row>
    <row r="1106" spans="1:17" x14ac:dyDescent="0.2">
      <c r="A1106" s="631"/>
      <c r="B1106" s="631"/>
      <c r="E1106" s="670" t="str">
        <v>spare</v>
      </c>
      <c r="K1106" s="714"/>
      <c r="L1106" s="715">
        <v>0</v>
      </c>
      <c r="M1106" s="715">
        <v>0</v>
      </c>
      <c r="N1106"/>
      <c r="O1106"/>
      <c r="P1106"/>
      <c r="Q1106"/>
    </row>
    <row r="1107" spans="1:17" x14ac:dyDescent="0.2">
      <c r="A1107" s="631"/>
      <c r="B1107" s="631"/>
      <c r="E1107" s="670" t="str">
        <v>spare</v>
      </c>
      <c r="K1107" s="714"/>
      <c r="L1107" s="715">
        <v>0</v>
      </c>
      <c r="M1107" s="715">
        <v>0</v>
      </c>
      <c r="N1107"/>
      <c r="O1107"/>
      <c r="P1107"/>
      <c r="Q1107"/>
    </row>
    <row r="1108" spans="1:17" x14ac:dyDescent="0.2">
      <c r="A1108" s="631"/>
      <c r="B1108" s="631"/>
      <c r="E1108" s="670" t="str">
        <v>spare</v>
      </c>
      <c r="G1108" s="631"/>
      <c r="K1108" s="714"/>
      <c r="L1108" s="715">
        <v>0</v>
      </c>
      <c r="M1108" s="715">
        <v>0</v>
      </c>
      <c r="N1108"/>
      <c r="O1108"/>
      <c r="P1108"/>
      <c r="Q1108"/>
    </row>
    <row r="1109" spans="1:17" x14ac:dyDescent="0.2">
      <c r="A1109" s="631"/>
      <c r="B1109" s="631"/>
      <c r="E1109" s="670" t="str">
        <v>spare</v>
      </c>
      <c r="G1109" s="631"/>
      <c r="K1109" s="714"/>
      <c r="L1109" s="715">
        <v>0</v>
      </c>
      <c r="M1109" s="715">
        <v>0</v>
      </c>
      <c r="N1109"/>
      <c r="O1109"/>
      <c r="P1109"/>
      <c r="Q1109"/>
    </row>
    <row r="1110" spans="1:17" x14ac:dyDescent="0.2">
      <c r="A1110" s="631"/>
      <c r="B1110" s="631"/>
      <c r="G1110" s="631"/>
      <c r="N1110"/>
      <c r="O1110"/>
      <c r="P1110"/>
      <c r="Q1110"/>
    </row>
    <row r="1111" spans="1:17" x14ac:dyDescent="0.2">
      <c r="A1111" s="631"/>
      <c r="B1111" s="631"/>
      <c r="C1111" s="657"/>
      <c r="E1111" s="657" t="s">
        <v>97</v>
      </c>
      <c r="G1111" s="631"/>
      <c r="K1111" s="635" t="str">
        <f t="array" ref="K1111:M1111">TRANSPOSE(Operators.list)</f>
        <v>Hipotético</v>
      </c>
      <c r="L1111" s="635" t="str">
        <v>Spare</v>
      </c>
      <c r="M1111" s="635" t="str">
        <v>Spare</v>
      </c>
      <c r="N1111"/>
      <c r="O1111"/>
      <c r="P1111"/>
      <c r="Q1111"/>
    </row>
    <row r="1112" spans="1:17" x14ac:dyDescent="0.2">
      <c r="A1112" s="631"/>
      <c r="B1112" s="631"/>
      <c r="E1112" s="670" t="str">
        <f t="array" ref="E1112:E1121">Geotypes</f>
        <v>Muy denso</v>
      </c>
      <c r="G1112" s="631"/>
      <c r="K1112" s="714">
        <v>0.7</v>
      </c>
      <c r="L1112" s="715">
        <v>0</v>
      </c>
      <c r="M1112" s="715">
        <v>0</v>
      </c>
      <c r="N1112"/>
      <c r="O1112"/>
      <c r="P1112"/>
      <c r="Q1112"/>
    </row>
    <row r="1113" spans="1:17" x14ac:dyDescent="0.2">
      <c r="A1113" s="631"/>
      <c r="B1113" s="631"/>
      <c r="E1113" s="670" t="str">
        <v>Denso</v>
      </c>
      <c r="G1113" s="631"/>
      <c r="K1113" s="714">
        <v>0.2</v>
      </c>
      <c r="L1113" s="715">
        <v>0</v>
      </c>
      <c r="M1113" s="715">
        <v>0</v>
      </c>
      <c r="N1113"/>
      <c r="O1113"/>
      <c r="P1113"/>
      <c r="Q1113"/>
    </row>
    <row r="1114" spans="1:17" x14ac:dyDescent="0.2">
      <c r="A1114" s="631"/>
      <c r="B1114" s="631"/>
      <c r="E1114" s="670" t="str">
        <v>Poco denso</v>
      </c>
      <c r="G1114" s="631"/>
      <c r="K1114" s="714">
        <v>0.05</v>
      </c>
      <c r="L1114" s="715">
        <v>0</v>
      </c>
      <c r="M1114" s="715">
        <v>0</v>
      </c>
      <c r="N1114"/>
      <c r="O1114"/>
      <c r="P1114"/>
      <c r="Q1114"/>
    </row>
    <row r="1115" spans="1:17" x14ac:dyDescent="0.2">
      <c r="A1115" s="631"/>
      <c r="B1115" s="631"/>
      <c r="E1115" s="670" t="str">
        <v>Otro</v>
      </c>
      <c r="G1115" s="631"/>
      <c r="K1115" s="714">
        <v>0</v>
      </c>
      <c r="L1115" s="715">
        <v>0</v>
      </c>
      <c r="M1115" s="715">
        <v>0</v>
      </c>
      <c r="N1115"/>
      <c r="O1115"/>
      <c r="P1115"/>
      <c r="Q1115"/>
    </row>
    <row r="1116" spans="1:17" x14ac:dyDescent="0.2">
      <c r="A1116" s="631"/>
      <c r="B1116" s="631"/>
      <c r="E1116" s="670" t="str">
        <v>Microceldas</v>
      </c>
      <c r="G1116" s="631"/>
      <c r="K1116" s="716">
        <f>1-SUM(K1112:K1115)</f>
        <v>5.0000000000000044E-2</v>
      </c>
      <c r="L1116" s="715">
        <v>0</v>
      </c>
      <c r="M1116" s="715">
        <v>0</v>
      </c>
      <c r="N1116"/>
      <c r="O1116"/>
      <c r="P1116"/>
      <c r="Q1116"/>
    </row>
    <row r="1117" spans="1:17" x14ac:dyDescent="0.2">
      <c r="A1117" s="631"/>
      <c r="B1117" s="631"/>
      <c r="E1117" s="670" t="str">
        <v>spare</v>
      </c>
      <c r="G1117" s="631"/>
      <c r="K1117" s="714"/>
      <c r="L1117" s="715">
        <v>0</v>
      </c>
      <c r="M1117" s="715">
        <v>0</v>
      </c>
      <c r="N1117"/>
      <c r="O1117"/>
      <c r="P1117"/>
      <c r="Q1117"/>
    </row>
    <row r="1118" spans="1:17" x14ac:dyDescent="0.2">
      <c r="A1118" s="631"/>
      <c r="B1118" s="631"/>
      <c r="E1118" s="670" t="str">
        <v>spare</v>
      </c>
      <c r="G1118" s="631"/>
      <c r="K1118" s="714"/>
      <c r="L1118" s="715">
        <v>0</v>
      </c>
      <c r="M1118" s="715">
        <v>0</v>
      </c>
      <c r="N1118"/>
      <c r="O1118"/>
      <c r="P1118"/>
      <c r="Q1118"/>
    </row>
    <row r="1119" spans="1:17" x14ac:dyDescent="0.2">
      <c r="A1119" s="631"/>
      <c r="B1119" s="631"/>
      <c r="E1119" s="670" t="str">
        <v>spare</v>
      </c>
      <c r="G1119" s="631"/>
      <c r="K1119" s="714"/>
      <c r="L1119" s="715">
        <v>0</v>
      </c>
      <c r="M1119" s="715">
        <v>0</v>
      </c>
      <c r="N1119"/>
      <c r="O1119"/>
      <c r="P1119"/>
      <c r="Q1119"/>
    </row>
    <row r="1120" spans="1:17" x14ac:dyDescent="0.2">
      <c r="A1120" s="631"/>
      <c r="B1120" s="631"/>
      <c r="E1120" s="670" t="str">
        <v>spare</v>
      </c>
      <c r="G1120" s="631"/>
      <c r="K1120" s="714"/>
      <c r="L1120" s="715">
        <v>0</v>
      </c>
      <c r="M1120" s="715">
        <v>0</v>
      </c>
      <c r="N1120"/>
      <c r="O1120"/>
      <c r="P1120"/>
      <c r="Q1120"/>
    </row>
    <row r="1121" spans="1:17" x14ac:dyDescent="0.2">
      <c r="A1121" s="631"/>
      <c r="B1121" s="631"/>
      <c r="E1121" s="670" t="str">
        <v>spare</v>
      </c>
      <c r="G1121" s="631"/>
      <c r="K1121" s="714"/>
      <c r="L1121" s="715">
        <v>0</v>
      </c>
      <c r="M1121" s="715">
        <v>0</v>
      </c>
      <c r="N1121"/>
      <c r="O1121"/>
      <c r="P1121"/>
      <c r="Q1121"/>
    </row>
    <row r="1122" spans="1:17" x14ac:dyDescent="0.2">
      <c r="A1122" s="631"/>
      <c r="B1122" s="631"/>
      <c r="G1122" s="631"/>
      <c r="N1122"/>
      <c r="O1122"/>
      <c r="P1122"/>
      <c r="Q1122"/>
    </row>
    <row r="1123" spans="1:17" x14ac:dyDescent="0.2">
      <c r="A1123" s="631"/>
      <c r="B1123" s="631"/>
      <c r="C1123" s="657"/>
      <c r="E1123" s="657" t="s">
        <v>985</v>
      </c>
      <c r="G1123" s="631"/>
      <c r="K1123" s="635" t="str">
        <f t="array" ref="K1123:M1123">TRANSPOSE(Operators.list)</f>
        <v>Hipotético</v>
      </c>
      <c r="L1123" s="635" t="str">
        <v>Spare</v>
      </c>
      <c r="M1123" s="635" t="str">
        <v>Spare</v>
      </c>
      <c r="N1123"/>
      <c r="O1123"/>
      <c r="P1123"/>
      <c r="Q1123"/>
    </row>
    <row r="1124" spans="1:17" x14ac:dyDescent="0.2">
      <c r="A1124" s="631"/>
      <c r="B1124" s="631"/>
      <c r="E1124" s="670" t="str">
        <f t="array" ref="E1124:E1133">Geotypes</f>
        <v>Muy denso</v>
      </c>
      <c r="G1124" s="631"/>
      <c r="K1124" s="717">
        <v>0</v>
      </c>
      <c r="L1124" s="717">
        <v>0</v>
      </c>
      <c r="M1124" s="717">
        <v>0</v>
      </c>
      <c r="N1124"/>
      <c r="O1124"/>
      <c r="P1124"/>
      <c r="Q1124"/>
    </row>
    <row r="1125" spans="1:17" x14ac:dyDescent="0.2">
      <c r="A1125" s="631"/>
      <c r="B1125" s="631"/>
      <c r="E1125" s="670" t="str">
        <v>Denso</v>
      </c>
      <c r="G1125" s="631"/>
      <c r="K1125" s="717">
        <v>0</v>
      </c>
      <c r="L1125" s="717">
        <v>0</v>
      </c>
      <c r="M1125" s="717">
        <v>0</v>
      </c>
      <c r="N1125"/>
      <c r="O1125"/>
      <c r="P1125"/>
      <c r="Q1125"/>
    </row>
    <row r="1126" spans="1:17" x14ac:dyDescent="0.2">
      <c r="A1126" s="631"/>
      <c r="B1126" s="631"/>
      <c r="E1126" s="670" t="str">
        <v>Poco denso</v>
      </c>
      <c r="G1126" s="631"/>
      <c r="K1126" s="717">
        <v>0</v>
      </c>
      <c r="L1126" s="717">
        <v>0</v>
      </c>
      <c r="M1126" s="717">
        <v>0</v>
      </c>
      <c r="N1126"/>
      <c r="O1126"/>
      <c r="P1126"/>
      <c r="Q1126"/>
    </row>
    <row r="1127" spans="1:17" x14ac:dyDescent="0.2">
      <c r="A1127" s="631"/>
      <c r="B1127" s="631"/>
      <c r="E1127" s="670" t="str">
        <v>Otro</v>
      </c>
      <c r="G1127" s="631"/>
      <c r="K1127" s="717">
        <v>0</v>
      </c>
      <c r="L1127" s="717">
        <v>0</v>
      </c>
      <c r="M1127" s="717">
        <v>0</v>
      </c>
      <c r="N1127"/>
      <c r="O1127"/>
      <c r="P1127"/>
      <c r="Q1127"/>
    </row>
    <row r="1128" spans="1:17" x14ac:dyDescent="0.2">
      <c r="A1128" s="631"/>
      <c r="B1128" s="631"/>
      <c r="E1128" s="670" t="str">
        <v>Microceldas</v>
      </c>
      <c r="G1128" s="631"/>
      <c r="K1128" s="717">
        <v>0</v>
      </c>
      <c r="L1128" s="717">
        <v>0</v>
      </c>
      <c r="M1128" s="717">
        <v>0</v>
      </c>
      <c r="N1128"/>
      <c r="O1128"/>
      <c r="P1128"/>
      <c r="Q1128"/>
    </row>
    <row r="1129" spans="1:17" x14ac:dyDescent="0.2">
      <c r="A1129" s="631"/>
      <c r="B1129" s="631"/>
      <c r="E1129" s="670" t="str">
        <v>spare</v>
      </c>
      <c r="G1129" s="631"/>
      <c r="K1129" s="717">
        <v>0</v>
      </c>
      <c r="L1129" s="717">
        <v>0</v>
      </c>
      <c r="M1129" s="717">
        <v>0</v>
      </c>
      <c r="N1129"/>
      <c r="O1129"/>
      <c r="P1129"/>
      <c r="Q1129"/>
    </row>
    <row r="1130" spans="1:17" x14ac:dyDescent="0.2">
      <c r="A1130" s="631"/>
      <c r="B1130" s="631"/>
      <c r="E1130" s="670" t="str">
        <v>spare</v>
      </c>
      <c r="G1130" s="631"/>
      <c r="K1130" s="717">
        <v>0</v>
      </c>
      <c r="L1130" s="717">
        <v>0</v>
      </c>
      <c r="M1130" s="717">
        <v>0</v>
      </c>
      <c r="N1130"/>
      <c r="O1130"/>
      <c r="P1130"/>
      <c r="Q1130"/>
    </row>
    <row r="1131" spans="1:17" x14ac:dyDescent="0.2">
      <c r="A1131" s="631"/>
      <c r="B1131" s="631"/>
      <c r="E1131" s="670" t="str">
        <v>spare</v>
      </c>
      <c r="G1131" s="631"/>
      <c r="K1131" s="717">
        <v>0</v>
      </c>
      <c r="L1131" s="717">
        <v>0</v>
      </c>
      <c r="M1131" s="717">
        <v>0</v>
      </c>
      <c r="N1131"/>
      <c r="O1131"/>
      <c r="P1131"/>
      <c r="Q1131"/>
    </row>
    <row r="1132" spans="1:17" x14ac:dyDescent="0.2">
      <c r="A1132" s="631"/>
      <c r="B1132" s="631"/>
      <c r="E1132" s="670" t="str">
        <v>spare</v>
      </c>
      <c r="G1132" s="631"/>
      <c r="K1132" s="717">
        <v>0</v>
      </c>
      <c r="L1132" s="717">
        <v>0</v>
      </c>
      <c r="M1132" s="717">
        <v>0</v>
      </c>
      <c r="N1132"/>
      <c r="O1132"/>
      <c r="P1132"/>
      <c r="Q1132"/>
    </row>
    <row r="1133" spans="1:17" x14ac:dyDescent="0.2">
      <c r="A1133" s="631"/>
      <c r="B1133" s="631"/>
      <c r="E1133" s="670" t="str">
        <v>spare</v>
      </c>
      <c r="G1133" s="631"/>
      <c r="K1133" s="717">
        <v>0</v>
      </c>
      <c r="L1133" s="717">
        <v>0</v>
      </c>
      <c r="M1133" s="717">
        <v>0</v>
      </c>
      <c r="N1133"/>
      <c r="O1133"/>
      <c r="P1133"/>
      <c r="Q1133"/>
    </row>
    <row r="1134" spans="1:17" x14ac:dyDescent="0.2">
      <c r="A1134" s="631"/>
      <c r="B1134" s="631"/>
      <c r="G1134" s="631"/>
      <c r="N1134"/>
      <c r="O1134"/>
      <c r="P1134"/>
      <c r="Q1134"/>
    </row>
    <row r="1135" spans="1:17" x14ac:dyDescent="0.2">
      <c r="A1135" s="631"/>
      <c r="B1135" s="631"/>
      <c r="C1135" s="657" t="s">
        <v>630</v>
      </c>
      <c r="G1135" s="631"/>
      <c r="N1135"/>
      <c r="O1135"/>
      <c r="P1135"/>
      <c r="Q1135"/>
    </row>
    <row r="1136" spans="1:17" x14ac:dyDescent="0.2">
      <c r="A1136" s="631"/>
      <c r="B1136" s="631"/>
      <c r="C1136" s="657"/>
      <c r="E1136" s="657" t="s">
        <v>96</v>
      </c>
      <c r="G1136" s="631"/>
      <c r="K1136" s="635" t="str">
        <f t="array" ref="K1136:M1136">TRANSPOSE(Operators.list)</f>
        <v>Hipotético</v>
      </c>
      <c r="L1136" s="635" t="str">
        <v>Spare</v>
      </c>
      <c r="M1136" s="635" t="str">
        <v>Spare</v>
      </c>
      <c r="N1136"/>
      <c r="O1136"/>
      <c r="P1136"/>
      <c r="Q1136"/>
    </row>
    <row r="1137" spans="1:17" x14ac:dyDescent="0.2">
      <c r="A1137" s="631"/>
      <c r="B1137" s="631"/>
      <c r="E1137" s="670" t="str">
        <f t="array" ref="E1137:E1146">Geotypes</f>
        <v>Muy denso</v>
      </c>
      <c r="G1137" s="631"/>
      <c r="K1137" s="718">
        <v>0.67</v>
      </c>
      <c r="L1137" s="715">
        <v>0</v>
      </c>
      <c r="M1137" s="715">
        <v>0</v>
      </c>
      <c r="N1137"/>
      <c r="O1137"/>
      <c r="P1137"/>
      <c r="Q1137"/>
    </row>
    <row r="1138" spans="1:17" x14ac:dyDescent="0.2">
      <c r="A1138" s="631"/>
      <c r="B1138" s="631"/>
      <c r="E1138" s="670" t="str">
        <v>Denso</v>
      </c>
      <c r="G1138" s="631"/>
      <c r="K1138" s="718">
        <v>0.2</v>
      </c>
      <c r="L1138" s="715">
        <v>0</v>
      </c>
      <c r="M1138" s="715">
        <v>0</v>
      </c>
      <c r="N1138"/>
      <c r="O1138"/>
      <c r="P1138"/>
      <c r="Q1138"/>
    </row>
    <row r="1139" spans="1:17" x14ac:dyDescent="0.2">
      <c r="A1139" s="631"/>
      <c r="B1139" s="631"/>
      <c r="E1139" s="670" t="str">
        <v>Poco denso</v>
      </c>
      <c r="G1139" s="631"/>
      <c r="K1139" s="718">
        <v>0.1</v>
      </c>
      <c r="L1139" s="715">
        <v>0</v>
      </c>
      <c r="M1139" s="715">
        <v>0</v>
      </c>
      <c r="N1139"/>
      <c r="O1139"/>
      <c r="P1139"/>
      <c r="Q1139"/>
    </row>
    <row r="1140" spans="1:17" x14ac:dyDescent="0.2">
      <c r="A1140" s="631"/>
      <c r="B1140" s="631"/>
      <c r="E1140" s="670" t="str">
        <v>Otro</v>
      </c>
      <c r="G1140" s="631"/>
      <c r="K1140" s="718">
        <v>0</v>
      </c>
      <c r="L1140" s="715">
        <v>0</v>
      </c>
      <c r="M1140" s="715">
        <v>0</v>
      </c>
      <c r="N1140"/>
      <c r="O1140"/>
      <c r="P1140"/>
      <c r="Q1140"/>
    </row>
    <row r="1141" spans="1:17" x14ac:dyDescent="0.2">
      <c r="A1141" s="631"/>
      <c r="B1141" s="631"/>
      <c r="E1141" s="670" t="str">
        <v>Microceldas</v>
      </c>
      <c r="G1141" s="631"/>
      <c r="K1141" s="719">
        <f>1-SUM(K1137:K1140)</f>
        <v>2.9999999999999916E-2</v>
      </c>
      <c r="L1141" s="715">
        <v>0</v>
      </c>
      <c r="M1141" s="715">
        <v>0</v>
      </c>
      <c r="N1141"/>
      <c r="O1141"/>
      <c r="P1141"/>
      <c r="Q1141"/>
    </row>
    <row r="1142" spans="1:17" x14ac:dyDescent="0.2">
      <c r="A1142" s="631"/>
      <c r="B1142" s="631"/>
      <c r="E1142" s="670" t="str">
        <v>spare</v>
      </c>
      <c r="G1142" s="631"/>
      <c r="K1142" s="718">
        <v>0</v>
      </c>
      <c r="L1142" s="715">
        <v>0</v>
      </c>
      <c r="M1142" s="715">
        <v>0</v>
      </c>
      <c r="N1142"/>
      <c r="O1142"/>
      <c r="P1142"/>
      <c r="Q1142"/>
    </row>
    <row r="1143" spans="1:17" x14ac:dyDescent="0.2">
      <c r="A1143" s="631"/>
      <c r="B1143" s="631"/>
      <c r="E1143" s="670" t="str">
        <v>spare</v>
      </c>
      <c r="G1143" s="631"/>
      <c r="K1143" s="718">
        <v>0</v>
      </c>
      <c r="L1143" s="715">
        <v>0</v>
      </c>
      <c r="M1143" s="715">
        <v>0</v>
      </c>
      <c r="N1143"/>
      <c r="O1143"/>
      <c r="P1143"/>
      <c r="Q1143"/>
    </row>
    <row r="1144" spans="1:17" x14ac:dyDescent="0.2">
      <c r="A1144" s="631"/>
      <c r="B1144" s="631"/>
      <c r="E1144" s="670" t="str">
        <v>spare</v>
      </c>
      <c r="G1144" s="631"/>
      <c r="K1144" s="718">
        <v>0</v>
      </c>
      <c r="L1144" s="715">
        <v>0</v>
      </c>
      <c r="M1144" s="715">
        <v>0</v>
      </c>
      <c r="N1144"/>
      <c r="O1144"/>
      <c r="P1144"/>
      <c r="Q1144"/>
    </row>
    <row r="1145" spans="1:17" x14ac:dyDescent="0.2">
      <c r="A1145" s="631"/>
      <c r="B1145" s="631"/>
      <c r="E1145" s="670" t="str">
        <v>spare</v>
      </c>
      <c r="G1145" s="631"/>
      <c r="K1145" s="718">
        <v>0</v>
      </c>
      <c r="L1145" s="715">
        <v>0</v>
      </c>
      <c r="M1145" s="715">
        <v>0</v>
      </c>
      <c r="N1145"/>
      <c r="O1145"/>
      <c r="P1145"/>
      <c r="Q1145"/>
    </row>
    <row r="1146" spans="1:17" x14ac:dyDescent="0.2">
      <c r="A1146" s="631"/>
      <c r="B1146" s="631"/>
      <c r="E1146" s="670" t="str">
        <v>spare</v>
      </c>
      <c r="G1146" s="631"/>
      <c r="K1146" s="718">
        <v>0</v>
      </c>
      <c r="L1146" s="715">
        <v>0</v>
      </c>
      <c r="M1146" s="715">
        <v>0</v>
      </c>
      <c r="N1146"/>
      <c r="O1146"/>
      <c r="P1146"/>
      <c r="Q1146"/>
    </row>
    <row r="1147" spans="1:17" x14ac:dyDescent="0.2">
      <c r="A1147" s="631"/>
      <c r="B1147" s="631"/>
      <c r="G1147" s="631"/>
      <c r="N1147"/>
      <c r="O1147"/>
      <c r="P1147"/>
      <c r="Q1147"/>
    </row>
    <row r="1148" spans="1:17" x14ac:dyDescent="0.2">
      <c r="A1148" s="631"/>
      <c r="B1148" s="631"/>
      <c r="C1148" s="657"/>
      <c r="E1148" s="657" t="s">
        <v>97</v>
      </c>
      <c r="G1148" s="631"/>
      <c r="K1148" s="635" t="str">
        <f t="array" ref="K1148:M1148">TRANSPOSE(Operators.list)</f>
        <v>Hipotético</v>
      </c>
      <c r="L1148" s="635" t="str">
        <v>Spare</v>
      </c>
      <c r="M1148" s="635" t="str">
        <v>Spare</v>
      </c>
      <c r="N1148"/>
      <c r="O1148"/>
      <c r="P1148"/>
      <c r="Q1148"/>
    </row>
    <row r="1149" spans="1:17" x14ac:dyDescent="0.2">
      <c r="A1149" s="631"/>
      <c r="B1149" s="631"/>
      <c r="E1149" s="670" t="str">
        <f t="array" ref="E1149:E1158">Geotypes</f>
        <v>Muy denso</v>
      </c>
      <c r="G1149" s="631"/>
      <c r="K1149" s="718">
        <v>0.67</v>
      </c>
      <c r="L1149" s="715">
        <v>0</v>
      </c>
      <c r="M1149" s="715">
        <v>0</v>
      </c>
      <c r="N1149"/>
      <c r="O1149"/>
      <c r="P1149"/>
      <c r="Q1149"/>
    </row>
    <row r="1150" spans="1:17" x14ac:dyDescent="0.2">
      <c r="A1150" s="631"/>
      <c r="B1150" s="631"/>
      <c r="E1150" s="670" t="str">
        <v>Denso</v>
      </c>
      <c r="G1150" s="631"/>
      <c r="K1150" s="718">
        <v>0.2</v>
      </c>
      <c r="L1150" s="715">
        <v>0</v>
      </c>
      <c r="M1150" s="715">
        <v>0</v>
      </c>
      <c r="N1150"/>
      <c r="O1150"/>
      <c r="P1150"/>
      <c r="Q1150"/>
    </row>
    <row r="1151" spans="1:17" x14ac:dyDescent="0.2">
      <c r="A1151" s="631"/>
      <c r="B1151" s="631"/>
      <c r="E1151" s="670" t="str">
        <v>Poco denso</v>
      </c>
      <c r="G1151" s="631"/>
      <c r="K1151" s="718">
        <v>0.1</v>
      </c>
      <c r="L1151" s="715">
        <v>0</v>
      </c>
      <c r="M1151" s="715">
        <v>0</v>
      </c>
      <c r="N1151"/>
      <c r="O1151"/>
      <c r="P1151"/>
      <c r="Q1151"/>
    </row>
    <row r="1152" spans="1:17" x14ac:dyDescent="0.2">
      <c r="A1152" s="631"/>
      <c r="B1152" s="631"/>
      <c r="E1152" s="670" t="str">
        <v>Otro</v>
      </c>
      <c r="G1152" s="631"/>
      <c r="K1152" s="718">
        <v>0</v>
      </c>
      <c r="L1152" s="715">
        <v>0</v>
      </c>
      <c r="M1152" s="715">
        <v>0</v>
      </c>
      <c r="N1152"/>
      <c r="O1152"/>
      <c r="P1152"/>
      <c r="Q1152"/>
    </row>
    <row r="1153" spans="1:17" x14ac:dyDescent="0.2">
      <c r="A1153" s="631"/>
      <c r="B1153" s="631"/>
      <c r="E1153" s="670" t="str">
        <v>Microceldas</v>
      </c>
      <c r="G1153" s="631"/>
      <c r="K1153" s="719">
        <f>1-SUM(K1149:K1152)</f>
        <v>2.9999999999999916E-2</v>
      </c>
      <c r="L1153" s="715">
        <v>0</v>
      </c>
      <c r="M1153" s="715">
        <v>0</v>
      </c>
      <c r="N1153"/>
      <c r="O1153"/>
      <c r="P1153"/>
      <c r="Q1153"/>
    </row>
    <row r="1154" spans="1:17" x14ac:dyDescent="0.2">
      <c r="A1154" s="631"/>
      <c r="B1154" s="631"/>
      <c r="E1154" s="670" t="str">
        <v>spare</v>
      </c>
      <c r="G1154" s="631"/>
      <c r="K1154" s="718">
        <v>0</v>
      </c>
      <c r="L1154" s="715">
        <v>0</v>
      </c>
      <c r="M1154" s="715">
        <v>0</v>
      </c>
      <c r="N1154"/>
      <c r="O1154"/>
      <c r="P1154"/>
      <c r="Q1154"/>
    </row>
    <row r="1155" spans="1:17" x14ac:dyDescent="0.2">
      <c r="A1155" s="631"/>
      <c r="B1155" s="631"/>
      <c r="E1155" s="670" t="str">
        <v>spare</v>
      </c>
      <c r="G1155" s="631"/>
      <c r="K1155" s="718">
        <v>0</v>
      </c>
      <c r="L1155" s="715">
        <v>0</v>
      </c>
      <c r="M1155" s="715">
        <v>0</v>
      </c>
      <c r="N1155"/>
      <c r="O1155"/>
      <c r="P1155"/>
      <c r="Q1155"/>
    </row>
    <row r="1156" spans="1:17" x14ac:dyDescent="0.2">
      <c r="A1156" s="631"/>
      <c r="B1156" s="631"/>
      <c r="E1156" s="670" t="str">
        <v>spare</v>
      </c>
      <c r="G1156" s="631"/>
      <c r="K1156" s="718">
        <v>0</v>
      </c>
      <c r="L1156" s="715">
        <v>0</v>
      </c>
      <c r="M1156" s="715">
        <v>0</v>
      </c>
      <c r="N1156"/>
      <c r="O1156"/>
      <c r="P1156"/>
      <c r="Q1156"/>
    </row>
    <row r="1157" spans="1:17" x14ac:dyDescent="0.2">
      <c r="A1157" s="631"/>
      <c r="B1157" s="631"/>
      <c r="E1157" s="670" t="str">
        <v>spare</v>
      </c>
      <c r="G1157" s="631"/>
      <c r="K1157" s="718">
        <v>0</v>
      </c>
      <c r="L1157" s="715">
        <v>0</v>
      </c>
      <c r="M1157" s="715">
        <v>0</v>
      </c>
      <c r="N1157"/>
      <c r="O1157"/>
      <c r="P1157"/>
      <c r="Q1157"/>
    </row>
    <row r="1158" spans="1:17" x14ac:dyDescent="0.2">
      <c r="A1158" s="631"/>
      <c r="B1158" s="631"/>
      <c r="E1158" s="670" t="str">
        <v>spare</v>
      </c>
      <c r="G1158" s="631"/>
      <c r="K1158" s="718">
        <v>0</v>
      </c>
      <c r="L1158" s="715">
        <v>0</v>
      </c>
      <c r="M1158" s="715">
        <v>0</v>
      </c>
      <c r="N1158"/>
      <c r="O1158"/>
      <c r="P1158"/>
      <c r="Q1158"/>
    </row>
    <row r="1159" spans="1:17" x14ac:dyDescent="0.2">
      <c r="A1159" s="631"/>
      <c r="B1159" s="631"/>
      <c r="G1159" s="631"/>
      <c r="N1159"/>
      <c r="O1159"/>
      <c r="P1159"/>
      <c r="Q1159"/>
    </row>
    <row r="1160" spans="1:17" x14ac:dyDescent="0.2">
      <c r="A1160" s="631"/>
      <c r="B1160" s="631"/>
      <c r="C1160" s="657"/>
      <c r="E1160" s="657" t="s">
        <v>985</v>
      </c>
      <c r="G1160" s="631"/>
      <c r="K1160" s="635" t="str">
        <f t="array" ref="K1160:M1160">TRANSPOSE(Operators.list)</f>
        <v>Hipotético</v>
      </c>
      <c r="L1160" s="635" t="str">
        <v>Spare</v>
      </c>
      <c r="M1160" s="635" t="str">
        <v>Spare</v>
      </c>
      <c r="N1160"/>
      <c r="O1160"/>
      <c r="P1160"/>
      <c r="Q1160"/>
    </row>
    <row r="1161" spans="1:17" x14ac:dyDescent="0.2">
      <c r="A1161" s="631"/>
      <c r="B1161" s="631"/>
      <c r="E1161" s="670" t="str">
        <f t="array" ref="E1161:E1170">Geotypes</f>
        <v>Muy denso</v>
      </c>
      <c r="G1161" s="631"/>
      <c r="K1161" s="718">
        <v>0.8</v>
      </c>
      <c r="L1161" s="715">
        <v>0</v>
      </c>
      <c r="M1161" s="715">
        <v>0</v>
      </c>
      <c r="N1161"/>
      <c r="O1161"/>
      <c r="P1161"/>
      <c r="Q1161"/>
    </row>
    <row r="1162" spans="1:17" x14ac:dyDescent="0.2">
      <c r="A1162" s="631"/>
      <c r="B1162" s="631"/>
      <c r="E1162" s="670" t="str">
        <v>Denso</v>
      </c>
      <c r="G1162" s="631"/>
      <c r="K1162" s="718">
        <v>0.13</v>
      </c>
      <c r="L1162" s="715">
        <v>0</v>
      </c>
      <c r="M1162" s="715">
        <v>0</v>
      </c>
      <c r="N1162"/>
      <c r="O1162"/>
      <c r="P1162"/>
      <c r="Q1162"/>
    </row>
    <row r="1163" spans="1:17" x14ac:dyDescent="0.2">
      <c r="A1163" s="631"/>
      <c r="B1163" s="631"/>
      <c r="E1163" s="670" t="str">
        <v>Poco denso</v>
      </c>
      <c r="K1163" s="718">
        <v>0.05</v>
      </c>
      <c r="L1163" s="715">
        <v>0</v>
      </c>
      <c r="M1163" s="715">
        <v>0</v>
      </c>
      <c r="N1163"/>
      <c r="O1163"/>
      <c r="P1163"/>
      <c r="Q1163"/>
    </row>
    <row r="1164" spans="1:17" x14ac:dyDescent="0.2">
      <c r="A1164" s="631"/>
      <c r="B1164" s="631"/>
      <c r="E1164" s="670" t="str">
        <v>Otro</v>
      </c>
      <c r="K1164" s="718">
        <v>0</v>
      </c>
      <c r="L1164" s="715">
        <v>0</v>
      </c>
      <c r="M1164" s="715">
        <v>0</v>
      </c>
      <c r="N1164"/>
      <c r="O1164"/>
      <c r="P1164"/>
      <c r="Q1164"/>
    </row>
    <row r="1165" spans="1:17" x14ac:dyDescent="0.2">
      <c r="A1165" s="631"/>
      <c r="B1165" s="631"/>
      <c r="E1165" s="670" t="str">
        <v>Microceldas</v>
      </c>
      <c r="K1165" s="719">
        <f>1-SUM(K1161:K1164)</f>
        <v>1.9999999999999907E-2</v>
      </c>
      <c r="L1165" s="715">
        <v>0</v>
      </c>
      <c r="M1165" s="715">
        <v>0</v>
      </c>
      <c r="N1165"/>
      <c r="O1165"/>
      <c r="P1165"/>
      <c r="Q1165"/>
    </row>
    <row r="1166" spans="1:17" x14ac:dyDescent="0.2">
      <c r="A1166" s="631"/>
      <c r="B1166" s="631"/>
      <c r="E1166" s="670" t="str">
        <v>spare</v>
      </c>
      <c r="K1166" s="718">
        <v>0</v>
      </c>
      <c r="L1166" s="715">
        <v>0</v>
      </c>
      <c r="M1166" s="715">
        <v>0</v>
      </c>
      <c r="N1166"/>
      <c r="O1166"/>
      <c r="P1166"/>
      <c r="Q1166"/>
    </row>
    <row r="1167" spans="1:17" x14ac:dyDescent="0.2">
      <c r="A1167" s="631"/>
      <c r="B1167" s="631"/>
      <c r="E1167" s="670" t="str">
        <v>spare</v>
      </c>
      <c r="K1167" s="718">
        <v>0</v>
      </c>
      <c r="L1167" s="715">
        <v>0</v>
      </c>
      <c r="M1167" s="715">
        <v>0</v>
      </c>
      <c r="N1167"/>
      <c r="O1167"/>
      <c r="P1167"/>
      <c r="Q1167"/>
    </row>
    <row r="1168" spans="1:17" x14ac:dyDescent="0.2">
      <c r="A1168" s="631"/>
      <c r="B1168" s="631"/>
      <c r="E1168" s="670" t="str">
        <v>spare</v>
      </c>
      <c r="K1168" s="718">
        <v>0</v>
      </c>
      <c r="L1168" s="715">
        <v>0</v>
      </c>
      <c r="M1168" s="715">
        <v>0</v>
      </c>
      <c r="N1168"/>
      <c r="O1168"/>
      <c r="P1168"/>
      <c r="Q1168"/>
    </row>
    <row r="1169" spans="1:17" x14ac:dyDescent="0.2">
      <c r="A1169" s="631"/>
      <c r="B1169" s="631"/>
      <c r="E1169" s="670" t="str">
        <v>spare</v>
      </c>
      <c r="K1169" s="718">
        <v>0</v>
      </c>
      <c r="L1169" s="715">
        <v>0</v>
      </c>
      <c r="M1169" s="715">
        <v>0</v>
      </c>
      <c r="N1169"/>
      <c r="O1169"/>
      <c r="P1169"/>
      <c r="Q1169"/>
    </row>
    <row r="1170" spans="1:17" x14ac:dyDescent="0.2">
      <c r="A1170" s="631"/>
      <c r="B1170" s="631"/>
      <c r="E1170" s="670" t="str">
        <v>spare</v>
      </c>
      <c r="K1170" s="718">
        <v>0</v>
      </c>
      <c r="L1170" s="715">
        <v>0</v>
      </c>
      <c r="M1170" s="715">
        <v>0</v>
      </c>
      <c r="N1170"/>
      <c r="O1170"/>
      <c r="P1170"/>
      <c r="Q1170"/>
    </row>
    <row r="1171" spans="1:17" x14ac:dyDescent="0.2">
      <c r="A1171" s="631"/>
      <c r="B1171" s="631"/>
      <c r="N1171"/>
      <c r="O1171"/>
      <c r="P1171"/>
      <c r="Q1171"/>
    </row>
    <row r="1172" spans="1:17" x14ac:dyDescent="0.2">
      <c r="A1172" s="631"/>
      <c r="B1172" s="631"/>
      <c r="C1172" s="657" t="s">
        <v>719</v>
      </c>
      <c r="K1172" s="635" t="str">
        <f t="array" ref="K1172:M1172">TRANSPOSE(Operators.list)</f>
        <v>Hipotético</v>
      </c>
      <c r="L1172" s="635" t="str">
        <v>Spare</v>
      </c>
      <c r="M1172" s="635" t="str">
        <v>Spare</v>
      </c>
      <c r="N1172"/>
      <c r="O1172"/>
      <c r="P1172"/>
      <c r="Q1172"/>
    </row>
    <row r="1173" spans="1:17" x14ac:dyDescent="0.2">
      <c r="A1173" s="631"/>
      <c r="B1173" s="631"/>
      <c r="D1173" s="677">
        <v>1</v>
      </c>
      <c r="E1173" s="720" t="str">
        <f t="shared" ref="E1173:E1179" si="82">INDEX(Mobile.market.services.list,D1173,)</f>
        <v>Tráfico de voz on-net</v>
      </c>
      <c r="F1173" s="631"/>
      <c r="J1173" s="631" t="s">
        <v>412</v>
      </c>
      <c r="K1173" s="721">
        <v>1.7</v>
      </c>
      <c r="L1173" s="722">
        <v>0</v>
      </c>
      <c r="M1173" s="722">
        <v>0</v>
      </c>
      <c r="N1173"/>
      <c r="O1173"/>
      <c r="P1173"/>
      <c r="Q1173"/>
    </row>
    <row r="1174" spans="1:17" x14ac:dyDescent="0.2">
      <c r="A1174" s="631"/>
      <c r="B1174" s="631"/>
      <c r="D1174" s="677">
        <v>2</v>
      </c>
      <c r="E1174" s="720" t="str">
        <f t="shared" si="82"/>
        <v>Tráfico de voz saliente a fijo</v>
      </c>
      <c r="F1174" s="631"/>
      <c r="J1174" s="631" t="s">
        <v>412</v>
      </c>
      <c r="K1174" s="721">
        <v>1.6</v>
      </c>
      <c r="L1174" s="722">
        <v>0</v>
      </c>
      <c r="M1174" s="722">
        <v>0</v>
      </c>
      <c r="N1174"/>
      <c r="O1174"/>
      <c r="P1174"/>
      <c r="Q1174"/>
    </row>
    <row r="1175" spans="1:17" x14ac:dyDescent="0.2">
      <c r="A1175" s="631"/>
      <c r="B1175" s="631"/>
      <c r="D1175" s="677">
        <v>3</v>
      </c>
      <c r="E1175" s="720" t="str">
        <f t="shared" si="82"/>
        <v>Tráfico de voz saliente a móvil</v>
      </c>
      <c r="F1175" s="631"/>
      <c r="J1175" s="631" t="s">
        <v>412</v>
      </c>
      <c r="K1175" s="721">
        <v>1.3</v>
      </c>
      <c r="L1175" s="722">
        <v>0</v>
      </c>
      <c r="M1175" s="722">
        <v>0</v>
      </c>
      <c r="N1175"/>
      <c r="O1175"/>
      <c r="P1175"/>
      <c r="Q1175"/>
    </row>
    <row r="1176" spans="1:17" x14ac:dyDescent="0.2">
      <c r="A1176" s="631"/>
      <c r="B1176" s="631"/>
      <c r="D1176" s="677">
        <v>4</v>
      </c>
      <c r="E1176" s="720" t="str">
        <f t="shared" si="82"/>
        <v>Tráfico de voz saliente a internacional</v>
      </c>
      <c r="F1176" s="631"/>
      <c r="J1176" s="631" t="s">
        <v>412</v>
      </c>
      <c r="K1176" s="721">
        <v>2.1</v>
      </c>
      <c r="L1176" s="722">
        <v>0</v>
      </c>
      <c r="M1176" s="722">
        <v>0</v>
      </c>
      <c r="N1176"/>
      <c r="O1176"/>
      <c r="P1176"/>
      <c r="Q1176"/>
    </row>
    <row r="1177" spans="1:17" x14ac:dyDescent="0.2">
      <c r="A1177" s="631"/>
      <c r="B1177" s="631"/>
      <c r="D1177" s="677">
        <v>5</v>
      </c>
      <c r="E1177" s="720" t="str">
        <f t="shared" si="82"/>
        <v>Tráfico de voz entrante desde fijo</v>
      </c>
      <c r="F1177" s="631"/>
      <c r="J1177" s="631" t="s">
        <v>412</v>
      </c>
      <c r="K1177" s="721">
        <v>1.6</v>
      </c>
      <c r="L1177" s="722">
        <v>0</v>
      </c>
      <c r="M1177" s="722">
        <v>0</v>
      </c>
      <c r="N1177"/>
      <c r="O1177"/>
      <c r="P1177"/>
      <c r="Q1177"/>
    </row>
    <row r="1178" spans="1:17" x14ac:dyDescent="0.2">
      <c r="A1178" s="631"/>
      <c r="B1178" s="631"/>
      <c r="D1178" s="677">
        <v>6</v>
      </c>
      <c r="E1178" s="720" t="str">
        <f t="shared" si="82"/>
        <v>Tráfico de voz entrante desde móvil</v>
      </c>
      <c r="F1178" s="631"/>
      <c r="J1178" s="631" t="s">
        <v>412</v>
      </c>
      <c r="K1178" s="721">
        <v>1.3</v>
      </c>
      <c r="L1178" s="722">
        <v>0</v>
      </c>
      <c r="M1178" s="722">
        <v>0</v>
      </c>
      <c r="N1178"/>
      <c r="O1178"/>
      <c r="P1178"/>
      <c r="Q1178"/>
    </row>
    <row r="1179" spans="1:17" x14ac:dyDescent="0.2">
      <c r="A1179" s="631"/>
      <c r="B1179" s="631"/>
      <c r="D1179" s="677">
        <v>7</v>
      </c>
      <c r="E1179" s="720" t="str">
        <f t="shared" si="82"/>
        <v>Tráfico de voz entrante desde internacional</v>
      </c>
      <c r="F1179" s="631"/>
      <c r="J1179" s="631" t="s">
        <v>412</v>
      </c>
      <c r="K1179" s="721">
        <v>2.1</v>
      </c>
      <c r="L1179" s="722">
        <v>0</v>
      </c>
      <c r="M1179" s="722">
        <v>0</v>
      </c>
      <c r="N1179"/>
      <c r="O1179"/>
      <c r="P1179"/>
      <c r="Q1179"/>
    </row>
    <row r="1180" spans="1:17" x14ac:dyDescent="0.2">
      <c r="A1180" s="631"/>
      <c r="B1180" s="631"/>
      <c r="G1180" s="631"/>
      <c r="N1180"/>
      <c r="O1180"/>
      <c r="P1180"/>
      <c r="Q1180"/>
    </row>
    <row r="1181" spans="1:17" x14ac:dyDescent="0.2">
      <c r="A1181" s="631"/>
      <c r="B1181" s="631"/>
      <c r="C1181" s="657" t="s">
        <v>1696</v>
      </c>
      <c r="G1181" s="631"/>
      <c r="N1181"/>
      <c r="O1181"/>
      <c r="P1181"/>
      <c r="Q1181"/>
    </row>
    <row r="1182" spans="1:17" x14ac:dyDescent="0.2">
      <c r="A1182" s="631"/>
      <c r="B1182" s="631"/>
      <c r="E1182" s="657" t="s">
        <v>1697</v>
      </c>
      <c r="G1182" s="631"/>
      <c r="K1182" s="635" t="str">
        <f t="array" ref="K1182:M1182">TRANSPOSE(Operators.list)</f>
        <v>Hipotético</v>
      </c>
      <c r="L1182" s="635" t="str">
        <v>Spare</v>
      </c>
      <c r="M1182" s="635" t="str">
        <v>Spare</v>
      </c>
      <c r="N1182"/>
      <c r="O1182"/>
      <c r="P1182"/>
      <c r="Q1182"/>
    </row>
    <row r="1183" spans="1:17" x14ac:dyDescent="0.2">
      <c r="A1183" s="631"/>
      <c r="B1183" s="631"/>
      <c r="E1183" s="676" t="s">
        <v>727</v>
      </c>
      <c r="G1183" s="631"/>
      <c r="K1183" s="723">
        <v>365</v>
      </c>
      <c r="L1183" s="715">
        <v>0</v>
      </c>
      <c r="M1183" s="715">
        <v>0</v>
      </c>
      <c r="N1183"/>
      <c r="O1183"/>
      <c r="P1183"/>
      <c r="Q1183"/>
    </row>
    <row r="1184" spans="1:17" x14ac:dyDescent="0.2">
      <c r="A1184" s="631"/>
      <c r="B1184" s="631"/>
      <c r="E1184" s="676" t="s">
        <v>728</v>
      </c>
      <c r="G1184" s="631"/>
      <c r="K1184" s="715">
        <v>1</v>
      </c>
      <c r="L1184" s="715">
        <v>0</v>
      </c>
      <c r="M1184" s="715">
        <v>0</v>
      </c>
      <c r="N1184"/>
      <c r="O1184"/>
      <c r="P1184"/>
      <c r="Q1184"/>
    </row>
    <row r="1185" spans="1:31" x14ac:dyDescent="0.2">
      <c r="A1185" s="631"/>
      <c r="B1185" s="631"/>
      <c r="E1185" s="657" t="s">
        <v>729</v>
      </c>
      <c r="G1185" s="631"/>
    </row>
    <row r="1186" spans="1:31" x14ac:dyDescent="0.2">
      <c r="A1186" s="631"/>
      <c r="B1186" s="631"/>
      <c r="E1186" s="676" t="s">
        <v>411</v>
      </c>
      <c r="G1186" s="631"/>
      <c r="K1186" s="710">
        <v>0.08</v>
      </c>
      <c r="L1186" s="715">
        <v>0</v>
      </c>
      <c r="M1186" s="715">
        <v>0</v>
      </c>
      <c r="N1186"/>
      <c r="O1186"/>
      <c r="P1186"/>
      <c r="Q1186"/>
    </row>
    <row r="1187" spans="1:31" x14ac:dyDescent="0.2">
      <c r="A1187" s="631"/>
      <c r="B1187" s="631"/>
      <c r="E1187" s="676" t="s">
        <v>417</v>
      </c>
      <c r="G1187" s="631"/>
      <c r="K1187" s="710">
        <v>0.06</v>
      </c>
      <c r="L1187" s="715">
        <v>0</v>
      </c>
      <c r="M1187" s="715">
        <v>0</v>
      </c>
      <c r="N1187"/>
      <c r="O1187"/>
      <c r="P1187"/>
      <c r="Q1187"/>
    </row>
    <row r="1188" spans="1:31" x14ac:dyDescent="0.2">
      <c r="A1188" s="631"/>
      <c r="B1188" s="631"/>
      <c r="E1188" s="657" t="s">
        <v>730</v>
      </c>
      <c r="G1188" s="631"/>
      <c r="L1188" s="688"/>
      <c r="M1188" s="688"/>
      <c r="N1188" s="688"/>
      <c r="O1188" s="688"/>
    </row>
    <row r="1189" spans="1:31" x14ac:dyDescent="0.2">
      <c r="A1189" s="631"/>
      <c r="B1189" s="631"/>
      <c r="E1189" s="676" t="s">
        <v>411</v>
      </c>
      <c r="G1189" s="631"/>
      <c r="K1189" s="710">
        <v>0.05</v>
      </c>
      <c r="L1189" s="715">
        <v>0</v>
      </c>
      <c r="M1189" s="715">
        <v>0</v>
      </c>
      <c r="N1189"/>
      <c r="O1189"/>
      <c r="P1189"/>
      <c r="Q1189"/>
    </row>
    <row r="1190" spans="1:31" x14ac:dyDescent="0.2">
      <c r="A1190" s="631"/>
      <c r="B1190" s="631"/>
      <c r="E1190" s="676" t="s">
        <v>417</v>
      </c>
      <c r="G1190" s="631"/>
      <c r="K1190" s="710">
        <v>7.4999999999999997E-2</v>
      </c>
      <c r="L1190" s="715">
        <v>0</v>
      </c>
      <c r="M1190" s="715">
        <v>0</v>
      </c>
      <c r="N1190"/>
      <c r="O1190"/>
      <c r="P1190"/>
      <c r="Q1190"/>
    </row>
    <row r="1191" spans="1:31" x14ac:dyDescent="0.2">
      <c r="A1191" s="631"/>
      <c r="B1191" s="631"/>
      <c r="G1191" s="631"/>
    </row>
    <row r="1192" spans="1:31" ht="18.75" thickBot="1" x14ac:dyDescent="0.25">
      <c r="A1192" s="638" t="s">
        <v>618</v>
      </c>
      <c r="B1192" s="638"/>
      <c r="C1192" s="639"/>
      <c r="D1192" s="639"/>
      <c r="E1192" s="639"/>
      <c r="F1192" s="639"/>
      <c r="G1192" s="639"/>
      <c r="H1192" s="639"/>
      <c r="I1192" s="639"/>
      <c r="J1192" s="639"/>
      <c r="K1192" s="639"/>
      <c r="L1192" s="639"/>
      <c r="M1192" s="639"/>
      <c r="N1192" s="639"/>
      <c r="O1192" s="639"/>
      <c r="P1192" s="639"/>
      <c r="Q1192" s="639"/>
      <c r="R1192" s="639"/>
    </row>
    <row r="1194" spans="1:31" s="631" customFormat="1" x14ac:dyDescent="0.2">
      <c r="L1194" s="632"/>
      <c r="M1194" s="632"/>
      <c r="N1194" s="632"/>
      <c r="O1194" s="632"/>
      <c r="S1194"/>
      <c r="T1194"/>
      <c r="U1194"/>
      <c r="V1194"/>
      <c r="W1194"/>
      <c r="X1194"/>
      <c r="Y1194"/>
      <c r="Z1194"/>
      <c r="AA1194"/>
      <c r="AB1194"/>
      <c r="AC1194"/>
      <c r="AD1194"/>
      <c r="AE1194"/>
    </row>
    <row r="1195" spans="1:31" s="631" customFormat="1" x14ac:dyDescent="0.2">
      <c r="C1195" s="636" t="s">
        <v>616</v>
      </c>
      <c r="D1195" s="632"/>
      <c r="E1195" s="632"/>
      <c r="F1195" s="632"/>
      <c r="G1195" s="632"/>
      <c r="H1195" s="632"/>
      <c r="I1195" s="632"/>
      <c r="J1195" s="632"/>
      <c r="K1195" s="635" t="str">
        <f t="array" ref="K1195:M1195">TRANSPOSE(Operators.list)</f>
        <v>Hipotético</v>
      </c>
      <c r="L1195" s="635" t="str">
        <v>Spare</v>
      </c>
      <c r="M1195" s="635" t="str">
        <v>Spare</v>
      </c>
      <c r="N1195"/>
      <c r="O1195"/>
      <c r="P1195"/>
      <c r="Q1195"/>
      <c r="S1195"/>
      <c r="T1195"/>
      <c r="U1195"/>
      <c r="V1195"/>
      <c r="W1195"/>
      <c r="X1195"/>
      <c r="Y1195"/>
      <c r="Z1195"/>
      <c r="AA1195"/>
      <c r="AB1195"/>
      <c r="AC1195"/>
      <c r="AD1195"/>
      <c r="AE1195"/>
    </row>
    <row r="1196" spans="1:31" s="631" customFormat="1" x14ac:dyDescent="0.2">
      <c r="C1196" s="632"/>
      <c r="D1196" s="632"/>
      <c r="E1196" s="670" t="str">
        <f t="array" ref="E1196:E1198">LMA.technologies</f>
        <v>Líneas alquiladas</v>
      </c>
      <c r="F1196" s="632"/>
      <c r="G1196" s="632"/>
      <c r="H1196" s="632"/>
      <c r="I1196" s="632"/>
      <c r="J1196" s="632"/>
      <c r="K1196" s="724">
        <v>9.4999999999999998E-3</v>
      </c>
      <c r="L1196" s="715">
        <v>0</v>
      </c>
      <c r="M1196" s="715">
        <v>0</v>
      </c>
      <c r="N1196"/>
      <c r="O1196"/>
      <c r="P1196"/>
      <c r="Q1196"/>
      <c r="S1196"/>
      <c r="T1196"/>
      <c r="U1196"/>
      <c r="V1196"/>
      <c r="W1196"/>
      <c r="X1196"/>
      <c r="Y1196"/>
      <c r="Z1196"/>
      <c r="AA1196"/>
      <c r="AB1196"/>
      <c r="AC1196"/>
      <c r="AD1196"/>
      <c r="AE1196"/>
    </row>
    <row r="1197" spans="1:31" s="631" customFormat="1" x14ac:dyDescent="0.2">
      <c r="C1197" s="632"/>
      <c r="D1197" s="632"/>
      <c r="E1197" s="670" t="str">
        <v>Microondas</v>
      </c>
      <c r="F1197" s="632"/>
      <c r="G1197" s="632"/>
      <c r="H1197" s="632"/>
      <c r="I1197" s="632"/>
      <c r="J1197" s="632"/>
      <c r="K1197" s="724">
        <v>0.60299999999999998</v>
      </c>
      <c r="L1197" s="715">
        <v>0</v>
      </c>
      <c r="M1197" s="715">
        <v>0</v>
      </c>
      <c r="N1197"/>
      <c r="O1197"/>
      <c r="P1197"/>
      <c r="Q1197"/>
      <c r="S1197"/>
      <c r="T1197"/>
      <c r="U1197"/>
      <c r="V1197"/>
      <c r="W1197"/>
      <c r="X1197"/>
      <c r="Y1197"/>
      <c r="Z1197"/>
      <c r="AA1197"/>
      <c r="AB1197"/>
      <c r="AC1197"/>
      <c r="AD1197"/>
      <c r="AE1197"/>
    </row>
    <row r="1198" spans="1:31" s="631" customFormat="1" x14ac:dyDescent="0.2">
      <c r="C1198" s="632"/>
      <c r="D1198" s="632"/>
      <c r="E1198" s="670" t="str">
        <v>Fibra</v>
      </c>
      <c r="F1198" s="632"/>
      <c r="G1198" s="632"/>
      <c r="H1198" s="632"/>
      <c r="I1198" s="632"/>
      <c r="J1198" s="632"/>
      <c r="K1198" s="724">
        <v>0.38750000000000007</v>
      </c>
      <c r="L1198" s="715">
        <f t="shared" ref="L1198:M1198" si="83">1-SUM(L1196:L1197)</f>
        <v>1</v>
      </c>
      <c r="M1198" s="715">
        <f t="shared" si="83"/>
        <v>1</v>
      </c>
      <c r="N1198"/>
      <c r="O1198"/>
      <c r="P1198"/>
      <c r="Q1198"/>
      <c r="S1198"/>
      <c r="T1198"/>
      <c r="U1198"/>
      <c r="V1198"/>
      <c r="W1198"/>
      <c r="X1198"/>
      <c r="Y1198"/>
      <c r="Z1198"/>
      <c r="AA1198"/>
      <c r="AB1198"/>
      <c r="AC1198"/>
      <c r="AD1198"/>
      <c r="AE1198"/>
    </row>
    <row r="1199" spans="1:31" s="631" customFormat="1" x14ac:dyDescent="0.2">
      <c r="C1199" s="632"/>
      <c r="D1199" s="632"/>
      <c r="E1199" s="632"/>
      <c r="F1199" s="632"/>
      <c r="G1199" s="632"/>
      <c r="H1199" s="632"/>
      <c r="I1199" s="632"/>
      <c r="J1199" s="632"/>
      <c r="K1199" s="632"/>
      <c r="L1199" s="632"/>
      <c r="M1199" s="632"/>
      <c r="N1199"/>
      <c r="O1199"/>
      <c r="P1199"/>
      <c r="Q1199"/>
      <c r="S1199"/>
      <c r="T1199"/>
      <c r="U1199"/>
      <c r="V1199"/>
      <c r="W1199"/>
      <c r="X1199"/>
      <c r="Y1199"/>
      <c r="Z1199"/>
      <c r="AA1199"/>
      <c r="AB1199"/>
      <c r="AC1199"/>
      <c r="AD1199"/>
      <c r="AE1199"/>
    </row>
    <row r="1200" spans="1:31" x14ac:dyDescent="0.2">
      <c r="C1200" s="657" t="s">
        <v>597</v>
      </c>
      <c r="K1200" s="635" t="str">
        <f t="array" ref="K1200:M1200">TRANSPOSE(Operators.list)</f>
        <v>Hipotético</v>
      </c>
      <c r="L1200" s="635" t="str">
        <v>Spare</v>
      </c>
      <c r="M1200" s="635" t="str">
        <v>Spare</v>
      </c>
      <c r="N1200"/>
      <c r="O1200"/>
      <c r="P1200"/>
      <c r="Q1200"/>
    </row>
    <row r="1201" spans="3:17" x14ac:dyDescent="0.2">
      <c r="C1201" s="631"/>
      <c r="E1201" s="670" t="str">
        <f t="array" ref="E1201:E1210">Geotypes</f>
        <v>Muy denso</v>
      </c>
      <c r="K1201" s="724">
        <v>0.8</v>
      </c>
      <c r="L1201" s="715">
        <v>0</v>
      </c>
      <c r="M1201" s="715">
        <v>0</v>
      </c>
      <c r="N1201"/>
      <c r="O1201"/>
      <c r="P1201"/>
      <c r="Q1201"/>
    </row>
    <row r="1202" spans="3:17" x14ac:dyDescent="0.2">
      <c r="C1202" s="631"/>
      <c r="E1202" s="670" t="str">
        <v>Denso</v>
      </c>
      <c r="K1202" s="724">
        <v>0.8</v>
      </c>
      <c r="L1202" s="715">
        <v>0</v>
      </c>
      <c r="M1202" s="715">
        <v>0</v>
      </c>
      <c r="N1202"/>
      <c r="O1202"/>
      <c r="P1202"/>
      <c r="Q1202"/>
    </row>
    <row r="1203" spans="3:17" x14ac:dyDescent="0.2">
      <c r="C1203" s="631"/>
      <c r="E1203" s="670" t="str">
        <v>Poco denso</v>
      </c>
      <c r="K1203" s="724">
        <v>0.8</v>
      </c>
      <c r="L1203" s="715">
        <v>0</v>
      </c>
      <c r="M1203" s="715">
        <v>0</v>
      </c>
      <c r="N1203"/>
      <c r="O1203"/>
      <c r="P1203"/>
      <c r="Q1203"/>
    </row>
    <row r="1204" spans="3:17" x14ac:dyDescent="0.2">
      <c r="C1204" s="631"/>
      <c r="E1204" s="670" t="str">
        <v>Otro</v>
      </c>
      <c r="K1204" s="724">
        <v>0.8</v>
      </c>
      <c r="L1204" s="715">
        <v>0</v>
      </c>
      <c r="M1204" s="715">
        <v>0</v>
      </c>
      <c r="N1204"/>
      <c r="O1204"/>
      <c r="P1204"/>
      <c r="Q1204"/>
    </row>
    <row r="1205" spans="3:17" x14ac:dyDescent="0.2">
      <c r="C1205" s="631"/>
      <c r="E1205" s="670" t="str">
        <v>Microceldas</v>
      </c>
      <c r="K1205" s="715">
        <v>0</v>
      </c>
      <c r="L1205" s="715">
        <v>0</v>
      </c>
      <c r="M1205" s="715">
        <v>0</v>
      </c>
      <c r="N1205"/>
      <c r="O1205"/>
      <c r="P1205"/>
      <c r="Q1205"/>
    </row>
    <row r="1206" spans="3:17" x14ac:dyDescent="0.2">
      <c r="C1206" s="631"/>
      <c r="E1206" s="670" t="str">
        <v>spare</v>
      </c>
      <c r="K1206" s="715">
        <v>0</v>
      </c>
      <c r="L1206" s="715">
        <v>0</v>
      </c>
      <c r="M1206" s="715">
        <v>0</v>
      </c>
      <c r="N1206"/>
      <c r="O1206"/>
      <c r="P1206"/>
      <c r="Q1206"/>
    </row>
    <row r="1207" spans="3:17" x14ac:dyDescent="0.2">
      <c r="C1207" s="631"/>
      <c r="E1207" s="670" t="str">
        <v>spare</v>
      </c>
      <c r="K1207" s="715">
        <v>0</v>
      </c>
      <c r="L1207" s="715">
        <v>0</v>
      </c>
      <c r="M1207" s="715">
        <v>0</v>
      </c>
      <c r="N1207"/>
      <c r="O1207"/>
      <c r="P1207"/>
      <c r="Q1207"/>
    </row>
    <row r="1208" spans="3:17" x14ac:dyDescent="0.2">
      <c r="C1208" s="631"/>
      <c r="E1208" s="670" t="str">
        <v>spare</v>
      </c>
      <c r="K1208" s="715">
        <v>0</v>
      </c>
      <c r="L1208" s="715">
        <v>0</v>
      </c>
      <c r="M1208" s="715">
        <v>0</v>
      </c>
      <c r="N1208"/>
      <c r="O1208"/>
      <c r="P1208"/>
      <c r="Q1208"/>
    </row>
    <row r="1209" spans="3:17" x14ac:dyDescent="0.2">
      <c r="C1209" s="631"/>
      <c r="E1209" s="670" t="str">
        <v>spare</v>
      </c>
      <c r="K1209" s="715">
        <v>0</v>
      </c>
      <c r="L1209" s="715">
        <v>0</v>
      </c>
      <c r="M1209" s="715">
        <v>0</v>
      </c>
      <c r="N1209"/>
      <c r="O1209"/>
      <c r="P1209"/>
      <c r="Q1209"/>
    </row>
    <row r="1210" spans="3:17" x14ac:dyDescent="0.2">
      <c r="C1210" s="631"/>
      <c r="E1210" s="670" t="str">
        <v>spare</v>
      </c>
      <c r="K1210" s="715">
        <v>0</v>
      </c>
      <c r="L1210" s="715">
        <v>0</v>
      </c>
      <c r="M1210" s="715">
        <v>0</v>
      </c>
      <c r="N1210"/>
      <c r="O1210"/>
      <c r="P1210"/>
      <c r="Q1210"/>
    </row>
    <row r="1211" spans="3:17" x14ac:dyDescent="0.2">
      <c r="N1211"/>
      <c r="O1211"/>
      <c r="P1211"/>
      <c r="Q1211"/>
    </row>
    <row r="1212" spans="3:17" x14ac:dyDescent="0.2">
      <c r="C1212" s="657" t="s">
        <v>598</v>
      </c>
      <c r="K1212" s="635" t="str">
        <f t="array" ref="K1212:M1212">TRANSPOSE(Operators.list)</f>
        <v>Hipotético</v>
      </c>
      <c r="L1212" s="635" t="str">
        <v>Spare</v>
      </c>
      <c r="M1212" s="635" t="str">
        <v>Spare</v>
      </c>
      <c r="N1212"/>
      <c r="O1212"/>
      <c r="P1212"/>
      <c r="Q1212"/>
    </row>
    <row r="1213" spans="3:17" x14ac:dyDescent="0.2">
      <c r="C1213" s="631"/>
      <c r="E1213" s="670" t="str">
        <f t="array" ref="E1213:E1222">Geotypes</f>
        <v>Muy denso</v>
      </c>
      <c r="K1213" s="725">
        <v>5</v>
      </c>
      <c r="L1213" s="713">
        <v>0</v>
      </c>
      <c r="M1213" s="713">
        <v>0</v>
      </c>
      <c r="N1213"/>
      <c r="O1213"/>
      <c r="P1213"/>
      <c r="Q1213"/>
    </row>
    <row r="1214" spans="3:17" x14ac:dyDescent="0.2">
      <c r="C1214" s="631"/>
      <c r="E1214" s="670" t="str">
        <v>Denso</v>
      </c>
      <c r="K1214" s="725">
        <v>5</v>
      </c>
      <c r="L1214" s="713">
        <v>0</v>
      </c>
      <c r="M1214" s="713">
        <v>0</v>
      </c>
      <c r="N1214"/>
      <c r="O1214"/>
      <c r="P1214"/>
      <c r="Q1214"/>
    </row>
    <row r="1215" spans="3:17" x14ac:dyDescent="0.2">
      <c r="C1215" s="631"/>
      <c r="E1215" s="670" t="str">
        <v>Poco denso</v>
      </c>
      <c r="K1215" s="725">
        <v>5</v>
      </c>
      <c r="L1215" s="713">
        <v>0</v>
      </c>
      <c r="M1215" s="713">
        <v>0</v>
      </c>
      <c r="N1215"/>
      <c r="O1215"/>
      <c r="P1215"/>
      <c r="Q1215"/>
    </row>
    <row r="1216" spans="3:17" x14ac:dyDescent="0.2">
      <c r="C1216" s="631"/>
      <c r="E1216" s="670" t="str">
        <v>Otro</v>
      </c>
      <c r="K1216" s="725">
        <v>5</v>
      </c>
      <c r="L1216" s="713">
        <v>0</v>
      </c>
      <c r="M1216" s="713">
        <v>0</v>
      </c>
      <c r="N1216"/>
      <c r="O1216"/>
      <c r="P1216"/>
      <c r="Q1216"/>
    </row>
    <row r="1217" spans="3:18" x14ac:dyDescent="0.2">
      <c r="C1217" s="631"/>
      <c r="E1217" s="670" t="str">
        <v>Microceldas</v>
      </c>
      <c r="K1217" s="713">
        <v>0</v>
      </c>
      <c r="L1217" s="713">
        <v>0</v>
      </c>
      <c r="M1217" s="713">
        <v>0</v>
      </c>
      <c r="N1217"/>
      <c r="O1217"/>
      <c r="P1217"/>
      <c r="Q1217"/>
    </row>
    <row r="1218" spans="3:18" x14ac:dyDescent="0.2">
      <c r="C1218" s="631"/>
      <c r="E1218" s="670" t="str">
        <v>spare</v>
      </c>
      <c r="K1218" s="713">
        <v>0</v>
      </c>
      <c r="L1218" s="713">
        <v>0</v>
      </c>
      <c r="M1218" s="713">
        <v>0</v>
      </c>
      <c r="N1218"/>
      <c r="O1218"/>
      <c r="P1218"/>
      <c r="Q1218"/>
    </row>
    <row r="1219" spans="3:18" x14ac:dyDescent="0.2">
      <c r="C1219" s="631"/>
      <c r="E1219" s="670" t="str">
        <v>spare</v>
      </c>
      <c r="K1219" s="713">
        <v>0</v>
      </c>
      <c r="L1219" s="713">
        <v>0</v>
      </c>
      <c r="M1219" s="713">
        <v>0</v>
      </c>
      <c r="N1219"/>
      <c r="O1219"/>
      <c r="P1219"/>
      <c r="Q1219"/>
    </row>
    <row r="1220" spans="3:18" x14ac:dyDescent="0.2">
      <c r="C1220" s="631"/>
      <c r="E1220" s="670" t="str">
        <v>spare</v>
      </c>
      <c r="K1220" s="713">
        <v>0</v>
      </c>
      <c r="L1220" s="713">
        <v>0</v>
      </c>
      <c r="M1220" s="713">
        <v>0</v>
      </c>
      <c r="N1220"/>
      <c r="O1220"/>
      <c r="P1220"/>
      <c r="Q1220"/>
    </row>
    <row r="1221" spans="3:18" x14ac:dyDescent="0.2">
      <c r="C1221" s="631"/>
      <c r="E1221" s="670" t="str">
        <v>spare</v>
      </c>
      <c r="K1221" s="713">
        <v>0</v>
      </c>
      <c r="L1221" s="713">
        <v>0</v>
      </c>
      <c r="M1221" s="713">
        <v>0</v>
      </c>
      <c r="N1221"/>
      <c r="O1221"/>
      <c r="P1221"/>
      <c r="Q1221"/>
    </row>
    <row r="1222" spans="3:18" x14ac:dyDescent="0.2">
      <c r="C1222" s="631"/>
      <c r="E1222" s="670" t="str">
        <v>spare</v>
      </c>
      <c r="K1222" s="713">
        <v>0</v>
      </c>
      <c r="L1222" s="713">
        <v>0</v>
      </c>
      <c r="M1222" s="713">
        <v>0</v>
      </c>
      <c r="N1222"/>
      <c r="O1222"/>
      <c r="P1222"/>
      <c r="Q1222"/>
      <c r="R1222"/>
    </row>
    <row r="1223" spans="3:18" x14ac:dyDescent="0.2">
      <c r="N1223"/>
      <c r="O1223"/>
      <c r="P1223"/>
      <c r="Q1223"/>
      <c r="R1223"/>
    </row>
    <row r="1224" spans="3:18" x14ac:dyDescent="0.2">
      <c r="C1224" s="657" t="s">
        <v>599</v>
      </c>
      <c r="K1224" s="635" t="str">
        <f t="array" ref="K1224:M1224">TRANSPOSE(Operators.list)</f>
        <v>Hipotético</v>
      </c>
      <c r="L1224" s="635" t="str">
        <v>Spare</v>
      </c>
      <c r="M1224" s="635" t="str">
        <v>Spare</v>
      </c>
      <c r="N1224"/>
      <c r="O1224"/>
      <c r="P1224"/>
      <c r="Q1224"/>
      <c r="R1224"/>
    </row>
    <row r="1225" spans="3:18" x14ac:dyDescent="0.2">
      <c r="C1225" s="631"/>
      <c r="E1225" s="670" t="str">
        <f t="array" ref="E1225:E1234">Geotypes</f>
        <v>Muy denso</v>
      </c>
      <c r="K1225" s="724">
        <v>0.1</v>
      </c>
      <c r="L1225" s="715">
        <v>0</v>
      </c>
      <c r="M1225" s="715">
        <v>0</v>
      </c>
      <c r="N1225"/>
      <c r="O1225"/>
      <c r="P1225"/>
      <c r="Q1225"/>
      <c r="R1225"/>
    </row>
    <row r="1226" spans="3:18" x14ac:dyDescent="0.2">
      <c r="C1226" s="631"/>
      <c r="E1226" s="670" t="str">
        <v>Denso</v>
      </c>
      <c r="K1226" s="724">
        <v>0.1</v>
      </c>
      <c r="L1226" s="715">
        <v>0</v>
      </c>
      <c r="M1226" s="715">
        <v>0</v>
      </c>
      <c r="N1226"/>
      <c r="O1226"/>
      <c r="P1226"/>
      <c r="Q1226"/>
      <c r="R1226"/>
    </row>
    <row r="1227" spans="3:18" x14ac:dyDescent="0.2">
      <c r="C1227" s="631"/>
      <c r="E1227" s="670" t="str">
        <v>Poco denso</v>
      </c>
      <c r="K1227" s="724">
        <v>0.1</v>
      </c>
      <c r="L1227" s="715">
        <v>0</v>
      </c>
      <c r="M1227" s="715">
        <v>0</v>
      </c>
      <c r="N1227"/>
      <c r="O1227"/>
      <c r="P1227"/>
      <c r="Q1227"/>
      <c r="R1227"/>
    </row>
    <row r="1228" spans="3:18" x14ac:dyDescent="0.2">
      <c r="C1228" s="631"/>
      <c r="E1228" s="670" t="str">
        <v>Otro</v>
      </c>
      <c r="K1228" s="724">
        <v>0.1</v>
      </c>
      <c r="L1228" s="715">
        <v>0</v>
      </c>
      <c r="M1228" s="715">
        <v>0</v>
      </c>
      <c r="N1228"/>
      <c r="O1228"/>
      <c r="P1228"/>
      <c r="Q1228"/>
      <c r="R1228"/>
    </row>
    <row r="1229" spans="3:18" x14ac:dyDescent="0.2">
      <c r="C1229" s="631"/>
      <c r="E1229" s="670" t="str">
        <v>Microceldas</v>
      </c>
      <c r="K1229" s="715">
        <v>0</v>
      </c>
      <c r="L1229" s="715">
        <v>0</v>
      </c>
      <c r="M1229" s="715">
        <v>0</v>
      </c>
      <c r="N1229"/>
      <c r="O1229"/>
      <c r="P1229"/>
      <c r="Q1229"/>
      <c r="R1229"/>
    </row>
    <row r="1230" spans="3:18" x14ac:dyDescent="0.2">
      <c r="C1230" s="631"/>
      <c r="E1230" s="670" t="str">
        <v>spare</v>
      </c>
      <c r="K1230" s="715">
        <v>0</v>
      </c>
      <c r="L1230" s="715">
        <v>0</v>
      </c>
      <c r="M1230" s="715">
        <v>0</v>
      </c>
      <c r="N1230"/>
      <c r="O1230"/>
      <c r="P1230"/>
      <c r="Q1230"/>
      <c r="R1230"/>
    </row>
    <row r="1231" spans="3:18" x14ac:dyDescent="0.2">
      <c r="C1231" s="631"/>
      <c r="E1231" s="670" t="str">
        <v>spare</v>
      </c>
      <c r="K1231" s="715">
        <v>0</v>
      </c>
      <c r="L1231" s="715">
        <v>0</v>
      </c>
      <c r="M1231" s="715">
        <v>0</v>
      </c>
      <c r="N1231"/>
      <c r="O1231"/>
      <c r="P1231"/>
      <c r="Q1231"/>
      <c r="R1231"/>
    </row>
    <row r="1232" spans="3:18" x14ac:dyDescent="0.2">
      <c r="C1232" s="631"/>
      <c r="E1232" s="670" t="str">
        <v>spare</v>
      </c>
      <c r="K1232" s="715">
        <v>0</v>
      </c>
      <c r="L1232" s="715">
        <v>0</v>
      </c>
      <c r="M1232" s="715">
        <v>0</v>
      </c>
      <c r="N1232"/>
      <c r="O1232"/>
      <c r="P1232"/>
      <c r="Q1232"/>
      <c r="R1232"/>
    </row>
    <row r="1233" spans="3:18" x14ac:dyDescent="0.2">
      <c r="C1233" s="631"/>
      <c r="E1233" s="670" t="str">
        <v>spare</v>
      </c>
      <c r="K1233" s="715">
        <v>0</v>
      </c>
      <c r="L1233" s="715">
        <v>0</v>
      </c>
      <c r="M1233" s="715">
        <v>0</v>
      </c>
      <c r="N1233"/>
      <c r="O1233"/>
      <c r="P1233"/>
      <c r="Q1233"/>
      <c r="R1233"/>
    </row>
    <row r="1234" spans="3:18" x14ac:dyDescent="0.2">
      <c r="C1234" s="631"/>
      <c r="E1234" s="670" t="str">
        <v>spare</v>
      </c>
      <c r="K1234" s="715">
        <v>0</v>
      </c>
      <c r="L1234" s="715">
        <v>0</v>
      </c>
      <c r="M1234" s="715">
        <v>0</v>
      </c>
      <c r="N1234"/>
      <c r="O1234"/>
      <c r="P1234"/>
      <c r="Q1234"/>
      <c r="R1234"/>
    </row>
    <row r="1235" spans="3:18" x14ac:dyDescent="0.2">
      <c r="N1235"/>
      <c r="O1235"/>
      <c r="P1235"/>
      <c r="Q1235"/>
      <c r="R1235"/>
    </row>
    <row r="1236" spans="3:18" x14ac:dyDescent="0.2">
      <c r="C1236" s="657" t="s">
        <v>600</v>
      </c>
      <c r="K1236" s="635" t="str">
        <f t="array" ref="K1236:M1236">TRANSPOSE(Operators.list)</f>
        <v>Hipotético</v>
      </c>
      <c r="L1236" s="635" t="str">
        <v>Spare</v>
      </c>
      <c r="M1236" s="635" t="str">
        <v>Spare</v>
      </c>
      <c r="N1236"/>
      <c r="O1236"/>
      <c r="P1236"/>
      <c r="Q1236"/>
      <c r="R1236"/>
    </row>
    <row r="1237" spans="3:18" x14ac:dyDescent="0.2">
      <c r="E1237" s="670" t="str">
        <f t="array" ref="E1237:E1246">Geotypes</f>
        <v>Muy denso</v>
      </c>
      <c r="K1237" s="726">
        <v>1</v>
      </c>
      <c r="L1237" s="727">
        <v>0</v>
      </c>
      <c r="M1237" s="727">
        <v>0</v>
      </c>
      <c r="N1237"/>
      <c r="O1237"/>
      <c r="P1237"/>
      <c r="Q1237"/>
      <c r="R1237"/>
    </row>
    <row r="1238" spans="3:18" x14ac:dyDescent="0.2">
      <c r="E1238" s="670" t="str">
        <v>Denso</v>
      </c>
      <c r="K1238" s="726">
        <v>1</v>
      </c>
      <c r="L1238" s="727">
        <v>0</v>
      </c>
      <c r="M1238" s="727">
        <v>0</v>
      </c>
      <c r="N1238"/>
      <c r="O1238"/>
      <c r="P1238"/>
      <c r="Q1238"/>
      <c r="R1238"/>
    </row>
    <row r="1239" spans="3:18" x14ac:dyDescent="0.2">
      <c r="E1239" s="670" t="str">
        <v>Poco denso</v>
      </c>
      <c r="K1239" s="726">
        <v>1</v>
      </c>
      <c r="L1239" s="727">
        <v>0</v>
      </c>
      <c r="M1239" s="727">
        <v>0</v>
      </c>
      <c r="N1239"/>
      <c r="O1239"/>
      <c r="P1239"/>
      <c r="Q1239"/>
      <c r="R1239"/>
    </row>
    <row r="1240" spans="3:18" x14ac:dyDescent="0.2">
      <c r="E1240" s="670" t="str">
        <v>Otro</v>
      </c>
      <c r="K1240" s="726">
        <v>1</v>
      </c>
      <c r="L1240" s="727">
        <v>0</v>
      </c>
      <c r="M1240" s="727">
        <v>0</v>
      </c>
      <c r="N1240"/>
      <c r="O1240"/>
      <c r="P1240"/>
      <c r="Q1240"/>
    </row>
    <row r="1241" spans="3:18" x14ac:dyDescent="0.2">
      <c r="E1241" s="670" t="str">
        <v>Microceldas</v>
      </c>
      <c r="K1241" s="727">
        <v>0</v>
      </c>
      <c r="L1241" s="727">
        <v>0</v>
      </c>
      <c r="M1241" s="727">
        <v>0</v>
      </c>
      <c r="N1241"/>
      <c r="O1241"/>
      <c r="P1241"/>
      <c r="Q1241"/>
    </row>
    <row r="1242" spans="3:18" x14ac:dyDescent="0.2">
      <c r="E1242" s="670" t="str">
        <v>spare</v>
      </c>
      <c r="K1242" s="727">
        <v>0</v>
      </c>
      <c r="L1242" s="727">
        <v>0</v>
      </c>
      <c r="M1242" s="727">
        <v>0</v>
      </c>
      <c r="N1242"/>
      <c r="O1242"/>
      <c r="P1242"/>
      <c r="Q1242"/>
    </row>
    <row r="1243" spans="3:18" x14ac:dyDescent="0.2">
      <c r="E1243" s="670" t="str">
        <v>spare</v>
      </c>
      <c r="K1243" s="727">
        <v>0</v>
      </c>
      <c r="L1243" s="727">
        <v>0</v>
      </c>
      <c r="M1243" s="727">
        <v>0</v>
      </c>
      <c r="N1243"/>
      <c r="O1243"/>
      <c r="P1243"/>
      <c r="Q1243"/>
    </row>
    <row r="1244" spans="3:18" x14ac:dyDescent="0.2">
      <c r="E1244" s="670" t="str">
        <v>spare</v>
      </c>
      <c r="K1244" s="727">
        <v>0</v>
      </c>
      <c r="L1244" s="727">
        <v>0</v>
      </c>
      <c r="M1244" s="727">
        <v>0</v>
      </c>
      <c r="N1244"/>
      <c r="O1244"/>
      <c r="P1244"/>
      <c r="Q1244"/>
    </row>
    <row r="1245" spans="3:18" x14ac:dyDescent="0.2">
      <c r="E1245" s="670" t="str">
        <v>spare</v>
      </c>
      <c r="K1245" s="727">
        <v>0</v>
      </c>
      <c r="L1245" s="727">
        <v>0</v>
      </c>
      <c r="M1245" s="727">
        <v>0</v>
      </c>
      <c r="N1245"/>
      <c r="O1245"/>
      <c r="P1245"/>
      <c r="Q1245"/>
    </row>
    <row r="1246" spans="3:18" x14ac:dyDescent="0.2">
      <c r="E1246" s="670" t="str">
        <v>spare</v>
      </c>
      <c r="K1246" s="727">
        <v>0</v>
      </c>
      <c r="L1246" s="727">
        <v>0</v>
      </c>
      <c r="M1246" s="727">
        <v>0</v>
      </c>
      <c r="N1246"/>
      <c r="O1246"/>
      <c r="P1246"/>
      <c r="Q1246"/>
    </row>
    <row r="1250" spans="1:31" ht="18.75" thickBot="1" x14ac:dyDescent="0.25">
      <c r="A1250" s="638" t="s">
        <v>619</v>
      </c>
      <c r="B1250" s="638"/>
      <c r="C1250" s="639"/>
      <c r="D1250" s="639"/>
      <c r="E1250" s="639"/>
      <c r="F1250" s="639"/>
      <c r="G1250" s="639"/>
      <c r="H1250" s="639"/>
      <c r="I1250" s="639"/>
      <c r="J1250" s="639"/>
      <c r="K1250" s="639"/>
      <c r="L1250" s="639"/>
      <c r="M1250" s="639"/>
      <c r="N1250" s="639"/>
      <c r="O1250" s="639"/>
      <c r="P1250" s="639"/>
      <c r="Q1250" s="639"/>
      <c r="R1250" s="639"/>
    </row>
    <row r="1252" spans="1:31" x14ac:dyDescent="0.2">
      <c r="C1252" s="657" t="s">
        <v>1685</v>
      </c>
      <c r="F1252" s="631"/>
    </row>
    <row r="1253" spans="1:31" x14ac:dyDescent="0.2">
      <c r="A1253" s="631"/>
      <c r="C1253" s="657"/>
      <c r="E1253" s="635" t="s">
        <v>632</v>
      </c>
      <c r="F1253" s="631"/>
      <c r="K1253" s="635" t="str">
        <f t="array" ref="K1253:M1253">TRANSPOSE(Operators.list)</f>
        <v>Hipotético</v>
      </c>
      <c r="L1253" s="635" t="str">
        <v>Spare</v>
      </c>
      <c r="M1253" s="635" t="str">
        <v>Spare</v>
      </c>
      <c r="N1253"/>
      <c r="O1253"/>
      <c r="P1253"/>
      <c r="Q1253"/>
    </row>
    <row r="1254" spans="1:31" s="631" customFormat="1" x14ac:dyDescent="0.2">
      <c r="C1254" s="632"/>
      <c r="E1254" s="670" t="str">
        <f t="array" ref="E1254:E1293">Core.nodes</f>
        <v>Abancay</v>
      </c>
      <c r="K1254" s="728" t="s">
        <v>528</v>
      </c>
      <c r="L1254" s="713">
        <v>0</v>
      </c>
      <c r="M1254" s="713">
        <v>0</v>
      </c>
      <c r="N1254"/>
      <c r="O1254"/>
      <c r="P1254"/>
      <c r="Q1254"/>
      <c r="S1254"/>
      <c r="T1254"/>
      <c r="U1254"/>
      <c r="V1254"/>
      <c r="W1254"/>
      <c r="X1254"/>
      <c r="Y1254"/>
      <c r="Z1254"/>
      <c r="AA1254"/>
      <c r="AB1254"/>
      <c r="AC1254"/>
      <c r="AD1254"/>
      <c r="AE1254"/>
    </row>
    <row r="1255" spans="1:31" s="631" customFormat="1" x14ac:dyDescent="0.2">
      <c r="E1255" s="670" t="str">
        <v>Arequipa</v>
      </c>
      <c r="K1255" s="728" t="s">
        <v>528</v>
      </c>
      <c r="L1255" s="713">
        <v>0</v>
      </c>
      <c r="M1255" s="713">
        <v>0</v>
      </c>
      <c r="N1255"/>
      <c r="O1255"/>
      <c r="P1255"/>
      <c r="Q1255"/>
      <c r="S1255"/>
      <c r="T1255"/>
      <c r="U1255"/>
      <c r="V1255"/>
      <c r="W1255"/>
      <c r="X1255"/>
      <c r="Y1255"/>
      <c r="Z1255"/>
      <c r="AA1255"/>
      <c r="AB1255"/>
      <c r="AC1255"/>
      <c r="AD1255"/>
      <c r="AE1255"/>
    </row>
    <row r="1256" spans="1:31" s="631" customFormat="1" x14ac:dyDescent="0.2">
      <c r="E1256" s="670" t="str">
        <v>Ayacucho</v>
      </c>
      <c r="K1256" s="728" t="s">
        <v>528</v>
      </c>
      <c r="L1256" s="713">
        <v>0</v>
      </c>
      <c r="M1256" s="713">
        <v>0</v>
      </c>
      <c r="N1256"/>
      <c r="O1256"/>
      <c r="P1256"/>
      <c r="Q1256"/>
      <c r="S1256"/>
      <c r="T1256"/>
      <c r="U1256"/>
      <c r="V1256"/>
      <c r="W1256"/>
      <c r="X1256"/>
      <c r="Y1256"/>
      <c r="Z1256"/>
      <c r="AA1256"/>
      <c r="AB1256"/>
      <c r="AC1256"/>
      <c r="AD1256"/>
      <c r="AE1256"/>
    </row>
    <row r="1257" spans="1:31" s="631" customFormat="1" x14ac:dyDescent="0.2">
      <c r="E1257" s="670" t="str">
        <v>Cajamarca</v>
      </c>
      <c r="K1257" s="728" t="s">
        <v>520</v>
      </c>
      <c r="L1257" s="713">
        <v>0</v>
      </c>
      <c r="M1257" s="713">
        <v>0</v>
      </c>
      <c r="N1257"/>
      <c r="O1257"/>
      <c r="P1257"/>
      <c r="Q1257"/>
      <c r="S1257"/>
      <c r="T1257"/>
      <c r="U1257"/>
      <c r="V1257"/>
      <c r="W1257"/>
      <c r="X1257"/>
      <c r="Y1257"/>
      <c r="Z1257"/>
      <c r="AA1257"/>
      <c r="AB1257"/>
      <c r="AC1257"/>
      <c r="AD1257"/>
      <c r="AE1257"/>
    </row>
    <row r="1258" spans="1:31" s="631" customFormat="1" x14ac:dyDescent="0.2">
      <c r="E1258" s="670" t="str">
        <v>Callao</v>
      </c>
      <c r="K1258" s="728" t="s">
        <v>518</v>
      </c>
      <c r="L1258" s="713">
        <v>0</v>
      </c>
      <c r="M1258" s="713">
        <v>0</v>
      </c>
      <c r="N1258"/>
      <c r="O1258"/>
      <c r="P1258"/>
      <c r="Q1258"/>
      <c r="S1258"/>
      <c r="T1258"/>
      <c r="U1258"/>
      <c r="V1258"/>
      <c r="W1258"/>
      <c r="X1258"/>
      <c r="Y1258"/>
      <c r="Z1258"/>
      <c r="AA1258"/>
      <c r="AB1258"/>
      <c r="AC1258"/>
      <c r="AD1258"/>
      <c r="AE1258"/>
    </row>
    <row r="1259" spans="1:31" s="631" customFormat="1" x14ac:dyDescent="0.2">
      <c r="E1259" s="670" t="str">
        <v>Cerro de Pasco</v>
      </c>
      <c r="K1259" s="728" t="s">
        <v>520</v>
      </c>
      <c r="L1259" s="713">
        <v>0</v>
      </c>
      <c r="M1259" s="713">
        <v>0</v>
      </c>
      <c r="N1259"/>
      <c r="O1259"/>
      <c r="P1259"/>
      <c r="Q1259"/>
      <c r="S1259"/>
      <c r="T1259"/>
      <c r="U1259"/>
      <c r="V1259"/>
      <c r="W1259"/>
      <c r="X1259"/>
      <c r="Y1259"/>
      <c r="Z1259"/>
      <c r="AA1259"/>
      <c r="AB1259"/>
      <c r="AC1259"/>
      <c r="AD1259"/>
      <c r="AE1259"/>
    </row>
    <row r="1260" spans="1:31" s="631" customFormat="1" x14ac:dyDescent="0.2">
      <c r="E1260" s="670" t="str">
        <v>Chachapoyas</v>
      </c>
      <c r="K1260" s="728" t="s">
        <v>520</v>
      </c>
      <c r="L1260" s="713">
        <v>0</v>
      </c>
      <c r="M1260" s="713">
        <v>0</v>
      </c>
      <c r="N1260"/>
      <c r="O1260"/>
      <c r="P1260"/>
      <c r="Q1260"/>
      <c r="S1260"/>
      <c r="T1260"/>
      <c r="U1260"/>
      <c r="V1260"/>
      <c r="W1260"/>
      <c r="X1260"/>
      <c r="Y1260"/>
      <c r="Z1260"/>
      <c r="AA1260"/>
      <c r="AB1260"/>
      <c r="AC1260"/>
      <c r="AD1260"/>
      <c r="AE1260"/>
    </row>
    <row r="1261" spans="1:31" s="631" customFormat="1" x14ac:dyDescent="0.2">
      <c r="E1261" s="670" t="str">
        <v>Chiclayo</v>
      </c>
      <c r="K1261" s="728" t="s">
        <v>520</v>
      </c>
      <c r="L1261" s="713">
        <v>0</v>
      </c>
      <c r="M1261" s="713">
        <v>0</v>
      </c>
      <c r="N1261"/>
      <c r="O1261"/>
      <c r="P1261"/>
      <c r="Q1261"/>
      <c r="S1261"/>
      <c r="T1261"/>
      <c r="U1261"/>
      <c r="V1261"/>
      <c r="W1261"/>
      <c r="X1261"/>
      <c r="Y1261"/>
      <c r="Z1261"/>
      <c r="AA1261"/>
      <c r="AB1261"/>
      <c r="AC1261"/>
      <c r="AD1261"/>
      <c r="AE1261"/>
    </row>
    <row r="1262" spans="1:31" s="631" customFormat="1" x14ac:dyDescent="0.2">
      <c r="E1262" s="670" t="str">
        <v>Cusco</v>
      </c>
      <c r="K1262" s="728" t="s">
        <v>528</v>
      </c>
      <c r="L1262" s="713">
        <v>0</v>
      </c>
      <c r="M1262" s="713">
        <v>0</v>
      </c>
      <c r="N1262"/>
      <c r="O1262"/>
      <c r="P1262"/>
      <c r="Q1262"/>
      <c r="S1262"/>
      <c r="T1262"/>
      <c r="U1262"/>
      <c r="V1262"/>
      <c r="W1262"/>
      <c r="X1262"/>
      <c r="Y1262"/>
      <c r="Z1262"/>
      <c r="AA1262"/>
      <c r="AB1262"/>
      <c r="AC1262"/>
      <c r="AD1262"/>
      <c r="AE1262"/>
    </row>
    <row r="1263" spans="1:31" s="631" customFormat="1" x14ac:dyDescent="0.2">
      <c r="E1263" s="670" t="str">
        <v>Huancavelica</v>
      </c>
      <c r="K1263" s="728" t="s">
        <v>528</v>
      </c>
      <c r="L1263" s="723">
        <v>0</v>
      </c>
      <c r="M1263" s="723">
        <v>0</v>
      </c>
      <c r="N1263"/>
      <c r="O1263"/>
      <c r="P1263"/>
      <c r="Q1263"/>
      <c r="S1263"/>
      <c r="T1263"/>
      <c r="U1263"/>
      <c r="V1263"/>
      <c r="W1263"/>
      <c r="X1263"/>
      <c r="Y1263"/>
      <c r="Z1263"/>
      <c r="AA1263"/>
      <c r="AB1263"/>
      <c r="AC1263"/>
      <c r="AD1263"/>
      <c r="AE1263"/>
    </row>
    <row r="1264" spans="1:31" x14ac:dyDescent="0.2">
      <c r="E1264" s="670" t="str">
        <v>Huancayo</v>
      </c>
      <c r="F1264" s="631"/>
      <c r="K1264" s="728" t="s">
        <v>518</v>
      </c>
      <c r="L1264" s="723">
        <v>0</v>
      </c>
      <c r="M1264" s="723">
        <v>0</v>
      </c>
      <c r="N1264"/>
      <c r="O1264"/>
      <c r="P1264"/>
      <c r="Q1264"/>
    </row>
    <row r="1265" spans="5:17" x14ac:dyDescent="0.2">
      <c r="E1265" s="670" t="str">
        <v>Huaraz</v>
      </c>
      <c r="F1265" s="631"/>
      <c r="K1265" s="728" t="s">
        <v>520</v>
      </c>
      <c r="L1265" s="723">
        <v>0</v>
      </c>
      <c r="M1265" s="723">
        <v>0</v>
      </c>
      <c r="N1265"/>
      <c r="O1265"/>
      <c r="P1265"/>
      <c r="Q1265"/>
    </row>
    <row r="1266" spans="5:17" x14ac:dyDescent="0.2">
      <c r="E1266" s="670" t="str">
        <v>Ica</v>
      </c>
      <c r="F1266" s="631"/>
      <c r="K1266" s="728" t="s">
        <v>528</v>
      </c>
      <c r="L1266" s="723">
        <v>0</v>
      </c>
      <c r="M1266" s="723">
        <v>0</v>
      </c>
      <c r="N1266"/>
      <c r="O1266"/>
      <c r="P1266"/>
      <c r="Q1266"/>
    </row>
    <row r="1267" spans="5:17" x14ac:dyDescent="0.2">
      <c r="E1267" s="670" t="str">
        <v>Iquitos</v>
      </c>
      <c r="F1267" s="631"/>
      <c r="K1267" s="728" t="s">
        <v>542</v>
      </c>
      <c r="L1267" s="723">
        <v>0</v>
      </c>
      <c r="M1267" s="723">
        <v>0</v>
      </c>
      <c r="N1267"/>
      <c r="O1267"/>
      <c r="P1267"/>
      <c r="Q1267"/>
    </row>
    <row r="1268" spans="5:17" x14ac:dyDescent="0.2">
      <c r="E1268" s="670" t="str">
        <v>Lima</v>
      </c>
      <c r="F1268" s="631"/>
      <c r="K1268" s="728" t="s">
        <v>518</v>
      </c>
      <c r="L1268" s="723">
        <v>0</v>
      </c>
      <c r="M1268" s="723">
        <v>0</v>
      </c>
      <c r="N1268"/>
      <c r="O1268"/>
      <c r="P1268"/>
      <c r="Q1268"/>
    </row>
    <row r="1269" spans="5:17" x14ac:dyDescent="0.2">
      <c r="E1269" s="670" t="str">
        <v>Moquegua</v>
      </c>
      <c r="F1269" s="631"/>
      <c r="K1269" s="728" t="s">
        <v>528</v>
      </c>
      <c r="L1269" s="723">
        <v>0</v>
      </c>
      <c r="M1269" s="723">
        <v>0</v>
      </c>
      <c r="N1269"/>
      <c r="O1269"/>
      <c r="P1269"/>
      <c r="Q1269"/>
    </row>
    <row r="1270" spans="5:17" x14ac:dyDescent="0.2">
      <c r="E1270" s="670" t="str">
        <v>Piura</v>
      </c>
      <c r="F1270" s="631"/>
      <c r="K1270" s="728" t="s">
        <v>520</v>
      </c>
      <c r="L1270" s="723">
        <v>0</v>
      </c>
      <c r="M1270" s="723">
        <v>0</v>
      </c>
      <c r="N1270"/>
      <c r="O1270"/>
      <c r="P1270"/>
      <c r="Q1270"/>
    </row>
    <row r="1271" spans="5:17" x14ac:dyDescent="0.2">
      <c r="E1271" s="670" t="str">
        <v>Pucallpa</v>
      </c>
      <c r="F1271" s="631"/>
      <c r="K1271" s="728" t="s">
        <v>520</v>
      </c>
      <c r="L1271" s="723">
        <v>0</v>
      </c>
      <c r="M1271" s="723">
        <v>0</v>
      </c>
      <c r="N1271"/>
      <c r="O1271"/>
      <c r="P1271"/>
      <c r="Q1271"/>
    </row>
    <row r="1272" spans="5:17" x14ac:dyDescent="0.2">
      <c r="E1272" s="670" t="str">
        <v>Puerto Maldonado</v>
      </c>
      <c r="F1272" s="631"/>
      <c r="K1272" s="728" t="s">
        <v>528</v>
      </c>
      <c r="L1272" s="723">
        <v>0</v>
      </c>
      <c r="M1272" s="723">
        <v>0</v>
      </c>
      <c r="N1272"/>
      <c r="O1272"/>
      <c r="P1272"/>
      <c r="Q1272"/>
    </row>
    <row r="1273" spans="5:17" x14ac:dyDescent="0.2">
      <c r="E1273" s="670" t="str">
        <v>Puno</v>
      </c>
      <c r="F1273" s="631"/>
      <c r="K1273" s="728" t="s">
        <v>528</v>
      </c>
      <c r="L1273" s="723">
        <v>0</v>
      </c>
      <c r="M1273" s="723">
        <v>0</v>
      </c>
      <c r="N1273"/>
      <c r="O1273"/>
      <c r="P1273"/>
      <c r="Q1273"/>
    </row>
    <row r="1274" spans="5:17" x14ac:dyDescent="0.2">
      <c r="E1274" s="670" t="str">
        <v>Tacna</v>
      </c>
      <c r="F1274" s="631"/>
      <c r="K1274" s="728" t="s">
        <v>528</v>
      </c>
      <c r="L1274" s="723">
        <v>0</v>
      </c>
      <c r="M1274" s="723">
        <v>0</v>
      </c>
      <c r="N1274"/>
      <c r="O1274"/>
      <c r="P1274"/>
      <c r="Q1274"/>
    </row>
    <row r="1275" spans="5:17" x14ac:dyDescent="0.2">
      <c r="E1275" s="670" t="str">
        <v>Tarapoto</v>
      </c>
      <c r="F1275" s="631"/>
      <c r="K1275" s="728" t="s">
        <v>520</v>
      </c>
      <c r="L1275" s="723">
        <v>0</v>
      </c>
      <c r="M1275" s="723">
        <v>0</v>
      </c>
      <c r="N1275"/>
      <c r="O1275"/>
      <c r="P1275"/>
      <c r="Q1275"/>
    </row>
    <row r="1276" spans="5:17" x14ac:dyDescent="0.2">
      <c r="E1276" s="670" t="str">
        <v>Tingo Maria</v>
      </c>
      <c r="F1276" s="631"/>
      <c r="K1276" s="728" t="s">
        <v>520</v>
      </c>
      <c r="L1276" s="723">
        <v>0</v>
      </c>
      <c r="M1276" s="723">
        <v>0</v>
      </c>
      <c r="N1276"/>
      <c r="O1276"/>
      <c r="P1276"/>
      <c r="Q1276"/>
    </row>
    <row r="1277" spans="5:17" x14ac:dyDescent="0.2">
      <c r="E1277" s="670" t="str">
        <v>Trujillo</v>
      </c>
      <c r="F1277" s="631"/>
      <c r="K1277" s="728" t="s">
        <v>520</v>
      </c>
      <c r="L1277" s="723">
        <v>0</v>
      </c>
      <c r="M1277" s="723">
        <v>0</v>
      </c>
      <c r="N1277"/>
      <c r="O1277"/>
      <c r="P1277"/>
      <c r="Q1277"/>
    </row>
    <row r="1278" spans="5:17" x14ac:dyDescent="0.2">
      <c r="E1278" s="670" t="str">
        <v>Tumbes</v>
      </c>
      <c r="F1278" s="631"/>
      <c r="K1278" s="728" t="s">
        <v>520</v>
      </c>
      <c r="L1278" s="723">
        <v>0</v>
      </c>
      <c r="M1278" s="723">
        <v>0</v>
      </c>
      <c r="N1278"/>
      <c r="O1278"/>
      <c r="P1278"/>
      <c r="Q1278"/>
    </row>
    <row r="1279" spans="5:17" x14ac:dyDescent="0.2">
      <c r="E1279" s="670" t="str">
        <v>spare</v>
      </c>
      <c r="F1279" s="631"/>
      <c r="K1279" s="728">
        <v>0</v>
      </c>
      <c r="L1279" s="728">
        <v>0</v>
      </c>
      <c r="M1279" s="728">
        <v>0</v>
      </c>
      <c r="N1279"/>
      <c r="O1279"/>
      <c r="P1279"/>
      <c r="Q1279"/>
    </row>
    <row r="1280" spans="5:17" x14ac:dyDescent="0.2">
      <c r="E1280" s="670" t="str">
        <v>spare</v>
      </c>
      <c r="F1280" s="631"/>
      <c r="K1280" s="728">
        <v>0</v>
      </c>
      <c r="L1280" s="728">
        <v>0</v>
      </c>
      <c r="M1280" s="728">
        <v>0</v>
      </c>
      <c r="N1280"/>
      <c r="O1280"/>
      <c r="P1280"/>
      <c r="Q1280"/>
    </row>
    <row r="1281" spans="3:17" x14ac:dyDescent="0.2">
      <c r="E1281" s="670" t="str">
        <v>spare</v>
      </c>
      <c r="F1281" s="631"/>
      <c r="K1281" s="728">
        <v>0</v>
      </c>
      <c r="L1281" s="728">
        <v>0</v>
      </c>
      <c r="M1281" s="728">
        <v>0</v>
      </c>
      <c r="N1281"/>
      <c r="O1281"/>
      <c r="P1281"/>
      <c r="Q1281"/>
    </row>
    <row r="1282" spans="3:17" x14ac:dyDescent="0.2">
      <c r="E1282" s="670" t="str">
        <v>spare</v>
      </c>
      <c r="F1282" s="631"/>
      <c r="K1282" s="728">
        <v>0</v>
      </c>
      <c r="L1282" s="728">
        <v>0</v>
      </c>
      <c r="M1282" s="728">
        <v>0</v>
      </c>
      <c r="N1282"/>
      <c r="O1282"/>
      <c r="P1282"/>
      <c r="Q1282"/>
    </row>
    <row r="1283" spans="3:17" x14ac:dyDescent="0.2">
      <c r="E1283" s="670" t="str">
        <v>spare</v>
      </c>
      <c r="F1283" s="631"/>
      <c r="K1283" s="723">
        <v>0</v>
      </c>
      <c r="L1283" s="723">
        <v>0</v>
      </c>
      <c r="M1283" s="723">
        <v>0</v>
      </c>
      <c r="N1283"/>
      <c r="O1283"/>
      <c r="P1283"/>
      <c r="Q1283"/>
    </row>
    <row r="1284" spans="3:17" x14ac:dyDescent="0.2">
      <c r="E1284" s="670" t="str">
        <v>spare</v>
      </c>
      <c r="F1284" s="631"/>
      <c r="K1284" s="723">
        <v>0</v>
      </c>
      <c r="L1284" s="723">
        <v>0</v>
      </c>
      <c r="M1284" s="723">
        <v>0</v>
      </c>
      <c r="N1284"/>
      <c r="O1284"/>
      <c r="P1284"/>
      <c r="Q1284"/>
    </row>
    <row r="1285" spans="3:17" x14ac:dyDescent="0.2">
      <c r="E1285" s="670" t="str">
        <v>spare</v>
      </c>
      <c r="F1285" s="631"/>
      <c r="K1285" s="723">
        <v>0</v>
      </c>
      <c r="L1285" s="723">
        <v>0</v>
      </c>
      <c r="M1285" s="723">
        <v>0</v>
      </c>
      <c r="N1285"/>
      <c r="O1285"/>
      <c r="P1285"/>
      <c r="Q1285"/>
    </row>
    <row r="1286" spans="3:17" x14ac:dyDescent="0.2">
      <c r="E1286" s="670" t="str">
        <v>spare</v>
      </c>
      <c r="F1286" s="631"/>
      <c r="K1286" s="723">
        <v>0</v>
      </c>
      <c r="L1286" s="723">
        <v>0</v>
      </c>
      <c r="M1286" s="723">
        <v>0</v>
      </c>
      <c r="N1286"/>
      <c r="O1286"/>
      <c r="P1286"/>
      <c r="Q1286"/>
    </row>
    <row r="1287" spans="3:17" x14ac:dyDescent="0.2">
      <c r="E1287" s="670" t="str">
        <v>spare</v>
      </c>
      <c r="F1287" s="631"/>
      <c r="K1287" s="723">
        <v>0</v>
      </c>
      <c r="L1287" s="723">
        <v>0</v>
      </c>
      <c r="M1287" s="723">
        <v>0</v>
      </c>
      <c r="N1287"/>
      <c r="O1287"/>
      <c r="P1287"/>
      <c r="Q1287"/>
    </row>
    <row r="1288" spans="3:17" x14ac:dyDescent="0.2">
      <c r="E1288" s="670" t="str">
        <v>spare</v>
      </c>
      <c r="F1288" s="631"/>
      <c r="K1288" s="723">
        <v>0</v>
      </c>
      <c r="L1288" s="723">
        <v>0</v>
      </c>
      <c r="M1288" s="723">
        <v>0</v>
      </c>
      <c r="N1288"/>
      <c r="O1288"/>
      <c r="P1288"/>
      <c r="Q1288"/>
    </row>
    <row r="1289" spans="3:17" x14ac:dyDescent="0.2">
      <c r="E1289" s="670" t="str">
        <v>spare</v>
      </c>
      <c r="F1289" s="631"/>
      <c r="K1289" s="723">
        <v>0</v>
      </c>
      <c r="L1289" s="723">
        <v>0</v>
      </c>
      <c r="M1289" s="723">
        <v>0</v>
      </c>
      <c r="N1289"/>
      <c r="O1289"/>
      <c r="P1289"/>
      <c r="Q1289"/>
    </row>
    <row r="1290" spans="3:17" x14ac:dyDescent="0.2">
      <c r="E1290" s="670" t="str">
        <v>spare</v>
      </c>
      <c r="F1290" s="631"/>
      <c r="K1290" s="723">
        <v>0</v>
      </c>
      <c r="L1290" s="723">
        <v>0</v>
      </c>
      <c r="M1290" s="723">
        <v>0</v>
      </c>
      <c r="N1290"/>
      <c r="O1290"/>
      <c r="P1290"/>
      <c r="Q1290"/>
    </row>
    <row r="1291" spans="3:17" x14ac:dyDescent="0.2">
      <c r="E1291" s="670" t="str">
        <v>spare</v>
      </c>
      <c r="F1291" s="631"/>
      <c r="K1291" s="723">
        <v>0</v>
      </c>
      <c r="L1291" s="723">
        <v>0</v>
      </c>
      <c r="M1291" s="723">
        <v>0</v>
      </c>
      <c r="N1291"/>
      <c r="O1291"/>
      <c r="P1291"/>
      <c r="Q1291"/>
    </row>
    <row r="1292" spans="3:17" x14ac:dyDescent="0.2">
      <c r="E1292" s="670" t="str">
        <v>spare</v>
      </c>
      <c r="F1292" s="631"/>
      <c r="K1292" s="723">
        <v>0</v>
      </c>
      <c r="L1292" s="723">
        <v>0</v>
      </c>
      <c r="M1292" s="723">
        <v>0</v>
      </c>
      <c r="N1292"/>
      <c r="O1292"/>
      <c r="P1292"/>
      <c r="Q1292"/>
    </row>
    <row r="1293" spans="3:17" x14ac:dyDescent="0.2">
      <c r="E1293" s="670" t="str">
        <v>spare</v>
      </c>
      <c r="F1293" s="631"/>
      <c r="K1293" s="723">
        <v>0</v>
      </c>
      <c r="L1293" s="723">
        <v>0</v>
      </c>
      <c r="M1293" s="723">
        <v>0</v>
      </c>
      <c r="N1293"/>
      <c r="O1293"/>
      <c r="P1293"/>
      <c r="Q1293"/>
    </row>
    <row r="1294" spans="3:17" x14ac:dyDescent="0.2">
      <c r="F1294" s="631"/>
    </row>
    <row r="1295" spans="3:17" x14ac:dyDescent="0.2">
      <c r="C1295" s="657" t="s">
        <v>1686</v>
      </c>
      <c r="F1295" s="631"/>
    </row>
    <row r="1296" spans="3:17" x14ac:dyDescent="0.2">
      <c r="C1296" s="657"/>
      <c r="E1296" s="635" t="s">
        <v>632</v>
      </c>
      <c r="F1296" s="631"/>
      <c r="K1296" s="635" t="str">
        <f t="array" ref="K1296:M1296">TRANSPOSE(Operators.list)</f>
        <v>Hipotético</v>
      </c>
      <c r="L1296" s="635" t="str">
        <v>Spare</v>
      </c>
      <c r="M1296" s="635" t="str">
        <v>Spare</v>
      </c>
      <c r="N1296"/>
      <c r="O1296"/>
      <c r="P1296"/>
      <c r="Q1296"/>
    </row>
    <row r="1297" spans="3:31" s="631" customFormat="1" x14ac:dyDescent="0.2">
      <c r="C1297" s="632"/>
      <c r="E1297" s="670" t="str">
        <f t="array" ref="E1297:E1336">Core.nodes</f>
        <v>Abancay</v>
      </c>
      <c r="K1297" s="728" t="s">
        <v>528</v>
      </c>
      <c r="L1297" s="713">
        <v>0</v>
      </c>
      <c r="M1297" s="713">
        <v>0</v>
      </c>
      <c r="N1297"/>
      <c r="O1297"/>
      <c r="P1297"/>
      <c r="Q1297"/>
      <c r="S1297"/>
      <c r="T1297"/>
      <c r="U1297"/>
      <c r="V1297"/>
      <c r="W1297"/>
      <c r="X1297"/>
      <c r="Y1297"/>
      <c r="Z1297"/>
      <c r="AA1297"/>
      <c r="AB1297"/>
      <c r="AC1297"/>
      <c r="AD1297"/>
      <c r="AE1297"/>
    </row>
    <row r="1298" spans="3:31" s="631" customFormat="1" x14ac:dyDescent="0.2">
      <c r="C1298" s="632"/>
      <c r="E1298" s="670" t="str">
        <v>Arequipa</v>
      </c>
      <c r="K1298" s="728" t="s">
        <v>528</v>
      </c>
      <c r="L1298" s="713">
        <v>0</v>
      </c>
      <c r="M1298" s="713">
        <v>0</v>
      </c>
      <c r="N1298"/>
      <c r="O1298"/>
      <c r="P1298"/>
      <c r="Q1298"/>
      <c r="S1298"/>
      <c r="T1298"/>
      <c r="U1298"/>
      <c r="V1298"/>
      <c r="W1298"/>
      <c r="X1298"/>
      <c r="Y1298"/>
      <c r="Z1298"/>
      <c r="AA1298"/>
      <c r="AB1298"/>
      <c r="AC1298"/>
      <c r="AD1298"/>
      <c r="AE1298"/>
    </row>
    <row r="1299" spans="3:31" s="631" customFormat="1" x14ac:dyDescent="0.2">
      <c r="C1299" s="632"/>
      <c r="E1299" s="670" t="str">
        <v>Ayacucho</v>
      </c>
      <c r="K1299" s="728" t="s">
        <v>528</v>
      </c>
      <c r="L1299" s="713">
        <v>0</v>
      </c>
      <c r="M1299" s="713">
        <v>0</v>
      </c>
      <c r="N1299"/>
      <c r="O1299"/>
      <c r="P1299"/>
      <c r="Q1299"/>
      <c r="S1299"/>
      <c r="T1299"/>
      <c r="U1299"/>
      <c r="V1299"/>
      <c r="W1299"/>
      <c r="X1299"/>
      <c r="Y1299"/>
      <c r="Z1299"/>
      <c r="AA1299"/>
      <c r="AB1299"/>
      <c r="AC1299"/>
      <c r="AD1299"/>
      <c r="AE1299"/>
    </row>
    <row r="1300" spans="3:31" s="631" customFormat="1" x14ac:dyDescent="0.2">
      <c r="C1300" s="632"/>
      <c r="E1300" s="670" t="str">
        <v>Cajamarca</v>
      </c>
      <c r="K1300" s="728" t="s">
        <v>520</v>
      </c>
      <c r="L1300" s="713">
        <v>0</v>
      </c>
      <c r="M1300" s="713">
        <v>0</v>
      </c>
      <c r="N1300"/>
      <c r="O1300"/>
      <c r="P1300"/>
      <c r="Q1300"/>
      <c r="S1300"/>
      <c r="T1300"/>
      <c r="U1300"/>
      <c r="V1300"/>
      <c r="W1300"/>
      <c r="X1300"/>
      <c r="Y1300"/>
      <c r="Z1300"/>
      <c r="AA1300"/>
      <c r="AB1300"/>
      <c r="AC1300"/>
      <c r="AD1300"/>
      <c r="AE1300"/>
    </row>
    <row r="1301" spans="3:31" s="631" customFormat="1" x14ac:dyDescent="0.2">
      <c r="C1301" s="632"/>
      <c r="E1301" s="670" t="str">
        <v>Callao</v>
      </c>
      <c r="K1301" s="728" t="s">
        <v>518</v>
      </c>
      <c r="L1301" s="713">
        <v>0</v>
      </c>
      <c r="M1301" s="713">
        <v>0</v>
      </c>
      <c r="N1301"/>
      <c r="O1301"/>
      <c r="P1301"/>
      <c r="Q1301"/>
      <c r="S1301"/>
      <c r="T1301"/>
      <c r="U1301"/>
      <c r="V1301"/>
      <c r="W1301"/>
      <c r="X1301"/>
      <c r="Y1301"/>
      <c r="Z1301"/>
      <c r="AA1301"/>
      <c r="AB1301"/>
      <c r="AC1301"/>
      <c r="AD1301"/>
      <c r="AE1301"/>
    </row>
    <row r="1302" spans="3:31" s="631" customFormat="1" x14ac:dyDescent="0.2">
      <c r="C1302" s="632"/>
      <c r="E1302" s="670" t="str">
        <v>Cerro de Pasco</v>
      </c>
      <c r="K1302" s="728" t="s">
        <v>520</v>
      </c>
      <c r="L1302" s="713">
        <v>0</v>
      </c>
      <c r="M1302" s="713">
        <v>0</v>
      </c>
      <c r="N1302"/>
      <c r="O1302"/>
      <c r="P1302"/>
      <c r="Q1302"/>
      <c r="S1302"/>
      <c r="T1302"/>
      <c r="U1302"/>
      <c r="V1302"/>
      <c r="W1302"/>
      <c r="X1302"/>
      <c r="Y1302"/>
      <c r="Z1302"/>
      <c r="AA1302"/>
      <c r="AB1302"/>
      <c r="AC1302"/>
      <c r="AD1302"/>
      <c r="AE1302"/>
    </row>
    <row r="1303" spans="3:31" s="631" customFormat="1" x14ac:dyDescent="0.2">
      <c r="C1303" s="632"/>
      <c r="E1303" s="670" t="str">
        <v>Chachapoyas</v>
      </c>
      <c r="K1303" s="728" t="s">
        <v>520</v>
      </c>
      <c r="L1303" s="713">
        <v>0</v>
      </c>
      <c r="M1303" s="713">
        <v>0</v>
      </c>
      <c r="N1303"/>
      <c r="O1303"/>
      <c r="P1303"/>
      <c r="Q1303"/>
      <c r="S1303"/>
      <c r="T1303"/>
      <c r="U1303"/>
      <c r="V1303"/>
      <c r="W1303"/>
      <c r="X1303"/>
      <c r="Y1303"/>
      <c r="Z1303"/>
      <c r="AA1303"/>
      <c r="AB1303"/>
      <c r="AC1303"/>
      <c r="AD1303"/>
      <c r="AE1303"/>
    </row>
    <row r="1304" spans="3:31" s="631" customFormat="1" x14ac:dyDescent="0.2">
      <c r="C1304" s="632"/>
      <c r="E1304" s="670" t="str">
        <v>Chiclayo</v>
      </c>
      <c r="K1304" s="728" t="s">
        <v>520</v>
      </c>
      <c r="L1304" s="713">
        <v>0</v>
      </c>
      <c r="M1304" s="713">
        <v>0</v>
      </c>
      <c r="N1304"/>
      <c r="O1304"/>
      <c r="P1304"/>
      <c r="Q1304"/>
      <c r="S1304"/>
      <c r="T1304"/>
      <c r="U1304"/>
      <c r="V1304"/>
      <c r="W1304"/>
      <c r="X1304"/>
      <c r="Y1304"/>
      <c r="Z1304"/>
      <c r="AA1304"/>
      <c r="AB1304"/>
      <c r="AC1304"/>
      <c r="AD1304"/>
      <c r="AE1304"/>
    </row>
    <row r="1305" spans="3:31" s="631" customFormat="1" x14ac:dyDescent="0.2">
      <c r="C1305" s="632"/>
      <c r="E1305" s="670" t="str">
        <v>Cusco</v>
      </c>
      <c r="K1305" s="728" t="s">
        <v>528</v>
      </c>
      <c r="L1305" s="713">
        <v>0</v>
      </c>
      <c r="M1305" s="713">
        <v>0</v>
      </c>
      <c r="N1305"/>
      <c r="O1305"/>
      <c r="P1305"/>
      <c r="Q1305"/>
      <c r="S1305"/>
      <c r="T1305"/>
      <c r="U1305"/>
      <c r="V1305"/>
      <c r="W1305"/>
      <c r="X1305"/>
      <c r="Y1305"/>
      <c r="Z1305"/>
      <c r="AA1305"/>
      <c r="AB1305"/>
      <c r="AC1305"/>
      <c r="AD1305"/>
      <c r="AE1305"/>
    </row>
    <row r="1306" spans="3:31" s="631" customFormat="1" x14ac:dyDescent="0.2">
      <c r="C1306" s="632"/>
      <c r="E1306" s="670" t="str">
        <v>Huancavelica</v>
      </c>
      <c r="K1306" s="728" t="s">
        <v>528</v>
      </c>
      <c r="L1306" s="723">
        <v>0</v>
      </c>
      <c r="M1306" s="723">
        <v>0</v>
      </c>
      <c r="N1306"/>
      <c r="O1306"/>
      <c r="P1306"/>
      <c r="Q1306"/>
      <c r="S1306"/>
      <c r="T1306"/>
      <c r="U1306"/>
      <c r="V1306"/>
      <c r="W1306"/>
      <c r="X1306"/>
      <c r="Y1306"/>
      <c r="Z1306"/>
      <c r="AA1306"/>
      <c r="AB1306"/>
      <c r="AC1306"/>
      <c r="AD1306"/>
      <c r="AE1306"/>
    </row>
    <row r="1307" spans="3:31" x14ac:dyDescent="0.2">
      <c r="E1307" s="670" t="str">
        <v>Huancayo</v>
      </c>
      <c r="F1307" s="631"/>
      <c r="K1307" s="728" t="s">
        <v>518</v>
      </c>
      <c r="L1307" s="723">
        <v>0</v>
      </c>
      <c r="M1307" s="723">
        <v>0</v>
      </c>
      <c r="N1307"/>
      <c r="O1307"/>
      <c r="P1307"/>
      <c r="Q1307"/>
    </row>
    <row r="1308" spans="3:31" x14ac:dyDescent="0.2">
      <c r="E1308" s="670" t="str">
        <v>Huaraz</v>
      </c>
      <c r="F1308" s="631"/>
      <c r="K1308" s="728" t="s">
        <v>520</v>
      </c>
      <c r="L1308" s="723">
        <v>0</v>
      </c>
      <c r="M1308" s="723">
        <v>0</v>
      </c>
      <c r="N1308"/>
      <c r="O1308"/>
      <c r="P1308"/>
      <c r="Q1308"/>
    </row>
    <row r="1309" spans="3:31" x14ac:dyDescent="0.2">
      <c r="E1309" s="670" t="str">
        <v>Ica</v>
      </c>
      <c r="F1309" s="631"/>
      <c r="K1309" s="728" t="s">
        <v>528</v>
      </c>
      <c r="L1309" s="723">
        <v>0</v>
      </c>
      <c r="M1309" s="723">
        <v>0</v>
      </c>
      <c r="N1309"/>
      <c r="O1309"/>
      <c r="P1309"/>
      <c r="Q1309"/>
    </row>
    <row r="1310" spans="3:31" x14ac:dyDescent="0.2">
      <c r="E1310" s="670" t="str">
        <v>Iquitos</v>
      </c>
      <c r="F1310" s="631"/>
      <c r="K1310" s="728" t="s">
        <v>542</v>
      </c>
      <c r="L1310" s="723">
        <v>0</v>
      </c>
      <c r="M1310" s="723">
        <v>0</v>
      </c>
      <c r="N1310"/>
      <c r="O1310"/>
      <c r="P1310"/>
      <c r="Q1310"/>
    </row>
    <row r="1311" spans="3:31" x14ac:dyDescent="0.2">
      <c r="E1311" s="670" t="str">
        <v>Lima</v>
      </c>
      <c r="F1311" s="631"/>
      <c r="K1311" s="728" t="s">
        <v>518</v>
      </c>
      <c r="L1311" s="723">
        <v>0</v>
      </c>
      <c r="M1311" s="723">
        <v>0</v>
      </c>
      <c r="N1311"/>
      <c r="O1311"/>
      <c r="P1311"/>
      <c r="Q1311"/>
    </row>
    <row r="1312" spans="3:31" x14ac:dyDescent="0.2">
      <c r="E1312" s="670" t="str">
        <v>Moquegua</v>
      </c>
      <c r="F1312" s="631"/>
      <c r="K1312" s="728" t="s">
        <v>528</v>
      </c>
      <c r="L1312" s="723">
        <v>0</v>
      </c>
      <c r="M1312" s="723">
        <v>0</v>
      </c>
      <c r="N1312"/>
      <c r="O1312"/>
      <c r="P1312"/>
      <c r="Q1312"/>
    </row>
    <row r="1313" spans="5:17" x14ac:dyDescent="0.2">
      <c r="E1313" s="670" t="str">
        <v>Piura</v>
      </c>
      <c r="F1313" s="631"/>
      <c r="K1313" s="728" t="s">
        <v>520</v>
      </c>
      <c r="L1313" s="723">
        <v>0</v>
      </c>
      <c r="M1313" s="723">
        <v>0</v>
      </c>
      <c r="N1313"/>
      <c r="O1313"/>
      <c r="P1313"/>
      <c r="Q1313"/>
    </row>
    <row r="1314" spans="5:17" x14ac:dyDescent="0.2">
      <c r="E1314" s="670" t="str">
        <v>Pucallpa</v>
      </c>
      <c r="F1314" s="631"/>
      <c r="K1314" s="728" t="s">
        <v>520</v>
      </c>
      <c r="L1314" s="723">
        <v>0</v>
      </c>
      <c r="M1314" s="723">
        <v>0</v>
      </c>
      <c r="N1314"/>
      <c r="O1314"/>
      <c r="P1314"/>
      <c r="Q1314"/>
    </row>
    <row r="1315" spans="5:17" x14ac:dyDescent="0.2">
      <c r="E1315" s="670" t="str">
        <v>Puerto Maldonado</v>
      </c>
      <c r="F1315" s="631"/>
      <c r="K1315" s="728" t="s">
        <v>528</v>
      </c>
      <c r="L1315" s="723">
        <v>0</v>
      </c>
      <c r="M1315" s="723">
        <v>0</v>
      </c>
      <c r="N1315"/>
      <c r="O1315"/>
      <c r="P1315"/>
      <c r="Q1315"/>
    </row>
    <row r="1316" spans="5:17" x14ac:dyDescent="0.2">
      <c r="E1316" s="670" t="str">
        <v>Puno</v>
      </c>
      <c r="F1316" s="631"/>
      <c r="K1316" s="728" t="s">
        <v>528</v>
      </c>
      <c r="L1316" s="723">
        <v>0</v>
      </c>
      <c r="M1316" s="723">
        <v>0</v>
      </c>
      <c r="N1316"/>
      <c r="O1316"/>
      <c r="P1316"/>
      <c r="Q1316"/>
    </row>
    <row r="1317" spans="5:17" x14ac:dyDescent="0.2">
      <c r="E1317" s="670" t="str">
        <v>Tacna</v>
      </c>
      <c r="F1317" s="631"/>
      <c r="K1317" s="728" t="s">
        <v>528</v>
      </c>
      <c r="L1317" s="723">
        <v>0</v>
      </c>
      <c r="M1317" s="723">
        <v>0</v>
      </c>
      <c r="N1317"/>
      <c r="O1317"/>
      <c r="P1317"/>
      <c r="Q1317"/>
    </row>
    <row r="1318" spans="5:17" x14ac:dyDescent="0.2">
      <c r="E1318" s="670" t="str">
        <v>Tarapoto</v>
      </c>
      <c r="F1318" s="631"/>
      <c r="K1318" s="728" t="s">
        <v>520</v>
      </c>
      <c r="L1318" s="723">
        <v>0</v>
      </c>
      <c r="M1318" s="723">
        <v>0</v>
      </c>
      <c r="N1318"/>
      <c r="O1318"/>
      <c r="P1318"/>
      <c r="Q1318"/>
    </row>
    <row r="1319" spans="5:17" x14ac:dyDescent="0.2">
      <c r="E1319" s="670" t="str">
        <v>Tingo Maria</v>
      </c>
      <c r="F1319" s="631"/>
      <c r="K1319" s="728" t="s">
        <v>520</v>
      </c>
      <c r="L1319" s="723">
        <v>0</v>
      </c>
      <c r="M1319" s="723">
        <v>0</v>
      </c>
      <c r="N1319"/>
      <c r="O1319"/>
      <c r="P1319"/>
      <c r="Q1319"/>
    </row>
    <row r="1320" spans="5:17" x14ac:dyDescent="0.2">
      <c r="E1320" s="670" t="str">
        <v>Trujillo</v>
      </c>
      <c r="F1320" s="631"/>
      <c r="K1320" s="728" t="s">
        <v>520</v>
      </c>
      <c r="L1320" s="723">
        <v>0</v>
      </c>
      <c r="M1320" s="723">
        <v>0</v>
      </c>
      <c r="N1320"/>
      <c r="O1320"/>
      <c r="P1320"/>
      <c r="Q1320"/>
    </row>
    <row r="1321" spans="5:17" x14ac:dyDescent="0.2">
      <c r="E1321" s="670" t="str">
        <v>Tumbes</v>
      </c>
      <c r="F1321" s="631"/>
      <c r="K1321" s="728" t="s">
        <v>520</v>
      </c>
      <c r="L1321" s="723">
        <v>0</v>
      </c>
      <c r="M1321" s="723">
        <v>0</v>
      </c>
      <c r="N1321"/>
      <c r="O1321"/>
      <c r="P1321"/>
      <c r="Q1321"/>
    </row>
    <row r="1322" spans="5:17" x14ac:dyDescent="0.2">
      <c r="E1322" s="670" t="str">
        <v>spare</v>
      </c>
      <c r="F1322" s="631"/>
      <c r="K1322" s="728">
        <v>0</v>
      </c>
      <c r="L1322" s="723">
        <v>0</v>
      </c>
      <c r="M1322" s="723">
        <v>0</v>
      </c>
      <c r="N1322"/>
      <c r="O1322"/>
      <c r="P1322"/>
      <c r="Q1322"/>
    </row>
    <row r="1323" spans="5:17" x14ac:dyDescent="0.2">
      <c r="E1323" s="670" t="str">
        <v>spare</v>
      </c>
      <c r="F1323" s="631"/>
      <c r="K1323" s="728">
        <v>0</v>
      </c>
      <c r="L1323" s="723">
        <v>0</v>
      </c>
      <c r="M1323" s="723">
        <v>0</v>
      </c>
      <c r="N1323"/>
      <c r="O1323"/>
      <c r="P1323"/>
      <c r="Q1323"/>
    </row>
    <row r="1324" spans="5:17" x14ac:dyDescent="0.2">
      <c r="E1324" s="670" t="str">
        <v>spare</v>
      </c>
      <c r="F1324" s="631"/>
      <c r="K1324" s="723">
        <v>0</v>
      </c>
      <c r="L1324" s="723">
        <v>0</v>
      </c>
      <c r="M1324" s="723">
        <v>0</v>
      </c>
      <c r="N1324"/>
      <c r="O1324"/>
      <c r="P1324"/>
      <c r="Q1324"/>
    </row>
    <row r="1325" spans="5:17" x14ac:dyDescent="0.2">
      <c r="E1325" s="670" t="str">
        <v>spare</v>
      </c>
      <c r="F1325" s="631"/>
      <c r="K1325" s="723">
        <v>0</v>
      </c>
      <c r="L1325" s="723">
        <v>0</v>
      </c>
      <c r="M1325" s="723">
        <v>0</v>
      </c>
      <c r="N1325"/>
      <c r="O1325"/>
      <c r="P1325"/>
      <c r="Q1325"/>
    </row>
    <row r="1326" spans="5:17" x14ac:dyDescent="0.2">
      <c r="E1326" s="670" t="str">
        <v>spare</v>
      </c>
      <c r="F1326" s="631"/>
      <c r="K1326" s="723">
        <v>0</v>
      </c>
      <c r="L1326" s="723">
        <v>0</v>
      </c>
      <c r="M1326" s="723">
        <v>0</v>
      </c>
      <c r="N1326"/>
      <c r="O1326"/>
      <c r="P1326"/>
      <c r="Q1326"/>
    </row>
    <row r="1327" spans="5:17" x14ac:dyDescent="0.2">
      <c r="E1327" s="670" t="str">
        <v>spare</v>
      </c>
      <c r="F1327" s="631"/>
      <c r="K1327" s="723">
        <v>0</v>
      </c>
      <c r="L1327" s="723">
        <v>0</v>
      </c>
      <c r="M1327" s="723">
        <v>0</v>
      </c>
      <c r="N1327"/>
      <c r="O1327"/>
      <c r="P1327"/>
      <c r="Q1327"/>
    </row>
    <row r="1328" spans="5:17" x14ac:dyDescent="0.2">
      <c r="E1328" s="670" t="str">
        <v>spare</v>
      </c>
      <c r="F1328" s="631"/>
      <c r="K1328" s="723">
        <v>0</v>
      </c>
      <c r="L1328" s="723">
        <v>0</v>
      </c>
      <c r="M1328" s="723">
        <v>0</v>
      </c>
      <c r="N1328"/>
      <c r="O1328"/>
      <c r="P1328"/>
      <c r="Q1328"/>
    </row>
    <row r="1329" spans="3:31" x14ac:dyDescent="0.2">
      <c r="E1329" s="670" t="str">
        <v>spare</v>
      </c>
      <c r="F1329" s="631"/>
      <c r="K1329" s="723">
        <v>0</v>
      </c>
      <c r="L1329" s="723">
        <v>0</v>
      </c>
      <c r="M1329" s="723">
        <v>0</v>
      </c>
      <c r="N1329"/>
      <c r="O1329"/>
      <c r="P1329"/>
      <c r="Q1329"/>
    </row>
    <row r="1330" spans="3:31" x14ac:dyDescent="0.2">
      <c r="E1330" s="670" t="str">
        <v>spare</v>
      </c>
      <c r="F1330" s="631"/>
      <c r="K1330" s="723">
        <v>0</v>
      </c>
      <c r="L1330" s="723">
        <v>0</v>
      </c>
      <c r="M1330" s="723">
        <v>0</v>
      </c>
      <c r="N1330"/>
      <c r="O1330"/>
      <c r="P1330"/>
      <c r="Q1330"/>
    </row>
    <row r="1331" spans="3:31" x14ac:dyDescent="0.2">
      <c r="E1331" s="670" t="str">
        <v>spare</v>
      </c>
      <c r="F1331" s="631"/>
      <c r="K1331" s="723">
        <v>0</v>
      </c>
      <c r="L1331" s="723">
        <v>0</v>
      </c>
      <c r="M1331" s="723">
        <v>0</v>
      </c>
      <c r="N1331"/>
      <c r="O1331"/>
      <c r="P1331"/>
      <c r="Q1331"/>
    </row>
    <row r="1332" spans="3:31" x14ac:dyDescent="0.2">
      <c r="E1332" s="670" t="str">
        <v>spare</v>
      </c>
      <c r="F1332" s="631"/>
      <c r="K1332" s="723">
        <v>0</v>
      </c>
      <c r="L1332" s="723">
        <v>0</v>
      </c>
      <c r="M1332" s="723">
        <v>0</v>
      </c>
      <c r="N1332"/>
      <c r="O1332"/>
      <c r="P1332"/>
      <c r="Q1332"/>
    </row>
    <row r="1333" spans="3:31" x14ac:dyDescent="0.2">
      <c r="E1333" s="670" t="str">
        <v>spare</v>
      </c>
      <c r="F1333" s="631"/>
      <c r="K1333" s="723">
        <v>0</v>
      </c>
      <c r="L1333" s="723">
        <v>0</v>
      </c>
      <c r="M1333" s="723">
        <v>0</v>
      </c>
      <c r="N1333"/>
      <c r="O1333"/>
      <c r="P1333"/>
      <c r="Q1333"/>
    </row>
    <row r="1334" spans="3:31" x14ac:dyDescent="0.2">
      <c r="E1334" s="670" t="str">
        <v>spare</v>
      </c>
      <c r="F1334" s="631"/>
      <c r="K1334" s="723">
        <v>0</v>
      </c>
      <c r="L1334" s="723">
        <v>0</v>
      </c>
      <c r="M1334" s="723">
        <v>0</v>
      </c>
      <c r="N1334"/>
      <c r="O1334"/>
      <c r="P1334"/>
      <c r="Q1334"/>
    </row>
    <row r="1335" spans="3:31" x14ac:dyDescent="0.2">
      <c r="E1335" s="670" t="str">
        <v>spare</v>
      </c>
      <c r="F1335" s="631"/>
      <c r="K1335" s="723">
        <v>0</v>
      </c>
      <c r="L1335" s="723">
        <v>0</v>
      </c>
      <c r="M1335" s="723">
        <v>0</v>
      </c>
      <c r="N1335"/>
      <c r="O1335"/>
      <c r="P1335"/>
      <c r="Q1335"/>
    </row>
    <row r="1336" spans="3:31" x14ac:dyDescent="0.2">
      <c r="E1336" s="670" t="str">
        <v>spare</v>
      </c>
      <c r="F1336" s="631"/>
      <c r="K1336" s="723">
        <v>0</v>
      </c>
      <c r="L1336" s="723">
        <v>0</v>
      </c>
      <c r="M1336" s="723">
        <v>0</v>
      </c>
      <c r="N1336"/>
      <c r="O1336"/>
      <c r="P1336"/>
      <c r="Q1336"/>
    </row>
    <row r="1337" spans="3:31" x14ac:dyDescent="0.2">
      <c r="F1337" s="657"/>
    </row>
    <row r="1338" spans="3:31" x14ac:dyDescent="0.2">
      <c r="C1338" s="657" t="s">
        <v>1728</v>
      </c>
      <c r="F1338" s="631"/>
      <c r="K1338" s="635" t="str">
        <f t="array" ref="K1338:M1338">TRANSPOSE(Operators.list)</f>
        <v>Hipotético</v>
      </c>
      <c r="L1338" s="635" t="str">
        <v>Spare</v>
      </c>
      <c r="M1338" s="635" t="str">
        <v>Spare</v>
      </c>
      <c r="N1338"/>
      <c r="O1338"/>
      <c r="P1338"/>
      <c r="Q1338"/>
    </row>
    <row r="1339" spans="3:31" s="631" customFormat="1" x14ac:dyDescent="0.2">
      <c r="E1339" s="670" t="str">
        <f t="array" ref="E1339:E1378">Core.nodes</f>
        <v>Abancay</v>
      </c>
      <c r="K1339" s="728" t="s">
        <v>528</v>
      </c>
      <c r="L1339" s="713">
        <v>0</v>
      </c>
      <c r="M1339" s="713">
        <v>0</v>
      </c>
      <c r="N1339"/>
      <c r="O1339"/>
      <c r="P1339"/>
      <c r="Q1339"/>
      <c r="S1339"/>
      <c r="T1339"/>
      <c r="U1339"/>
      <c r="V1339"/>
      <c r="W1339"/>
      <c r="X1339"/>
      <c r="Y1339"/>
      <c r="Z1339"/>
      <c r="AA1339"/>
      <c r="AB1339"/>
      <c r="AC1339"/>
      <c r="AD1339"/>
      <c r="AE1339"/>
    </row>
    <row r="1340" spans="3:31" s="631" customFormat="1" x14ac:dyDescent="0.2">
      <c r="E1340" s="670" t="str">
        <v>Arequipa</v>
      </c>
      <c r="K1340" s="728" t="s">
        <v>528</v>
      </c>
      <c r="L1340" s="713">
        <v>0</v>
      </c>
      <c r="M1340" s="713">
        <v>0</v>
      </c>
      <c r="N1340"/>
      <c r="O1340"/>
      <c r="P1340"/>
      <c r="Q1340"/>
      <c r="S1340"/>
      <c r="T1340"/>
      <c r="U1340"/>
      <c r="V1340"/>
      <c r="W1340"/>
      <c r="X1340"/>
      <c r="Y1340"/>
      <c r="Z1340"/>
      <c r="AA1340"/>
      <c r="AB1340"/>
      <c r="AC1340"/>
      <c r="AD1340"/>
      <c r="AE1340"/>
    </row>
    <row r="1341" spans="3:31" s="631" customFormat="1" x14ac:dyDescent="0.2">
      <c r="E1341" s="670" t="str">
        <v>Ayacucho</v>
      </c>
      <c r="K1341" s="728" t="s">
        <v>528</v>
      </c>
      <c r="L1341" s="713">
        <v>0</v>
      </c>
      <c r="M1341" s="713">
        <v>0</v>
      </c>
      <c r="N1341"/>
      <c r="O1341"/>
      <c r="P1341"/>
      <c r="Q1341"/>
      <c r="S1341"/>
      <c r="T1341"/>
      <c r="U1341"/>
      <c r="V1341"/>
      <c r="W1341"/>
      <c r="X1341"/>
      <c r="Y1341"/>
      <c r="Z1341"/>
      <c r="AA1341"/>
      <c r="AB1341"/>
      <c r="AC1341"/>
      <c r="AD1341"/>
      <c r="AE1341"/>
    </row>
    <row r="1342" spans="3:31" s="631" customFormat="1" x14ac:dyDescent="0.2">
      <c r="E1342" s="670" t="str">
        <v>Cajamarca</v>
      </c>
      <c r="K1342" s="728" t="s">
        <v>520</v>
      </c>
      <c r="L1342" s="713">
        <v>0</v>
      </c>
      <c r="M1342" s="713">
        <v>0</v>
      </c>
      <c r="N1342"/>
      <c r="O1342"/>
      <c r="P1342"/>
      <c r="Q1342"/>
      <c r="S1342"/>
      <c r="T1342"/>
      <c r="U1342"/>
      <c r="V1342"/>
      <c r="W1342"/>
      <c r="X1342"/>
      <c r="Y1342"/>
      <c r="Z1342"/>
      <c r="AA1342"/>
      <c r="AB1342"/>
      <c r="AC1342"/>
      <c r="AD1342"/>
      <c r="AE1342"/>
    </row>
    <row r="1343" spans="3:31" s="631" customFormat="1" x14ac:dyDescent="0.2">
      <c r="E1343" s="670" t="str">
        <v>Callao</v>
      </c>
      <c r="K1343" s="728" t="s">
        <v>518</v>
      </c>
      <c r="L1343" s="713">
        <v>0</v>
      </c>
      <c r="M1343" s="713">
        <v>0</v>
      </c>
      <c r="N1343"/>
      <c r="O1343"/>
      <c r="P1343"/>
      <c r="Q1343"/>
      <c r="S1343"/>
      <c r="T1343"/>
      <c r="U1343"/>
      <c r="V1343"/>
      <c r="W1343"/>
      <c r="X1343"/>
      <c r="Y1343"/>
      <c r="Z1343"/>
      <c r="AA1343"/>
      <c r="AB1343"/>
      <c r="AC1343"/>
      <c r="AD1343"/>
      <c r="AE1343"/>
    </row>
    <row r="1344" spans="3:31" s="631" customFormat="1" x14ac:dyDescent="0.2">
      <c r="E1344" s="670" t="str">
        <v>Cerro de Pasco</v>
      </c>
      <c r="K1344" s="728" t="s">
        <v>520</v>
      </c>
      <c r="L1344" s="713">
        <v>0</v>
      </c>
      <c r="M1344" s="713">
        <v>0</v>
      </c>
      <c r="N1344"/>
      <c r="O1344"/>
      <c r="P1344"/>
      <c r="Q1344"/>
      <c r="S1344"/>
      <c r="T1344"/>
      <c r="U1344"/>
      <c r="V1344"/>
      <c r="W1344"/>
      <c r="X1344"/>
      <c r="Y1344"/>
      <c r="Z1344"/>
      <c r="AA1344"/>
      <c r="AB1344"/>
      <c r="AC1344"/>
      <c r="AD1344"/>
      <c r="AE1344"/>
    </row>
    <row r="1345" spans="5:31" s="631" customFormat="1" x14ac:dyDescent="0.2">
      <c r="E1345" s="670" t="str">
        <v>Chachapoyas</v>
      </c>
      <c r="K1345" s="728" t="s">
        <v>520</v>
      </c>
      <c r="L1345" s="713">
        <v>0</v>
      </c>
      <c r="M1345" s="713">
        <v>0</v>
      </c>
      <c r="N1345"/>
      <c r="O1345"/>
      <c r="P1345"/>
      <c r="Q1345"/>
      <c r="S1345"/>
      <c r="T1345"/>
      <c r="U1345"/>
      <c r="V1345"/>
      <c r="W1345"/>
      <c r="X1345"/>
      <c r="Y1345"/>
      <c r="Z1345"/>
      <c r="AA1345"/>
      <c r="AB1345"/>
      <c r="AC1345"/>
      <c r="AD1345"/>
      <c r="AE1345"/>
    </row>
    <row r="1346" spans="5:31" s="631" customFormat="1" x14ac:dyDescent="0.2">
      <c r="E1346" s="670" t="str">
        <v>Chiclayo</v>
      </c>
      <c r="K1346" s="728" t="s">
        <v>520</v>
      </c>
      <c r="L1346" s="713">
        <v>0</v>
      </c>
      <c r="M1346" s="713">
        <v>0</v>
      </c>
      <c r="N1346"/>
      <c r="O1346"/>
      <c r="P1346"/>
      <c r="Q1346"/>
      <c r="S1346"/>
      <c r="T1346"/>
      <c r="U1346"/>
      <c r="V1346"/>
      <c r="W1346"/>
      <c r="X1346"/>
      <c r="Y1346"/>
      <c r="Z1346"/>
      <c r="AA1346"/>
      <c r="AB1346"/>
      <c r="AC1346"/>
      <c r="AD1346"/>
      <c r="AE1346"/>
    </row>
    <row r="1347" spans="5:31" s="631" customFormat="1" x14ac:dyDescent="0.2">
      <c r="E1347" s="670" t="str">
        <v>Cusco</v>
      </c>
      <c r="K1347" s="728" t="s">
        <v>528</v>
      </c>
      <c r="L1347" s="713">
        <v>0</v>
      </c>
      <c r="M1347" s="713">
        <v>0</v>
      </c>
      <c r="N1347"/>
      <c r="O1347"/>
      <c r="P1347"/>
      <c r="Q1347"/>
      <c r="S1347"/>
      <c r="T1347"/>
      <c r="U1347"/>
      <c r="V1347"/>
      <c r="W1347"/>
      <c r="X1347"/>
      <c r="Y1347"/>
      <c r="Z1347"/>
      <c r="AA1347"/>
      <c r="AB1347"/>
      <c r="AC1347"/>
      <c r="AD1347"/>
      <c r="AE1347"/>
    </row>
    <row r="1348" spans="5:31" s="631" customFormat="1" x14ac:dyDescent="0.2">
      <c r="E1348" s="670" t="str">
        <v>Huancavelica</v>
      </c>
      <c r="K1348" s="728" t="s">
        <v>528</v>
      </c>
      <c r="L1348" s="723">
        <v>0</v>
      </c>
      <c r="M1348" s="723">
        <v>0</v>
      </c>
      <c r="N1348"/>
      <c r="O1348"/>
      <c r="P1348"/>
      <c r="Q1348"/>
      <c r="S1348"/>
      <c r="T1348"/>
      <c r="U1348"/>
      <c r="V1348"/>
      <c r="W1348"/>
      <c r="X1348"/>
      <c r="Y1348"/>
      <c r="Z1348"/>
      <c r="AA1348"/>
      <c r="AB1348"/>
      <c r="AC1348"/>
      <c r="AD1348"/>
      <c r="AE1348"/>
    </row>
    <row r="1349" spans="5:31" x14ac:dyDescent="0.2">
      <c r="E1349" s="670" t="str">
        <v>Huancayo</v>
      </c>
      <c r="F1349" s="631"/>
      <c r="K1349" s="728" t="s">
        <v>518</v>
      </c>
      <c r="L1349" s="723">
        <v>0</v>
      </c>
      <c r="M1349" s="723">
        <v>0</v>
      </c>
      <c r="N1349"/>
      <c r="O1349"/>
      <c r="P1349"/>
      <c r="Q1349"/>
    </row>
    <row r="1350" spans="5:31" x14ac:dyDescent="0.2">
      <c r="E1350" s="670" t="str">
        <v>Huaraz</v>
      </c>
      <c r="F1350" s="631"/>
      <c r="K1350" s="728" t="s">
        <v>520</v>
      </c>
      <c r="L1350" s="723">
        <v>0</v>
      </c>
      <c r="M1350" s="723">
        <v>0</v>
      </c>
      <c r="N1350"/>
      <c r="O1350"/>
      <c r="P1350"/>
      <c r="Q1350"/>
    </row>
    <row r="1351" spans="5:31" x14ac:dyDescent="0.2">
      <c r="E1351" s="670" t="str">
        <v>Ica</v>
      </c>
      <c r="F1351" s="631"/>
      <c r="K1351" s="728" t="s">
        <v>528</v>
      </c>
      <c r="L1351" s="723">
        <v>0</v>
      </c>
      <c r="M1351" s="723">
        <v>0</v>
      </c>
      <c r="N1351"/>
      <c r="O1351"/>
      <c r="P1351"/>
      <c r="Q1351"/>
    </row>
    <row r="1352" spans="5:31" x14ac:dyDescent="0.2">
      <c r="E1352" s="670" t="str">
        <v>Iquitos</v>
      </c>
      <c r="F1352" s="631"/>
      <c r="K1352" s="728" t="s">
        <v>542</v>
      </c>
      <c r="L1352" s="723">
        <v>0</v>
      </c>
      <c r="M1352" s="723">
        <v>0</v>
      </c>
      <c r="N1352"/>
      <c r="O1352"/>
      <c r="P1352"/>
      <c r="Q1352"/>
    </row>
    <row r="1353" spans="5:31" x14ac:dyDescent="0.2">
      <c r="E1353" s="670" t="str">
        <v>Lima</v>
      </c>
      <c r="F1353" s="631"/>
      <c r="K1353" s="728" t="s">
        <v>518</v>
      </c>
      <c r="L1353" s="723">
        <v>0</v>
      </c>
      <c r="M1353" s="723">
        <v>0</v>
      </c>
      <c r="N1353"/>
      <c r="O1353"/>
      <c r="P1353"/>
      <c r="Q1353"/>
    </row>
    <row r="1354" spans="5:31" x14ac:dyDescent="0.2">
      <c r="E1354" s="670" t="str">
        <v>Moquegua</v>
      </c>
      <c r="F1354" s="631"/>
      <c r="K1354" s="728" t="s">
        <v>528</v>
      </c>
      <c r="L1354" s="723">
        <v>0</v>
      </c>
      <c r="M1354" s="723">
        <v>0</v>
      </c>
      <c r="N1354"/>
      <c r="O1354"/>
      <c r="P1354"/>
      <c r="Q1354"/>
    </row>
    <row r="1355" spans="5:31" x14ac:dyDescent="0.2">
      <c r="E1355" s="670" t="str">
        <v>Piura</v>
      </c>
      <c r="F1355" s="631"/>
      <c r="K1355" s="728" t="s">
        <v>520</v>
      </c>
      <c r="L1355" s="723">
        <v>0</v>
      </c>
      <c r="M1355" s="723">
        <v>0</v>
      </c>
      <c r="N1355"/>
      <c r="O1355"/>
      <c r="P1355"/>
      <c r="Q1355"/>
    </row>
    <row r="1356" spans="5:31" x14ac:dyDescent="0.2">
      <c r="E1356" s="670" t="str">
        <v>Pucallpa</v>
      </c>
      <c r="F1356" s="631"/>
      <c r="K1356" s="728" t="s">
        <v>520</v>
      </c>
      <c r="L1356" s="723">
        <v>0</v>
      </c>
      <c r="M1356" s="723">
        <v>0</v>
      </c>
      <c r="N1356"/>
      <c r="O1356"/>
      <c r="P1356"/>
      <c r="Q1356"/>
    </row>
    <row r="1357" spans="5:31" x14ac:dyDescent="0.2">
      <c r="E1357" s="670" t="str">
        <v>Puerto Maldonado</v>
      </c>
      <c r="F1357" s="631"/>
      <c r="K1357" s="728" t="s">
        <v>528</v>
      </c>
      <c r="L1357" s="723">
        <v>0</v>
      </c>
      <c r="M1357" s="723">
        <v>0</v>
      </c>
      <c r="N1357"/>
      <c r="O1357"/>
      <c r="P1357"/>
      <c r="Q1357"/>
    </row>
    <row r="1358" spans="5:31" x14ac:dyDescent="0.2">
      <c r="E1358" s="670" t="str">
        <v>Puno</v>
      </c>
      <c r="F1358" s="631"/>
      <c r="K1358" s="728" t="s">
        <v>528</v>
      </c>
      <c r="L1358" s="723">
        <v>0</v>
      </c>
      <c r="M1358" s="723">
        <v>0</v>
      </c>
      <c r="N1358"/>
      <c r="O1358"/>
      <c r="P1358"/>
      <c r="Q1358"/>
    </row>
    <row r="1359" spans="5:31" x14ac:dyDescent="0.2">
      <c r="E1359" s="670" t="str">
        <v>Tacna</v>
      </c>
      <c r="F1359" s="631"/>
      <c r="K1359" s="728" t="s">
        <v>528</v>
      </c>
      <c r="L1359" s="723">
        <v>0</v>
      </c>
      <c r="M1359" s="723">
        <v>0</v>
      </c>
      <c r="N1359"/>
      <c r="O1359"/>
      <c r="P1359"/>
      <c r="Q1359"/>
    </row>
    <row r="1360" spans="5:31" x14ac:dyDescent="0.2">
      <c r="E1360" s="670" t="str">
        <v>Tarapoto</v>
      </c>
      <c r="F1360" s="631"/>
      <c r="K1360" s="728" t="s">
        <v>520</v>
      </c>
      <c r="L1360" s="723">
        <v>0</v>
      </c>
      <c r="M1360" s="723">
        <v>0</v>
      </c>
      <c r="N1360"/>
      <c r="O1360"/>
      <c r="P1360"/>
      <c r="Q1360"/>
    </row>
    <row r="1361" spans="5:17" x14ac:dyDescent="0.2">
      <c r="E1361" s="670" t="str">
        <v>Tingo Maria</v>
      </c>
      <c r="F1361" s="631"/>
      <c r="K1361" s="728" t="s">
        <v>520</v>
      </c>
      <c r="L1361" s="723">
        <v>0</v>
      </c>
      <c r="M1361" s="723">
        <v>0</v>
      </c>
      <c r="N1361"/>
      <c r="O1361"/>
      <c r="P1361"/>
      <c r="Q1361"/>
    </row>
    <row r="1362" spans="5:17" x14ac:dyDescent="0.2">
      <c r="E1362" s="670" t="str">
        <v>Trujillo</v>
      </c>
      <c r="F1362" s="631"/>
      <c r="K1362" s="728" t="s">
        <v>520</v>
      </c>
      <c r="L1362" s="723">
        <v>0</v>
      </c>
      <c r="M1362" s="723">
        <v>0</v>
      </c>
      <c r="N1362"/>
      <c r="O1362"/>
      <c r="P1362"/>
      <c r="Q1362"/>
    </row>
    <row r="1363" spans="5:17" x14ac:dyDescent="0.2">
      <c r="E1363" s="670" t="str">
        <v>Tumbes</v>
      </c>
      <c r="F1363" s="631"/>
      <c r="K1363" s="728" t="s">
        <v>520</v>
      </c>
      <c r="L1363" s="723">
        <v>0</v>
      </c>
      <c r="M1363" s="723">
        <v>0</v>
      </c>
      <c r="N1363"/>
      <c r="O1363"/>
      <c r="P1363"/>
      <c r="Q1363"/>
    </row>
    <row r="1364" spans="5:17" x14ac:dyDescent="0.2">
      <c r="E1364" s="670" t="str">
        <v>spare</v>
      </c>
      <c r="F1364" s="631"/>
      <c r="K1364" s="723">
        <v>0</v>
      </c>
      <c r="L1364" s="723">
        <v>0</v>
      </c>
      <c r="M1364" s="723">
        <v>0</v>
      </c>
      <c r="N1364"/>
      <c r="O1364"/>
      <c r="P1364"/>
      <c r="Q1364"/>
    </row>
    <row r="1365" spans="5:17" x14ac:dyDescent="0.2">
      <c r="E1365" s="670" t="str">
        <v>spare</v>
      </c>
      <c r="F1365" s="631"/>
      <c r="K1365" s="723">
        <v>0</v>
      </c>
      <c r="L1365" s="723">
        <v>0</v>
      </c>
      <c r="M1365" s="723">
        <v>0</v>
      </c>
      <c r="N1365"/>
      <c r="O1365"/>
      <c r="P1365"/>
      <c r="Q1365"/>
    </row>
    <row r="1366" spans="5:17" x14ac:dyDescent="0.2">
      <c r="E1366" s="670" t="str">
        <v>spare</v>
      </c>
      <c r="F1366" s="631"/>
      <c r="K1366" s="723">
        <v>0</v>
      </c>
      <c r="L1366" s="723">
        <v>0</v>
      </c>
      <c r="M1366" s="723">
        <v>0</v>
      </c>
      <c r="N1366"/>
      <c r="O1366"/>
      <c r="P1366"/>
      <c r="Q1366"/>
    </row>
    <row r="1367" spans="5:17" x14ac:dyDescent="0.2">
      <c r="E1367" s="670" t="str">
        <v>spare</v>
      </c>
      <c r="F1367" s="631"/>
      <c r="K1367" s="723">
        <v>0</v>
      </c>
      <c r="L1367" s="723">
        <v>0</v>
      </c>
      <c r="M1367" s="723">
        <v>0</v>
      </c>
      <c r="N1367"/>
      <c r="O1367"/>
      <c r="P1367"/>
      <c r="Q1367"/>
    </row>
    <row r="1368" spans="5:17" x14ac:dyDescent="0.2">
      <c r="E1368" s="670" t="str">
        <v>spare</v>
      </c>
      <c r="F1368" s="631"/>
      <c r="K1368" s="723">
        <v>0</v>
      </c>
      <c r="L1368" s="723">
        <v>0</v>
      </c>
      <c r="M1368" s="723">
        <v>0</v>
      </c>
      <c r="N1368"/>
      <c r="O1368"/>
      <c r="P1368"/>
      <c r="Q1368"/>
    </row>
    <row r="1369" spans="5:17" x14ac:dyDescent="0.2">
      <c r="E1369" s="670" t="str">
        <v>spare</v>
      </c>
      <c r="F1369" s="631"/>
      <c r="K1369" s="723">
        <v>0</v>
      </c>
      <c r="L1369" s="723">
        <v>0</v>
      </c>
      <c r="M1369" s="723">
        <v>0</v>
      </c>
      <c r="N1369"/>
      <c r="O1369"/>
      <c r="P1369"/>
      <c r="Q1369"/>
    </row>
    <row r="1370" spans="5:17" x14ac:dyDescent="0.2">
      <c r="E1370" s="670" t="str">
        <v>spare</v>
      </c>
      <c r="F1370" s="631"/>
      <c r="K1370" s="723">
        <v>0</v>
      </c>
      <c r="L1370" s="723">
        <v>0</v>
      </c>
      <c r="M1370" s="723">
        <v>0</v>
      </c>
      <c r="N1370"/>
      <c r="O1370"/>
      <c r="P1370"/>
      <c r="Q1370"/>
    </row>
    <row r="1371" spans="5:17" x14ac:dyDescent="0.2">
      <c r="E1371" s="670" t="str">
        <v>spare</v>
      </c>
      <c r="F1371" s="631"/>
      <c r="K1371" s="723">
        <v>0</v>
      </c>
      <c r="L1371" s="723">
        <v>0</v>
      </c>
      <c r="M1371" s="723">
        <v>0</v>
      </c>
      <c r="N1371"/>
      <c r="O1371"/>
      <c r="P1371"/>
      <c r="Q1371"/>
    </row>
    <row r="1372" spans="5:17" x14ac:dyDescent="0.2">
      <c r="E1372" s="670" t="str">
        <v>spare</v>
      </c>
      <c r="F1372" s="631"/>
      <c r="K1372" s="723">
        <v>0</v>
      </c>
      <c r="L1372" s="723">
        <v>0</v>
      </c>
      <c r="M1372" s="723">
        <v>0</v>
      </c>
      <c r="N1372"/>
      <c r="O1372"/>
      <c r="P1372"/>
      <c r="Q1372"/>
    </row>
    <row r="1373" spans="5:17" x14ac:dyDescent="0.2">
      <c r="E1373" s="670" t="str">
        <v>spare</v>
      </c>
      <c r="F1373" s="631"/>
      <c r="K1373" s="723">
        <v>0</v>
      </c>
      <c r="L1373" s="723">
        <v>0</v>
      </c>
      <c r="M1373" s="723">
        <v>0</v>
      </c>
      <c r="N1373"/>
      <c r="O1373"/>
      <c r="P1373"/>
      <c r="Q1373"/>
    </row>
    <row r="1374" spans="5:17" x14ac:dyDescent="0.2">
      <c r="E1374" s="670" t="str">
        <v>spare</v>
      </c>
      <c r="F1374" s="631"/>
      <c r="K1374" s="723">
        <v>0</v>
      </c>
      <c r="L1374" s="723">
        <v>0</v>
      </c>
      <c r="M1374" s="723">
        <v>0</v>
      </c>
      <c r="N1374"/>
      <c r="O1374"/>
      <c r="P1374"/>
      <c r="Q1374"/>
    </row>
    <row r="1375" spans="5:17" x14ac:dyDescent="0.2">
      <c r="E1375" s="670" t="str">
        <v>spare</v>
      </c>
      <c r="F1375" s="631"/>
      <c r="K1375" s="723">
        <v>0</v>
      </c>
      <c r="L1375" s="723">
        <v>0</v>
      </c>
      <c r="M1375" s="723">
        <v>0</v>
      </c>
      <c r="N1375"/>
      <c r="O1375"/>
      <c r="P1375"/>
      <c r="Q1375"/>
    </row>
    <row r="1376" spans="5:17" x14ac:dyDescent="0.2">
      <c r="E1376" s="670" t="str">
        <v>spare</v>
      </c>
      <c r="F1376" s="631"/>
      <c r="K1376" s="723">
        <v>0</v>
      </c>
      <c r="L1376" s="723">
        <v>0</v>
      </c>
      <c r="M1376" s="723">
        <v>0</v>
      </c>
      <c r="N1376"/>
      <c r="O1376"/>
      <c r="P1376"/>
      <c r="Q1376"/>
    </row>
    <row r="1377" spans="1:18" x14ac:dyDescent="0.2">
      <c r="E1377" s="670" t="str">
        <v>spare</v>
      </c>
      <c r="F1377" s="631"/>
      <c r="K1377" s="723">
        <v>0</v>
      </c>
      <c r="L1377" s="723">
        <v>0</v>
      </c>
      <c r="M1377" s="723">
        <v>0</v>
      </c>
      <c r="N1377"/>
      <c r="O1377"/>
      <c r="P1377"/>
      <c r="Q1377"/>
    </row>
    <row r="1378" spans="1:18" x14ac:dyDescent="0.2">
      <c r="E1378" s="670" t="str">
        <v>spare</v>
      </c>
      <c r="F1378" s="631"/>
      <c r="K1378" s="723">
        <v>0</v>
      </c>
      <c r="L1378" s="723">
        <v>0</v>
      </c>
      <c r="M1378" s="723">
        <v>0</v>
      </c>
      <c r="N1378"/>
      <c r="O1378"/>
      <c r="P1378"/>
      <c r="Q1378"/>
    </row>
    <row r="1382" spans="1:18" ht="18.75" thickBot="1" x14ac:dyDescent="0.25">
      <c r="A1382" s="638" t="s">
        <v>620</v>
      </c>
      <c r="B1382" s="638"/>
      <c r="C1382" s="639"/>
      <c r="D1382" s="639"/>
      <c r="E1382" s="639"/>
      <c r="F1382" s="639"/>
      <c r="G1382" s="639"/>
      <c r="H1382" s="639"/>
      <c r="I1382" s="639"/>
      <c r="J1382" s="639"/>
      <c r="K1382" s="639"/>
      <c r="L1382" s="639"/>
      <c r="M1382" s="639"/>
      <c r="N1382" s="639"/>
      <c r="O1382" s="639"/>
      <c r="P1382" s="639"/>
      <c r="Q1382" s="639"/>
      <c r="R1382" s="639"/>
    </row>
    <row r="1383" spans="1:18" x14ac:dyDescent="0.2">
      <c r="K1383" s="634"/>
      <c r="N1383" s="634"/>
    </row>
    <row r="1384" spans="1:18" x14ac:dyDescent="0.2">
      <c r="C1384" s="657" t="s">
        <v>621</v>
      </c>
      <c r="D1384" s="631"/>
      <c r="F1384" s="657" t="s">
        <v>622</v>
      </c>
      <c r="K1384" s="635" t="str">
        <f t="array" ref="K1384:M1384">TRANSPOSE(Operators.list)</f>
        <v>Hipotético</v>
      </c>
      <c r="L1384" s="635" t="str">
        <v>Spare</v>
      </c>
      <c r="M1384" s="635" t="str">
        <v>Spare</v>
      </c>
      <c r="N1384"/>
      <c r="O1384"/>
      <c r="P1384"/>
      <c r="Q1384"/>
    </row>
    <row r="1385" spans="1:18" x14ac:dyDescent="0.2">
      <c r="E1385" s="670" t="str">
        <f t="array" ref="E1385:E1424">Core.nodes</f>
        <v>Abancay</v>
      </c>
      <c r="K1385" s="723">
        <v>1</v>
      </c>
      <c r="L1385" s="713">
        <v>0</v>
      </c>
      <c r="M1385" s="713">
        <v>0</v>
      </c>
      <c r="N1385"/>
      <c r="O1385"/>
      <c r="P1385"/>
      <c r="Q1385"/>
    </row>
    <row r="1386" spans="1:18" x14ac:dyDescent="0.2">
      <c r="E1386" s="670" t="str">
        <v>Arequipa</v>
      </c>
      <c r="K1386" s="723">
        <v>1</v>
      </c>
      <c r="L1386" s="713">
        <v>0</v>
      </c>
      <c r="M1386" s="713">
        <v>0</v>
      </c>
      <c r="N1386"/>
      <c r="O1386"/>
      <c r="P1386"/>
      <c r="Q1386"/>
    </row>
    <row r="1387" spans="1:18" x14ac:dyDescent="0.2">
      <c r="E1387" s="670" t="str">
        <v>Ayacucho</v>
      </c>
      <c r="K1387" s="723">
        <v>1</v>
      </c>
      <c r="L1387" s="713">
        <v>0</v>
      </c>
      <c r="M1387" s="713">
        <v>0</v>
      </c>
      <c r="N1387"/>
      <c r="O1387"/>
      <c r="P1387"/>
      <c r="Q1387"/>
    </row>
    <row r="1388" spans="1:18" x14ac:dyDescent="0.2">
      <c r="E1388" s="670" t="str">
        <v>Cajamarca</v>
      </c>
      <c r="K1388" s="723">
        <v>1</v>
      </c>
      <c r="L1388" s="713">
        <v>0</v>
      </c>
      <c r="M1388" s="713">
        <v>0</v>
      </c>
      <c r="N1388"/>
      <c r="O1388"/>
      <c r="P1388"/>
      <c r="Q1388"/>
    </row>
    <row r="1389" spans="1:18" x14ac:dyDescent="0.2">
      <c r="E1389" s="670" t="str">
        <v>Callao</v>
      </c>
      <c r="K1389" s="723">
        <v>1</v>
      </c>
      <c r="L1389" s="713">
        <v>0</v>
      </c>
      <c r="M1389" s="713">
        <v>0</v>
      </c>
      <c r="N1389"/>
      <c r="O1389"/>
      <c r="P1389"/>
      <c r="Q1389"/>
    </row>
    <row r="1390" spans="1:18" x14ac:dyDescent="0.2">
      <c r="E1390" s="670" t="str">
        <v>Cerro de Pasco</v>
      </c>
      <c r="K1390" s="723">
        <v>1</v>
      </c>
      <c r="L1390" s="713">
        <v>0</v>
      </c>
      <c r="M1390" s="713">
        <v>0</v>
      </c>
      <c r="N1390"/>
      <c r="O1390"/>
      <c r="P1390"/>
      <c r="Q1390"/>
    </row>
    <row r="1391" spans="1:18" x14ac:dyDescent="0.2">
      <c r="E1391" s="670" t="str">
        <v>Chachapoyas</v>
      </c>
      <c r="K1391" s="723">
        <v>1</v>
      </c>
      <c r="L1391" s="713">
        <v>0</v>
      </c>
      <c r="M1391" s="713">
        <v>0</v>
      </c>
      <c r="N1391"/>
      <c r="O1391"/>
      <c r="P1391"/>
      <c r="Q1391"/>
    </row>
    <row r="1392" spans="1:18" x14ac:dyDescent="0.2">
      <c r="E1392" s="670" t="str">
        <v>Chiclayo</v>
      </c>
      <c r="K1392" s="723">
        <v>1</v>
      </c>
      <c r="L1392" s="713">
        <v>0</v>
      </c>
      <c r="M1392" s="713">
        <v>0</v>
      </c>
      <c r="N1392"/>
      <c r="O1392"/>
      <c r="P1392"/>
      <c r="Q1392"/>
    </row>
    <row r="1393" spans="5:17" x14ac:dyDescent="0.2">
      <c r="E1393" s="670" t="str">
        <v>Cusco</v>
      </c>
      <c r="K1393" s="723">
        <v>1</v>
      </c>
      <c r="L1393" s="713">
        <v>0</v>
      </c>
      <c r="M1393" s="713">
        <v>0</v>
      </c>
      <c r="N1393"/>
      <c r="O1393"/>
      <c r="P1393"/>
      <c r="Q1393"/>
    </row>
    <row r="1394" spans="5:17" x14ac:dyDescent="0.2">
      <c r="E1394" s="670" t="str">
        <v>Huancavelica</v>
      </c>
      <c r="K1394" s="723">
        <v>1</v>
      </c>
      <c r="L1394" s="723">
        <v>0</v>
      </c>
      <c r="M1394" s="723">
        <v>0</v>
      </c>
      <c r="N1394"/>
      <c r="O1394"/>
      <c r="P1394"/>
      <c r="Q1394"/>
    </row>
    <row r="1395" spans="5:17" x14ac:dyDescent="0.2">
      <c r="E1395" s="670" t="str">
        <v>Huancayo</v>
      </c>
      <c r="K1395" s="723">
        <v>1</v>
      </c>
      <c r="L1395" s="723">
        <v>0</v>
      </c>
      <c r="M1395" s="723">
        <v>0</v>
      </c>
      <c r="N1395"/>
      <c r="O1395"/>
      <c r="P1395"/>
      <c r="Q1395"/>
    </row>
    <row r="1396" spans="5:17" x14ac:dyDescent="0.2">
      <c r="E1396" s="670" t="str">
        <v>Huaraz</v>
      </c>
      <c r="K1396" s="723">
        <v>1</v>
      </c>
      <c r="L1396" s="723">
        <v>0</v>
      </c>
      <c r="M1396" s="723">
        <v>0</v>
      </c>
      <c r="N1396"/>
      <c r="O1396"/>
      <c r="P1396"/>
      <c r="Q1396"/>
    </row>
    <row r="1397" spans="5:17" x14ac:dyDescent="0.2">
      <c r="E1397" s="670" t="str">
        <v>Ica</v>
      </c>
      <c r="K1397" s="723">
        <v>1</v>
      </c>
      <c r="L1397" s="723">
        <v>0</v>
      </c>
      <c r="M1397" s="723">
        <v>0</v>
      </c>
      <c r="N1397"/>
      <c r="O1397"/>
      <c r="P1397"/>
      <c r="Q1397"/>
    </row>
    <row r="1398" spans="5:17" x14ac:dyDescent="0.2">
      <c r="E1398" s="670" t="str">
        <v>Iquitos</v>
      </c>
      <c r="K1398" s="723">
        <v>0</v>
      </c>
      <c r="L1398" s="723">
        <v>0</v>
      </c>
      <c r="M1398" s="723">
        <v>0</v>
      </c>
      <c r="N1398"/>
      <c r="O1398"/>
      <c r="P1398"/>
      <c r="Q1398"/>
    </row>
    <row r="1399" spans="5:17" x14ac:dyDescent="0.2">
      <c r="E1399" s="670" t="str">
        <v>Lima</v>
      </c>
      <c r="K1399" s="723">
        <v>1</v>
      </c>
      <c r="L1399" s="723">
        <v>0</v>
      </c>
      <c r="M1399" s="723">
        <v>0</v>
      </c>
      <c r="N1399"/>
      <c r="O1399"/>
      <c r="P1399"/>
      <c r="Q1399"/>
    </row>
    <row r="1400" spans="5:17" x14ac:dyDescent="0.2">
      <c r="E1400" s="670" t="str">
        <v>Moquegua</v>
      </c>
      <c r="K1400" s="723">
        <v>1</v>
      </c>
      <c r="L1400" s="723">
        <v>0</v>
      </c>
      <c r="M1400" s="723">
        <v>0</v>
      </c>
      <c r="N1400"/>
      <c r="O1400"/>
      <c r="P1400"/>
      <c r="Q1400"/>
    </row>
    <row r="1401" spans="5:17" x14ac:dyDescent="0.2">
      <c r="E1401" s="670" t="str">
        <v>Piura</v>
      </c>
      <c r="K1401" s="723">
        <v>1</v>
      </c>
      <c r="L1401" s="723">
        <v>0</v>
      </c>
      <c r="M1401" s="723">
        <v>0</v>
      </c>
      <c r="N1401"/>
      <c r="O1401"/>
      <c r="P1401"/>
      <c r="Q1401"/>
    </row>
    <row r="1402" spans="5:17" x14ac:dyDescent="0.2">
      <c r="E1402" s="670" t="str">
        <v>Pucallpa</v>
      </c>
      <c r="K1402" s="723">
        <v>1</v>
      </c>
      <c r="L1402" s="723">
        <v>0</v>
      </c>
      <c r="M1402" s="723">
        <v>0</v>
      </c>
      <c r="N1402"/>
      <c r="O1402"/>
      <c r="P1402"/>
      <c r="Q1402"/>
    </row>
    <row r="1403" spans="5:17" x14ac:dyDescent="0.2">
      <c r="E1403" s="670" t="str">
        <v>Puerto Maldonado</v>
      </c>
      <c r="K1403" s="723">
        <v>1</v>
      </c>
      <c r="L1403" s="723">
        <v>0</v>
      </c>
      <c r="M1403" s="723">
        <v>0</v>
      </c>
      <c r="N1403"/>
      <c r="O1403"/>
      <c r="P1403"/>
      <c r="Q1403"/>
    </row>
    <row r="1404" spans="5:17" x14ac:dyDescent="0.2">
      <c r="E1404" s="670" t="str">
        <v>Puno</v>
      </c>
      <c r="K1404" s="723">
        <v>1</v>
      </c>
      <c r="L1404" s="723">
        <v>0</v>
      </c>
      <c r="M1404" s="723">
        <v>0</v>
      </c>
      <c r="N1404"/>
      <c r="O1404"/>
      <c r="P1404"/>
      <c r="Q1404"/>
    </row>
    <row r="1405" spans="5:17" x14ac:dyDescent="0.2">
      <c r="E1405" s="670" t="str">
        <v>Tacna</v>
      </c>
      <c r="K1405" s="723">
        <v>1</v>
      </c>
      <c r="L1405" s="723">
        <v>0</v>
      </c>
      <c r="M1405" s="723">
        <v>0</v>
      </c>
      <c r="N1405"/>
      <c r="O1405"/>
      <c r="P1405"/>
      <c r="Q1405"/>
    </row>
    <row r="1406" spans="5:17" x14ac:dyDescent="0.2">
      <c r="E1406" s="670" t="str">
        <v>Tarapoto</v>
      </c>
      <c r="K1406" s="723">
        <v>1</v>
      </c>
      <c r="L1406" s="723">
        <v>0</v>
      </c>
      <c r="M1406" s="723">
        <v>0</v>
      </c>
      <c r="N1406"/>
      <c r="O1406"/>
      <c r="P1406"/>
      <c r="Q1406"/>
    </row>
    <row r="1407" spans="5:17" x14ac:dyDescent="0.2">
      <c r="E1407" s="670" t="str">
        <v>Tingo Maria</v>
      </c>
      <c r="K1407" s="723">
        <v>1</v>
      </c>
      <c r="L1407" s="723">
        <v>0</v>
      </c>
      <c r="M1407" s="723">
        <v>0</v>
      </c>
      <c r="N1407"/>
      <c r="O1407"/>
      <c r="P1407"/>
      <c r="Q1407"/>
    </row>
    <row r="1408" spans="5:17" x14ac:dyDescent="0.2">
      <c r="E1408" s="670" t="str">
        <v>Trujillo</v>
      </c>
      <c r="K1408" s="723">
        <v>1</v>
      </c>
      <c r="L1408" s="723">
        <v>0</v>
      </c>
      <c r="M1408" s="723">
        <v>0</v>
      </c>
      <c r="N1408"/>
      <c r="O1408"/>
      <c r="P1408"/>
      <c r="Q1408"/>
    </row>
    <row r="1409" spans="5:17" x14ac:dyDescent="0.2">
      <c r="E1409" s="670" t="str">
        <v>Tumbes</v>
      </c>
      <c r="K1409" s="723">
        <v>1</v>
      </c>
      <c r="L1409" s="723">
        <v>0</v>
      </c>
      <c r="M1409" s="723">
        <v>0</v>
      </c>
      <c r="N1409"/>
      <c r="O1409"/>
      <c r="P1409"/>
      <c r="Q1409"/>
    </row>
    <row r="1410" spans="5:17" x14ac:dyDescent="0.2">
      <c r="E1410" s="670" t="str">
        <v>spare</v>
      </c>
      <c r="K1410" s="723">
        <v>0</v>
      </c>
      <c r="L1410" s="723">
        <v>0</v>
      </c>
      <c r="M1410" s="723">
        <v>0</v>
      </c>
      <c r="N1410"/>
      <c r="O1410"/>
      <c r="P1410"/>
      <c r="Q1410"/>
    </row>
    <row r="1411" spans="5:17" x14ac:dyDescent="0.2">
      <c r="E1411" s="670" t="str">
        <v>spare</v>
      </c>
      <c r="K1411" s="723">
        <v>0</v>
      </c>
      <c r="L1411" s="723">
        <v>0</v>
      </c>
      <c r="M1411" s="723">
        <v>0</v>
      </c>
      <c r="N1411"/>
      <c r="O1411"/>
      <c r="P1411"/>
      <c r="Q1411"/>
    </row>
    <row r="1412" spans="5:17" x14ac:dyDescent="0.2">
      <c r="E1412" s="670" t="str">
        <v>spare</v>
      </c>
      <c r="K1412" s="723">
        <v>0</v>
      </c>
      <c r="L1412" s="723">
        <v>0</v>
      </c>
      <c r="M1412" s="723">
        <v>0</v>
      </c>
      <c r="N1412"/>
      <c r="O1412"/>
      <c r="P1412"/>
      <c r="Q1412"/>
    </row>
    <row r="1413" spans="5:17" x14ac:dyDescent="0.2">
      <c r="E1413" s="670" t="str">
        <v>spare</v>
      </c>
      <c r="K1413" s="723">
        <v>0</v>
      </c>
      <c r="L1413" s="723">
        <v>0</v>
      </c>
      <c r="M1413" s="723">
        <v>0</v>
      </c>
      <c r="N1413"/>
      <c r="O1413"/>
      <c r="P1413"/>
      <c r="Q1413"/>
    </row>
    <row r="1414" spans="5:17" x14ac:dyDescent="0.2">
      <c r="E1414" s="670" t="str">
        <v>spare</v>
      </c>
      <c r="K1414" s="723">
        <v>0</v>
      </c>
      <c r="L1414" s="723">
        <v>0</v>
      </c>
      <c r="M1414" s="723">
        <v>0</v>
      </c>
      <c r="N1414"/>
      <c r="O1414"/>
      <c r="P1414"/>
      <c r="Q1414"/>
    </row>
    <row r="1415" spans="5:17" x14ac:dyDescent="0.2">
      <c r="E1415" s="670" t="str">
        <v>spare</v>
      </c>
      <c r="K1415" s="723">
        <v>0</v>
      </c>
      <c r="L1415" s="723">
        <v>0</v>
      </c>
      <c r="M1415" s="723">
        <v>0</v>
      </c>
      <c r="N1415"/>
      <c r="O1415"/>
      <c r="P1415"/>
      <c r="Q1415"/>
    </row>
    <row r="1416" spans="5:17" x14ac:dyDescent="0.2">
      <c r="E1416" s="670" t="str">
        <v>spare</v>
      </c>
      <c r="K1416" s="723">
        <v>0</v>
      </c>
      <c r="L1416" s="723">
        <v>0</v>
      </c>
      <c r="M1416" s="723">
        <v>0</v>
      </c>
      <c r="N1416"/>
      <c r="O1416"/>
      <c r="P1416"/>
      <c r="Q1416"/>
    </row>
    <row r="1417" spans="5:17" x14ac:dyDescent="0.2">
      <c r="E1417" s="670" t="str">
        <v>spare</v>
      </c>
      <c r="K1417" s="723">
        <v>0</v>
      </c>
      <c r="L1417" s="723">
        <v>0</v>
      </c>
      <c r="M1417" s="723">
        <v>0</v>
      </c>
      <c r="N1417"/>
      <c r="O1417"/>
      <c r="P1417"/>
      <c r="Q1417"/>
    </row>
    <row r="1418" spans="5:17" x14ac:dyDescent="0.2">
      <c r="E1418" s="670" t="str">
        <v>spare</v>
      </c>
      <c r="K1418" s="723">
        <v>0</v>
      </c>
      <c r="L1418" s="723">
        <v>0</v>
      </c>
      <c r="M1418" s="723">
        <v>0</v>
      </c>
      <c r="N1418"/>
      <c r="O1418"/>
      <c r="P1418"/>
      <c r="Q1418"/>
    </row>
    <row r="1419" spans="5:17" x14ac:dyDescent="0.2">
      <c r="E1419" s="670" t="str">
        <v>spare</v>
      </c>
      <c r="K1419" s="723">
        <v>0</v>
      </c>
      <c r="L1419" s="723">
        <v>0</v>
      </c>
      <c r="M1419" s="723">
        <v>0</v>
      </c>
      <c r="N1419"/>
      <c r="O1419"/>
      <c r="P1419"/>
      <c r="Q1419"/>
    </row>
    <row r="1420" spans="5:17" x14ac:dyDescent="0.2">
      <c r="E1420" s="670" t="str">
        <v>spare</v>
      </c>
      <c r="K1420" s="723">
        <v>0</v>
      </c>
      <c r="L1420" s="723">
        <v>0</v>
      </c>
      <c r="M1420" s="723">
        <v>0</v>
      </c>
      <c r="N1420"/>
      <c r="O1420"/>
      <c r="P1420"/>
      <c r="Q1420"/>
    </row>
    <row r="1421" spans="5:17" x14ac:dyDescent="0.2">
      <c r="E1421" s="670" t="str">
        <v>spare</v>
      </c>
      <c r="K1421" s="723">
        <v>0</v>
      </c>
      <c r="L1421" s="723">
        <v>0</v>
      </c>
      <c r="M1421" s="723">
        <v>0</v>
      </c>
      <c r="N1421"/>
      <c r="O1421"/>
      <c r="P1421"/>
      <c r="Q1421"/>
    </row>
    <row r="1422" spans="5:17" x14ac:dyDescent="0.2">
      <c r="E1422" s="670" t="str">
        <v>spare</v>
      </c>
      <c r="K1422" s="723">
        <v>0</v>
      </c>
      <c r="L1422" s="723">
        <v>0</v>
      </c>
      <c r="M1422" s="723">
        <v>0</v>
      </c>
      <c r="N1422"/>
      <c r="O1422"/>
      <c r="P1422"/>
      <c r="Q1422"/>
    </row>
    <row r="1423" spans="5:17" x14ac:dyDescent="0.2">
      <c r="E1423" s="670" t="str">
        <v>spare</v>
      </c>
      <c r="K1423" s="723">
        <v>0</v>
      </c>
      <c r="L1423" s="723">
        <v>0</v>
      </c>
      <c r="M1423" s="723">
        <v>0</v>
      </c>
      <c r="N1423"/>
      <c r="O1423"/>
      <c r="P1423"/>
      <c r="Q1423"/>
    </row>
    <row r="1424" spans="5:17" x14ac:dyDescent="0.2">
      <c r="E1424" s="670" t="str">
        <v>spare</v>
      </c>
      <c r="K1424" s="723">
        <v>0</v>
      </c>
      <c r="L1424" s="723">
        <v>0</v>
      </c>
      <c r="M1424" s="723">
        <v>0</v>
      </c>
      <c r="N1424"/>
      <c r="O1424"/>
      <c r="P1424"/>
      <c r="Q1424"/>
    </row>
  </sheetData>
  <conditionalFormatting sqref="E707:E726">
    <cfRule type="cellIs" dxfId="363" priority="121" operator="equal">
      <formula>"spare"</formula>
    </cfRule>
  </conditionalFormatting>
  <conditionalFormatting sqref="E750:E769">
    <cfRule type="cellIs" dxfId="362" priority="120" operator="equal">
      <formula>"spare"</formula>
    </cfRule>
  </conditionalFormatting>
  <conditionalFormatting sqref="E899:E908">
    <cfRule type="cellIs" dxfId="361" priority="118" operator="equal">
      <formula>"spare"</formula>
    </cfRule>
  </conditionalFormatting>
  <conditionalFormatting sqref="E938:E947">
    <cfRule type="cellIs" dxfId="360" priority="117" operator="equal">
      <formula>"spare"</formula>
    </cfRule>
  </conditionalFormatting>
  <conditionalFormatting sqref="E977:E986">
    <cfRule type="cellIs" dxfId="359" priority="116" operator="equal">
      <formula>"spare"</formula>
    </cfRule>
  </conditionalFormatting>
  <conditionalFormatting sqref="E1016:E1025">
    <cfRule type="cellIs" dxfId="358" priority="115" operator="equal">
      <formula>"spare"</formula>
    </cfRule>
  </conditionalFormatting>
  <conditionalFormatting sqref="E1028:E1037">
    <cfRule type="cellIs" dxfId="357" priority="114" operator="equal">
      <formula>"spare"</formula>
    </cfRule>
  </conditionalFormatting>
  <conditionalFormatting sqref="E1044:E1053">
    <cfRule type="cellIs" dxfId="356" priority="113" operator="equal">
      <formula>"spare"</formula>
    </cfRule>
  </conditionalFormatting>
  <conditionalFormatting sqref="E1056:E1065">
    <cfRule type="cellIs" dxfId="355" priority="112" operator="equal">
      <formula>"spare"</formula>
    </cfRule>
  </conditionalFormatting>
  <conditionalFormatting sqref="E1068:E1077">
    <cfRule type="cellIs" dxfId="354" priority="111" operator="equal">
      <formula>"spare"</formula>
    </cfRule>
  </conditionalFormatting>
  <conditionalFormatting sqref="E1254:E1293">
    <cfRule type="cellIs" dxfId="353" priority="109" operator="equal">
      <formula>"spare"</formula>
    </cfRule>
  </conditionalFormatting>
  <conditionalFormatting sqref="E1201:E1210">
    <cfRule type="cellIs" dxfId="352" priority="108" operator="equal">
      <formula>"spare"</formula>
    </cfRule>
  </conditionalFormatting>
  <conditionalFormatting sqref="E1213:E1222">
    <cfRule type="cellIs" dxfId="351" priority="107" operator="equal">
      <formula>"spare"</formula>
    </cfRule>
  </conditionalFormatting>
  <conditionalFormatting sqref="E1225:E1234">
    <cfRule type="cellIs" dxfId="350" priority="106" operator="equal">
      <formula>"spare"</formula>
    </cfRule>
  </conditionalFormatting>
  <conditionalFormatting sqref="E1237:E1246">
    <cfRule type="cellIs" dxfId="349" priority="105" operator="equal">
      <formula>"spare"</formula>
    </cfRule>
  </conditionalFormatting>
  <conditionalFormatting sqref="E1297:E1336">
    <cfRule type="cellIs" dxfId="348" priority="104" operator="equal">
      <formula>"spare"</formula>
    </cfRule>
  </conditionalFormatting>
  <conditionalFormatting sqref="E1339:E1378">
    <cfRule type="cellIs" dxfId="347" priority="103" operator="equal">
      <formula>"spare"</formula>
    </cfRule>
  </conditionalFormatting>
  <conditionalFormatting sqref="E694:E703">
    <cfRule type="cellIs" dxfId="346" priority="102" operator="equal">
      <formula>"spare"</formula>
    </cfRule>
  </conditionalFormatting>
  <conditionalFormatting sqref="E682:E691">
    <cfRule type="cellIs" dxfId="345" priority="101" operator="equal">
      <formula>"spare"</formula>
    </cfRule>
  </conditionalFormatting>
  <conditionalFormatting sqref="E670:E679">
    <cfRule type="cellIs" dxfId="344" priority="100" operator="equal">
      <formula>"spare"</formula>
    </cfRule>
  </conditionalFormatting>
  <conditionalFormatting sqref="E658:E667">
    <cfRule type="cellIs" dxfId="343" priority="99" operator="equal">
      <formula>"spare"</formula>
    </cfRule>
  </conditionalFormatting>
  <conditionalFormatting sqref="E526:E565">
    <cfRule type="cellIs" dxfId="342" priority="98" operator="equal">
      <formula>"spare"</formula>
    </cfRule>
  </conditionalFormatting>
  <conditionalFormatting sqref="E328:E337">
    <cfRule type="cellIs" dxfId="341" priority="95" operator="equal">
      <formula>"spare"</formula>
    </cfRule>
  </conditionalFormatting>
  <conditionalFormatting sqref="E340:E349">
    <cfRule type="cellIs" dxfId="340" priority="94" operator="equal">
      <formula>"spare"</formula>
    </cfRule>
  </conditionalFormatting>
  <conditionalFormatting sqref="E352:E361">
    <cfRule type="cellIs" dxfId="339" priority="93" operator="equal">
      <formula>"spare"</formula>
    </cfRule>
  </conditionalFormatting>
  <conditionalFormatting sqref="E313:E322">
    <cfRule type="cellIs" dxfId="338" priority="92" operator="equal">
      <formula>"spare"</formula>
    </cfRule>
  </conditionalFormatting>
  <conditionalFormatting sqref="E301:E310">
    <cfRule type="cellIs" dxfId="337" priority="91" operator="equal">
      <formula>"spare"</formula>
    </cfRule>
  </conditionalFormatting>
  <conditionalFormatting sqref="E265:E274">
    <cfRule type="cellIs" dxfId="336" priority="90" operator="equal">
      <formula>"spare"</formula>
    </cfRule>
  </conditionalFormatting>
  <conditionalFormatting sqref="E229:E238">
    <cfRule type="cellIs" dxfId="335" priority="89" operator="equal">
      <formula>"spare"</formula>
    </cfRule>
  </conditionalFormatting>
  <conditionalFormatting sqref="E193:E202">
    <cfRule type="cellIs" dxfId="334" priority="88" operator="equal">
      <formula>"spare"</formula>
    </cfRule>
  </conditionalFormatting>
  <conditionalFormatting sqref="E568:E607">
    <cfRule type="cellIs" dxfId="333" priority="86" operator="equal">
      <formula>"spare"</formula>
    </cfRule>
  </conditionalFormatting>
  <conditionalFormatting sqref="E610:E649">
    <cfRule type="cellIs" dxfId="332" priority="85" operator="equal">
      <formula>"spare"</formula>
    </cfRule>
  </conditionalFormatting>
  <conditionalFormatting sqref="E1385:E1424">
    <cfRule type="cellIs" dxfId="331" priority="84" operator="equal">
      <formula>"spare"</formula>
    </cfRule>
  </conditionalFormatting>
  <conditionalFormatting sqref="E481:E520">
    <cfRule type="cellIs" dxfId="330" priority="83" operator="equal">
      <formula>"spare"</formula>
    </cfRule>
  </conditionalFormatting>
  <conditionalFormatting sqref="E911:E920">
    <cfRule type="cellIs" dxfId="329" priority="82" operator="equal">
      <formula>"spare"</formula>
    </cfRule>
  </conditionalFormatting>
  <conditionalFormatting sqref="E923:E932">
    <cfRule type="cellIs" dxfId="328" priority="81" operator="equal">
      <formula>"spare"</formula>
    </cfRule>
  </conditionalFormatting>
  <conditionalFormatting sqref="E950:E959">
    <cfRule type="cellIs" dxfId="327" priority="80" operator="equal">
      <formula>"spare"</formula>
    </cfRule>
  </conditionalFormatting>
  <conditionalFormatting sqref="E962:E971">
    <cfRule type="cellIs" dxfId="326" priority="79" operator="equal">
      <formula>"spare"</formula>
    </cfRule>
  </conditionalFormatting>
  <conditionalFormatting sqref="E989:E998">
    <cfRule type="cellIs" dxfId="325" priority="78" operator="equal">
      <formula>"spare"</formula>
    </cfRule>
  </conditionalFormatting>
  <conditionalFormatting sqref="E1001:E1010">
    <cfRule type="cellIs" dxfId="324" priority="77" operator="equal">
      <formula>"spare"</formula>
    </cfRule>
  </conditionalFormatting>
  <conditionalFormatting sqref="E205:E214">
    <cfRule type="cellIs" dxfId="323" priority="76" operator="equal">
      <formula>"spare"</formula>
    </cfRule>
  </conditionalFormatting>
  <conditionalFormatting sqref="E217:E226">
    <cfRule type="cellIs" dxfId="322" priority="75" operator="equal">
      <formula>"spare"</formula>
    </cfRule>
  </conditionalFormatting>
  <conditionalFormatting sqref="E253:E262">
    <cfRule type="cellIs" dxfId="321" priority="73" operator="equal">
      <formula>"spare"</formula>
    </cfRule>
  </conditionalFormatting>
  <conditionalFormatting sqref="E241:E250">
    <cfRule type="cellIs" dxfId="320" priority="74" operator="equal">
      <formula>"spare"</formula>
    </cfRule>
  </conditionalFormatting>
  <conditionalFormatting sqref="E289:E298">
    <cfRule type="cellIs" dxfId="319" priority="71" operator="equal">
      <formula>"spare"</formula>
    </cfRule>
  </conditionalFormatting>
  <conditionalFormatting sqref="E277:E286">
    <cfRule type="cellIs" dxfId="318" priority="72" operator="equal">
      <formula>"spare"</formula>
    </cfRule>
  </conditionalFormatting>
  <conditionalFormatting sqref="E380:E389">
    <cfRule type="cellIs" dxfId="317" priority="70" operator="equal">
      <formula>"spare"</formula>
    </cfRule>
  </conditionalFormatting>
  <conditionalFormatting sqref="E417:E426">
    <cfRule type="cellIs" dxfId="316" priority="69" operator="equal">
      <formula>"spare"</formula>
    </cfRule>
  </conditionalFormatting>
  <conditionalFormatting sqref="E1100:E1109">
    <cfRule type="cellIs" dxfId="315" priority="68" operator="equal">
      <formula>"spare"</formula>
    </cfRule>
  </conditionalFormatting>
  <conditionalFormatting sqref="E1137:E1146">
    <cfRule type="cellIs" dxfId="314" priority="67" operator="equal">
      <formula>"spare"</formula>
    </cfRule>
  </conditionalFormatting>
  <conditionalFormatting sqref="E1112:E1121">
    <cfRule type="cellIs" dxfId="313" priority="65" operator="equal">
      <formula>"spare"</formula>
    </cfRule>
  </conditionalFormatting>
  <conditionalFormatting sqref="E1124:E1133">
    <cfRule type="cellIs" dxfId="312" priority="64" operator="equal">
      <formula>"spare"</formula>
    </cfRule>
  </conditionalFormatting>
  <conditionalFormatting sqref="E1149:E1158">
    <cfRule type="cellIs" dxfId="311" priority="63" operator="equal">
      <formula>"spare"</formula>
    </cfRule>
  </conditionalFormatting>
  <conditionalFormatting sqref="E1161:E1170">
    <cfRule type="cellIs" dxfId="310" priority="62" operator="equal">
      <formula>"spare"</formula>
    </cfRule>
  </conditionalFormatting>
  <conditionalFormatting sqref="E392:E401">
    <cfRule type="cellIs" dxfId="309" priority="61" operator="equal">
      <formula>"spare"</formula>
    </cfRule>
  </conditionalFormatting>
  <conditionalFormatting sqref="E404:E413">
    <cfRule type="cellIs" dxfId="308" priority="60" operator="equal">
      <formula>"spare"</formula>
    </cfRule>
  </conditionalFormatting>
  <conditionalFormatting sqref="E429:E438">
    <cfRule type="cellIs" dxfId="307" priority="59" operator="equal">
      <formula>"spare"</formula>
    </cfRule>
  </conditionalFormatting>
  <conditionalFormatting sqref="E441:E450">
    <cfRule type="cellIs" dxfId="306" priority="58" operator="equal">
      <formula>"spare"</formula>
    </cfRule>
  </conditionalFormatting>
  <conditionalFormatting sqref="E76:E85">
    <cfRule type="cellIs" dxfId="305" priority="43" operator="equal">
      <formula>"spare"</formula>
    </cfRule>
  </conditionalFormatting>
  <conditionalFormatting sqref="E817:E826">
    <cfRule type="cellIs" dxfId="304" priority="42" operator="equal">
      <formula>"spare"</formula>
    </cfRule>
  </conditionalFormatting>
  <conditionalFormatting sqref="E828:E837">
    <cfRule type="cellIs" dxfId="303" priority="41" operator="equal">
      <formula>"spare"</formula>
    </cfRule>
  </conditionalFormatting>
  <conditionalFormatting sqref="E840:E849">
    <cfRule type="cellIs" dxfId="302" priority="40" operator="equal">
      <formula>"spare"</formula>
    </cfRule>
  </conditionalFormatting>
  <conditionalFormatting sqref="E851:E860">
    <cfRule type="cellIs" dxfId="301" priority="39" operator="equal">
      <formula>"spare"</formula>
    </cfRule>
  </conditionalFormatting>
  <conditionalFormatting sqref="E862:E871">
    <cfRule type="cellIs" dxfId="300" priority="38" operator="equal">
      <formula>"spare"</formula>
    </cfRule>
  </conditionalFormatting>
  <conditionalFormatting sqref="E873:E882">
    <cfRule type="cellIs" dxfId="299" priority="37" operator="equal">
      <formula>"spare"</formula>
    </cfRule>
  </conditionalFormatting>
  <conditionalFormatting sqref="E801:E810">
    <cfRule type="cellIs" dxfId="298" priority="36" operator="equal">
      <formula>"spare"</formula>
    </cfRule>
  </conditionalFormatting>
  <conditionalFormatting sqref="E790:E799">
    <cfRule type="cellIs" dxfId="297" priority="35" operator="equal">
      <formula>"spare"</formula>
    </cfRule>
  </conditionalFormatting>
  <conditionalFormatting sqref="E779:E788">
    <cfRule type="cellIs" dxfId="296" priority="34" operator="equal">
      <formula>"spare"</formula>
    </cfRule>
  </conditionalFormatting>
  <conditionalFormatting sqref="E87:E96">
    <cfRule type="cellIs" dxfId="295" priority="33" operator="equal">
      <formula>"spare"</formula>
    </cfRule>
  </conditionalFormatting>
  <conditionalFormatting sqref="E98:E107">
    <cfRule type="cellIs" dxfId="294" priority="32" operator="equal">
      <formula>"spare"</formula>
    </cfRule>
  </conditionalFormatting>
  <conditionalFormatting sqref="E111:E120">
    <cfRule type="cellIs" dxfId="293" priority="31" operator="equal">
      <formula>"spare"</formula>
    </cfRule>
  </conditionalFormatting>
  <conditionalFormatting sqref="E122:E131">
    <cfRule type="cellIs" dxfId="292" priority="30" operator="equal">
      <formula>"spare"</formula>
    </cfRule>
  </conditionalFormatting>
  <conditionalFormatting sqref="E134:E143">
    <cfRule type="cellIs" dxfId="291" priority="29" operator="equal">
      <formula>"spare"</formula>
    </cfRule>
  </conditionalFormatting>
  <conditionalFormatting sqref="E145:E154">
    <cfRule type="cellIs" dxfId="290" priority="28" operator="equal">
      <formula>"spare"</formula>
    </cfRule>
  </conditionalFormatting>
  <conditionalFormatting sqref="E156:E165">
    <cfRule type="cellIs" dxfId="289" priority="27" operator="equal">
      <formula>"spare"</formula>
    </cfRule>
  </conditionalFormatting>
  <conditionalFormatting sqref="E167:E176">
    <cfRule type="cellIs" dxfId="288" priority="26" operator="equal">
      <formula>"spare"</formula>
    </cfRule>
  </conditionalFormatting>
  <conditionalFormatting sqref="K1339:K1363">
    <cfRule type="expression" dxfId="287" priority="16">
      <formula>K1339&lt;&gt;$E1339</formula>
    </cfRule>
  </conditionalFormatting>
  <conditionalFormatting sqref="K1254:K1278">
    <cfRule type="expression" dxfId="286" priority="15">
      <formula>K1254&lt;&gt;$E1254</formula>
    </cfRule>
  </conditionalFormatting>
  <conditionalFormatting sqref="K1297:K1321">
    <cfRule type="expression" dxfId="285" priority="14">
      <formula>K1297&lt;&gt;$E1297</formula>
    </cfRule>
  </conditionalFormatting>
  <conditionalFormatting sqref="E1173:E1179">
    <cfRule type="cellIs" dxfId="284" priority="4" operator="equal">
      <formula>"spare"</formula>
    </cfRule>
  </conditionalFormatting>
  <dataValidations count="14">
    <dataValidation type="list" allowBlank="1" showInputMessage="1" showErrorMessage="1" sqref="G9">
      <formula1>Scenario.list</formula1>
    </dataValidation>
    <dataValidation type="list" allowBlank="1" showInputMessage="1" showErrorMessage="1" sqref="K58:M58 K54:M54">
      <formula1>Backhaul.and.core.transmission.technologies</formula1>
    </dataValidation>
    <dataValidation type="list" allowBlank="1" showInputMessage="1" showErrorMessage="1" sqref="K56:M56 K60:M60 K49:M52">
      <formula1>Protocols</formula1>
    </dataValidation>
    <dataValidation type="decimal" allowBlank="1" showInputMessage="1" showErrorMessage="1" sqref="K45:M46">
      <formula1>0</formula1>
      <formula2>1</formula2>
    </dataValidation>
    <dataValidation type="list" allowBlank="1" showInputMessage="1" showErrorMessage="1" sqref="K40:M40">
      <formula1>Erlang.Table.Header</formula1>
    </dataValidation>
    <dataValidation type="list" allowBlank="1" showInputMessage="1" showErrorMessage="1" sqref="K63:M63">
      <formula1>BSC.Ladder</formula1>
    </dataValidation>
    <dataValidation type="list" allowBlank="1" showInputMessage="1" showErrorMessage="1" sqref="K65:M65">
      <formula1>RNC.Ladder</formula1>
    </dataValidation>
    <dataValidation type="list" allowBlank="1" showInputMessage="1" showErrorMessage="1" sqref="K20:M20">
      <formula1>Operators.list</formula1>
    </dataValidation>
    <dataValidation type="list" allowBlank="1" showInputMessage="1" showErrorMessage="1" sqref="K24:M24">
      <formula1>Depreciation.methodologies</formula1>
    </dataValidation>
    <dataValidation type="decimal" allowBlank="1" showInputMessage="1" showErrorMessage="1" sqref="K42:M42">
      <formula1>1</formula1>
      <formula2>3</formula2>
    </dataValidation>
    <dataValidation type="decimal" allowBlank="1" showInputMessage="1" showErrorMessage="1" sqref="L911:M920 L989:M998">
      <formula1>0</formula1>
      <formula2>L899</formula2>
    </dataValidation>
    <dataValidation type="decimal" allowBlank="1" showInputMessage="1" showErrorMessage="1" sqref="L923:M932 L962:M971 L950:M959 L1028:M1037 L1016:M1025 L1001:M1010">
      <formula1>0</formula1>
      <formula2>L899</formula2>
    </dataValidation>
    <dataValidation type="list" allowBlank="1" showInputMessage="1" showErrorMessage="1" sqref="K873:M882 K779:M788 K790:M799 K801:M810 K817:M826 K828:M837 K840:M849 K851:M860 K862:M871">
      <formula1>Frequencies2</formula1>
    </dataValidation>
    <dataValidation type="list" allowBlank="1" showInputMessage="1" showErrorMessage="1" sqref="K22:M22">
      <formula1>Years</formula1>
    </dataValidation>
  </dataValidations>
  <pageMargins left="0.70866141732283472" right="0.70866141732283472" top="0.51181102362204722" bottom="0.51181102362204722" header="0.51181102362204722" footer="0.35433070866141736"/>
  <pageSetup paperSize="9" orientation="landscape" horizontalDpi="4294967292" verticalDpi="4294967292" r:id="rId1"/>
  <headerFooter alignWithMargins="0">
    <oddFooter xml:space="preserve">&amp;L&amp;F : &amp;A&amp;CPrinted at &amp;T on &amp;D&amp;RCommercial in confidence © Analysys Mason </oddFooter>
  </headerFooter>
  <ignoredErrors>
    <ignoredError sqref="K1054 K1211 K921 K960 K999 K1110 K1122 K1147 K1134:K1135 K1159 K1223 K1235 K1066" formulaRange="1"/>
    <ignoredError sqref="K750:K767" unlockedFormula="1"/>
  </ignoredErrors>
  <drawing r:id="rId2"/>
  <extLst>
    <ext xmlns:x14="http://schemas.microsoft.com/office/spreadsheetml/2009/9/main" uri="{78C0D931-6437-407d-A8EE-F0AAD7539E65}">
      <x14:conditionalFormattings>
        <x14:conditionalFormatting xmlns:xm="http://schemas.microsoft.com/office/excel/2006/main">
          <x14:cfRule type="cellIs" priority="57" operator="equal" id="{A16B5D1E-689D-4619-9D8E-9291D8876A05}">
            <xm:f>Lists!$M$10</xm:f>
            <x14:dxf>
              <font>
                <color theme="0" tint="-0.34998626667073579"/>
              </font>
            </x14:dxf>
          </x14:cfRule>
          <xm:sqref>K828:K832</xm:sqref>
        </x14:conditionalFormatting>
        <x14:conditionalFormatting xmlns:xm="http://schemas.microsoft.com/office/excel/2006/main">
          <x14:cfRule type="cellIs" priority="24" operator="equal" id="{E429DC3A-91BA-478B-908E-AB4C04E3DABD}">
            <xm:f>Lists!$M$10</xm:f>
            <x14:dxf>
              <font>
                <color theme="0" tint="-0.34998626667073579"/>
              </font>
            </x14:dxf>
          </x14:cfRule>
          <xm:sqref>K779:M788</xm:sqref>
        </x14:conditionalFormatting>
        <x14:conditionalFormatting xmlns:xm="http://schemas.microsoft.com/office/excel/2006/main">
          <x14:cfRule type="cellIs" priority="23" operator="equal" id="{A81B13A6-8639-4EDD-850C-E35C81A9748F}">
            <xm:f>Lists!$M$10</xm:f>
            <x14:dxf>
              <font>
                <color theme="0" tint="-0.34998626667073579"/>
              </font>
            </x14:dxf>
          </x14:cfRule>
          <xm:sqref>K790:M794</xm:sqref>
        </x14:conditionalFormatting>
        <x14:conditionalFormatting xmlns:xm="http://schemas.microsoft.com/office/excel/2006/main">
          <x14:cfRule type="cellIs" priority="22" operator="equal" id="{D1372A2C-0685-410D-89F6-937508D4BF17}">
            <xm:f>Lists!$M$10</xm:f>
            <x14:dxf>
              <font>
                <color theme="0" tint="-0.34998626667073579"/>
              </font>
            </x14:dxf>
          </x14:cfRule>
          <xm:sqref>K801:M810</xm:sqref>
        </x14:conditionalFormatting>
        <x14:conditionalFormatting xmlns:xm="http://schemas.microsoft.com/office/excel/2006/main">
          <x14:cfRule type="cellIs" priority="21" operator="equal" id="{E09C1A8C-8C56-4154-A6D7-369536CCE236}">
            <xm:f>Lists!$M$10</xm:f>
            <x14:dxf>
              <font>
                <color theme="0" tint="-0.34998626667073579"/>
              </font>
            </x14:dxf>
          </x14:cfRule>
          <xm:sqref>K817:M826</xm:sqref>
        </x14:conditionalFormatting>
        <x14:conditionalFormatting xmlns:xm="http://schemas.microsoft.com/office/excel/2006/main">
          <x14:cfRule type="cellIs" priority="20" operator="equal" id="{465C4E85-31BA-4114-B3F1-66E71E97EC21}">
            <xm:f>Lists!$M$10</xm:f>
            <x14:dxf>
              <font>
                <color theme="0" tint="-0.34998626667073579"/>
              </font>
            </x14:dxf>
          </x14:cfRule>
          <xm:sqref>K840:M849</xm:sqref>
        </x14:conditionalFormatting>
        <x14:conditionalFormatting xmlns:xm="http://schemas.microsoft.com/office/excel/2006/main">
          <x14:cfRule type="cellIs" priority="19" operator="equal" id="{578C08EB-47FD-40ED-8A4F-646721B65669}">
            <xm:f>Lists!$M$10</xm:f>
            <x14:dxf>
              <font>
                <color theme="0" tint="-0.34998626667073579"/>
              </font>
            </x14:dxf>
          </x14:cfRule>
          <xm:sqref>K851:M860</xm:sqref>
        </x14:conditionalFormatting>
        <x14:conditionalFormatting xmlns:xm="http://schemas.microsoft.com/office/excel/2006/main">
          <x14:cfRule type="cellIs" priority="18" operator="equal" id="{E0C28C21-0CBD-458B-8050-EBA6DDEA947B}">
            <xm:f>Lists!$M$10</xm:f>
            <x14:dxf>
              <font>
                <color theme="0" tint="-0.34998626667073579"/>
              </font>
            </x14:dxf>
          </x14:cfRule>
          <xm:sqref>K862:M871</xm:sqref>
        </x14:conditionalFormatting>
        <x14:conditionalFormatting xmlns:xm="http://schemas.microsoft.com/office/excel/2006/main">
          <x14:cfRule type="cellIs" priority="17" operator="equal" id="{778C9D1F-8062-4F48-8C27-B41DF68A158A}">
            <xm:f>Lists!$M$10</xm:f>
            <x14:dxf>
              <font>
                <color theme="0" tint="-0.34998626667073579"/>
              </font>
            </x14:dxf>
          </x14:cfRule>
          <xm:sqref>K873:M882</xm:sqref>
        </x14:conditionalFormatting>
        <x14:conditionalFormatting xmlns:xm="http://schemas.microsoft.com/office/excel/2006/main">
          <x14:cfRule type="cellIs" priority="2" operator="equal" id="{C174C728-CE4C-4A24-AE31-382AF2C6CDD5}">
            <xm:f>Lists!$M$10</xm:f>
            <x14:dxf>
              <font>
                <color theme="0" tint="-0.34998626667073579"/>
              </font>
            </x14:dxf>
          </x14:cfRule>
          <xm:sqref>K795:M799</xm:sqref>
        </x14:conditionalFormatting>
        <x14:conditionalFormatting xmlns:xm="http://schemas.microsoft.com/office/excel/2006/main">
          <x14:cfRule type="cellIs" priority="1" operator="equal" id="{FAAF2463-B78C-4EAC-AE30-0BE9B58164C4}">
            <xm:f>Lists!$M$10</xm:f>
            <x14:dxf>
              <font>
                <color theme="0" tint="-0.34998626667073579"/>
              </font>
            </x14:dxf>
          </x14:cfRule>
          <xm:sqref>K833:M837 L828:M832</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autoPageBreaks="0"/>
  </sheetPr>
  <dimension ref="A1:AK74"/>
  <sheetViews>
    <sheetView showGridLines="0" defaultGridColor="0" colorId="22" zoomScale="120" zoomScaleNormal="120" workbookViewId="0">
      <pane ySplit="1" topLeftCell="A2" activePane="bottomLeft" state="frozen"/>
      <selection pane="bottomLeft" activeCell="A2" sqref="A2"/>
    </sheetView>
  </sheetViews>
  <sheetFormatPr baseColWidth="10" defaultColWidth="12.7109375" defaultRowHeight="12" x14ac:dyDescent="0.2"/>
  <cols>
    <col min="1" max="1" width="6.7109375" style="86" customWidth="1"/>
    <col min="2" max="12" width="13.140625" style="81" customWidth="1"/>
    <col min="13" max="13" width="13.140625" style="86" customWidth="1"/>
    <col min="14" max="14" width="6.7109375" style="86" customWidth="1"/>
    <col min="15" max="15" width="19.28515625" style="86" customWidth="1"/>
    <col min="16" max="16" width="6.7109375" style="86" customWidth="1"/>
    <col min="17" max="17" width="12.7109375" style="86"/>
    <col min="18" max="18" width="6.7109375" style="86" customWidth="1"/>
    <col min="19" max="19" width="41.28515625" style="86" bestFit="1" customWidth="1"/>
    <col min="20" max="20" width="14.28515625" style="86" customWidth="1"/>
    <col min="21" max="21" width="12.7109375" style="86" customWidth="1"/>
    <col min="22" max="22" width="41" style="86" customWidth="1"/>
    <col min="23" max="23" width="16.5703125" style="86" customWidth="1"/>
    <col min="24" max="24" width="13.28515625" style="86" customWidth="1"/>
    <col min="25" max="25" width="12.7109375" style="86"/>
    <col min="26" max="26" width="35.5703125" style="86" customWidth="1"/>
    <col min="27" max="28" width="12.7109375" style="86"/>
    <col min="29" max="29" width="17.42578125" style="86" customWidth="1"/>
    <col min="30" max="16384" width="12.7109375" style="86"/>
  </cols>
  <sheetData>
    <row r="1" spans="1:37" s="2" customFormat="1" ht="45" customHeight="1" x14ac:dyDescent="0.2">
      <c r="E1" s="746" t="s">
        <v>624</v>
      </c>
      <c r="O1" s="2" t="s">
        <v>0</v>
      </c>
    </row>
    <row r="2" spans="1:37" x14ac:dyDescent="0.2">
      <c r="B2" s="86"/>
      <c r="I2"/>
      <c r="V2"/>
      <c r="W2"/>
      <c r="Z2"/>
      <c r="AA2"/>
    </row>
    <row r="3" spans="1:37" x14ac:dyDescent="0.2">
      <c r="B3" s="83"/>
      <c r="C3"/>
      <c r="D3"/>
      <c r="E3"/>
      <c r="F3"/>
      <c r="I3"/>
      <c r="M3" s="81"/>
      <c r="N3" s="81"/>
      <c r="O3" s="81"/>
      <c r="AG3"/>
    </row>
    <row r="4" spans="1:37" ht="36" x14ac:dyDescent="0.2">
      <c r="B4" s="173" t="s">
        <v>625</v>
      </c>
      <c r="C4" s="173" t="s">
        <v>631</v>
      </c>
      <c r="D4" s="173" t="s">
        <v>626</v>
      </c>
      <c r="E4" s="173" t="s">
        <v>627</v>
      </c>
      <c r="F4" s="173" t="s">
        <v>628</v>
      </c>
      <c r="H4" s="231" t="s">
        <v>632</v>
      </c>
      <c r="I4" s="231" t="s">
        <v>627</v>
      </c>
      <c r="J4" s="231" t="s">
        <v>629</v>
      </c>
      <c r="K4" s="231" t="s">
        <v>630</v>
      </c>
      <c r="M4"/>
      <c r="O4" s="98" t="s">
        <v>634</v>
      </c>
      <c r="Q4" s="5" t="s">
        <v>635</v>
      </c>
      <c r="S4" s="158" t="s">
        <v>640</v>
      </c>
      <c r="T4" s="158" t="s">
        <v>635</v>
      </c>
      <c r="V4" s="98" t="s">
        <v>645</v>
      </c>
      <c r="W4" s="98" t="s">
        <v>644</v>
      </c>
      <c r="X4" s="231" t="s">
        <v>1933</v>
      </c>
      <c r="Z4" s="98" t="s">
        <v>641</v>
      </c>
      <c r="AA4" s="98" t="s">
        <v>635</v>
      </c>
      <c r="AC4" s="5" t="s">
        <v>642</v>
      </c>
      <c r="AE4"/>
      <c r="AF4"/>
      <c r="AG4" s="5" t="s">
        <v>643</v>
      </c>
      <c r="AI4" s="5" t="s">
        <v>694</v>
      </c>
      <c r="AK4" s="231" t="s">
        <v>1658</v>
      </c>
    </row>
    <row r="5" spans="1:37" x14ac:dyDescent="0.2">
      <c r="A5" s="81"/>
      <c r="B5"/>
      <c r="C5" s="97">
        <f t="shared" ref="C5:F5" si="0">SUM(C6:C15)</f>
        <v>1286457.4249500299</v>
      </c>
      <c r="D5" s="101">
        <f t="shared" si="0"/>
        <v>1</v>
      </c>
      <c r="E5" s="97">
        <f t="shared" si="0"/>
        <v>27734855</v>
      </c>
      <c r="F5" s="101">
        <f t="shared" si="0"/>
        <v>1</v>
      </c>
      <c r="I5" s="230">
        <f>SUM(I6:I45)</f>
        <v>27734855</v>
      </c>
      <c r="J5" s="101">
        <f>SUM(J6:J45)</f>
        <v>1.0000000000000002</v>
      </c>
      <c r="K5" s="101">
        <f>SUM(K6:K45)</f>
        <v>1.0000000000000002</v>
      </c>
      <c r="M5"/>
      <c r="N5" s="84"/>
      <c r="O5" s="87" t="s">
        <v>118</v>
      </c>
      <c r="Q5" s="43">
        <v>1000</v>
      </c>
      <c r="S5" s="79" t="s">
        <v>647</v>
      </c>
      <c r="T5" s="79" t="s">
        <v>689</v>
      </c>
      <c r="V5" s="79" t="s">
        <v>657</v>
      </c>
      <c r="W5" s="79" t="s">
        <v>689</v>
      </c>
      <c r="X5" s="91">
        <v>0</v>
      </c>
      <c r="Z5" s="26" t="str">
        <f t="array" ref="Z5:AA18">V5:W18</f>
        <v>2G - Tráfico de voz on-net</v>
      </c>
      <c r="AA5" s="26" t="str">
        <v>minutos</v>
      </c>
      <c r="AC5" s="6" t="s">
        <v>693</v>
      </c>
      <c r="AE5"/>
      <c r="AF5"/>
      <c r="AG5" s="70" t="s">
        <v>646</v>
      </c>
      <c r="AH5" s="88" t="s">
        <v>119</v>
      </c>
      <c r="AI5" s="51" t="b">
        <v>1</v>
      </c>
      <c r="AK5" s="87" t="s">
        <v>1659</v>
      </c>
    </row>
    <row r="6" spans="1:37" x14ac:dyDescent="0.2">
      <c r="A6" s="81"/>
      <c r="B6" s="79" t="s">
        <v>1316</v>
      </c>
      <c r="C6" s="225">
        <v>5720.351973400001</v>
      </c>
      <c r="D6" s="194">
        <f t="array" ref="D6:D15">C6:C15/C5</f>
        <v>4.446592528021048E-3</v>
      </c>
      <c r="E6" s="225">
        <v>12953544</v>
      </c>
      <c r="F6" s="194">
        <f t="array" ref="F6:F15">E6:E15/E5</f>
        <v>0.46704927788517375</v>
      </c>
      <c r="H6" s="79" t="s">
        <v>534</v>
      </c>
      <c r="I6" s="144">
        <v>410233</v>
      </c>
      <c r="J6" s="235">
        <f t="array" ref="J6:J45">$I6:$I45/$I5</f>
        <v>1.4791243725629717E-2</v>
      </c>
      <c r="K6" s="235">
        <f t="array" ref="K6:K45">$I6:$I45/$I5</f>
        <v>1.4791243725629717E-2</v>
      </c>
      <c r="M6"/>
      <c r="O6" s="87" t="s">
        <v>117</v>
      </c>
      <c r="Q6" s="8" t="s">
        <v>28</v>
      </c>
      <c r="S6" s="79" t="s">
        <v>648</v>
      </c>
      <c r="T6" s="79" t="s">
        <v>689</v>
      </c>
      <c r="V6" s="79" t="s">
        <v>658</v>
      </c>
      <c r="W6" s="79" t="s">
        <v>689</v>
      </c>
      <c r="X6" s="91">
        <v>1</v>
      </c>
      <c r="Z6" s="26" t="str">
        <v>2G - Tráfico de voz saliente a fijo</v>
      </c>
      <c r="AA6" s="26" t="str">
        <v>minutos</v>
      </c>
      <c r="AC6" s="6" t="s">
        <v>692</v>
      </c>
      <c r="AE6"/>
      <c r="AF6"/>
      <c r="AG6" s="70" t="s">
        <v>92</v>
      </c>
      <c r="AH6"/>
      <c r="AI6" s="51" t="b">
        <v>0</v>
      </c>
      <c r="AK6" s="87" t="s">
        <v>1660</v>
      </c>
    </row>
    <row r="7" spans="1:37" x14ac:dyDescent="0.2">
      <c r="A7" s="81"/>
      <c r="B7" s="79" t="s">
        <v>1317</v>
      </c>
      <c r="C7" s="225">
        <v>119575.75287945996</v>
      </c>
      <c r="D7" s="194">
        <v>9.2949638721316147E-2</v>
      </c>
      <c r="E7" s="225">
        <v>8834944</v>
      </c>
      <c r="F7" s="194">
        <v>0.3185502141619273</v>
      </c>
      <c r="H7" s="79" t="s">
        <v>528</v>
      </c>
      <c r="I7" s="144">
        <v>1161421</v>
      </c>
      <c r="J7" s="235">
        <v>4.1875863421676443E-2</v>
      </c>
      <c r="K7" s="235">
        <v>4.1875863421676443E-2</v>
      </c>
      <c r="M7"/>
      <c r="O7" s="87" t="s">
        <v>116</v>
      </c>
      <c r="Q7" s="1"/>
      <c r="S7" s="79" t="s">
        <v>649</v>
      </c>
      <c r="T7" s="79" t="s">
        <v>689</v>
      </c>
      <c r="V7" s="79" t="s">
        <v>659</v>
      </c>
      <c r="W7" s="79" t="s">
        <v>689</v>
      </c>
      <c r="X7" s="91">
        <v>1</v>
      </c>
      <c r="Z7" s="26" t="str">
        <v>2G - Tráfico de voz saliente a móvil</v>
      </c>
      <c r="AA7" s="26" t="str">
        <v>minutos</v>
      </c>
      <c r="AC7" s="6" t="s">
        <v>691</v>
      </c>
      <c r="AE7"/>
      <c r="AF7"/>
      <c r="AG7" s="70" t="s">
        <v>92</v>
      </c>
      <c r="AH7"/>
      <c r="AI7" s="8" t="s">
        <v>72</v>
      </c>
      <c r="AK7" s="87" t="s">
        <v>1661</v>
      </c>
    </row>
    <row r="8" spans="1:37" x14ac:dyDescent="0.2">
      <c r="A8" s="81"/>
      <c r="B8" s="79" t="s">
        <v>1318</v>
      </c>
      <c r="C8" s="225">
        <v>605558.32754944009</v>
      </c>
      <c r="D8" s="194">
        <v>0.47071773679021045</v>
      </c>
      <c r="E8" s="225">
        <v>5471899</v>
      </c>
      <c r="F8" s="194">
        <v>0.19729322543781103</v>
      </c>
      <c r="H8" s="79" t="s">
        <v>535</v>
      </c>
      <c r="I8" s="144">
        <v>667614</v>
      </c>
      <c r="J8" s="235">
        <v>2.4071299453341292E-2</v>
      </c>
      <c r="K8" s="235">
        <v>2.4071299453341292E-2</v>
      </c>
      <c r="M8"/>
      <c r="O8" s="87" t="s">
        <v>421</v>
      </c>
      <c r="Q8" s="6">
        <v>1024</v>
      </c>
      <c r="S8" s="79" t="s">
        <v>650</v>
      </c>
      <c r="T8" s="79" t="s">
        <v>689</v>
      </c>
      <c r="V8" s="79" t="s">
        <v>660</v>
      </c>
      <c r="W8" s="79" t="s">
        <v>689</v>
      </c>
      <c r="X8" s="91">
        <v>1</v>
      </c>
      <c r="Z8" s="26" t="str">
        <v>2G - Tráfico de voz saliente a internacional</v>
      </c>
      <c r="AA8" s="26" t="str">
        <v>minutos</v>
      </c>
      <c r="AC8" s="8" t="s">
        <v>49</v>
      </c>
      <c r="AG8" s="8" t="s">
        <v>48</v>
      </c>
      <c r="AK8" s="87" t="s">
        <v>1662</v>
      </c>
    </row>
    <row r="9" spans="1:37" x14ac:dyDescent="0.2">
      <c r="A9" s="81"/>
      <c r="B9" s="79" t="s">
        <v>1319</v>
      </c>
      <c r="C9" s="225">
        <v>555602.99254772987</v>
      </c>
      <c r="D9" s="194">
        <v>0.43188603196045233</v>
      </c>
      <c r="E9" s="225">
        <v>474468</v>
      </c>
      <c r="F9" s="194">
        <v>1.7107282515087963E-2</v>
      </c>
      <c r="H9" s="79" t="s">
        <v>524</v>
      </c>
      <c r="I9" s="144">
        <v>1391217</v>
      </c>
      <c r="J9" s="235">
        <v>5.0161322278411045E-2</v>
      </c>
      <c r="K9" s="235">
        <v>5.0161322278411045E-2</v>
      </c>
      <c r="M9"/>
      <c r="N9" s="84"/>
      <c r="O9" s="88" t="s">
        <v>115</v>
      </c>
      <c r="Q9" s="8" t="s">
        <v>29</v>
      </c>
      <c r="S9" s="79" t="s">
        <v>651</v>
      </c>
      <c r="T9" s="79" t="s">
        <v>689</v>
      </c>
      <c r="V9" s="79" t="s">
        <v>661</v>
      </c>
      <c r="W9" s="79" t="s">
        <v>689</v>
      </c>
      <c r="X9" s="91">
        <v>1</v>
      </c>
      <c r="Z9" s="26" t="str">
        <v>2G - Tráfico de voz entrante desde fijo</v>
      </c>
      <c r="AA9" s="26" t="str">
        <v>minutos</v>
      </c>
      <c r="AG9"/>
      <c r="AK9" s="87" t="s">
        <v>1663</v>
      </c>
    </row>
    <row r="10" spans="1:37" x14ac:dyDescent="0.2">
      <c r="A10" s="81"/>
      <c r="B10" s="79" t="s">
        <v>1387</v>
      </c>
      <c r="C10" s="193">
        <v>0</v>
      </c>
      <c r="D10" s="194">
        <v>0</v>
      </c>
      <c r="E10" s="193">
        <v>0</v>
      </c>
      <c r="F10" s="194">
        <v>0</v>
      </c>
      <c r="H10" s="79" t="s">
        <v>519</v>
      </c>
      <c r="I10" s="144">
        <v>886436</v>
      </c>
      <c r="J10" s="235">
        <v>3.1961082904525734E-2</v>
      </c>
      <c r="K10" s="235">
        <v>3.1961082904525734E-2</v>
      </c>
      <c r="M10"/>
      <c r="Q10" s="1"/>
      <c r="S10" s="79" t="s">
        <v>652</v>
      </c>
      <c r="T10" s="79" t="s">
        <v>689</v>
      </c>
      <c r="V10" s="79" t="s">
        <v>662</v>
      </c>
      <c r="W10" s="79" t="s">
        <v>689</v>
      </c>
      <c r="X10" s="91">
        <v>1</v>
      </c>
      <c r="Z10" s="26" t="str">
        <v>2G - Tráfico de voz entrante desde móvil</v>
      </c>
      <c r="AA10" s="26" t="str">
        <v>minutos</v>
      </c>
      <c r="AG10"/>
      <c r="AK10" s="88" t="s">
        <v>1664</v>
      </c>
    </row>
    <row r="11" spans="1:37" x14ac:dyDescent="0.2">
      <c r="A11" s="81"/>
      <c r="B11" s="79" t="s">
        <v>1</v>
      </c>
      <c r="C11" s="193">
        <v>0</v>
      </c>
      <c r="D11" s="194">
        <v>0</v>
      </c>
      <c r="E11" s="193">
        <v>0</v>
      </c>
      <c r="F11" s="194">
        <v>0</v>
      </c>
      <c r="H11" s="79" t="s">
        <v>526</v>
      </c>
      <c r="I11" s="144">
        <v>283137</v>
      </c>
      <c r="J11" s="235">
        <v>1.0208706697763519E-2</v>
      </c>
      <c r="K11" s="235">
        <v>1.0208706697763519E-2</v>
      </c>
      <c r="M11"/>
      <c r="Q11" s="44">
        <v>8</v>
      </c>
      <c r="S11" s="79" t="s">
        <v>653</v>
      </c>
      <c r="T11" s="79" t="s">
        <v>689</v>
      </c>
      <c r="V11" s="79" t="s">
        <v>663</v>
      </c>
      <c r="W11" s="79" t="s">
        <v>689</v>
      </c>
      <c r="X11" s="91">
        <v>1</v>
      </c>
      <c r="Z11" s="191" t="str">
        <v>2G - Tráfico de voz entrante desde internacional</v>
      </c>
      <c r="AA11" s="191" t="str">
        <v>minutos</v>
      </c>
      <c r="AG11"/>
    </row>
    <row r="12" spans="1:37" x14ac:dyDescent="0.2">
      <c r="A12" s="81"/>
      <c r="B12" s="79" t="s">
        <v>1</v>
      </c>
      <c r="C12" s="193">
        <v>0</v>
      </c>
      <c r="D12" s="194">
        <v>0</v>
      </c>
      <c r="E12" s="193">
        <v>0</v>
      </c>
      <c r="F12" s="194">
        <v>0</v>
      </c>
      <c r="H12" s="79" t="s">
        <v>523</v>
      </c>
      <c r="I12" s="144">
        <v>381448</v>
      </c>
      <c r="J12" s="235">
        <v>1.3753379997840263E-2</v>
      </c>
      <c r="K12" s="235">
        <v>1.3753379997840263E-2</v>
      </c>
      <c r="O12" s="98" t="s">
        <v>638</v>
      </c>
      <c r="Q12" s="8" t="s">
        <v>30</v>
      </c>
      <c r="S12" s="79" t="s">
        <v>1</v>
      </c>
      <c r="T12" s="79" t="s">
        <v>1</v>
      </c>
      <c r="V12" s="79" t="s">
        <v>664</v>
      </c>
      <c r="W12" s="79" t="s">
        <v>689</v>
      </c>
      <c r="X12" s="91">
        <v>0</v>
      </c>
      <c r="Z12" s="191" t="str">
        <v>3G - Tráfico de voz on-net</v>
      </c>
      <c r="AA12" s="191" t="str">
        <v>minutos</v>
      </c>
    </row>
    <row r="13" spans="1:37" x14ac:dyDescent="0.2">
      <c r="A13" s="81"/>
      <c r="B13" s="79" t="s">
        <v>1</v>
      </c>
      <c r="C13" s="193">
        <v>0</v>
      </c>
      <c r="D13" s="194">
        <v>0</v>
      </c>
      <c r="E13" s="193">
        <v>0</v>
      </c>
      <c r="F13" s="194">
        <v>0</v>
      </c>
      <c r="H13" s="79" t="s">
        <v>521</v>
      </c>
      <c r="I13" s="144">
        <v>1121901</v>
      </c>
      <c r="J13" s="235">
        <v>4.045094160398531E-2</v>
      </c>
      <c r="K13" s="235">
        <v>4.045094160398531E-2</v>
      </c>
      <c r="M13" s="231" t="s">
        <v>633</v>
      </c>
      <c r="O13" s="51" t="s">
        <v>114</v>
      </c>
      <c r="Q13" s="1"/>
      <c r="S13" s="79" t="s">
        <v>1</v>
      </c>
      <c r="T13" s="79" t="s">
        <v>1</v>
      </c>
      <c r="V13" s="79" t="s">
        <v>665</v>
      </c>
      <c r="W13" s="79" t="s">
        <v>689</v>
      </c>
      <c r="X13" s="91">
        <v>1</v>
      </c>
      <c r="Z13" s="26" t="str">
        <v>3G - Tráfico de voz saliente a fijo</v>
      </c>
      <c r="AA13" s="26" t="str">
        <v>minutos</v>
      </c>
      <c r="AG13"/>
    </row>
    <row r="14" spans="1:37" x14ac:dyDescent="0.2">
      <c r="A14" s="81"/>
      <c r="B14" s="79" t="s">
        <v>1</v>
      </c>
      <c r="C14" s="193">
        <v>0</v>
      </c>
      <c r="D14" s="194">
        <v>0</v>
      </c>
      <c r="E14" s="193">
        <v>0</v>
      </c>
      <c r="F14" s="194">
        <v>0</v>
      </c>
      <c r="H14" s="79" t="s">
        <v>533</v>
      </c>
      <c r="I14" s="144">
        <v>1197393</v>
      </c>
      <c r="J14" s="235">
        <v>4.3172859566058666E-2</v>
      </c>
      <c r="K14" s="235">
        <v>4.3172859566058666E-2</v>
      </c>
      <c r="M14" s="87">
        <v>850</v>
      </c>
      <c r="O14" s="51" t="s">
        <v>80</v>
      </c>
      <c r="Q14" s="45">
        <v>1E-4</v>
      </c>
      <c r="S14" s="79" t="s">
        <v>654</v>
      </c>
      <c r="T14" s="79" t="s">
        <v>5</v>
      </c>
      <c r="V14" s="79" t="s">
        <v>666</v>
      </c>
      <c r="W14" s="79" t="s">
        <v>689</v>
      </c>
      <c r="X14" s="91">
        <v>1</v>
      </c>
      <c r="Z14" s="26" t="str">
        <v>3G - Tráfico de voz saliente a móvil</v>
      </c>
      <c r="AA14" s="26" t="str">
        <v>minutos</v>
      </c>
      <c r="AG14"/>
    </row>
    <row r="15" spans="1:37" x14ac:dyDescent="0.2">
      <c r="A15" s="81"/>
      <c r="B15" s="79" t="s">
        <v>1</v>
      </c>
      <c r="C15" s="193">
        <v>0</v>
      </c>
      <c r="D15" s="194">
        <v>0</v>
      </c>
      <c r="E15" s="193">
        <v>0</v>
      </c>
      <c r="F15" s="194">
        <v>0</v>
      </c>
      <c r="H15" s="79" t="s">
        <v>536</v>
      </c>
      <c r="I15" s="144">
        <v>455730</v>
      </c>
      <c r="J15" s="235">
        <v>1.6431670545961029E-2</v>
      </c>
      <c r="K15" s="235">
        <v>1.6431670545961029E-2</v>
      </c>
      <c r="M15" s="87">
        <v>900</v>
      </c>
      <c r="O15" s="51" t="s">
        <v>511</v>
      </c>
      <c r="Q15" s="8" t="s">
        <v>31</v>
      </c>
      <c r="S15" s="79" t="s">
        <v>655</v>
      </c>
      <c r="T15" s="79" t="s">
        <v>5</v>
      </c>
      <c r="V15" s="79" t="s">
        <v>667</v>
      </c>
      <c r="W15" s="79" t="s">
        <v>689</v>
      </c>
      <c r="X15" s="91">
        <v>1</v>
      </c>
      <c r="Z15" s="26" t="str">
        <v>3G - Tráfico de voz saliente a internacional</v>
      </c>
      <c r="AA15" s="26" t="str">
        <v>minutos</v>
      </c>
      <c r="AG15"/>
    </row>
    <row r="16" spans="1:37" x14ac:dyDescent="0.2">
      <c r="A16" s="81"/>
      <c r="B16" s="85" t="s">
        <v>86</v>
      </c>
      <c r="C16" s="85" t="s">
        <v>458</v>
      </c>
      <c r="D16" s="86"/>
      <c r="F16"/>
      <c r="H16" s="79" t="s">
        <v>537</v>
      </c>
      <c r="I16" s="144">
        <v>1196922</v>
      </c>
      <c r="J16" s="235">
        <v>4.3155877324759763E-2</v>
      </c>
      <c r="K16" s="235">
        <v>4.3155877324759763E-2</v>
      </c>
      <c r="M16" s="87">
        <v>1900</v>
      </c>
      <c r="O16" s="51" t="s">
        <v>512</v>
      </c>
      <c r="Q16" s="1"/>
      <c r="S16" s="79" t="s">
        <v>656</v>
      </c>
      <c r="T16" s="79" t="s">
        <v>5</v>
      </c>
      <c r="V16" s="79" t="s">
        <v>668</v>
      </c>
      <c r="W16" s="79" t="s">
        <v>689</v>
      </c>
      <c r="X16" s="91">
        <v>1</v>
      </c>
      <c r="Z16" s="26" t="str">
        <v>3G - Tráfico de voz entrante desde fijo</v>
      </c>
      <c r="AA16" s="26" t="str">
        <v>minutos</v>
      </c>
      <c r="AG16"/>
    </row>
    <row r="17" spans="1:33" x14ac:dyDescent="0.2">
      <c r="A17" s="81"/>
      <c r="H17" s="79" t="s">
        <v>525</v>
      </c>
      <c r="I17" s="144">
        <v>1068237</v>
      </c>
      <c r="J17" s="235">
        <v>3.8516047767331037E-2</v>
      </c>
      <c r="K17" s="235">
        <v>3.8516047767331037E-2</v>
      </c>
      <c r="M17" s="87" t="s">
        <v>984</v>
      </c>
      <c r="O17" s="88" t="s">
        <v>81</v>
      </c>
      <c r="Q17" s="43">
        <v>60</v>
      </c>
      <c r="S17" s="79" t="s">
        <v>1</v>
      </c>
      <c r="T17" s="79" t="s">
        <v>1</v>
      </c>
      <c r="V17" s="79" t="s">
        <v>669</v>
      </c>
      <c r="W17" s="79" t="s">
        <v>689</v>
      </c>
      <c r="X17" s="91">
        <v>1</v>
      </c>
      <c r="Z17" s="26" t="str">
        <v>3G - Tráfico de voz entrante desde móvil</v>
      </c>
      <c r="AA17" s="26" t="str">
        <v>minutos</v>
      </c>
      <c r="AG17"/>
    </row>
    <row r="18" spans="1:33" x14ac:dyDescent="0.2">
      <c r="A18" s="81"/>
      <c r="H18" s="79" t="s">
        <v>527</v>
      </c>
      <c r="I18" s="144">
        <v>716931</v>
      </c>
      <c r="J18" s="235">
        <v>2.5849459101192344E-2</v>
      </c>
      <c r="K18" s="235">
        <v>2.5849459101192344E-2</v>
      </c>
      <c r="M18" s="51" t="s">
        <v>92</v>
      </c>
      <c r="Q18" s="8" t="s">
        <v>438</v>
      </c>
      <c r="S18" s="79" t="s">
        <v>1</v>
      </c>
      <c r="T18" s="79" t="s">
        <v>1</v>
      </c>
      <c r="V18" s="79" t="s">
        <v>670</v>
      </c>
      <c r="W18" s="79" t="s">
        <v>689</v>
      </c>
      <c r="X18" s="91">
        <v>1</v>
      </c>
      <c r="Z18" s="26" t="str">
        <v>3G - Tráfico de voz entrante desde internacional</v>
      </c>
      <c r="AA18" s="26" t="str">
        <v>minutos</v>
      </c>
      <c r="AG18"/>
    </row>
    <row r="19" spans="1:33" ht="12.75" customHeight="1" x14ac:dyDescent="0.2">
      <c r="A19" s="81"/>
      <c r="H19" s="79" t="s">
        <v>542</v>
      </c>
      <c r="I19" s="144">
        <v>903417</v>
      </c>
      <c r="J19" s="235">
        <v>3.2573344984136388E-2</v>
      </c>
      <c r="K19" s="235">
        <v>3.2573344984136388E-2</v>
      </c>
      <c r="M19" s="88" t="s">
        <v>1985</v>
      </c>
      <c r="O19" s="98" t="s">
        <v>636</v>
      </c>
      <c r="S19" s="79" t="s">
        <v>623</v>
      </c>
      <c r="T19" s="79" t="s">
        <v>102</v>
      </c>
      <c r="V19" s="79" t="s">
        <v>671</v>
      </c>
      <c r="W19" s="79" t="s">
        <v>689</v>
      </c>
      <c r="X19" s="91">
        <v>0</v>
      </c>
      <c r="Z19" s="88" t="s">
        <v>23</v>
      </c>
      <c r="AA19" s="88" t="s">
        <v>113</v>
      </c>
      <c r="AG19"/>
    </row>
    <row r="20" spans="1:33" x14ac:dyDescent="0.2">
      <c r="A20" s="81"/>
      <c r="E20" s="100"/>
      <c r="H20" s="79" t="s">
        <v>518</v>
      </c>
      <c r="I20" s="144">
        <v>8452087</v>
      </c>
      <c r="J20" s="235">
        <v>0.30474603166304637</v>
      </c>
      <c r="K20" s="235">
        <v>0.30474603166304637</v>
      </c>
      <c r="O20" s="87" t="s">
        <v>82</v>
      </c>
      <c r="Q20" s="43">
        <v>60</v>
      </c>
      <c r="S20" s="79" t="s">
        <v>1</v>
      </c>
      <c r="T20" s="79" t="s">
        <v>1</v>
      </c>
      <c r="V20" s="79" t="s">
        <v>672</v>
      </c>
      <c r="W20" s="79" t="s">
        <v>689</v>
      </c>
      <c r="X20" s="91">
        <v>1</v>
      </c>
      <c r="Z20"/>
      <c r="AA20"/>
      <c r="AG20"/>
    </row>
    <row r="21" spans="1:33" x14ac:dyDescent="0.2">
      <c r="A21" s="81"/>
      <c r="E21" s="100"/>
      <c r="H21" s="79" t="s">
        <v>529</v>
      </c>
      <c r="I21" s="144">
        <v>162463</v>
      </c>
      <c r="J21" s="235">
        <v>5.8577194652721281E-3</v>
      </c>
      <c r="K21" s="235">
        <v>5.8577194652721281E-3</v>
      </c>
      <c r="O21" s="87" t="s">
        <v>66</v>
      </c>
      <c r="Q21" s="88" t="s">
        <v>440</v>
      </c>
      <c r="S21" s="79" t="s">
        <v>687</v>
      </c>
      <c r="T21" s="79" t="s">
        <v>100</v>
      </c>
      <c r="V21" s="79" t="s">
        <v>673</v>
      </c>
      <c r="W21" s="79" t="s">
        <v>689</v>
      </c>
      <c r="X21" s="91">
        <v>1</v>
      </c>
      <c r="Z21" s="26" t="str">
        <f t="array" ref="Z21:AA27">V19:W25</f>
        <v>4G - Tráfico de voz on-net</v>
      </c>
      <c r="AA21" s="26" t="str">
        <v>minutos</v>
      </c>
      <c r="AG21"/>
    </row>
    <row r="22" spans="1:33" x14ac:dyDescent="0.2">
      <c r="A22" s="81"/>
      <c r="E22" s="100"/>
      <c r="H22" s="79" t="s">
        <v>522</v>
      </c>
      <c r="I22" s="144">
        <v>1816061</v>
      </c>
      <c r="J22" s="235">
        <v>6.5479376041446768E-2</v>
      </c>
      <c r="K22" s="235">
        <v>6.5479376041446768E-2</v>
      </c>
      <c r="O22" s="88" t="s">
        <v>67</v>
      </c>
      <c r="S22" s="79" t="s">
        <v>688</v>
      </c>
      <c r="T22" s="79" t="s">
        <v>100</v>
      </c>
      <c r="V22" s="79" t="s">
        <v>674</v>
      </c>
      <c r="W22" s="79" t="s">
        <v>689</v>
      </c>
      <c r="X22" s="91">
        <v>1</v>
      </c>
      <c r="Z22" s="26" t="str">
        <v>4G - Tráfico de voz saliente a fijo</v>
      </c>
      <c r="AA22" s="26" t="str">
        <v>minutos</v>
      </c>
      <c r="AG22"/>
    </row>
    <row r="23" spans="1:33" x14ac:dyDescent="0.2">
      <c r="A23" s="81"/>
      <c r="C23"/>
      <c r="E23" s="100"/>
      <c r="H23" s="79" t="s">
        <v>539</v>
      </c>
      <c r="I23" s="144">
        <v>442535</v>
      </c>
      <c r="J23" s="235">
        <v>1.5955915399593762E-2</v>
      </c>
      <c r="K23" s="235">
        <v>1.5955915399593762E-2</v>
      </c>
      <c r="Q23" s="43">
        <v>3600</v>
      </c>
      <c r="S23" s="79" t="s">
        <v>1</v>
      </c>
      <c r="T23" s="79" t="s">
        <v>1</v>
      </c>
      <c r="V23" s="79" t="s">
        <v>675</v>
      </c>
      <c r="W23" s="79" t="s">
        <v>689</v>
      </c>
      <c r="X23" s="91">
        <v>1</v>
      </c>
      <c r="Z23" s="26" t="str">
        <v>4G - Tráfico de voz saliente a móvil</v>
      </c>
      <c r="AA23" s="26" t="str">
        <v>minutos</v>
      </c>
      <c r="AG23"/>
    </row>
    <row r="24" spans="1:33" x14ac:dyDescent="0.2">
      <c r="A24" s="81"/>
      <c r="C24"/>
      <c r="E24" s="100"/>
      <c r="H24" s="79" t="s">
        <v>532</v>
      </c>
      <c r="I24" s="144">
        <v>109912</v>
      </c>
      <c r="J24" s="235">
        <v>3.9629556383114313E-3</v>
      </c>
      <c r="K24" s="235">
        <v>3.9629556383114313E-3</v>
      </c>
      <c r="O24" s="239" t="s">
        <v>637</v>
      </c>
      <c r="Q24" s="88" t="s">
        <v>439</v>
      </c>
      <c r="S24" s="79" t="s">
        <v>1</v>
      </c>
      <c r="T24" s="79" t="s">
        <v>1</v>
      </c>
      <c r="V24" s="79" t="s">
        <v>676</v>
      </c>
      <c r="W24" s="79" t="s">
        <v>689</v>
      </c>
      <c r="X24" s="91">
        <v>1</v>
      </c>
      <c r="Z24" s="26" t="str">
        <v>4G - Tráfico de voz saliente a internacional</v>
      </c>
      <c r="AA24" s="26" t="str">
        <v>minutos</v>
      </c>
    </row>
    <row r="25" spans="1:33" x14ac:dyDescent="0.2">
      <c r="A25" s="81"/>
      <c r="C25"/>
      <c r="E25" s="100"/>
      <c r="H25" s="79" t="s">
        <v>531</v>
      </c>
      <c r="I25" s="144">
        <v>1288335</v>
      </c>
      <c r="J25" s="235">
        <v>4.645183830959275E-2</v>
      </c>
      <c r="K25" s="235">
        <v>4.645183830959275E-2</v>
      </c>
      <c r="O25" s="51" t="s">
        <v>1500</v>
      </c>
      <c r="S25" s="88" t="s">
        <v>400</v>
      </c>
      <c r="T25" s="88" t="s">
        <v>399</v>
      </c>
      <c r="V25" s="79" t="s">
        <v>677</v>
      </c>
      <c r="W25" s="79" t="s">
        <v>689</v>
      </c>
      <c r="X25" s="91">
        <v>1</v>
      </c>
      <c r="Z25" s="26" t="str">
        <v>4G - Tráfico de voz entrante desde fijo</v>
      </c>
      <c r="AA25" s="26" t="str">
        <v>minutos</v>
      </c>
    </row>
    <row r="26" spans="1:33" x14ac:dyDescent="0.2">
      <c r="A26" s="81"/>
      <c r="C26"/>
      <c r="E26" s="100"/>
      <c r="H26" s="79" t="s">
        <v>530</v>
      </c>
      <c r="I26" s="144">
        <v>289503</v>
      </c>
      <c r="J26" s="235">
        <v>1.0438237373153745E-2</v>
      </c>
      <c r="K26" s="235">
        <v>1.0438237373153745E-2</v>
      </c>
      <c r="O26" s="51" t="s">
        <v>1501</v>
      </c>
      <c r="Q26" s="87" t="s">
        <v>112</v>
      </c>
      <c r="V26" s="79" t="s">
        <v>678</v>
      </c>
      <c r="W26" s="79" t="s">
        <v>5</v>
      </c>
      <c r="X26" s="91">
        <v>0</v>
      </c>
      <c r="Z26" s="26" t="str">
        <v>4G - Tráfico de voz entrante desde móvil</v>
      </c>
      <c r="AA26" s="26" t="str">
        <v>minutos</v>
      </c>
    </row>
    <row r="27" spans="1:33" x14ac:dyDescent="0.2">
      <c r="A27" s="81"/>
      <c r="C27"/>
      <c r="E27" s="100"/>
      <c r="H27" s="79" t="s">
        <v>540</v>
      </c>
      <c r="I27" s="144">
        <v>740074</v>
      </c>
      <c r="J27" s="235">
        <v>2.6683896490535104E-2</v>
      </c>
      <c r="K27" s="235">
        <v>2.6683896490535104E-2</v>
      </c>
      <c r="O27" s="51" t="s">
        <v>1502</v>
      </c>
      <c r="Q27" s="87" t="s">
        <v>111</v>
      </c>
      <c r="V27" s="79" t="s">
        <v>679</v>
      </c>
      <c r="W27" s="79" t="s">
        <v>5</v>
      </c>
      <c r="X27" s="91">
        <v>0</v>
      </c>
      <c r="Z27" s="26" t="str">
        <v>4G - Tráfico de voz entrante desde internacional</v>
      </c>
      <c r="AA27" s="26" t="str">
        <v>minutos</v>
      </c>
    </row>
    <row r="28" spans="1:33" x14ac:dyDescent="0.2">
      <c r="A28" s="81"/>
      <c r="H28" s="79" t="s">
        <v>538</v>
      </c>
      <c r="I28" s="144">
        <v>766373</v>
      </c>
      <c r="J28" s="235">
        <v>2.7632125713294698E-2</v>
      </c>
      <c r="K28" s="235">
        <v>2.7632125713294698E-2</v>
      </c>
      <c r="O28" s="88" t="s">
        <v>64</v>
      </c>
      <c r="Q28" s="88" t="s">
        <v>110</v>
      </c>
      <c r="V28" s="79" t="s">
        <v>680</v>
      </c>
      <c r="W28" s="79" t="s">
        <v>5</v>
      </c>
      <c r="X28" s="91">
        <v>0</v>
      </c>
      <c r="Z28" s="88" t="s">
        <v>419</v>
      </c>
      <c r="AA28" s="88" t="s">
        <v>420</v>
      </c>
    </row>
    <row r="29" spans="1:33" x14ac:dyDescent="0.2">
      <c r="A29" s="81"/>
      <c r="H29" s="79" t="s">
        <v>520</v>
      </c>
      <c r="I29" s="144">
        <v>1622159</v>
      </c>
      <c r="J29" s="235">
        <v>5.848810098340157E-2</v>
      </c>
      <c r="K29" s="235">
        <v>5.848810098340157E-2</v>
      </c>
      <c r="V29" s="79" t="s">
        <v>681</v>
      </c>
      <c r="W29" s="79" t="s">
        <v>5</v>
      </c>
      <c r="X29" s="91">
        <v>0</v>
      </c>
    </row>
    <row r="30" spans="1:33" x14ac:dyDescent="0.2">
      <c r="A30" s="81"/>
      <c r="H30" s="79" t="s">
        <v>1679</v>
      </c>
      <c r="I30" s="144">
        <v>203316</v>
      </c>
      <c r="J30" s="235">
        <v>7.3307035497391275E-3</v>
      </c>
      <c r="K30" s="235">
        <v>7.3307035497391275E-3</v>
      </c>
      <c r="Q30" s="43">
        <v>1000000</v>
      </c>
      <c r="V30" s="79" t="s">
        <v>682</v>
      </c>
      <c r="W30" s="79" t="s">
        <v>5</v>
      </c>
      <c r="X30" s="91">
        <v>0</v>
      </c>
      <c r="Z30" s="26" t="str">
        <f t="array" ref="Z30:AA38">V26:W34</f>
        <v>2G - SMSs on-net</v>
      </c>
      <c r="AA30" s="26" t="str">
        <v>SMS</v>
      </c>
    </row>
    <row r="31" spans="1:33" ht="13.5" customHeight="1" x14ac:dyDescent="0.2">
      <c r="A31" s="81"/>
      <c r="H31" s="79" t="s">
        <v>1</v>
      </c>
      <c r="I31" s="225">
        <v>0</v>
      </c>
      <c r="J31" s="235">
        <v>0</v>
      </c>
      <c r="K31" s="235">
        <v>0</v>
      </c>
      <c r="O31" s="98" t="s">
        <v>639</v>
      </c>
      <c r="Q31" s="88" t="s">
        <v>109</v>
      </c>
      <c r="V31" s="79" t="s">
        <v>683</v>
      </c>
      <c r="W31" s="79" t="s">
        <v>5</v>
      </c>
      <c r="X31" s="91">
        <v>0</v>
      </c>
      <c r="Z31" s="26" t="str">
        <v>2G - SMS salientes</v>
      </c>
      <c r="AA31" s="26" t="str">
        <v>SMS</v>
      </c>
    </row>
    <row r="32" spans="1:33" x14ac:dyDescent="0.2">
      <c r="A32" s="81"/>
      <c r="H32" s="79" t="s">
        <v>1</v>
      </c>
      <c r="I32" s="225">
        <v>0</v>
      </c>
      <c r="J32" s="235">
        <v>0</v>
      </c>
      <c r="K32" s="235">
        <v>0</v>
      </c>
      <c r="O32" s="51" t="s">
        <v>63</v>
      </c>
      <c r="Q32" s="148">
        <v>12</v>
      </c>
      <c r="V32" s="79" t="s">
        <v>684</v>
      </c>
      <c r="W32" s="79" t="s">
        <v>5</v>
      </c>
      <c r="X32" s="91">
        <v>0</v>
      </c>
      <c r="Z32" s="26" t="str">
        <v>2G - SMS entrantes</v>
      </c>
      <c r="AA32" s="26" t="str">
        <v>SMS</v>
      </c>
    </row>
    <row r="33" spans="1:28" x14ac:dyDescent="0.2">
      <c r="A33" s="81"/>
      <c r="H33" s="79" t="s">
        <v>1</v>
      </c>
      <c r="I33" s="225">
        <v>0</v>
      </c>
      <c r="J33" s="235">
        <v>0</v>
      </c>
      <c r="K33" s="235">
        <v>0</v>
      </c>
      <c r="O33" s="51" t="s">
        <v>91</v>
      </c>
      <c r="Q33" s="88" t="s">
        <v>401</v>
      </c>
      <c r="V33" s="79" t="s">
        <v>685</v>
      </c>
      <c r="W33" s="79" t="s">
        <v>5</v>
      </c>
      <c r="X33" s="91">
        <v>0</v>
      </c>
      <c r="Z33" s="26" t="str">
        <v>3G - SMSs on-net</v>
      </c>
      <c r="AA33" s="26" t="str">
        <v>SMS</v>
      </c>
      <c r="AB33" s="81"/>
    </row>
    <row r="34" spans="1:28" x14ac:dyDescent="0.2">
      <c r="A34" s="81"/>
      <c r="H34" s="79" t="s">
        <v>1</v>
      </c>
      <c r="I34" s="225">
        <v>0</v>
      </c>
      <c r="J34" s="235">
        <v>0</v>
      </c>
      <c r="K34" s="235">
        <v>0</v>
      </c>
      <c r="O34" s="88" t="s">
        <v>68</v>
      </c>
      <c r="V34" s="79" t="s">
        <v>686</v>
      </c>
      <c r="W34" s="79" t="s">
        <v>5</v>
      </c>
      <c r="X34" s="91">
        <v>0</v>
      </c>
      <c r="Z34" s="26" t="str">
        <v>3G - SMS salientes</v>
      </c>
      <c r="AA34" s="26" t="str">
        <v>SMS</v>
      </c>
    </row>
    <row r="35" spans="1:28" x14ac:dyDescent="0.2">
      <c r="A35" s="81"/>
      <c r="H35" s="79" t="s">
        <v>1</v>
      </c>
      <c r="I35" s="225">
        <v>0</v>
      </c>
      <c r="J35" s="235">
        <v>0</v>
      </c>
      <c r="K35" s="235">
        <v>0</v>
      </c>
      <c r="V35" s="79" t="s">
        <v>107</v>
      </c>
      <c r="W35" s="79" t="s">
        <v>102</v>
      </c>
      <c r="X35" s="91">
        <v>0</v>
      </c>
      <c r="Z35" s="26" t="str">
        <v>3G - SMS entrantes</v>
      </c>
      <c r="AA35" s="26" t="str">
        <v>SMS</v>
      </c>
    </row>
    <row r="36" spans="1:28" x14ac:dyDescent="0.2">
      <c r="A36" s="81"/>
      <c r="H36" s="79" t="s">
        <v>1</v>
      </c>
      <c r="I36" s="225">
        <v>0</v>
      </c>
      <c r="J36" s="235">
        <v>0</v>
      </c>
      <c r="K36" s="235">
        <v>0</v>
      </c>
      <c r="O36" s="81"/>
      <c r="V36" s="79" t="s">
        <v>106</v>
      </c>
      <c r="W36" s="79" t="s">
        <v>102</v>
      </c>
      <c r="X36" s="91">
        <v>0</v>
      </c>
      <c r="Z36" s="191" t="str">
        <v>4G - SMSs on-net</v>
      </c>
      <c r="AA36" s="191" t="str">
        <v>SMS</v>
      </c>
    </row>
    <row r="37" spans="1:28" x14ac:dyDescent="0.2">
      <c r="A37" s="81"/>
      <c r="H37" s="79" t="s">
        <v>1</v>
      </c>
      <c r="I37" s="225">
        <v>0</v>
      </c>
      <c r="J37" s="235">
        <v>0</v>
      </c>
      <c r="K37" s="235">
        <v>0</v>
      </c>
      <c r="O37" s="81"/>
      <c r="V37" s="79" t="s">
        <v>105</v>
      </c>
      <c r="W37" s="79" t="s">
        <v>102</v>
      </c>
      <c r="X37" s="91">
        <v>0</v>
      </c>
      <c r="Z37" s="191" t="str">
        <v>4G - SMS salientes</v>
      </c>
      <c r="AA37" s="191" t="str">
        <v>SMS</v>
      </c>
    </row>
    <row r="38" spans="1:28" x14ac:dyDescent="0.2">
      <c r="A38" s="81"/>
      <c r="H38" s="79" t="s">
        <v>1</v>
      </c>
      <c r="I38" s="225">
        <v>0</v>
      </c>
      <c r="J38" s="235">
        <v>0</v>
      </c>
      <c r="K38" s="235">
        <v>0</v>
      </c>
      <c r="O38" s="81"/>
      <c r="V38" s="79" t="s">
        <v>104</v>
      </c>
      <c r="W38" s="79" t="s">
        <v>102</v>
      </c>
      <c r="X38" s="91">
        <v>0</v>
      </c>
      <c r="Z38" s="26" t="str">
        <v>4G - SMS entrantes</v>
      </c>
      <c r="AA38" s="26" t="str">
        <v>SMS</v>
      </c>
    </row>
    <row r="39" spans="1:28" x14ac:dyDescent="0.2">
      <c r="A39" s="81"/>
      <c r="H39" s="79" t="s">
        <v>1</v>
      </c>
      <c r="I39" s="225">
        <v>0</v>
      </c>
      <c r="J39" s="235">
        <v>0</v>
      </c>
      <c r="K39" s="235">
        <v>0</v>
      </c>
      <c r="O39" s="81"/>
      <c r="V39" s="79" t="s">
        <v>103</v>
      </c>
      <c r="W39" s="79" t="s">
        <v>102</v>
      </c>
      <c r="X39" s="91">
        <v>0</v>
      </c>
      <c r="Z39" s="88" t="s">
        <v>24</v>
      </c>
      <c r="AA39" s="88" t="s">
        <v>108</v>
      </c>
    </row>
    <row r="40" spans="1:28" x14ac:dyDescent="0.2">
      <c r="A40" s="81"/>
      <c r="H40" s="79" t="s">
        <v>1</v>
      </c>
      <c r="I40" s="225">
        <v>0</v>
      </c>
      <c r="J40" s="235">
        <v>0</v>
      </c>
      <c r="K40" s="235">
        <v>0</v>
      </c>
      <c r="O40" s="81"/>
      <c r="V40" s="79" t="s">
        <v>1</v>
      </c>
      <c r="W40" s="79" t="s">
        <v>1</v>
      </c>
      <c r="X40" s="91">
        <v>0</v>
      </c>
    </row>
    <row r="41" spans="1:28" x14ac:dyDescent="0.2">
      <c r="A41" s="81"/>
      <c r="H41" s="79" t="s">
        <v>1</v>
      </c>
      <c r="I41" s="225">
        <v>0</v>
      </c>
      <c r="J41" s="235">
        <v>0</v>
      </c>
      <c r="K41" s="235">
        <v>0</v>
      </c>
      <c r="O41" s="81"/>
      <c r="V41" s="79" t="s">
        <v>687</v>
      </c>
      <c r="W41" s="79" t="s">
        <v>690</v>
      </c>
      <c r="X41" s="91">
        <v>0</v>
      </c>
      <c r="Z41" s="26" t="str">
        <f t="array" ref="Z41:AA46">V35:W40</f>
        <v>GPRS data Mbytes</v>
      </c>
      <c r="AA41" s="26" t="str">
        <v>Mbytes</v>
      </c>
    </row>
    <row r="42" spans="1:28" x14ac:dyDescent="0.2">
      <c r="A42" s="81"/>
      <c r="H42" s="79" t="s">
        <v>1</v>
      </c>
      <c r="I42" s="225">
        <v>0</v>
      </c>
      <c r="J42" s="235">
        <v>0</v>
      </c>
      <c r="K42" s="235">
        <v>0</v>
      </c>
      <c r="V42" s="79" t="s">
        <v>688</v>
      </c>
      <c r="W42" s="79" t="s">
        <v>690</v>
      </c>
      <c r="X42" s="91">
        <v>0</v>
      </c>
      <c r="Z42" s="26" t="str">
        <v>R99 data Mbytes</v>
      </c>
      <c r="AA42" s="26" t="str">
        <v>Mbytes</v>
      </c>
    </row>
    <row r="43" spans="1:28" x14ac:dyDescent="0.2">
      <c r="A43" s="35"/>
      <c r="H43" s="79" t="s">
        <v>1</v>
      </c>
      <c r="I43" s="225">
        <v>0</v>
      </c>
      <c r="J43" s="235">
        <v>0</v>
      </c>
      <c r="K43" s="235">
        <v>0</v>
      </c>
      <c r="V43" s="79" t="s">
        <v>1</v>
      </c>
      <c r="W43" s="79" t="s">
        <v>1</v>
      </c>
      <c r="X43" s="91">
        <v>0</v>
      </c>
      <c r="Z43" s="26" t="str">
        <v>HSDPA data Mbytes</v>
      </c>
      <c r="AA43" s="26" t="str">
        <v>Mbytes</v>
      </c>
    </row>
    <row r="44" spans="1:28" x14ac:dyDescent="0.2">
      <c r="A44" s="81"/>
      <c r="E44" s="100"/>
      <c r="H44" s="79" t="s">
        <v>1</v>
      </c>
      <c r="I44" s="225">
        <v>0</v>
      </c>
      <c r="J44" s="235">
        <v>0</v>
      </c>
      <c r="K44" s="235">
        <v>0</v>
      </c>
      <c r="V44" s="79" t="s">
        <v>1</v>
      </c>
      <c r="W44" s="79" t="s">
        <v>1</v>
      </c>
      <c r="X44" s="91">
        <v>0</v>
      </c>
      <c r="Y44" s="81"/>
      <c r="Z44" s="26" t="str">
        <v>HSUPA data Mbytes</v>
      </c>
      <c r="AA44" s="26" t="str">
        <v>Mbytes</v>
      </c>
    </row>
    <row r="45" spans="1:28" x14ac:dyDescent="0.2">
      <c r="A45" s="81"/>
      <c r="H45" s="79" t="s">
        <v>1</v>
      </c>
      <c r="I45" s="225">
        <v>0</v>
      </c>
      <c r="J45" s="235">
        <v>0</v>
      </c>
      <c r="K45" s="235">
        <v>0</v>
      </c>
      <c r="V45" s="79" t="s">
        <v>1</v>
      </c>
      <c r="W45" s="79" t="s">
        <v>1</v>
      </c>
      <c r="X45" s="91">
        <v>0</v>
      </c>
      <c r="Y45" s="81"/>
      <c r="Z45" s="26" t="str">
        <v>LTE data Mbytes</v>
      </c>
      <c r="AA45" s="26" t="str">
        <v>Mbytes</v>
      </c>
    </row>
    <row r="46" spans="1:28" x14ac:dyDescent="0.2">
      <c r="A46" s="81"/>
      <c r="H46" s="88" t="s">
        <v>545</v>
      </c>
      <c r="I46" s="88"/>
      <c r="J46" s="88" t="s">
        <v>548</v>
      </c>
      <c r="K46" s="88" t="s">
        <v>549</v>
      </c>
      <c r="V46" s="79" t="s">
        <v>1</v>
      </c>
      <c r="W46" s="79" t="s">
        <v>1</v>
      </c>
      <c r="X46" s="91">
        <v>0</v>
      </c>
      <c r="Z46" s="191" t="str">
        <v>spare</v>
      </c>
      <c r="AA46" s="191" t="str">
        <v>spare</v>
      </c>
    </row>
    <row r="47" spans="1:28" x14ac:dyDescent="0.2">
      <c r="A47" s="81"/>
      <c r="V47" s="79" t="s">
        <v>1</v>
      </c>
      <c r="W47" s="79" t="s">
        <v>1</v>
      </c>
      <c r="X47" s="91">
        <v>0</v>
      </c>
      <c r="Z47" s="88" t="s">
        <v>25</v>
      </c>
      <c r="AA47" s="88" t="s">
        <v>101</v>
      </c>
    </row>
    <row r="48" spans="1:28" x14ac:dyDescent="0.2">
      <c r="A48" s="81"/>
      <c r="V48" s="79" t="s">
        <v>1</v>
      </c>
      <c r="W48" s="79" t="s">
        <v>1</v>
      </c>
      <c r="X48" s="91">
        <v>0</v>
      </c>
    </row>
    <row r="49" spans="1:24" x14ac:dyDescent="0.2">
      <c r="A49" s="81"/>
      <c r="V49" s="79" t="s">
        <v>1</v>
      </c>
      <c r="W49" s="79" t="s">
        <v>1</v>
      </c>
      <c r="X49" s="91">
        <v>0</v>
      </c>
    </row>
    <row r="50" spans="1:24" x14ac:dyDescent="0.2">
      <c r="A50" s="81"/>
      <c r="V50" s="79" t="s">
        <v>1</v>
      </c>
      <c r="W50" s="79" t="s">
        <v>1</v>
      </c>
      <c r="X50" s="91">
        <v>0</v>
      </c>
    </row>
    <row r="51" spans="1:24" x14ac:dyDescent="0.2">
      <c r="A51" s="81"/>
      <c r="V51" s="79" t="s">
        <v>1</v>
      </c>
      <c r="W51" s="79" t="s">
        <v>1</v>
      </c>
      <c r="X51" s="91">
        <v>0</v>
      </c>
    </row>
    <row r="52" spans="1:24" x14ac:dyDescent="0.2">
      <c r="A52" s="81"/>
      <c r="V52" s="79" t="s">
        <v>1</v>
      </c>
      <c r="W52" s="79" t="s">
        <v>1</v>
      </c>
      <c r="X52" s="91">
        <v>0</v>
      </c>
    </row>
    <row r="53" spans="1:24" x14ac:dyDescent="0.2">
      <c r="A53" s="81"/>
      <c r="V53" s="79" t="s">
        <v>1</v>
      </c>
      <c r="W53" s="79" t="s">
        <v>1</v>
      </c>
      <c r="X53" s="91">
        <v>0</v>
      </c>
    </row>
    <row r="54" spans="1:24" x14ac:dyDescent="0.2">
      <c r="A54" s="81"/>
      <c r="V54" s="79" t="s">
        <v>1</v>
      </c>
      <c r="W54" s="79" t="s">
        <v>1</v>
      </c>
      <c r="X54" s="91">
        <v>0</v>
      </c>
    </row>
    <row r="55" spans="1:24" x14ac:dyDescent="0.2">
      <c r="A55" s="81"/>
      <c r="V55" s="88" t="s">
        <v>2</v>
      </c>
      <c r="W55" s="88" t="s">
        <v>53</v>
      </c>
      <c r="X55" s="88" t="s">
        <v>1956</v>
      </c>
    </row>
    <row r="56" spans="1:24" x14ac:dyDescent="0.2">
      <c r="A56" s="81"/>
      <c r="W56" s="81"/>
    </row>
    <row r="57" spans="1:24" x14ac:dyDescent="0.2">
      <c r="A57" s="81"/>
      <c r="W57" s="81"/>
    </row>
    <row r="58" spans="1:24" x14ac:dyDescent="0.2">
      <c r="A58" s="81"/>
      <c r="W58" s="81"/>
    </row>
    <row r="59" spans="1:24" x14ac:dyDescent="0.2">
      <c r="A59" s="81"/>
      <c r="W59" s="81"/>
    </row>
    <row r="60" spans="1:24" x14ac:dyDescent="0.2">
      <c r="A60" s="81"/>
      <c r="W60" s="81"/>
    </row>
    <row r="61" spans="1:24" x14ac:dyDescent="0.2">
      <c r="A61" s="81"/>
      <c r="W61" s="81"/>
    </row>
    <row r="62" spans="1:24" x14ac:dyDescent="0.2">
      <c r="A62" s="81"/>
      <c r="W62" s="81"/>
    </row>
    <row r="63" spans="1:24" x14ac:dyDescent="0.2">
      <c r="A63" s="81"/>
      <c r="W63" s="81"/>
    </row>
    <row r="64" spans="1:24" x14ac:dyDescent="0.2">
      <c r="A64" s="81"/>
      <c r="W64" s="81"/>
    </row>
    <row r="65" spans="1:23" x14ac:dyDescent="0.2">
      <c r="A65" s="81"/>
      <c r="W65" s="81"/>
    </row>
    <row r="66" spans="1:23" x14ac:dyDescent="0.2">
      <c r="A66" s="81"/>
      <c r="W66" s="81"/>
    </row>
    <row r="67" spans="1:23" x14ac:dyDescent="0.2">
      <c r="A67" s="81"/>
      <c r="W67" s="81"/>
    </row>
    <row r="68" spans="1:23" x14ac:dyDescent="0.2">
      <c r="A68" s="81"/>
      <c r="W68" s="81"/>
    </row>
    <row r="69" spans="1:23" x14ac:dyDescent="0.2">
      <c r="A69" s="81"/>
      <c r="W69" s="81"/>
    </row>
    <row r="70" spans="1:23" x14ac:dyDescent="0.2">
      <c r="A70" s="81"/>
      <c r="W70" s="81"/>
    </row>
    <row r="71" spans="1:23" x14ac:dyDescent="0.2">
      <c r="A71" s="81"/>
      <c r="W71" s="81"/>
    </row>
    <row r="72" spans="1:23" x14ac:dyDescent="0.2">
      <c r="A72" s="81"/>
      <c r="W72" s="81"/>
    </row>
    <row r="73" spans="1:23" x14ac:dyDescent="0.2">
      <c r="A73" s="81"/>
      <c r="W73" s="81"/>
    </row>
    <row r="74" spans="1:23" x14ac:dyDescent="0.2">
      <c r="A74" s="81"/>
    </row>
  </sheetData>
  <sortState ref="H6:I30">
    <sortCondition ref="H30"/>
  </sortState>
  <conditionalFormatting sqref="Z5:AA18 Z30:AA37 Z41:AA46 V5:V34 V40 V43:V54 S5:T24">
    <cfRule type="cellIs" dxfId="272" priority="8" operator="equal">
      <formula>"spare"</formula>
    </cfRule>
  </conditionalFormatting>
  <conditionalFormatting sqref="W40 W43:W54 W5:W34">
    <cfRule type="cellIs" dxfId="271" priority="7" operator="equal">
      <formula>"spare"</formula>
    </cfRule>
  </conditionalFormatting>
  <conditionalFormatting sqref="V35:V39">
    <cfRule type="cellIs" dxfId="270" priority="6" operator="equal">
      <formula>"spare"</formula>
    </cfRule>
  </conditionalFormatting>
  <conditionalFormatting sqref="W35:W39">
    <cfRule type="cellIs" dxfId="269" priority="5" operator="equal">
      <formula>"spare"</formula>
    </cfRule>
  </conditionalFormatting>
  <conditionalFormatting sqref="V41:V42">
    <cfRule type="cellIs" dxfId="268" priority="4" operator="equal">
      <formula>"spare"</formula>
    </cfRule>
  </conditionalFormatting>
  <conditionalFormatting sqref="W41:W42">
    <cfRule type="cellIs" dxfId="267" priority="3" operator="equal">
      <formula>"spare"</formula>
    </cfRule>
  </conditionalFormatting>
  <conditionalFormatting sqref="B6:B15">
    <cfRule type="cellIs" dxfId="266" priority="2" operator="equal">
      <formula>"spare"</formula>
    </cfRule>
  </conditionalFormatting>
  <conditionalFormatting sqref="H31:H45">
    <cfRule type="cellIs" dxfId="265" priority="1" operator="equal">
      <formula>"spare"</formula>
    </cfRule>
  </conditionalFormatting>
  <pageMargins left="0.70866141732283472" right="0.70866141732283472" top="0.51181102362204722" bottom="0.51181102362204722" header="0.51181102362204722" footer="0.35433070866141736"/>
  <pageSetup paperSize="9" orientation="landscape" horizontalDpi="4294967292" verticalDpi="4294967292" r:id="rId1"/>
  <headerFooter alignWithMargins="0">
    <oddFooter xml:space="preserve">&amp;L&amp;F : &amp;A&amp;CPrinted at &amp;T on &amp;D&amp;RCommercial in confidence © Analysys Mason </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2060"/>
    <pageSetUpPr autoPageBreaks="0"/>
  </sheetPr>
  <dimension ref="A1:G1"/>
  <sheetViews>
    <sheetView zoomScale="120" zoomScaleNormal="120" workbookViewId="0"/>
  </sheetViews>
  <sheetFormatPr baseColWidth="10" defaultColWidth="0" defaultRowHeight="11.65" customHeight="1" zeroHeight="1" x14ac:dyDescent="0.2"/>
  <cols>
    <col min="1" max="1" width="6.7109375" style="81" customWidth="1"/>
    <col min="2" max="2" width="12.7109375" style="81" customWidth="1"/>
    <col min="3" max="3" width="19.5703125" style="81" customWidth="1"/>
    <col min="4" max="7" width="12.7109375" style="81" customWidth="1"/>
    <col min="8" max="16384" width="12.7109375" style="81" hidden="1"/>
  </cols>
  <sheetData>
    <row r="1" spans="4:4" s="145" customFormat="1" ht="45" customHeight="1" x14ac:dyDescent="0.2">
      <c r="D1" s="146" t="s">
        <v>1907</v>
      </c>
    </row>
  </sheetData>
  <pageMargins left="0.70866141732283472" right="0.70866141732283472" top="0.51181102362204722" bottom="0.51181102362204722" header="0.51181102362204722" footer="0.35433070866141736"/>
  <pageSetup paperSize="9" orientation="landscape" horizontalDpi="4294967292" verticalDpi="4294967292" r:id="rId1"/>
  <headerFooter alignWithMargins="0">
    <oddFooter xml:space="preserve">&amp;L&amp;F : &amp;A&amp;CPrinted at &amp;T on &amp;D&amp;RCommercial in confidence © Analysys Mason </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47"/>
  <sheetViews>
    <sheetView showGridLines="0" zoomScale="120" zoomScaleNormal="120" workbookViewId="0">
      <pane xSplit="3" ySplit="6" topLeftCell="D31" activePane="bottomRight" state="frozen"/>
      <selection pane="topRight"/>
      <selection pane="bottomLeft"/>
      <selection pane="bottomRight" activeCell="I39" sqref="I39"/>
    </sheetView>
  </sheetViews>
  <sheetFormatPr baseColWidth="10" defaultColWidth="11.42578125" defaultRowHeight="15" x14ac:dyDescent="0.25"/>
  <cols>
    <col min="1" max="1" width="35.42578125" style="176" customWidth="1"/>
    <col min="2" max="2" width="11.42578125" style="176"/>
    <col min="3" max="3" width="17" style="176" bestFit="1" customWidth="1"/>
    <col min="4" max="5" width="11.42578125" style="176"/>
    <col min="6" max="6" width="20.42578125" style="176" customWidth="1"/>
    <col min="7" max="7" width="17.42578125" style="176" customWidth="1"/>
    <col min="8" max="8" width="12.85546875" style="176" customWidth="1"/>
    <col min="9" max="9" width="11.42578125" style="176"/>
    <col min="10" max="10" width="14.85546875" style="176" customWidth="1"/>
    <col min="11" max="11" width="12.42578125" style="176" bestFit="1" customWidth="1"/>
    <col min="12" max="16384" width="11.42578125" style="176"/>
  </cols>
  <sheetData>
    <row r="1" spans="1:8" ht="45" customHeight="1" x14ac:dyDescent="0.25">
      <c r="A1" s="174" t="s">
        <v>0</v>
      </c>
      <c r="B1" s="174"/>
      <c r="C1" s="174"/>
      <c r="D1" s="175" t="s">
        <v>404</v>
      </c>
      <c r="E1" s="174"/>
      <c r="F1" s="174"/>
      <c r="H1" s="174"/>
    </row>
    <row r="2" spans="1:8" x14ac:dyDescent="0.25">
      <c r="A2" s="177"/>
      <c r="B2" s="177"/>
      <c r="C2" s="177"/>
      <c r="D2" s="177"/>
      <c r="E2" s="177"/>
      <c r="F2" s="177"/>
      <c r="G2" s="177"/>
      <c r="H2" s="177"/>
    </row>
    <row r="3" spans="1:8" ht="15.75" x14ac:dyDescent="0.25">
      <c r="A3" s="177"/>
      <c r="B3" s="179" t="s">
        <v>410</v>
      </c>
      <c r="C3" s="177"/>
      <c r="D3" s="177"/>
      <c r="E3" s="177"/>
      <c r="F3" s="177"/>
      <c r="G3"/>
      <c r="H3" s="177"/>
    </row>
    <row r="4" spans="1:8" x14ac:dyDescent="0.25">
      <c r="A4" s="177"/>
      <c r="B4" s="177"/>
      <c r="G4"/>
      <c r="H4" s="177"/>
    </row>
    <row r="5" spans="1:8" x14ac:dyDescent="0.25">
      <c r="A5" s="177"/>
      <c r="B5" s="177"/>
      <c r="C5" s="178" t="s">
        <v>406</v>
      </c>
      <c r="D5" s="178"/>
      <c r="E5" s="178" t="s">
        <v>407</v>
      </c>
      <c r="F5" s="178" t="s">
        <v>408</v>
      </c>
      <c r="G5" s="177"/>
      <c r="H5" s="177"/>
    </row>
    <row r="6" spans="1:8" x14ac:dyDescent="0.25">
      <c r="A6" s="177"/>
      <c r="C6" s="177"/>
      <c r="D6" s="177"/>
      <c r="E6" s="177"/>
      <c r="F6" s="177"/>
      <c r="G6" s="189"/>
      <c r="H6" s="177"/>
    </row>
    <row r="7" spans="1:8" x14ac:dyDescent="0.25">
      <c r="A7" s="177"/>
      <c r="B7" s="177"/>
      <c r="C7" s="177"/>
      <c r="D7" s="177"/>
      <c r="E7" s="177"/>
      <c r="F7" s="177"/>
      <c r="G7" s="177"/>
      <c r="H7" s="177"/>
    </row>
    <row r="8" spans="1:8" x14ac:dyDescent="0.25">
      <c r="A8"/>
      <c r="B8" s="177"/>
      <c r="C8"/>
      <c r="D8" s="177"/>
      <c r="E8" s="177"/>
      <c r="F8" s="253"/>
      <c r="G8" s="231" t="s">
        <v>1963</v>
      </c>
      <c r="H8" s="81"/>
    </row>
    <row r="9" spans="1:8" x14ac:dyDescent="0.25">
      <c r="A9"/>
      <c r="B9" s="180" t="s">
        <v>411</v>
      </c>
      <c r="C9"/>
      <c r="D9" s="177"/>
      <c r="E9" s="177"/>
      <c r="F9" s="253"/>
      <c r="G9" s="254"/>
      <c r="H9" s="81"/>
    </row>
    <row r="10" spans="1:8" x14ac:dyDescent="0.25">
      <c r="A10" s="255"/>
      <c r="B10" s="177"/>
      <c r="C10" s="622" t="s">
        <v>1646</v>
      </c>
      <c r="D10" s="623"/>
      <c r="E10" s="623"/>
      <c r="F10" s="623" t="s">
        <v>412</v>
      </c>
      <c r="G10" s="625">
        <v>88984298974.66687</v>
      </c>
      <c r="H10" s="81"/>
    </row>
    <row r="11" spans="1:8" x14ac:dyDescent="0.25">
      <c r="A11" s="624"/>
      <c r="B11" s="177"/>
      <c r="C11" s="622"/>
      <c r="D11" s="623"/>
      <c r="E11" s="623"/>
      <c r="F11" s="623"/>
      <c r="G11" s="620"/>
      <c r="H11" s="81"/>
    </row>
    <row r="12" spans="1:8" x14ac:dyDescent="0.25">
      <c r="A12" s="251" t="s">
        <v>647</v>
      </c>
      <c r="B12" s="177"/>
      <c r="C12" s="181" t="s">
        <v>32</v>
      </c>
      <c r="D12" s="182"/>
      <c r="E12" s="182"/>
      <c r="F12" s="182" t="s">
        <v>412</v>
      </c>
      <c r="G12" s="619">
        <v>40544551007.344582</v>
      </c>
      <c r="H12" s="81"/>
    </row>
    <row r="13" spans="1:8" x14ac:dyDescent="0.25">
      <c r="A13" s="183"/>
      <c r="B13" s="177"/>
      <c r="C13" s="253"/>
      <c r="D13" s="177"/>
      <c r="E13" s="177"/>
      <c r="G13" s="620"/>
      <c r="H13" s="81"/>
    </row>
    <row r="14" spans="1:8" x14ac:dyDescent="0.25">
      <c r="A14" s="183"/>
      <c r="B14" s="177"/>
      <c r="C14" s="181" t="s">
        <v>413</v>
      </c>
      <c r="D14" s="182"/>
      <c r="E14" s="182"/>
      <c r="F14" s="182" t="s">
        <v>412</v>
      </c>
      <c r="G14" s="619">
        <v>24809544480.995766</v>
      </c>
      <c r="H14" s="81"/>
    </row>
    <row r="15" spans="1:8" x14ac:dyDescent="0.25">
      <c r="A15" s="183"/>
      <c r="B15" s="177"/>
      <c r="C15" s="253"/>
      <c r="D15" s="177"/>
      <c r="E15" s="177"/>
      <c r="G15" s="620"/>
      <c r="H15" s="81"/>
    </row>
    <row r="16" spans="1:8" x14ac:dyDescent="0.25">
      <c r="A16" s="251" t="s">
        <v>649</v>
      </c>
      <c r="B16" s="177"/>
      <c r="C16" s="621" t="s">
        <v>1647</v>
      </c>
      <c r="D16" s="182"/>
      <c r="E16" s="182"/>
      <c r="F16" s="182" t="s">
        <v>412</v>
      </c>
      <c r="G16" s="619">
        <v>22051007833.608494</v>
      </c>
      <c r="H16" s="81"/>
    </row>
    <row r="17" spans="1:8" x14ac:dyDescent="0.25">
      <c r="A17" s="183"/>
      <c r="B17" s="177"/>
      <c r="C17" s="626" t="s">
        <v>398</v>
      </c>
      <c r="D17" s="177"/>
      <c r="E17" s="177"/>
      <c r="F17" s="177" t="s">
        <v>412</v>
      </c>
      <c r="G17" s="619">
        <v>4205604718.8507318</v>
      </c>
      <c r="H17" s="81"/>
    </row>
    <row r="18" spans="1:8" x14ac:dyDescent="0.25">
      <c r="A18" s="183"/>
      <c r="B18" s="177"/>
      <c r="C18" s="626" t="s">
        <v>397</v>
      </c>
      <c r="D18" s="177"/>
      <c r="E18" s="177"/>
      <c r="F18" s="177" t="s">
        <v>412</v>
      </c>
      <c r="G18" s="619">
        <v>7334045938.963377</v>
      </c>
      <c r="H18" s="81"/>
    </row>
    <row r="19" spans="1:8" x14ac:dyDescent="0.25">
      <c r="A19" s="183"/>
      <c r="B19" s="177"/>
      <c r="C19" s="626" t="s">
        <v>409</v>
      </c>
      <c r="D19" s="177"/>
      <c r="E19" s="177"/>
      <c r="F19" s="177" t="s">
        <v>412</v>
      </c>
      <c r="G19" s="619">
        <v>2683966773.3774872</v>
      </c>
      <c r="H19" s="81"/>
    </row>
    <row r="20" spans="1:8" x14ac:dyDescent="0.25">
      <c r="A20" s="183"/>
      <c r="B20" s="177"/>
      <c r="C20" s="626" t="s">
        <v>1648</v>
      </c>
      <c r="D20" s="177"/>
      <c r="E20" s="177"/>
      <c r="F20" s="177" t="s">
        <v>412</v>
      </c>
      <c r="G20" s="619">
        <v>7827390402.4169006</v>
      </c>
      <c r="H20" s="81"/>
    </row>
    <row r="21" spans="1:8" x14ac:dyDescent="0.25">
      <c r="A21" s="183"/>
      <c r="B21" s="177"/>
      <c r="C21" s="253"/>
      <c r="D21" s="177"/>
      <c r="E21" s="177"/>
      <c r="G21" s="620"/>
      <c r="H21" s="81"/>
    </row>
    <row r="22" spans="1:8" x14ac:dyDescent="0.25">
      <c r="A22" s="251" t="s">
        <v>648</v>
      </c>
      <c r="B22" s="177"/>
      <c r="C22" s="621" t="s">
        <v>1649</v>
      </c>
      <c r="D22" s="182"/>
      <c r="E22" s="182"/>
      <c r="F22" s="182" t="s">
        <v>412</v>
      </c>
      <c r="G22" s="619">
        <v>2542989938.727623</v>
      </c>
      <c r="H22" s="81"/>
    </row>
    <row r="23" spans="1:8" x14ac:dyDescent="0.25">
      <c r="A23" s="251" t="s">
        <v>650</v>
      </c>
      <c r="B23" s="177"/>
      <c r="C23" s="621" t="s">
        <v>414</v>
      </c>
      <c r="D23" s="182"/>
      <c r="E23" s="182"/>
      <c r="F23" s="182" t="s">
        <v>412</v>
      </c>
      <c r="G23" s="619">
        <v>215546708.65965042</v>
      </c>
      <c r="H23" s="81"/>
    </row>
    <row r="24" spans="1:8" x14ac:dyDescent="0.25">
      <c r="A24" s="183"/>
      <c r="B24" s="177"/>
      <c r="C24" s="253"/>
      <c r="D24" s="177"/>
      <c r="E24" s="177"/>
      <c r="G24" s="620"/>
      <c r="H24" s="81"/>
    </row>
    <row r="25" spans="1:8" x14ac:dyDescent="0.25">
      <c r="A25" s="183"/>
      <c r="B25" s="177"/>
      <c r="C25" s="181" t="s">
        <v>415</v>
      </c>
      <c r="D25" s="182"/>
      <c r="E25" s="182"/>
      <c r="F25" s="182" t="s">
        <v>412</v>
      </c>
      <c r="G25" s="619">
        <v>23630203486.326523</v>
      </c>
      <c r="H25" s="81"/>
    </row>
    <row r="26" spans="1:8" x14ac:dyDescent="0.25">
      <c r="A26" s="183"/>
      <c r="B26" s="177"/>
      <c r="C26" s="253"/>
      <c r="D26" s="177"/>
      <c r="E26" s="177"/>
      <c r="G26" s="620"/>
      <c r="H26" s="81"/>
    </row>
    <row r="27" spans="1:8" x14ac:dyDescent="0.25">
      <c r="A27" s="251" t="s">
        <v>652</v>
      </c>
      <c r="B27" s="177"/>
      <c r="C27" s="621" t="s">
        <v>1650</v>
      </c>
      <c r="D27" s="182"/>
      <c r="E27" s="182"/>
      <c r="F27" s="182" t="s">
        <v>412</v>
      </c>
      <c r="G27" s="619">
        <v>22051007833.608498</v>
      </c>
      <c r="H27" s="81"/>
    </row>
    <row r="28" spans="1:8" x14ac:dyDescent="0.25">
      <c r="A28" s="183"/>
      <c r="B28" s="177"/>
      <c r="C28" s="626" t="s">
        <v>398</v>
      </c>
      <c r="D28" s="177"/>
      <c r="E28" s="177"/>
      <c r="F28" s="177" t="s">
        <v>412</v>
      </c>
      <c r="G28" s="619">
        <v>6260040562.5499992</v>
      </c>
      <c r="H28" s="81"/>
    </row>
    <row r="29" spans="1:8" x14ac:dyDescent="0.25">
      <c r="A29" s="183"/>
      <c r="B29" s="177"/>
      <c r="C29" s="626" t="s">
        <v>397</v>
      </c>
      <c r="D29" s="177"/>
      <c r="E29" s="177"/>
      <c r="F29" s="177" t="s">
        <v>412</v>
      </c>
      <c r="G29" s="619">
        <v>6918752846.4584341</v>
      </c>
      <c r="H29" s="81"/>
    </row>
    <row r="30" spans="1:8" x14ac:dyDescent="0.25">
      <c r="A30" s="183"/>
      <c r="B30" s="177"/>
      <c r="C30" s="626" t="s">
        <v>409</v>
      </c>
      <c r="D30" s="177"/>
      <c r="E30" s="177"/>
      <c r="F30" s="177" t="s">
        <v>412</v>
      </c>
      <c r="G30" s="619">
        <v>1920746894.5</v>
      </c>
      <c r="H30" s="81"/>
    </row>
    <row r="31" spans="1:8" x14ac:dyDescent="0.25">
      <c r="A31" s="183"/>
      <c r="B31" s="177"/>
      <c r="C31" s="626" t="s">
        <v>1648</v>
      </c>
      <c r="D31" s="177"/>
      <c r="E31" s="177"/>
      <c r="F31" s="177" t="s">
        <v>412</v>
      </c>
      <c r="G31" s="619">
        <v>6951467530.1000624</v>
      </c>
      <c r="H31" s="81"/>
    </row>
    <row r="32" spans="1:8" x14ac:dyDescent="0.25">
      <c r="A32" s="183"/>
      <c r="B32" s="177"/>
      <c r="C32" s="253"/>
      <c r="D32" s="177"/>
      <c r="E32" s="177"/>
      <c r="G32" s="620"/>
      <c r="H32" s="81"/>
    </row>
    <row r="33" spans="1:8" x14ac:dyDescent="0.25">
      <c r="A33" s="251" t="s">
        <v>651</v>
      </c>
      <c r="B33" s="177"/>
      <c r="C33" s="621" t="s">
        <v>1651</v>
      </c>
      <c r="D33" s="182"/>
      <c r="E33" s="182"/>
      <c r="F33" s="182" t="s">
        <v>412</v>
      </c>
      <c r="G33" s="619">
        <v>1200954352.051168</v>
      </c>
      <c r="H33" s="81"/>
    </row>
    <row r="34" spans="1:8" x14ac:dyDescent="0.25">
      <c r="A34" s="251" t="s">
        <v>653</v>
      </c>
      <c r="B34" s="177"/>
      <c r="C34" s="621" t="s">
        <v>414</v>
      </c>
      <c r="D34" s="182"/>
      <c r="E34" s="182"/>
      <c r="F34" s="182" t="s">
        <v>412</v>
      </c>
      <c r="G34" s="619">
        <v>378241300.66685885</v>
      </c>
      <c r="H34" s="81"/>
    </row>
    <row r="35" spans="1:8" x14ac:dyDescent="0.25">
      <c r="A35" s="183"/>
      <c r="B35" s="177"/>
      <c r="C35" s="177"/>
      <c r="D35" s="177"/>
      <c r="E35" s="177"/>
      <c r="F35" s="177"/>
      <c r="G35" s="185"/>
      <c r="H35" s="81"/>
    </row>
    <row r="36" spans="1:8" x14ac:dyDescent="0.25">
      <c r="A36" s="183"/>
      <c r="B36" s="186" t="s">
        <v>5</v>
      </c>
      <c r="C36" s="177"/>
      <c r="D36" s="177"/>
      <c r="E36" s="177"/>
      <c r="F36" s="177"/>
      <c r="G36" s="185"/>
      <c r="H36" s="81"/>
    </row>
    <row r="37" spans="1:8" x14ac:dyDescent="0.25">
      <c r="A37" s="251" t="s">
        <v>654</v>
      </c>
      <c r="B37" s="81"/>
      <c r="C37" s="181" t="s">
        <v>32</v>
      </c>
      <c r="D37" s="182"/>
      <c r="E37" s="182"/>
      <c r="F37" s="182" t="s">
        <v>5</v>
      </c>
      <c r="G37" s="619">
        <v>5607070088.6946831</v>
      </c>
      <c r="H37" s="81"/>
    </row>
    <row r="38" spans="1:8" x14ac:dyDescent="0.25">
      <c r="A38" s="251" t="s">
        <v>655</v>
      </c>
      <c r="B38" s="81"/>
      <c r="C38" s="181" t="s">
        <v>413</v>
      </c>
      <c r="D38" s="182"/>
      <c r="E38" s="182"/>
      <c r="F38" s="182" t="s">
        <v>5</v>
      </c>
      <c r="G38" s="619">
        <v>4657266807.7763376</v>
      </c>
      <c r="H38" s="81"/>
    </row>
    <row r="39" spans="1:8" x14ac:dyDescent="0.25">
      <c r="A39" s="251" t="s">
        <v>656</v>
      </c>
      <c r="B39" s="81"/>
      <c r="C39" s="181" t="s">
        <v>415</v>
      </c>
      <c r="D39" s="182"/>
      <c r="E39" s="182"/>
      <c r="F39" s="182" t="s">
        <v>5</v>
      </c>
      <c r="G39" s="619">
        <v>4244183112.5289793</v>
      </c>
      <c r="H39" s="81"/>
    </row>
    <row r="40" spans="1:8" x14ac:dyDescent="0.25">
      <c r="A40" s="183"/>
      <c r="B40" s="177"/>
      <c r="C40" s="177"/>
      <c r="D40" s="177"/>
      <c r="E40" s="177"/>
      <c r="F40" s="177"/>
      <c r="G40" s="185"/>
      <c r="H40" s="81"/>
    </row>
    <row r="41" spans="1:8" x14ac:dyDescent="0.25">
      <c r="A41" s="183"/>
      <c r="B41" s="186" t="s">
        <v>416</v>
      </c>
      <c r="C41" s="177"/>
      <c r="D41" s="177"/>
      <c r="E41" s="177"/>
      <c r="F41" s="177"/>
      <c r="G41" s="185"/>
      <c r="H41" s="81"/>
    </row>
    <row r="42" spans="1:8" x14ac:dyDescent="0.25">
      <c r="A42" s="183"/>
      <c r="B42" s="177"/>
      <c r="C42" s="181" t="s">
        <v>32</v>
      </c>
      <c r="D42" s="182"/>
      <c r="E42" s="182"/>
      <c r="F42" s="182" t="s">
        <v>416</v>
      </c>
      <c r="G42" s="619">
        <v>4554497.074</v>
      </c>
      <c r="H42" s="81"/>
    </row>
    <row r="43" spans="1:8" x14ac:dyDescent="0.25">
      <c r="A43" s="183"/>
      <c r="B43" s="177"/>
      <c r="C43" s="181" t="s">
        <v>413</v>
      </c>
      <c r="D43" s="182"/>
      <c r="E43" s="182"/>
      <c r="F43" s="182" t="s">
        <v>416</v>
      </c>
      <c r="G43" s="619">
        <v>0</v>
      </c>
      <c r="H43" s="81"/>
    </row>
    <row r="44" spans="1:8" x14ac:dyDescent="0.25">
      <c r="A44" s="183"/>
      <c r="B44" s="177"/>
      <c r="C44" s="181" t="s">
        <v>415</v>
      </c>
      <c r="D44" s="182"/>
      <c r="E44" s="182"/>
      <c r="F44" s="182" t="s">
        <v>416</v>
      </c>
      <c r="G44" s="619">
        <v>0</v>
      </c>
      <c r="H44" s="81"/>
    </row>
    <row r="45" spans="1:8" x14ac:dyDescent="0.25">
      <c r="A45" s="183"/>
      <c r="B45" s="177"/>
      <c r="C45" s="177"/>
      <c r="D45" s="177"/>
      <c r="E45" s="177"/>
      <c r="F45" s="177"/>
      <c r="G45" s="185"/>
      <c r="H45" s="81"/>
    </row>
    <row r="46" spans="1:8" x14ac:dyDescent="0.25">
      <c r="A46" s="252" t="s">
        <v>623</v>
      </c>
      <c r="B46" s="186" t="s">
        <v>417</v>
      </c>
      <c r="C46" s="181" t="s">
        <v>1964</v>
      </c>
      <c r="D46" s="182"/>
      <c r="E46" s="182"/>
      <c r="F46" s="182" t="s">
        <v>1965</v>
      </c>
      <c r="G46" s="627">
        <v>464881079753.6853</v>
      </c>
      <c r="H46" s="177"/>
    </row>
    <row r="47" spans="1:8" x14ac:dyDescent="0.25">
      <c r="A47" s="189" t="s">
        <v>418</v>
      </c>
      <c r="B47" s="177"/>
      <c r="C47" s="177"/>
      <c r="D47" s="177"/>
      <c r="E47" s="177"/>
      <c r="F47" s="215"/>
      <c r="G47" s="189" t="s">
        <v>517</v>
      </c>
      <c r="H47" s="177"/>
    </row>
  </sheetData>
  <conditionalFormatting sqref="A16 A22:A23">
    <cfRule type="cellIs" dxfId="264" priority="9" operator="equal">
      <formula>"spare"</formula>
    </cfRule>
  </conditionalFormatting>
  <conditionalFormatting sqref="A37:A39">
    <cfRule type="cellIs" dxfId="263" priority="6" operator="equal">
      <formula>"spare"</formula>
    </cfRule>
  </conditionalFormatting>
  <conditionalFormatting sqref="A46">
    <cfRule type="cellIs" dxfId="262" priority="5" operator="equal">
      <formula>"spare"</formula>
    </cfRule>
  </conditionalFormatting>
  <conditionalFormatting sqref="A27">
    <cfRule type="cellIs" dxfId="261" priority="4" operator="equal">
      <formula>"spare"</formula>
    </cfRule>
  </conditionalFormatting>
  <conditionalFormatting sqref="A33:A34">
    <cfRule type="cellIs" dxfId="260" priority="3" operator="equal">
      <formula>"spare"</formula>
    </cfRule>
  </conditionalFormatting>
  <conditionalFormatting sqref="A12">
    <cfRule type="cellIs" dxfId="259" priority="1" operator="equal">
      <formula>"spare"</formula>
    </cfRule>
  </conditionalFormatting>
  <pageMargins left="0.7" right="0.7" top="0.75" bottom="0.75" header="0.3" footer="0.3"/>
  <pageSetup paperSize="9" orientation="portrait" horizontalDpi="4294967293"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V117"/>
  <sheetViews>
    <sheetView showGridLines="0" zoomScale="120" zoomScaleNormal="120" workbookViewId="0">
      <pane ySplit="1" topLeftCell="A2" activePane="bottomLeft" state="frozen"/>
      <selection pane="bottomLeft" activeCell="A2" sqref="A2"/>
    </sheetView>
  </sheetViews>
  <sheetFormatPr baseColWidth="10" defaultColWidth="12.7109375" defaultRowHeight="12" x14ac:dyDescent="0.2"/>
  <cols>
    <col min="1" max="1" width="6.7109375" style="81" customWidth="1"/>
    <col min="2" max="2" width="12.7109375" style="81"/>
    <col min="3" max="3" width="40.7109375" style="81" customWidth="1"/>
    <col min="4" max="8" width="12.7109375" style="81"/>
    <col min="9" max="9" width="14" style="81" customWidth="1"/>
    <col min="10" max="10" width="12.7109375" style="81"/>
    <col min="11" max="11" width="14.140625" style="81" bestFit="1" customWidth="1"/>
    <col min="12" max="13" width="12.7109375" style="81"/>
    <col min="14" max="14" width="15" style="81" bestFit="1" customWidth="1"/>
    <col min="15" max="16384" width="12.7109375" style="81"/>
  </cols>
  <sheetData>
    <row r="1" spans="2:15" s="145" customFormat="1" ht="45" customHeight="1" x14ac:dyDescent="0.2">
      <c r="D1" s="146"/>
      <c r="E1" s="153" t="s">
        <v>696</v>
      </c>
      <c r="F1" s="154"/>
      <c r="G1" s="154"/>
      <c r="H1" s="154"/>
      <c r="I1" s="154"/>
      <c r="J1" s="81"/>
      <c r="K1" s="154"/>
      <c r="L1" s="154"/>
      <c r="M1" s="154"/>
      <c r="N1" s="154"/>
    </row>
    <row r="3" spans="2:15" x14ac:dyDescent="0.2">
      <c r="B3" s="41" t="s">
        <v>697</v>
      </c>
      <c r="I3" s="152"/>
    </row>
    <row r="4" spans="2:15" x14ac:dyDescent="0.2">
      <c r="I4" s="152"/>
    </row>
    <row r="5" spans="2:15" ht="48" x14ac:dyDescent="0.2">
      <c r="C5" s="169" t="s">
        <v>698</v>
      </c>
      <c r="E5" s="169" t="s">
        <v>635</v>
      </c>
      <c r="F5" s="169" t="s">
        <v>407</v>
      </c>
      <c r="G5" s="169" t="s">
        <v>699</v>
      </c>
      <c r="I5" s="169" t="s">
        <v>700</v>
      </c>
      <c r="K5" s="169" t="s">
        <v>701</v>
      </c>
      <c r="L5"/>
      <c r="N5" s="169" t="s">
        <v>702</v>
      </c>
    </row>
    <row r="6" spans="2:15" x14ac:dyDescent="0.2">
      <c r="C6" s="162" t="str">
        <f t="array" ref="C6:C25">Mobile.market.services.list</f>
        <v>Tráfico de voz on-net</v>
      </c>
      <c r="E6" s="162" t="str">
        <f t="array" ref="E6:E25">Mobile.market.services.list.units</f>
        <v>minutos</v>
      </c>
      <c r="I6" s="80">
        <f t="shared" ref="I6:I12" si="0">INDEX(Market.demand.total,MATCH(C6,Market.services,0),)</f>
        <v>40544551007.344582</v>
      </c>
      <c r="K6" s="236">
        <f t="array" ref="K6:K25">Market.Share.Used</f>
        <v>0.33333333333333331</v>
      </c>
      <c r="L6"/>
      <c r="N6" s="80">
        <f t="array" ref="N6:N25">I6:I25*K6:K25</f>
        <v>13514850335.781527</v>
      </c>
    </row>
    <row r="7" spans="2:15" x14ac:dyDescent="0.2">
      <c r="C7" s="162" t="str">
        <v>Tráfico de voz saliente a fijo</v>
      </c>
      <c r="E7" s="162" t="str">
        <v>minutos</v>
      </c>
      <c r="I7" s="80">
        <f t="shared" si="0"/>
        <v>2542989938.727623</v>
      </c>
      <c r="K7" s="236">
        <v>0.33333333333333331</v>
      </c>
      <c r="L7"/>
      <c r="N7" s="80">
        <v>847663312.90920758</v>
      </c>
      <c r="O7" s="88" t="s">
        <v>1295</v>
      </c>
    </row>
    <row r="8" spans="2:15" x14ac:dyDescent="0.2">
      <c r="C8" s="162" t="str">
        <v>Tráfico de voz saliente a móvil</v>
      </c>
      <c r="E8" s="162" t="str">
        <v>minutos</v>
      </c>
      <c r="I8" s="80">
        <f t="shared" si="0"/>
        <v>22051007833.608494</v>
      </c>
      <c r="K8" s="236">
        <v>0.33333333333333331</v>
      </c>
      <c r="L8"/>
      <c r="N8" s="80">
        <v>7350335944.5361643</v>
      </c>
      <c r="O8" s="88" t="s">
        <v>1296</v>
      </c>
    </row>
    <row r="9" spans="2:15" x14ac:dyDescent="0.2">
      <c r="C9" s="162" t="str">
        <v>Tráfico de voz saliente a internacional</v>
      </c>
      <c r="E9" s="162" t="str">
        <v>minutos</v>
      </c>
      <c r="I9" s="80">
        <f t="shared" si="0"/>
        <v>215546708.65965042</v>
      </c>
      <c r="K9" s="236">
        <v>0.33333333333333331</v>
      </c>
      <c r="L9"/>
      <c r="N9" s="80">
        <v>71848902.886550128</v>
      </c>
      <c r="O9" s="88" t="s">
        <v>1952</v>
      </c>
    </row>
    <row r="10" spans="2:15" x14ac:dyDescent="0.2">
      <c r="C10" s="162" t="str">
        <v>Tráfico de voz entrante desde fijo</v>
      </c>
      <c r="E10" s="162" t="str">
        <v>minutos</v>
      </c>
      <c r="I10" s="80">
        <f t="shared" si="0"/>
        <v>1200954352.051168</v>
      </c>
      <c r="K10" s="236">
        <v>0.33333333333333331</v>
      </c>
      <c r="L10"/>
      <c r="N10" s="80">
        <v>400318117.3503893</v>
      </c>
      <c r="O10" s="88" t="s">
        <v>1297</v>
      </c>
    </row>
    <row r="11" spans="2:15" x14ac:dyDescent="0.2">
      <c r="C11" s="162" t="str">
        <v>Tráfico de voz entrante desde móvil</v>
      </c>
      <c r="E11" s="162" t="str">
        <v>minutos</v>
      </c>
      <c r="I11" s="80">
        <f t="shared" si="0"/>
        <v>22051007833.608498</v>
      </c>
      <c r="K11" s="236">
        <v>0.33333333333333331</v>
      </c>
      <c r="L11"/>
      <c r="N11" s="80">
        <v>7350335944.5361652</v>
      </c>
      <c r="O11" s="88" t="s">
        <v>1298</v>
      </c>
    </row>
    <row r="12" spans="2:15" x14ac:dyDescent="0.2">
      <c r="C12" s="162" t="str">
        <v>Tráfico de voz entrante desde internacional</v>
      </c>
      <c r="E12" s="162" t="str">
        <v>minutos</v>
      </c>
      <c r="I12" s="80">
        <f t="shared" si="0"/>
        <v>378241300.66685885</v>
      </c>
      <c r="K12" s="236">
        <v>0.33333333333333331</v>
      </c>
      <c r="L12"/>
      <c r="N12" s="80">
        <v>126080433.55561961</v>
      </c>
      <c r="O12" s="88" t="s">
        <v>1953</v>
      </c>
    </row>
    <row r="13" spans="2:15" x14ac:dyDescent="0.2">
      <c r="C13" s="162" t="str">
        <v>spare</v>
      </c>
      <c r="E13" s="162" t="str">
        <v>spare</v>
      </c>
      <c r="I13" s="237">
        <v>0</v>
      </c>
      <c r="K13" s="236">
        <v>0</v>
      </c>
      <c r="L13"/>
      <c r="N13" s="80">
        <v>0</v>
      </c>
    </row>
    <row r="14" spans="2:15" x14ac:dyDescent="0.2">
      <c r="C14" s="162" t="str">
        <v>spare</v>
      </c>
      <c r="E14" s="162" t="str">
        <v>spare</v>
      </c>
      <c r="I14" s="237">
        <v>0</v>
      </c>
      <c r="K14" s="236">
        <v>0</v>
      </c>
      <c r="L14"/>
      <c r="N14" s="80">
        <v>0</v>
      </c>
    </row>
    <row r="15" spans="2:15" x14ac:dyDescent="0.2">
      <c r="C15" s="162" t="str">
        <v>SMSs on-net</v>
      </c>
      <c r="E15" s="162" t="str">
        <v>SMS</v>
      </c>
      <c r="I15" s="80">
        <f>INDEX(Market.demand.total,MATCH(C15,Market.services,0),)</f>
        <v>5607070088.6946831</v>
      </c>
      <c r="K15" s="236">
        <v>0.33333333333333331</v>
      </c>
      <c r="L15"/>
      <c r="N15" s="80">
        <v>1869023362.8982277</v>
      </c>
    </row>
    <row r="16" spans="2:15" x14ac:dyDescent="0.2">
      <c r="C16" s="162" t="str">
        <v>SMS salientes</v>
      </c>
      <c r="E16" s="162" t="str">
        <v>SMS</v>
      </c>
      <c r="I16" s="80">
        <f>INDEX(Market.demand.total,MATCH(C16,Market.services,0),)</f>
        <v>4657266807.7763376</v>
      </c>
      <c r="K16" s="236">
        <v>0.33333333333333331</v>
      </c>
      <c r="L16"/>
      <c r="N16" s="80">
        <v>1552422269.258779</v>
      </c>
    </row>
    <row r="17" spans="2:22" x14ac:dyDescent="0.2">
      <c r="C17" s="162" t="str">
        <v>SMS entrantes</v>
      </c>
      <c r="E17" s="162" t="str">
        <v>SMS</v>
      </c>
      <c r="I17" s="80">
        <f>INDEX(Market.demand.total,MATCH(C17,Market.services,0),)</f>
        <v>4244183112.5289793</v>
      </c>
      <c r="K17" s="236">
        <v>0.33333333333333331</v>
      </c>
      <c r="L17"/>
      <c r="N17" s="80">
        <v>1414727704.1763263</v>
      </c>
    </row>
    <row r="18" spans="2:22" x14ac:dyDescent="0.2">
      <c r="C18" s="162" t="str">
        <v>spare</v>
      </c>
      <c r="E18" s="162" t="str">
        <v>spare</v>
      </c>
      <c r="I18" s="237">
        <v>0</v>
      </c>
      <c r="K18" s="236">
        <v>0</v>
      </c>
      <c r="L18"/>
      <c r="N18" s="80">
        <v>0</v>
      </c>
    </row>
    <row r="19" spans="2:22" x14ac:dyDescent="0.2">
      <c r="C19" s="162" t="str">
        <v>spare</v>
      </c>
      <c r="E19" s="162" t="str">
        <v>spare</v>
      </c>
      <c r="I19" s="237">
        <v>0</v>
      </c>
      <c r="K19" s="236">
        <v>0</v>
      </c>
      <c r="L19"/>
      <c r="N19" s="80">
        <v>0</v>
      </c>
    </row>
    <row r="20" spans="2:22" x14ac:dyDescent="0.2">
      <c r="C20" s="162" t="str">
        <v>Tráfico de datos</v>
      </c>
      <c r="E20" s="162" t="str">
        <v>Mbytes</v>
      </c>
      <c r="I20" s="80">
        <f>INDEX(Market.demand.total,MATCH(C20,Market.services,0),)</f>
        <v>464881079753.6853</v>
      </c>
      <c r="K20" s="236">
        <v>0.33333333333333331</v>
      </c>
      <c r="L20"/>
      <c r="N20" s="80">
        <v>154960359917.89508</v>
      </c>
    </row>
    <row r="21" spans="2:22" x14ac:dyDescent="0.2">
      <c r="C21" s="162" t="str">
        <v>spare</v>
      </c>
      <c r="E21" s="162" t="str">
        <v>spare</v>
      </c>
      <c r="I21" s="237">
        <v>0</v>
      </c>
      <c r="K21" s="236">
        <v>0</v>
      </c>
      <c r="L21"/>
      <c r="N21" s="80">
        <v>0</v>
      </c>
    </row>
    <row r="22" spans="2:22" x14ac:dyDescent="0.2">
      <c r="C22" s="162" t="str">
        <v>Suscriptores de solo voz (media del año)</v>
      </c>
      <c r="E22" s="162" t="str">
        <v>#subs</v>
      </c>
      <c r="F22" s="371">
        <f>1-F23</f>
        <v>0.50628379010860236</v>
      </c>
      <c r="I22" s="80">
        <f>F22*$F$24</f>
        <v>17448117.999999993</v>
      </c>
      <c r="K22" s="236">
        <v>0.33333333333333331</v>
      </c>
      <c r="L22"/>
      <c r="N22" s="80">
        <v>5816039.3333333302</v>
      </c>
      <c r="O22" s="88" t="s">
        <v>1291</v>
      </c>
    </row>
    <row r="23" spans="2:22" x14ac:dyDescent="0.2">
      <c r="C23" s="162" t="str">
        <v>Suscriptores de voz y datos (media del año)</v>
      </c>
      <c r="E23" s="162" t="str">
        <v>#subs</v>
      </c>
      <c r="F23" s="123">
        <v>0.49371620989139764</v>
      </c>
      <c r="I23" s="80">
        <f>F23*$F$24</f>
        <v>17015000</v>
      </c>
      <c r="K23" s="236">
        <v>0.33333333333333331</v>
      </c>
      <c r="L23"/>
      <c r="N23" s="80">
        <v>5671666.666666666</v>
      </c>
      <c r="O23" s="88" t="s">
        <v>1292</v>
      </c>
    </row>
    <row r="24" spans="2:22" x14ac:dyDescent="0.2">
      <c r="C24" s="162" t="str">
        <v>spare</v>
      </c>
      <c r="E24" s="162" t="str">
        <v>spare</v>
      </c>
      <c r="F24" s="184">
        <v>34463117.999999993</v>
      </c>
      <c r="G24" s="147" t="s">
        <v>703</v>
      </c>
      <c r="I24" s="237">
        <v>0</v>
      </c>
      <c r="K24" s="236">
        <v>0</v>
      </c>
      <c r="L24"/>
      <c r="N24" s="80">
        <v>0</v>
      </c>
    </row>
    <row r="25" spans="2:22" x14ac:dyDescent="0.2">
      <c r="C25" s="162" t="str">
        <v>spare</v>
      </c>
      <c r="E25" s="162" t="str">
        <v>spare</v>
      </c>
      <c r="I25" s="237">
        <v>0</v>
      </c>
      <c r="K25" s="236">
        <v>0</v>
      </c>
      <c r="L25"/>
      <c r="N25" s="80">
        <v>0</v>
      </c>
    </row>
    <row r="26" spans="2:22" x14ac:dyDescent="0.2">
      <c r="C26"/>
      <c r="D26"/>
      <c r="E26"/>
      <c r="I26" s="88" t="s">
        <v>516</v>
      </c>
      <c r="N26" s="88" t="s">
        <v>403</v>
      </c>
    </row>
    <row r="29" spans="2:22" s="65" customFormat="1" x14ac:dyDescent="0.2">
      <c r="B29" s="41" t="s">
        <v>704</v>
      </c>
      <c r="C29" s="81"/>
      <c r="D29" s="81"/>
      <c r="E29" s="81"/>
      <c r="F29" s="81"/>
      <c r="G29" s="81"/>
      <c r="H29" s="81"/>
      <c r="I29" s="81"/>
      <c r="J29" s="81"/>
      <c r="K29" s="81"/>
      <c r="L29" s="81"/>
      <c r="M29" s="81"/>
      <c r="N29" s="81"/>
      <c r="O29" s="81"/>
      <c r="P29" s="81"/>
      <c r="Q29" s="81"/>
      <c r="R29" s="81"/>
      <c r="S29" s="81"/>
      <c r="T29" s="81"/>
      <c r="U29" s="81"/>
      <c r="V29" s="81"/>
    </row>
    <row r="30" spans="2:22" ht="48" x14ac:dyDescent="0.2">
      <c r="I30" s="169" t="s">
        <v>705</v>
      </c>
    </row>
    <row r="31" spans="2:22" x14ac:dyDescent="0.2">
      <c r="B31" s="106"/>
      <c r="C31" s="157" t="s">
        <v>706</v>
      </c>
      <c r="E31" s="81" t="s">
        <v>402</v>
      </c>
      <c r="I31" s="217">
        <f t="array" ref="I31:I33">CTRL.voice.migration</f>
        <v>0.25</v>
      </c>
    </row>
    <row r="32" spans="2:22" x14ac:dyDescent="0.2">
      <c r="B32" s="106"/>
      <c r="C32" s="157" t="s">
        <v>707</v>
      </c>
      <c r="E32" s="81" t="s">
        <v>402</v>
      </c>
      <c r="I32" s="217">
        <v>0.75</v>
      </c>
    </row>
    <row r="33" spans="2:9" x14ac:dyDescent="0.2">
      <c r="B33" s="106"/>
      <c r="C33" s="157" t="s">
        <v>708</v>
      </c>
      <c r="E33" s="81" t="s">
        <v>402</v>
      </c>
      <c r="I33" s="217">
        <v>0</v>
      </c>
    </row>
    <row r="34" spans="2:9" x14ac:dyDescent="0.2">
      <c r="B34" s="106"/>
      <c r="I34" s="149"/>
    </row>
    <row r="35" spans="2:9" x14ac:dyDescent="0.2">
      <c r="B35" s="106"/>
      <c r="C35" s="157" t="s">
        <v>709</v>
      </c>
      <c r="E35" s="81" t="s">
        <v>402</v>
      </c>
      <c r="I35" s="219">
        <f t="array" ref="I35:I37">I31:I33</f>
        <v>0.25</v>
      </c>
    </row>
    <row r="36" spans="2:9" x14ac:dyDescent="0.2">
      <c r="B36" s="106"/>
      <c r="C36" s="157" t="s">
        <v>710</v>
      </c>
      <c r="E36" s="81" t="s">
        <v>402</v>
      </c>
      <c r="I36" s="219">
        <v>0.75</v>
      </c>
    </row>
    <row r="37" spans="2:9" x14ac:dyDescent="0.2">
      <c r="B37" s="106"/>
      <c r="C37" s="157" t="s">
        <v>711</v>
      </c>
      <c r="E37" s="81" t="s">
        <v>402</v>
      </c>
      <c r="I37" s="219">
        <v>0</v>
      </c>
    </row>
    <row r="38" spans="2:9" x14ac:dyDescent="0.2">
      <c r="B38" s="106"/>
      <c r="I38" s="149"/>
    </row>
    <row r="39" spans="2:9" x14ac:dyDescent="0.2">
      <c r="B39" s="106"/>
      <c r="C39" s="157" t="s">
        <v>1344</v>
      </c>
      <c r="E39" s="81" t="s">
        <v>402</v>
      </c>
      <c r="I39" s="165">
        <f t="array" ref="I39:I41">CTRL.data.migration</f>
        <v>0.2</v>
      </c>
    </row>
    <row r="40" spans="2:9" x14ac:dyDescent="0.2">
      <c r="B40" s="106"/>
      <c r="C40" s="157" t="s">
        <v>1345</v>
      </c>
      <c r="E40" s="81" t="s">
        <v>402</v>
      </c>
      <c r="I40" s="165">
        <v>0.5</v>
      </c>
    </row>
    <row r="41" spans="2:9" x14ac:dyDescent="0.2">
      <c r="B41" s="106"/>
      <c r="C41" s="157" t="s">
        <v>1346</v>
      </c>
      <c r="E41" s="81" t="s">
        <v>402</v>
      </c>
      <c r="I41" s="165">
        <v>0.3</v>
      </c>
    </row>
    <row r="42" spans="2:9" x14ac:dyDescent="0.2">
      <c r="B42" s="106"/>
      <c r="I42" s="149"/>
    </row>
    <row r="43" spans="2:9" x14ac:dyDescent="0.2">
      <c r="B43" s="106"/>
      <c r="I43" s="149"/>
    </row>
    <row r="44" spans="2:9" x14ac:dyDescent="0.2">
      <c r="B44" s="106"/>
      <c r="I44" s="149"/>
    </row>
    <row r="45" spans="2:9" x14ac:dyDescent="0.2">
      <c r="B45" s="106"/>
      <c r="C45" s="157" t="s">
        <v>712</v>
      </c>
      <c r="E45" s="81" t="s">
        <v>402</v>
      </c>
      <c r="I45" s="219">
        <f>I39</f>
        <v>0.2</v>
      </c>
    </row>
    <row r="46" spans="2:9" x14ac:dyDescent="0.2">
      <c r="B46" s="106"/>
      <c r="C46" s="157" t="s">
        <v>713</v>
      </c>
      <c r="E46" s="81" t="s">
        <v>402</v>
      </c>
      <c r="G46" s="159">
        <v>0.02</v>
      </c>
      <c r="H46" s="81" t="s">
        <v>1347</v>
      </c>
      <c r="I46" s="190">
        <f>I40*G46</f>
        <v>0.01</v>
      </c>
    </row>
    <row r="47" spans="2:9" x14ac:dyDescent="0.2">
      <c r="B47" s="106"/>
      <c r="C47" s="157" t="s">
        <v>714</v>
      </c>
      <c r="E47" s="81" t="s">
        <v>402</v>
      </c>
      <c r="G47" s="123">
        <v>0.8</v>
      </c>
      <c r="H47" s="81" t="s">
        <v>776</v>
      </c>
      <c r="I47" s="250">
        <f>(1-SUM(I45:I46,I49))*G47</f>
        <v>0.39200000000000002</v>
      </c>
    </row>
    <row r="48" spans="2:9" x14ac:dyDescent="0.2">
      <c r="B48" s="106"/>
      <c r="C48" s="157" t="s">
        <v>715</v>
      </c>
      <c r="E48" s="81" t="s">
        <v>402</v>
      </c>
      <c r="G48" s="156">
        <f>1-G47</f>
        <v>0.19999999999999996</v>
      </c>
      <c r="H48" s="81" t="s">
        <v>777</v>
      </c>
      <c r="I48" s="250">
        <f>(1-SUM(I45:I46,I49))*G48</f>
        <v>9.7999999999999976E-2</v>
      </c>
    </row>
    <row r="49" spans="2:15" x14ac:dyDescent="0.2">
      <c r="B49" s="106"/>
      <c r="C49" s="157" t="s">
        <v>716</v>
      </c>
      <c r="E49" s="81" t="s">
        <v>402</v>
      </c>
      <c r="I49" s="249">
        <f>I41</f>
        <v>0.3</v>
      </c>
    </row>
    <row r="53" spans="2:15" x14ac:dyDescent="0.2">
      <c r="B53" s="41" t="s">
        <v>717</v>
      </c>
    </row>
    <row r="54" spans="2:15" ht="36" x14ac:dyDescent="0.2">
      <c r="I54" s="169" t="s">
        <v>702</v>
      </c>
      <c r="K54"/>
      <c r="N54" s="169" t="s">
        <v>1951</v>
      </c>
    </row>
    <row r="55" spans="2:15" x14ac:dyDescent="0.2">
      <c r="C55" s="162" t="str">
        <f t="array" ref="C55:C104">Network.services.list</f>
        <v>2G - Tráfico de voz on-net</v>
      </c>
      <c r="E55" s="162" t="str">
        <f t="array" ref="E55:E104">Network.services.list.units</f>
        <v>minutos</v>
      </c>
      <c r="I55" s="150">
        <f t="array" ref="I55:I61">N$6:N$12*I$31</f>
        <v>3378712583.9453816</v>
      </c>
      <c r="K55"/>
      <c r="N55" s="76">
        <f t="array" ref="N55:N104">Services.demand*Interconnection.voice.selector</f>
        <v>0</v>
      </c>
    </row>
    <row r="56" spans="2:15" x14ac:dyDescent="0.2">
      <c r="C56" s="162" t="str">
        <v>2G - Tráfico de voz saliente a fijo</v>
      </c>
      <c r="E56" s="162" t="str">
        <v>minutos</v>
      </c>
      <c r="I56" s="150">
        <v>211915828.2273019</v>
      </c>
      <c r="K56"/>
      <c r="N56" s="76">
        <v>211915828.2273019</v>
      </c>
    </row>
    <row r="57" spans="2:15" x14ac:dyDescent="0.2">
      <c r="C57" s="162" t="str">
        <v>2G - Tráfico de voz saliente a móvil</v>
      </c>
      <c r="E57" s="162" t="str">
        <v>minutos</v>
      </c>
      <c r="I57" s="150">
        <v>1837583986.1340411</v>
      </c>
      <c r="K57"/>
      <c r="N57" s="76">
        <v>1837583986.1340411</v>
      </c>
    </row>
    <row r="58" spans="2:15" x14ac:dyDescent="0.2">
      <c r="C58" s="162" t="str">
        <v>2G - Tráfico de voz saliente a internacional</v>
      </c>
      <c r="E58" s="162" t="str">
        <v>minutos</v>
      </c>
      <c r="I58" s="150">
        <v>17962225.721637532</v>
      </c>
      <c r="K58"/>
      <c r="N58" s="76">
        <v>17962225.721637532</v>
      </c>
    </row>
    <row r="59" spans="2:15" x14ac:dyDescent="0.2">
      <c r="C59" s="162" t="str">
        <v>2G - Tráfico de voz entrante desde fijo</v>
      </c>
      <c r="E59" s="162" t="str">
        <v>minutos</v>
      </c>
      <c r="I59" s="150">
        <v>100079529.33759733</v>
      </c>
      <c r="K59"/>
      <c r="N59" s="76">
        <v>100079529.33759733</v>
      </c>
    </row>
    <row r="60" spans="2:15" x14ac:dyDescent="0.2">
      <c r="C60" s="162" t="str">
        <v>2G - Tráfico de voz entrante desde móvil</v>
      </c>
      <c r="E60" s="162" t="str">
        <v>minutos</v>
      </c>
      <c r="I60" s="150">
        <v>1837583986.1340413</v>
      </c>
      <c r="K60"/>
      <c r="N60" s="76">
        <v>1837583986.1340413</v>
      </c>
      <c r="O60" s="151"/>
    </row>
    <row r="61" spans="2:15" x14ac:dyDescent="0.2">
      <c r="C61" s="162" t="str">
        <v>2G - Tráfico de voz entrante desde internacional</v>
      </c>
      <c r="E61" s="162" t="str">
        <v>minutos</v>
      </c>
      <c r="I61" s="150">
        <v>31520108.388904903</v>
      </c>
      <c r="K61"/>
      <c r="N61" s="76">
        <v>31520108.388904903</v>
      </c>
      <c r="O61" s="151"/>
    </row>
    <row r="62" spans="2:15" x14ac:dyDescent="0.2">
      <c r="C62" s="162" t="str">
        <v>3G - Tráfico de voz on-net</v>
      </c>
      <c r="E62" s="162" t="str">
        <v>minutos</v>
      </c>
      <c r="I62" s="130">
        <f t="array" ref="I62:I68">N$6:N$12*I$32</f>
        <v>10136137751.836145</v>
      </c>
      <c r="K62"/>
      <c r="N62" s="76">
        <v>0</v>
      </c>
      <c r="O62" s="151"/>
    </row>
    <row r="63" spans="2:15" x14ac:dyDescent="0.2">
      <c r="C63" s="162" t="str">
        <v>3G - Tráfico de voz saliente a fijo</v>
      </c>
      <c r="E63" s="162" t="str">
        <v>minutos</v>
      </c>
      <c r="I63" s="130">
        <v>635747484.68190575</v>
      </c>
      <c r="K63"/>
      <c r="N63" s="76">
        <v>635747484.68190575</v>
      </c>
      <c r="O63" s="151"/>
    </row>
    <row r="64" spans="2:15" x14ac:dyDescent="0.2">
      <c r="C64" s="162" t="str">
        <v>3G - Tráfico de voz saliente a móvil</v>
      </c>
      <c r="E64" s="162" t="str">
        <v>minutos</v>
      </c>
      <c r="I64" s="130">
        <v>5512751958.4021235</v>
      </c>
      <c r="K64"/>
      <c r="N64" s="76">
        <v>5512751958.4021235</v>
      </c>
      <c r="O64" s="151"/>
    </row>
    <row r="65" spans="3:15" x14ac:dyDescent="0.2">
      <c r="C65" s="162" t="str">
        <v>3G - Tráfico de voz saliente a internacional</v>
      </c>
      <c r="E65" s="162" t="str">
        <v>minutos</v>
      </c>
      <c r="I65" s="130">
        <v>53886677.164912596</v>
      </c>
      <c r="K65"/>
      <c r="N65" s="76">
        <v>53886677.164912596</v>
      </c>
      <c r="O65" s="151"/>
    </row>
    <row r="66" spans="3:15" x14ac:dyDescent="0.2">
      <c r="C66" s="162" t="str">
        <v>3G - Tráfico de voz entrante desde fijo</v>
      </c>
      <c r="E66" s="162" t="str">
        <v>minutos</v>
      </c>
      <c r="I66" s="130">
        <v>300238588.01279199</v>
      </c>
      <c r="K66"/>
      <c r="N66" s="76">
        <v>300238588.01279199</v>
      </c>
      <c r="O66" s="151"/>
    </row>
    <row r="67" spans="3:15" x14ac:dyDescent="0.2">
      <c r="C67" s="162" t="str">
        <v>3G - Tráfico de voz entrante desde móvil</v>
      </c>
      <c r="E67" s="162" t="str">
        <v>minutos</v>
      </c>
      <c r="I67" s="130">
        <v>5512751958.4021244</v>
      </c>
      <c r="K67"/>
      <c r="N67" s="76">
        <v>5512751958.4021244</v>
      </c>
      <c r="O67" s="151"/>
    </row>
    <row r="68" spans="3:15" x14ac:dyDescent="0.2">
      <c r="C68" s="162" t="str">
        <v>3G - Tráfico de voz entrante desde internacional</v>
      </c>
      <c r="E68" s="162" t="str">
        <v>minutos</v>
      </c>
      <c r="I68" s="130">
        <v>94560325.166714713</v>
      </c>
      <c r="K68"/>
      <c r="N68" s="76">
        <v>94560325.166714713</v>
      </c>
      <c r="O68" s="151"/>
    </row>
    <row r="69" spans="3:15" x14ac:dyDescent="0.2">
      <c r="C69" s="162" t="str">
        <v>4G - Tráfico de voz on-net</v>
      </c>
      <c r="E69" s="162" t="str">
        <v>minutos</v>
      </c>
      <c r="I69" s="150">
        <f t="array" ref="I69:I75">N$6:N$12*I$33</f>
        <v>0</v>
      </c>
      <c r="K69"/>
      <c r="N69" s="76">
        <v>0</v>
      </c>
      <c r="O69" s="151"/>
    </row>
    <row r="70" spans="3:15" x14ac:dyDescent="0.2">
      <c r="C70" s="162" t="str">
        <v>4G - Tráfico de voz saliente a fijo</v>
      </c>
      <c r="E70" s="162" t="str">
        <v>minutos</v>
      </c>
      <c r="I70" s="150">
        <v>0</v>
      </c>
      <c r="K70"/>
      <c r="N70" s="76">
        <v>0</v>
      </c>
      <c r="O70" s="151"/>
    </row>
    <row r="71" spans="3:15" x14ac:dyDescent="0.2">
      <c r="C71" s="162" t="str">
        <v>4G - Tráfico de voz saliente a móvil</v>
      </c>
      <c r="E71" s="162" t="str">
        <v>minutos</v>
      </c>
      <c r="I71" s="150">
        <v>0</v>
      </c>
      <c r="K71"/>
      <c r="N71" s="76">
        <v>0</v>
      </c>
      <c r="O71" s="151"/>
    </row>
    <row r="72" spans="3:15" x14ac:dyDescent="0.2">
      <c r="C72" s="162" t="str">
        <v>4G - Tráfico de voz saliente a internacional</v>
      </c>
      <c r="E72" s="162" t="str">
        <v>minutos</v>
      </c>
      <c r="I72" s="150">
        <v>0</v>
      </c>
      <c r="K72"/>
      <c r="N72" s="76">
        <v>0</v>
      </c>
      <c r="O72" s="151"/>
    </row>
    <row r="73" spans="3:15" x14ac:dyDescent="0.2">
      <c r="C73" s="162" t="str">
        <v>4G - Tráfico de voz entrante desde fijo</v>
      </c>
      <c r="E73" s="162" t="str">
        <v>minutos</v>
      </c>
      <c r="I73" s="150">
        <v>0</v>
      </c>
      <c r="K73"/>
      <c r="N73" s="76">
        <v>0</v>
      </c>
      <c r="O73" s="151"/>
    </row>
    <row r="74" spans="3:15" x14ac:dyDescent="0.2">
      <c r="C74" s="162" t="str">
        <v>4G - Tráfico de voz entrante desde móvil</v>
      </c>
      <c r="E74" s="162" t="str">
        <v>minutos</v>
      </c>
      <c r="I74" s="150">
        <v>0</v>
      </c>
      <c r="K74"/>
      <c r="N74" s="76">
        <v>0</v>
      </c>
      <c r="O74" s="151"/>
    </row>
    <row r="75" spans="3:15" x14ac:dyDescent="0.2">
      <c r="C75" s="162" t="str">
        <v>4G - Tráfico de voz entrante desde internacional</v>
      </c>
      <c r="E75" s="162" t="str">
        <v>minutos</v>
      </c>
      <c r="I75" s="150">
        <v>0</v>
      </c>
      <c r="K75"/>
      <c r="N75" s="76">
        <v>0</v>
      </c>
      <c r="O75" s="151"/>
    </row>
    <row r="76" spans="3:15" x14ac:dyDescent="0.2">
      <c r="C76" s="162" t="str">
        <v>2G - SMSs on-net</v>
      </c>
      <c r="E76" s="162" t="str">
        <v>SMS</v>
      </c>
      <c r="I76" s="130">
        <f t="array" ref="I76:I78">N$15:N$17*I$35</f>
        <v>467255840.72455692</v>
      </c>
      <c r="K76"/>
      <c r="N76" s="76">
        <v>0</v>
      </c>
      <c r="O76" s="151"/>
    </row>
    <row r="77" spans="3:15" x14ac:dyDescent="0.2">
      <c r="C77" s="162" t="str">
        <v>2G - SMS salientes</v>
      </c>
      <c r="E77" s="162" t="str">
        <v>SMS</v>
      </c>
      <c r="I77" s="130">
        <v>388105567.31469476</v>
      </c>
      <c r="K77"/>
      <c r="N77" s="76">
        <v>0</v>
      </c>
      <c r="O77" s="151"/>
    </row>
    <row r="78" spans="3:15" x14ac:dyDescent="0.2">
      <c r="C78" s="162" t="str">
        <v>2G - SMS entrantes</v>
      </c>
      <c r="E78" s="162" t="str">
        <v>SMS</v>
      </c>
      <c r="I78" s="130">
        <v>353681926.04408157</v>
      </c>
      <c r="K78"/>
      <c r="N78" s="76">
        <v>0</v>
      </c>
      <c r="O78" s="151"/>
    </row>
    <row r="79" spans="3:15" x14ac:dyDescent="0.2">
      <c r="C79" s="162" t="str">
        <v>3G - SMSs on-net</v>
      </c>
      <c r="E79" s="162" t="str">
        <v>SMS</v>
      </c>
      <c r="I79" s="80">
        <f t="array" ref="I79:I81">N$15:N$17*I$36</f>
        <v>1401767522.1736708</v>
      </c>
      <c r="K79"/>
      <c r="N79" s="76">
        <v>0</v>
      </c>
      <c r="O79" s="151"/>
    </row>
    <row r="80" spans="3:15" x14ac:dyDescent="0.2">
      <c r="C80" s="162" t="str">
        <v>3G - SMS salientes</v>
      </c>
      <c r="E80" s="162" t="str">
        <v>SMS</v>
      </c>
      <c r="I80" s="80">
        <v>1164316701.9440842</v>
      </c>
      <c r="K80"/>
      <c r="N80" s="76">
        <v>0</v>
      </c>
      <c r="O80" s="151"/>
    </row>
    <row r="81" spans="3:15" x14ac:dyDescent="0.2">
      <c r="C81" s="162" t="str">
        <v>3G - SMS entrantes</v>
      </c>
      <c r="E81" s="162" t="str">
        <v>SMS</v>
      </c>
      <c r="I81" s="80">
        <v>1061045778.1322447</v>
      </c>
      <c r="K81"/>
      <c r="N81" s="76">
        <v>0</v>
      </c>
      <c r="O81" s="151"/>
    </row>
    <row r="82" spans="3:15" x14ac:dyDescent="0.2">
      <c r="C82" s="162" t="str">
        <v>4G - SMSs on-net</v>
      </c>
      <c r="E82" s="162" t="str">
        <v>SMS</v>
      </c>
      <c r="I82" s="130">
        <f t="array" ref="I82:I84">N$15:N$17*I$37</f>
        <v>0</v>
      </c>
      <c r="K82"/>
      <c r="N82" s="76">
        <v>0</v>
      </c>
      <c r="O82" s="151"/>
    </row>
    <row r="83" spans="3:15" x14ac:dyDescent="0.2">
      <c r="C83" s="162" t="str">
        <v>4G - SMS salientes</v>
      </c>
      <c r="E83" s="162" t="str">
        <v>SMS</v>
      </c>
      <c r="I83" s="130">
        <v>0</v>
      </c>
      <c r="K83"/>
      <c r="N83" s="76">
        <v>0</v>
      </c>
      <c r="O83" s="151"/>
    </row>
    <row r="84" spans="3:15" x14ac:dyDescent="0.2">
      <c r="C84" s="162" t="str">
        <v>4G - SMS entrantes</v>
      </c>
      <c r="E84" s="162" t="str">
        <v>SMS</v>
      </c>
      <c r="I84" s="130">
        <v>0</v>
      </c>
      <c r="K84"/>
      <c r="N84" s="76">
        <v>0</v>
      </c>
      <c r="O84" s="151"/>
    </row>
    <row r="85" spans="3:15" x14ac:dyDescent="0.2">
      <c r="C85" s="162" t="str">
        <v>GPRS data Mbytes</v>
      </c>
      <c r="E85" s="162" t="str">
        <v>Mbytes</v>
      </c>
      <c r="I85" s="150">
        <f t="array" ref="I85:I89">N$20*I$45:I$49</f>
        <v>30992071983.579018</v>
      </c>
      <c r="K85"/>
      <c r="N85" s="76">
        <v>0</v>
      </c>
      <c r="O85" s="151"/>
    </row>
    <row r="86" spans="3:15" x14ac:dyDescent="0.2">
      <c r="C86" s="162" t="str">
        <v>R99 data Mbytes</v>
      </c>
      <c r="E86" s="162" t="str">
        <v>Mbytes</v>
      </c>
      <c r="I86" s="150">
        <v>1549603599.1789508</v>
      </c>
      <c r="K86"/>
      <c r="N86" s="76">
        <v>0</v>
      </c>
      <c r="O86" s="151"/>
    </row>
    <row r="87" spans="3:15" x14ac:dyDescent="0.2">
      <c r="C87" s="162" t="str">
        <v>HSDPA data Mbytes</v>
      </c>
      <c r="E87" s="162" t="str">
        <v>Mbytes</v>
      </c>
      <c r="I87" s="150">
        <v>60744461087.814873</v>
      </c>
      <c r="K87"/>
      <c r="N87" s="76">
        <v>0</v>
      </c>
      <c r="O87" s="151"/>
    </row>
    <row r="88" spans="3:15" x14ac:dyDescent="0.2">
      <c r="C88" s="162" t="str">
        <v>HSUPA data Mbytes</v>
      </c>
      <c r="E88" s="162" t="str">
        <v>Mbytes</v>
      </c>
      <c r="I88" s="150">
        <v>15186115271.953714</v>
      </c>
      <c r="K88"/>
      <c r="N88" s="76">
        <v>0</v>
      </c>
      <c r="O88" s="151"/>
    </row>
    <row r="89" spans="3:15" x14ac:dyDescent="0.2">
      <c r="C89" s="162" t="str">
        <v>LTE data Mbytes</v>
      </c>
      <c r="E89" s="162" t="str">
        <v>Mbytes</v>
      </c>
      <c r="I89" s="150">
        <v>46488107975.368523</v>
      </c>
      <c r="K89"/>
      <c r="N89" s="76">
        <v>0</v>
      </c>
      <c r="O89" s="151"/>
    </row>
    <row r="90" spans="3:15" x14ac:dyDescent="0.2">
      <c r="C90" s="162" t="str">
        <v>spare</v>
      </c>
      <c r="E90" s="162" t="str">
        <v>spare</v>
      </c>
      <c r="I90" s="237">
        <v>0</v>
      </c>
      <c r="K90"/>
      <c r="N90" s="76">
        <v>0</v>
      </c>
      <c r="O90" s="151"/>
    </row>
    <row r="91" spans="3:15" x14ac:dyDescent="0.2">
      <c r="C91" s="162" t="str">
        <v>Suscriptores de solo voz (media del año)</v>
      </c>
      <c r="E91" s="162" t="str">
        <v>suscriptores</v>
      </c>
      <c r="I91" s="116">
        <f t="array" ref="I91:I92">N$22:N$23</f>
        <v>5816039.3333333302</v>
      </c>
      <c r="K91"/>
      <c r="N91" s="76">
        <v>0</v>
      </c>
      <c r="O91" s="151"/>
    </row>
    <row r="92" spans="3:15" x14ac:dyDescent="0.2">
      <c r="C92" s="162" t="str">
        <v>Suscriptores de voz y datos (media del año)</v>
      </c>
      <c r="E92" s="162" t="str">
        <v>suscriptores</v>
      </c>
      <c r="I92" s="116">
        <v>5671666.666666666</v>
      </c>
      <c r="K92"/>
      <c r="N92" s="76">
        <v>0</v>
      </c>
      <c r="O92" s="151"/>
    </row>
    <row r="93" spans="3:15" x14ac:dyDescent="0.2">
      <c r="C93" s="162" t="str">
        <v>spare</v>
      </c>
      <c r="E93" s="162" t="str">
        <v>spare</v>
      </c>
      <c r="I93" s="237">
        <v>0</v>
      </c>
      <c r="K93"/>
      <c r="N93" s="76">
        <v>0</v>
      </c>
      <c r="O93" s="151"/>
    </row>
    <row r="94" spans="3:15" x14ac:dyDescent="0.2">
      <c r="C94" s="162" t="str">
        <v>spare</v>
      </c>
      <c r="E94" s="162" t="str">
        <v>spare</v>
      </c>
      <c r="I94" s="237">
        <v>0</v>
      </c>
      <c r="K94"/>
      <c r="N94" s="76">
        <v>0</v>
      </c>
      <c r="O94" s="151"/>
    </row>
    <row r="95" spans="3:15" x14ac:dyDescent="0.2">
      <c r="C95" s="162" t="str">
        <v>spare</v>
      </c>
      <c r="E95" s="162" t="str">
        <v>spare</v>
      </c>
      <c r="I95" s="237">
        <v>0</v>
      </c>
      <c r="K95"/>
      <c r="N95" s="76">
        <v>0</v>
      </c>
      <c r="O95" s="151"/>
    </row>
    <row r="96" spans="3:15" x14ac:dyDescent="0.2">
      <c r="C96" s="162" t="str">
        <v>spare</v>
      </c>
      <c r="E96" s="162" t="str">
        <v>spare</v>
      </c>
      <c r="I96" s="237">
        <v>0</v>
      </c>
      <c r="K96"/>
      <c r="N96" s="76">
        <v>0</v>
      </c>
      <c r="O96" s="151"/>
    </row>
    <row r="97" spans="1:15" x14ac:dyDescent="0.2">
      <c r="C97" s="162" t="str">
        <v>spare</v>
      </c>
      <c r="E97" s="162" t="str">
        <v>spare</v>
      </c>
      <c r="I97" s="237">
        <v>0</v>
      </c>
      <c r="K97"/>
      <c r="N97" s="76">
        <v>0</v>
      </c>
      <c r="O97" s="151"/>
    </row>
    <row r="98" spans="1:15" x14ac:dyDescent="0.2">
      <c r="C98" s="162" t="str">
        <v>spare</v>
      </c>
      <c r="E98" s="162" t="str">
        <v>spare</v>
      </c>
      <c r="I98" s="237">
        <v>0</v>
      </c>
      <c r="K98"/>
      <c r="N98" s="76">
        <v>0</v>
      </c>
      <c r="O98" s="151"/>
    </row>
    <row r="99" spans="1:15" x14ac:dyDescent="0.2">
      <c r="C99" s="162" t="str">
        <v>spare</v>
      </c>
      <c r="E99" s="162" t="str">
        <v>spare</v>
      </c>
      <c r="I99" s="237">
        <v>0</v>
      </c>
      <c r="K99"/>
      <c r="N99" s="100">
        <v>0</v>
      </c>
      <c r="O99" s="151"/>
    </row>
    <row r="100" spans="1:15" x14ac:dyDescent="0.2">
      <c r="C100" s="162" t="str">
        <v>spare</v>
      </c>
      <c r="E100" s="162" t="str">
        <v>spare</v>
      </c>
      <c r="I100" s="237">
        <v>0</v>
      </c>
      <c r="K100"/>
      <c r="N100" s="100">
        <v>0</v>
      </c>
      <c r="O100" s="151"/>
    </row>
    <row r="101" spans="1:15" x14ac:dyDescent="0.2">
      <c r="C101" s="162" t="str">
        <v>spare</v>
      </c>
      <c r="E101" s="162" t="str">
        <v>spare</v>
      </c>
      <c r="I101" s="237">
        <v>0</v>
      </c>
      <c r="K101"/>
      <c r="N101" s="125">
        <v>0</v>
      </c>
      <c r="O101" s="151"/>
    </row>
    <row r="102" spans="1:15" x14ac:dyDescent="0.2">
      <c r="C102" s="162" t="str">
        <v>spare</v>
      </c>
      <c r="E102" s="162" t="str">
        <v>spare</v>
      </c>
      <c r="I102" s="237">
        <v>0</v>
      </c>
      <c r="K102"/>
      <c r="N102" s="125">
        <v>0</v>
      </c>
      <c r="O102" s="151"/>
    </row>
    <row r="103" spans="1:15" x14ac:dyDescent="0.2">
      <c r="C103" s="162" t="str">
        <v>spare</v>
      </c>
      <c r="E103" s="162" t="str">
        <v>spare</v>
      </c>
      <c r="I103" s="237">
        <v>0</v>
      </c>
      <c r="K103"/>
      <c r="N103" s="125">
        <v>0</v>
      </c>
      <c r="O103" s="151"/>
    </row>
    <row r="104" spans="1:15" x14ac:dyDescent="0.2">
      <c r="C104" s="162" t="str">
        <v>spare</v>
      </c>
      <c r="E104" s="162" t="str">
        <v>spare</v>
      </c>
      <c r="I104" s="237">
        <v>0</v>
      </c>
      <c r="K104"/>
      <c r="N104" s="125">
        <v>0</v>
      </c>
      <c r="O104" s="151"/>
    </row>
    <row r="105" spans="1:15" x14ac:dyDescent="0.2">
      <c r="C105"/>
      <c r="D105"/>
      <c r="E105"/>
      <c r="F105"/>
      <c r="I105" s="88" t="s">
        <v>45</v>
      </c>
      <c r="N105" s="151"/>
      <c r="O105" s="151"/>
    </row>
    <row r="106" spans="1:15" x14ac:dyDescent="0.2">
      <c r="N106" s="77">
        <f>SUM(N55:N104)</f>
        <v>16146582655.774099</v>
      </c>
    </row>
    <row r="107" spans="1:15" x14ac:dyDescent="0.2">
      <c r="N107" s="88" t="s">
        <v>1955</v>
      </c>
    </row>
    <row r="108" spans="1:15" x14ac:dyDescent="0.2">
      <c r="B108" s="41" t="s">
        <v>719</v>
      </c>
    </row>
    <row r="109" spans="1:15" ht="24" x14ac:dyDescent="0.2">
      <c r="A109"/>
      <c r="B109"/>
      <c r="C109"/>
      <c r="I109" s="173" t="s">
        <v>720</v>
      </c>
    </row>
    <row r="110" spans="1:15" x14ac:dyDescent="0.2">
      <c r="B110" s="195">
        <v>1</v>
      </c>
      <c r="C110" s="7" t="str">
        <f t="shared" ref="C110:C116" si="1">INDEX(Mobile.market.services.list,B110,)</f>
        <v>Tráfico de voz on-net</v>
      </c>
      <c r="E110" s="81" t="s">
        <v>412</v>
      </c>
      <c r="I110" s="238">
        <f t="array" ref="I110:I116">CTRL.Call.durations</f>
        <v>1.7</v>
      </c>
    </row>
    <row r="111" spans="1:15" x14ac:dyDescent="0.2">
      <c r="B111" s="195">
        <v>2</v>
      </c>
      <c r="C111" s="7" t="str">
        <f t="shared" si="1"/>
        <v>Tráfico de voz saliente a fijo</v>
      </c>
      <c r="E111" s="81" t="s">
        <v>412</v>
      </c>
      <c r="I111" s="238">
        <v>1.6</v>
      </c>
    </row>
    <row r="112" spans="1:15" x14ac:dyDescent="0.2">
      <c r="B112" s="195">
        <v>3</v>
      </c>
      <c r="C112" s="7" t="str">
        <f t="shared" si="1"/>
        <v>Tráfico de voz saliente a móvil</v>
      </c>
      <c r="E112" s="81" t="s">
        <v>412</v>
      </c>
      <c r="I112" s="238">
        <v>1.3</v>
      </c>
    </row>
    <row r="113" spans="2:9" x14ac:dyDescent="0.2">
      <c r="B113" s="195">
        <v>4</v>
      </c>
      <c r="C113" s="7" t="str">
        <f t="shared" si="1"/>
        <v>Tráfico de voz saliente a internacional</v>
      </c>
      <c r="E113" s="81" t="s">
        <v>412</v>
      </c>
      <c r="I113" s="238">
        <v>2.1</v>
      </c>
    </row>
    <row r="114" spans="2:9" x14ac:dyDescent="0.2">
      <c r="B114" s="195">
        <v>5</v>
      </c>
      <c r="C114" s="7" t="str">
        <f t="shared" si="1"/>
        <v>Tráfico de voz entrante desde fijo</v>
      </c>
      <c r="E114" s="81" t="s">
        <v>412</v>
      </c>
      <c r="I114" s="238">
        <v>1.6</v>
      </c>
    </row>
    <row r="115" spans="2:9" x14ac:dyDescent="0.2">
      <c r="B115" s="195">
        <v>6</v>
      </c>
      <c r="C115" s="7" t="str">
        <f t="shared" si="1"/>
        <v>Tráfico de voz entrante desde móvil</v>
      </c>
      <c r="E115" s="81" t="s">
        <v>412</v>
      </c>
      <c r="I115" s="238">
        <v>1.3</v>
      </c>
    </row>
    <row r="116" spans="2:9" x14ac:dyDescent="0.2">
      <c r="B116" s="195">
        <v>7</v>
      </c>
      <c r="C116" s="7" t="str">
        <f t="shared" si="1"/>
        <v>Tráfico de voz entrante desde internacional</v>
      </c>
      <c r="E116" s="81" t="s">
        <v>412</v>
      </c>
      <c r="I116" s="238">
        <v>2.1</v>
      </c>
    </row>
    <row r="117" spans="2:9" x14ac:dyDescent="0.2">
      <c r="I117" s="88" t="s">
        <v>422</v>
      </c>
    </row>
  </sheetData>
  <conditionalFormatting sqref="C6:C25 E6:E25">
    <cfRule type="cellIs" dxfId="258" priority="3" operator="equal">
      <formula>"spare"</formula>
    </cfRule>
  </conditionalFormatting>
  <conditionalFormatting sqref="E55:E104 C55:C104">
    <cfRule type="cellIs" dxfId="257" priority="2" operator="equal">
      <formula>"spare"</formula>
    </cfRule>
  </conditionalFormatting>
  <conditionalFormatting sqref="C110:C116">
    <cfRule type="cellIs" dxfId="256" priority="1" operator="equal">
      <formula>"spare"</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2060"/>
    <pageSetUpPr autoPageBreaks="0"/>
  </sheetPr>
  <dimension ref="A1:H1"/>
  <sheetViews>
    <sheetView zoomScale="120" zoomScaleNormal="120" workbookViewId="0"/>
  </sheetViews>
  <sheetFormatPr baseColWidth="10" defaultColWidth="0" defaultRowHeight="12" zeroHeight="1" x14ac:dyDescent="0.2"/>
  <cols>
    <col min="1" max="1" width="6.7109375" style="81" customWidth="1"/>
    <col min="2" max="2" width="12.7109375" style="81" customWidth="1"/>
    <col min="3" max="3" width="19.7109375" style="81" customWidth="1"/>
    <col min="4" max="8" width="12.7109375" style="81" customWidth="1"/>
    <col min="9" max="16384" width="12.7109375" style="81" hidden="1"/>
  </cols>
  <sheetData>
    <row r="1" spans="4:4" s="145" customFormat="1" ht="45" customHeight="1" x14ac:dyDescent="0.2">
      <c r="D1" s="146" t="s">
        <v>1930</v>
      </c>
    </row>
  </sheetData>
  <pageMargins left="0.70866141732283472" right="0.70866141732283472" top="0.51181102362204722" bottom="0.51181102362204722" header="0.51181102362204722" footer="0.35433070866141736"/>
  <pageSetup paperSize="9" orientation="landscape" horizontalDpi="4294967292" verticalDpi="4294967292" r:id="rId1"/>
  <headerFooter alignWithMargins="0">
    <oddFooter xml:space="preserve">&amp;L&amp;F : &amp;A&amp;CPrinted at &amp;T on &amp;D&amp;RCommercial in confidence © Analysys Mason </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21</vt:i4>
      </vt:variant>
      <vt:variant>
        <vt:lpstr>Rangos con nombre</vt:lpstr>
      </vt:variant>
      <vt:variant>
        <vt:i4>493</vt:i4>
      </vt:variant>
    </vt:vector>
  </HeadingPairs>
  <TitlesOfParts>
    <vt:vector size="514" baseType="lpstr">
      <vt:lpstr>C</vt:lpstr>
      <vt:lpstr>S</vt:lpstr>
      <vt:lpstr>M_C --&gt;</vt:lpstr>
      <vt:lpstr>Control</vt:lpstr>
      <vt:lpstr>Lists</vt:lpstr>
      <vt:lpstr>M_M --&gt;</vt:lpstr>
      <vt:lpstr>Trafico</vt:lpstr>
      <vt:lpstr>Demand</vt:lpstr>
      <vt:lpstr>M_C_R --&gt;</vt:lpstr>
      <vt:lpstr>NetworkDemand</vt:lpstr>
      <vt:lpstr>UtilisationFactors</vt:lpstr>
      <vt:lpstr>NwDesignInputs</vt:lpstr>
      <vt:lpstr>NetworkDesign</vt:lpstr>
      <vt:lpstr>AssetsInputs</vt:lpstr>
      <vt:lpstr>TotalNetwork</vt:lpstr>
      <vt:lpstr>Annualization</vt:lpstr>
      <vt:lpstr>ErlangTables</vt:lpstr>
      <vt:lpstr>M_C_S --&gt;</vt:lpstr>
      <vt:lpstr>RouteingFactors</vt:lpstr>
      <vt:lpstr>LRAIC+</vt:lpstr>
      <vt:lpstr>Results</vt:lpstr>
      <vt:lpstr>Annual.cost.by.element</vt:lpstr>
      <vt:lpstr>'C'!Área_de_impresión</vt:lpstr>
      <vt:lpstr>Asset.lifetimes</vt:lpstr>
      <vt:lpstr>Assets.category</vt:lpstr>
      <vt:lpstr>Assets.cost.trend.names</vt:lpstr>
      <vt:lpstr>Assets.list</vt:lpstr>
      <vt:lpstr>Assets.routeing.factor</vt:lpstr>
      <vt:lpstr>Backhaul.and.core.transmission.technologies</vt:lpstr>
      <vt:lpstr>Backhaul.ATM.Ladder</vt:lpstr>
      <vt:lpstr>Backhaul.Ethernet.Ladder</vt:lpstr>
      <vt:lpstr>Backhaul.rate.ATM</vt:lpstr>
      <vt:lpstr>Backhaul.rate.Ethernet</vt:lpstr>
      <vt:lpstr>Backhaul.technology.selected</vt:lpstr>
      <vt:lpstr>Backhaul.technology.used</vt:lpstr>
      <vt:lpstr>Backhaul.transmission.protocol.used</vt:lpstr>
      <vt:lpstr>Bits.per.byte</vt:lpstr>
      <vt:lpstr>boolean</vt:lpstr>
      <vt:lpstr>BSC.capacity.used</vt:lpstr>
      <vt:lpstr>BSC.Core.ATM.Ladder</vt:lpstr>
      <vt:lpstr>BSC.Core.Data.Protocol</vt:lpstr>
      <vt:lpstr>BSC.Core.Ethernet.Ladder</vt:lpstr>
      <vt:lpstr>BSC.Core.Redundancy</vt:lpstr>
      <vt:lpstr>BSC.Core.Voice.Protocol</vt:lpstr>
      <vt:lpstr>BSC.Ladder</vt:lpstr>
      <vt:lpstr>Call.durations</vt:lpstr>
      <vt:lpstr>Canon.Espectro.USD</vt:lpstr>
      <vt:lpstr>Capacity.BSC</vt:lpstr>
      <vt:lpstr>Capacity.RNC</vt:lpstr>
      <vt:lpstr>CAPEX</vt:lpstr>
      <vt:lpstr>Capex.cost.trend.by.asset</vt:lpstr>
      <vt:lpstr>Capex.cost.trends</vt:lpstr>
      <vt:lpstr>Carriers.3G.total</vt:lpstr>
      <vt:lpstr>Carriers.LTE.total</vt:lpstr>
      <vt:lpstr>CE.capacity.sites</vt:lpstr>
      <vt:lpstr>CE.coverage.sites</vt:lpstr>
      <vt:lpstr>Channel.size.GSM</vt:lpstr>
      <vt:lpstr>Channel.size.LTE</vt:lpstr>
      <vt:lpstr>Channel.size.UMTS</vt:lpstr>
      <vt:lpstr>Channels.GSM.Capacity</vt:lpstr>
      <vt:lpstr>Channels.GSM.Coverage</vt:lpstr>
      <vt:lpstr>Channels.HSPA.Capacity</vt:lpstr>
      <vt:lpstr>Channels.HSPA.Coverage</vt:lpstr>
      <vt:lpstr>Channels.LTE.Capacity</vt:lpstr>
      <vt:lpstr>Channels.LTE.Capacity.first.capacity.band</vt:lpstr>
      <vt:lpstr>Channels.LTE.Capacity.fourth.capacity.band</vt:lpstr>
      <vt:lpstr>Channels.LTE.Capacity.second.capacity.band</vt:lpstr>
      <vt:lpstr>Channels.LTE.Capacity.third.capacity.band</vt:lpstr>
      <vt:lpstr>Channels.LTE.Coverage</vt:lpstr>
      <vt:lpstr>Channels.per.carrier</vt:lpstr>
      <vt:lpstr>Channels.per.TRX</vt:lpstr>
      <vt:lpstr>Channels.UMTS.Capacity</vt:lpstr>
      <vt:lpstr>Channels.UMTS.Coverage</vt:lpstr>
      <vt:lpstr>Check.GPRS.capacity</vt:lpstr>
      <vt:lpstr>Check.GSM.microcells</vt:lpstr>
      <vt:lpstr>Check.LTE.capacity.sites</vt:lpstr>
      <vt:lpstr>Check.LTE.microcells</vt:lpstr>
      <vt:lpstr>Check.UMTS.HSPA.capacity.sites</vt:lpstr>
      <vt:lpstr>Check.UMTS.HSPA.microcells</vt:lpstr>
      <vt:lpstr>choice</vt:lpstr>
      <vt:lpstr>CK.size</vt:lpstr>
      <vt:lpstr>core.channel.rate</vt:lpstr>
      <vt:lpstr>Core.Core.ATM.Ladder</vt:lpstr>
      <vt:lpstr>Core.Core.Data.Protocol</vt:lpstr>
      <vt:lpstr>Core.Core.Ethernet.Ladder</vt:lpstr>
      <vt:lpstr>Core.Core.fibre.distance</vt:lpstr>
      <vt:lpstr>Core.Core.MW.distance</vt:lpstr>
      <vt:lpstr>Core.Core.Voice.Protocol</vt:lpstr>
      <vt:lpstr>Core.LL.ATM.Ladder</vt:lpstr>
      <vt:lpstr>Core.LL.Ethernet.Ladder</vt:lpstr>
      <vt:lpstr>Core.LL.per.core.site</vt:lpstr>
      <vt:lpstr>Core.nodes</vt:lpstr>
      <vt:lpstr>Core.rate.ATM</vt:lpstr>
      <vt:lpstr>Core.rate.Ethernet</vt:lpstr>
      <vt:lpstr>Core.ring.technology.by.node.used</vt:lpstr>
      <vt:lpstr>Core.ring.technology.used</vt:lpstr>
      <vt:lpstr>Core.ring.transmission.protocol.used</vt:lpstr>
      <vt:lpstr>Core.rings.names</vt:lpstr>
      <vt:lpstr>Core.rings.nodes.per.ring.for.equipment</vt:lpstr>
      <vt:lpstr>Core.rings.nodes.per.ring.for.traffic</vt:lpstr>
      <vt:lpstr>Core.technology.selected</vt:lpstr>
      <vt:lpstr>Cost.with.interconnection</vt:lpstr>
      <vt:lpstr>Cost.without.interconnection</vt:lpstr>
      <vt:lpstr>COSTOS.COMUNES</vt:lpstr>
      <vt:lpstr>CTRL._.data.in.data.BH</vt:lpstr>
      <vt:lpstr>CTRL._.data.in.voice.BH</vt:lpstr>
      <vt:lpstr>CTRL._.voice.in.data.BH</vt:lpstr>
      <vt:lpstr>CTRL._.voice.in.voice.BH</vt:lpstr>
      <vt:lpstr>CTRL._.weekly.traffic.BH.days</vt:lpstr>
      <vt:lpstr>CTRL.2G.coverage</vt:lpstr>
      <vt:lpstr>CTRL.3G.coverage</vt:lpstr>
      <vt:lpstr>CTRL.4G.coverage</vt:lpstr>
      <vt:lpstr>CTRL.BH.days.per.year</vt:lpstr>
      <vt:lpstr>CTRL.BSC.sites</vt:lpstr>
      <vt:lpstr>CTRL.Call.durations</vt:lpstr>
      <vt:lpstr>CTRL.common.costs.markup</vt:lpstr>
      <vt:lpstr>CTRL.data.distribution.2G</vt:lpstr>
      <vt:lpstr>CTRL.data.distribution.3G</vt:lpstr>
      <vt:lpstr>CTRL.data.distribution.4G</vt:lpstr>
      <vt:lpstr>CTRL.data.migration</vt:lpstr>
      <vt:lpstr>CTRL.depreciation.selected</vt:lpstr>
      <vt:lpstr>CTRL.main.switching.sites</vt:lpstr>
      <vt:lpstr>CTRL.microcells.for.coverage</vt:lpstr>
      <vt:lpstr>CTRL.NBV.assumption</vt:lpstr>
      <vt:lpstr>CTRL.operator.selected</vt:lpstr>
      <vt:lpstr>CTRL.RNC.sites</vt:lpstr>
      <vt:lpstr>CTRL.scenario.selected</vt:lpstr>
      <vt:lpstr>CTRL.spectrum.available.fifth.band</vt:lpstr>
      <vt:lpstr>CTRL.spectrum.available.fourth.band</vt:lpstr>
      <vt:lpstr>CTRL.spectrum.available.second.band</vt:lpstr>
      <vt:lpstr>CTRL.spectrum.available.sixth.band</vt:lpstr>
      <vt:lpstr>CTRL.spectrum.available.third.band</vt:lpstr>
      <vt:lpstr>CTRL.spectrum.capacity.GSM</vt:lpstr>
      <vt:lpstr>CTRL.spectrum.capacity.LTE.first.band</vt:lpstr>
      <vt:lpstr>CTRL.spectrum.capacity.LTE.fourth.band</vt:lpstr>
      <vt:lpstr>CTRL.spectrum.capacity.LTE.second.band</vt:lpstr>
      <vt:lpstr>CTRL.spectrum.capacity.LTE.third.band</vt:lpstr>
      <vt:lpstr>CTRL.spectrum.capacity.UMTS</vt:lpstr>
      <vt:lpstr>CTRL.spectrum.coverage.GSM</vt:lpstr>
      <vt:lpstr>CTRL.spectrum.coverage.LTE</vt:lpstr>
      <vt:lpstr>CTRL.spectrum.coverage.UMTS</vt:lpstr>
      <vt:lpstr>CTRL.spectrum.fourth.band.used.for.2G</vt:lpstr>
      <vt:lpstr>CTRL.spectrum.fourth.band.used.for.3G</vt:lpstr>
      <vt:lpstr>CTRL.spectrum.second.band.used.for.2G</vt:lpstr>
      <vt:lpstr>CTRL.spectrum.second.band.used.for.3G</vt:lpstr>
      <vt:lpstr>CTRL.spectrum.third.band.used.for.2G</vt:lpstr>
      <vt:lpstr>CTRL.spectrum.third.band.used.for.3G</vt:lpstr>
      <vt:lpstr>CTRL.voice.distribution.2G</vt:lpstr>
      <vt:lpstr>CTRL.voice.distribution.3G</vt:lpstr>
      <vt:lpstr>CTRL.voice.distribution.4G</vt:lpstr>
      <vt:lpstr>CTRL.voice.migration</vt:lpstr>
      <vt:lpstr>CTRL.WACC</vt:lpstr>
      <vt:lpstr>CTRL.year.selected</vt:lpstr>
      <vt:lpstr>Data.services.list</vt:lpstr>
      <vt:lpstr>Data.services.list.units</vt:lpstr>
      <vt:lpstr>Data.traffic.main</vt:lpstr>
      <vt:lpstr>Depreciation</vt:lpstr>
      <vt:lpstr>Depreciation.methodologies</vt:lpstr>
      <vt:lpstr>Distribution.of.traffic.data.core</vt:lpstr>
      <vt:lpstr>Distribution.of.traffic.voice.core</vt:lpstr>
      <vt:lpstr>EDGE.channel.rate</vt:lpstr>
      <vt:lpstr>epsilon</vt:lpstr>
      <vt:lpstr>Erlang.Table</vt:lpstr>
      <vt:lpstr>Erlang.table.2G</vt:lpstr>
      <vt:lpstr>Erlang.table.2G.blocking.selected</vt:lpstr>
      <vt:lpstr>Erlang.Table.Channels</vt:lpstr>
      <vt:lpstr>Erlang.Table.Header</vt:lpstr>
      <vt:lpstr>Erlang.Table.Header.3G</vt:lpstr>
      <vt:lpstr>Erlang.Table.R99.Carriers</vt:lpstr>
      <vt:lpstr>Erlang.Table.R99.Carriers.3G</vt:lpstr>
      <vt:lpstr>Erlang.table.R99.Carriers.3G.blocking.selected</vt:lpstr>
      <vt:lpstr>Erlang.Table.R99.CE</vt:lpstr>
      <vt:lpstr>Erlang.Table.TRXs</vt:lpstr>
      <vt:lpstr>Frequencies</vt:lpstr>
      <vt:lpstr>Frequencies2</vt:lpstr>
      <vt:lpstr>Geotypes</vt:lpstr>
      <vt:lpstr>Geotypes.area</vt:lpstr>
      <vt:lpstr>GPRS.channel.per.sector</vt:lpstr>
      <vt:lpstr>GPRS.channel.rate</vt:lpstr>
      <vt:lpstr>GPRS.EDGE.channel.ratio</vt:lpstr>
      <vt:lpstr>GSM.Area.Coverage</vt:lpstr>
      <vt:lpstr>GSM.Area.Site</vt:lpstr>
      <vt:lpstr>GSM.blocking.probability</vt:lpstr>
      <vt:lpstr>GSM.Blocking.Rate.Used</vt:lpstr>
      <vt:lpstr>GSM.BTS.by.sector</vt:lpstr>
      <vt:lpstr>GSM.BTS.capacity</vt:lpstr>
      <vt:lpstr>GSM.channel.rate</vt:lpstr>
      <vt:lpstr>GSM.coverage.sites</vt:lpstr>
      <vt:lpstr>GSM.data.traffic.distribution</vt:lpstr>
      <vt:lpstr>GSM.minimum.TRX.capacity.layer</vt:lpstr>
      <vt:lpstr>GSM.minimum.TRX.coverage.layer</vt:lpstr>
      <vt:lpstr>GSM.Network.Voice.BHE</vt:lpstr>
      <vt:lpstr>GSM.reuse</vt:lpstr>
      <vt:lpstr>GSM.reuse.factor.used</vt:lpstr>
      <vt:lpstr>GSM.sectorisation</vt:lpstr>
      <vt:lpstr>GSM.TRX.capacity.layer</vt:lpstr>
      <vt:lpstr>GSM.TRX.coverage.and.capacity.layers</vt:lpstr>
      <vt:lpstr>GSM.TRX.coverage.layer</vt:lpstr>
      <vt:lpstr>HSDPA.evolution.deployed</vt:lpstr>
      <vt:lpstr>HSDPA.Ladder</vt:lpstr>
      <vt:lpstr>HSDPA.minimum.carriers.deployment</vt:lpstr>
      <vt:lpstr>HSDPA.Network.BHMbits</vt:lpstr>
      <vt:lpstr>HSPA.carriers.on.coverage.sites</vt:lpstr>
      <vt:lpstr>HSPA.peak.to.effective</vt:lpstr>
      <vt:lpstr>HSUPA.evolution.deployed</vt:lpstr>
      <vt:lpstr>HSUPA.Ladder</vt:lpstr>
      <vt:lpstr>HSUPA.minimum.carriers.deployment</vt:lpstr>
      <vt:lpstr>HSUPA.Network.BHMbits</vt:lpstr>
      <vt:lpstr>Hub.Core.Link.ATM.Ladder</vt:lpstr>
      <vt:lpstr>Hub.Core.Link.Ethernet.Ladder</vt:lpstr>
      <vt:lpstr>Hub.core.rings.length</vt:lpstr>
      <vt:lpstr>Hub.core.transmission.protocol.selected</vt:lpstr>
      <vt:lpstr>Hubs.per.link</vt:lpstr>
      <vt:lpstr>Hubs.per.link.inputs</vt:lpstr>
      <vt:lpstr>Incoming.voice.traffic.from.fixed.national</vt:lpstr>
      <vt:lpstr>Incoming.voice.traffic.from.international</vt:lpstr>
      <vt:lpstr>Incoming.voice.traffic.from.mobile.national</vt:lpstr>
      <vt:lpstr>Inflation.rate.average</vt:lpstr>
      <vt:lpstr>Interconnection.traffic.volume</vt:lpstr>
      <vt:lpstr>Interconnection.traffic.volume.for.macro</vt:lpstr>
      <vt:lpstr>Interconnection.voice.selector</vt:lpstr>
      <vt:lpstr>Kbits.per.Mbits</vt:lpstr>
      <vt:lpstr>Lifetimes</vt:lpstr>
      <vt:lpstr>LMA.hub.colocation</vt:lpstr>
      <vt:lpstr>LMA.hub.colocation.inputs</vt:lpstr>
      <vt:lpstr>LMA.ladder.ATM</vt:lpstr>
      <vt:lpstr>LMA.ladder.Ethernet</vt:lpstr>
      <vt:lpstr>LMA.LL.proportion</vt:lpstr>
      <vt:lpstr>LMA.technologies</vt:lpstr>
      <vt:lpstr>LMA.technologies.selected</vt:lpstr>
      <vt:lpstr>LMA.technologies.used</vt:lpstr>
      <vt:lpstr>LMA.transmission.protocol.selected</vt:lpstr>
      <vt:lpstr>LMA.transmission.protocol.used</vt:lpstr>
      <vt:lpstr>Locations.BSC</vt:lpstr>
      <vt:lpstr>Locations.RNC</vt:lpstr>
      <vt:lpstr>LTE.Area.Coverage</vt:lpstr>
      <vt:lpstr>LTE.Area.Site</vt:lpstr>
      <vt:lpstr>LTE.carriers.on.coverage.sites</vt:lpstr>
      <vt:lpstr>LTE.coverage.sites</vt:lpstr>
      <vt:lpstr>LTE.evolution.deployed</vt:lpstr>
      <vt:lpstr>LTE.Ladder</vt:lpstr>
      <vt:lpstr>LTE.minimum.carriers.deployment</vt:lpstr>
      <vt:lpstr>LTE.Network.BHMbits</vt:lpstr>
      <vt:lpstr>LTE.peak.to.effective</vt:lpstr>
      <vt:lpstr>LTE.sectorisation</vt:lpstr>
      <vt:lpstr>LTE.voice.rate</vt:lpstr>
      <vt:lpstr>Main.switching.sites</vt:lpstr>
      <vt:lpstr>Main.switching.sites.total</vt:lpstr>
      <vt:lpstr>Mark.up.regulatory.contribution</vt:lpstr>
      <vt:lpstr>Mark.up.regulatory.contribution.incoming.traffic</vt:lpstr>
      <vt:lpstr>Market.demand.total</vt:lpstr>
      <vt:lpstr>Market.services</vt:lpstr>
      <vt:lpstr>Market.Share.Used</vt:lpstr>
      <vt:lpstr>MB.per.minute.GPRS</vt:lpstr>
      <vt:lpstr>MB.per.minute.HSDPA</vt:lpstr>
      <vt:lpstr>MB.per.minute.R99</vt:lpstr>
      <vt:lpstr>Microcells.for.coverage</vt:lpstr>
      <vt:lpstr>million</vt:lpstr>
      <vt:lpstr>Minimum.TRX.per.sector</vt:lpstr>
      <vt:lpstr>Minute.per.SMS.2G</vt:lpstr>
      <vt:lpstr>Minute.per.SMS.3G</vt:lpstr>
      <vt:lpstr>Minute.per.SMS.LTE</vt:lpstr>
      <vt:lpstr>minutes.per.hour</vt:lpstr>
      <vt:lpstr>Mobile.market.services.list</vt:lpstr>
      <vt:lpstr>Mobile.market.services.list.units</vt:lpstr>
      <vt:lpstr>Mobile.market.volumes.total</vt:lpstr>
      <vt:lpstr>months</vt:lpstr>
      <vt:lpstr>MW.maximum.hop.distance</vt:lpstr>
      <vt:lpstr>Network.BSC.Data.Mbit.s</vt:lpstr>
      <vt:lpstr>Network.BSC.Voice.Mbit.s</vt:lpstr>
      <vt:lpstr>Network.capex.by.element</vt:lpstr>
      <vt:lpstr>Network.Core.to.Core.Data.Mbit.s</vt:lpstr>
      <vt:lpstr>Network.Core.to.Core.Mbit.s</vt:lpstr>
      <vt:lpstr>Network.Core.to.Core.Voice.Mbit.s</vt:lpstr>
      <vt:lpstr>Network.data.BSC.Mbit.s.by.core.node</vt:lpstr>
      <vt:lpstr>Network.data.RNC.MSC.and.RNC.SGSN.Mbit.s.by.core.node</vt:lpstr>
      <vt:lpstr>Network.depreciation.by.element</vt:lpstr>
      <vt:lpstr>Network.element.output</vt:lpstr>
      <vt:lpstr>Network.HSPA.data.RNC.Mbit.s</vt:lpstr>
      <vt:lpstr>Network.HSPA.data.RNC.MSC.and.RNC.SGSN.Mbit.s</vt:lpstr>
      <vt:lpstr>Network.load.HSDPA</vt:lpstr>
      <vt:lpstr>Network.load.HSUPA</vt:lpstr>
      <vt:lpstr>Network.load.LTE</vt:lpstr>
      <vt:lpstr>Network.Load.Servers</vt:lpstr>
      <vt:lpstr>Network.opex.by.element</vt:lpstr>
      <vt:lpstr>Network.peak.GSM.data.load</vt:lpstr>
      <vt:lpstr>Network.peak.UMTS.BHE</vt:lpstr>
      <vt:lpstr>Network.peak.UMTS.data.BHE</vt:lpstr>
      <vt:lpstr>Network.peak.UMTS.voice.BHE</vt:lpstr>
      <vt:lpstr>Network.R99.data.RNC.Mbit.s</vt:lpstr>
      <vt:lpstr>Network.R99.data.RNC.MSC.and.RNC.SGSN.Mbit.s</vt:lpstr>
      <vt:lpstr>Network.services.list</vt:lpstr>
      <vt:lpstr>Network.services.list.units</vt:lpstr>
      <vt:lpstr>Network.Site.To.Core.Mbits</vt:lpstr>
      <vt:lpstr>Network.Total.2G.Backhaul.Mbit.s</vt:lpstr>
      <vt:lpstr>Network.Total.2G.data.Backhaul.Mbit.s</vt:lpstr>
      <vt:lpstr>Network.Total.2G.voice.Backhaul.Mbit.s</vt:lpstr>
      <vt:lpstr>Network.Total.3G.Backhaul.Mbit.s</vt:lpstr>
      <vt:lpstr>Network.Total.3G.HSPA.data.Backhaul.Mbit.s</vt:lpstr>
      <vt:lpstr>Network.Total.3G.R99.data.Backhaul.Mbit.s</vt:lpstr>
      <vt:lpstr>Network.Total.3G.voice.Backhaul.Mbit.s</vt:lpstr>
      <vt:lpstr>Network.Total.Backhaul.Mbit.s</vt:lpstr>
      <vt:lpstr>Network.Total.BSC.Mbit.s</vt:lpstr>
      <vt:lpstr>Network.total.BSC.Mbit.s.by.core.node</vt:lpstr>
      <vt:lpstr>Network.Total.data.BSC.Mbit.s</vt:lpstr>
      <vt:lpstr>Network.Total.data.RNC.Mbit.s</vt:lpstr>
      <vt:lpstr>Network.Total.data.RNC.MSC.and.RNC.SGSN.Mbit.s</vt:lpstr>
      <vt:lpstr>Network.Total.LTE.Backhaul.Mbit.s</vt:lpstr>
      <vt:lpstr>Network.Total.LTE.data.Backhaul.Mbit.s</vt:lpstr>
      <vt:lpstr>Network.Total.LTE.voice.Backhaul.Mbit.s</vt:lpstr>
      <vt:lpstr>Network.Total.RNC.Mbit.s</vt:lpstr>
      <vt:lpstr>Network.total.RNC.Mbit.s.by.core.node</vt:lpstr>
      <vt:lpstr>Network.Total.RNC.MSC.and.RNC.SGSN.Mbit.s</vt:lpstr>
      <vt:lpstr>Network.Total.voice.BSC.Mbit.s</vt:lpstr>
      <vt:lpstr>Network.Total.voice.RNC.Mbit.s</vt:lpstr>
      <vt:lpstr>Network.Total.voice.RNC.MSC.and.RNC.SGSN.Mbit.s</vt:lpstr>
      <vt:lpstr>Network.voice.BHE.2G</vt:lpstr>
      <vt:lpstr>Network.voice.BHE.3G</vt:lpstr>
      <vt:lpstr>Network.voice.BSC.Mbit.s.by.core.node</vt:lpstr>
      <vt:lpstr>Network.voice.RNC.MSC.and.RNC.SGSN.Mbit.s.by.core.node</vt:lpstr>
      <vt:lpstr>Number.of.core.LL.for.core.core.traffic</vt:lpstr>
      <vt:lpstr>Operator.by.scenario</vt:lpstr>
      <vt:lpstr>Operator.generic</vt:lpstr>
      <vt:lpstr>Operators.list</vt:lpstr>
      <vt:lpstr>OPEX</vt:lpstr>
      <vt:lpstr>Opex.cost.trends</vt:lpstr>
      <vt:lpstr>Outgoing.voice.traffic.to.fixed.national</vt:lpstr>
      <vt:lpstr>Outgoing.voice.traffic.to.international</vt:lpstr>
      <vt:lpstr>Outgoing.voice.traffic.to.mobile.national</vt:lpstr>
      <vt:lpstr>PDP.context.per.sub</vt:lpstr>
      <vt:lpstr>Physical.collocation</vt:lpstr>
      <vt:lpstr>Physical.collocation.LTE</vt:lpstr>
      <vt:lpstr>Physical.own.tower</vt:lpstr>
      <vt:lpstr>Proportion.Core.to.Core.Data</vt:lpstr>
      <vt:lpstr>Proportion.Core.to.Core.Voice</vt:lpstr>
      <vt:lpstr>Protocols</vt:lpstr>
      <vt:lpstr>R99.carriers.per.coverage.site</vt:lpstr>
      <vt:lpstr>R99.CE.max</vt:lpstr>
      <vt:lpstr>R99.CE.min</vt:lpstr>
      <vt:lpstr>R99.CE.signalling</vt:lpstr>
      <vt:lpstr>Radio.Erlangs.per.Erlang</vt:lpstr>
      <vt:lpstr>Radio.sites.per.hub</vt:lpstr>
      <vt:lpstr>Radio.sites.per.hub.inputs</vt:lpstr>
      <vt:lpstr>Radio.sites.proportion.connected.via.hubs</vt:lpstr>
      <vt:lpstr>Radio.technologies</vt:lpstr>
      <vt:lpstr>Release99.soft.handover</vt:lpstr>
      <vt:lpstr>Release99.softer.handover</vt:lpstr>
      <vt:lpstr>Remote.BSC.sites</vt:lpstr>
      <vt:lpstr>Remote.BSCs.load.data</vt:lpstr>
      <vt:lpstr>Remote.BSCs.load.voice</vt:lpstr>
      <vt:lpstr>Remote.RNC.sites</vt:lpstr>
      <vt:lpstr>Remote.RNCs.load.data</vt:lpstr>
      <vt:lpstr>Remote.RNCs.load.voice</vt:lpstr>
      <vt:lpstr>Required.assets.3G.BBU.cards.for.single.RAN</vt:lpstr>
      <vt:lpstr>Required.assets.3G.carriers</vt:lpstr>
      <vt:lpstr>Required.assets.4G.BBU.cards.for.single.RAN</vt:lpstr>
      <vt:lpstr>Required.assets.BSC</vt:lpstr>
      <vt:lpstr>Required.assets.BSC.Core.Fibre.Data.Links</vt:lpstr>
      <vt:lpstr>Required.assets.BSC.Core.Fibre.Voice.Links</vt:lpstr>
      <vt:lpstr>Required.assets.BSC.Core.LL.Data.Links</vt:lpstr>
      <vt:lpstr>Required.assets.BSC.Core.LL.Voice.Links</vt:lpstr>
      <vt:lpstr>Required.assets.BSC.ports.colocated.data</vt:lpstr>
      <vt:lpstr>Required.assets.BSC.ports.colocated.voice</vt:lpstr>
      <vt:lpstr>Required.assets.BSC.ports.remote.data</vt:lpstr>
      <vt:lpstr>Required.assets.BSC.ports.remote.voice</vt:lpstr>
      <vt:lpstr>Required.assets.BSC.site</vt:lpstr>
      <vt:lpstr>Required.assets.CK</vt:lpstr>
      <vt:lpstr>Required.assets.core.core.MW.hops</vt:lpstr>
      <vt:lpstr>Required.assets.core.core.ring.fibre.length</vt:lpstr>
      <vt:lpstr>Required.assets.core.leased.lines</vt:lpstr>
      <vt:lpstr>Required.assets.Core.Nodes.By.Speed</vt:lpstr>
      <vt:lpstr>Required.assets.HSDPA.all.steps</vt:lpstr>
      <vt:lpstr>Required.assets.HSDPA.sites.1.8</vt:lpstr>
      <vt:lpstr>Required.assets.HSDPA.sites.10.1</vt:lpstr>
      <vt:lpstr>Required.assets.HSDPA.sites.14.1</vt:lpstr>
      <vt:lpstr>Required.assets.HSDPA.sites.21.1</vt:lpstr>
      <vt:lpstr>Required.assets.HSDPA.sites.3.6</vt:lpstr>
      <vt:lpstr>Required.assets.HSDPA.sites.7.2</vt:lpstr>
      <vt:lpstr>Required.assets.HSUPA.sites.0.73</vt:lpstr>
      <vt:lpstr>Required.assets.HSUPA.sites.1.46</vt:lpstr>
      <vt:lpstr>Required.assets.HSUPA.sites.11.5</vt:lpstr>
      <vt:lpstr>Required.assets.HSUPA.sites.2</vt:lpstr>
      <vt:lpstr>Required.assets.HSUPA.sites.2.93</vt:lpstr>
      <vt:lpstr>Required.assets.HSUPA.sites.5.76</vt:lpstr>
      <vt:lpstr>Required.assets.hub.core.leased.lines</vt:lpstr>
      <vt:lpstr>Required.assets.hub.core.ring.access.points</vt:lpstr>
      <vt:lpstr>Required.assets.hub.core.ring.fibre.length</vt:lpstr>
      <vt:lpstr>Required.assets.licence.fees</vt:lpstr>
      <vt:lpstr>Required.assets.LMA.fibre.links</vt:lpstr>
      <vt:lpstr>Required.assets.LMA.leased.lines</vt:lpstr>
      <vt:lpstr>Required.assets.LMA.microwave.links</vt:lpstr>
      <vt:lpstr>Required.assets.LTE.all.steps</vt:lpstr>
      <vt:lpstr>Required.assets.LTE.carriers</vt:lpstr>
      <vt:lpstr>Required.assets.LTE.sites.10.8</vt:lpstr>
      <vt:lpstr>Required.assets.LTE.sites.16.2</vt:lpstr>
      <vt:lpstr>Required.assets.LTE.sites.21.6</vt:lpstr>
      <vt:lpstr>Required.assets.LTE.sites.32.4</vt:lpstr>
      <vt:lpstr>Required.assets.LTE.sites.43.2</vt:lpstr>
      <vt:lpstr>Required.assets.LTE.sites.86.4</vt:lpstr>
      <vt:lpstr>Required.assets.main.switching.sites</vt:lpstr>
      <vt:lpstr>Required.assets.own.sites</vt:lpstr>
      <vt:lpstr>Required.assets.Ports.BSC.10M</vt:lpstr>
      <vt:lpstr>Required.assets.Ports.BSC.E1</vt:lpstr>
      <vt:lpstr>Required.assets.Ports.RNC.data.10M</vt:lpstr>
      <vt:lpstr>Required.assets.Ports.RNC.data.E1</vt:lpstr>
      <vt:lpstr>Required.assets.Ports.RNC.voice.10M</vt:lpstr>
      <vt:lpstr>Required.assets.Ports.RNC.voice.E1</vt:lpstr>
      <vt:lpstr>Required.assets.RNC</vt:lpstr>
      <vt:lpstr>Required.assets.RNC.Core.Fibre.Data.Links</vt:lpstr>
      <vt:lpstr>Required.assets.RNC.Core.Fibre.Voice.Links</vt:lpstr>
      <vt:lpstr>Required.assets.RNC.Core.LL.Data.Links</vt:lpstr>
      <vt:lpstr>Required.assets.RNC.Core.LL.Voice.Links</vt:lpstr>
      <vt:lpstr>Required.assets.RNC.ports.colocated.data</vt:lpstr>
      <vt:lpstr>Required.assets.RNC.ports.colocated.voice</vt:lpstr>
      <vt:lpstr>Required.assets.RNC.ports.remote.data</vt:lpstr>
      <vt:lpstr>Required.assets.RNC.ports.remote.voice</vt:lpstr>
      <vt:lpstr>Required.assets.RNC.site</vt:lpstr>
      <vt:lpstr>Required.assets.servers</vt:lpstr>
      <vt:lpstr>Required.assets.single.RAN.base.station</vt:lpstr>
      <vt:lpstr>Required.assets.third.party.sites</vt:lpstr>
      <vt:lpstr>Required.assets.TRX</vt:lpstr>
      <vt:lpstr>Result.LRAIC.termination.and.origination</vt:lpstr>
      <vt:lpstr>RF.Option.List</vt:lpstr>
      <vt:lpstr>RF.Option.Table</vt:lpstr>
      <vt:lpstr>RF.subscribers</vt:lpstr>
      <vt:lpstr>Ring.Time.Per.Minute</vt:lpstr>
      <vt:lpstr>RNC.capacity.used</vt:lpstr>
      <vt:lpstr>RNC.Core.ATM.Ladder</vt:lpstr>
      <vt:lpstr>RNC.Core.Data.Protocol</vt:lpstr>
      <vt:lpstr>RNC.Core.Ethernet.Ladder</vt:lpstr>
      <vt:lpstr>RNC.Core.Redundancy</vt:lpstr>
      <vt:lpstr>RNC.Core.Voice.Protocol</vt:lpstr>
      <vt:lpstr>RNC.Ladder</vt:lpstr>
      <vt:lpstr>Routeing.factors</vt:lpstr>
      <vt:lpstr>SAU.per.sub</vt:lpstr>
      <vt:lpstr>Scenario.list</vt:lpstr>
      <vt:lpstr>Scenario.number</vt:lpstr>
      <vt:lpstr>seconds.per.hour</vt:lpstr>
      <vt:lpstr>seconds.per.minute</vt:lpstr>
      <vt:lpstr>Servers.Capacities</vt:lpstr>
      <vt:lpstr>Servers.List</vt:lpstr>
      <vt:lpstr>Servers.Minimums</vt:lpstr>
      <vt:lpstr>Servers.Redundancy</vt:lpstr>
      <vt:lpstr>Servers.Units</vt:lpstr>
      <vt:lpstr>Services.demand</vt:lpstr>
      <vt:lpstr>Services.total.costs</vt:lpstr>
      <vt:lpstr>sig.channel.per.TRX</vt:lpstr>
      <vt:lpstr>Single.RAN.base.station.capacity</vt:lpstr>
      <vt:lpstr>Sites.multitech</vt:lpstr>
      <vt:lpstr>Sites.multitech.GSM</vt:lpstr>
      <vt:lpstr>Sites.multitech.LTE</vt:lpstr>
      <vt:lpstr>Sites.multitech.UMTS</vt:lpstr>
      <vt:lpstr>Sites.singletech.GSM</vt:lpstr>
      <vt:lpstr>Sites.singletech.LTE</vt:lpstr>
      <vt:lpstr>Sites.singletech.UMTS</vt:lpstr>
      <vt:lpstr>Sites.total</vt:lpstr>
      <vt:lpstr>Sites.Total.GSM</vt:lpstr>
      <vt:lpstr>Sites.Total.LTE</vt:lpstr>
      <vt:lpstr>Sites.Total.UMTS</vt:lpstr>
      <vt:lpstr>SMS.services.list</vt:lpstr>
      <vt:lpstr>SMS.services.list.units</vt:lpstr>
      <vt:lpstr>Sol.per.USD</vt:lpstr>
      <vt:lpstr>Spectrum.Fee</vt:lpstr>
      <vt:lpstr>Spectrum.GSM.Capacity</vt:lpstr>
      <vt:lpstr>Spectrum.GSM.Coverage</vt:lpstr>
      <vt:lpstr>Spectrum.LTE.Capacity</vt:lpstr>
      <vt:lpstr>Spectrum.LTE.Coverage</vt:lpstr>
      <vt:lpstr>Spectrum.UMTS.Capacity</vt:lpstr>
      <vt:lpstr>Spectrum.UMTS.Coverage</vt:lpstr>
      <vt:lpstr>Subscribers.voice.and.data</vt:lpstr>
      <vt:lpstr>Subscribers.voice.only</vt:lpstr>
      <vt:lpstr>Thousand</vt:lpstr>
      <vt:lpstr>Total.annual.costs</vt:lpstr>
      <vt:lpstr>TRX.Total</vt:lpstr>
      <vt:lpstr>Type.of.radio.sites</vt:lpstr>
      <vt:lpstr>UMTS.Area.Coverage</vt:lpstr>
      <vt:lpstr>UMTS.Area.Site</vt:lpstr>
      <vt:lpstr>UMTS.blocking.probability</vt:lpstr>
      <vt:lpstr>UMTS.channel.rate</vt:lpstr>
      <vt:lpstr>UMTS.coverage.sites</vt:lpstr>
      <vt:lpstr>UMTS.Network.R99.BHE</vt:lpstr>
      <vt:lpstr>UMTS.Network.R99.BHE.data</vt:lpstr>
      <vt:lpstr>UMTS.Network.R99.BHE.voice</vt:lpstr>
      <vt:lpstr>UMTS.sectorisation</vt:lpstr>
      <vt:lpstr>Unit.investment.cost</vt:lpstr>
      <vt:lpstr>Unit.operating.cost</vt:lpstr>
      <vt:lpstr>Utilisation.BSC</vt:lpstr>
      <vt:lpstr>Utilisation.BSC.Core</vt:lpstr>
      <vt:lpstr>Utilisation.BTS</vt:lpstr>
      <vt:lpstr>Utilisation.CE</vt:lpstr>
      <vt:lpstr>Utilisation.Core.Core</vt:lpstr>
      <vt:lpstr>Utilisation.Hub.Core</vt:lpstr>
      <vt:lpstr>Utilisation.LMA</vt:lpstr>
      <vt:lpstr>Utilisation.NodeB</vt:lpstr>
      <vt:lpstr>Utilisation.Ports</vt:lpstr>
      <vt:lpstr>Utilisation.radio.assets</vt:lpstr>
      <vt:lpstr>Utilisation.RNC</vt:lpstr>
      <vt:lpstr>Utilisation.RNC.Core</vt:lpstr>
      <vt:lpstr>Utilisation.Servers</vt:lpstr>
      <vt:lpstr>Utilisation.single.unit</vt:lpstr>
      <vt:lpstr>Utilisation.SMSC</vt:lpstr>
      <vt:lpstr>Utilisation.software</vt:lpstr>
      <vt:lpstr>Utilisation.Switches</vt:lpstr>
      <vt:lpstr>Utilisation.TRX</vt:lpstr>
      <vt:lpstr>Voice.services.list</vt:lpstr>
      <vt:lpstr>Voice.services.list.units</vt:lpstr>
      <vt:lpstr>VoLTE.services.list</vt:lpstr>
      <vt:lpstr>VoLTE.services.list.units</vt:lpstr>
      <vt:lpstr>Workbook.Objective</vt:lpstr>
      <vt:lpstr>Workbook.Status</vt:lpstr>
      <vt:lpstr>Workbook.Title</vt:lpstr>
      <vt:lpstr>Workbook.Version</vt:lpstr>
      <vt:lpstr>Working.capital.allowance</vt:lpstr>
      <vt:lpstr>Years</vt:lpstr>
    </vt:vector>
  </TitlesOfParts>
  <Company>Analysys Mason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OSIPTEL</dc:creator>
  <cp:lastModifiedBy>Elias Ruiz Gonzalez</cp:lastModifiedBy>
  <dcterms:created xsi:type="dcterms:W3CDTF">2013-04-25T09:28:10Z</dcterms:created>
  <dcterms:modified xsi:type="dcterms:W3CDTF">2018-09-27T17:00:38Z</dcterms:modified>
</cp:coreProperties>
</file>